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drawings/drawing2.xml" ContentType="application/vnd.openxmlformats-officedocument.drawing+xml"/>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customProperty7.bin" ContentType="application/vnd.openxmlformats-officedocument.spreadsheetml.customProperty"/>
  <Override PartName="/xl/customProperty8.bin" ContentType="application/vnd.openxmlformats-officedocument.spreadsheetml.customProperty"/>
  <Override PartName="/xl/drawings/drawing3.xml" ContentType="application/vnd.openxmlformats-officedocument.drawing+xml"/>
  <Override PartName="/xl/activeX/activeX6.xml" ContentType="application/vnd.ms-office.activeX+xml"/>
  <Override PartName="/xl/activeX/activeX6.bin" ContentType="application/vnd.ms-office.activeX"/>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4.xml" ContentType="application/vnd.openxmlformats-officedocument.drawing+xml"/>
  <Override PartName="/xl/activeX/activeX7.xml" ContentType="application/vnd.ms-office.activeX+xml"/>
  <Override PartName="/xl/activeX/activeX7.bin" ContentType="application/vnd.ms-office.activeX"/>
  <Override PartName="/xl/customProperty14.bin" ContentType="application/vnd.openxmlformats-officedocument.spreadsheetml.customProperty"/>
  <Override PartName="/xl/drawings/drawing5.xml" ContentType="application/vnd.openxmlformats-officedocument.drawing+xml"/>
  <Override PartName="/xl/activeX/activeX8.xml" ContentType="application/vnd.ms-office.activeX+xml"/>
  <Override PartName="/xl/activeX/activeX8.bin" ContentType="application/vnd.ms-office.activeX"/>
  <Override PartName="/xl/customProperty15.bin" ContentType="application/vnd.openxmlformats-officedocument.spreadsheetml.customProperty"/>
  <Override PartName="/xl/drawings/drawing6.xml" ContentType="application/vnd.openxmlformats-officedocument.drawing+xml"/>
  <Override PartName="/xl/activeX/activeX9.xml" ContentType="application/vnd.ms-office.activeX+xml"/>
  <Override PartName="/xl/activeX/activeX9.bin" ContentType="application/vnd.ms-office.activeX"/>
  <Override PartName="/xl/customProperty16.bin" ContentType="application/vnd.openxmlformats-officedocument.spreadsheetml.customProperty"/>
  <Override PartName="/xl/drawings/drawing7.xml" ContentType="application/vnd.openxmlformats-officedocument.drawing+xml"/>
  <Override PartName="/xl/activeX/activeX10.xml" ContentType="application/vnd.ms-office.activeX+xml"/>
  <Override PartName="/xl/activeX/activeX10.bin" ContentType="application/vnd.ms-office.activeX"/>
  <Override PartName="/xl/customProperty17.bin" ContentType="application/vnd.openxmlformats-officedocument.spreadsheetml.customProperty"/>
  <Override PartName="/xl/drawings/drawing8.xml" ContentType="application/vnd.openxmlformats-officedocument.drawing+xml"/>
  <Override PartName="/xl/activeX/activeX11.xml" ContentType="application/vnd.ms-office.activeX+xml"/>
  <Override PartName="/xl/activeX/activeX11.bin" ContentType="application/vnd.ms-office.activeX"/>
  <Override PartName="/xl/customProperty18.bin" ContentType="application/vnd.openxmlformats-officedocument.spreadsheetml.customProperty"/>
  <Override PartName="/xl/drawings/drawing9.xml" ContentType="application/vnd.openxmlformats-officedocument.drawing+xml"/>
  <Override PartName="/xl/activeX/activeX12.xml" ContentType="application/vnd.ms-office.activeX+xml"/>
  <Override PartName="/xl/activeX/activeX12.bin" ContentType="application/vnd.ms-office.activeX"/>
  <Override PartName="/xl/customProperty19.bin" ContentType="application/vnd.openxmlformats-officedocument.spreadsheetml.customProperty"/>
  <Override PartName="/xl/drawings/drawing10.xml" ContentType="application/vnd.openxmlformats-officedocument.drawing+xml"/>
  <Override PartName="/xl/activeX/activeX13.xml" ContentType="application/vnd.ms-office.activeX+xml"/>
  <Override PartName="/xl/activeX/activeX13.bin" ContentType="application/vnd.ms-office.activeX"/>
  <Override PartName="/xl/customProperty20.bin" ContentType="application/vnd.openxmlformats-officedocument.spreadsheetml.customProperty"/>
  <Override PartName="/xl/drawings/drawing11.xml" ContentType="application/vnd.openxmlformats-officedocument.drawing+xml"/>
  <Override PartName="/xl/activeX/activeX14.xml" ContentType="application/vnd.ms-office.activeX+xml"/>
  <Override PartName="/xl/activeX/activeX14.bin" ContentType="application/vnd.ms-office.activeX"/>
  <Override PartName="/xl/customProperty21.bin" ContentType="application/vnd.openxmlformats-officedocument.spreadsheetml.customProperty"/>
  <Override PartName="/xl/drawings/drawing12.xml" ContentType="application/vnd.openxmlformats-officedocument.drawing+xml"/>
  <Override PartName="/xl/activeX/activeX15.xml" ContentType="application/vnd.ms-office.activeX+xml"/>
  <Override PartName="/xl/activeX/activeX15.bin" ContentType="application/vnd.ms-office.activeX"/>
  <Override PartName="/xl/customProperty22.bin" ContentType="application/vnd.openxmlformats-officedocument.spreadsheetml.customProperty"/>
  <Override PartName="/xl/drawings/drawing13.xml" ContentType="application/vnd.openxmlformats-officedocument.drawing+xml"/>
  <Override PartName="/xl/activeX/activeX16.xml" ContentType="application/vnd.ms-office.activeX+xml"/>
  <Override PartName="/xl/activeX/activeX16.bin" ContentType="application/vnd.ms-office.activeX"/>
  <Override PartName="/xl/customProperty23.bin" ContentType="application/vnd.openxmlformats-officedocument.spreadsheetml.customProperty"/>
  <Override PartName="/xl/drawings/drawing14.xml" ContentType="application/vnd.openxmlformats-officedocument.drawing+xml"/>
  <Override PartName="/xl/activeX/activeX17.xml" ContentType="application/vnd.ms-office.activeX+xml"/>
  <Override PartName="/xl/activeX/activeX17.bin" ContentType="application/vnd.ms-office.activeX"/>
  <Override PartName="/xl/customProperty24.bin" ContentType="application/vnd.openxmlformats-officedocument.spreadsheetml.customProperty"/>
  <Override PartName="/xl/drawings/drawing15.xml" ContentType="application/vnd.openxmlformats-officedocument.drawing+xml"/>
  <Override PartName="/xl/activeX/activeX18.xml" ContentType="application/vnd.ms-office.activeX+xml"/>
  <Override PartName="/xl/activeX/activeX18.bin" ContentType="application/vnd.ms-office.activeX"/>
  <Override PartName="/xl/customProperty25.bin" ContentType="application/vnd.openxmlformats-officedocument.spreadsheetml.customProperty"/>
  <Override PartName="/xl/drawings/drawing16.xml" ContentType="application/vnd.openxmlformats-officedocument.drawing+xml"/>
  <Override PartName="/xl/activeX/activeX19.xml" ContentType="application/vnd.ms-office.activeX+xml"/>
  <Override PartName="/xl/activeX/activeX19.bin" ContentType="application/vnd.ms-office.activeX"/>
  <Override PartName="/xl/customProperty26.bin" ContentType="application/vnd.openxmlformats-officedocument.spreadsheetml.customProperty"/>
  <Override PartName="/xl/drawings/drawing17.xml" ContentType="application/vnd.openxmlformats-officedocument.drawing+xml"/>
  <Override PartName="/xl/activeX/activeX20.xml" ContentType="application/vnd.ms-office.activeX+xml"/>
  <Override PartName="/xl/activeX/activeX20.bin" ContentType="application/vnd.ms-office.activeX"/>
  <Override PartName="/xl/customProperty27.bin" ContentType="application/vnd.openxmlformats-officedocument.spreadsheetml.customProperty"/>
  <Override PartName="/xl/drawings/drawing18.xml" ContentType="application/vnd.openxmlformats-officedocument.drawing+xml"/>
  <Override PartName="/xl/activeX/activeX21.xml" ContentType="application/vnd.ms-office.activeX+xml"/>
  <Override PartName="/xl/activeX/activeX21.bin" ContentType="application/vnd.ms-office.activeX"/>
  <Override PartName="/xl/customProperty28.bin" ContentType="application/vnd.openxmlformats-officedocument.spreadsheetml.customProperty"/>
  <Override PartName="/xl/drawings/drawing19.xml" ContentType="application/vnd.openxmlformats-officedocument.drawing+xml"/>
  <Override PartName="/xl/activeX/activeX22.xml" ContentType="application/vnd.ms-office.activeX+xml"/>
  <Override PartName="/xl/activeX/activeX22.bin" ContentType="application/vnd.ms-office.activeX"/>
  <Override PartName="/xl/customProperty29.bin" ContentType="application/vnd.openxmlformats-officedocument.spreadsheetml.customProperty"/>
  <Override PartName="/xl/drawings/drawing20.xml" ContentType="application/vnd.openxmlformats-officedocument.drawing+xml"/>
  <Override PartName="/xl/activeX/activeX23.xml" ContentType="application/vnd.ms-office.activeX+xml"/>
  <Override PartName="/xl/activeX/activeX23.bin" ContentType="application/vnd.ms-office.activeX"/>
  <Override PartName="/xl/customProperty30.bin" ContentType="application/vnd.openxmlformats-officedocument.spreadsheetml.customProperty"/>
  <Override PartName="/xl/drawings/drawing21.xml" ContentType="application/vnd.openxmlformats-officedocument.drawing+xml"/>
  <Override PartName="/xl/activeX/activeX24.xml" ContentType="application/vnd.ms-office.activeX+xml"/>
  <Override PartName="/xl/activeX/activeX24.bin" ContentType="application/vnd.ms-office.activeX"/>
  <Override PartName="/xl/customProperty31.bin" ContentType="application/vnd.openxmlformats-officedocument.spreadsheetml.customProperty"/>
  <Override PartName="/xl/drawings/drawing22.xml" ContentType="application/vnd.openxmlformats-officedocument.drawing+xml"/>
  <Override PartName="/xl/activeX/activeX25.xml" ContentType="application/vnd.ms-office.activeX+xml"/>
  <Override PartName="/xl/activeX/activeX25.bin" ContentType="application/vnd.ms-office.activeX"/>
  <Override PartName="/xl/customProperty32.bin" ContentType="application/vnd.openxmlformats-officedocument.spreadsheetml.customProperty"/>
  <Override PartName="/xl/drawings/drawing23.xml" ContentType="application/vnd.openxmlformats-officedocument.drawing+xml"/>
  <Override PartName="/xl/activeX/activeX26.xml" ContentType="application/vnd.ms-office.activeX+xml"/>
  <Override PartName="/xl/activeX/activeX26.bin" ContentType="application/vnd.ms-office.activeX"/>
  <Override PartName="/xl/customProperty33.bin" ContentType="application/vnd.openxmlformats-officedocument.spreadsheetml.customProperty"/>
  <Override PartName="/xl/drawings/drawing24.xml" ContentType="application/vnd.openxmlformats-officedocument.drawing+xml"/>
  <Override PartName="/xl/activeX/activeX27.xml" ContentType="application/vnd.ms-office.activeX+xml"/>
  <Override PartName="/xl/activeX/activeX27.bin" ContentType="application/vnd.ms-office.activeX"/>
  <Override PartName="/xl/customProperty34.bin" ContentType="application/vnd.openxmlformats-officedocument.spreadsheetml.customProperty"/>
  <Override PartName="/xl/drawings/drawing25.xml" ContentType="application/vnd.openxmlformats-officedocument.drawing+xml"/>
  <Override PartName="/xl/activeX/activeX28.xml" ContentType="application/vnd.ms-office.activeX+xml"/>
  <Override PartName="/xl/activeX/activeX28.bin" ContentType="application/vnd.ms-office.activeX"/>
  <Override PartName="/xl/customProperty35.bin" ContentType="application/vnd.openxmlformats-officedocument.spreadsheetml.customProperty"/>
  <Override PartName="/xl/drawings/drawing26.xml" ContentType="application/vnd.openxmlformats-officedocument.drawing+xml"/>
  <Override PartName="/xl/activeX/activeX29.xml" ContentType="application/vnd.ms-office.activeX+xml"/>
  <Override PartName="/xl/activeX/activeX29.bin" ContentType="application/vnd.ms-office.activeX"/>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efaultThemeVersion="124226"/>
  <mc:AlternateContent xmlns:mc="http://schemas.openxmlformats.org/markup-compatibility/2006">
    <mc:Choice Requires="x15">
      <x15ac:absPath xmlns:x15ac="http://schemas.microsoft.com/office/spreadsheetml/2010/11/ac" url="Y:\Team Members\Venkatesh Bhaskar\Sabra Health Care\#SABRA works\# Tenant Financial Analysis\#02. Review\Healthmark Jul 22 Return\"/>
    </mc:Choice>
  </mc:AlternateContent>
  <xr:revisionPtr revIDLastSave="0" documentId="13_ncr:1_{6281A473-45A3-4308-B87C-80AC76766461}" xr6:coauthVersionLast="41" xr6:coauthVersionMax="45" xr10:uidLastSave="{00000000-0000-0000-0000-000000000000}"/>
  <bookViews>
    <workbookView xWindow="-120" yWindow="-120" windowWidth="20730" windowHeight="11160" tabRatio="757" xr2:uid="{00000000-000D-0000-FFFF-FFFF00000000}"/>
  </bookViews>
  <sheets>
    <sheet name="Reconciliation" sheetId="141" r:id="rId1"/>
    <sheet name="BPC Data" sheetId="1" r:id="rId2"/>
    <sheet name="Summary" sheetId="2" r:id="rId3"/>
    <sheet name=" Analysis" sheetId="146" state="hidden" r:id="rId4"/>
    <sheet name="Variance Analysis" sheetId="147" r:id="rId5"/>
    <sheet name="Revenue Summary" sheetId="142" r:id="rId6"/>
    <sheet name="Opex Summary" sheetId="143" r:id="rId7"/>
    <sheet name="ALL-F" sheetId="121" r:id="rId8"/>
    <sheet name="HMGCF-F" sheetId="122" r:id="rId9"/>
    <sheet name="HMGCR-F" sheetId="123" r:id="rId10"/>
    <sheet name="HMGCS-F" sheetId="124" r:id="rId11"/>
    <sheet name="HMGHB-F" sheetId="125" r:id="rId12"/>
    <sheet name="HMGWC-F" sheetId="126" r:id="rId13"/>
    <sheet name="HMGQV-F" sheetId="127" r:id="rId14"/>
    <sheet name="HMGPM-F" sheetId="128" r:id="rId15"/>
    <sheet name="HMGLW-F" sheetId="129" r:id="rId16"/>
    <sheet name="HMGSL-F" sheetId="130" r:id="rId17"/>
    <sheet name="HMGTP-F" sheetId="131" r:id="rId18"/>
    <sheet name="HMGBV-F" sheetId="132" r:id="rId19"/>
    <sheet name="HMGSN-F" sheetId="133" r:id="rId20"/>
    <sheet name="HMG WW-F" sheetId="134" r:id="rId21"/>
    <sheet name="HMGGPV-F" sheetId="135" r:id="rId22"/>
    <sheet name="HMGGPP-F" sheetId="136" r:id="rId23"/>
    <sheet name="HMGAP-F" sheetId="137" r:id="rId24"/>
    <sheet name="HMGNP-F" sheetId="138" r:id="rId25"/>
    <sheet name="HMGBC-F" sheetId="139" r:id="rId26"/>
    <sheet name="HMGFP-F" sheetId="140" r:id="rId27"/>
    <sheet name="PropertyList" sheetId="3" r:id="rId28"/>
  </sheets>
  <externalReferences>
    <externalReference r:id="rId29"/>
  </externalReferences>
  <definedNames>
    <definedName name="__FPMExcelClient_CellBasedFunctionStatus" localSheetId="1" hidden="1">"2_2_2_2_2_2"</definedName>
    <definedName name="__FPMExcelClient_CellBasedFunctionStatus" localSheetId="2" hidden="1">"2_1_2_2_2_2"</definedName>
    <definedName name="__FPMExcelClient_Connection" localSheetId="1">"_FPM_BPCMS10_[http://13.64.249.230/sap/bpc/]_[Sabra]_[Finance]_[false]_[false]\1"</definedName>
    <definedName name="__FPMExcelClient_Connection" localSheetId="2">"_FPM_BPCMS10_[http://13.64.249.230/sap/bpc/]_[Sabra]_[Finance]_[false]_[false]\1"</definedName>
    <definedName name="__FPMExcelClient_RefreshTime" localSheetId="1">636652729196781000</definedName>
    <definedName name="__FPMExcelClient_RefreshTime" localSheetId="2">636622482894005000</definedName>
    <definedName name="_xlnm._FilterDatabase" localSheetId="1" hidden="1">'BPC Data'!$A$1:$Q$385</definedName>
    <definedName name="_xlnm._FilterDatabase" localSheetId="6" hidden="1">'Opex Summary'!$C$5:$Q$363</definedName>
    <definedName name="_xlnm._FilterDatabase" localSheetId="2" hidden="1">Summary!$W$1:$W$569</definedName>
    <definedName name="APA">#REF!</definedName>
    <definedName name="APN">#REF!</definedName>
    <definedName name="Area1_Ledger">#REF!</definedName>
    <definedName name="Area1_nPlosion">#REF!</definedName>
    <definedName name="Area1_TimeSpan">#REF!</definedName>
    <definedName name="Area2A_Ledger">#REF!</definedName>
    <definedName name="Area2A_nPlosion">#REF!</definedName>
    <definedName name="Area2A_TimeSpan">#REF!</definedName>
    <definedName name="Area2B_Ledger">#REF!</definedName>
    <definedName name="Area2B_nPlosion">#REF!</definedName>
    <definedName name="Area2B_TimeSpan">#REF!</definedName>
    <definedName name="Area3A_Ledger">#REF!</definedName>
    <definedName name="Area3A_nPlosion">#REF!</definedName>
    <definedName name="Area3A_TimeSpan">#REF!</definedName>
    <definedName name="Area3B_Ledger">#REF!</definedName>
    <definedName name="Area3B_nPlosion">#REF!</definedName>
    <definedName name="Area3B_TimeSpan">#REF!</definedName>
    <definedName name="ASD">#REF!</definedName>
    <definedName name="ASDYY">#REF!</definedName>
    <definedName name="ASHLAND">#REF!</definedName>
    <definedName name="AST">#REF!</definedName>
    <definedName name="BELLEFONTAINE">#REF!</definedName>
    <definedName name="BERTRAND">#REF!</definedName>
    <definedName name="BUN">#REF!</definedName>
    <definedName name="BUV">#REF!</definedName>
    <definedName name="CIQWBGuid" hidden="1">"95ddf8cf-b17d-47fc-ae86-0e3cddbed5f7"</definedName>
    <definedName name="CLINTON">#REF!</definedName>
    <definedName name="Criteria_Ledger">#REF!</definedName>
    <definedName name="Criteria_nPlosion">#REF!</definedName>
    <definedName name="Criteria_TimeSpan">#REF!</definedName>
    <definedName name="CURRENT_RIVER">#REF!</definedName>
    <definedName name="Descr_Ledger">#REF!</definedName>
    <definedName name="Descr_nPlosion">#REF!</definedName>
    <definedName name="Descr_TimeSpan">#REF!</definedName>
    <definedName name="DIXON">#REF!</definedName>
    <definedName name="EV__EVCOM_OPTIONS__" hidden="1">8</definedName>
    <definedName name="EV__EXPOPTIONS__" hidden="1">0</definedName>
    <definedName name="EV__LASTREFTIME__" hidden="1">41170.709525463</definedName>
    <definedName name="EV__MAXEXPCOLS__" hidden="1">100</definedName>
    <definedName name="EV__MAXEXPROWS__" hidden="1">1000</definedName>
    <definedName name="EV__MEMORYCVW__" hidden="1">0</definedName>
    <definedName name="EV__WBEVMODE__" hidden="1">1</definedName>
    <definedName name="EV__WBREFOPTIONS__" hidden="1">134217728</definedName>
    <definedName name="EV__WBVERSION__" hidden="1">0</definedName>
    <definedName name="FORSYTH">#REF!</definedName>
    <definedName name="GLENWOOD">#REF!</definedName>
    <definedName name="Hardcode_Rows">#REF!</definedName>
    <definedName name="Hardcode_Variables">#REF!</definedName>
    <definedName name="Hook_Check">#REF!</definedName>
    <definedName name="LYN">#REF!</definedName>
    <definedName name="NvsASD">"V2018-03-31"</definedName>
    <definedName name="NvsAutoDrillOk">"VN"</definedName>
    <definedName name="NvsElapsedTime">0.0000462962998426519</definedName>
    <definedName name="NvsEndTime">43227.6196527778</definedName>
    <definedName name="NvsInstLang">"VENG"</definedName>
    <definedName name="NvsInstSpec">"%,FBUSINESS_UNIT,V90113"</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"V2003-11-20"</definedName>
    <definedName name="NvsPanelSetid">"VIHS"</definedName>
    <definedName name="NvsReqBU">"V90113"</definedName>
    <definedName name="NvsReqBUOnly">"VN"</definedName>
    <definedName name="NvsTransLed">"VN"</definedName>
    <definedName name="NvsTreeASD">"V2018-03-31"</definedName>
    <definedName name="NvsValTbl.ACCOUNT">"GL_ACCOUNT_TBL"</definedName>
    <definedName name="NvsValTbl.BUSINESS_UNIT">"BUS_UNIT_TBL_FS"</definedName>
    <definedName name="NvsValTbl.CHARTFIELD1">"CHARTFIELD1_TBL"</definedName>
    <definedName name="NvsValTbl.CURRENCY_CD">"GL_ACCOUNT_TBL"</definedName>
    <definedName name="NvsValTbl.DEPTID">"DEPT_TBL"</definedName>
    <definedName name="NvsValTbl.DESCR">"FO_CSF_FLD_DTL"</definedName>
    <definedName name="NvsValTbl.OPER_UNIT">"OPER_UNIT_TBL"</definedName>
    <definedName name="NvsValTbl.PRODUCT">"PRODUCT_TBL"</definedName>
    <definedName name="NvsValTbl.SCENARIO">"BD_SCENARIO_TBL"</definedName>
    <definedName name="NvsValTbl.STATISTICS_CODE">"STAT_TBL"</definedName>
    <definedName name="OPR">#REF!</definedName>
    <definedName name="PatientDays_Insurance">'[1]Operating Statement'!$A$100:$U$101</definedName>
    <definedName name="PatientDays_Medicaid">'[1]Operating Statement'!$A$102:$U$103</definedName>
    <definedName name="PERIOD">#REF!</definedName>
    <definedName name="_xlnm.Print_Area" localSheetId="2">Summary!$F$4:$R$559</definedName>
    <definedName name="_xlnm.Print_Titles" localSheetId="7">'ALL-F'!$1:$2</definedName>
    <definedName name="_xlnm.Print_Titles" localSheetId="20">'HMG WW-F'!$1:$2</definedName>
    <definedName name="_xlnm.Print_Titles" localSheetId="23">'HMGAP-F'!$1:$2</definedName>
    <definedName name="_xlnm.Print_Titles" localSheetId="25">'HMGBC-F'!$1:$2</definedName>
    <definedName name="_xlnm.Print_Titles" localSheetId="18">'HMGBV-F'!$1:$2</definedName>
    <definedName name="_xlnm.Print_Titles" localSheetId="8">'HMGCF-F'!$1:$2</definedName>
    <definedName name="_xlnm.Print_Titles" localSheetId="9">'HMGCR-F'!$1:$2</definedName>
    <definedName name="_xlnm.Print_Titles" localSheetId="10">'HMGCS-F'!$1:$2</definedName>
    <definedName name="_xlnm.Print_Titles" localSheetId="26">'HMGFP-F'!$1:$2</definedName>
    <definedName name="_xlnm.Print_Titles" localSheetId="22">'HMGGPP-F'!$1:$2</definedName>
    <definedName name="_xlnm.Print_Titles" localSheetId="21">'HMGGPV-F'!$1:$2</definedName>
    <definedName name="_xlnm.Print_Titles" localSheetId="11">'HMGHB-F'!$1:$2</definedName>
    <definedName name="_xlnm.Print_Titles" localSheetId="15">'HMGLW-F'!$1:$2</definedName>
    <definedName name="_xlnm.Print_Titles" localSheetId="24">'HMGNP-F'!$1:$2</definedName>
    <definedName name="_xlnm.Print_Titles" localSheetId="14">'HMGPM-F'!$1:$2</definedName>
    <definedName name="_xlnm.Print_Titles" localSheetId="13">'HMGQV-F'!$1:$2</definedName>
    <definedName name="_xlnm.Print_Titles" localSheetId="16">'HMGSL-F'!$1:$2</definedName>
    <definedName name="_xlnm.Print_Titles" localSheetId="19">'HMGSN-F'!$1:$2</definedName>
    <definedName name="_xlnm.Print_Titles" localSheetId="17">'HMGTP-F'!$1:$2</definedName>
    <definedName name="_xlnm.Print_Titles" localSheetId="12">'HMGWC-F'!$1:$2</definedName>
    <definedName name="_xlnm.Print_Titles" localSheetId="2">Summary!$4:$8</definedName>
    <definedName name="RBN">#REF!</definedName>
    <definedName name="RBU">#REF!</definedName>
    <definedName name="RID">#REF!</definedName>
    <definedName name="S_HAMPTON">#REF!</definedName>
    <definedName name="SCD">#REF!</definedName>
    <definedName name="SCN">#REF!</definedName>
    <definedName name="SFD">#REF!</definedName>
    <definedName name="SFN">#REF!</definedName>
    <definedName name="SFV">#REF!</definedName>
    <definedName name="SILEX">#REF!</definedName>
    <definedName name="SLD">#REF!</definedName>
    <definedName name="SLN">#REF!</definedName>
    <definedName name="ST_FRANCOIS_RCF">#REF!</definedName>
    <definedName name="STD">#REF!</definedName>
    <definedName name="STN">#REF!</definedName>
    <definedName name="STRAFFORD">#REF!</definedName>
    <definedName name="SWEET">#REF!</definedName>
    <definedName name="WINDSOR">#REF!</definedName>
    <definedName name="Z_0E1D33A0_9924_11D4_82A7_0050040E4062_.wvu.PrintArea" hidden="1">#REF!</definedName>
    <definedName name="Z_9381E880_9A07_11D4_8736_00E02986A5F5_.wvu.Cols" hidden="1">#REF!</definedName>
    <definedName name="Z_9381E880_9A07_11D4_8736_00E02986A5F5_.wvu.PrintArea" hidden="1">#REF!</definedName>
  </definedNames>
  <calcPr calcId="191029"/>
</workbook>
</file>

<file path=xl/calcChain.xml><?xml version="1.0" encoding="utf-8"?>
<calcChain xmlns="http://schemas.openxmlformats.org/spreadsheetml/2006/main">
  <c r="D2" i="1" l="1"/>
  <c r="D1" i="1"/>
  <c r="M373" i="140" l="1"/>
  <c r="L373" i="140"/>
  <c r="K373" i="140"/>
  <c r="K9" i="140" s="1"/>
  <c r="J373" i="140"/>
  <c r="J9" i="140" s="1"/>
  <c r="I373" i="140"/>
  <c r="H373" i="140"/>
  <c r="G373" i="140"/>
  <c r="G9" i="140" s="1"/>
  <c r="F373" i="140"/>
  <c r="F9" i="140" s="1"/>
  <c r="E373" i="140"/>
  <c r="D373" i="140"/>
  <c r="C373" i="140"/>
  <c r="C9" i="140" s="1"/>
  <c r="B373" i="140"/>
  <c r="B9" i="140" s="1"/>
  <c r="M367" i="140"/>
  <c r="L367" i="140"/>
  <c r="K367" i="140"/>
  <c r="J367" i="140"/>
  <c r="I367" i="140"/>
  <c r="H367" i="140"/>
  <c r="G367" i="140"/>
  <c r="F367" i="140"/>
  <c r="E367" i="140"/>
  <c r="D367" i="140"/>
  <c r="C367" i="140"/>
  <c r="B367" i="140"/>
  <c r="M362" i="140"/>
  <c r="L362" i="140"/>
  <c r="K362" i="140"/>
  <c r="J362" i="140"/>
  <c r="I362" i="140"/>
  <c r="H362" i="140"/>
  <c r="G362" i="140"/>
  <c r="F362" i="140"/>
  <c r="E362" i="140"/>
  <c r="D362" i="140"/>
  <c r="C362" i="140"/>
  <c r="B362" i="140"/>
  <c r="M354" i="140"/>
  <c r="L354" i="140"/>
  <c r="K354" i="140"/>
  <c r="J354" i="140"/>
  <c r="I354" i="140"/>
  <c r="H354" i="140"/>
  <c r="G354" i="140"/>
  <c r="F354" i="140"/>
  <c r="E354" i="140"/>
  <c r="D354" i="140"/>
  <c r="C354" i="140"/>
  <c r="B354" i="140"/>
  <c r="M349" i="140"/>
  <c r="L349" i="140"/>
  <c r="K349" i="140"/>
  <c r="J349" i="140"/>
  <c r="I349" i="140"/>
  <c r="H349" i="140"/>
  <c r="G349" i="140"/>
  <c r="F349" i="140"/>
  <c r="E349" i="140"/>
  <c r="D349" i="140"/>
  <c r="C349" i="140"/>
  <c r="B349" i="140"/>
  <c r="M344" i="140"/>
  <c r="M369" i="140" s="1"/>
  <c r="L344" i="140"/>
  <c r="L369" i="140" s="1"/>
  <c r="K344" i="140"/>
  <c r="K369" i="140" s="1"/>
  <c r="J344" i="140"/>
  <c r="J369" i="140" s="1"/>
  <c r="I344" i="140"/>
  <c r="I369" i="140" s="1"/>
  <c r="H344" i="140"/>
  <c r="H369" i="140" s="1"/>
  <c r="G344" i="140"/>
  <c r="G369" i="140" s="1"/>
  <c r="F344" i="140"/>
  <c r="F369" i="140" s="1"/>
  <c r="E344" i="140"/>
  <c r="E369" i="140" s="1"/>
  <c r="D344" i="140"/>
  <c r="D369" i="140" s="1"/>
  <c r="C344" i="140"/>
  <c r="C369" i="140" s="1"/>
  <c r="B344" i="140"/>
  <c r="B369" i="140" s="1"/>
  <c r="J334" i="140"/>
  <c r="I334" i="140"/>
  <c r="H334" i="140"/>
  <c r="G334" i="140"/>
  <c r="G58" i="140" s="1"/>
  <c r="F334" i="140"/>
  <c r="E334" i="140"/>
  <c r="D334" i="140"/>
  <c r="C334" i="140"/>
  <c r="C58" i="140" s="1"/>
  <c r="B334" i="140"/>
  <c r="J326" i="140"/>
  <c r="F326" i="140"/>
  <c r="F52" i="140" s="1"/>
  <c r="D326" i="140"/>
  <c r="D52" i="140" s="1"/>
  <c r="B326" i="140"/>
  <c r="M322" i="140"/>
  <c r="L322" i="140"/>
  <c r="L51" i="140" s="1"/>
  <c r="K322" i="140"/>
  <c r="K51" i="140" s="1"/>
  <c r="J322" i="140"/>
  <c r="I322" i="140"/>
  <c r="H322" i="140"/>
  <c r="H51" i="140" s="1"/>
  <c r="G322" i="140"/>
  <c r="G51" i="140" s="1"/>
  <c r="F322" i="140"/>
  <c r="E322" i="140"/>
  <c r="D322" i="140"/>
  <c r="D51" i="140" s="1"/>
  <c r="C322" i="140"/>
  <c r="C51" i="140" s="1"/>
  <c r="B322" i="140"/>
  <c r="M315" i="140"/>
  <c r="L315" i="140"/>
  <c r="L50" i="140" s="1"/>
  <c r="K315" i="140"/>
  <c r="K50" i="140" s="1"/>
  <c r="J315" i="140"/>
  <c r="I315" i="140"/>
  <c r="H315" i="140"/>
  <c r="H50" i="140" s="1"/>
  <c r="G315" i="140"/>
  <c r="G50" i="140" s="1"/>
  <c r="F315" i="140"/>
  <c r="E315" i="140"/>
  <c r="D315" i="140"/>
  <c r="D50" i="140" s="1"/>
  <c r="C315" i="140"/>
  <c r="C50" i="140" s="1"/>
  <c r="B315" i="140"/>
  <c r="M307" i="140"/>
  <c r="L307" i="140"/>
  <c r="L49" i="140" s="1"/>
  <c r="K307" i="140"/>
  <c r="K49" i="140" s="1"/>
  <c r="J307" i="140"/>
  <c r="I307" i="140"/>
  <c r="H307" i="140"/>
  <c r="H49" i="140" s="1"/>
  <c r="G307" i="140"/>
  <c r="G49" i="140" s="1"/>
  <c r="F307" i="140"/>
  <c r="E307" i="140"/>
  <c r="D307" i="140"/>
  <c r="D49" i="140" s="1"/>
  <c r="C307" i="140"/>
  <c r="C49" i="140" s="1"/>
  <c r="B307" i="140"/>
  <c r="M299" i="140"/>
  <c r="L299" i="140"/>
  <c r="L48" i="140" s="1"/>
  <c r="K299" i="140"/>
  <c r="K48" i="140" s="1"/>
  <c r="J299" i="140"/>
  <c r="I299" i="140"/>
  <c r="H299" i="140"/>
  <c r="H48" i="140" s="1"/>
  <c r="G299" i="140"/>
  <c r="G48" i="140" s="1"/>
  <c r="F299" i="140"/>
  <c r="E299" i="140"/>
  <c r="D299" i="140"/>
  <c r="D48" i="140" s="1"/>
  <c r="C299" i="140"/>
  <c r="C48" i="140" s="1"/>
  <c r="B299" i="140"/>
  <c r="M294" i="140"/>
  <c r="L294" i="140"/>
  <c r="L47" i="140" s="1"/>
  <c r="K294" i="140"/>
  <c r="K47" i="140" s="1"/>
  <c r="J294" i="140"/>
  <c r="I294" i="140"/>
  <c r="H294" i="140"/>
  <c r="H47" i="140" s="1"/>
  <c r="G294" i="140"/>
  <c r="G47" i="140" s="1"/>
  <c r="F294" i="140"/>
  <c r="E294" i="140"/>
  <c r="D294" i="140"/>
  <c r="D47" i="140" s="1"/>
  <c r="C294" i="140"/>
  <c r="C47" i="140" s="1"/>
  <c r="B294" i="140"/>
  <c r="M285" i="140"/>
  <c r="L285" i="140"/>
  <c r="L46" i="140" s="1"/>
  <c r="K285" i="140"/>
  <c r="K46" i="140" s="1"/>
  <c r="J285" i="140"/>
  <c r="I285" i="140"/>
  <c r="H285" i="140"/>
  <c r="H46" i="140" s="1"/>
  <c r="G285" i="140"/>
  <c r="G46" i="140" s="1"/>
  <c r="F285" i="140"/>
  <c r="E285" i="140"/>
  <c r="D285" i="140"/>
  <c r="D46" i="140" s="1"/>
  <c r="C285" i="140"/>
  <c r="C46" i="140" s="1"/>
  <c r="B285" i="140"/>
  <c r="M277" i="140"/>
  <c r="L277" i="140"/>
  <c r="L45" i="140" s="1"/>
  <c r="K277" i="140"/>
  <c r="K45" i="140" s="1"/>
  <c r="J277" i="140"/>
  <c r="I277" i="140"/>
  <c r="H277" i="140"/>
  <c r="H45" i="140" s="1"/>
  <c r="G277" i="140"/>
  <c r="G45" i="140" s="1"/>
  <c r="F277" i="140"/>
  <c r="E277" i="140"/>
  <c r="D277" i="140"/>
  <c r="D45" i="140" s="1"/>
  <c r="C277" i="140"/>
  <c r="C45" i="140" s="1"/>
  <c r="B277" i="140"/>
  <c r="M261" i="140"/>
  <c r="L261" i="140"/>
  <c r="L44" i="140" s="1"/>
  <c r="K261" i="140"/>
  <c r="K44" i="140" s="1"/>
  <c r="J261" i="140"/>
  <c r="I261" i="140"/>
  <c r="H261" i="140"/>
  <c r="H44" i="140" s="1"/>
  <c r="G261" i="140"/>
  <c r="G44" i="140" s="1"/>
  <c r="F261" i="140"/>
  <c r="E261" i="140"/>
  <c r="D261" i="140"/>
  <c r="D44" i="140" s="1"/>
  <c r="C261" i="140"/>
  <c r="C44" i="140" s="1"/>
  <c r="B261" i="140"/>
  <c r="M235" i="140"/>
  <c r="L235" i="140"/>
  <c r="L43" i="140" s="1"/>
  <c r="K235" i="140"/>
  <c r="K43" i="140" s="1"/>
  <c r="J235" i="140"/>
  <c r="I235" i="140"/>
  <c r="H235" i="140"/>
  <c r="H43" i="140" s="1"/>
  <c r="G235" i="140"/>
  <c r="G43" i="140" s="1"/>
  <c r="F235" i="140"/>
  <c r="E235" i="140"/>
  <c r="D235" i="140"/>
  <c r="D43" i="140" s="1"/>
  <c r="C235" i="140"/>
  <c r="C43" i="140" s="1"/>
  <c r="B235" i="140"/>
  <c r="M220" i="140"/>
  <c r="L220" i="140"/>
  <c r="L42" i="140" s="1"/>
  <c r="K220" i="140"/>
  <c r="J220" i="140"/>
  <c r="I220" i="140"/>
  <c r="H220" i="140"/>
  <c r="H42" i="140" s="1"/>
  <c r="G220" i="140"/>
  <c r="F220" i="140"/>
  <c r="E220" i="140"/>
  <c r="D220" i="140"/>
  <c r="D42" i="140" s="1"/>
  <c r="C220" i="140"/>
  <c r="B220" i="140"/>
  <c r="F209" i="140"/>
  <c r="E209" i="140"/>
  <c r="E41" i="140" s="1"/>
  <c r="D209" i="140"/>
  <c r="D41" i="140" s="1"/>
  <c r="C209" i="140"/>
  <c r="B209" i="140"/>
  <c r="M204" i="140"/>
  <c r="M328" i="140" s="1"/>
  <c r="M54" i="140" s="1"/>
  <c r="L204" i="140"/>
  <c r="K204" i="140"/>
  <c r="J204" i="140"/>
  <c r="J328" i="140" s="1"/>
  <c r="J54" i="140" s="1"/>
  <c r="I204" i="140"/>
  <c r="I328" i="140" s="1"/>
  <c r="I54" i="140" s="1"/>
  <c r="H204" i="140"/>
  <c r="G204" i="140"/>
  <c r="F204" i="140"/>
  <c r="E204" i="140"/>
  <c r="D204" i="140"/>
  <c r="C204" i="140"/>
  <c r="B204" i="140"/>
  <c r="B328" i="140" s="1"/>
  <c r="B54" i="140" s="1"/>
  <c r="M182" i="140"/>
  <c r="M35" i="140" s="1"/>
  <c r="L182" i="140"/>
  <c r="L35" i="140" s="1"/>
  <c r="K182" i="140"/>
  <c r="J182" i="140"/>
  <c r="I182" i="140"/>
  <c r="I35" i="140" s="1"/>
  <c r="H182" i="140"/>
  <c r="H35" i="140" s="1"/>
  <c r="G182" i="140"/>
  <c r="F182" i="140"/>
  <c r="E182" i="140"/>
  <c r="E35" i="140" s="1"/>
  <c r="D182" i="140"/>
  <c r="D35" i="140" s="1"/>
  <c r="C182" i="140"/>
  <c r="B182" i="140"/>
  <c r="D173" i="140"/>
  <c r="D33" i="140" s="1"/>
  <c r="M171" i="140"/>
  <c r="M32" i="140" s="1"/>
  <c r="L171" i="140"/>
  <c r="K171" i="140"/>
  <c r="K32" i="140" s="1"/>
  <c r="J171" i="140"/>
  <c r="J32" i="140" s="1"/>
  <c r="I171" i="140"/>
  <c r="I32" i="140" s="1"/>
  <c r="H171" i="140"/>
  <c r="F171" i="140"/>
  <c r="E171" i="140"/>
  <c r="E32" i="140" s="1"/>
  <c r="B171" i="140"/>
  <c r="B32" i="140" s="1"/>
  <c r="M161" i="140"/>
  <c r="L161" i="140"/>
  <c r="K161" i="140"/>
  <c r="K31" i="140" s="1"/>
  <c r="J161" i="140"/>
  <c r="J31" i="140" s="1"/>
  <c r="I161" i="140"/>
  <c r="H161" i="140"/>
  <c r="G161" i="140"/>
  <c r="G31" i="140" s="1"/>
  <c r="F161" i="140"/>
  <c r="F31" i="140" s="1"/>
  <c r="E161" i="140"/>
  <c r="D161" i="140"/>
  <c r="C161" i="140"/>
  <c r="C31" i="140" s="1"/>
  <c r="B161" i="140"/>
  <c r="B31" i="140" s="1"/>
  <c r="M148" i="140"/>
  <c r="L148" i="140"/>
  <c r="K148" i="140"/>
  <c r="J148" i="140"/>
  <c r="I148" i="140"/>
  <c r="H148" i="140"/>
  <c r="G148" i="140"/>
  <c r="G173" i="140" s="1"/>
  <c r="G33" i="140" s="1"/>
  <c r="F148" i="140"/>
  <c r="E148" i="140"/>
  <c r="D148" i="140"/>
  <c r="C148" i="140"/>
  <c r="B148" i="140"/>
  <c r="M114" i="140"/>
  <c r="L114" i="140"/>
  <c r="L26" i="140" s="1"/>
  <c r="K114" i="140"/>
  <c r="K26" i="140" s="1"/>
  <c r="J114" i="140"/>
  <c r="J26" i="140" s="1"/>
  <c r="I114" i="140"/>
  <c r="H114" i="140"/>
  <c r="G114" i="140"/>
  <c r="G26" i="140" s="1"/>
  <c r="F114" i="140"/>
  <c r="F26" i="140" s="1"/>
  <c r="E114" i="140"/>
  <c r="D114" i="140"/>
  <c r="D26" i="140" s="1"/>
  <c r="C114" i="140"/>
  <c r="C26" i="140" s="1"/>
  <c r="B114" i="140"/>
  <c r="B26" i="140" s="1"/>
  <c r="M110" i="140"/>
  <c r="L110" i="140"/>
  <c r="K110" i="140"/>
  <c r="K25" i="140" s="1"/>
  <c r="J110" i="140"/>
  <c r="J25" i="140" s="1"/>
  <c r="I110" i="140"/>
  <c r="H110" i="140"/>
  <c r="H25" i="140" s="1"/>
  <c r="G110" i="140"/>
  <c r="G25" i="140" s="1"/>
  <c r="F110" i="140"/>
  <c r="F25" i="140" s="1"/>
  <c r="E110" i="140"/>
  <c r="C110" i="140"/>
  <c r="B110" i="140"/>
  <c r="B25" i="140" s="1"/>
  <c r="M103" i="140"/>
  <c r="M24" i="140" s="1"/>
  <c r="L103" i="140"/>
  <c r="K103" i="140"/>
  <c r="K24" i="140" s="1"/>
  <c r="J103" i="140"/>
  <c r="J24" i="140" s="1"/>
  <c r="I103" i="140"/>
  <c r="I24" i="140" s="1"/>
  <c r="H103" i="140"/>
  <c r="G103" i="140"/>
  <c r="F103" i="140"/>
  <c r="F24" i="140" s="1"/>
  <c r="E103" i="140"/>
  <c r="E24" i="140" s="1"/>
  <c r="D103" i="140"/>
  <c r="C103" i="140"/>
  <c r="C24" i="140" s="1"/>
  <c r="B103" i="140"/>
  <c r="B24" i="140" s="1"/>
  <c r="M99" i="140"/>
  <c r="M23" i="140" s="1"/>
  <c r="L99" i="140"/>
  <c r="K99" i="140"/>
  <c r="J99" i="140"/>
  <c r="J23" i="140" s="1"/>
  <c r="I99" i="140"/>
  <c r="I23" i="140" s="1"/>
  <c r="G99" i="140"/>
  <c r="F99" i="140"/>
  <c r="F23" i="140" s="1"/>
  <c r="D99" i="140"/>
  <c r="D23" i="140" s="1"/>
  <c r="C99" i="140"/>
  <c r="C23" i="140" s="1"/>
  <c r="B99" i="140"/>
  <c r="M95" i="140"/>
  <c r="L95" i="140"/>
  <c r="K95" i="140"/>
  <c r="J95" i="140"/>
  <c r="I95" i="140"/>
  <c r="I22" i="140" s="1"/>
  <c r="H95" i="140"/>
  <c r="G95" i="140"/>
  <c r="F95" i="140"/>
  <c r="E95" i="140"/>
  <c r="D95" i="140"/>
  <c r="D116" i="140" s="1"/>
  <c r="D27" i="140" s="1"/>
  <c r="C95" i="140"/>
  <c r="B95" i="140"/>
  <c r="M87" i="140"/>
  <c r="L87" i="140"/>
  <c r="L18" i="140" s="1"/>
  <c r="K87" i="140"/>
  <c r="K18" i="140" s="1"/>
  <c r="J87" i="140"/>
  <c r="I87" i="140"/>
  <c r="H87" i="140"/>
  <c r="H18" i="140" s="1"/>
  <c r="G87" i="140"/>
  <c r="G18" i="140" s="1"/>
  <c r="F87" i="140"/>
  <c r="E87" i="140"/>
  <c r="D87" i="140"/>
  <c r="D18" i="140" s="1"/>
  <c r="C87" i="140"/>
  <c r="C18" i="140" s="1"/>
  <c r="B87" i="140"/>
  <c r="M83" i="140"/>
  <c r="M17" i="140" s="1"/>
  <c r="L83" i="140"/>
  <c r="L17" i="140" s="1"/>
  <c r="K83" i="140"/>
  <c r="K17" i="140" s="1"/>
  <c r="J83" i="140"/>
  <c r="I83" i="140"/>
  <c r="H83" i="140"/>
  <c r="H17" i="140" s="1"/>
  <c r="G83" i="140"/>
  <c r="G17" i="140" s="1"/>
  <c r="F83" i="140"/>
  <c r="E83" i="140"/>
  <c r="E17" i="140" s="1"/>
  <c r="D83" i="140"/>
  <c r="D17" i="140" s="1"/>
  <c r="C83" i="140"/>
  <c r="C17" i="140" s="1"/>
  <c r="B83" i="140"/>
  <c r="M76" i="140"/>
  <c r="L76" i="140"/>
  <c r="L16" i="140" s="1"/>
  <c r="K76" i="140"/>
  <c r="K16" i="140" s="1"/>
  <c r="J76" i="140"/>
  <c r="I76" i="140"/>
  <c r="I16" i="140" s="1"/>
  <c r="H76" i="140"/>
  <c r="H16" i="140" s="1"/>
  <c r="G76" i="140"/>
  <c r="G16" i="140" s="1"/>
  <c r="F76" i="140"/>
  <c r="E76" i="140"/>
  <c r="D76" i="140"/>
  <c r="D16" i="140" s="1"/>
  <c r="C76" i="140"/>
  <c r="C16" i="140" s="1"/>
  <c r="B76" i="140"/>
  <c r="M72" i="140"/>
  <c r="M15" i="140" s="1"/>
  <c r="L72" i="140"/>
  <c r="L15" i="140" s="1"/>
  <c r="K72" i="140"/>
  <c r="K15" i="140" s="1"/>
  <c r="J72" i="140"/>
  <c r="I72" i="140"/>
  <c r="H72" i="140"/>
  <c r="H15" i="140" s="1"/>
  <c r="G72" i="140"/>
  <c r="G15" i="140" s="1"/>
  <c r="F72" i="140"/>
  <c r="E72" i="140"/>
  <c r="E15" i="140" s="1"/>
  <c r="D72" i="140"/>
  <c r="D15" i="140" s="1"/>
  <c r="C72" i="140"/>
  <c r="C15" i="140" s="1"/>
  <c r="B72" i="140"/>
  <c r="M68" i="140"/>
  <c r="M89" i="140" s="1"/>
  <c r="L68" i="140"/>
  <c r="L89" i="140" s="1"/>
  <c r="K68" i="140"/>
  <c r="K14" i="140" s="1"/>
  <c r="J68" i="140"/>
  <c r="I68" i="140"/>
  <c r="I89" i="140" s="1"/>
  <c r="H68" i="140"/>
  <c r="H89" i="140" s="1"/>
  <c r="G68" i="140"/>
  <c r="G14" i="140" s="1"/>
  <c r="F68" i="140"/>
  <c r="E68" i="140"/>
  <c r="E89" i="140" s="1"/>
  <c r="D68" i="140"/>
  <c r="C68" i="140"/>
  <c r="C14" i="140" s="1"/>
  <c r="B68" i="140"/>
  <c r="J58" i="140"/>
  <c r="I58" i="140"/>
  <c r="H58" i="140"/>
  <c r="F58" i="140"/>
  <c r="E58" i="140"/>
  <c r="D58" i="140"/>
  <c r="B58" i="140"/>
  <c r="J52" i="140"/>
  <c r="B52" i="140"/>
  <c r="M51" i="140"/>
  <c r="J51" i="140"/>
  <c r="I51" i="140"/>
  <c r="F51" i="140"/>
  <c r="E51" i="140"/>
  <c r="B51" i="140"/>
  <c r="M50" i="140"/>
  <c r="J50" i="140"/>
  <c r="I50" i="140"/>
  <c r="F50" i="140"/>
  <c r="E50" i="140"/>
  <c r="B50" i="140"/>
  <c r="M49" i="140"/>
  <c r="J49" i="140"/>
  <c r="I49" i="140"/>
  <c r="F49" i="140"/>
  <c r="E49" i="140"/>
  <c r="B49" i="140"/>
  <c r="M48" i="140"/>
  <c r="J48" i="140"/>
  <c r="I48" i="140"/>
  <c r="F48" i="140"/>
  <c r="E48" i="140"/>
  <c r="B48" i="140"/>
  <c r="M47" i="140"/>
  <c r="J47" i="140"/>
  <c r="I47" i="140"/>
  <c r="F47" i="140"/>
  <c r="E47" i="140"/>
  <c r="B47" i="140"/>
  <c r="M46" i="140"/>
  <c r="J46" i="140"/>
  <c r="I46" i="140"/>
  <c r="F46" i="140"/>
  <c r="E46" i="140"/>
  <c r="B46" i="140"/>
  <c r="M45" i="140"/>
  <c r="J45" i="140"/>
  <c r="I45" i="140"/>
  <c r="F45" i="140"/>
  <c r="E45" i="140"/>
  <c r="B45" i="140"/>
  <c r="M44" i="140"/>
  <c r="J44" i="140"/>
  <c r="I44" i="140"/>
  <c r="F44" i="140"/>
  <c r="E44" i="140"/>
  <c r="B44" i="140"/>
  <c r="M43" i="140"/>
  <c r="J43" i="140"/>
  <c r="I43" i="140"/>
  <c r="F43" i="140"/>
  <c r="E43" i="140"/>
  <c r="B43" i="140"/>
  <c r="M42" i="140"/>
  <c r="J42" i="140"/>
  <c r="I42" i="140"/>
  <c r="F42" i="140"/>
  <c r="E42" i="140"/>
  <c r="B42" i="140"/>
  <c r="F41" i="140"/>
  <c r="C41" i="140"/>
  <c r="B41" i="140"/>
  <c r="M40" i="140"/>
  <c r="K40" i="140"/>
  <c r="J40" i="140"/>
  <c r="G40" i="140"/>
  <c r="F40" i="140"/>
  <c r="C40" i="140"/>
  <c r="B40" i="140"/>
  <c r="K35" i="140"/>
  <c r="J35" i="140"/>
  <c r="G35" i="140"/>
  <c r="F35" i="140"/>
  <c r="C35" i="140"/>
  <c r="B35" i="140"/>
  <c r="L32" i="140"/>
  <c r="H32" i="140"/>
  <c r="F32" i="140"/>
  <c r="M31" i="140"/>
  <c r="L31" i="140"/>
  <c r="I31" i="140"/>
  <c r="H31" i="140"/>
  <c r="E31" i="140"/>
  <c r="D31" i="140"/>
  <c r="M30" i="140"/>
  <c r="L30" i="140"/>
  <c r="I30" i="140"/>
  <c r="H30" i="140"/>
  <c r="E30" i="140"/>
  <c r="D30" i="140"/>
  <c r="M26" i="140"/>
  <c r="I26" i="140"/>
  <c r="H26" i="140"/>
  <c r="E26" i="140"/>
  <c r="M25" i="140"/>
  <c r="L25" i="140"/>
  <c r="I25" i="140"/>
  <c r="E25" i="140"/>
  <c r="C25" i="140"/>
  <c r="L24" i="140"/>
  <c r="H24" i="140"/>
  <c r="G24" i="140"/>
  <c r="D24" i="140"/>
  <c r="L23" i="140"/>
  <c r="K23" i="140"/>
  <c r="G23" i="140"/>
  <c r="B23" i="140"/>
  <c r="M22" i="140"/>
  <c r="J22" i="140"/>
  <c r="F22" i="140"/>
  <c r="E22" i="140"/>
  <c r="B22" i="140"/>
  <c r="M18" i="140"/>
  <c r="J18" i="140"/>
  <c r="I18" i="140"/>
  <c r="F18" i="140"/>
  <c r="E18" i="140"/>
  <c r="B18" i="140"/>
  <c r="J17" i="140"/>
  <c r="I17" i="140"/>
  <c r="F17" i="140"/>
  <c r="B17" i="140"/>
  <c r="M16" i="140"/>
  <c r="J16" i="140"/>
  <c r="F16" i="140"/>
  <c r="E16" i="140"/>
  <c r="B16" i="140"/>
  <c r="J15" i="140"/>
  <c r="I15" i="140"/>
  <c r="F15" i="140"/>
  <c r="B15" i="140"/>
  <c r="M14" i="140"/>
  <c r="J14" i="140"/>
  <c r="F14" i="140"/>
  <c r="E14" i="140"/>
  <c r="B14" i="140"/>
  <c r="M9" i="140"/>
  <c r="L9" i="140"/>
  <c r="I9" i="140"/>
  <c r="H9" i="140"/>
  <c r="E9" i="140"/>
  <c r="D9" i="140"/>
  <c r="M8" i="140"/>
  <c r="L8" i="140"/>
  <c r="K8" i="140"/>
  <c r="J8" i="140"/>
  <c r="I8" i="140"/>
  <c r="H8" i="140"/>
  <c r="G8" i="140"/>
  <c r="F8" i="140"/>
  <c r="E8" i="140"/>
  <c r="D8" i="140"/>
  <c r="C8" i="140"/>
  <c r="B8" i="140"/>
  <c r="M7" i="140"/>
  <c r="L7" i="140"/>
  <c r="K7" i="140"/>
  <c r="J7" i="140"/>
  <c r="I7" i="140"/>
  <c r="H7" i="140"/>
  <c r="G7" i="140"/>
  <c r="F7" i="140"/>
  <c r="E7" i="140"/>
  <c r="D7" i="140"/>
  <c r="C7" i="140"/>
  <c r="B7" i="140"/>
  <c r="M6" i="140"/>
  <c r="L6" i="140"/>
  <c r="K6" i="140"/>
  <c r="J6" i="140"/>
  <c r="I6" i="140"/>
  <c r="H6" i="140"/>
  <c r="G6" i="140"/>
  <c r="F6" i="140"/>
  <c r="E6" i="140"/>
  <c r="D6" i="140"/>
  <c r="C6" i="140"/>
  <c r="B6" i="140"/>
  <c r="M5" i="140"/>
  <c r="L5" i="140"/>
  <c r="K5" i="140"/>
  <c r="J5" i="140"/>
  <c r="I5" i="140"/>
  <c r="H5" i="140"/>
  <c r="G5" i="140"/>
  <c r="F5" i="140"/>
  <c r="E5" i="140"/>
  <c r="D5" i="140"/>
  <c r="C5" i="140"/>
  <c r="B5" i="140"/>
  <c r="M4" i="140"/>
  <c r="L4" i="140"/>
  <c r="K4" i="140"/>
  <c r="J4" i="140"/>
  <c r="I4" i="140"/>
  <c r="H4" i="140"/>
  <c r="G4" i="140"/>
  <c r="F4" i="140"/>
  <c r="E4" i="140"/>
  <c r="D4" i="140"/>
  <c r="C4" i="140"/>
  <c r="B4" i="140"/>
  <c r="L373" i="139"/>
  <c r="K373" i="139"/>
  <c r="J373" i="139"/>
  <c r="J9" i="139" s="1"/>
  <c r="I373" i="139"/>
  <c r="I9" i="139" s="1"/>
  <c r="H373" i="139"/>
  <c r="H9" i="139" s="1"/>
  <c r="G373" i="139"/>
  <c r="G9" i="139" s="1"/>
  <c r="F373" i="139"/>
  <c r="F9" i="139" s="1"/>
  <c r="E373" i="139"/>
  <c r="E9" i="139" s="1"/>
  <c r="D373" i="139"/>
  <c r="C373" i="139"/>
  <c r="B373" i="139"/>
  <c r="B9" i="139" s="1"/>
  <c r="L367" i="139"/>
  <c r="K367" i="139"/>
  <c r="J367" i="139"/>
  <c r="I367" i="139"/>
  <c r="H367" i="139"/>
  <c r="G367" i="139"/>
  <c r="F367" i="139"/>
  <c r="E367" i="139"/>
  <c r="D367" i="139"/>
  <c r="C367" i="139"/>
  <c r="B367" i="139"/>
  <c r="L362" i="139"/>
  <c r="K362" i="139"/>
  <c r="J362" i="139"/>
  <c r="I362" i="139"/>
  <c r="H362" i="139"/>
  <c r="G362" i="139"/>
  <c r="F362" i="139"/>
  <c r="E362" i="139"/>
  <c r="D362" i="139"/>
  <c r="C362" i="139"/>
  <c r="B362" i="139"/>
  <c r="L354" i="139"/>
  <c r="K354" i="139"/>
  <c r="J354" i="139"/>
  <c r="I354" i="139"/>
  <c r="H354" i="139"/>
  <c r="G354" i="139"/>
  <c r="F354" i="139"/>
  <c r="E354" i="139"/>
  <c r="D354" i="139"/>
  <c r="C354" i="139"/>
  <c r="B354" i="139"/>
  <c r="M349" i="139"/>
  <c r="L349" i="139"/>
  <c r="K349" i="139"/>
  <c r="J349" i="139"/>
  <c r="I349" i="139"/>
  <c r="H349" i="139"/>
  <c r="G349" i="139"/>
  <c r="F349" i="139"/>
  <c r="E349" i="139"/>
  <c r="D349" i="139"/>
  <c r="C349" i="139"/>
  <c r="B349" i="139"/>
  <c r="M344" i="139"/>
  <c r="L344" i="139"/>
  <c r="K344" i="139"/>
  <c r="J344" i="139"/>
  <c r="I344" i="139"/>
  <c r="H344" i="139"/>
  <c r="G344" i="139"/>
  <c r="F344" i="139"/>
  <c r="E344" i="139"/>
  <c r="D344" i="139"/>
  <c r="C344" i="139"/>
  <c r="B344" i="139"/>
  <c r="M334" i="139"/>
  <c r="M336" i="139" s="1"/>
  <c r="M61" i="139" s="1"/>
  <c r="L334" i="139"/>
  <c r="L59" i="139" s="1"/>
  <c r="K334" i="139"/>
  <c r="K59" i="139" s="1"/>
  <c r="J334" i="139"/>
  <c r="I334" i="139"/>
  <c r="H334" i="139"/>
  <c r="H59" i="139" s="1"/>
  <c r="G334" i="139"/>
  <c r="G59" i="139" s="1"/>
  <c r="F334" i="139"/>
  <c r="E334" i="139"/>
  <c r="D334" i="139"/>
  <c r="D59" i="139" s="1"/>
  <c r="C334" i="139"/>
  <c r="C59" i="139" s="1"/>
  <c r="B334" i="139"/>
  <c r="F325" i="139"/>
  <c r="C325" i="139"/>
  <c r="C53" i="139" s="1"/>
  <c r="L321" i="139"/>
  <c r="L52" i="139" s="1"/>
  <c r="K321" i="139"/>
  <c r="J321" i="139"/>
  <c r="I321" i="139"/>
  <c r="I52" i="139" s="1"/>
  <c r="H321" i="139"/>
  <c r="H52" i="139" s="1"/>
  <c r="G321" i="139"/>
  <c r="F321" i="139"/>
  <c r="E321" i="139"/>
  <c r="E52" i="139" s="1"/>
  <c r="D321" i="139"/>
  <c r="D52" i="139" s="1"/>
  <c r="C321" i="139"/>
  <c r="B321" i="139"/>
  <c r="L315" i="139"/>
  <c r="L51" i="139" s="1"/>
  <c r="K315" i="139"/>
  <c r="K51" i="139" s="1"/>
  <c r="J315" i="139"/>
  <c r="I315" i="139"/>
  <c r="H315" i="139"/>
  <c r="H51" i="139" s="1"/>
  <c r="G315" i="139"/>
  <c r="G51" i="139" s="1"/>
  <c r="F315" i="139"/>
  <c r="E315" i="139"/>
  <c r="D315" i="139"/>
  <c r="D51" i="139" s="1"/>
  <c r="C315" i="139"/>
  <c r="C51" i="139" s="1"/>
  <c r="B315" i="139"/>
  <c r="L308" i="139"/>
  <c r="K308" i="139"/>
  <c r="K50" i="139" s="1"/>
  <c r="J308" i="139"/>
  <c r="J50" i="139" s="1"/>
  <c r="I308" i="139"/>
  <c r="H308" i="139"/>
  <c r="G308" i="139"/>
  <c r="G50" i="139" s="1"/>
  <c r="F308" i="139"/>
  <c r="F50" i="139" s="1"/>
  <c r="E308" i="139"/>
  <c r="D308" i="139"/>
  <c r="C308" i="139"/>
  <c r="C50" i="139" s="1"/>
  <c r="B308" i="139"/>
  <c r="B50" i="139" s="1"/>
  <c r="L300" i="139"/>
  <c r="K300" i="139"/>
  <c r="J300" i="139"/>
  <c r="J49" i="139" s="1"/>
  <c r="I300" i="139"/>
  <c r="I49" i="139" s="1"/>
  <c r="H300" i="139"/>
  <c r="G300" i="139"/>
  <c r="F300" i="139"/>
  <c r="F49" i="139" s="1"/>
  <c r="E300" i="139"/>
  <c r="E49" i="139" s="1"/>
  <c r="D300" i="139"/>
  <c r="C300" i="139"/>
  <c r="B300" i="139"/>
  <c r="B49" i="139" s="1"/>
  <c r="L295" i="139"/>
  <c r="L48" i="139" s="1"/>
  <c r="K295" i="139"/>
  <c r="J295" i="139"/>
  <c r="I295" i="139"/>
  <c r="I48" i="139" s="1"/>
  <c r="H295" i="139"/>
  <c r="H48" i="139" s="1"/>
  <c r="G295" i="139"/>
  <c r="F295" i="139"/>
  <c r="E295" i="139"/>
  <c r="E48" i="139" s="1"/>
  <c r="D295" i="139"/>
  <c r="D48" i="139" s="1"/>
  <c r="C295" i="139"/>
  <c r="B295" i="139"/>
  <c r="L286" i="139"/>
  <c r="L47" i="139" s="1"/>
  <c r="K286" i="139"/>
  <c r="K47" i="139" s="1"/>
  <c r="J286" i="139"/>
  <c r="I286" i="139"/>
  <c r="H286" i="139"/>
  <c r="H47" i="139" s="1"/>
  <c r="G286" i="139"/>
  <c r="G47" i="139" s="1"/>
  <c r="F286" i="139"/>
  <c r="E286" i="139"/>
  <c r="D286" i="139"/>
  <c r="D47" i="139" s="1"/>
  <c r="C286" i="139"/>
  <c r="C47" i="139" s="1"/>
  <c r="B286" i="139"/>
  <c r="L277" i="139"/>
  <c r="K277" i="139"/>
  <c r="K46" i="139" s="1"/>
  <c r="J277" i="139"/>
  <c r="J46" i="139" s="1"/>
  <c r="I277" i="139"/>
  <c r="H277" i="139"/>
  <c r="G277" i="139"/>
  <c r="G46" i="139" s="1"/>
  <c r="F277" i="139"/>
  <c r="F46" i="139" s="1"/>
  <c r="E277" i="139"/>
  <c r="D277" i="139"/>
  <c r="C277" i="139"/>
  <c r="C46" i="139" s="1"/>
  <c r="B277" i="139"/>
  <c r="B46" i="139" s="1"/>
  <c r="L260" i="139"/>
  <c r="K260" i="139"/>
  <c r="J260" i="139"/>
  <c r="J45" i="139" s="1"/>
  <c r="I260" i="139"/>
  <c r="I45" i="139" s="1"/>
  <c r="H260" i="139"/>
  <c r="G260" i="139"/>
  <c r="F260" i="139"/>
  <c r="F45" i="139" s="1"/>
  <c r="E260" i="139"/>
  <c r="E45" i="139" s="1"/>
  <c r="D260" i="139"/>
  <c r="C260" i="139"/>
  <c r="B260" i="139"/>
  <c r="B45" i="139" s="1"/>
  <c r="L238" i="139"/>
  <c r="L44" i="139" s="1"/>
  <c r="K238" i="139"/>
  <c r="J238" i="139"/>
  <c r="I238" i="139"/>
  <c r="I44" i="139" s="1"/>
  <c r="H238" i="139"/>
  <c r="H44" i="139" s="1"/>
  <c r="G238" i="139"/>
  <c r="F238" i="139"/>
  <c r="E238" i="139"/>
  <c r="E44" i="139" s="1"/>
  <c r="D238" i="139"/>
  <c r="D44" i="139" s="1"/>
  <c r="C238" i="139"/>
  <c r="B238" i="139"/>
  <c r="L223" i="139"/>
  <c r="L43" i="139" s="1"/>
  <c r="K223" i="139"/>
  <c r="K43" i="139" s="1"/>
  <c r="J223" i="139"/>
  <c r="I223" i="139"/>
  <c r="H223" i="139"/>
  <c r="H43" i="139" s="1"/>
  <c r="G223" i="139"/>
  <c r="G43" i="139" s="1"/>
  <c r="F223" i="139"/>
  <c r="E223" i="139"/>
  <c r="D223" i="139"/>
  <c r="D43" i="139" s="1"/>
  <c r="C223" i="139"/>
  <c r="C43" i="139" s="1"/>
  <c r="B223" i="139"/>
  <c r="K211" i="139"/>
  <c r="J211" i="139"/>
  <c r="J42" i="139" s="1"/>
  <c r="F211" i="139"/>
  <c r="F42" i="139" s="1"/>
  <c r="E211" i="139"/>
  <c r="D211" i="139"/>
  <c r="C211" i="139"/>
  <c r="C42" i="139" s="1"/>
  <c r="B211" i="139"/>
  <c r="B42" i="139" s="1"/>
  <c r="L204" i="139"/>
  <c r="K204" i="139"/>
  <c r="J204" i="139"/>
  <c r="J41" i="139" s="1"/>
  <c r="I204" i="139"/>
  <c r="I41" i="139" s="1"/>
  <c r="H204" i="139"/>
  <c r="G204" i="139"/>
  <c r="F204" i="139"/>
  <c r="F41" i="139" s="1"/>
  <c r="E204" i="139"/>
  <c r="E41" i="139" s="1"/>
  <c r="D204" i="139"/>
  <c r="C204" i="139"/>
  <c r="B204" i="139"/>
  <c r="B41" i="139" s="1"/>
  <c r="L181" i="139"/>
  <c r="L36" i="139" s="1"/>
  <c r="K181" i="139"/>
  <c r="J181" i="139"/>
  <c r="I181" i="139"/>
  <c r="I36" i="139" s="1"/>
  <c r="H181" i="139"/>
  <c r="H36" i="139" s="1"/>
  <c r="G181" i="139"/>
  <c r="F181" i="139"/>
  <c r="E181" i="139"/>
  <c r="E36" i="139" s="1"/>
  <c r="D181" i="139"/>
  <c r="D36" i="139" s="1"/>
  <c r="C181" i="139"/>
  <c r="B181" i="139"/>
  <c r="H170" i="139"/>
  <c r="H33" i="139" s="1"/>
  <c r="G170" i="139"/>
  <c r="G33" i="139" s="1"/>
  <c r="L165" i="139"/>
  <c r="K165" i="139"/>
  <c r="J165" i="139"/>
  <c r="J32" i="139" s="1"/>
  <c r="I165" i="139"/>
  <c r="I32" i="139" s="1"/>
  <c r="H165" i="139"/>
  <c r="G165" i="139"/>
  <c r="F165" i="139"/>
  <c r="F32" i="139" s="1"/>
  <c r="E165" i="139"/>
  <c r="E32" i="139" s="1"/>
  <c r="D165" i="139"/>
  <c r="C165" i="139"/>
  <c r="B165" i="139"/>
  <c r="B32" i="139" s="1"/>
  <c r="L152" i="139"/>
  <c r="L31" i="139" s="1"/>
  <c r="K152" i="139"/>
  <c r="J152" i="139"/>
  <c r="I152" i="139"/>
  <c r="I31" i="139" s="1"/>
  <c r="H152" i="139"/>
  <c r="H31" i="139" s="1"/>
  <c r="G152" i="139"/>
  <c r="F152" i="139"/>
  <c r="E152" i="139"/>
  <c r="E31" i="139" s="1"/>
  <c r="D152" i="139"/>
  <c r="D31" i="139" s="1"/>
  <c r="C152" i="139"/>
  <c r="B152" i="139"/>
  <c r="L130" i="139"/>
  <c r="L30" i="139" s="1"/>
  <c r="K130" i="139"/>
  <c r="K30" i="139" s="1"/>
  <c r="J130" i="139"/>
  <c r="I130" i="139"/>
  <c r="H130" i="139"/>
  <c r="H30" i="139" s="1"/>
  <c r="G130" i="139"/>
  <c r="G30" i="139" s="1"/>
  <c r="F130" i="139"/>
  <c r="E130" i="139"/>
  <c r="D130" i="139"/>
  <c r="D30" i="139" s="1"/>
  <c r="C130" i="139"/>
  <c r="C30" i="139" s="1"/>
  <c r="B130" i="139"/>
  <c r="L115" i="139"/>
  <c r="K115" i="139"/>
  <c r="K26" i="139" s="1"/>
  <c r="I115" i="139"/>
  <c r="I26" i="139" s="1"/>
  <c r="H115" i="139"/>
  <c r="G115" i="139"/>
  <c r="F115" i="139"/>
  <c r="F26" i="139" s="1"/>
  <c r="E115" i="139"/>
  <c r="E26" i="139" s="1"/>
  <c r="D115" i="139"/>
  <c r="C115" i="139"/>
  <c r="L111" i="139"/>
  <c r="L25" i="139" s="1"/>
  <c r="K111" i="139"/>
  <c r="K25" i="139" s="1"/>
  <c r="I111" i="139"/>
  <c r="H111" i="139"/>
  <c r="G111" i="139"/>
  <c r="G25" i="139" s="1"/>
  <c r="F111" i="139"/>
  <c r="F25" i="139" s="1"/>
  <c r="E111" i="139"/>
  <c r="D111" i="139"/>
  <c r="C111" i="139"/>
  <c r="C25" i="139" s="1"/>
  <c r="B111" i="139"/>
  <c r="B25" i="139" s="1"/>
  <c r="L104" i="139"/>
  <c r="K104" i="139"/>
  <c r="J104" i="139"/>
  <c r="J24" i="139" s="1"/>
  <c r="I104" i="139"/>
  <c r="I24" i="139" s="1"/>
  <c r="H104" i="139"/>
  <c r="G104" i="139"/>
  <c r="F104" i="139"/>
  <c r="F24" i="139" s="1"/>
  <c r="E104" i="139"/>
  <c r="E24" i="139" s="1"/>
  <c r="D104" i="139"/>
  <c r="C104" i="139"/>
  <c r="B104" i="139"/>
  <c r="B24" i="139" s="1"/>
  <c r="L100" i="139"/>
  <c r="L23" i="139" s="1"/>
  <c r="K100" i="139"/>
  <c r="J100" i="139"/>
  <c r="I100" i="139"/>
  <c r="I23" i="139" s="1"/>
  <c r="H100" i="139"/>
  <c r="G100" i="139"/>
  <c r="F100" i="139"/>
  <c r="E100" i="139"/>
  <c r="E23" i="139" s="1"/>
  <c r="D100" i="139"/>
  <c r="D23" i="139" s="1"/>
  <c r="B100" i="139"/>
  <c r="L96" i="139"/>
  <c r="K96" i="139"/>
  <c r="K22" i="139" s="1"/>
  <c r="J96" i="139"/>
  <c r="J22" i="139" s="1"/>
  <c r="I96" i="139"/>
  <c r="H96" i="139"/>
  <c r="G96" i="139"/>
  <c r="F96" i="139"/>
  <c r="F22" i="139" s="1"/>
  <c r="E96" i="139"/>
  <c r="D96" i="139"/>
  <c r="C96" i="139"/>
  <c r="B96" i="139"/>
  <c r="B22" i="139" s="1"/>
  <c r="L88" i="139"/>
  <c r="K88" i="139"/>
  <c r="J88" i="139"/>
  <c r="J18" i="139" s="1"/>
  <c r="I88" i="139"/>
  <c r="I18" i="139" s="1"/>
  <c r="H88" i="139"/>
  <c r="G88" i="139"/>
  <c r="F88" i="139"/>
  <c r="F18" i="139" s="1"/>
  <c r="E88" i="139"/>
  <c r="E18" i="139" s="1"/>
  <c r="D88" i="139"/>
  <c r="C88" i="139"/>
  <c r="B88" i="139"/>
  <c r="B18" i="139" s="1"/>
  <c r="L84" i="139"/>
  <c r="K84" i="139"/>
  <c r="J84" i="139"/>
  <c r="I84" i="139"/>
  <c r="I17" i="139" s="1"/>
  <c r="H84" i="139"/>
  <c r="G84" i="139"/>
  <c r="F84" i="139"/>
  <c r="E84" i="139"/>
  <c r="E17" i="139" s="1"/>
  <c r="D84" i="139"/>
  <c r="C84" i="139"/>
  <c r="B84" i="139"/>
  <c r="L77" i="139"/>
  <c r="L16" i="139" s="1"/>
  <c r="K77" i="139"/>
  <c r="K16" i="139" s="1"/>
  <c r="J77" i="139"/>
  <c r="I77" i="139"/>
  <c r="H77" i="139"/>
  <c r="H16" i="139" s="1"/>
  <c r="G77" i="139"/>
  <c r="G16" i="139" s="1"/>
  <c r="F77" i="139"/>
  <c r="E77" i="139"/>
  <c r="D77" i="139"/>
  <c r="D16" i="139" s="1"/>
  <c r="C77" i="139"/>
  <c r="C16" i="139" s="1"/>
  <c r="B77" i="139"/>
  <c r="L73" i="139"/>
  <c r="K73" i="139"/>
  <c r="J73" i="139"/>
  <c r="I73" i="139"/>
  <c r="H73" i="139"/>
  <c r="G73" i="139"/>
  <c r="F73" i="139"/>
  <c r="E73" i="139"/>
  <c r="D73" i="139"/>
  <c r="C73" i="139"/>
  <c r="B73" i="139"/>
  <c r="L69" i="139"/>
  <c r="K69" i="139"/>
  <c r="J69" i="139"/>
  <c r="J14" i="139" s="1"/>
  <c r="I69" i="139"/>
  <c r="H69" i="139"/>
  <c r="G69" i="139"/>
  <c r="F69" i="139"/>
  <c r="F14" i="139" s="1"/>
  <c r="E69" i="139"/>
  <c r="D69" i="139"/>
  <c r="C69" i="139"/>
  <c r="B69" i="139"/>
  <c r="B14" i="139" s="1"/>
  <c r="M59" i="139"/>
  <c r="J59" i="139"/>
  <c r="I59" i="139"/>
  <c r="F59" i="139"/>
  <c r="E59" i="139"/>
  <c r="B59" i="139"/>
  <c r="F53" i="139"/>
  <c r="K52" i="139"/>
  <c r="J52" i="139"/>
  <c r="G52" i="139"/>
  <c r="F52" i="139"/>
  <c r="C52" i="139"/>
  <c r="B52" i="139"/>
  <c r="J51" i="139"/>
  <c r="I51" i="139"/>
  <c r="F51" i="139"/>
  <c r="E51" i="139"/>
  <c r="B51" i="139"/>
  <c r="L50" i="139"/>
  <c r="I50" i="139"/>
  <c r="H50" i="139"/>
  <c r="E50" i="139"/>
  <c r="D50" i="139"/>
  <c r="L49" i="139"/>
  <c r="K49" i="139"/>
  <c r="H49" i="139"/>
  <c r="G49" i="139"/>
  <c r="D49" i="139"/>
  <c r="C49" i="139"/>
  <c r="K48" i="139"/>
  <c r="J48" i="139"/>
  <c r="G48" i="139"/>
  <c r="F48" i="139"/>
  <c r="C48" i="139"/>
  <c r="B48" i="139"/>
  <c r="J47" i="139"/>
  <c r="I47" i="139"/>
  <c r="F47" i="139"/>
  <c r="E47" i="139"/>
  <c r="B47" i="139"/>
  <c r="L46" i="139"/>
  <c r="I46" i="139"/>
  <c r="H46" i="139"/>
  <c r="E46" i="139"/>
  <c r="D46" i="139"/>
  <c r="L45" i="139"/>
  <c r="K45" i="139"/>
  <c r="H45" i="139"/>
  <c r="G45" i="139"/>
  <c r="D45" i="139"/>
  <c r="C45" i="139"/>
  <c r="K44" i="139"/>
  <c r="J44" i="139"/>
  <c r="G44" i="139"/>
  <c r="F44" i="139"/>
  <c r="C44" i="139"/>
  <c r="B44" i="139"/>
  <c r="J43" i="139"/>
  <c r="I43" i="139"/>
  <c r="F43" i="139"/>
  <c r="E43" i="139"/>
  <c r="B43" i="139"/>
  <c r="K42" i="139"/>
  <c r="E42" i="139"/>
  <c r="D42" i="139"/>
  <c r="L41" i="139"/>
  <c r="K41" i="139"/>
  <c r="H41" i="139"/>
  <c r="G41" i="139"/>
  <c r="D41" i="139"/>
  <c r="C41" i="139"/>
  <c r="K36" i="139"/>
  <c r="J36" i="139"/>
  <c r="G36" i="139"/>
  <c r="F36" i="139"/>
  <c r="C36" i="139"/>
  <c r="B36" i="139"/>
  <c r="L32" i="139"/>
  <c r="K32" i="139"/>
  <c r="H32" i="139"/>
  <c r="G32" i="139"/>
  <c r="D32" i="139"/>
  <c r="C32" i="139"/>
  <c r="K31" i="139"/>
  <c r="J31" i="139"/>
  <c r="G31" i="139"/>
  <c r="F31" i="139"/>
  <c r="C31" i="139"/>
  <c r="B31" i="139"/>
  <c r="J30" i="139"/>
  <c r="I30" i="139"/>
  <c r="F30" i="139"/>
  <c r="E30" i="139"/>
  <c r="B30" i="139"/>
  <c r="L26" i="139"/>
  <c r="H26" i="139"/>
  <c r="G26" i="139"/>
  <c r="D26" i="139"/>
  <c r="C26" i="139"/>
  <c r="I25" i="139"/>
  <c r="H25" i="139"/>
  <c r="E25" i="139"/>
  <c r="D25" i="139"/>
  <c r="L24" i="139"/>
  <c r="K24" i="139"/>
  <c r="H24" i="139"/>
  <c r="G24" i="139"/>
  <c r="D24" i="139"/>
  <c r="C24" i="139"/>
  <c r="K23" i="139"/>
  <c r="J23" i="139"/>
  <c r="G23" i="139"/>
  <c r="F23" i="139"/>
  <c r="B23" i="139"/>
  <c r="L22" i="139"/>
  <c r="I22" i="139"/>
  <c r="H22" i="139"/>
  <c r="E22" i="139"/>
  <c r="D22" i="139"/>
  <c r="L18" i="139"/>
  <c r="K18" i="139"/>
  <c r="H18" i="139"/>
  <c r="G18" i="139"/>
  <c r="D18" i="139"/>
  <c r="C18" i="139"/>
  <c r="K17" i="139"/>
  <c r="J17" i="139"/>
  <c r="G17" i="139"/>
  <c r="F17" i="139"/>
  <c r="C17" i="139"/>
  <c r="B17" i="139"/>
  <c r="J16" i="139"/>
  <c r="I16" i="139"/>
  <c r="F16" i="139"/>
  <c r="E16" i="139"/>
  <c r="B16" i="139"/>
  <c r="L15" i="139"/>
  <c r="I15" i="139"/>
  <c r="H15" i="139"/>
  <c r="E15" i="139"/>
  <c r="D15" i="139"/>
  <c r="L14" i="139"/>
  <c r="K14" i="139"/>
  <c r="H14" i="139"/>
  <c r="G14" i="139"/>
  <c r="D14" i="139"/>
  <c r="C14" i="139"/>
  <c r="L9" i="139"/>
  <c r="K9" i="139"/>
  <c r="D9" i="139"/>
  <c r="C9" i="139"/>
  <c r="L8" i="139"/>
  <c r="K8" i="139"/>
  <c r="J8" i="139"/>
  <c r="I8" i="139"/>
  <c r="H8" i="139"/>
  <c r="G8" i="139"/>
  <c r="F8" i="139"/>
  <c r="E8" i="139"/>
  <c r="D8" i="139"/>
  <c r="C8" i="139"/>
  <c r="B8" i="139"/>
  <c r="L7" i="139"/>
  <c r="K7" i="139"/>
  <c r="J7" i="139"/>
  <c r="I7" i="139"/>
  <c r="H7" i="139"/>
  <c r="G7" i="139"/>
  <c r="F7" i="139"/>
  <c r="E7" i="139"/>
  <c r="D7" i="139"/>
  <c r="C7" i="139"/>
  <c r="B7" i="139"/>
  <c r="L6" i="139"/>
  <c r="K6" i="139"/>
  <c r="J6" i="139"/>
  <c r="I6" i="139"/>
  <c r="H6" i="139"/>
  <c r="G6" i="139"/>
  <c r="F6" i="139"/>
  <c r="E6" i="139"/>
  <c r="D6" i="139"/>
  <c r="C6" i="139"/>
  <c r="B6" i="139"/>
  <c r="L5" i="139"/>
  <c r="K5" i="139"/>
  <c r="J5" i="139"/>
  <c r="I5" i="139"/>
  <c r="H5" i="139"/>
  <c r="G5" i="139"/>
  <c r="F5" i="139"/>
  <c r="E5" i="139"/>
  <c r="D5" i="139"/>
  <c r="C5" i="139"/>
  <c r="B5" i="139"/>
  <c r="L4" i="139"/>
  <c r="K4" i="139"/>
  <c r="J4" i="139"/>
  <c r="I4" i="139"/>
  <c r="H4" i="139"/>
  <c r="G4" i="139"/>
  <c r="F4" i="139"/>
  <c r="E4" i="139"/>
  <c r="D4" i="139"/>
  <c r="C4" i="139"/>
  <c r="B4" i="139"/>
  <c r="L369" i="138"/>
  <c r="L9" i="138" s="1"/>
  <c r="K369" i="138"/>
  <c r="J369" i="138"/>
  <c r="I369" i="138"/>
  <c r="I9" i="138" s="1"/>
  <c r="H369" i="138"/>
  <c r="G369" i="138"/>
  <c r="F369" i="138"/>
  <c r="E369" i="138"/>
  <c r="E9" i="138" s="1"/>
  <c r="D369" i="138"/>
  <c r="C369" i="138"/>
  <c r="B369" i="138"/>
  <c r="L363" i="138"/>
  <c r="K363" i="138"/>
  <c r="J363" i="138"/>
  <c r="I363" i="138"/>
  <c r="H363" i="138"/>
  <c r="G363" i="138"/>
  <c r="F363" i="138"/>
  <c r="E363" i="138"/>
  <c r="D363" i="138"/>
  <c r="C363" i="138"/>
  <c r="B363" i="138"/>
  <c r="L358" i="138"/>
  <c r="K358" i="138"/>
  <c r="J358" i="138"/>
  <c r="I358" i="138"/>
  <c r="H358" i="138"/>
  <c r="G358" i="138"/>
  <c r="F358" i="138"/>
  <c r="E358" i="138"/>
  <c r="D358" i="138"/>
  <c r="C358" i="138"/>
  <c r="B358" i="138"/>
  <c r="L350" i="138"/>
  <c r="K350" i="138"/>
  <c r="J350" i="138"/>
  <c r="I350" i="138"/>
  <c r="H350" i="138"/>
  <c r="G350" i="138"/>
  <c r="F350" i="138"/>
  <c r="E350" i="138"/>
  <c r="D350" i="138"/>
  <c r="C350" i="138"/>
  <c r="B350" i="138"/>
  <c r="M345" i="138"/>
  <c r="L345" i="138"/>
  <c r="K345" i="138"/>
  <c r="J345" i="138"/>
  <c r="I345" i="138"/>
  <c r="H345" i="138"/>
  <c r="G345" i="138"/>
  <c r="F345" i="138"/>
  <c r="E345" i="138"/>
  <c r="D345" i="138"/>
  <c r="C345" i="138"/>
  <c r="B345" i="138"/>
  <c r="M340" i="138"/>
  <c r="L340" i="138"/>
  <c r="K340" i="138"/>
  <c r="J340" i="138"/>
  <c r="I340" i="138"/>
  <c r="H340" i="138"/>
  <c r="G340" i="138"/>
  <c r="F340" i="138"/>
  <c r="E340" i="138"/>
  <c r="D340" i="138"/>
  <c r="C340" i="138"/>
  <c r="B340" i="138"/>
  <c r="M330" i="138"/>
  <c r="L330" i="138"/>
  <c r="L59" i="138" s="1"/>
  <c r="K330" i="138"/>
  <c r="K59" i="138" s="1"/>
  <c r="J330" i="138"/>
  <c r="I330" i="138"/>
  <c r="I59" i="138" s="1"/>
  <c r="H330" i="138"/>
  <c r="H59" i="138" s="1"/>
  <c r="G330" i="138"/>
  <c r="F330" i="138"/>
  <c r="F59" i="138" s="1"/>
  <c r="E330" i="138"/>
  <c r="E59" i="138" s="1"/>
  <c r="D330" i="138"/>
  <c r="D59" i="138" s="1"/>
  <c r="C330" i="138"/>
  <c r="B330" i="138"/>
  <c r="B59" i="138" s="1"/>
  <c r="F321" i="138"/>
  <c r="F53" i="138" s="1"/>
  <c r="L317" i="138"/>
  <c r="K317" i="138"/>
  <c r="K52" i="138" s="1"/>
  <c r="J317" i="138"/>
  <c r="J52" i="138" s="1"/>
  <c r="I317" i="138"/>
  <c r="I52" i="138" s="1"/>
  <c r="H317" i="138"/>
  <c r="H52" i="138" s="1"/>
  <c r="G317" i="138"/>
  <c r="F317" i="138"/>
  <c r="F52" i="138" s="1"/>
  <c r="E317" i="138"/>
  <c r="E52" i="138" s="1"/>
  <c r="D317" i="138"/>
  <c r="D52" i="138" s="1"/>
  <c r="C317" i="138"/>
  <c r="B317" i="138"/>
  <c r="B52" i="138" s="1"/>
  <c r="L310" i="138"/>
  <c r="L51" i="138" s="1"/>
  <c r="K310" i="138"/>
  <c r="J310" i="138"/>
  <c r="J51" i="138" s="1"/>
  <c r="I310" i="138"/>
  <c r="H310" i="138"/>
  <c r="H51" i="138" s="1"/>
  <c r="G310" i="138"/>
  <c r="G51" i="138" s="1"/>
  <c r="F310" i="138"/>
  <c r="E310" i="138"/>
  <c r="E51" i="138" s="1"/>
  <c r="D310" i="138"/>
  <c r="D51" i="138" s="1"/>
  <c r="C310" i="138"/>
  <c r="B310" i="138"/>
  <c r="L302" i="138"/>
  <c r="K302" i="138"/>
  <c r="K50" i="138" s="1"/>
  <c r="J302" i="138"/>
  <c r="J50" i="138" s="1"/>
  <c r="I302" i="138"/>
  <c r="I50" i="138" s="1"/>
  <c r="H302" i="138"/>
  <c r="H50" i="138" s="1"/>
  <c r="G302" i="138"/>
  <c r="G50" i="138" s="1"/>
  <c r="F302" i="138"/>
  <c r="E302" i="138"/>
  <c r="D302" i="138"/>
  <c r="C302" i="138"/>
  <c r="C50" i="138" s="1"/>
  <c r="B302" i="138"/>
  <c r="L295" i="138"/>
  <c r="K295" i="138"/>
  <c r="K49" i="138" s="1"/>
  <c r="J295" i="138"/>
  <c r="J49" i="138" s="1"/>
  <c r="I295" i="138"/>
  <c r="I49" i="138" s="1"/>
  <c r="H295" i="138"/>
  <c r="G295" i="138"/>
  <c r="F295" i="138"/>
  <c r="F49" i="138" s="1"/>
  <c r="E295" i="138"/>
  <c r="E49" i="138" s="1"/>
  <c r="D295" i="138"/>
  <c r="C295" i="138"/>
  <c r="C49" i="138" s="1"/>
  <c r="B295" i="138"/>
  <c r="B49" i="138" s="1"/>
  <c r="L290" i="138"/>
  <c r="L48" i="138" s="1"/>
  <c r="K290" i="138"/>
  <c r="J290" i="138"/>
  <c r="I290" i="138"/>
  <c r="I48" i="138" s="1"/>
  <c r="H290" i="138"/>
  <c r="H48" i="138" s="1"/>
  <c r="G290" i="138"/>
  <c r="F290" i="138"/>
  <c r="F48" i="138" s="1"/>
  <c r="E290" i="138"/>
  <c r="E48" i="138" s="1"/>
  <c r="D290" i="138"/>
  <c r="C290" i="138"/>
  <c r="C48" i="138" s="1"/>
  <c r="B290" i="138"/>
  <c r="L281" i="138"/>
  <c r="L47" i="138" s="1"/>
  <c r="K281" i="138"/>
  <c r="K47" i="138" s="1"/>
  <c r="J281" i="138"/>
  <c r="I281" i="138"/>
  <c r="I47" i="138" s="1"/>
  <c r="H281" i="138"/>
  <c r="H47" i="138" s="1"/>
  <c r="G281" i="138"/>
  <c r="G47" i="138" s="1"/>
  <c r="F281" i="138"/>
  <c r="E281" i="138"/>
  <c r="D281" i="138"/>
  <c r="D47" i="138" s="1"/>
  <c r="C281" i="138"/>
  <c r="C47" i="138" s="1"/>
  <c r="B281" i="138"/>
  <c r="B47" i="138" s="1"/>
  <c r="L274" i="138"/>
  <c r="L46" i="138" s="1"/>
  <c r="K274" i="138"/>
  <c r="K46" i="138" s="1"/>
  <c r="J274" i="138"/>
  <c r="I274" i="138"/>
  <c r="H274" i="138"/>
  <c r="G274" i="138"/>
  <c r="G46" i="138" s="1"/>
  <c r="F274" i="138"/>
  <c r="F46" i="138" s="1"/>
  <c r="E274" i="138"/>
  <c r="D274" i="138"/>
  <c r="D46" i="138" s="1"/>
  <c r="C274" i="138"/>
  <c r="C46" i="138" s="1"/>
  <c r="B274" i="138"/>
  <c r="L259" i="138"/>
  <c r="L45" i="138" s="1"/>
  <c r="K259" i="138"/>
  <c r="J259" i="138"/>
  <c r="J45" i="138" s="1"/>
  <c r="I259" i="138"/>
  <c r="I45" i="138" s="1"/>
  <c r="H259" i="138"/>
  <c r="G259" i="138"/>
  <c r="G45" i="138" s="1"/>
  <c r="F259" i="138"/>
  <c r="F45" i="138" s="1"/>
  <c r="E259" i="138"/>
  <c r="E45" i="138" s="1"/>
  <c r="D259" i="138"/>
  <c r="C259" i="138"/>
  <c r="B259" i="138"/>
  <c r="B45" i="138" s="1"/>
  <c r="L237" i="138"/>
  <c r="L44" i="138" s="1"/>
  <c r="K237" i="138"/>
  <c r="K44" i="138" s="1"/>
  <c r="J237" i="138"/>
  <c r="J44" i="138" s="1"/>
  <c r="I237" i="138"/>
  <c r="I44" i="138" s="1"/>
  <c r="H237" i="138"/>
  <c r="H44" i="138" s="1"/>
  <c r="G237" i="138"/>
  <c r="F237" i="138"/>
  <c r="F44" i="138" s="1"/>
  <c r="E237" i="138"/>
  <c r="E44" i="138" s="1"/>
  <c r="D237" i="138"/>
  <c r="C237" i="138"/>
  <c r="B237" i="138"/>
  <c r="L221" i="138"/>
  <c r="L43" i="138" s="1"/>
  <c r="K221" i="138"/>
  <c r="K43" i="138" s="1"/>
  <c r="J221" i="138"/>
  <c r="I221" i="138"/>
  <c r="I43" i="138" s="1"/>
  <c r="H221" i="138"/>
  <c r="H43" i="138" s="1"/>
  <c r="G221" i="138"/>
  <c r="G43" i="138" s="1"/>
  <c r="F221" i="138"/>
  <c r="E221" i="138"/>
  <c r="D221" i="138"/>
  <c r="D43" i="138" s="1"/>
  <c r="C221" i="138"/>
  <c r="B221" i="138"/>
  <c r="F210" i="138"/>
  <c r="F42" i="138" s="1"/>
  <c r="E210" i="138"/>
  <c r="E42" i="138" s="1"/>
  <c r="D210" i="138"/>
  <c r="D42" i="138" s="1"/>
  <c r="C210" i="138"/>
  <c r="B210" i="138"/>
  <c r="L203" i="138"/>
  <c r="K203" i="138"/>
  <c r="J203" i="138"/>
  <c r="J41" i="138" s="1"/>
  <c r="I203" i="138"/>
  <c r="I41" i="138" s="1"/>
  <c r="H203" i="138"/>
  <c r="G203" i="138"/>
  <c r="G41" i="138" s="1"/>
  <c r="F203" i="138"/>
  <c r="E203" i="138"/>
  <c r="D203" i="138"/>
  <c r="C203" i="138"/>
  <c r="C41" i="138" s="1"/>
  <c r="B203" i="138"/>
  <c r="L180" i="138"/>
  <c r="L36" i="138" s="1"/>
  <c r="K180" i="138"/>
  <c r="K36" i="138" s="1"/>
  <c r="J180" i="138"/>
  <c r="J36" i="138" s="1"/>
  <c r="I180" i="138"/>
  <c r="I36" i="138" s="1"/>
  <c r="H180" i="138"/>
  <c r="H36" i="138" s="1"/>
  <c r="G180" i="138"/>
  <c r="G36" i="138" s="1"/>
  <c r="F180" i="138"/>
  <c r="E180" i="138"/>
  <c r="D180" i="138"/>
  <c r="D36" i="138" s="1"/>
  <c r="C180" i="138"/>
  <c r="C36" i="138" s="1"/>
  <c r="B180" i="138"/>
  <c r="B36" i="138" s="1"/>
  <c r="L168" i="138"/>
  <c r="K168" i="138"/>
  <c r="K33" i="138" s="1"/>
  <c r="J168" i="138"/>
  <c r="J33" i="138" s="1"/>
  <c r="I168" i="138"/>
  <c r="I33" i="138" s="1"/>
  <c r="H168" i="138"/>
  <c r="H33" i="138" s="1"/>
  <c r="G168" i="138"/>
  <c r="G33" i="138" s="1"/>
  <c r="E168" i="138"/>
  <c r="E33" i="138" s="1"/>
  <c r="C168" i="138"/>
  <c r="B168" i="138"/>
  <c r="L158" i="138"/>
  <c r="L32" i="138" s="1"/>
  <c r="K158" i="138"/>
  <c r="J158" i="138"/>
  <c r="J32" i="138" s="1"/>
  <c r="I158" i="138"/>
  <c r="H158" i="138"/>
  <c r="H32" i="138" s="1"/>
  <c r="G158" i="138"/>
  <c r="F158" i="138"/>
  <c r="F32" i="138" s="1"/>
  <c r="E158" i="138"/>
  <c r="D158" i="138"/>
  <c r="C158" i="138"/>
  <c r="B158" i="138"/>
  <c r="L146" i="138"/>
  <c r="K146" i="138"/>
  <c r="J146" i="138"/>
  <c r="I146" i="138"/>
  <c r="H146" i="138"/>
  <c r="G146" i="138"/>
  <c r="G31" i="138" s="1"/>
  <c r="F146" i="138"/>
  <c r="E146" i="138"/>
  <c r="E31" i="138" s="1"/>
  <c r="D146" i="138"/>
  <c r="C146" i="138"/>
  <c r="B146" i="138"/>
  <c r="L128" i="138"/>
  <c r="H128" i="138"/>
  <c r="L115" i="138"/>
  <c r="L26" i="138" s="1"/>
  <c r="K115" i="138"/>
  <c r="K26" i="138" s="1"/>
  <c r="I115" i="138"/>
  <c r="H115" i="138"/>
  <c r="G115" i="138"/>
  <c r="F115" i="138"/>
  <c r="F26" i="138" s="1"/>
  <c r="E115" i="138"/>
  <c r="E26" i="138" s="1"/>
  <c r="C115" i="138"/>
  <c r="L111" i="138"/>
  <c r="L25" i="138" s="1"/>
  <c r="K111" i="138"/>
  <c r="K25" i="138" s="1"/>
  <c r="I111" i="138"/>
  <c r="I25" i="138" s="1"/>
  <c r="H111" i="138"/>
  <c r="G111" i="138"/>
  <c r="F111" i="138"/>
  <c r="F25" i="138" s="1"/>
  <c r="E111" i="138"/>
  <c r="D111" i="138"/>
  <c r="C111" i="138"/>
  <c r="B111" i="138"/>
  <c r="B25" i="138" s="1"/>
  <c r="L104" i="138"/>
  <c r="K104" i="138"/>
  <c r="I104" i="138"/>
  <c r="I24" i="138" s="1"/>
  <c r="H104" i="138"/>
  <c r="H24" i="138" s="1"/>
  <c r="G104" i="138"/>
  <c r="G24" i="138" s="1"/>
  <c r="F104" i="138"/>
  <c r="E104" i="138"/>
  <c r="D104" i="138"/>
  <c r="D24" i="138" s="1"/>
  <c r="C104" i="138"/>
  <c r="C24" i="138" s="1"/>
  <c r="B104" i="138"/>
  <c r="L100" i="138"/>
  <c r="L23" i="138" s="1"/>
  <c r="K100" i="138"/>
  <c r="K23" i="138" s="1"/>
  <c r="I100" i="138"/>
  <c r="G100" i="138"/>
  <c r="E100" i="138"/>
  <c r="E23" i="138" s="1"/>
  <c r="D100" i="138"/>
  <c r="D23" i="138" s="1"/>
  <c r="C100" i="138"/>
  <c r="L96" i="138"/>
  <c r="K96" i="138"/>
  <c r="I96" i="138"/>
  <c r="H96" i="138"/>
  <c r="H22" i="138" s="1"/>
  <c r="G96" i="138"/>
  <c r="F96" i="138"/>
  <c r="F22" i="138" s="1"/>
  <c r="E96" i="138"/>
  <c r="D96" i="138"/>
  <c r="D22" i="138" s="1"/>
  <c r="C96" i="138"/>
  <c r="B96" i="138"/>
  <c r="L88" i="138"/>
  <c r="L18" i="138" s="1"/>
  <c r="K88" i="138"/>
  <c r="J88" i="138"/>
  <c r="I88" i="138"/>
  <c r="I18" i="138" s="1"/>
  <c r="H88" i="138"/>
  <c r="H18" i="138" s="1"/>
  <c r="G88" i="138"/>
  <c r="F88" i="138"/>
  <c r="E88" i="138"/>
  <c r="E18" i="138" s="1"/>
  <c r="D88" i="138"/>
  <c r="D18" i="138" s="1"/>
  <c r="C88" i="138"/>
  <c r="C18" i="138" s="1"/>
  <c r="B88" i="138"/>
  <c r="L84" i="138"/>
  <c r="K84" i="138"/>
  <c r="K17" i="138" s="1"/>
  <c r="J84" i="138"/>
  <c r="J17" i="138" s="1"/>
  <c r="I84" i="138"/>
  <c r="H84" i="138"/>
  <c r="H17" i="138" s="1"/>
  <c r="G84" i="138"/>
  <c r="G17" i="138" s="1"/>
  <c r="F84" i="138"/>
  <c r="E84" i="138"/>
  <c r="D84" i="138"/>
  <c r="D17" i="138" s="1"/>
  <c r="C84" i="138"/>
  <c r="C17" i="138" s="1"/>
  <c r="B84" i="138"/>
  <c r="L77" i="138"/>
  <c r="K77" i="138"/>
  <c r="K16" i="138" s="1"/>
  <c r="J77" i="138"/>
  <c r="J16" i="138" s="1"/>
  <c r="I77" i="138"/>
  <c r="I16" i="138" s="1"/>
  <c r="H77" i="138"/>
  <c r="G77" i="138"/>
  <c r="F77" i="138"/>
  <c r="F16" i="138" s="1"/>
  <c r="E77" i="138"/>
  <c r="E16" i="138" s="1"/>
  <c r="D77" i="138"/>
  <c r="C77" i="138"/>
  <c r="C16" i="138" s="1"/>
  <c r="B77" i="138"/>
  <c r="B16" i="138" s="1"/>
  <c r="L73" i="138"/>
  <c r="K73" i="138"/>
  <c r="J73" i="138"/>
  <c r="J15" i="138" s="1"/>
  <c r="I73" i="138"/>
  <c r="I15" i="138" s="1"/>
  <c r="H73" i="138"/>
  <c r="G73" i="138"/>
  <c r="F73" i="138"/>
  <c r="E73" i="138"/>
  <c r="E15" i="138" s="1"/>
  <c r="D73" i="138"/>
  <c r="D15" i="138" s="1"/>
  <c r="C73" i="138"/>
  <c r="B73" i="138"/>
  <c r="B15" i="138" s="1"/>
  <c r="L69" i="138"/>
  <c r="L14" i="138" s="1"/>
  <c r="K69" i="138"/>
  <c r="K14" i="138" s="1"/>
  <c r="J69" i="138"/>
  <c r="I69" i="138"/>
  <c r="H69" i="138"/>
  <c r="H14" i="138" s="1"/>
  <c r="G69" i="138"/>
  <c r="F69" i="138"/>
  <c r="E69" i="138"/>
  <c r="E14" i="138" s="1"/>
  <c r="D69" i="138"/>
  <c r="D14" i="138" s="1"/>
  <c r="C69" i="138"/>
  <c r="B69" i="138"/>
  <c r="J59" i="138"/>
  <c r="G59" i="138"/>
  <c r="C59" i="138"/>
  <c r="L52" i="138"/>
  <c r="G52" i="138"/>
  <c r="C52" i="138"/>
  <c r="K51" i="138"/>
  <c r="I51" i="138"/>
  <c r="F51" i="138"/>
  <c r="C51" i="138"/>
  <c r="B51" i="138"/>
  <c r="L50" i="138"/>
  <c r="F50" i="138"/>
  <c r="E50" i="138"/>
  <c r="D50" i="138"/>
  <c r="B50" i="138"/>
  <c r="L49" i="138"/>
  <c r="H49" i="138"/>
  <c r="G49" i="138"/>
  <c r="D49" i="138"/>
  <c r="K48" i="138"/>
  <c r="J48" i="138"/>
  <c r="G48" i="138"/>
  <c r="D48" i="138"/>
  <c r="B48" i="138"/>
  <c r="J47" i="138"/>
  <c r="F47" i="138"/>
  <c r="E47" i="138"/>
  <c r="J46" i="138"/>
  <c r="I46" i="138"/>
  <c r="H46" i="138"/>
  <c r="E46" i="138"/>
  <c r="B46" i="138"/>
  <c r="K45" i="138"/>
  <c r="H45" i="138"/>
  <c r="D45" i="138"/>
  <c r="C45" i="138"/>
  <c r="G44" i="138"/>
  <c r="D44" i="138"/>
  <c r="C44" i="138"/>
  <c r="B44" i="138"/>
  <c r="J43" i="138"/>
  <c r="F43" i="138"/>
  <c r="E43" i="138"/>
  <c r="C43" i="138"/>
  <c r="B43" i="138"/>
  <c r="C42" i="138"/>
  <c r="B42" i="138"/>
  <c r="K41" i="138"/>
  <c r="F41" i="138"/>
  <c r="E41" i="138"/>
  <c r="B41" i="138"/>
  <c r="F36" i="138"/>
  <c r="E36" i="138"/>
  <c r="L33" i="138"/>
  <c r="C33" i="138"/>
  <c r="B33" i="138"/>
  <c r="I32" i="138"/>
  <c r="E32" i="138"/>
  <c r="D32" i="138"/>
  <c r="B32" i="138"/>
  <c r="L31" i="138"/>
  <c r="K31" i="138"/>
  <c r="H31" i="138"/>
  <c r="D31" i="138"/>
  <c r="C31" i="138"/>
  <c r="L30" i="138"/>
  <c r="H30" i="138"/>
  <c r="I26" i="138"/>
  <c r="H26" i="138"/>
  <c r="G26" i="138"/>
  <c r="C26" i="138"/>
  <c r="H25" i="138"/>
  <c r="G25" i="138"/>
  <c r="E25" i="138"/>
  <c r="D25" i="138"/>
  <c r="C25" i="138"/>
  <c r="L24" i="138"/>
  <c r="K24" i="138"/>
  <c r="F24" i="138"/>
  <c r="E24" i="138"/>
  <c r="B24" i="138"/>
  <c r="I23" i="138"/>
  <c r="G23" i="138"/>
  <c r="C23" i="138"/>
  <c r="L22" i="138"/>
  <c r="K22" i="138"/>
  <c r="G22" i="138"/>
  <c r="C22" i="138"/>
  <c r="B22" i="138"/>
  <c r="K18" i="138"/>
  <c r="J18" i="138"/>
  <c r="G18" i="138"/>
  <c r="F18" i="138"/>
  <c r="B18" i="138"/>
  <c r="L17" i="138"/>
  <c r="I17" i="138"/>
  <c r="F17" i="138"/>
  <c r="E17" i="138"/>
  <c r="B17" i="138"/>
  <c r="L16" i="138"/>
  <c r="H16" i="138"/>
  <c r="G16" i="138"/>
  <c r="D16" i="138"/>
  <c r="L15" i="138"/>
  <c r="K15" i="138"/>
  <c r="H15" i="138"/>
  <c r="G15" i="138"/>
  <c r="F15" i="138"/>
  <c r="C15" i="138"/>
  <c r="J14" i="138"/>
  <c r="I14" i="138"/>
  <c r="G14" i="138"/>
  <c r="F14" i="138"/>
  <c r="C14" i="138"/>
  <c r="B14" i="138"/>
  <c r="K9" i="138"/>
  <c r="J9" i="138"/>
  <c r="H9" i="138"/>
  <c r="G9" i="138"/>
  <c r="F9" i="138"/>
  <c r="D9" i="138"/>
  <c r="C9" i="138"/>
  <c r="B9" i="138"/>
  <c r="L8" i="138"/>
  <c r="K8" i="138"/>
  <c r="J8" i="138"/>
  <c r="I8" i="138"/>
  <c r="H8" i="138"/>
  <c r="G8" i="138"/>
  <c r="F8" i="138"/>
  <c r="E8" i="138"/>
  <c r="D8" i="138"/>
  <c r="C8" i="138"/>
  <c r="B8" i="138"/>
  <c r="L7" i="138"/>
  <c r="K7" i="138"/>
  <c r="J7" i="138"/>
  <c r="I7" i="138"/>
  <c r="H7" i="138"/>
  <c r="G7" i="138"/>
  <c r="F7" i="138"/>
  <c r="E7" i="138"/>
  <c r="D7" i="138"/>
  <c r="C7" i="138"/>
  <c r="B7" i="138"/>
  <c r="L6" i="138"/>
  <c r="K6" i="138"/>
  <c r="J6" i="138"/>
  <c r="I6" i="138"/>
  <c r="H6" i="138"/>
  <c r="G6" i="138"/>
  <c r="F6" i="138"/>
  <c r="E6" i="138"/>
  <c r="D6" i="138"/>
  <c r="C6" i="138"/>
  <c r="B6" i="138"/>
  <c r="L5" i="138"/>
  <c r="K5" i="138"/>
  <c r="J5" i="138"/>
  <c r="I5" i="138"/>
  <c r="H5" i="138"/>
  <c r="G5" i="138"/>
  <c r="F5" i="138"/>
  <c r="E5" i="138"/>
  <c r="D5" i="138"/>
  <c r="C5" i="138"/>
  <c r="B5" i="138"/>
  <c r="L4" i="138"/>
  <c r="K4" i="138"/>
  <c r="J4" i="138"/>
  <c r="I4" i="138"/>
  <c r="H4" i="138"/>
  <c r="G4" i="138"/>
  <c r="F4" i="138"/>
  <c r="E4" i="138"/>
  <c r="D4" i="138"/>
  <c r="C4" i="138"/>
  <c r="B4" i="138"/>
  <c r="M371" i="137"/>
  <c r="M9" i="137" s="1"/>
  <c r="L371" i="137"/>
  <c r="K371" i="137"/>
  <c r="K9" i="137" s="1"/>
  <c r="J371" i="137"/>
  <c r="J9" i="137" s="1"/>
  <c r="I371" i="137"/>
  <c r="H371" i="137"/>
  <c r="G371" i="137"/>
  <c r="G9" i="137" s="1"/>
  <c r="F371" i="137"/>
  <c r="F9" i="137" s="1"/>
  <c r="E371" i="137"/>
  <c r="E9" i="137" s="1"/>
  <c r="D371" i="137"/>
  <c r="C371" i="137"/>
  <c r="C9" i="137" s="1"/>
  <c r="B371" i="137"/>
  <c r="B9" i="137" s="1"/>
  <c r="M365" i="137"/>
  <c r="L365" i="137"/>
  <c r="K365" i="137"/>
  <c r="J365" i="137"/>
  <c r="I365" i="137"/>
  <c r="H365" i="137"/>
  <c r="G365" i="137"/>
  <c r="F365" i="137"/>
  <c r="E365" i="137"/>
  <c r="D365" i="137"/>
  <c r="C365" i="137"/>
  <c r="B365" i="137"/>
  <c r="M360" i="137"/>
  <c r="L360" i="137"/>
  <c r="K360" i="137"/>
  <c r="J360" i="137"/>
  <c r="I360" i="137"/>
  <c r="H360" i="137"/>
  <c r="G360" i="137"/>
  <c r="F360" i="137"/>
  <c r="E360" i="137"/>
  <c r="D360" i="137"/>
  <c r="C360" i="137"/>
  <c r="B360" i="137"/>
  <c r="M352" i="137"/>
  <c r="L352" i="137"/>
  <c r="K352" i="137"/>
  <c r="J352" i="137"/>
  <c r="I352" i="137"/>
  <c r="H352" i="137"/>
  <c r="G352" i="137"/>
  <c r="F352" i="137"/>
  <c r="E352" i="137"/>
  <c r="D352" i="137"/>
  <c r="C352" i="137"/>
  <c r="B352" i="137"/>
  <c r="M347" i="137"/>
  <c r="L347" i="137"/>
  <c r="K347" i="137"/>
  <c r="J347" i="137"/>
  <c r="I347" i="137"/>
  <c r="H347" i="137"/>
  <c r="G347" i="137"/>
  <c r="F347" i="137"/>
  <c r="E347" i="137"/>
  <c r="D347" i="137"/>
  <c r="C347" i="137"/>
  <c r="B347" i="137"/>
  <c r="M342" i="137"/>
  <c r="M367" i="137" s="1"/>
  <c r="L342" i="137"/>
  <c r="L367" i="137" s="1"/>
  <c r="K342" i="137"/>
  <c r="K367" i="137" s="1"/>
  <c r="J342" i="137"/>
  <c r="J367" i="137" s="1"/>
  <c r="I342" i="137"/>
  <c r="I367" i="137" s="1"/>
  <c r="H342" i="137"/>
  <c r="H367" i="137" s="1"/>
  <c r="G342" i="137"/>
  <c r="G367" i="137" s="1"/>
  <c r="F342" i="137"/>
  <c r="F367" i="137" s="1"/>
  <c r="E342" i="137"/>
  <c r="E367" i="137" s="1"/>
  <c r="D342" i="137"/>
  <c r="D367" i="137" s="1"/>
  <c r="C342" i="137"/>
  <c r="C367" i="137" s="1"/>
  <c r="B342" i="137"/>
  <c r="B367" i="137" s="1"/>
  <c r="M332" i="137"/>
  <c r="L332" i="137"/>
  <c r="K332" i="137"/>
  <c r="K58" i="137" s="1"/>
  <c r="J332" i="137"/>
  <c r="J58" i="137" s="1"/>
  <c r="I332" i="137"/>
  <c r="I58" i="137" s="1"/>
  <c r="H332" i="137"/>
  <c r="G332" i="137"/>
  <c r="G58" i="137" s="1"/>
  <c r="F332" i="137"/>
  <c r="F58" i="137" s="1"/>
  <c r="E332" i="137"/>
  <c r="E58" i="137" s="1"/>
  <c r="D332" i="137"/>
  <c r="C332" i="137"/>
  <c r="C58" i="137" s="1"/>
  <c r="B332" i="137"/>
  <c r="B58" i="137" s="1"/>
  <c r="F324" i="137"/>
  <c r="E324" i="137"/>
  <c r="C324" i="137"/>
  <c r="C52" i="137" s="1"/>
  <c r="M320" i="137"/>
  <c r="M51" i="137" s="1"/>
  <c r="L320" i="137"/>
  <c r="L51" i="137" s="1"/>
  <c r="K320" i="137"/>
  <c r="J320" i="137"/>
  <c r="J51" i="137" s="1"/>
  <c r="I320" i="137"/>
  <c r="I51" i="137" s="1"/>
  <c r="H320" i="137"/>
  <c r="G320" i="137"/>
  <c r="F320" i="137"/>
  <c r="F51" i="137" s="1"/>
  <c r="E320" i="137"/>
  <c r="E51" i="137" s="1"/>
  <c r="D320" i="137"/>
  <c r="C320" i="137"/>
  <c r="B320" i="137"/>
  <c r="B51" i="137" s="1"/>
  <c r="M313" i="137"/>
  <c r="M50" i="137" s="1"/>
  <c r="L313" i="137"/>
  <c r="K313" i="137"/>
  <c r="J313" i="137"/>
  <c r="J50" i="137" s="1"/>
  <c r="I313" i="137"/>
  <c r="I50" i="137" s="1"/>
  <c r="H313" i="137"/>
  <c r="H50" i="137" s="1"/>
  <c r="G313" i="137"/>
  <c r="F313" i="137"/>
  <c r="F50" i="137" s="1"/>
  <c r="E313" i="137"/>
  <c r="E50" i="137" s="1"/>
  <c r="D313" i="137"/>
  <c r="D50" i="137" s="1"/>
  <c r="C313" i="137"/>
  <c r="B313" i="137"/>
  <c r="B50" i="137" s="1"/>
  <c r="M305" i="137"/>
  <c r="M49" i="137" s="1"/>
  <c r="L305" i="137"/>
  <c r="K305" i="137"/>
  <c r="J305" i="137"/>
  <c r="J49" i="137" s="1"/>
  <c r="I305" i="137"/>
  <c r="I49" i="137" s="1"/>
  <c r="H305" i="137"/>
  <c r="H49" i="137" s="1"/>
  <c r="G305" i="137"/>
  <c r="F305" i="137"/>
  <c r="F49" i="137" s="1"/>
  <c r="E305" i="137"/>
  <c r="E49" i="137" s="1"/>
  <c r="D305" i="137"/>
  <c r="D49" i="137" s="1"/>
  <c r="C305" i="137"/>
  <c r="B305" i="137"/>
  <c r="B49" i="137" s="1"/>
  <c r="M298" i="137"/>
  <c r="M48" i="137" s="1"/>
  <c r="L298" i="137"/>
  <c r="K298" i="137"/>
  <c r="J298" i="137"/>
  <c r="J48" i="137" s="1"/>
  <c r="I298" i="137"/>
  <c r="I48" i="137" s="1"/>
  <c r="H298" i="137"/>
  <c r="G298" i="137"/>
  <c r="F298" i="137"/>
  <c r="F48" i="137" s="1"/>
  <c r="E298" i="137"/>
  <c r="E48" i="137" s="1"/>
  <c r="D298" i="137"/>
  <c r="C298" i="137"/>
  <c r="B298" i="137"/>
  <c r="B48" i="137" s="1"/>
  <c r="M293" i="137"/>
  <c r="M47" i="137" s="1"/>
  <c r="L293" i="137"/>
  <c r="L47" i="137" s="1"/>
  <c r="K293" i="137"/>
  <c r="J293" i="137"/>
  <c r="J47" i="137" s="1"/>
  <c r="I293" i="137"/>
  <c r="I47" i="137" s="1"/>
  <c r="H293" i="137"/>
  <c r="G293" i="137"/>
  <c r="F293" i="137"/>
  <c r="F47" i="137" s="1"/>
  <c r="E293" i="137"/>
  <c r="E47" i="137" s="1"/>
  <c r="D293" i="137"/>
  <c r="D47" i="137" s="1"/>
  <c r="C293" i="137"/>
  <c r="B293" i="137"/>
  <c r="B47" i="137" s="1"/>
  <c r="M285" i="137"/>
  <c r="M46" i="137" s="1"/>
  <c r="L285" i="137"/>
  <c r="K285" i="137"/>
  <c r="J285" i="137"/>
  <c r="J46" i="137" s="1"/>
  <c r="I285" i="137"/>
  <c r="I46" i="137" s="1"/>
  <c r="H285" i="137"/>
  <c r="H46" i="137" s="1"/>
  <c r="G285" i="137"/>
  <c r="F285" i="137"/>
  <c r="F46" i="137" s="1"/>
  <c r="E285" i="137"/>
  <c r="E46" i="137" s="1"/>
  <c r="D285" i="137"/>
  <c r="C285" i="137"/>
  <c r="B285" i="137"/>
  <c r="B46" i="137" s="1"/>
  <c r="M278" i="137"/>
  <c r="M45" i="137" s="1"/>
  <c r="L278" i="137"/>
  <c r="K278" i="137"/>
  <c r="J278" i="137"/>
  <c r="J45" i="137" s="1"/>
  <c r="I278" i="137"/>
  <c r="I45" i="137" s="1"/>
  <c r="H278" i="137"/>
  <c r="G278" i="137"/>
  <c r="F278" i="137"/>
  <c r="F45" i="137" s="1"/>
  <c r="E278" i="137"/>
  <c r="E45" i="137" s="1"/>
  <c r="D278" i="137"/>
  <c r="D45" i="137" s="1"/>
  <c r="C278" i="137"/>
  <c r="B278" i="137"/>
  <c r="B45" i="137" s="1"/>
  <c r="M261" i="137"/>
  <c r="M44" i="137" s="1"/>
  <c r="L261" i="137"/>
  <c r="L44" i="137" s="1"/>
  <c r="K261" i="137"/>
  <c r="J261" i="137"/>
  <c r="J44" i="137" s="1"/>
  <c r="I261" i="137"/>
  <c r="I44" i="137" s="1"/>
  <c r="H261" i="137"/>
  <c r="G261" i="137"/>
  <c r="F261" i="137"/>
  <c r="F44" i="137" s="1"/>
  <c r="E261" i="137"/>
  <c r="E44" i="137" s="1"/>
  <c r="D261" i="137"/>
  <c r="D44" i="137" s="1"/>
  <c r="C261" i="137"/>
  <c r="B261" i="137"/>
  <c r="B44" i="137" s="1"/>
  <c r="M235" i="137"/>
  <c r="M43" i="137" s="1"/>
  <c r="L235" i="137"/>
  <c r="L43" i="137" s="1"/>
  <c r="K235" i="137"/>
  <c r="J235" i="137"/>
  <c r="J43" i="137" s="1"/>
  <c r="I235" i="137"/>
  <c r="I43" i="137" s="1"/>
  <c r="H235" i="137"/>
  <c r="G235" i="137"/>
  <c r="F235" i="137"/>
  <c r="F43" i="137" s="1"/>
  <c r="E235" i="137"/>
  <c r="E43" i="137" s="1"/>
  <c r="D235" i="137"/>
  <c r="C235" i="137"/>
  <c r="B235" i="137"/>
  <c r="B43" i="137" s="1"/>
  <c r="M219" i="137"/>
  <c r="M42" i="137" s="1"/>
  <c r="L219" i="137"/>
  <c r="K219" i="137"/>
  <c r="J219" i="137"/>
  <c r="J42" i="137" s="1"/>
  <c r="I219" i="137"/>
  <c r="I42" i="137" s="1"/>
  <c r="H219" i="137"/>
  <c r="H42" i="137" s="1"/>
  <c r="G219" i="137"/>
  <c r="F219" i="137"/>
  <c r="F42" i="137" s="1"/>
  <c r="E219" i="137"/>
  <c r="E42" i="137" s="1"/>
  <c r="D219" i="137"/>
  <c r="C219" i="137"/>
  <c r="B219" i="137"/>
  <c r="B42" i="137" s="1"/>
  <c r="F208" i="137"/>
  <c r="F41" i="137" s="1"/>
  <c r="E208" i="137"/>
  <c r="E41" i="137" s="1"/>
  <c r="D208" i="137"/>
  <c r="C208" i="137"/>
  <c r="C41" i="137" s="1"/>
  <c r="B208" i="137"/>
  <c r="B41" i="137" s="1"/>
  <c r="M201" i="137"/>
  <c r="L201" i="137"/>
  <c r="K201" i="137"/>
  <c r="J201" i="137"/>
  <c r="J40" i="137" s="1"/>
  <c r="I201" i="137"/>
  <c r="H201" i="137"/>
  <c r="G201" i="137"/>
  <c r="F201" i="137"/>
  <c r="E201" i="137"/>
  <c r="D201" i="137"/>
  <c r="C201" i="137"/>
  <c r="B201" i="137"/>
  <c r="M178" i="137"/>
  <c r="L178" i="137"/>
  <c r="K178" i="137"/>
  <c r="K35" i="137" s="1"/>
  <c r="J178" i="137"/>
  <c r="J35" i="137" s="1"/>
  <c r="I178" i="137"/>
  <c r="I35" i="137" s="1"/>
  <c r="H178" i="137"/>
  <c r="G178" i="137"/>
  <c r="G35" i="137" s="1"/>
  <c r="F178" i="137"/>
  <c r="F35" i="137" s="1"/>
  <c r="E178" i="137"/>
  <c r="D178" i="137"/>
  <c r="C178" i="137"/>
  <c r="C35" i="137" s="1"/>
  <c r="B178" i="137"/>
  <c r="B35" i="137" s="1"/>
  <c r="M166" i="137"/>
  <c r="M32" i="137" s="1"/>
  <c r="L166" i="137"/>
  <c r="K166" i="137"/>
  <c r="K32" i="137" s="1"/>
  <c r="G166" i="137"/>
  <c r="G32" i="137" s="1"/>
  <c r="M156" i="137"/>
  <c r="M31" i="137" s="1"/>
  <c r="L156" i="137"/>
  <c r="L31" i="137" s="1"/>
  <c r="K156" i="137"/>
  <c r="K31" i="137" s="1"/>
  <c r="J156" i="137"/>
  <c r="J31" i="137" s="1"/>
  <c r="I156" i="137"/>
  <c r="H156" i="137"/>
  <c r="G156" i="137"/>
  <c r="G31" i="137" s="1"/>
  <c r="F156" i="137"/>
  <c r="F31" i="137" s="1"/>
  <c r="E156" i="137"/>
  <c r="E31" i="137" s="1"/>
  <c r="D156" i="137"/>
  <c r="D31" i="137" s="1"/>
  <c r="C156" i="137"/>
  <c r="C31" i="137" s="1"/>
  <c r="B156" i="137"/>
  <c r="B31" i="137" s="1"/>
  <c r="M143" i="137"/>
  <c r="L143" i="137"/>
  <c r="L168" i="137" s="1"/>
  <c r="L33" i="137" s="1"/>
  <c r="K143" i="137"/>
  <c r="K30" i="137" s="1"/>
  <c r="J143" i="137"/>
  <c r="I143" i="137"/>
  <c r="H143" i="137"/>
  <c r="H168" i="137" s="1"/>
  <c r="H33" i="137" s="1"/>
  <c r="G143" i="137"/>
  <c r="F143" i="137"/>
  <c r="E143" i="137"/>
  <c r="D143" i="137"/>
  <c r="D168" i="137" s="1"/>
  <c r="D33" i="137" s="1"/>
  <c r="C143" i="137"/>
  <c r="B143" i="137"/>
  <c r="L114" i="137"/>
  <c r="L26" i="137" s="1"/>
  <c r="K114" i="137"/>
  <c r="J114" i="137"/>
  <c r="J26" i="137" s="1"/>
  <c r="H114" i="137"/>
  <c r="H26" i="137" s="1"/>
  <c r="G114" i="137"/>
  <c r="G26" i="137" s="1"/>
  <c r="F114" i="137"/>
  <c r="D114" i="137"/>
  <c r="D26" i="137" s="1"/>
  <c r="C114" i="137"/>
  <c r="C26" i="137" s="1"/>
  <c r="B114" i="137"/>
  <c r="B26" i="137" s="1"/>
  <c r="M110" i="137"/>
  <c r="M25" i="137" s="1"/>
  <c r="L110" i="137"/>
  <c r="L25" i="137" s="1"/>
  <c r="K110" i="137"/>
  <c r="K25" i="137" s="1"/>
  <c r="J110" i="137"/>
  <c r="J25" i="137" s="1"/>
  <c r="I110" i="137"/>
  <c r="I25" i="137" s="1"/>
  <c r="H110" i="137"/>
  <c r="H25" i="137" s="1"/>
  <c r="G110" i="137"/>
  <c r="G25" i="137" s="1"/>
  <c r="F110" i="137"/>
  <c r="F25" i="137" s="1"/>
  <c r="E110" i="137"/>
  <c r="D110" i="137"/>
  <c r="D25" i="137" s="1"/>
  <c r="C110" i="137"/>
  <c r="C25" i="137" s="1"/>
  <c r="B110" i="137"/>
  <c r="B25" i="137" s="1"/>
  <c r="M103" i="137"/>
  <c r="L103" i="137"/>
  <c r="L24" i="137" s="1"/>
  <c r="K103" i="137"/>
  <c r="K24" i="137" s="1"/>
  <c r="J103" i="137"/>
  <c r="J24" i="137" s="1"/>
  <c r="I103" i="137"/>
  <c r="I24" i="137" s="1"/>
  <c r="H103" i="137"/>
  <c r="G103" i="137"/>
  <c r="G24" i="137" s="1"/>
  <c r="F103" i="137"/>
  <c r="F24" i="137" s="1"/>
  <c r="E103" i="137"/>
  <c r="E24" i="137" s="1"/>
  <c r="D103" i="137"/>
  <c r="D24" i="137" s="1"/>
  <c r="C103" i="137"/>
  <c r="C24" i="137" s="1"/>
  <c r="B103" i="137"/>
  <c r="B24" i="137" s="1"/>
  <c r="K99" i="137"/>
  <c r="J99" i="137"/>
  <c r="J23" i="137" s="1"/>
  <c r="I99" i="137"/>
  <c r="I23" i="137" s="1"/>
  <c r="D99" i="137"/>
  <c r="D23" i="137" s="1"/>
  <c r="C99" i="137"/>
  <c r="B99" i="137"/>
  <c r="B23" i="137" s="1"/>
  <c r="M95" i="137"/>
  <c r="M22" i="137" s="1"/>
  <c r="L95" i="137"/>
  <c r="K95" i="137"/>
  <c r="J95" i="137"/>
  <c r="J22" i="137" s="1"/>
  <c r="I95" i="137"/>
  <c r="H95" i="137"/>
  <c r="G95" i="137"/>
  <c r="G22" i="137" s="1"/>
  <c r="F95" i="137"/>
  <c r="F22" i="137" s="1"/>
  <c r="E95" i="137"/>
  <c r="E22" i="137" s="1"/>
  <c r="D95" i="137"/>
  <c r="C95" i="137"/>
  <c r="B95" i="137"/>
  <c r="B22" i="137" s="1"/>
  <c r="M87" i="137"/>
  <c r="M18" i="137" s="1"/>
  <c r="L87" i="137"/>
  <c r="L18" i="137" s="1"/>
  <c r="K87" i="137"/>
  <c r="J87" i="137"/>
  <c r="J18" i="137" s="1"/>
  <c r="I87" i="137"/>
  <c r="I18" i="137" s="1"/>
  <c r="H87" i="137"/>
  <c r="H18" i="137" s="1"/>
  <c r="G87" i="137"/>
  <c r="F87" i="137"/>
  <c r="F18" i="137" s="1"/>
  <c r="E87" i="137"/>
  <c r="E18" i="137" s="1"/>
  <c r="D87" i="137"/>
  <c r="D18" i="137" s="1"/>
  <c r="C87" i="137"/>
  <c r="B87" i="137"/>
  <c r="B18" i="137" s="1"/>
  <c r="M83" i="137"/>
  <c r="M17" i="137" s="1"/>
  <c r="L83" i="137"/>
  <c r="L17" i="137" s="1"/>
  <c r="K83" i="137"/>
  <c r="J83" i="137"/>
  <c r="J17" i="137" s="1"/>
  <c r="I83" i="137"/>
  <c r="I17" i="137" s="1"/>
  <c r="H83" i="137"/>
  <c r="H17" i="137" s="1"/>
  <c r="G83" i="137"/>
  <c r="F83" i="137"/>
  <c r="E83" i="137"/>
  <c r="E17" i="137" s="1"/>
  <c r="D83" i="137"/>
  <c r="D17" i="137" s="1"/>
  <c r="C83" i="137"/>
  <c r="B83" i="137"/>
  <c r="B17" i="137" s="1"/>
  <c r="M76" i="137"/>
  <c r="M16" i="137" s="1"/>
  <c r="L76" i="137"/>
  <c r="L16" i="137" s="1"/>
  <c r="K76" i="137"/>
  <c r="J76" i="137"/>
  <c r="J16" i="137" s="1"/>
  <c r="I76" i="137"/>
  <c r="I16" i="137" s="1"/>
  <c r="H76" i="137"/>
  <c r="H16" i="137" s="1"/>
  <c r="G76" i="137"/>
  <c r="F76" i="137"/>
  <c r="F16" i="137" s="1"/>
  <c r="E76" i="137"/>
  <c r="E16" i="137" s="1"/>
  <c r="D76" i="137"/>
  <c r="D16" i="137" s="1"/>
  <c r="C76" i="137"/>
  <c r="B76" i="137"/>
  <c r="B16" i="137" s="1"/>
  <c r="M72" i="137"/>
  <c r="M15" i="137" s="1"/>
  <c r="L72" i="137"/>
  <c r="L15" i="137" s="1"/>
  <c r="K72" i="137"/>
  <c r="J72" i="137"/>
  <c r="J15" i="137" s="1"/>
  <c r="I72" i="137"/>
  <c r="I15" i="137" s="1"/>
  <c r="H72" i="137"/>
  <c r="H15" i="137" s="1"/>
  <c r="G72" i="137"/>
  <c r="F72" i="137"/>
  <c r="F15" i="137" s="1"/>
  <c r="E72" i="137"/>
  <c r="E15" i="137" s="1"/>
  <c r="D72" i="137"/>
  <c r="D15" i="137" s="1"/>
  <c r="C72" i="137"/>
  <c r="B72" i="137"/>
  <c r="B15" i="137" s="1"/>
  <c r="M68" i="137"/>
  <c r="L68" i="137"/>
  <c r="L14" i="137" s="1"/>
  <c r="K68" i="137"/>
  <c r="K89" i="137" s="1"/>
  <c r="J68" i="137"/>
  <c r="I68" i="137"/>
  <c r="H68" i="137"/>
  <c r="H89" i="137" s="1"/>
  <c r="H19" i="137" s="1"/>
  <c r="G68" i="137"/>
  <c r="G89" i="137" s="1"/>
  <c r="F68" i="137"/>
  <c r="F14" i="137" s="1"/>
  <c r="E68" i="137"/>
  <c r="D68" i="137"/>
  <c r="D89" i="137" s="1"/>
  <c r="D19" i="137" s="1"/>
  <c r="C68" i="137"/>
  <c r="C89" i="137" s="1"/>
  <c r="B68" i="137"/>
  <c r="B89" i="137" s="1"/>
  <c r="M58" i="137"/>
  <c r="L58" i="137"/>
  <c r="H58" i="137"/>
  <c r="D58" i="137"/>
  <c r="F52" i="137"/>
  <c r="E52" i="137"/>
  <c r="K51" i="137"/>
  <c r="H51" i="137"/>
  <c r="G51" i="137"/>
  <c r="D51" i="137"/>
  <c r="C51" i="137"/>
  <c r="L50" i="137"/>
  <c r="K50" i="137"/>
  <c r="G50" i="137"/>
  <c r="C50" i="137"/>
  <c r="L49" i="137"/>
  <c r="K49" i="137"/>
  <c r="G49" i="137"/>
  <c r="C49" i="137"/>
  <c r="L48" i="137"/>
  <c r="K48" i="137"/>
  <c r="H48" i="137"/>
  <c r="G48" i="137"/>
  <c r="D48" i="137"/>
  <c r="C48" i="137"/>
  <c r="K47" i="137"/>
  <c r="H47" i="137"/>
  <c r="G47" i="137"/>
  <c r="C47" i="137"/>
  <c r="L46" i="137"/>
  <c r="K46" i="137"/>
  <c r="G46" i="137"/>
  <c r="D46" i="137"/>
  <c r="C46" i="137"/>
  <c r="L45" i="137"/>
  <c r="K45" i="137"/>
  <c r="H45" i="137"/>
  <c r="G45" i="137"/>
  <c r="C45" i="137"/>
  <c r="K44" i="137"/>
  <c r="H44" i="137"/>
  <c r="G44" i="137"/>
  <c r="C44" i="137"/>
  <c r="K43" i="137"/>
  <c r="H43" i="137"/>
  <c r="G43" i="137"/>
  <c r="D43" i="137"/>
  <c r="C43" i="137"/>
  <c r="L42" i="137"/>
  <c r="K42" i="137"/>
  <c r="G42" i="137"/>
  <c r="D42" i="137"/>
  <c r="C42" i="137"/>
  <c r="D41" i="137"/>
  <c r="M40" i="137"/>
  <c r="L40" i="137"/>
  <c r="H40" i="137"/>
  <c r="E40" i="137"/>
  <c r="D40" i="137"/>
  <c r="M35" i="137"/>
  <c r="L35" i="137"/>
  <c r="H35" i="137"/>
  <c r="E35" i="137"/>
  <c r="D35" i="137"/>
  <c r="L32" i="137"/>
  <c r="I31" i="137"/>
  <c r="H31" i="137"/>
  <c r="L30" i="137"/>
  <c r="D30" i="137"/>
  <c r="K26" i="137"/>
  <c r="F26" i="137"/>
  <c r="E25" i="137"/>
  <c r="M24" i="137"/>
  <c r="H24" i="137"/>
  <c r="K23" i="137"/>
  <c r="C23" i="137"/>
  <c r="C22" i="137"/>
  <c r="K19" i="137"/>
  <c r="G19" i="137"/>
  <c r="C19" i="137"/>
  <c r="K18" i="137"/>
  <c r="G18" i="137"/>
  <c r="C18" i="137"/>
  <c r="K17" i="137"/>
  <c r="G17" i="137"/>
  <c r="F17" i="137"/>
  <c r="C17" i="137"/>
  <c r="K16" i="137"/>
  <c r="G16" i="137"/>
  <c r="C16" i="137"/>
  <c r="K15" i="137"/>
  <c r="G15" i="137"/>
  <c r="C15" i="137"/>
  <c r="K14" i="137"/>
  <c r="G14" i="137"/>
  <c r="C14" i="137"/>
  <c r="B14" i="137"/>
  <c r="L9" i="137"/>
  <c r="I9" i="137"/>
  <c r="H9" i="137"/>
  <c r="D9" i="137"/>
  <c r="M8" i="137"/>
  <c r="L8" i="137"/>
  <c r="K8" i="137"/>
  <c r="J8" i="137"/>
  <c r="I8" i="137"/>
  <c r="H8" i="137"/>
  <c r="G8" i="137"/>
  <c r="F8" i="137"/>
  <c r="E8" i="137"/>
  <c r="D8" i="137"/>
  <c r="C8" i="137"/>
  <c r="B8" i="137"/>
  <c r="M7" i="137"/>
  <c r="L7" i="137"/>
  <c r="K7" i="137"/>
  <c r="J7" i="137"/>
  <c r="I7" i="137"/>
  <c r="H7" i="137"/>
  <c r="G7" i="137"/>
  <c r="F7" i="137"/>
  <c r="E7" i="137"/>
  <c r="D7" i="137"/>
  <c r="C7" i="137"/>
  <c r="B7" i="137"/>
  <c r="M6" i="137"/>
  <c r="L6" i="137"/>
  <c r="K6" i="137"/>
  <c r="J6" i="137"/>
  <c r="I6" i="137"/>
  <c r="H6" i="137"/>
  <c r="G6" i="137"/>
  <c r="F6" i="137"/>
  <c r="E6" i="137"/>
  <c r="D6" i="137"/>
  <c r="C6" i="137"/>
  <c r="B6" i="137"/>
  <c r="M5" i="137"/>
  <c r="L5" i="137"/>
  <c r="K5" i="137"/>
  <c r="J5" i="137"/>
  <c r="I5" i="137"/>
  <c r="H5" i="137"/>
  <c r="G5" i="137"/>
  <c r="F5" i="137"/>
  <c r="E5" i="137"/>
  <c r="D5" i="137"/>
  <c r="C5" i="137"/>
  <c r="B5" i="137"/>
  <c r="M4" i="137"/>
  <c r="L4" i="137"/>
  <c r="K4" i="137"/>
  <c r="J4" i="137"/>
  <c r="I4" i="137"/>
  <c r="H4" i="137"/>
  <c r="G4" i="137"/>
  <c r="F4" i="137"/>
  <c r="E4" i="137"/>
  <c r="D4" i="137"/>
  <c r="C4" i="137"/>
  <c r="B4" i="137"/>
  <c r="M364" i="136"/>
  <c r="M9" i="136" s="1"/>
  <c r="L364" i="136"/>
  <c r="L9" i="136" s="1"/>
  <c r="K364" i="136"/>
  <c r="J364" i="136"/>
  <c r="J9" i="136" s="1"/>
  <c r="I364" i="136"/>
  <c r="I9" i="136" s="1"/>
  <c r="H364" i="136"/>
  <c r="G364" i="136"/>
  <c r="G9" i="136" s="1"/>
  <c r="F364" i="136"/>
  <c r="F9" i="136" s="1"/>
  <c r="E364" i="136"/>
  <c r="D364" i="136"/>
  <c r="D9" i="136" s="1"/>
  <c r="C364" i="136"/>
  <c r="C9" i="136" s="1"/>
  <c r="B364" i="136"/>
  <c r="B9" i="136" s="1"/>
  <c r="M358" i="136"/>
  <c r="L358" i="136"/>
  <c r="K358" i="136"/>
  <c r="J358" i="136"/>
  <c r="I358" i="136"/>
  <c r="H358" i="136"/>
  <c r="G358" i="136"/>
  <c r="F358" i="136"/>
  <c r="E358" i="136"/>
  <c r="D358" i="136"/>
  <c r="C358" i="136"/>
  <c r="B358" i="136"/>
  <c r="M353" i="136"/>
  <c r="L353" i="136"/>
  <c r="K353" i="136"/>
  <c r="J353" i="136"/>
  <c r="I353" i="136"/>
  <c r="H353" i="136"/>
  <c r="G353" i="136"/>
  <c r="F353" i="136"/>
  <c r="E353" i="136"/>
  <c r="D353" i="136"/>
  <c r="C353" i="136"/>
  <c r="B353" i="136"/>
  <c r="M345" i="136"/>
  <c r="L345" i="136"/>
  <c r="K345" i="136"/>
  <c r="J345" i="136"/>
  <c r="I345" i="136"/>
  <c r="H345" i="136"/>
  <c r="G345" i="136"/>
  <c r="F345" i="136"/>
  <c r="E345" i="136"/>
  <c r="D345" i="136"/>
  <c r="C345" i="136"/>
  <c r="B345" i="136"/>
  <c r="M340" i="136"/>
  <c r="L340" i="136"/>
  <c r="K340" i="136"/>
  <c r="J340" i="136"/>
  <c r="I340" i="136"/>
  <c r="H340" i="136"/>
  <c r="G340" i="136"/>
  <c r="F340" i="136"/>
  <c r="E340" i="136"/>
  <c r="D340" i="136"/>
  <c r="C340" i="136"/>
  <c r="B340" i="136"/>
  <c r="M336" i="136"/>
  <c r="M360" i="136" s="1"/>
  <c r="L336" i="136"/>
  <c r="L360" i="136" s="1"/>
  <c r="K336" i="136"/>
  <c r="K360" i="136" s="1"/>
  <c r="J336" i="136"/>
  <c r="J360" i="136" s="1"/>
  <c r="I336" i="136"/>
  <c r="I360" i="136" s="1"/>
  <c r="H336" i="136"/>
  <c r="H360" i="136" s="1"/>
  <c r="G336" i="136"/>
  <c r="G360" i="136" s="1"/>
  <c r="F336" i="136"/>
  <c r="F360" i="136" s="1"/>
  <c r="E336" i="136"/>
  <c r="E360" i="136" s="1"/>
  <c r="D336" i="136"/>
  <c r="D360" i="136" s="1"/>
  <c r="C336" i="136"/>
  <c r="C360" i="136" s="1"/>
  <c r="B336" i="136"/>
  <c r="B360" i="136" s="1"/>
  <c r="M326" i="136"/>
  <c r="M59" i="136" s="1"/>
  <c r="L326" i="136"/>
  <c r="K326" i="136"/>
  <c r="K59" i="136" s="1"/>
  <c r="J326" i="136"/>
  <c r="J59" i="136" s="1"/>
  <c r="I326" i="136"/>
  <c r="I59" i="136" s="1"/>
  <c r="H326" i="136"/>
  <c r="H59" i="136" s="1"/>
  <c r="G326" i="136"/>
  <c r="G59" i="136" s="1"/>
  <c r="F326" i="136"/>
  <c r="F59" i="136" s="1"/>
  <c r="E326" i="136"/>
  <c r="E59" i="136" s="1"/>
  <c r="D326" i="136"/>
  <c r="D59" i="136" s="1"/>
  <c r="C326" i="136"/>
  <c r="C59" i="136" s="1"/>
  <c r="B326" i="136"/>
  <c r="H318" i="136"/>
  <c r="H53" i="136" s="1"/>
  <c r="F318" i="136"/>
  <c r="B318" i="136"/>
  <c r="B53" i="136" s="1"/>
  <c r="M314" i="136"/>
  <c r="M52" i="136" s="1"/>
  <c r="L314" i="136"/>
  <c r="L52" i="136" s="1"/>
  <c r="K314" i="136"/>
  <c r="J314" i="136"/>
  <c r="J52" i="136" s="1"/>
  <c r="I314" i="136"/>
  <c r="I52" i="136" s="1"/>
  <c r="H314" i="136"/>
  <c r="H52" i="136" s="1"/>
  <c r="G314" i="136"/>
  <c r="F314" i="136"/>
  <c r="F52" i="136" s="1"/>
  <c r="E314" i="136"/>
  <c r="E52" i="136" s="1"/>
  <c r="D314" i="136"/>
  <c r="D52" i="136" s="1"/>
  <c r="C314" i="136"/>
  <c r="B314" i="136"/>
  <c r="B52" i="136" s="1"/>
  <c r="M307" i="136"/>
  <c r="M51" i="136" s="1"/>
  <c r="L307" i="136"/>
  <c r="L51" i="136" s="1"/>
  <c r="K307" i="136"/>
  <c r="J307" i="136"/>
  <c r="J51" i="136" s="1"/>
  <c r="I307" i="136"/>
  <c r="I51" i="136" s="1"/>
  <c r="H307" i="136"/>
  <c r="H51" i="136" s="1"/>
  <c r="G307" i="136"/>
  <c r="F307" i="136"/>
  <c r="F51" i="136" s="1"/>
  <c r="E307" i="136"/>
  <c r="E51" i="136" s="1"/>
  <c r="D307" i="136"/>
  <c r="D51" i="136" s="1"/>
  <c r="C307" i="136"/>
  <c r="B307" i="136"/>
  <c r="B51" i="136" s="1"/>
  <c r="M299" i="136"/>
  <c r="M50" i="136" s="1"/>
  <c r="L299" i="136"/>
  <c r="K299" i="136"/>
  <c r="J299" i="136"/>
  <c r="J50" i="136" s="1"/>
  <c r="I299" i="136"/>
  <c r="I50" i="136" s="1"/>
  <c r="H299" i="136"/>
  <c r="H50" i="136" s="1"/>
  <c r="G299" i="136"/>
  <c r="F299" i="136"/>
  <c r="F50" i="136" s="1"/>
  <c r="E299" i="136"/>
  <c r="E50" i="136" s="1"/>
  <c r="D299" i="136"/>
  <c r="D50" i="136" s="1"/>
  <c r="C299" i="136"/>
  <c r="B299" i="136"/>
  <c r="B50" i="136" s="1"/>
  <c r="M292" i="136"/>
  <c r="M49" i="136" s="1"/>
  <c r="L292" i="136"/>
  <c r="K292" i="136"/>
  <c r="J292" i="136"/>
  <c r="J49" i="136" s="1"/>
  <c r="I292" i="136"/>
  <c r="I49" i="136" s="1"/>
  <c r="H292" i="136"/>
  <c r="H49" i="136" s="1"/>
  <c r="G292" i="136"/>
  <c r="F292" i="136"/>
  <c r="F49" i="136" s="1"/>
  <c r="E292" i="136"/>
  <c r="E49" i="136" s="1"/>
  <c r="D292" i="136"/>
  <c r="C292" i="136"/>
  <c r="B292" i="136"/>
  <c r="B49" i="136" s="1"/>
  <c r="M287" i="136"/>
  <c r="M48" i="136" s="1"/>
  <c r="L287" i="136"/>
  <c r="L48" i="136" s="1"/>
  <c r="K287" i="136"/>
  <c r="J287" i="136"/>
  <c r="J48" i="136" s="1"/>
  <c r="I287" i="136"/>
  <c r="I48" i="136" s="1"/>
  <c r="H287" i="136"/>
  <c r="G287" i="136"/>
  <c r="F287" i="136"/>
  <c r="F48" i="136" s="1"/>
  <c r="E287" i="136"/>
  <c r="E48" i="136" s="1"/>
  <c r="D287" i="136"/>
  <c r="C287" i="136"/>
  <c r="B287" i="136"/>
  <c r="B48" i="136" s="1"/>
  <c r="M279" i="136"/>
  <c r="M47" i="136" s="1"/>
  <c r="L279" i="136"/>
  <c r="K279" i="136"/>
  <c r="J279" i="136"/>
  <c r="J47" i="136" s="1"/>
  <c r="I279" i="136"/>
  <c r="I47" i="136" s="1"/>
  <c r="H279" i="136"/>
  <c r="H47" i="136" s="1"/>
  <c r="G279" i="136"/>
  <c r="F279" i="136"/>
  <c r="F47" i="136" s="1"/>
  <c r="E279" i="136"/>
  <c r="E47" i="136" s="1"/>
  <c r="D279" i="136"/>
  <c r="D47" i="136" s="1"/>
  <c r="C279" i="136"/>
  <c r="B279" i="136"/>
  <c r="B47" i="136" s="1"/>
  <c r="M271" i="136"/>
  <c r="M46" i="136" s="1"/>
  <c r="L271" i="136"/>
  <c r="K271" i="136"/>
  <c r="J271" i="136"/>
  <c r="J46" i="136" s="1"/>
  <c r="I271" i="136"/>
  <c r="I46" i="136" s="1"/>
  <c r="H271" i="136"/>
  <c r="H46" i="136" s="1"/>
  <c r="G271" i="136"/>
  <c r="F271" i="136"/>
  <c r="F46" i="136" s="1"/>
  <c r="E271" i="136"/>
  <c r="E46" i="136" s="1"/>
  <c r="D271" i="136"/>
  <c r="D46" i="136" s="1"/>
  <c r="C271" i="136"/>
  <c r="B271" i="136"/>
  <c r="B46" i="136" s="1"/>
  <c r="M254" i="136"/>
  <c r="M45" i="136" s="1"/>
  <c r="L254" i="136"/>
  <c r="K254" i="136"/>
  <c r="J254" i="136"/>
  <c r="J45" i="136" s="1"/>
  <c r="I254" i="136"/>
  <c r="I45" i="136" s="1"/>
  <c r="H254" i="136"/>
  <c r="G254" i="136"/>
  <c r="F254" i="136"/>
  <c r="F45" i="136" s="1"/>
  <c r="E254" i="136"/>
  <c r="E45" i="136" s="1"/>
  <c r="D254" i="136"/>
  <c r="C254" i="136"/>
  <c r="B254" i="136"/>
  <c r="B45" i="136" s="1"/>
  <c r="M228" i="136"/>
  <c r="M44" i="136" s="1"/>
  <c r="L228" i="136"/>
  <c r="L44" i="136" s="1"/>
  <c r="K228" i="136"/>
  <c r="J228" i="136"/>
  <c r="J44" i="136" s="1"/>
  <c r="I228" i="136"/>
  <c r="I44" i="136" s="1"/>
  <c r="H228" i="136"/>
  <c r="H44" i="136" s="1"/>
  <c r="G228" i="136"/>
  <c r="F228" i="136"/>
  <c r="F44" i="136" s="1"/>
  <c r="E228" i="136"/>
  <c r="E44" i="136" s="1"/>
  <c r="D228" i="136"/>
  <c r="D44" i="136" s="1"/>
  <c r="C228" i="136"/>
  <c r="B228" i="136"/>
  <c r="B44" i="136" s="1"/>
  <c r="M212" i="136"/>
  <c r="M43" i="136" s="1"/>
  <c r="L212" i="136"/>
  <c r="K212" i="136"/>
  <c r="J212" i="136"/>
  <c r="J43" i="136" s="1"/>
  <c r="I212" i="136"/>
  <c r="H212" i="136"/>
  <c r="H43" i="136" s="1"/>
  <c r="G212" i="136"/>
  <c r="F212" i="136"/>
  <c r="F43" i="136" s="1"/>
  <c r="E212" i="136"/>
  <c r="D212" i="136"/>
  <c r="C212" i="136"/>
  <c r="B212" i="136"/>
  <c r="F201" i="136"/>
  <c r="F42" i="136" s="1"/>
  <c r="B201" i="136"/>
  <c r="B42" i="136" s="1"/>
  <c r="M196" i="136"/>
  <c r="L196" i="136"/>
  <c r="K196" i="136"/>
  <c r="J196" i="136"/>
  <c r="I196" i="136"/>
  <c r="H196" i="136"/>
  <c r="G196" i="136"/>
  <c r="G41" i="136" s="1"/>
  <c r="F196" i="136"/>
  <c r="E196" i="136"/>
  <c r="D196" i="136"/>
  <c r="C196" i="136"/>
  <c r="B196" i="136"/>
  <c r="B41" i="136" s="1"/>
  <c r="M174" i="136"/>
  <c r="L174" i="136"/>
  <c r="L36" i="136" s="1"/>
  <c r="K174" i="136"/>
  <c r="K36" i="136" s="1"/>
  <c r="J174" i="136"/>
  <c r="I174" i="136"/>
  <c r="H174" i="136"/>
  <c r="H36" i="136" s="1"/>
  <c r="G174" i="136"/>
  <c r="G36" i="136" s="1"/>
  <c r="F174" i="136"/>
  <c r="F36" i="136" s="1"/>
  <c r="E174" i="136"/>
  <c r="D174" i="136"/>
  <c r="D36" i="136" s="1"/>
  <c r="C174" i="136"/>
  <c r="C36" i="136" s="1"/>
  <c r="B174" i="136"/>
  <c r="B162" i="136"/>
  <c r="M157" i="136"/>
  <c r="M32" i="136" s="1"/>
  <c r="L157" i="136"/>
  <c r="L32" i="136" s="1"/>
  <c r="K157" i="136"/>
  <c r="J157" i="136"/>
  <c r="I157" i="136"/>
  <c r="I32" i="136" s="1"/>
  <c r="H157" i="136"/>
  <c r="H32" i="136" s="1"/>
  <c r="G157" i="136"/>
  <c r="G32" i="136" s="1"/>
  <c r="F157" i="136"/>
  <c r="E157" i="136"/>
  <c r="E32" i="136" s="1"/>
  <c r="D157" i="136"/>
  <c r="D32" i="136" s="1"/>
  <c r="C157" i="136"/>
  <c r="B157" i="136"/>
  <c r="B32" i="136" s="1"/>
  <c r="M144" i="136"/>
  <c r="L144" i="136"/>
  <c r="L164" i="136" s="1"/>
  <c r="L34" i="136" s="1"/>
  <c r="K144" i="136"/>
  <c r="J144" i="136"/>
  <c r="J31" i="136" s="1"/>
  <c r="I144" i="136"/>
  <c r="I31" i="136" s="1"/>
  <c r="H144" i="136"/>
  <c r="H164" i="136" s="1"/>
  <c r="H34" i="136" s="1"/>
  <c r="G144" i="136"/>
  <c r="G164" i="136" s="1"/>
  <c r="G34" i="136" s="1"/>
  <c r="F144" i="136"/>
  <c r="F164" i="136" s="1"/>
  <c r="F34" i="136" s="1"/>
  <c r="E144" i="136"/>
  <c r="D144" i="136"/>
  <c r="D164" i="136" s="1"/>
  <c r="D34" i="136" s="1"/>
  <c r="C144" i="136"/>
  <c r="B144" i="136"/>
  <c r="B164" i="136" s="1"/>
  <c r="B34" i="136" s="1"/>
  <c r="J136" i="136"/>
  <c r="I136" i="136"/>
  <c r="I30" i="136" s="1"/>
  <c r="H115" i="136"/>
  <c r="H26" i="136" s="1"/>
  <c r="G115" i="136"/>
  <c r="G26" i="136" s="1"/>
  <c r="F115" i="136"/>
  <c r="F26" i="136" s="1"/>
  <c r="E115" i="136"/>
  <c r="E26" i="136" s="1"/>
  <c r="D115" i="136"/>
  <c r="D26" i="136" s="1"/>
  <c r="C115" i="136"/>
  <c r="C26" i="136" s="1"/>
  <c r="M111" i="136"/>
  <c r="M25" i="136" s="1"/>
  <c r="L111" i="136"/>
  <c r="L25" i="136" s="1"/>
  <c r="I111" i="136"/>
  <c r="I25" i="136" s="1"/>
  <c r="H111" i="136"/>
  <c r="G111" i="136"/>
  <c r="G25" i="136" s="1"/>
  <c r="F111" i="136"/>
  <c r="F25" i="136" s="1"/>
  <c r="E111" i="136"/>
  <c r="E25" i="136" s="1"/>
  <c r="D111" i="136"/>
  <c r="D25" i="136" s="1"/>
  <c r="C111" i="136"/>
  <c r="C25" i="136" s="1"/>
  <c r="B111" i="136"/>
  <c r="B25" i="136" s="1"/>
  <c r="M104" i="136"/>
  <c r="M24" i="136" s="1"/>
  <c r="L104" i="136"/>
  <c r="K104" i="136"/>
  <c r="K24" i="136" s="1"/>
  <c r="I104" i="136"/>
  <c r="I24" i="136" s="1"/>
  <c r="G104" i="136"/>
  <c r="G24" i="136" s="1"/>
  <c r="F104" i="136"/>
  <c r="F24" i="136" s="1"/>
  <c r="E104" i="136"/>
  <c r="E24" i="136" s="1"/>
  <c r="C104" i="136"/>
  <c r="C24" i="136" s="1"/>
  <c r="B104" i="136"/>
  <c r="B24" i="136" s="1"/>
  <c r="I100" i="136"/>
  <c r="I23" i="136" s="1"/>
  <c r="B100" i="136"/>
  <c r="B23" i="136" s="1"/>
  <c r="M96" i="136"/>
  <c r="M22" i="136" s="1"/>
  <c r="K96" i="136"/>
  <c r="I96" i="136"/>
  <c r="G96" i="136"/>
  <c r="G22" i="136" s="1"/>
  <c r="F96" i="136"/>
  <c r="F22" i="136" s="1"/>
  <c r="E96" i="136"/>
  <c r="D96" i="136"/>
  <c r="C96" i="136"/>
  <c r="C22" i="136" s="1"/>
  <c r="B96" i="136"/>
  <c r="B22" i="136" s="1"/>
  <c r="M88" i="136"/>
  <c r="M18" i="136" s="1"/>
  <c r="L88" i="136"/>
  <c r="L18" i="136" s="1"/>
  <c r="K88" i="136"/>
  <c r="K18" i="136" s="1"/>
  <c r="J88" i="136"/>
  <c r="J18" i="136" s="1"/>
  <c r="I88" i="136"/>
  <c r="I18" i="136" s="1"/>
  <c r="H88" i="136"/>
  <c r="H18" i="136" s="1"/>
  <c r="G88" i="136"/>
  <c r="G18" i="136" s="1"/>
  <c r="F88" i="136"/>
  <c r="E88" i="136"/>
  <c r="E18" i="136" s="1"/>
  <c r="D88" i="136"/>
  <c r="D18" i="136" s="1"/>
  <c r="C88" i="136"/>
  <c r="C18" i="136" s="1"/>
  <c r="B88" i="136"/>
  <c r="B18" i="136" s="1"/>
  <c r="M84" i="136"/>
  <c r="M17" i="136" s="1"/>
  <c r="L84" i="136"/>
  <c r="L17" i="136" s="1"/>
  <c r="K84" i="136"/>
  <c r="K17" i="136" s="1"/>
  <c r="J84" i="136"/>
  <c r="I84" i="136"/>
  <c r="I17" i="136" s="1"/>
  <c r="H84" i="136"/>
  <c r="H17" i="136" s="1"/>
  <c r="G84" i="136"/>
  <c r="G17" i="136" s="1"/>
  <c r="F84" i="136"/>
  <c r="F17" i="136" s="1"/>
  <c r="E84" i="136"/>
  <c r="E17" i="136" s="1"/>
  <c r="D84" i="136"/>
  <c r="D17" i="136" s="1"/>
  <c r="C84" i="136"/>
  <c r="C17" i="136" s="1"/>
  <c r="B84" i="136"/>
  <c r="M77" i="136"/>
  <c r="M16" i="136" s="1"/>
  <c r="L77" i="136"/>
  <c r="L16" i="136" s="1"/>
  <c r="K77" i="136"/>
  <c r="K16" i="136" s="1"/>
  <c r="J77" i="136"/>
  <c r="J16" i="136" s="1"/>
  <c r="I77" i="136"/>
  <c r="I16" i="136" s="1"/>
  <c r="H77" i="136"/>
  <c r="H16" i="136" s="1"/>
  <c r="G77" i="136"/>
  <c r="G16" i="136" s="1"/>
  <c r="F77" i="136"/>
  <c r="E77" i="136"/>
  <c r="E16" i="136" s="1"/>
  <c r="D77" i="136"/>
  <c r="D16" i="136" s="1"/>
  <c r="C77" i="136"/>
  <c r="C16" i="136" s="1"/>
  <c r="B77" i="136"/>
  <c r="B16" i="136" s="1"/>
  <c r="M73" i="136"/>
  <c r="M15" i="136" s="1"/>
  <c r="L73" i="136"/>
  <c r="L15" i="136" s="1"/>
  <c r="K73" i="136"/>
  <c r="K15" i="136" s="1"/>
  <c r="J73" i="136"/>
  <c r="I73" i="136"/>
  <c r="I15" i="136" s="1"/>
  <c r="H73" i="136"/>
  <c r="H15" i="136" s="1"/>
  <c r="G73" i="136"/>
  <c r="G15" i="136" s="1"/>
  <c r="F73" i="136"/>
  <c r="F15" i="136" s="1"/>
  <c r="E73" i="136"/>
  <c r="E15" i="136" s="1"/>
  <c r="D73" i="136"/>
  <c r="D15" i="136" s="1"/>
  <c r="C73" i="136"/>
  <c r="C15" i="136" s="1"/>
  <c r="B73" i="136"/>
  <c r="M69" i="136"/>
  <c r="L69" i="136"/>
  <c r="L14" i="136" s="1"/>
  <c r="K69" i="136"/>
  <c r="J69" i="136"/>
  <c r="J14" i="136" s="1"/>
  <c r="I69" i="136"/>
  <c r="H69" i="136"/>
  <c r="G69" i="136"/>
  <c r="F69" i="136"/>
  <c r="F90" i="136" s="1"/>
  <c r="F19" i="136" s="1"/>
  <c r="E69" i="136"/>
  <c r="D69" i="136"/>
  <c r="C69" i="136"/>
  <c r="B69" i="136"/>
  <c r="B90" i="136" s="1"/>
  <c r="L59" i="136"/>
  <c r="B59" i="136"/>
  <c r="F53" i="136"/>
  <c r="K52" i="136"/>
  <c r="G52" i="136"/>
  <c r="C52" i="136"/>
  <c r="K51" i="136"/>
  <c r="G51" i="136"/>
  <c r="C51" i="136"/>
  <c r="L50" i="136"/>
  <c r="K50" i="136"/>
  <c r="G50" i="136"/>
  <c r="C50" i="136"/>
  <c r="L49" i="136"/>
  <c r="K49" i="136"/>
  <c r="G49" i="136"/>
  <c r="D49" i="136"/>
  <c r="C49" i="136"/>
  <c r="K48" i="136"/>
  <c r="H48" i="136"/>
  <c r="G48" i="136"/>
  <c r="D48" i="136"/>
  <c r="C48" i="136"/>
  <c r="L47" i="136"/>
  <c r="K47" i="136"/>
  <c r="G47" i="136"/>
  <c r="C47" i="136"/>
  <c r="L46" i="136"/>
  <c r="K46" i="136"/>
  <c r="G46" i="136"/>
  <c r="C46" i="136"/>
  <c r="L45" i="136"/>
  <c r="K45" i="136"/>
  <c r="H45" i="136"/>
  <c r="G45" i="136"/>
  <c r="D45" i="136"/>
  <c r="C45" i="136"/>
  <c r="K44" i="136"/>
  <c r="G44" i="136"/>
  <c r="C44" i="136"/>
  <c r="L43" i="136"/>
  <c r="K43" i="136"/>
  <c r="G43" i="136"/>
  <c r="D43" i="136"/>
  <c r="C43" i="136"/>
  <c r="M41" i="136"/>
  <c r="J41" i="136"/>
  <c r="I41" i="136"/>
  <c r="E41" i="136"/>
  <c r="M36" i="136"/>
  <c r="J36" i="136"/>
  <c r="I36" i="136"/>
  <c r="E36" i="136"/>
  <c r="B36" i="136"/>
  <c r="B33" i="136"/>
  <c r="K32" i="136"/>
  <c r="J32" i="136"/>
  <c r="F32" i="136"/>
  <c r="C32" i="136"/>
  <c r="F31" i="136"/>
  <c r="B31" i="136"/>
  <c r="F18" i="136"/>
  <c r="J17" i="136"/>
  <c r="B17" i="136"/>
  <c r="F16" i="136"/>
  <c r="J15" i="136"/>
  <c r="B15" i="136"/>
  <c r="F14" i="136"/>
  <c r="K9" i="136"/>
  <c r="H9" i="136"/>
  <c r="E9" i="136"/>
  <c r="M8" i="136"/>
  <c r="L8" i="136"/>
  <c r="K8" i="136"/>
  <c r="J8" i="136"/>
  <c r="I8" i="136"/>
  <c r="H8" i="136"/>
  <c r="G8" i="136"/>
  <c r="F8" i="136"/>
  <c r="E8" i="136"/>
  <c r="D8" i="136"/>
  <c r="C8" i="136"/>
  <c r="B8" i="136"/>
  <c r="M7" i="136"/>
  <c r="L7" i="136"/>
  <c r="K7" i="136"/>
  <c r="J7" i="136"/>
  <c r="I7" i="136"/>
  <c r="H7" i="136"/>
  <c r="G7" i="136"/>
  <c r="F7" i="136"/>
  <c r="E7" i="136"/>
  <c r="D7" i="136"/>
  <c r="C7" i="136"/>
  <c r="B7" i="136"/>
  <c r="M6" i="136"/>
  <c r="L6" i="136"/>
  <c r="K6" i="136"/>
  <c r="J6" i="136"/>
  <c r="I6" i="136"/>
  <c r="H6" i="136"/>
  <c r="G6" i="136"/>
  <c r="F6" i="136"/>
  <c r="E6" i="136"/>
  <c r="D6" i="136"/>
  <c r="C6" i="136"/>
  <c r="B6" i="136"/>
  <c r="M5" i="136"/>
  <c r="L5" i="136"/>
  <c r="K5" i="136"/>
  <c r="J5" i="136"/>
  <c r="I5" i="136"/>
  <c r="H5" i="136"/>
  <c r="G5" i="136"/>
  <c r="F5" i="136"/>
  <c r="E5" i="136"/>
  <c r="D5" i="136"/>
  <c r="C5" i="136"/>
  <c r="B5" i="136"/>
  <c r="M4" i="136"/>
  <c r="L4" i="136"/>
  <c r="K4" i="136"/>
  <c r="J4" i="136"/>
  <c r="I4" i="136"/>
  <c r="H4" i="136"/>
  <c r="G4" i="136"/>
  <c r="F4" i="136"/>
  <c r="E4" i="136"/>
  <c r="D4" i="136"/>
  <c r="C4" i="136"/>
  <c r="B4" i="136"/>
  <c r="M256" i="135"/>
  <c r="M5" i="135" s="1"/>
  <c r="L256" i="135"/>
  <c r="L5" i="135" s="1"/>
  <c r="K256" i="135"/>
  <c r="K5" i="135" s="1"/>
  <c r="J256" i="135"/>
  <c r="J5" i="135" s="1"/>
  <c r="I256" i="135"/>
  <c r="H256" i="135"/>
  <c r="H5" i="135" s="1"/>
  <c r="G256" i="135"/>
  <c r="G5" i="135" s="1"/>
  <c r="F256" i="135"/>
  <c r="E256" i="135"/>
  <c r="E5" i="135" s="1"/>
  <c r="D256" i="135"/>
  <c r="D5" i="135" s="1"/>
  <c r="C256" i="135"/>
  <c r="C5" i="135" s="1"/>
  <c r="B256" i="135"/>
  <c r="M250" i="135"/>
  <c r="M252" i="135" s="1"/>
  <c r="L250" i="135"/>
  <c r="L252" i="135" s="1"/>
  <c r="K250" i="135"/>
  <c r="K252" i="135" s="1"/>
  <c r="J250" i="135"/>
  <c r="J252" i="135" s="1"/>
  <c r="I250" i="135"/>
  <c r="I252" i="135" s="1"/>
  <c r="H250" i="135"/>
  <c r="H252" i="135" s="1"/>
  <c r="G250" i="135"/>
  <c r="G252" i="135" s="1"/>
  <c r="F250" i="135"/>
  <c r="F252" i="135" s="1"/>
  <c r="E250" i="135"/>
  <c r="E252" i="135" s="1"/>
  <c r="D250" i="135"/>
  <c r="D252" i="135" s="1"/>
  <c r="C250" i="135"/>
  <c r="C252" i="135" s="1"/>
  <c r="B250" i="135"/>
  <c r="B252" i="135" s="1"/>
  <c r="M226" i="135"/>
  <c r="M41" i="135" s="1"/>
  <c r="L226" i="135"/>
  <c r="L41" i="135" s="1"/>
  <c r="K226" i="135"/>
  <c r="K41" i="135" s="1"/>
  <c r="J226" i="135"/>
  <c r="I226" i="135"/>
  <c r="H226" i="135"/>
  <c r="H41" i="135" s="1"/>
  <c r="G226" i="135"/>
  <c r="G41" i="135" s="1"/>
  <c r="F226" i="135"/>
  <c r="F41" i="135" s="1"/>
  <c r="E226" i="135"/>
  <c r="D226" i="135"/>
  <c r="D41" i="135" s="1"/>
  <c r="C226" i="135"/>
  <c r="C41" i="135" s="1"/>
  <c r="B226" i="135"/>
  <c r="F218" i="135"/>
  <c r="F35" i="135" s="1"/>
  <c r="M214" i="135"/>
  <c r="L214" i="135"/>
  <c r="L34" i="135" s="1"/>
  <c r="K214" i="135"/>
  <c r="K34" i="135" s="1"/>
  <c r="J214" i="135"/>
  <c r="J34" i="135" s="1"/>
  <c r="I214" i="135"/>
  <c r="I34" i="135" s="1"/>
  <c r="H214" i="135"/>
  <c r="H34" i="135" s="1"/>
  <c r="G214" i="135"/>
  <c r="G34" i="135" s="1"/>
  <c r="F214" i="135"/>
  <c r="F34" i="135" s="1"/>
  <c r="E214" i="135"/>
  <c r="D214" i="135"/>
  <c r="D34" i="135" s="1"/>
  <c r="C214" i="135"/>
  <c r="C34" i="135" s="1"/>
  <c r="B214" i="135"/>
  <c r="B34" i="135" s="1"/>
  <c r="M208" i="135"/>
  <c r="L208" i="135"/>
  <c r="L33" i="135" s="1"/>
  <c r="K208" i="135"/>
  <c r="K33" i="135" s="1"/>
  <c r="J208" i="135"/>
  <c r="J33" i="135" s="1"/>
  <c r="I208" i="135"/>
  <c r="H208" i="135"/>
  <c r="H33" i="135" s="1"/>
  <c r="G208" i="135"/>
  <c r="G33" i="135" s="1"/>
  <c r="F208" i="135"/>
  <c r="F33" i="135" s="1"/>
  <c r="E208" i="135"/>
  <c r="E33" i="135" s="1"/>
  <c r="D208" i="135"/>
  <c r="D33" i="135" s="1"/>
  <c r="C208" i="135"/>
  <c r="C33" i="135" s="1"/>
  <c r="B208" i="135"/>
  <c r="B33" i="135" s="1"/>
  <c r="M201" i="135"/>
  <c r="M32" i="135" s="1"/>
  <c r="L201" i="135"/>
  <c r="L32" i="135" s="1"/>
  <c r="K201" i="135"/>
  <c r="K32" i="135" s="1"/>
  <c r="J201" i="135"/>
  <c r="J32" i="135" s="1"/>
  <c r="I201" i="135"/>
  <c r="H201" i="135"/>
  <c r="H32" i="135" s="1"/>
  <c r="G201" i="135"/>
  <c r="G32" i="135" s="1"/>
  <c r="F201" i="135"/>
  <c r="F32" i="135" s="1"/>
  <c r="E201" i="135"/>
  <c r="D201" i="135"/>
  <c r="D32" i="135" s="1"/>
  <c r="C201" i="135"/>
  <c r="C32" i="135" s="1"/>
  <c r="B201" i="135"/>
  <c r="B32" i="135" s="1"/>
  <c r="M192" i="135"/>
  <c r="L192" i="135"/>
  <c r="L31" i="135" s="1"/>
  <c r="K192" i="135"/>
  <c r="K31" i="135" s="1"/>
  <c r="J192" i="135"/>
  <c r="J31" i="135" s="1"/>
  <c r="I192" i="135"/>
  <c r="I31" i="135" s="1"/>
  <c r="H192" i="135"/>
  <c r="H31" i="135" s="1"/>
  <c r="G192" i="135"/>
  <c r="G31" i="135" s="1"/>
  <c r="F192" i="135"/>
  <c r="E192" i="135"/>
  <c r="D192" i="135"/>
  <c r="D31" i="135" s="1"/>
  <c r="C192" i="135"/>
  <c r="C31" i="135" s="1"/>
  <c r="B192" i="135"/>
  <c r="B31" i="135" s="1"/>
  <c r="M184" i="135"/>
  <c r="L184" i="135"/>
  <c r="L30" i="135" s="1"/>
  <c r="K184" i="135"/>
  <c r="K30" i="135" s="1"/>
  <c r="J184" i="135"/>
  <c r="J30" i="135" s="1"/>
  <c r="I184" i="135"/>
  <c r="I30" i="135" s="1"/>
  <c r="H184" i="135"/>
  <c r="H30" i="135" s="1"/>
  <c r="G184" i="135"/>
  <c r="G30" i="135" s="1"/>
  <c r="F184" i="135"/>
  <c r="F30" i="135" s="1"/>
  <c r="E184" i="135"/>
  <c r="D184" i="135"/>
  <c r="D30" i="135" s="1"/>
  <c r="C184" i="135"/>
  <c r="C30" i="135" s="1"/>
  <c r="B184" i="135"/>
  <c r="B30" i="135" s="1"/>
  <c r="M178" i="135"/>
  <c r="M29" i="135" s="1"/>
  <c r="L178" i="135"/>
  <c r="L29" i="135" s="1"/>
  <c r="K178" i="135"/>
  <c r="K29" i="135" s="1"/>
  <c r="J178" i="135"/>
  <c r="J29" i="135" s="1"/>
  <c r="I178" i="135"/>
  <c r="H178" i="135"/>
  <c r="H29" i="135" s="1"/>
  <c r="G178" i="135"/>
  <c r="G29" i="135" s="1"/>
  <c r="F178" i="135"/>
  <c r="F29" i="135" s="1"/>
  <c r="E178" i="135"/>
  <c r="E29" i="135" s="1"/>
  <c r="D178" i="135"/>
  <c r="D29" i="135" s="1"/>
  <c r="C178" i="135"/>
  <c r="C29" i="135" s="1"/>
  <c r="B178" i="135"/>
  <c r="B29" i="135" s="1"/>
  <c r="M164" i="135"/>
  <c r="L164" i="135"/>
  <c r="L28" i="135" s="1"/>
  <c r="K164" i="135"/>
  <c r="K28" i="135" s="1"/>
  <c r="J164" i="135"/>
  <c r="I164" i="135"/>
  <c r="I28" i="135" s="1"/>
  <c r="H164" i="135"/>
  <c r="H28" i="135" s="1"/>
  <c r="G164" i="135"/>
  <c r="G28" i="135" s="1"/>
  <c r="F164" i="135"/>
  <c r="F28" i="135" s="1"/>
  <c r="E164" i="135"/>
  <c r="E28" i="135" s="1"/>
  <c r="D164" i="135"/>
  <c r="D28" i="135" s="1"/>
  <c r="C164" i="135"/>
  <c r="C28" i="135" s="1"/>
  <c r="B164" i="135"/>
  <c r="B28" i="135" s="1"/>
  <c r="M143" i="135"/>
  <c r="L143" i="135"/>
  <c r="L27" i="135" s="1"/>
  <c r="K143" i="135"/>
  <c r="K27" i="135" s="1"/>
  <c r="J143" i="135"/>
  <c r="J27" i="135" s="1"/>
  <c r="I143" i="135"/>
  <c r="H143" i="135"/>
  <c r="H27" i="135" s="1"/>
  <c r="G143" i="135"/>
  <c r="G27" i="135" s="1"/>
  <c r="F143" i="135"/>
  <c r="F27" i="135" s="1"/>
  <c r="E143" i="135"/>
  <c r="D143" i="135"/>
  <c r="D27" i="135" s="1"/>
  <c r="C143" i="135"/>
  <c r="C27" i="135" s="1"/>
  <c r="B143" i="135"/>
  <c r="B27" i="135" s="1"/>
  <c r="M130" i="135"/>
  <c r="L130" i="135"/>
  <c r="K130" i="135"/>
  <c r="J130" i="135"/>
  <c r="J220" i="135" s="1"/>
  <c r="J37" i="135" s="1"/>
  <c r="I130" i="135"/>
  <c r="I220" i="135" s="1"/>
  <c r="I37" i="135" s="1"/>
  <c r="H130" i="135"/>
  <c r="G130" i="135"/>
  <c r="F130" i="135"/>
  <c r="E130" i="135"/>
  <c r="E220" i="135" s="1"/>
  <c r="E37" i="135" s="1"/>
  <c r="D130" i="135"/>
  <c r="C130" i="135"/>
  <c r="B130" i="135"/>
  <c r="B220" i="135" s="1"/>
  <c r="B37" i="135" s="1"/>
  <c r="L116" i="135"/>
  <c r="L21" i="135" s="1"/>
  <c r="K116" i="135"/>
  <c r="K21" i="135" s="1"/>
  <c r="J116" i="135"/>
  <c r="J21" i="135" s="1"/>
  <c r="I116" i="135"/>
  <c r="I21" i="135" s="1"/>
  <c r="B116" i="135"/>
  <c r="M110" i="135"/>
  <c r="L110" i="135"/>
  <c r="K110" i="135"/>
  <c r="K112" i="135" s="1"/>
  <c r="K19" i="135" s="1"/>
  <c r="J110" i="135"/>
  <c r="J112" i="135" s="1"/>
  <c r="J19" i="135" s="1"/>
  <c r="I110" i="135"/>
  <c r="H110" i="135"/>
  <c r="G110" i="135"/>
  <c r="F110" i="135"/>
  <c r="F112" i="135" s="1"/>
  <c r="F19" i="135" s="1"/>
  <c r="E110" i="135"/>
  <c r="D110" i="135"/>
  <c r="C110" i="135"/>
  <c r="C112" i="135" s="1"/>
  <c r="C19" i="135" s="1"/>
  <c r="B110" i="135"/>
  <c r="B89" i="135"/>
  <c r="M66" i="135"/>
  <c r="L66" i="135"/>
  <c r="K66" i="135"/>
  <c r="K68" i="135" s="1"/>
  <c r="J66" i="135"/>
  <c r="J10" i="135" s="1"/>
  <c r="I66" i="135"/>
  <c r="H66" i="135"/>
  <c r="H68" i="135" s="1"/>
  <c r="H11" i="135" s="1"/>
  <c r="G66" i="135"/>
  <c r="G68" i="135" s="1"/>
  <c r="F66" i="135"/>
  <c r="F10" i="135" s="1"/>
  <c r="E66" i="135"/>
  <c r="D66" i="135"/>
  <c r="C66" i="135"/>
  <c r="C68" i="135" s="1"/>
  <c r="B66" i="135"/>
  <c r="B10" i="135" s="1"/>
  <c r="J41" i="135"/>
  <c r="I41" i="135"/>
  <c r="E41" i="135"/>
  <c r="B41" i="135"/>
  <c r="M34" i="135"/>
  <c r="E34" i="135"/>
  <c r="M33" i="135"/>
  <c r="I33" i="135"/>
  <c r="I32" i="135"/>
  <c r="E32" i="135"/>
  <c r="M31" i="135"/>
  <c r="F31" i="135"/>
  <c r="E31" i="135"/>
  <c r="M30" i="135"/>
  <c r="E30" i="135"/>
  <c r="I29" i="135"/>
  <c r="M28" i="135"/>
  <c r="J28" i="135"/>
  <c r="M27" i="135"/>
  <c r="I27" i="135"/>
  <c r="E27" i="135"/>
  <c r="E26" i="135"/>
  <c r="B26" i="135"/>
  <c r="B21" i="135"/>
  <c r="F18" i="135"/>
  <c r="K10" i="135"/>
  <c r="G10" i="135"/>
  <c r="I5" i="135"/>
  <c r="F5" i="135"/>
  <c r="B5" i="135"/>
  <c r="M4" i="135"/>
  <c r="L4" i="135"/>
  <c r="K4" i="135"/>
  <c r="J4" i="135"/>
  <c r="I4" i="135"/>
  <c r="H4" i="135"/>
  <c r="G4" i="135"/>
  <c r="F4" i="135"/>
  <c r="E4" i="135"/>
  <c r="D4" i="135"/>
  <c r="C4" i="135"/>
  <c r="B4" i="135"/>
  <c r="M366" i="134"/>
  <c r="M9" i="134" s="1"/>
  <c r="L366" i="134"/>
  <c r="K366" i="134"/>
  <c r="J366" i="134"/>
  <c r="J9" i="134" s="1"/>
  <c r="I366" i="134"/>
  <c r="I9" i="134" s="1"/>
  <c r="H366" i="134"/>
  <c r="H9" i="134" s="1"/>
  <c r="G366" i="134"/>
  <c r="F366" i="134"/>
  <c r="F9" i="134" s="1"/>
  <c r="E366" i="134"/>
  <c r="D366" i="134"/>
  <c r="D9" i="134" s="1"/>
  <c r="C366" i="134"/>
  <c r="C9" i="134" s="1"/>
  <c r="B366" i="134"/>
  <c r="B9" i="134" s="1"/>
  <c r="M360" i="134"/>
  <c r="L360" i="134"/>
  <c r="K360" i="134"/>
  <c r="J360" i="134"/>
  <c r="I360" i="134"/>
  <c r="H360" i="134"/>
  <c r="G360" i="134"/>
  <c r="F360" i="134"/>
  <c r="E360" i="134"/>
  <c r="D360" i="134"/>
  <c r="C360" i="134"/>
  <c r="B360" i="134"/>
  <c r="M355" i="134"/>
  <c r="L355" i="134"/>
  <c r="K355" i="134"/>
  <c r="J355" i="134"/>
  <c r="I355" i="134"/>
  <c r="H355" i="134"/>
  <c r="G355" i="134"/>
  <c r="F355" i="134"/>
  <c r="E355" i="134"/>
  <c r="D355" i="134"/>
  <c r="C355" i="134"/>
  <c r="B355" i="134"/>
  <c r="M347" i="134"/>
  <c r="L347" i="134"/>
  <c r="K347" i="134"/>
  <c r="J347" i="134"/>
  <c r="I347" i="134"/>
  <c r="H347" i="134"/>
  <c r="G347" i="134"/>
  <c r="F347" i="134"/>
  <c r="E347" i="134"/>
  <c r="D347" i="134"/>
  <c r="C347" i="134"/>
  <c r="B347" i="134"/>
  <c r="M342" i="134"/>
  <c r="L342" i="134"/>
  <c r="K342" i="134"/>
  <c r="J342" i="134"/>
  <c r="I342" i="134"/>
  <c r="H342" i="134"/>
  <c r="G342" i="134"/>
  <c r="F342" i="134"/>
  <c r="E342" i="134"/>
  <c r="D342" i="134"/>
  <c r="C342" i="134"/>
  <c r="B342" i="134"/>
  <c r="M337" i="134"/>
  <c r="M362" i="134" s="1"/>
  <c r="L337" i="134"/>
  <c r="L362" i="134" s="1"/>
  <c r="K337" i="134"/>
  <c r="K362" i="134" s="1"/>
  <c r="J337" i="134"/>
  <c r="J362" i="134" s="1"/>
  <c r="I337" i="134"/>
  <c r="I362" i="134" s="1"/>
  <c r="H337" i="134"/>
  <c r="H362" i="134" s="1"/>
  <c r="G337" i="134"/>
  <c r="G362" i="134" s="1"/>
  <c r="F337" i="134"/>
  <c r="F362" i="134" s="1"/>
  <c r="E337" i="134"/>
  <c r="E362" i="134" s="1"/>
  <c r="D337" i="134"/>
  <c r="D362" i="134" s="1"/>
  <c r="C337" i="134"/>
  <c r="C362" i="134" s="1"/>
  <c r="B337" i="134"/>
  <c r="B362" i="134" s="1"/>
  <c r="K327" i="134"/>
  <c r="J327" i="134"/>
  <c r="I327" i="134"/>
  <c r="H327" i="134"/>
  <c r="H58" i="134" s="1"/>
  <c r="G327" i="134"/>
  <c r="G58" i="134" s="1"/>
  <c r="F327" i="134"/>
  <c r="F58" i="134" s="1"/>
  <c r="E327" i="134"/>
  <c r="E58" i="134" s="1"/>
  <c r="D327" i="134"/>
  <c r="D58" i="134" s="1"/>
  <c r="C327" i="134"/>
  <c r="C58" i="134" s="1"/>
  <c r="B327" i="134"/>
  <c r="B58" i="134" s="1"/>
  <c r="M320" i="134"/>
  <c r="M52" i="134" s="1"/>
  <c r="F320" i="134"/>
  <c r="F52" i="134" s="1"/>
  <c r="D320" i="134"/>
  <c r="B320" i="134"/>
  <c r="M316" i="134"/>
  <c r="M51" i="134" s="1"/>
  <c r="L316" i="134"/>
  <c r="L51" i="134" s="1"/>
  <c r="K316" i="134"/>
  <c r="K51" i="134" s="1"/>
  <c r="J316" i="134"/>
  <c r="I316" i="134"/>
  <c r="H316" i="134"/>
  <c r="H51" i="134" s="1"/>
  <c r="G316" i="134"/>
  <c r="F316" i="134"/>
  <c r="F51" i="134" s="1"/>
  <c r="E316" i="134"/>
  <c r="E51" i="134" s="1"/>
  <c r="D316" i="134"/>
  <c r="D51" i="134" s="1"/>
  <c r="C316" i="134"/>
  <c r="C51" i="134" s="1"/>
  <c r="B316" i="134"/>
  <c r="B51" i="134" s="1"/>
  <c r="M310" i="134"/>
  <c r="M50" i="134" s="1"/>
  <c r="L310" i="134"/>
  <c r="L50" i="134" s="1"/>
  <c r="K310" i="134"/>
  <c r="J310" i="134"/>
  <c r="I310" i="134"/>
  <c r="I50" i="134" s="1"/>
  <c r="H310" i="134"/>
  <c r="H50" i="134" s="1"/>
  <c r="G310" i="134"/>
  <c r="G50" i="134" s="1"/>
  <c r="F310" i="134"/>
  <c r="F50" i="134" s="1"/>
  <c r="E310" i="134"/>
  <c r="D310" i="134"/>
  <c r="D50" i="134" s="1"/>
  <c r="C310" i="134"/>
  <c r="B310" i="134"/>
  <c r="B50" i="134" s="1"/>
  <c r="M304" i="134"/>
  <c r="M49" i="134" s="1"/>
  <c r="L304" i="134"/>
  <c r="L49" i="134" s="1"/>
  <c r="K304" i="134"/>
  <c r="J304" i="134"/>
  <c r="J49" i="134" s="1"/>
  <c r="I304" i="134"/>
  <c r="I49" i="134" s="1"/>
  <c r="H304" i="134"/>
  <c r="H49" i="134" s="1"/>
  <c r="G304" i="134"/>
  <c r="G49" i="134" s="1"/>
  <c r="F304" i="134"/>
  <c r="F49" i="134" s="1"/>
  <c r="E304" i="134"/>
  <c r="E49" i="134" s="1"/>
  <c r="D304" i="134"/>
  <c r="D49" i="134" s="1"/>
  <c r="C304" i="134"/>
  <c r="B304" i="134"/>
  <c r="M295" i="134"/>
  <c r="M48" i="134" s="1"/>
  <c r="L295" i="134"/>
  <c r="L48" i="134" s="1"/>
  <c r="K295" i="134"/>
  <c r="K48" i="134" s="1"/>
  <c r="J295" i="134"/>
  <c r="J48" i="134" s="1"/>
  <c r="I295" i="134"/>
  <c r="H295" i="134"/>
  <c r="H48" i="134" s="1"/>
  <c r="G295" i="134"/>
  <c r="F295" i="134"/>
  <c r="E295" i="134"/>
  <c r="E48" i="134" s="1"/>
  <c r="D295" i="134"/>
  <c r="D48" i="134" s="1"/>
  <c r="C295" i="134"/>
  <c r="C48" i="134" s="1"/>
  <c r="B295" i="134"/>
  <c r="M290" i="134"/>
  <c r="L290" i="134"/>
  <c r="L47" i="134" s="1"/>
  <c r="K290" i="134"/>
  <c r="J290" i="134"/>
  <c r="J47" i="134" s="1"/>
  <c r="I290" i="134"/>
  <c r="I47" i="134" s="1"/>
  <c r="H290" i="134"/>
  <c r="H47" i="134" s="1"/>
  <c r="G290" i="134"/>
  <c r="F290" i="134"/>
  <c r="F47" i="134" s="1"/>
  <c r="E290" i="134"/>
  <c r="D290" i="134"/>
  <c r="D47" i="134" s="1"/>
  <c r="C290" i="134"/>
  <c r="C47" i="134" s="1"/>
  <c r="B290" i="134"/>
  <c r="B47" i="134" s="1"/>
  <c r="M280" i="134"/>
  <c r="M46" i="134" s="1"/>
  <c r="L280" i="134"/>
  <c r="L46" i="134" s="1"/>
  <c r="K280" i="134"/>
  <c r="J280" i="134"/>
  <c r="I280" i="134"/>
  <c r="I46" i="134" s="1"/>
  <c r="H280" i="134"/>
  <c r="H46" i="134" s="1"/>
  <c r="G280" i="134"/>
  <c r="G46" i="134" s="1"/>
  <c r="F280" i="134"/>
  <c r="E280" i="134"/>
  <c r="D280" i="134"/>
  <c r="D46" i="134" s="1"/>
  <c r="C280" i="134"/>
  <c r="B280" i="134"/>
  <c r="B46" i="134" s="1"/>
  <c r="M270" i="134"/>
  <c r="M45" i="134" s="1"/>
  <c r="L270" i="134"/>
  <c r="L45" i="134" s="1"/>
  <c r="K270" i="134"/>
  <c r="K45" i="134" s="1"/>
  <c r="J270" i="134"/>
  <c r="J45" i="134" s="1"/>
  <c r="I270" i="134"/>
  <c r="I45" i="134" s="1"/>
  <c r="H270" i="134"/>
  <c r="H45" i="134" s="1"/>
  <c r="G270" i="134"/>
  <c r="F270" i="134"/>
  <c r="E270" i="134"/>
  <c r="E45" i="134" s="1"/>
  <c r="D270" i="134"/>
  <c r="D45" i="134" s="1"/>
  <c r="C270" i="134"/>
  <c r="C45" i="134" s="1"/>
  <c r="B270" i="134"/>
  <c r="B45" i="134" s="1"/>
  <c r="M253" i="134"/>
  <c r="L253" i="134"/>
  <c r="L44" i="134" s="1"/>
  <c r="K253" i="134"/>
  <c r="J253" i="134"/>
  <c r="J44" i="134" s="1"/>
  <c r="I253" i="134"/>
  <c r="I44" i="134" s="1"/>
  <c r="H253" i="134"/>
  <c r="H44" i="134" s="1"/>
  <c r="G253" i="134"/>
  <c r="F253" i="134"/>
  <c r="F44" i="134" s="1"/>
  <c r="E253" i="134"/>
  <c r="E44" i="134" s="1"/>
  <c r="D253" i="134"/>
  <c r="D44" i="134" s="1"/>
  <c r="C253" i="134"/>
  <c r="C44" i="134" s="1"/>
  <c r="B253" i="134"/>
  <c r="B44" i="134" s="1"/>
  <c r="M228" i="134"/>
  <c r="M43" i="134" s="1"/>
  <c r="L228" i="134"/>
  <c r="L43" i="134" s="1"/>
  <c r="K228" i="134"/>
  <c r="J228" i="134"/>
  <c r="I228" i="134"/>
  <c r="I43" i="134" s="1"/>
  <c r="H228" i="134"/>
  <c r="H43" i="134" s="1"/>
  <c r="G228" i="134"/>
  <c r="G43" i="134" s="1"/>
  <c r="F228" i="134"/>
  <c r="F43" i="134" s="1"/>
  <c r="E228" i="134"/>
  <c r="D228" i="134"/>
  <c r="D43" i="134" s="1"/>
  <c r="C228" i="134"/>
  <c r="B228" i="134"/>
  <c r="M212" i="134"/>
  <c r="M42" i="134" s="1"/>
  <c r="L212" i="134"/>
  <c r="L42" i="134" s="1"/>
  <c r="K212" i="134"/>
  <c r="K42" i="134" s="1"/>
  <c r="J212" i="134"/>
  <c r="I212" i="134"/>
  <c r="H212" i="134"/>
  <c r="H42" i="134" s="1"/>
  <c r="G212" i="134"/>
  <c r="F212" i="134"/>
  <c r="F42" i="134" s="1"/>
  <c r="E212" i="134"/>
  <c r="E42" i="134" s="1"/>
  <c r="D212" i="134"/>
  <c r="D42" i="134" s="1"/>
  <c r="C212" i="134"/>
  <c r="B212" i="134"/>
  <c r="B42" i="134" s="1"/>
  <c r="F201" i="134"/>
  <c r="E201" i="134"/>
  <c r="E41" i="134" s="1"/>
  <c r="D201" i="134"/>
  <c r="D41" i="134" s="1"/>
  <c r="C201" i="134"/>
  <c r="C41" i="134" s="1"/>
  <c r="B201" i="134"/>
  <c r="B41" i="134" s="1"/>
  <c r="M193" i="134"/>
  <c r="L193" i="134"/>
  <c r="K193" i="134"/>
  <c r="J193" i="134"/>
  <c r="I193" i="134"/>
  <c r="H193" i="134"/>
  <c r="H40" i="134" s="1"/>
  <c r="G193" i="134"/>
  <c r="F193" i="134"/>
  <c r="E193" i="134"/>
  <c r="D193" i="134"/>
  <c r="C193" i="134"/>
  <c r="B193" i="134"/>
  <c r="B40" i="134" s="1"/>
  <c r="M170" i="134"/>
  <c r="M35" i="134" s="1"/>
  <c r="L170" i="134"/>
  <c r="L35" i="134" s="1"/>
  <c r="K170" i="134"/>
  <c r="K35" i="134" s="1"/>
  <c r="J170" i="134"/>
  <c r="J35" i="134" s="1"/>
  <c r="I170" i="134"/>
  <c r="I35" i="134" s="1"/>
  <c r="H170" i="134"/>
  <c r="G170" i="134"/>
  <c r="G35" i="134" s="1"/>
  <c r="F170" i="134"/>
  <c r="F35" i="134" s="1"/>
  <c r="E170" i="134"/>
  <c r="E35" i="134" s="1"/>
  <c r="D170" i="134"/>
  <c r="D35" i="134" s="1"/>
  <c r="C170" i="134"/>
  <c r="C35" i="134" s="1"/>
  <c r="B170" i="134"/>
  <c r="M159" i="134"/>
  <c r="M32" i="134" s="1"/>
  <c r="L159" i="134"/>
  <c r="K159" i="134"/>
  <c r="J159" i="134"/>
  <c r="J32" i="134" s="1"/>
  <c r="I159" i="134"/>
  <c r="I32" i="134" s="1"/>
  <c r="H159" i="134"/>
  <c r="H32" i="134" s="1"/>
  <c r="G159" i="134"/>
  <c r="G32" i="134" s="1"/>
  <c r="F159" i="134"/>
  <c r="E159" i="134"/>
  <c r="E32" i="134" s="1"/>
  <c r="D159" i="134"/>
  <c r="C159" i="134"/>
  <c r="B159" i="134"/>
  <c r="M145" i="134"/>
  <c r="L145" i="134"/>
  <c r="L164" i="134" s="1"/>
  <c r="L33" i="134" s="1"/>
  <c r="K145" i="134"/>
  <c r="J145" i="134"/>
  <c r="J164" i="134" s="1"/>
  <c r="J33" i="134" s="1"/>
  <c r="I145" i="134"/>
  <c r="H145" i="134"/>
  <c r="H164" i="134" s="1"/>
  <c r="H33" i="134" s="1"/>
  <c r="G145" i="134"/>
  <c r="G31" i="134" s="1"/>
  <c r="F145" i="134"/>
  <c r="F31" i="134" s="1"/>
  <c r="E145" i="134"/>
  <c r="E31" i="134" s="1"/>
  <c r="D145" i="134"/>
  <c r="C145" i="134"/>
  <c r="C164" i="134" s="1"/>
  <c r="C33" i="134" s="1"/>
  <c r="B145" i="134"/>
  <c r="B164" i="134" s="1"/>
  <c r="G138" i="134"/>
  <c r="F138" i="134"/>
  <c r="M114" i="134"/>
  <c r="M26" i="134" s="1"/>
  <c r="L114" i="134"/>
  <c r="L26" i="134" s="1"/>
  <c r="K114" i="134"/>
  <c r="K26" i="134" s="1"/>
  <c r="I114" i="134"/>
  <c r="I26" i="134" s="1"/>
  <c r="E114" i="134"/>
  <c r="D114" i="134"/>
  <c r="C114" i="134"/>
  <c r="C26" i="134" s="1"/>
  <c r="B114" i="134"/>
  <c r="M110" i="134"/>
  <c r="M25" i="134" s="1"/>
  <c r="L110" i="134"/>
  <c r="L25" i="134" s="1"/>
  <c r="I110" i="134"/>
  <c r="I25" i="134" s="1"/>
  <c r="F110" i="134"/>
  <c r="F116" i="134" s="1"/>
  <c r="F27" i="134" s="1"/>
  <c r="D110" i="134"/>
  <c r="D25" i="134" s="1"/>
  <c r="M103" i="134"/>
  <c r="L103" i="134"/>
  <c r="L24" i="134" s="1"/>
  <c r="K103" i="134"/>
  <c r="I103" i="134"/>
  <c r="H103" i="134"/>
  <c r="G103" i="134"/>
  <c r="G24" i="134" s="1"/>
  <c r="E103" i="134"/>
  <c r="E24" i="134" s="1"/>
  <c r="D103" i="134"/>
  <c r="B103" i="134"/>
  <c r="B24" i="134" s="1"/>
  <c r="M99" i="134"/>
  <c r="M23" i="134" s="1"/>
  <c r="I99" i="134"/>
  <c r="I23" i="134" s="1"/>
  <c r="E99" i="134"/>
  <c r="E23" i="134" s="1"/>
  <c r="B99" i="134"/>
  <c r="B23" i="134" s="1"/>
  <c r="M95" i="134"/>
  <c r="M22" i="134" s="1"/>
  <c r="L95" i="134"/>
  <c r="K95" i="134"/>
  <c r="I95" i="134"/>
  <c r="G95" i="134"/>
  <c r="E95" i="134"/>
  <c r="D95" i="134"/>
  <c r="D22" i="134" s="1"/>
  <c r="C95" i="134"/>
  <c r="B95" i="134"/>
  <c r="B22" i="134" s="1"/>
  <c r="M87" i="134"/>
  <c r="M18" i="134" s="1"/>
  <c r="L87" i="134"/>
  <c r="L18" i="134" s="1"/>
  <c r="K87" i="134"/>
  <c r="K18" i="134" s="1"/>
  <c r="J87" i="134"/>
  <c r="J18" i="134" s="1"/>
  <c r="I87" i="134"/>
  <c r="I18" i="134" s="1"/>
  <c r="H87" i="134"/>
  <c r="G87" i="134"/>
  <c r="F87" i="134"/>
  <c r="F18" i="134" s="1"/>
  <c r="E87" i="134"/>
  <c r="E18" i="134" s="1"/>
  <c r="D87" i="134"/>
  <c r="D18" i="134" s="1"/>
  <c r="C87" i="134"/>
  <c r="C18" i="134" s="1"/>
  <c r="B87" i="134"/>
  <c r="B18" i="134" s="1"/>
  <c r="M83" i="134"/>
  <c r="M17" i="134" s="1"/>
  <c r="L83" i="134"/>
  <c r="L17" i="134" s="1"/>
  <c r="K83" i="134"/>
  <c r="K17" i="134" s="1"/>
  <c r="J83" i="134"/>
  <c r="J17" i="134" s="1"/>
  <c r="I83" i="134"/>
  <c r="I17" i="134" s="1"/>
  <c r="H83" i="134"/>
  <c r="H17" i="134" s="1"/>
  <c r="G83" i="134"/>
  <c r="F83" i="134"/>
  <c r="F17" i="134" s="1"/>
  <c r="E83" i="134"/>
  <c r="E17" i="134" s="1"/>
  <c r="D83" i="134"/>
  <c r="D17" i="134" s="1"/>
  <c r="C83" i="134"/>
  <c r="C17" i="134" s="1"/>
  <c r="B83" i="134"/>
  <c r="B17" i="134" s="1"/>
  <c r="M76" i="134"/>
  <c r="M16" i="134" s="1"/>
  <c r="L76" i="134"/>
  <c r="K76" i="134"/>
  <c r="J76" i="134"/>
  <c r="J16" i="134" s="1"/>
  <c r="I76" i="134"/>
  <c r="I16" i="134" s="1"/>
  <c r="H76" i="134"/>
  <c r="H16" i="134" s="1"/>
  <c r="G76" i="134"/>
  <c r="F76" i="134"/>
  <c r="F16" i="134" s="1"/>
  <c r="E76" i="134"/>
  <c r="E16" i="134" s="1"/>
  <c r="D76" i="134"/>
  <c r="D16" i="134" s="1"/>
  <c r="C76" i="134"/>
  <c r="C16" i="134" s="1"/>
  <c r="B76" i="134"/>
  <c r="B16" i="134" s="1"/>
  <c r="M72" i="134"/>
  <c r="M15" i="134" s="1"/>
  <c r="L72" i="134"/>
  <c r="K72" i="134"/>
  <c r="J72" i="134"/>
  <c r="J15" i="134" s="1"/>
  <c r="I72" i="134"/>
  <c r="I15" i="134" s="1"/>
  <c r="H72" i="134"/>
  <c r="H15" i="134" s="1"/>
  <c r="G72" i="134"/>
  <c r="F72" i="134"/>
  <c r="E72" i="134"/>
  <c r="E15" i="134" s="1"/>
  <c r="D72" i="134"/>
  <c r="D15" i="134" s="1"/>
  <c r="C72" i="134"/>
  <c r="C15" i="134" s="1"/>
  <c r="B72" i="134"/>
  <c r="B15" i="134" s="1"/>
  <c r="M68" i="134"/>
  <c r="M89" i="134" s="1"/>
  <c r="L68" i="134"/>
  <c r="L14" i="134" s="1"/>
  <c r="K68" i="134"/>
  <c r="J68" i="134"/>
  <c r="J14" i="134" s="1"/>
  <c r="I68" i="134"/>
  <c r="H68" i="134"/>
  <c r="H14" i="134" s="1"/>
  <c r="G68" i="134"/>
  <c r="G14" i="134" s="1"/>
  <c r="F68" i="134"/>
  <c r="F14" i="134" s="1"/>
  <c r="E68" i="134"/>
  <c r="E89" i="134" s="1"/>
  <c r="E19" i="134" s="1"/>
  <c r="D68" i="134"/>
  <c r="D14" i="134" s="1"/>
  <c r="C68" i="134"/>
  <c r="B68" i="134"/>
  <c r="B14" i="134" s="1"/>
  <c r="K58" i="134"/>
  <c r="J58" i="134"/>
  <c r="I58" i="134"/>
  <c r="D52" i="134"/>
  <c r="B52" i="134"/>
  <c r="J51" i="134"/>
  <c r="I51" i="134"/>
  <c r="G51" i="134"/>
  <c r="K50" i="134"/>
  <c r="J50" i="134"/>
  <c r="E50" i="134"/>
  <c r="C50" i="134"/>
  <c r="K49" i="134"/>
  <c r="C49" i="134"/>
  <c r="B49" i="134"/>
  <c r="I48" i="134"/>
  <c r="G48" i="134"/>
  <c r="F48" i="134"/>
  <c r="B48" i="134"/>
  <c r="M47" i="134"/>
  <c r="K47" i="134"/>
  <c r="G47" i="134"/>
  <c r="E47" i="134"/>
  <c r="K46" i="134"/>
  <c r="J46" i="134"/>
  <c r="F46" i="134"/>
  <c r="E46" i="134"/>
  <c r="C46" i="134"/>
  <c r="G45" i="134"/>
  <c r="F45" i="134"/>
  <c r="M44" i="134"/>
  <c r="K44" i="134"/>
  <c r="G44" i="134"/>
  <c r="K43" i="134"/>
  <c r="J43" i="134"/>
  <c r="E43" i="134"/>
  <c r="C43" i="134"/>
  <c r="B43" i="134"/>
  <c r="J42" i="134"/>
  <c r="I42" i="134"/>
  <c r="G42" i="134"/>
  <c r="C42" i="134"/>
  <c r="F41" i="134"/>
  <c r="L40" i="134"/>
  <c r="K40" i="134"/>
  <c r="G40" i="134"/>
  <c r="F40" i="134"/>
  <c r="D40" i="134"/>
  <c r="H35" i="134"/>
  <c r="B35" i="134"/>
  <c r="B33" i="134"/>
  <c r="L32" i="134"/>
  <c r="K32" i="134"/>
  <c r="F32" i="134"/>
  <c r="D32" i="134"/>
  <c r="C32" i="134"/>
  <c r="B32" i="134"/>
  <c r="H31" i="134"/>
  <c r="C31" i="134"/>
  <c r="B31" i="134"/>
  <c r="E26" i="134"/>
  <c r="B26" i="134"/>
  <c r="K24" i="134"/>
  <c r="I24" i="134"/>
  <c r="D24" i="134"/>
  <c r="L22" i="134"/>
  <c r="K22" i="134"/>
  <c r="H18" i="134"/>
  <c r="G18" i="134"/>
  <c r="G17" i="134"/>
  <c r="L16" i="134"/>
  <c r="K16" i="134"/>
  <c r="G16" i="134"/>
  <c r="L15" i="134"/>
  <c r="K15" i="134"/>
  <c r="G15" i="134"/>
  <c r="F15" i="134"/>
  <c r="K14" i="134"/>
  <c r="C14" i="134"/>
  <c r="L9" i="134"/>
  <c r="K9" i="134"/>
  <c r="G9" i="134"/>
  <c r="E9" i="134"/>
  <c r="M8" i="134"/>
  <c r="L8" i="134"/>
  <c r="K8" i="134"/>
  <c r="J8" i="134"/>
  <c r="I8" i="134"/>
  <c r="H8" i="134"/>
  <c r="G8" i="134"/>
  <c r="F8" i="134"/>
  <c r="E8" i="134"/>
  <c r="D8" i="134"/>
  <c r="C8" i="134"/>
  <c r="B8" i="134"/>
  <c r="M7" i="134"/>
  <c r="L7" i="134"/>
  <c r="K7" i="134"/>
  <c r="J7" i="134"/>
  <c r="I7" i="134"/>
  <c r="H7" i="134"/>
  <c r="G7" i="134"/>
  <c r="F7" i="134"/>
  <c r="E7" i="134"/>
  <c r="D7" i="134"/>
  <c r="C7" i="134"/>
  <c r="B7" i="134"/>
  <c r="M6" i="134"/>
  <c r="L6" i="134"/>
  <c r="K6" i="134"/>
  <c r="J6" i="134"/>
  <c r="I6" i="134"/>
  <c r="H6" i="134"/>
  <c r="G6" i="134"/>
  <c r="F6" i="134"/>
  <c r="E6" i="134"/>
  <c r="D6" i="134"/>
  <c r="C6" i="134"/>
  <c r="B6" i="134"/>
  <c r="M5" i="134"/>
  <c r="L5" i="134"/>
  <c r="K5" i="134"/>
  <c r="J5" i="134"/>
  <c r="I5" i="134"/>
  <c r="H5" i="134"/>
  <c r="G5" i="134"/>
  <c r="F5" i="134"/>
  <c r="E5" i="134"/>
  <c r="D5" i="134"/>
  <c r="C5" i="134"/>
  <c r="B5" i="134"/>
  <c r="M4" i="134"/>
  <c r="L4" i="134"/>
  <c r="K4" i="134"/>
  <c r="J4" i="134"/>
  <c r="I4" i="134"/>
  <c r="H4" i="134"/>
  <c r="G4" i="134"/>
  <c r="F4" i="134"/>
  <c r="E4" i="134"/>
  <c r="D4" i="134"/>
  <c r="C4" i="134"/>
  <c r="B4" i="134"/>
  <c r="M364" i="133"/>
  <c r="L364" i="133"/>
  <c r="L9" i="133" s="1"/>
  <c r="K364" i="133"/>
  <c r="K9" i="133" s="1"/>
  <c r="J364" i="133"/>
  <c r="J9" i="133" s="1"/>
  <c r="I364" i="133"/>
  <c r="H364" i="133"/>
  <c r="H9" i="133" s="1"/>
  <c r="G364" i="133"/>
  <c r="G9" i="133" s="1"/>
  <c r="F364" i="133"/>
  <c r="F9" i="133" s="1"/>
  <c r="E364" i="133"/>
  <c r="D364" i="133"/>
  <c r="C364" i="133"/>
  <c r="B364" i="133"/>
  <c r="B9" i="133" s="1"/>
  <c r="M358" i="133"/>
  <c r="L358" i="133"/>
  <c r="K358" i="133"/>
  <c r="J358" i="133"/>
  <c r="I358" i="133"/>
  <c r="H358" i="133"/>
  <c r="G358" i="133"/>
  <c r="F358" i="133"/>
  <c r="E358" i="133"/>
  <c r="D358" i="133"/>
  <c r="C358" i="133"/>
  <c r="B358" i="133"/>
  <c r="M353" i="133"/>
  <c r="L353" i="133"/>
  <c r="K353" i="133"/>
  <c r="J353" i="133"/>
  <c r="I353" i="133"/>
  <c r="H353" i="133"/>
  <c r="G353" i="133"/>
  <c r="F353" i="133"/>
  <c r="E353" i="133"/>
  <c r="D353" i="133"/>
  <c r="C353" i="133"/>
  <c r="B353" i="133"/>
  <c r="M345" i="133"/>
  <c r="L345" i="133"/>
  <c r="K345" i="133"/>
  <c r="J345" i="133"/>
  <c r="I345" i="133"/>
  <c r="H345" i="133"/>
  <c r="G345" i="133"/>
  <c r="F345" i="133"/>
  <c r="E345" i="133"/>
  <c r="D345" i="133"/>
  <c r="C345" i="133"/>
  <c r="B345" i="133"/>
  <c r="B360" i="133" s="1"/>
  <c r="L340" i="133"/>
  <c r="K340" i="133"/>
  <c r="J340" i="133"/>
  <c r="I340" i="133"/>
  <c r="G340" i="133"/>
  <c r="F340" i="133"/>
  <c r="E340" i="133"/>
  <c r="D340" i="133"/>
  <c r="C340" i="133"/>
  <c r="M336" i="133"/>
  <c r="L336" i="133"/>
  <c r="K336" i="133"/>
  <c r="J336" i="133"/>
  <c r="I336" i="133"/>
  <c r="H336" i="133"/>
  <c r="G336" i="133"/>
  <c r="F336" i="133"/>
  <c r="E336" i="133"/>
  <c r="D336" i="133"/>
  <c r="C336" i="133"/>
  <c r="B336" i="133"/>
  <c r="M326" i="133"/>
  <c r="L326" i="133"/>
  <c r="K326" i="133"/>
  <c r="K58" i="133" s="1"/>
  <c r="J326" i="133"/>
  <c r="I326" i="133"/>
  <c r="I58" i="133" s="1"/>
  <c r="H326" i="133"/>
  <c r="H58" i="133" s="1"/>
  <c r="G326" i="133"/>
  <c r="G58" i="133" s="1"/>
  <c r="F326" i="133"/>
  <c r="E326" i="133"/>
  <c r="E58" i="133" s="1"/>
  <c r="D326" i="133"/>
  <c r="D58" i="133" s="1"/>
  <c r="C326" i="133"/>
  <c r="C58" i="133" s="1"/>
  <c r="B326" i="133"/>
  <c r="M319" i="133"/>
  <c r="F319" i="133"/>
  <c r="F52" i="133" s="1"/>
  <c r="D319" i="133"/>
  <c r="D52" i="133" s="1"/>
  <c r="B319" i="133"/>
  <c r="M315" i="133"/>
  <c r="M51" i="133" s="1"/>
  <c r="L315" i="133"/>
  <c r="L51" i="133" s="1"/>
  <c r="K315" i="133"/>
  <c r="K51" i="133" s="1"/>
  <c r="J315" i="133"/>
  <c r="J51" i="133" s="1"/>
  <c r="I315" i="133"/>
  <c r="I51" i="133" s="1"/>
  <c r="H315" i="133"/>
  <c r="H51" i="133" s="1"/>
  <c r="G315" i="133"/>
  <c r="G51" i="133" s="1"/>
  <c r="F315" i="133"/>
  <c r="E315" i="133"/>
  <c r="E51" i="133" s="1"/>
  <c r="D315" i="133"/>
  <c r="D51" i="133" s="1"/>
  <c r="C315" i="133"/>
  <c r="C51" i="133" s="1"/>
  <c r="B315" i="133"/>
  <c r="M309" i="133"/>
  <c r="M50" i="133" s="1"/>
  <c r="L309" i="133"/>
  <c r="L50" i="133" s="1"/>
  <c r="K309" i="133"/>
  <c r="K50" i="133" s="1"/>
  <c r="J309" i="133"/>
  <c r="I309" i="133"/>
  <c r="H309" i="133"/>
  <c r="H50" i="133" s="1"/>
  <c r="G309" i="133"/>
  <c r="G50" i="133" s="1"/>
  <c r="F309" i="133"/>
  <c r="F50" i="133" s="1"/>
  <c r="E309" i="133"/>
  <c r="E50" i="133" s="1"/>
  <c r="D309" i="133"/>
  <c r="D50" i="133" s="1"/>
  <c r="C309" i="133"/>
  <c r="C50" i="133" s="1"/>
  <c r="B309" i="133"/>
  <c r="M302" i="133"/>
  <c r="M49" i="133" s="1"/>
  <c r="L302" i="133"/>
  <c r="L49" i="133" s="1"/>
  <c r="K302" i="133"/>
  <c r="K49" i="133" s="1"/>
  <c r="J302" i="133"/>
  <c r="I302" i="133"/>
  <c r="I49" i="133" s="1"/>
  <c r="H302" i="133"/>
  <c r="H49" i="133" s="1"/>
  <c r="G302" i="133"/>
  <c r="G49" i="133" s="1"/>
  <c r="F302" i="133"/>
  <c r="E302" i="133"/>
  <c r="E49" i="133" s="1"/>
  <c r="D302" i="133"/>
  <c r="D49" i="133" s="1"/>
  <c r="C302" i="133"/>
  <c r="C49" i="133" s="1"/>
  <c r="B302" i="133"/>
  <c r="B49" i="133" s="1"/>
  <c r="M294" i="133"/>
  <c r="M48" i="133" s="1"/>
  <c r="L294" i="133"/>
  <c r="L48" i="133" s="1"/>
  <c r="K294" i="133"/>
  <c r="K48" i="133" s="1"/>
  <c r="J294" i="133"/>
  <c r="I294" i="133"/>
  <c r="I48" i="133" s="1"/>
  <c r="H294" i="133"/>
  <c r="H48" i="133" s="1"/>
  <c r="G294" i="133"/>
  <c r="G48" i="133" s="1"/>
  <c r="F294" i="133"/>
  <c r="E294" i="133"/>
  <c r="E48" i="133" s="1"/>
  <c r="D294" i="133"/>
  <c r="D48" i="133" s="1"/>
  <c r="C294" i="133"/>
  <c r="C48" i="133" s="1"/>
  <c r="B294" i="133"/>
  <c r="M289" i="133"/>
  <c r="M47" i="133" s="1"/>
  <c r="L289" i="133"/>
  <c r="L47" i="133" s="1"/>
  <c r="K289" i="133"/>
  <c r="K47" i="133" s="1"/>
  <c r="J289" i="133"/>
  <c r="J47" i="133" s="1"/>
  <c r="I289" i="133"/>
  <c r="I47" i="133" s="1"/>
  <c r="H289" i="133"/>
  <c r="H47" i="133" s="1"/>
  <c r="G289" i="133"/>
  <c r="G47" i="133" s="1"/>
  <c r="F289" i="133"/>
  <c r="E289" i="133"/>
  <c r="E47" i="133" s="1"/>
  <c r="D289" i="133"/>
  <c r="D47" i="133" s="1"/>
  <c r="C289" i="133"/>
  <c r="C47" i="133" s="1"/>
  <c r="B289" i="133"/>
  <c r="M279" i="133"/>
  <c r="L279" i="133"/>
  <c r="L46" i="133" s="1"/>
  <c r="K279" i="133"/>
  <c r="K46" i="133" s="1"/>
  <c r="J279" i="133"/>
  <c r="I279" i="133"/>
  <c r="I46" i="133" s="1"/>
  <c r="H279" i="133"/>
  <c r="H46" i="133" s="1"/>
  <c r="G279" i="133"/>
  <c r="G46" i="133" s="1"/>
  <c r="F279" i="133"/>
  <c r="F46" i="133" s="1"/>
  <c r="E279" i="133"/>
  <c r="E46" i="133" s="1"/>
  <c r="D279" i="133"/>
  <c r="D46" i="133" s="1"/>
  <c r="C279" i="133"/>
  <c r="C46" i="133" s="1"/>
  <c r="B279" i="133"/>
  <c r="M271" i="133"/>
  <c r="M45" i="133" s="1"/>
  <c r="L271" i="133"/>
  <c r="L45" i="133" s="1"/>
  <c r="K271" i="133"/>
  <c r="K45" i="133" s="1"/>
  <c r="J271" i="133"/>
  <c r="I271" i="133"/>
  <c r="I45" i="133" s="1"/>
  <c r="H271" i="133"/>
  <c r="H45" i="133" s="1"/>
  <c r="G271" i="133"/>
  <c r="G45" i="133" s="1"/>
  <c r="F271" i="133"/>
  <c r="F45" i="133" s="1"/>
  <c r="E271" i="133"/>
  <c r="E45" i="133" s="1"/>
  <c r="D271" i="133"/>
  <c r="D45" i="133" s="1"/>
  <c r="C271" i="133"/>
  <c r="C45" i="133" s="1"/>
  <c r="B271" i="133"/>
  <c r="M254" i="133"/>
  <c r="M44" i="133" s="1"/>
  <c r="L254" i="133"/>
  <c r="L44" i="133" s="1"/>
  <c r="K254" i="133"/>
  <c r="K44" i="133" s="1"/>
  <c r="J254" i="133"/>
  <c r="I254" i="133"/>
  <c r="I44" i="133" s="1"/>
  <c r="H254" i="133"/>
  <c r="H44" i="133" s="1"/>
  <c r="G254" i="133"/>
  <c r="G44" i="133" s="1"/>
  <c r="F254" i="133"/>
  <c r="F44" i="133" s="1"/>
  <c r="E254" i="133"/>
  <c r="E44" i="133" s="1"/>
  <c r="D254" i="133"/>
  <c r="D44" i="133" s="1"/>
  <c r="C254" i="133"/>
  <c r="C44" i="133" s="1"/>
  <c r="B254" i="133"/>
  <c r="M229" i="133"/>
  <c r="M43" i="133" s="1"/>
  <c r="L229" i="133"/>
  <c r="L43" i="133" s="1"/>
  <c r="K229" i="133"/>
  <c r="K43" i="133" s="1"/>
  <c r="J229" i="133"/>
  <c r="I229" i="133"/>
  <c r="I43" i="133" s="1"/>
  <c r="H229" i="133"/>
  <c r="H43" i="133" s="1"/>
  <c r="G229" i="133"/>
  <c r="G43" i="133" s="1"/>
  <c r="F229" i="133"/>
  <c r="E229" i="133"/>
  <c r="E43" i="133" s="1"/>
  <c r="D229" i="133"/>
  <c r="D43" i="133" s="1"/>
  <c r="C229" i="133"/>
  <c r="C43" i="133" s="1"/>
  <c r="B229" i="133"/>
  <c r="M213" i="133"/>
  <c r="M42" i="133" s="1"/>
  <c r="L213" i="133"/>
  <c r="L42" i="133" s="1"/>
  <c r="K213" i="133"/>
  <c r="K42" i="133" s="1"/>
  <c r="J213" i="133"/>
  <c r="J42" i="133" s="1"/>
  <c r="I213" i="133"/>
  <c r="I42" i="133" s="1"/>
  <c r="H213" i="133"/>
  <c r="H42" i="133" s="1"/>
  <c r="G213" i="133"/>
  <c r="G42" i="133" s="1"/>
  <c r="F213" i="133"/>
  <c r="E213" i="133"/>
  <c r="E42" i="133" s="1"/>
  <c r="D213" i="133"/>
  <c r="D42" i="133" s="1"/>
  <c r="C213" i="133"/>
  <c r="C42" i="133" s="1"/>
  <c r="B213" i="133"/>
  <c r="K202" i="133"/>
  <c r="K41" i="133" s="1"/>
  <c r="J202" i="133"/>
  <c r="J41" i="133" s="1"/>
  <c r="I202" i="133"/>
  <c r="I41" i="133" s="1"/>
  <c r="F202" i="133"/>
  <c r="F41" i="133" s="1"/>
  <c r="C202" i="133"/>
  <c r="C41" i="133" s="1"/>
  <c r="B202" i="133"/>
  <c r="B41" i="133" s="1"/>
  <c r="M194" i="133"/>
  <c r="L194" i="133"/>
  <c r="K194" i="133"/>
  <c r="K40" i="133" s="1"/>
  <c r="J194" i="133"/>
  <c r="I194" i="133"/>
  <c r="H194" i="133"/>
  <c r="G194" i="133"/>
  <c r="G40" i="133" s="1"/>
  <c r="F194" i="133"/>
  <c r="F321" i="133" s="1"/>
  <c r="F54" i="133" s="1"/>
  <c r="E194" i="133"/>
  <c r="D194" i="133"/>
  <c r="C194" i="133"/>
  <c r="C40" i="133" s="1"/>
  <c r="B194" i="133"/>
  <c r="B321" i="133" s="1"/>
  <c r="B54" i="133" s="1"/>
  <c r="M169" i="133"/>
  <c r="M35" i="133" s="1"/>
  <c r="L169" i="133"/>
  <c r="K169" i="133"/>
  <c r="K35" i="133" s="1"/>
  <c r="J169" i="133"/>
  <c r="J35" i="133" s="1"/>
  <c r="I169" i="133"/>
  <c r="I35" i="133" s="1"/>
  <c r="H169" i="133"/>
  <c r="H35" i="133" s="1"/>
  <c r="G169" i="133"/>
  <c r="G35" i="133" s="1"/>
  <c r="F169" i="133"/>
  <c r="F35" i="133" s="1"/>
  <c r="E169" i="133"/>
  <c r="E35" i="133" s="1"/>
  <c r="D169" i="133"/>
  <c r="C169" i="133"/>
  <c r="C35" i="133" s="1"/>
  <c r="B169" i="133"/>
  <c r="B35" i="133" s="1"/>
  <c r="M156" i="133"/>
  <c r="M32" i="133" s="1"/>
  <c r="L156" i="133"/>
  <c r="K156" i="133"/>
  <c r="K32" i="133" s="1"/>
  <c r="J156" i="133"/>
  <c r="J32" i="133" s="1"/>
  <c r="I156" i="133"/>
  <c r="I32" i="133" s="1"/>
  <c r="H156" i="133"/>
  <c r="G156" i="133"/>
  <c r="G32" i="133" s="1"/>
  <c r="F156" i="133"/>
  <c r="F32" i="133" s="1"/>
  <c r="E156" i="133"/>
  <c r="E32" i="133" s="1"/>
  <c r="D156" i="133"/>
  <c r="D32" i="133" s="1"/>
  <c r="C156" i="133"/>
  <c r="C32" i="133" s="1"/>
  <c r="B156" i="133"/>
  <c r="B32" i="133" s="1"/>
  <c r="M142" i="133"/>
  <c r="M31" i="133" s="1"/>
  <c r="L142" i="133"/>
  <c r="L161" i="133" s="1"/>
  <c r="K142" i="133"/>
  <c r="K31" i="133" s="1"/>
  <c r="J142" i="133"/>
  <c r="I142" i="133"/>
  <c r="I31" i="133" s="1"/>
  <c r="H142" i="133"/>
  <c r="H161" i="133" s="1"/>
  <c r="G142" i="133"/>
  <c r="G31" i="133" s="1"/>
  <c r="F142" i="133"/>
  <c r="F31" i="133" s="1"/>
  <c r="E142" i="133"/>
  <c r="E161" i="133" s="1"/>
  <c r="E33" i="133" s="1"/>
  <c r="D142" i="133"/>
  <c r="C142" i="133"/>
  <c r="C161" i="133" s="1"/>
  <c r="C33" i="133" s="1"/>
  <c r="B142" i="133"/>
  <c r="G134" i="133"/>
  <c r="F134" i="133"/>
  <c r="E114" i="133"/>
  <c r="E26" i="133" s="1"/>
  <c r="D114" i="133"/>
  <c r="D26" i="133" s="1"/>
  <c r="C114" i="133"/>
  <c r="C26" i="133" s="1"/>
  <c r="B114" i="133"/>
  <c r="M110" i="133"/>
  <c r="M25" i="133" s="1"/>
  <c r="K110" i="133"/>
  <c r="K25" i="133" s="1"/>
  <c r="I110" i="133"/>
  <c r="I25" i="133" s="1"/>
  <c r="H110" i="133"/>
  <c r="C110" i="133"/>
  <c r="C25" i="133" s="1"/>
  <c r="M103" i="133"/>
  <c r="M24" i="133" s="1"/>
  <c r="L103" i="133"/>
  <c r="K103" i="133"/>
  <c r="I103" i="133"/>
  <c r="H103" i="133"/>
  <c r="G103" i="133"/>
  <c r="G24" i="133" s="1"/>
  <c r="F103" i="133"/>
  <c r="F116" i="133" s="1"/>
  <c r="F27" i="133" s="1"/>
  <c r="C103" i="133"/>
  <c r="C24" i="133" s="1"/>
  <c r="B103" i="133"/>
  <c r="B24" i="133" s="1"/>
  <c r="G99" i="133"/>
  <c r="E99" i="133"/>
  <c r="M95" i="133"/>
  <c r="K95" i="133"/>
  <c r="K22" i="133" s="1"/>
  <c r="I95" i="133"/>
  <c r="E95" i="133"/>
  <c r="D95" i="133"/>
  <c r="C95" i="133"/>
  <c r="C22" i="133" s="1"/>
  <c r="B95" i="133"/>
  <c r="B22" i="133" s="1"/>
  <c r="M87" i="133"/>
  <c r="M18" i="133" s="1"/>
  <c r="L87" i="133"/>
  <c r="L18" i="133" s="1"/>
  <c r="K87" i="133"/>
  <c r="K18" i="133" s="1"/>
  <c r="J87" i="133"/>
  <c r="J18" i="133" s="1"/>
  <c r="I87" i="133"/>
  <c r="I18" i="133" s="1"/>
  <c r="H87" i="133"/>
  <c r="H18" i="133" s="1"/>
  <c r="G87" i="133"/>
  <c r="G18" i="133" s="1"/>
  <c r="F87" i="133"/>
  <c r="F18" i="133" s="1"/>
  <c r="E87" i="133"/>
  <c r="E18" i="133" s="1"/>
  <c r="D87" i="133"/>
  <c r="D18" i="133" s="1"/>
  <c r="C87" i="133"/>
  <c r="C18" i="133" s="1"/>
  <c r="B87" i="133"/>
  <c r="M83" i="133"/>
  <c r="M17" i="133" s="1"/>
  <c r="L83" i="133"/>
  <c r="L17" i="133" s="1"/>
  <c r="K83" i="133"/>
  <c r="K17" i="133" s="1"/>
  <c r="J83" i="133"/>
  <c r="J17" i="133" s="1"/>
  <c r="I83" i="133"/>
  <c r="I17" i="133" s="1"/>
  <c r="H83" i="133"/>
  <c r="H17" i="133" s="1"/>
  <c r="G83" i="133"/>
  <c r="G17" i="133" s="1"/>
  <c r="F83" i="133"/>
  <c r="F17" i="133" s="1"/>
  <c r="E83" i="133"/>
  <c r="E17" i="133" s="1"/>
  <c r="D83" i="133"/>
  <c r="D17" i="133" s="1"/>
  <c r="C83" i="133"/>
  <c r="C17" i="133" s="1"/>
  <c r="B83" i="133"/>
  <c r="B17" i="133" s="1"/>
  <c r="M76" i="133"/>
  <c r="M16" i="133" s="1"/>
  <c r="L76" i="133"/>
  <c r="L16" i="133" s="1"/>
  <c r="K76" i="133"/>
  <c r="K16" i="133" s="1"/>
  <c r="J76" i="133"/>
  <c r="J16" i="133" s="1"/>
  <c r="I76" i="133"/>
  <c r="H76" i="133"/>
  <c r="H16" i="133" s="1"/>
  <c r="G76" i="133"/>
  <c r="G16" i="133" s="1"/>
  <c r="F76" i="133"/>
  <c r="F16" i="133" s="1"/>
  <c r="E76" i="133"/>
  <c r="E16" i="133" s="1"/>
  <c r="D76" i="133"/>
  <c r="D16" i="133" s="1"/>
  <c r="C76" i="133"/>
  <c r="C16" i="133" s="1"/>
  <c r="B76" i="133"/>
  <c r="L72" i="133"/>
  <c r="L15" i="133" s="1"/>
  <c r="K72" i="133"/>
  <c r="K15" i="133" s="1"/>
  <c r="J72" i="133"/>
  <c r="J15" i="133" s="1"/>
  <c r="I72" i="133"/>
  <c r="I15" i="133" s="1"/>
  <c r="G72" i="133"/>
  <c r="G15" i="133" s="1"/>
  <c r="F72" i="133"/>
  <c r="F15" i="133" s="1"/>
  <c r="E72" i="133"/>
  <c r="E15" i="133" s="1"/>
  <c r="D72" i="133"/>
  <c r="D15" i="133" s="1"/>
  <c r="C72" i="133"/>
  <c r="M68" i="133"/>
  <c r="M14" i="133" s="1"/>
  <c r="L68" i="133"/>
  <c r="L14" i="133" s="1"/>
  <c r="K68" i="133"/>
  <c r="K14" i="133" s="1"/>
  <c r="J68" i="133"/>
  <c r="I68" i="133"/>
  <c r="I14" i="133" s="1"/>
  <c r="H68" i="133"/>
  <c r="H14" i="133" s="1"/>
  <c r="G68" i="133"/>
  <c r="G14" i="133" s="1"/>
  <c r="F68" i="133"/>
  <c r="E68" i="133"/>
  <c r="D68" i="133"/>
  <c r="D14" i="133" s="1"/>
  <c r="C68" i="133"/>
  <c r="C14" i="133" s="1"/>
  <c r="B68" i="133"/>
  <c r="M58" i="133"/>
  <c r="L58" i="133"/>
  <c r="J58" i="133"/>
  <c r="F58" i="133"/>
  <c r="B58" i="133"/>
  <c r="M52" i="133"/>
  <c r="B52" i="133"/>
  <c r="F51" i="133"/>
  <c r="B51" i="133"/>
  <c r="J50" i="133"/>
  <c r="I50" i="133"/>
  <c r="B50" i="133"/>
  <c r="J49" i="133"/>
  <c r="F49" i="133"/>
  <c r="J48" i="133"/>
  <c r="F48" i="133"/>
  <c r="B48" i="133"/>
  <c r="F47" i="133"/>
  <c r="B47" i="133"/>
  <c r="M46" i="133"/>
  <c r="J46" i="133"/>
  <c r="B46" i="133"/>
  <c r="J45" i="133"/>
  <c r="B45" i="133"/>
  <c r="J44" i="133"/>
  <c r="B44" i="133"/>
  <c r="J43" i="133"/>
  <c r="F43" i="133"/>
  <c r="B43" i="133"/>
  <c r="F42" i="133"/>
  <c r="B42" i="133"/>
  <c r="L40" i="133"/>
  <c r="H40" i="133"/>
  <c r="D40" i="133"/>
  <c r="L35" i="133"/>
  <c r="D35" i="133"/>
  <c r="L33" i="133"/>
  <c r="H33" i="133"/>
  <c r="L32" i="133"/>
  <c r="H32" i="133"/>
  <c r="L31" i="133"/>
  <c r="H31" i="133"/>
  <c r="F30" i="133"/>
  <c r="B26" i="133"/>
  <c r="H25" i="133"/>
  <c r="K24" i="133"/>
  <c r="F24" i="133"/>
  <c r="E23" i="133"/>
  <c r="I22" i="133"/>
  <c r="E22" i="133"/>
  <c r="B18" i="133"/>
  <c r="B16" i="133"/>
  <c r="M9" i="133"/>
  <c r="I9" i="133"/>
  <c r="E9" i="133"/>
  <c r="D9" i="133"/>
  <c r="C9" i="133"/>
  <c r="M8" i="133"/>
  <c r="L8" i="133"/>
  <c r="K8" i="133"/>
  <c r="J8" i="133"/>
  <c r="I8" i="133"/>
  <c r="H8" i="133"/>
  <c r="G8" i="133"/>
  <c r="F8" i="133"/>
  <c r="E8" i="133"/>
  <c r="D8" i="133"/>
  <c r="C8" i="133"/>
  <c r="B8" i="133"/>
  <c r="M7" i="133"/>
  <c r="L7" i="133"/>
  <c r="K7" i="133"/>
  <c r="J7" i="133"/>
  <c r="I7" i="133"/>
  <c r="H7" i="133"/>
  <c r="G7" i="133"/>
  <c r="F7" i="133"/>
  <c r="E7" i="133"/>
  <c r="D7" i="133"/>
  <c r="C7" i="133"/>
  <c r="B7" i="133"/>
  <c r="M6" i="133"/>
  <c r="L6" i="133"/>
  <c r="K6" i="133"/>
  <c r="J6" i="133"/>
  <c r="I6" i="133"/>
  <c r="H6" i="133"/>
  <c r="G6" i="133"/>
  <c r="F6" i="133"/>
  <c r="E6" i="133"/>
  <c r="D6" i="133"/>
  <c r="C6" i="133"/>
  <c r="B6" i="133"/>
  <c r="L5" i="133"/>
  <c r="K5" i="133"/>
  <c r="J5" i="133"/>
  <c r="I5" i="133"/>
  <c r="G5" i="133"/>
  <c r="F5" i="133"/>
  <c r="E5" i="133"/>
  <c r="D5" i="133"/>
  <c r="C5" i="133"/>
  <c r="M4" i="133"/>
  <c r="L4" i="133"/>
  <c r="K4" i="133"/>
  <c r="J4" i="133"/>
  <c r="I4" i="133"/>
  <c r="H4" i="133"/>
  <c r="G4" i="133"/>
  <c r="F4" i="133"/>
  <c r="E4" i="133"/>
  <c r="D4" i="133"/>
  <c r="C4" i="133"/>
  <c r="B4" i="133"/>
  <c r="L170" i="132"/>
  <c r="I170" i="132"/>
  <c r="I34" i="132" s="1"/>
  <c r="F170" i="132"/>
  <c r="F34" i="132" s="1"/>
  <c r="C170" i="132"/>
  <c r="F163" i="132"/>
  <c r="F28" i="132" s="1"/>
  <c r="D163" i="132"/>
  <c r="D28" i="132" s="1"/>
  <c r="J159" i="132"/>
  <c r="J27" i="132" s="1"/>
  <c r="M149" i="132"/>
  <c r="M26" i="132" s="1"/>
  <c r="F149" i="132"/>
  <c r="J145" i="132"/>
  <c r="G145" i="132"/>
  <c r="G25" i="132" s="1"/>
  <c r="L141" i="132"/>
  <c r="L24" i="132" s="1"/>
  <c r="L137" i="132"/>
  <c r="L23" i="132" s="1"/>
  <c r="M132" i="132"/>
  <c r="M22" i="132" s="1"/>
  <c r="L132" i="132"/>
  <c r="K132" i="132"/>
  <c r="K165" i="132" s="1"/>
  <c r="J132" i="132"/>
  <c r="I132" i="132"/>
  <c r="I165" i="132" s="1"/>
  <c r="H132" i="132"/>
  <c r="G132" i="132"/>
  <c r="F132" i="132"/>
  <c r="F22" i="132" s="1"/>
  <c r="E132" i="132"/>
  <c r="D132" i="132"/>
  <c r="D22" i="132" s="1"/>
  <c r="C132" i="132"/>
  <c r="C165" i="132" s="1"/>
  <c r="B132" i="132"/>
  <c r="B165" i="132" s="1"/>
  <c r="B167" i="132" s="1"/>
  <c r="D125" i="132"/>
  <c r="D21" i="132" s="1"/>
  <c r="F121" i="132"/>
  <c r="F20" i="132" s="1"/>
  <c r="F117" i="132"/>
  <c r="M104" i="132"/>
  <c r="F104" i="132"/>
  <c r="L34" i="132"/>
  <c r="C34" i="132"/>
  <c r="F26" i="132"/>
  <c r="J25" i="132"/>
  <c r="J22" i="132"/>
  <c r="M256" i="131"/>
  <c r="M5" i="131" s="1"/>
  <c r="L256" i="131"/>
  <c r="K256" i="131"/>
  <c r="J256" i="131"/>
  <c r="J5" i="131" s="1"/>
  <c r="I256" i="131"/>
  <c r="I5" i="131" s="1"/>
  <c r="H256" i="131"/>
  <c r="H5" i="131" s="1"/>
  <c r="G256" i="131"/>
  <c r="G5" i="131" s="1"/>
  <c r="F256" i="131"/>
  <c r="F5" i="131" s="1"/>
  <c r="E256" i="131"/>
  <c r="E5" i="131" s="1"/>
  <c r="D256" i="131"/>
  <c r="D5" i="131" s="1"/>
  <c r="C256" i="131"/>
  <c r="C5" i="131" s="1"/>
  <c r="B256" i="131"/>
  <c r="B5" i="131" s="1"/>
  <c r="M250" i="131"/>
  <c r="M252" i="131" s="1"/>
  <c r="L250" i="131"/>
  <c r="L252" i="131" s="1"/>
  <c r="K250" i="131"/>
  <c r="K252" i="131" s="1"/>
  <c r="J250" i="131"/>
  <c r="J252" i="131" s="1"/>
  <c r="I250" i="131"/>
  <c r="I252" i="131" s="1"/>
  <c r="H250" i="131"/>
  <c r="H252" i="131" s="1"/>
  <c r="G250" i="131"/>
  <c r="G252" i="131" s="1"/>
  <c r="F250" i="131"/>
  <c r="F252" i="131" s="1"/>
  <c r="E250" i="131"/>
  <c r="E252" i="131" s="1"/>
  <c r="D250" i="131"/>
  <c r="D252" i="131" s="1"/>
  <c r="C250" i="131"/>
  <c r="C252" i="131" s="1"/>
  <c r="B250" i="131"/>
  <c r="B252" i="131" s="1"/>
  <c r="J225" i="131"/>
  <c r="J40" i="131" s="1"/>
  <c r="H225" i="131"/>
  <c r="H40" i="131" s="1"/>
  <c r="G225" i="131"/>
  <c r="G40" i="131" s="1"/>
  <c r="F225" i="131"/>
  <c r="F40" i="131" s="1"/>
  <c r="E225" i="131"/>
  <c r="D225" i="131"/>
  <c r="D40" i="131" s="1"/>
  <c r="C225" i="131"/>
  <c r="C40" i="131" s="1"/>
  <c r="B225" i="131"/>
  <c r="B40" i="131" s="1"/>
  <c r="M216" i="131"/>
  <c r="M34" i="131" s="1"/>
  <c r="L216" i="131"/>
  <c r="L34" i="131" s="1"/>
  <c r="K216" i="131"/>
  <c r="K34" i="131" s="1"/>
  <c r="J216" i="131"/>
  <c r="J34" i="131" s="1"/>
  <c r="I216" i="131"/>
  <c r="I34" i="131" s="1"/>
  <c r="H216" i="131"/>
  <c r="H34" i="131" s="1"/>
  <c r="G216" i="131"/>
  <c r="G34" i="131" s="1"/>
  <c r="F216" i="131"/>
  <c r="E216" i="131"/>
  <c r="D216" i="131"/>
  <c r="D34" i="131" s="1"/>
  <c r="C216" i="131"/>
  <c r="C34" i="131" s="1"/>
  <c r="B216" i="131"/>
  <c r="B34" i="131" s="1"/>
  <c r="M210" i="131"/>
  <c r="M33" i="131" s="1"/>
  <c r="L210" i="131"/>
  <c r="K210" i="131"/>
  <c r="K33" i="131" s="1"/>
  <c r="J210" i="131"/>
  <c r="J33" i="131" s="1"/>
  <c r="I210" i="131"/>
  <c r="I33" i="131" s="1"/>
  <c r="H210" i="131"/>
  <c r="H33" i="131" s="1"/>
  <c r="G210" i="131"/>
  <c r="G33" i="131" s="1"/>
  <c r="F210" i="131"/>
  <c r="E210" i="131"/>
  <c r="D210" i="131"/>
  <c r="C210" i="131"/>
  <c r="C33" i="131" s="1"/>
  <c r="B210" i="131"/>
  <c r="B33" i="131" s="1"/>
  <c r="M203" i="131"/>
  <c r="M32" i="131" s="1"/>
  <c r="L203" i="131"/>
  <c r="L32" i="131" s="1"/>
  <c r="K203" i="131"/>
  <c r="K32" i="131" s="1"/>
  <c r="J203" i="131"/>
  <c r="J32" i="131" s="1"/>
  <c r="I203" i="131"/>
  <c r="H203" i="131"/>
  <c r="H32" i="131" s="1"/>
  <c r="G203" i="131"/>
  <c r="G32" i="131" s="1"/>
  <c r="F203" i="131"/>
  <c r="F32" i="131" s="1"/>
  <c r="E203" i="131"/>
  <c r="E32" i="131" s="1"/>
  <c r="D203" i="131"/>
  <c r="D32" i="131" s="1"/>
  <c r="C203" i="131"/>
  <c r="C32" i="131" s="1"/>
  <c r="B203" i="131"/>
  <c r="B32" i="131" s="1"/>
  <c r="M193" i="131"/>
  <c r="M31" i="131" s="1"/>
  <c r="L193" i="131"/>
  <c r="L31" i="131" s="1"/>
  <c r="K193" i="131"/>
  <c r="K31" i="131" s="1"/>
  <c r="J193" i="131"/>
  <c r="I193" i="131"/>
  <c r="H193" i="131"/>
  <c r="H31" i="131" s="1"/>
  <c r="G193" i="131"/>
  <c r="G31" i="131" s="1"/>
  <c r="F193" i="131"/>
  <c r="F31" i="131" s="1"/>
  <c r="E193" i="131"/>
  <c r="E31" i="131" s="1"/>
  <c r="D193" i="131"/>
  <c r="C193" i="131"/>
  <c r="C31" i="131" s="1"/>
  <c r="B193" i="131"/>
  <c r="B31" i="131" s="1"/>
  <c r="M186" i="131"/>
  <c r="M30" i="131" s="1"/>
  <c r="L186" i="131"/>
  <c r="L30" i="131" s="1"/>
  <c r="K186" i="131"/>
  <c r="K30" i="131" s="1"/>
  <c r="J186" i="131"/>
  <c r="I186" i="131"/>
  <c r="H186" i="131"/>
  <c r="G186" i="131"/>
  <c r="G30" i="131" s="1"/>
  <c r="F186" i="131"/>
  <c r="F30" i="131" s="1"/>
  <c r="E186" i="131"/>
  <c r="E30" i="131" s="1"/>
  <c r="D186" i="131"/>
  <c r="D30" i="131" s="1"/>
  <c r="C186" i="131"/>
  <c r="C30" i="131" s="1"/>
  <c r="B186" i="131"/>
  <c r="B30" i="131" s="1"/>
  <c r="M180" i="131"/>
  <c r="L180" i="131"/>
  <c r="L29" i="131" s="1"/>
  <c r="K180" i="131"/>
  <c r="K29" i="131" s="1"/>
  <c r="J180" i="131"/>
  <c r="J29" i="131" s="1"/>
  <c r="I180" i="131"/>
  <c r="I29" i="131" s="1"/>
  <c r="H180" i="131"/>
  <c r="H29" i="131" s="1"/>
  <c r="G180" i="131"/>
  <c r="G29" i="131" s="1"/>
  <c r="F180" i="131"/>
  <c r="F29" i="131" s="1"/>
  <c r="E180" i="131"/>
  <c r="E29" i="131" s="1"/>
  <c r="D180" i="131"/>
  <c r="D29" i="131" s="1"/>
  <c r="C180" i="131"/>
  <c r="C29" i="131" s="1"/>
  <c r="B180" i="131"/>
  <c r="M167" i="131"/>
  <c r="L167" i="131"/>
  <c r="L28" i="131" s="1"/>
  <c r="K167" i="131"/>
  <c r="K28" i="131" s="1"/>
  <c r="J167" i="131"/>
  <c r="J28" i="131" s="1"/>
  <c r="I167" i="131"/>
  <c r="I28" i="131" s="1"/>
  <c r="H167" i="131"/>
  <c r="G167" i="131"/>
  <c r="G28" i="131" s="1"/>
  <c r="F167" i="131"/>
  <c r="F28" i="131" s="1"/>
  <c r="E167" i="131"/>
  <c r="E28" i="131" s="1"/>
  <c r="D167" i="131"/>
  <c r="D28" i="131" s="1"/>
  <c r="C167" i="131"/>
  <c r="C28" i="131" s="1"/>
  <c r="B167" i="131"/>
  <c r="M147" i="131"/>
  <c r="L147" i="131"/>
  <c r="K147" i="131"/>
  <c r="K27" i="131" s="1"/>
  <c r="J147" i="131"/>
  <c r="J27" i="131" s="1"/>
  <c r="I147" i="131"/>
  <c r="I27" i="131" s="1"/>
  <c r="H147" i="131"/>
  <c r="H27" i="131" s="1"/>
  <c r="G147" i="131"/>
  <c r="G27" i="131" s="1"/>
  <c r="F147" i="131"/>
  <c r="F27" i="131" s="1"/>
  <c r="E147" i="131"/>
  <c r="D147" i="131"/>
  <c r="D27" i="131" s="1"/>
  <c r="C147" i="131"/>
  <c r="C27" i="131" s="1"/>
  <c r="B147" i="131"/>
  <c r="B27" i="131" s="1"/>
  <c r="M134" i="131"/>
  <c r="L134" i="131"/>
  <c r="L220" i="131" s="1"/>
  <c r="L36" i="131" s="1"/>
  <c r="K134" i="131"/>
  <c r="J134" i="131"/>
  <c r="J220" i="131" s="1"/>
  <c r="J36" i="131" s="1"/>
  <c r="I134" i="131"/>
  <c r="H134" i="131"/>
  <c r="G134" i="131"/>
  <c r="F134" i="131"/>
  <c r="F220" i="131" s="1"/>
  <c r="F36" i="131" s="1"/>
  <c r="E134" i="131"/>
  <c r="E220" i="131" s="1"/>
  <c r="E36" i="131" s="1"/>
  <c r="D134" i="131"/>
  <c r="C134" i="131"/>
  <c r="B134" i="131"/>
  <c r="B220" i="131" s="1"/>
  <c r="B36" i="131" s="1"/>
  <c r="M119" i="131"/>
  <c r="M21" i="131" s="1"/>
  <c r="L119" i="131"/>
  <c r="K119" i="131"/>
  <c r="K21" i="131" s="1"/>
  <c r="J119" i="131"/>
  <c r="J21" i="131" s="1"/>
  <c r="I119" i="131"/>
  <c r="I21" i="131" s="1"/>
  <c r="H119" i="131"/>
  <c r="H21" i="131" s="1"/>
  <c r="G119" i="131"/>
  <c r="G21" i="131" s="1"/>
  <c r="F119" i="131"/>
  <c r="E119" i="131"/>
  <c r="D119" i="131"/>
  <c r="C119" i="131"/>
  <c r="C21" i="131" s="1"/>
  <c r="B119" i="131"/>
  <c r="B21" i="131" s="1"/>
  <c r="M110" i="131"/>
  <c r="D110" i="131"/>
  <c r="C110" i="131"/>
  <c r="B110" i="131"/>
  <c r="B112" i="131" s="1"/>
  <c r="B19" i="131" s="1"/>
  <c r="M88" i="131"/>
  <c r="H88" i="131"/>
  <c r="G88" i="131"/>
  <c r="G90" i="131" s="1"/>
  <c r="G15" i="131" s="1"/>
  <c r="E88" i="131"/>
  <c r="D88" i="131"/>
  <c r="D14" i="131" s="1"/>
  <c r="B88" i="131"/>
  <c r="M65" i="131"/>
  <c r="L65" i="131"/>
  <c r="L10" i="131" s="1"/>
  <c r="K65" i="131"/>
  <c r="J65" i="131"/>
  <c r="J10" i="131" s="1"/>
  <c r="I65" i="131"/>
  <c r="I10" i="131" s="1"/>
  <c r="H65" i="131"/>
  <c r="H10" i="131" s="1"/>
  <c r="G65" i="131"/>
  <c r="G10" i="131" s="1"/>
  <c r="F65" i="131"/>
  <c r="F10" i="131" s="1"/>
  <c r="E65" i="131"/>
  <c r="D65" i="131"/>
  <c r="C65" i="131"/>
  <c r="C10" i="131" s="1"/>
  <c r="B65" i="131"/>
  <c r="B10" i="131" s="1"/>
  <c r="E40" i="131"/>
  <c r="F34" i="131"/>
  <c r="E34" i="131"/>
  <c r="L33" i="131"/>
  <c r="F33" i="131"/>
  <c r="E33" i="131"/>
  <c r="D33" i="131"/>
  <c r="I32" i="131"/>
  <c r="J31" i="131"/>
  <c r="I31" i="131"/>
  <c r="D31" i="131"/>
  <c r="J30" i="131"/>
  <c r="I30" i="131"/>
  <c r="H30" i="131"/>
  <c r="M29" i="131"/>
  <c r="B29" i="131"/>
  <c r="M28" i="131"/>
  <c r="H28" i="131"/>
  <c r="B28" i="131"/>
  <c r="M27" i="131"/>
  <c r="L27" i="131"/>
  <c r="E27" i="131"/>
  <c r="F26" i="131"/>
  <c r="E26" i="131"/>
  <c r="L21" i="131"/>
  <c r="F21" i="131"/>
  <c r="E21" i="131"/>
  <c r="D21" i="131"/>
  <c r="G14" i="131"/>
  <c r="M10" i="131"/>
  <c r="K10" i="131"/>
  <c r="E10" i="131"/>
  <c r="D10" i="131"/>
  <c r="L5" i="131"/>
  <c r="K5" i="131"/>
  <c r="M4" i="131"/>
  <c r="L4" i="131"/>
  <c r="K4" i="131"/>
  <c r="J4" i="131"/>
  <c r="I4" i="131"/>
  <c r="H4" i="131"/>
  <c r="G4" i="131"/>
  <c r="F4" i="131"/>
  <c r="E4" i="131"/>
  <c r="D4" i="131"/>
  <c r="C4" i="131"/>
  <c r="B4" i="131"/>
  <c r="M249" i="130"/>
  <c r="M5" i="130" s="1"/>
  <c r="L249" i="130"/>
  <c r="K249" i="130"/>
  <c r="K5" i="130" s="1"/>
  <c r="J249" i="130"/>
  <c r="J5" i="130" s="1"/>
  <c r="I249" i="130"/>
  <c r="I5" i="130" s="1"/>
  <c r="H249" i="130"/>
  <c r="G249" i="130"/>
  <c r="G5" i="130" s="1"/>
  <c r="F249" i="130"/>
  <c r="F5" i="130" s="1"/>
  <c r="E249" i="130"/>
  <c r="E5" i="130" s="1"/>
  <c r="D249" i="130"/>
  <c r="D5" i="130" s="1"/>
  <c r="C249" i="130"/>
  <c r="B249" i="130"/>
  <c r="B5" i="130" s="1"/>
  <c r="M242" i="130"/>
  <c r="M244" i="130" s="1"/>
  <c r="L242" i="130"/>
  <c r="L244" i="130" s="1"/>
  <c r="K242" i="130"/>
  <c r="K244" i="130" s="1"/>
  <c r="J242" i="130"/>
  <c r="J244" i="130" s="1"/>
  <c r="I242" i="130"/>
  <c r="I244" i="130" s="1"/>
  <c r="H242" i="130"/>
  <c r="H244" i="130" s="1"/>
  <c r="G242" i="130"/>
  <c r="G244" i="130" s="1"/>
  <c r="F242" i="130"/>
  <c r="F244" i="130" s="1"/>
  <c r="E242" i="130"/>
  <c r="E244" i="130" s="1"/>
  <c r="D242" i="130"/>
  <c r="D244" i="130" s="1"/>
  <c r="C242" i="130"/>
  <c r="C244" i="130" s="1"/>
  <c r="B242" i="130"/>
  <c r="B244" i="130" s="1"/>
  <c r="F218" i="130"/>
  <c r="E218" i="130"/>
  <c r="B218" i="130"/>
  <c r="B40" i="130" s="1"/>
  <c r="M209" i="130"/>
  <c r="M34" i="130" s="1"/>
  <c r="L209" i="130"/>
  <c r="L34" i="130" s="1"/>
  <c r="K209" i="130"/>
  <c r="K34" i="130" s="1"/>
  <c r="J209" i="130"/>
  <c r="J34" i="130" s="1"/>
  <c r="I209" i="130"/>
  <c r="I34" i="130" s="1"/>
  <c r="H209" i="130"/>
  <c r="H34" i="130" s="1"/>
  <c r="G209" i="130"/>
  <c r="F209" i="130"/>
  <c r="F34" i="130" s="1"/>
  <c r="E209" i="130"/>
  <c r="E34" i="130" s="1"/>
  <c r="D209" i="130"/>
  <c r="D34" i="130" s="1"/>
  <c r="C209" i="130"/>
  <c r="B209" i="130"/>
  <c r="B34" i="130" s="1"/>
  <c r="M203" i="130"/>
  <c r="M33" i="130" s="1"/>
  <c r="L203" i="130"/>
  <c r="L33" i="130" s="1"/>
  <c r="K203" i="130"/>
  <c r="J203" i="130"/>
  <c r="J33" i="130" s="1"/>
  <c r="I203" i="130"/>
  <c r="I33" i="130" s="1"/>
  <c r="H203" i="130"/>
  <c r="H33" i="130" s="1"/>
  <c r="G203" i="130"/>
  <c r="G33" i="130" s="1"/>
  <c r="F203" i="130"/>
  <c r="F33" i="130" s="1"/>
  <c r="E203" i="130"/>
  <c r="E33" i="130" s="1"/>
  <c r="D203" i="130"/>
  <c r="D33" i="130" s="1"/>
  <c r="C203" i="130"/>
  <c r="B203" i="130"/>
  <c r="B33" i="130" s="1"/>
  <c r="M196" i="130"/>
  <c r="M32" i="130" s="1"/>
  <c r="L196" i="130"/>
  <c r="L32" i="130" s="1"/>
  <c r="K196" i="130"/>
  <c r="J196" i="130"/>
  <c r="J32" i="130" s="1"/>
  <c r="I196" i="130"/>
  <c r="I32" i="130" s="1"/>
  <c r="H196" i="130"/>
  <c r="G196" i="130"/>
  <c r="G32" i="130" s="1"/>
  <c r="F196" i="130"/>
  <c r="F32" i="130" s="1"/>
  <c r="E196" i="130"/>
  <c r="E32" i="130" s="1"/>
  <c r="D196" i="130"/>
  <c r="D32" i="130" s="1"/>
  <c r="C196" i="130"/>
  <c r="B196" i="130"/>
  <c r="B32" i="130" s="1"/>
  <c r="D188" i="130"/>
  <c r="D31" i="130" s="1"/>
  <c r="M184" i="130"/>
  <c r="M30" i="130" s="1"/>
  <c r="L184" i="130"/>
  <c r="K184" i="130"/>
  <c r="K30" i="130" s="1"/>
  <c r="J184" i="130"/>
  <c r="J30" i="130" s="1"/>
  <c r="I184" i="130"/>
  <c r="I30" i="130" s="1"/>
  <c r="H184" i="130"/>
  <c r="G184" i="130"/>
  <c r="G30" i="130" s="1"/>
  <c r="F184" i="130"/>
  <c r="F30" i="130" s="1"/>
  <c r="E184" i="130"/>
  <c r="E30" i="130" s="1"/>
  <c r="D184" i="130"/>
  <c r="D30" i="130" s="1"/>
  <c r="C184" i="130"/>
  <c r="C30" i="130" s="1"/>
  <c r="B184" i="130"/>
  <c r="B30" i="130" s="1"/>
  <c r="M178" i="130"/>
  <c r="M29" i="130" s="1"/>
  <c r="I178" i="130"/>
  <c r="H178" i="130"/>
  <c r="H29" i="130" s="1"/>
  <c r="E178" i="130"/>
  <c r="E29" i="130" s="1"/>
  <c r="D178" i="130"/>
  <c r="C178" i="130"/>
  <c r="M174" i="130"/>
  <c r="M28" i="130" s="1"/>
  <c r="L174" i="130"/>
  <c r="L28" i="130" s="1"/>
  <c r="K174" i="130"/>
  <c r="K28" i="130" s="1"/>
  <c r="J174" i="130"/>
  <c r="J28" i="130" s="1"/>
  <c r="I174" i="130"/>
  <c r="I28" i="130" s="1"/>
  <c r="H174" i="130"/>
  <c r="H28" i="130" s="1"/>
  <c r="G174" i="130"/>
  <c r="G28" i="130" s="1"/>
  <c r="F174" i="130"/>
  <c r="E174" i="130"/>
  <c r="E28" i="130" s="1"/>
  <c r="D174" i="130"/>
  <c r="D28" i="130" s="1"/>
  <c r="C174" i="130"/>
  <c r="C28" i="130" s="1"/>
  <c r="B174" i="130"/>
  <c r="M164" i="130"/>
  <c r="M27" i="130" s="1"/>
  <c r="L164" i="130"/>
  <c r="L27" i="130" s="1"/>
  <c r="K164" i="130"/>
  <c r="K27" i="130" s="1"/>
  <c r="J164" i="130"/>
  <c r="I164" i="130"/>
  <c r="I27" i="130" s="1"/>
  <c r="H164" i="130"/>
  <c r="H27" i="130" s="1"/>
  <c r="G164" i="130"/>
  <c r="G27" i="130" s="1"/>
  <c r="F164" i="130"/>
  <c r="F27" i="130" s="1"/>
  <c r="E164" i="130"/>
  <c r="E27" i="130" s="1"/>
  <c r="D164" i="130"/>
  <c r="D27" i="130" s="1"/>
  <c r="C164" i="130"/>
  <c r="C27" i="130" s="1"/>
  <c r="B164" i="130"/>
  <c r="B147" i="130"/>
  <c r="B26" i="130" s="1"/>
  <c r="M143" i="130"/>
  <c r="M25" i="130" s="1"/>
  <c r="L143" i="130"/>
  <c r="L25" i="130" s="1"/>
  <c r="K143" i="130"/>
  <c r="J143" i="130"/>
  <c r="J25" i="130" s="1"/>
  <c r="I143" i="130"/>
  <c r="I25" i="130" s="1"/>
  <c r="H143" i="130"/>
  <c r="H25" i="130" s="1"/>
  <c r="G143" i="130"/>
  <c r="G25" i="130" s="1"/>
  <c r="F143" i="130"/>
  <c r="F25" i="130" s="1"/>
  <c r="E143" i="130"/>
  <c r="E25" i="130" s="1"/>
  <c r="D143" i="130"/>
  <c r="D25" i="130" s="1"/>
  <c r="C143" i="130"/>
  <c r="B143" i="130"/>
  <c r="B25" i="130" s="1"/>
  <c r="M130" i="130"/>
  <c r="L130" i="130"/>
  <c r="K130" i="130"/>
  <c r="J130" i="130"/>
  <c r="J24" i="130" s="1"/>
  <c r="I130" i="130"/>
  <c r="H130" i="130"/>
  <c r="G130" i="130"/>
  <c r="F130" i="130"/>
  <c r="F24" i="130" s="1"/>
  <c r="E130" i="130"/>
  <c r="D130" i="130"/>
  <c r="C130" i="130"/>
  <c r="C24" i="130" s="1"/>
  <c r="B130" i="130"/>
  <c r="B24" i="130" s="1"/>
  <c r="M116" i="130"/>
  <c r="M19" i="130" s="1"/>
  <c r="L116" i="130"/>
  <c r="L19" i="130" s="1"/>
  <c r="K116" i="130"/>
  <c r="J116" i="130"/>
  <c r="J19" i="130" s="1"/>
  <c r="I116" i="130"/>
  <c r="I19" i="130" s="1"/>
  <c r="H116" i="130"/>
  <c r="G116" i="130"/>
  <c r="F116" i="130"/>
  <c r="F19" i="130" s="1"/>
  <c r="E116" i="130"/>
  <c r="E19" i="130" s="1"/>
  <c r="D116" i="130"/>
  <c r="D19" i="130" s="1"/>
  <c r="C116" i="130"/>
  <c r="C19" i="130" s="1"/>
  <c r="B116" i="130"/>
  <c r="B19" i="130" s="1"/>
  <c r="M88" i="130"/>
  <c r="F88" i="130"/>
  <c r="F90" i="130" s="1"/>
  <c r="F15" i="130" s="1"/>
  <c r="E88" i="130"/>
  <c r="E14" i="130" s="1"/>
  <c r="D88" i="130"/>
  <c r="D14" i="130" s="1"/>
  <c r="B88" i="130"/>
  <c r="M65" i="130"/>
  <c r="M67" i="130" s="1"/>
  <c r="L65" i="130"/>
  <c r="L10" i="130" s="1"/>
  <c r="K65" i="130"/>
  <c r="K67" i="130" s="1"/>
  <c r="K11" i="130" s="1"/>
  <c r="J65" i="130"/>
  <c r="J67" i="130" s="1"/>
  <c r="I65" i="130"/>
  <c r="I67" i="130" s="1"/>
  <c r="H65" i="130"/>
  <c r="H10" i="130" s="1"/>
  <c r="G65" i="130"/>
  <c r="G67" i="130" s="1"/>
  <c r="G11" i="130" s="1"/>
  <c r="F65" i="130"/>
  <c r="E65" i="130"/>
  <c r="E67" i="130" s="1"/>
  <c r="D65" i="130"/>
  <c r="D10" i="130" s="1"/>
  <c r="C65" i="130"/>
  <c r="C67" i="130" s="1"/>
  <c r="C11" i="130" s="1"/>
  <c r="B65" i="130"/>
  <c r="F40" i="130"/>
  <c r="E40" i="130"/>
  <c r="G34" i="130"/>
  <c r="C34" i="130"/>
  <c r="K33" i="130"/>
  <c r="C33" i="130"/>
  <c r="K32" i="130"/>
  <c r="H32" i="130"/>
  <c r="C32" i="130"/>
  <c r="L30" i="130"/>
  <c r="H30" i="130"/>
  <c r="I29" i="130"/>
  <c r="D29" i="130"/>
  <c r="C29" i="130"/>
  <c r="F28" i="130"/>
  <c r="B28" i="130"/>
  <c r="J27" i="130"/>
  <c r="B27" i="130"/>
  <c r="K25" i="130"/>
  <c r="C25" i="130"/>
  <c r="K24" i="130"/>
  <c r="G24" i="130"/>
  <c r="K19" i="130"/>
  <c r="H19" i="130"/>
  <c r="G19" i="130"/>
  <c r="M10" i="130"/>
  <c r="J10" i="130"/>
  <c r="L5" i="130"/>
  <c r="H5" i="130"/>
  <c r="C5" i="130"/>
  <c r="M4" i="130"/>
  <c r="L4" i="130"/>
  <c r="K4" i="130"/>
  <c r="J4" i="130"/>
  <c r="I4" i="130"/>
  <c r="H4" i="130"/>
  <c r="G4" i="130"/>
  <c r="F4" i="130"/>
  <c r="E4" i="130"/>
  <c r="D4" i="130"/>
  <c r="C4" i="130"/>
  <c r="B4" i="130"/>
  <c r="M253" i="129"/>
  <c r="M5" i="129" s="1"/>
  <c r="L253" i="129"/>
  <c r="L5" i="129" s="1"/>
  <c r="K253" i="129"/>
  <c r="J253" i="129"/>
  <c r="J5" i="129" s="1"/>
  <c r="I253" i="129"/>
  <c r="H253" i="129"/>
  <c r="G253" i="129"/>
  <c r="F253" i="129"/>
  <c r="F5" i="129" s="1"/>
  <c r="E253" i="129"/>
  <c r="E5" i="129" s="1"/>
  <c r="D253" i="129"/>
  <c r="C253" i="129"/>
  <c r="C5" i="129" s="1"/>
  <c r="B253" i="129"/>
  <c r="B5" i="129" s="1"/>
  <c r="M247" i="129"/>
  <c r="M249" i="129" s="1"/>
  <c r="L247" i="129"/>
  <c r="L249" i="129" s="1"/>
  <c r="K247" i="129"/>
  <c r="K249" i="129" s="1"/>
  <c r="J247" i="129"/>
  <c r="J249" i="129" s="1"/>
  <c r="I247" i="129"/>
  <c r="I249" i="129" s="1"/>
  <c r="H247" i="129"/>
  <c r="H249" i="129" s="1"/>
  <c r="G247" i="129"/>
  <c r="G249" i="129" s="1"/>
  <c r="F247" i="129"/>
  <c r="F249" i="129" s="1"/>
  <c r="E247" i="129"/>
  <c r="E249" i="129" s="1"/>
  <c r="D247" i="129"/>
  <c r="D249" i="129" s="1"/>
  <c r="C247" i="129"/>
  <c r="C249" i="129" s="1"/>
  <c r="B247" i="129"/>
  <c r="B249" i="129" s="1"/>
  <c r="F223" i="129"/>
  <c r="F40" i="129" s="1"/>
  <c r="B223" i="129"/>
  <c r="M214" i="129"/>
  <c r="L214" i="129"/>
  <c r="L34" i="129" s="1"/>
  <c r="K214" i="129"/>
  <c r="J214" i="129"/>
  <c r="J34" i="129" s="1"/>
  <c r="I214" i="129"/>
  <c r="H214" i="129"/>
  <c r="H34" i="129" s="1"/>
  <c r="G214" i="129"/>
  <c r="G34" i="129" s="1"/>
  <c r="F214" i="129"/>
  <c r="E214" i="129"/>
  <c r="E34" i="129" s="1"/>
  <c r="D214" i="129"/>
  <c r="D34" i="129" s="1"/>
  <c r="C214" i="129"/>
  <c r="C34" i="129" s="1"/>
  <c r="B214" i="129"/>
  <c r="M208" i="129"/>
  <c r="L208" i="129"/>
  <c r="L33" i="129" s="1"/>
  <c r="K208" i="129"/>
  <c r="K33" i="129" s="1"/>
  <c r="J208" i="129"/>
  <c r="I208" i="129"/>
  <c r="H208" i="129"/>
  <c r="H33" i="129" s="1"/>
  <c r="G208" i="129"/>
  <c r="F208" i="129"/>
  <c r="F33" i="129" s="1"/>
  <c r="E208" i="129"/>
  <c r="E33" i="129" s="1"/>
  <c r="D208" i="129"/>
  <c r="D33" i="129" s="1"/>
  <c r="C208" i="129"/>
  <c r="B208" i="129"/>
  <c r="M200" i="129"/>
  <c r="M32" i="129" s="1"/>
  <c r="L200" i="129"/>
  <c r="L32" i="129" s="1"/>
  <c r="K200" i="129"/>
  <c r="J200" i="129"/>
  <c r="J32" i="129" s="1"/>
  <c r="I200" i="129"/>
  <c r="H200" i="129"/>
  <c r="H32" i="129" s="1"/>
  <c r="G200" i="129"/>
  <c r="F200" i="129"/>
  <c r="E200" i="129"/>
  <c r="E32" i="129" s="1"/>
  <c r="D200" i="129"/>
  <c r="D32" i="129" s="1"/>
  <c r="C200" i="129"/>
  <c r="C32" i="129" s="1"/>
  <c r="B200" i="129"/>
  <c r="M190" i="129"/>
  <c r="M31" i="129" s="1"/>
  <c r="L190" i="129"/>
  <c r="L31" i="129" s="1"/>
  <c r="K190" i="129"/>
  <c r="K31" i="129" s="1"/>
  <c r="J190" i="129"/>
  <c r="I190" i="129"/>
  <c r="I31" i="129" s="1"/>
  <c r="H190" i="129"/>
  <c r="H31" i="129" s="1"/>
  <c r="G190" i="129"/>
  <c r="F190" i="129"/>
  <c r="F31" i="129" s="1"/>
  <c r="E190" i="129"/>
  <c r="E31" i="129" s="1"/>
  <c r="D190" i="129"/>
  <c r="D31" i="129" s="1"/>
  <c r="C190" i="129"/>
  <c r="B190" i="129"/>
  <c r="M184" i="129"/>
  <c r="M30" i="129" s="1"/>
  <c r="L184" i="129"/>
  <c r="L30" i="129" s="1"/>
  <c r="K184" i="129"/>
  <c r="K30" i="129" s="1"/>
  <c r="J184" i="129"/>
  <c r="I184" i="129"/>
  <c r="H184" i="129"/>
  <c r="H30" i="129" s="1"/>
  <c r="G184" i="129"/>
  <c r="F184" i="129"/>
  <c r="E184" i="129"/>
  <c r="E30" i="129" s="1"/>
  <c r="D184" i="129"/>
  <c r="D30" i="129" s="1"/>
  <c r="C184" i="129"/>
  <c r="B184" i="129"/>
  <c r="B30" i="129" s="1"/>
  <c r="M178" i="129"/>
  <c r="M29" i="129" s="1"/>
  <c r="L178" i="129"/>
  <c r="L29" i="129" s="1"/>
  <c r="K178" i="129"/>
  <c r="K29" i="129" s="1"/>
  <c r="J178" i="129"/>
  <c r="J29" i="129" s="1"/>
  <c r="I178" i="129"/>
  <c r="H178" i="129"/>
  <c r="H29" i="129" s="1"/>
  <c r="G178" i="129"/>
  <c r="F178" i="129"/>
  <c r="F29" i="129" s="1"/>
  <c r="E178" i="129"/>
  <c r="D178" i="129"/>
  <c r="D29" i="129" s="1"/>
  <c r="C178" i="129"/>
  <c r="B178" i="129"/>
  <c r="B29" i="129" s="1"/>
  <c r="M167" i="129"/>
  <c r="L167" i="129"/>
  <c r="L28" i="129" s="1"/>
  <c r="K167" i="129"/>
  <c r="J167" i="129"/>
  <c r="J28" i="129" s="1"/>
  <c r="I167" i="129"/>
  <c r="I28" i="129" s="1"/>
  <c r="H167" i="129"/>
  <c r="H28" i="129" s="1"/>
  <c r="G167" i="129"/>
  <c r="G28" i="129" s="1"/>
  <c r="F167" i="129"/>
  <c r="F28" i="129" s="1"/>
  <c r="E167" i="129"/>
  <c r="D167" i="129"/>
  <c r="D28" i="129" s="1"/>
  <c r="C167" i="129"/>
  <c r="C28" i="129" s="1"/>
  <c r="B167" i="129"/>
  <c r="B28" i="129" s="1"/>
  <c r="M149" i="129"/>
  <c r="M27" i="129" s="1"/>
  <c r="L149" i="129"/>
  <c r="L27" i="129" s="1"/>
  <c r="K149" i="129"/>
  <c r="J149" i="129"/>
  <c r="J27" i="129" s="1"/>
  <c r="I149" i="129"/>
  <c r="I27" i="129" s="1"/>
  <c r="H149" i="129"/>
  <c r="H27" i="129" s="1"/>
  <c r="G149" i="129"/>
  <c r="F149" i="129"/>
  <c r="F27" i="129" s="1"/>
  <c r="E149" i="129"/>
  <c r="E27" i="129" s="1"/>
  <c r="D149" i="129"/>
  <c r="D27" i="129" s="1"/>
  <c r="C149" i="129"/>
  <c r="C27" i="129" s="1"/>
  <c r="B149" i="129"/>
  <c r="B27" i="129" s="1"/>
  <c r="M136" i="129"/>
  <c r="M218" i="129" s="1"/>
  <c r="M36" i="129" s="1"/>
  <c r="L136" i="129"/>
  <c r="K136" i="129"/>
  <c r="J136" i="129"/>
  <c r="I136" i="129"/>
  <c r="I218" i="129" s="1"/>
  <c r="I36" i="129" s="1"/>
  <c r="H136" i="129"/>
  <c r="H218" i="129" s="1"/>
  <c r="H36" i="129" s="1"/>
  <c r="G136" i="129"/>
  <c r="G218" i="129" s="1"/>
  <c r="G36" i="129" s="1"/>
  <c r="F136" i="129"/>
  <c r="E136" i="129"/>
  <c r="E218" i="129" s="1"/>
  <c r="E36" i="129" s="1"/>
  <c r="D136" i="129"/>
  <c r="C136" i="129"/>
  <c r="C218" i="129" s="1"/>
  <c r="C36" i="129" s="1"/>
  <c r="B136" i="129"/>
  <c r="M120" i="129"/>
  <c r="M21" i="129" s="1"/>
  <c r="L120" i="129"/>
  <c r="L21" i="129" s="1"/>
  <c r="K120" i="129"/>
  <c r="K21" i="129" s="1"/>
  <c r="J120" i="129"/>
  <c r="J21" i="129" s="1"/>
  <c r="I120" i="129"/>
  <c r="H120" i="129"/>
  <c r="H21" i="129" s="1"/>
  <c r="G120" i="129"/>
  <c r="G21" i="129" s="1"/>
  <c r="F120" i="129"/>
  <c r="F21" i="129" s="1"/>
  <c r="E120" i="129"/>
  <c r="E21" i="129" s="1"/>
  <c r="D120" i="129"/>
  <c r="D21" i="129" s="1"/>
  <c r="C120" i="129"/>
  <c r="C21" i="129" s="1"/>
  <c r="B120" i="129"/>
  <c r="B21" i="129" s="1"/>
  <c r="B110" i="129"/>
  <c r="B112" i="129" s="1"/>
  <c r="B19" i="129" s="1"/>
  <c r="I88" i="129"/>
  <c r="B88" i="129"/>
  <c r="B90" i="129" s="1"/>
  <c r="B15" i="129" s="1"/>
  <c r="M65" i="129"/>
  <c r="L65" i="129"/>
  <c r="L67" i="129" s="1"/>
  <c r="K65" i="129"/>
  <c r="K10" i="129" s="1"/>
  <c r="J65" i="129"/>
  <c r="I65" i="129"/>
  <c r="H65" i="129"/>
  <c r="H67" i="129" s="1"/>
  <c r="G65" i="129"/>
  <c r="G10" i="129" s="1"/>
  <c r="F65" i="129"/>
  <c r="F10" i="129" s="1"/>
  <c r="E65" i="129"/>
  <c r="D65" i="129"/>
  <c r="D67" i="129" s="1"/>
  <c r="C65" i="129"/>
  <c r="C10" i="129" s="1"/>
  <c r="B65" i="129"/>
  <c r="B40" i="129"/>
  <c r="M34" i="129"/>
  <c r="K34" i="129"/>
  <c r="I34" i="129"/>
  <c r="F34" i="129"/>
  <c r="B34" i="129"/>
  <c r="M33" i="129"/>
  <c r="J33" i="129"/>
  <c r="I33" i="129"/>
  <c r="G33" i="129"/>
  <c r="C33" i="129"/>
  <c r="B33" i="129"/>
  <c r="K32" i="129"/>
  <c r="I32" i="129"/>
  <c r="G32" i="129"/>
  <c r="F32" i="129"/>
  <c r="B32" i="129"/>
  <c r="J31" i="129"/>
  <c r="G31" i="129"/>
  <c r="C31" i="129"/>
  <c r="B31" i="129"/>
  <c r="J30" i="129"/>
  <c r="I30" i="129"/>
  <c r="G30" i="129"/>
  <c r="F30" i="129"/>
  <c r="C30" i="129"/>
  <c r="I29" i="129"/>
  <c r="G29" i="129"/>
  <c r="E29" i="129"/>
  <c r="C29" i="129"/>
  <c r="M28" i="129"/>
  <c r="K28" i="129"/>
  <c r="E28" i="129"/>
  <c r="K27" i="129"/>
  <c r="G27" i="129"/>
  <c r="M26" i="129"/>
  <c r="G26" i="129"/>
  <c r="C26" i="129"/>
  <c r="I21" i="129"/>
  <c r="B14" i="129"/>
  <c r="L10" i="129"/>
  <c r="J10" i="129"/>
  <c r="D10" i="129"/>
  <c r="B10" i="129"/>
  <c r="K5" i="129"/>
  <c r="I5" i="129"/>
  <c r="H5" i="129"/>
  <c r="G5" i="129"/>
  <c r="D5" i="129"/>
  <c r="M4" i="129"/>
  <c r="L4" i="129"/>
  <c r="K4" i="129"/>
  <c r="J4" i="129"/>
  <c r="I4" i="129"/>
  <c r="H4" i="129"/>
  <c r="G4" i="129"/>
  <c r="F4" i="129"/>
  <c r="E4" i="129"/>
  <c r="D4" i="129"/>
  <c r="C4" i="129"/>
  <c r="B4" i="129"/>
  <c r="M372" i="128"/>
  <c r="M9" i="128" s="1"/>
  <c r="L372" i="128"/>
  <c r="L9" i="128" s="1"/>
  <c r="K372" i="128"/>
  <c r="K9" i="128" s="1"/>
  <c r="J372" i="128"/>
  <c r="I372" i="128"/>
  <c r="H372" i="128"/>
  <c r="H9" i="128" s="1"/>
  <c r="G372" i="128"/>
  <c r="G9" i="128" s="1"/>
  <c r="F372" i="128"/>
  <c r="E372" i="128"/>
  <c r="E9" i="128" s="1"/>
  <c r="D372" i="128"/>
  <c r="D9" i="128" s="1"/>
  <c r="C372" i="128"/>
  <c r="C9" i="128" s="1"/>
  <c r="B372" i="128"/>
  <c r="M366" i="128"/>
  <c r="L366" i="128"/>
  <c r="K366" i="128"/>
  <c r="J366" i="128"/>
  <c r="I366" i="128"/>
  <c r="H366" i="128"/>
  <c r="G366" i="128"/>
  <c r="F366" i="128"/>
  <c r="E366" i="128"/>
  <c r="D366" i="128"/>
  <c r="C366" i="128"/>
  <c r="B366" i="128"/>
  <c r="M361" i="128"/>
  <c r="L361" i="128"/>
  <c r="K361" i="128"/>
  <c r="J361" i="128"/>
  <c r="I361" i="128"/>
  <c r="H361" i="128"/>
  <c r="G361" i="128"/>
  <c r="F361" i="128"/>
  <c r="E361" i="128"/>
  <c r="D361" i="128"/>
  <c r="C361" i="128"/>
  <c r="B361" i="128"/>
  <c r="M353" i="128"/>
  <c r="L353" i="128"/>
  <c r="K353" i="128"/>
  <c r="J353" i="128"/>
  <c r="I353" i="128"/>
  <c r="H353" i="128"/>
  <c r="G353" i="128"/>
  <c r="F353" i="128"/>
  <c r="E353" i="128"/>
  <c r="D353" i="128"/>
  <c r="C353" i="128"/>
  <c r="B353" i="128"/>
  <c r="M348" i="128"/>
  <c r="L348" i="128"/>
  <c r="K348" i="128"/>
  <c r="J348" i="128"/>
  <c r="I348" i="128"/>
  <c r="H348" i="128"/>
  <c r="G348" i="128"/>
  <c r="F348" i="128"/>
  <c r="E348" i="128"/>
  <c r="D348" i="128"/>
  <c r="C348" i="128"/>
  <c r="B348" i="128"/>
  <c r="M343" i="128"/>
  <c r="M368" i="128" s="1"/>
  <c r="L343" i="128"/>
  <c r="L368" i="128" s="1"/>
  <c r="K343" i="128"/>
  <c r="K368" i="128" s="1"/>
  <c r="J343" i="128"/>
  <c r="J368" i="128" s="1"/>
  <c r="I343" i="128"/>
  <c r="I368" i="128" s="1"/>
  <c r="H343" i="128"/>
  <c r="H368" i="128" s="1"/>
  <c r="G343" i="128"/>
  <c r="G368" i="128" s="1"/>
  <c r="F343" i="128"/>
  <c r="F368" i="128" s="1"/>
  <c r="E343" i="128"/>
  <c r="E368" i="128" s="1"/>
  <c r="D343" i="128"/>
  <c r="D368" i="128" s="1"/>
  <c r="C343" i="128"/>
  <c r="C368" i="128" s="1"/>
  <c r="B343" i="128"/>
  <c r="B368" i="128" s="1"/>
  <c r="M333" i="128"/>
  <c r="M335" i="128" s="1"/>
  <c r="M61" i="128" s="1"/>
  <c r="L333" i="128"/>
  <c r="L59" i="128" s="1"/>
  <c r="K333" i="128"/>
  <c r="K59" i="128" s="1"/>
  <c r="J333" i="128"/>
  <c r="J59" i="128" s="1"/>
  <c r="I333" i="128"/>
  <c r="I59" i="128" s="1"/>
  <c r="H333" i="128"/>
  <c r="H59" i="128" s="1"/>
  <c r="G333" i="128"/>
  <c r="G59" i="128" s="1"/>
  <c r="F333" i="128"/>
  <c r="E333" i="128"/>
  <c r="E59" i="128" s="1"/>
  <c r="D333" i="128"/>
  <c r="D59" i="128" s="1"/>
  <c r="C333" i="128"/>
  <c r="C59" i="128" s="1"/>
  <c r="B333" i="128"/>
  <c r="F325" i="128"/>
  <c r="F53" i="128" s="1"/>
  <c r="D325" i="128"/>
  <c r="D53" i="128" s="1"/>
  <c r="C325" i="128"/>
  <c r="C53" i="128" s="1"/>
  <c r="B325" i="128"/>
  <c r="B53" i="128" s="1"/>
  <c r="L321" i="128"/>
  <c r="K321" i="128"/>
  <c r="K52" i="128" s="1"/>
  <c r="J321" i="128"/>
  <c r="J52" i="128" s="1"/>
  <c r="I321" i="128"/>
  <c r="I52" i="128" s="1"/>
  <c r="H321" i="128"/>
  <c r="H52" i="128" s="1"/>
  <c r="G321" i="128"/>
  <c r="G52" i="128" s="1"/>
  <c r="F321" i="128"/>
  <c r="F52" i="128" s="1"/>
  <c r="E321" i="128"/>
  <c r="D321" i="128"/>
  <c r="D52" i="128" s="1"/>
  <c r="C321" i="128"/>
  <c r="C52" i="128" s="1"/>
  <c r="B321" i="128"/>
  <c r="B52" i="128" s="1"/>
  <c r="L314" i="128"/>
  <c r="K314" i="128"/>
  <c r="J314" i="128"/>
  <c r="J51" i="128" s="1"/>
  <c r="I314" i="128"/>
  <c r="I51" i="128" s="1"/>
  <c r="H314" i="128"/>
  <c r="H51" i="128" s="1"/>
  <c r="G314" i="128"/>
  <c r="G51" i="128" s="1"/>
  <c r="F314" i="128"/>
  <c r="F51" i="128" s="1"/>
  <c r="E314" i="128"/>
  <c r="E51" i="128" s="1"/>
  <c r="D314" i="128"/>
  <c r="D51" i="128" s="1"/>
  <c r="C314" i="128"/>
  <c r="C51" i="128" s="1"/>
  <c r="B314" i="128"/>
  <c r="B51" i="128" s="1"/>
  <c r="L307" i="128"/>
  <c r="L50" i="128" s="1"/>
  <c r="K307" i="128"/>
  <c r="J307" i="128"/>
  <c r="J50" i="128" s="1"/>
  <c r="I307" i="128"/>
  <c r="I50" i="128" s="1"/>
  <c r="H307" i="128"/>
  <c r="H50" i="128" s="1"/>
  <c r="G307" i="128"/>
  <c r="F307" i="128"/>
  <c r="F50" i="128" s="1"/>
  <c r="E307" i="128"/>
  <c r="E50" i="128" s="1"/>
  <c r="D307" i="128"/>
  <c r="D50" i="128" s="1"/>
  <c r="C307" i="128"/>
  <c r="C50" i="128" s="1"/>
  <c r="B307" i="128"/>
  <c r="B50" i="128" s="1"/>
  <c r="L299" i="128"/>
  <c r="L49" i="128" s="1"/>
  <c r="K299" i="128"/>
  <c r="K49" i="128" s="1"/>
  <c r="J299" i="128"/>
  <c r="I299" i="128"/>
  <c r="I49" i="128" s="1"/>
  <c r="H299" i="128"/>
  <c r="H49" i="128" s="1"/>
  <c r="G299" i="128"/>
  <c r="G49" i="128" s="1"/>
  <c r="F299" i="128"/>
  <c r="F49" i="128" s="1"/>
  <c r="E299" i="128"/>
  <c r="E49" i="128" s="1"/>
  <c r="D299" i="128"/>
  <c r="D49" i="128" s="1"/>
  <c r="C299" i="128"/>
  <c r="C49" i="128" s="1"/>
  <c r="B299" i="128"/>
  <c r="L294" i="128"/>
  <c r="L48" i="128" s="1"/>
  <c r="K294" i="128"/>
  <c r="K48" i="128" s="1"/>
  <c r="J294" i="128"/>
  <c r="J48" i="128" s="1"/>
  <c r="I294" i="128"/>
  <c r="H294" i="128"/>
  <c r="H48" i="128" s="1"/>
  <c r="G294" i="128"/>
  <c r="F294" i="128"/>
  <c r="F48" i="128" s="1"/>
  <c r="E294" i="128"/>
  <c r="D294" i="128"/>
  <c r="D48" i="128" s="1"/>
  <c r="C294" i="128"/>
  <c r="C48" i="128" s="1"/>
  <c r="B294" i="128"/>
  <c r="B48" i="128" s="1"/>
  <c r="L286" i="128"/>
  <c r="L47" i="128" s="1"/>
  <c r="K286" i="128"/>
  <c r="K47" i="128" s="1"/>
  <c r="J286" i="128"/>
  <c r="J47" i="128" s="1"/>
  <c r="I286" i="128"/>
  <c r="I47" i="128" s="1"/>
  <c r="H286" i="128"/>
  <c r="H47" i="128" s="1"/>
  <c r="G286" i="128"/>
  <c r="G47" i="128" s="1"/>
  <c r="F286" i="128"/>
  <c r="F47" i="128" s="1"/>
  <c r="E286" i="128"/>
  <c r="E47" i="128" s="1"/>
  <c r="D286" i="128"/>
  <c r="C286" i="128"/>
  <c r="B286" i="128"/>
  <c r="B47" i="128" s="1"/>
  <c r="L278" i="128"/>
  <c r="L46" i="128" s="1"/>
  <c r="K278" i="128"/>
  <c r="K46" i="128" s="1"/>
  <c r="J278" i="128"/>
  <c r="J46" i="128" s="1"/>
  <c r="I278" i="128"/>
  <c r="I46" i="128" s="1"/>
  <c r="H278" i="128"/>
  <c r="H46" i="128" s="1"/>
  <c r="G278" i="128"/>
  <c r="F278" i="128"/>
  <c r="F46" i="128" s="1"/>
  <c r="E278" i="128"/>
  <c r="E46" i="128" s="1"/>
  <c r="D278" i="128"/>
  <c r="D46" i="128" s="1"/>
  <c r="C278" i="128"/>
  <c r="B278" i="128"/>
  <c r="B46" i="128" s="1"/>
  <c r="L262" i="128"/>
  <c r="L45" i="128" s="1"/>
  <c r="K262" i="128"/>
  <c r="K45" i="128" s="1"/>
  <c r="J262" i="128"/>
  <c r="I262" i="128"/>
  <c r="I45" i="128" s="1"/>
  <c r="H262" i="128"/>
  <c r="H45" i="128" s="1"/>
  <c r="G262" i="128"/>
  <c r="G45" i="128" s="1"/>
  <c r="F262" i="128"/>
  <c r="F45" i="128" s="1"/>
  <c r="E262" i="128"/>
  <c r="E45" i="128" s="1"/>
  <c r="D262" i="128"/>
  <c r="D45" i="128" s="1"/>
  <c r="C262" i="128"/>
  <c r="C45" i="128" s="1"/>
  <c r="B262" i="128"/>
  <c r="L240" i="128"/>
  <c r="L44" i="128" s="1"/>
  <c r="K240" i="128"/>
  <c r="K44" i="128" s="1"/>
  <c r="J240" i="128"/>
  <c r="J44" i="128" s="1"/>
  <c r="I240" i="128"/>
  <c r="H240" i="128"/>
  <c r="H44" i="128" s="1"/>
  <c r="G240" i="128"/>
  <c r="G44" i="128" s="1"/>
  <c r="F240" i="128"/>
  <c r="F44" i="128" s="1"/>
  <c r="E240" i="128"/>
  <c r="E44" i="128" s="1"/>
  <c r="D240" i="128"/>
  <c r="D44" i="128" s="1"/>
  <c r="C240" i="128"/>
  <c r="C44" i="128" s="1"/>
  <c r="B240" i="128"/>
  <c r="B44" i="128" s="1"/>
  <c r="L224" i="128"/>
  <c r="K224" i="128"/>
  <c r="J224" i="128"/>
  <c r="J43" i="128" s="1"/>
  <c r="I224" i="128"/>
  <c r="I43" i="128" s="1"/>
  <c r="H224" i="128"/>
  <c r="G224" i="128"/>
  <c r="G43" i="128" s="1"/>
  <c r="F224" i="128"/>
  <c r="F43" i="128" s="1"/>
  <c r="E224" i="128"/>
  <c r="E43" i="128" s="1"/>
  <c r="D224" i="128"/>
  <c r="D43" i="128" s="1"/>
  <c r="C224" i="128"/>
  <c r="C43" i="128" s="1"/>
  <c r="B224" i="128"/>
  <c r="B43" i="128" s="1"/>
  <c r="F213" i="128"/>
  <c r="F42" i="128" s="1"/>
  <c r="E213" i="128"/>
  <c r="D213" i="128"/>
  <c r="D42" i="128" s="1"/>
  <c r="C213" i="128"/>
  <c r="C42" i="128" s="1"/>
  <c r="B213" i="128"/>
  <c r="B42" i="128" s="1"/>
  <c r="L206" i="128"/>
  <c r="K206" i="128"/>
  <c r="K41" i="128" s="1"/>
  <c r="J206" i="128"/>
  <c r="I206" i="128"/>
  <c r="H206" i="128"/>
  <c r="G206" i="128"/>
  <c r="G41" i="128" s="1"/>
  <c r="F206" i="128"/>
  <c r="E206" i="128"/>
  <c r="D206" i="128"/>
  <c r="D41" i="128" s="1"/>
  <c r="C206" i="128"/>
  <c r="C41" i="128" s="1"/>
  <c r="B206" i="128"/>
  <c r="L184" i="128"/>
  <c r="L36" i="128" s="1"/>
  <c r="K184" i="128"/>
  <c r="K36" i="128" s="1"/>
  <c r="J184" i="128"/>
  <c r="J36" i="128" s="1"/>
  <c r="I184" i="128"/>
  <c r="I36" i="128" s="1"/>
  <c r="H184" i="128"/>
  <c r="H36" i="128" s="1"/>
  <c r="G184" i="128"/>
  <c r="F184" i="128"/>
  <c r="E184" i="128"/>
  <c r="E36" i="128" s="1"/>
  <c r="D184" i="128"/>
  <c r="D36" i="128" s="1"/>
  <c r="C184" i="128"/>
  <c r="C36" i="128" s="1"/>
  <c r="B184" i="128"/>
  <c r="B36" i="128" s="1"/>
  <c r="L172" i="128"/>
  <c r="L33" i="128" s="1"/>
  <c r="K172" i="128"/>
  <c r="K33" i="128" s="1"/>
  <c r="I172" i="128"/>
  <c r="I33" i="128" s="1"/>
  <c r="G172" i="128"/>
  <c r="G33" i="128" s="1"/>
  <c r="C172" i="128"/>
  <c r="C33" i="128" s="1"/>
  <c r="L163" i="128"/>
  <c r="L32" i="128" s="1"/>
  <c r="K163" i="128"/>
  <c r="J163" i="128"/>
  <c r="J32" i="128" s="1"/>
  <c r="I163" i="128"/>
  <c r="I32" i="128" s="1"/>
  <c r="H163" i="128"/>
  <c r="H32" i="128" s="1"/>
  <c r="G163" i="128"/>
  <c r="F163" i="128"/>
  <c r="F32" i="128" s="1"/>
  <c r="E163" i="128"/>
  <c r="E32" i="128" s="1"/>
  <c r="D163" i="128"/>
  <c r="D32" i="128" s="1"/>
  <c r="C163" i="128"/>
  <c r="C32" i="128" s="1"/>
  <c r="B163" i="128"/>
  <c r="B32" i="128" s="1"/>
  <c r="L150" i="128"/>
  <c r="L31" i="128" s="1"/>
  <c r="K150" i="128"/>
  <c r="K31" i="128" s="1"/>
  <c r="J150" i="128"/>
  <c r="I150" i="128"/>
  <c r="H150" i="128"/>
  <c r="H31" i="128" s="1"/>
  <c r="G150" i="128"/>
  <c r="G31" i="128" s="1"/>
  <c r="F150" i="128"/>
  <c r="F31" i="128" s="1"/>
  <c r="E150" i="128"/>
  <c r="E31" i="128" s="1"/>
  <c r="D150" i="128"/>
  <c r="D31" i="128" s="1"/>
  <c r="C150" i="128"/>
  <c r="C31" i="128" s="1"/>
  <c r="B150" i="128"/>
  <c r="L129" i="128"/>
  <c r="L30" i="128" s="1"/>
  <c r="K129" i="128"/>
  <c r="K30" i="128" s="1"/>
  <c r="J129" i="128"/>
  <c r="I129" i="128"/>
  <c r="H129" i="128"/>
  <c r="H30" i="128" s="1"/>
  <c r="G129" i="128"/>
  <c r="G30" i="128" s="1"/>
  <c r="F129" i="128"/>
  <c r="E129" i="128"/>
  <c r="E30" i="128" s="1"/>
  <c r="D129" i="128"/>
  <c r="C129" i="128"/>
  <c r="C30" i="128" s="1"/>
  <c r="B129" i="128"/>
  <c r="L115" i="128"/>
  <c r="K115" i="128"/>
  <c r="K26" i="128" s="1"/>
  <c r="J115" i="128"/>
  <c r="J26" i="128" s="1"/>
  <c r="I115" i="128"/>
  <c r="I26" i="128" s="1"/>
  <c r="H115" i="128"/>
  <c r="H26" i="128" s="1"/>
  <c r="G115" i="128"/>
  <c r="G26" i="128" s="1"/>
  <c r="F115" i="128"/>
  <c r="F26" i="128" s="1"/>
  <c r="E115" i="128"/>
  <c r="E26" i="128" s="1"/>
  <c r="D115" i="128"/>
  <c r="C115" i="128"/>
  <c r="C26" i="128" s="1"/>
  <c r="B115" i="128"/>
  <c r="B26" i="128" s="1"/>
  <c r="L111" i="128"/>
  <c r="L25" i="128" s="1"/>
  <c r="K111" i="128"/>
  <c r="J111" i="128"/>
  <c r="I111" i="128"/>
  <c r="I25" i="128" s="1"/>
  <c r="H111" i="128"/>
  <c r="H25" i="128" s="1"/>
  <c r="G111" i="128"/>
  <c r="G25" i="128" s="1"/>
  <c r="F111" i="128"/>
  <c r="F25" i="128" s="1"/>
  <c r="E111" i="128"/>
  <c r="E25" i="128" s="1"/>
  <c r="D111" i="128"/>
  <c r="D25" i="128" s="1"/>
  <c r="C111" i="128"/>
  <c r="C25" i="128" s="1"/>
  <c r="B111" i="128"/>
  <c r="B25" i="128" s="1"/>
  <c r="L104" i="128"/>
  <c r="L24" i="128" s="1"/>
  <c r="K104" i="128"/>
  <c r="K24" i="128" s="1"/>
  <c r="J104" i="128"/>
  <c r="I104" i="128"/>
  <c r="I24" i="128" s="1"/>
  <c r="H104" i="128"/>
  <c r="H24" i="128" s="1"/>
  <c r="G104" i="128"/>
  <c r="G24" i="128" s="1"/>
  <c r="F104" i="128"/>
  <c r="F24" i="128" s="1"/>
  <c r="E104" i="128"/>
  <c r="D104" i="128"/>
  <c r="D24" i="128" s="1"/>
  <c r="C104" i="128"/>
  <c r="C24" i="128" s="1"/>
  <c r="B104" i="128"/>
  <c r="B24" i="128" s="1"/>
  <c r="L100" i="128"/>
  <c r="L23" i="128" s="1"/>
  <c r="J100" i="128"/>
  <c r="J23" i="128" s="1"/>
  <c r="D100" i="128"/>
  <c r="D23" i="128" s="1"/>
  <c r="C100" i="128"/>
  <c r="L96" i="128"/>
  <c r="L22" i="128" s="1"/>
  <c r="K96" i="128"/>
  <c r="J96" i="128"/>
  <c r="I96" i="128"/>
  <c r="H96" i="128"/>
  <c r="H22" i="128" s="1"/>
  <c r="G96" i="128"/>
  <c r="F96" i="128"/>
  <c r="E96" i="128"/>
  <c r="D96" i="128"/>
  <c r="D22" i="128" s="1"/>
  <c r="C96" i="128"/>
  <c r="B96" i="128"/>
  <c r="L88" i="128"/>
  <c r="L18" i="128" s="1"/>
  <c r="K88" i="128"/>
  <c r="K18" i="128" s="1"/>
  <c r="J88" i="128"/>
  <c r="J18" i="128" s="1"/>
  <c r="I88" i="128"/>
  <c r="I18" i="128" s="1"/>
  <c r="H88" i="128"/>
  <c r="G88" i="128"/>
  <c r="F88" i="128"/>
  <c r="F18" i="128" s="1"/>
  <c r="E88" i="128"/>
  <c r="E18" i="128" s="1"/>
  <c r="D88" i="128"/>
  <c r="C88" i="128"/>
  <c r="C18" i="128" s="1"/>
  <c r="B88" i="128"/>
  <c r="B18" i="128" s="1"/>
  <c r="L84" i="128"/>
  <c r="L17" i="128" s="1"/>
  <c r="K84" i="128"/>
  <c r="K17" i="128" s="1"/>
  <c r="J84" i="128"/>
  <c r="J17" i="128" s="1"/>
  <c r="I84" i="128"/>
  <c r="I17" i="128" s="1"/>
  <c r="H84" i="128"/>
  <c r="H17" i="128" s="1"/>
  <c r="G84" i="128"/>
  <c r="F84" i="128"/>
  <c r="F17" i="128" s="1"/>
  <c r="E84" i="128"/>
  <c r="E17" i="128" s="1"/>
  <c r="D84" i="128"/>
  <c r="D17" i="128" s="1"/>
  <c r="C84" i="128"/>
  <c r="B84" i="128"/>
  <c r="B17" i="128" s="1"/>
  <c r="L77" i="128"/>
  <c r="L16" i="128" s="1"/>
  <c r="K77" i="128"/>
  <c r="K16" i="128" s="1"/>
  <c r="J77" i="128"/>
  <c r="I77" i="128"/>
  <c r="I16" i="128" s="1"/>
  <c r="H77" i="128"/>
  <c r="H16" i="128" s="1"/>
  <c r="G77" i="128"/>
  <c r="G16" i="128" s="1"/>
  <c r="F77" i="128"/>
  <c r="F16" i="128" s="1"/>
  <c r="E77" i="128"/>
  <c r="E16" i="128" s="1"/>
  <c r="D77" i="128"/>
  <c r="D16" i="128" s="1"/>
  <c r="C77" i="128"/>
  <c r="C16" i="128" s="1"/>
  <c r="B77" i="128"/>
  <c r="B16" i="128" s="1"/>
  <c r="L73" i="128"/>
  <c r="L15" i="128" s="1"/>
  <c r="K73" i="128"/>
  <c r="J73" i="128"/>
  <c r="J15" i="128" s="1"/>
  <c r="I73" i="128"/>
  <c r="H73" i="128"/>
  <c r="G73" i="128"/>
  <c r="F73" i="128"/>
  <c r="F15" i="128" s="1"/>
  <c r="E73" i="128"/>
  <c r="E15" i="128" s="1"/>
  <c r="D73" i="128"/>
  <c r="D15" i="128" s="1"/>
  <c r="C73" i="128"/>
  <c r="B73" i="128"/>
  <c r="B15" i="128" s="1"/>
  <c r="L69" i="128"/>
  <c r="L14" i="128" s="1"/>
  <c r="K69" i="128"/>
  <c r="K14" i="128" s="1"/>
  <c r="J69" i="128"/>
  <c r="I69" i="128"/>
  <c r="H69" i="128"/>
  <c r="G69" i="128"/>
  <c r="G14" i="128" s="1"/>
  <c r="F69" i="128"/>
  <c r="E69" i="128"/>
  <c r="D69" i="128"/>
  <c r="C69" i="128"/>
  <c r="C14" i="128" s="1"/>
  <c r="B69" i="128"/>
  <c r="F59" i="128"/>
  <c r="B59" i="128"/>
  <c r="L52" i="128"/>
  <c r="E52" i="128"/>
  <c r="L51" i="128"/>
  <c r="K51" i="128"/>
  <c r="K50" i="128"/>
  <c r="G50" i="128"/>
  <c r="J49" i="128"/>
  <c r="B49" i="128"/>
  <c r="I48" i="128"/>
  <c r="G48" i="128"/>
  <c r="E48" i="128"/>
  <c r="D47" i="128"/>
  <c r="C47" i="128"/>
  <c r="G46" i="128"/>
  <c r="C46" i="128"/>
  <c r="J45" i="128"/>
  <c r="B45" i="128"/>
  <c r="I44" i="128"/>
  <c r="L43" i="128"/>
  <c r="K43" i="128"/>
  <c r="H43" i="128"/>
  <c r="E42" i="128"/>
  <c r="L41" i="128"/>
  <c r="H41" i="128"/>
  <c r="G36" i="128"/>
  <c r="F36" i="128"/>
  <c r="K32" i="128"/>
  <c r="G32" i="128"/>
  <c r="J31" i="128"/>
  <c r="I31" i="128"/>
  <c r="B31" i="128"/>
  <c r="I30" i="128"/>
  <c r="D30" i="128"/>
  <c r="L26" i="128"/>
  <c r="D26" i="128"/>
  <c r="K25" i="128"/>
  <c r="J25" i="128"/>
  <c r="J24" i="128"/>
  <c r="E24" i="128"/>
  <c r="C23" i="128"/>
  <c r="I22" i="128"/>
  <c r="E22" i="128"/>
  <c r="H18" i="128"/>
  <c r="G18" i="128"/>
  <c r="D18" i="128"/>
  <c r="G17" i="128"/>
  <c r="C17" i="128"/>
  <c r="J16" i="128"/>
  <c r="I15" i="128"/>
  <c r="H15" i="128"/>
  <c r="H14" i="128"/>
  <c r="D14" i="128"/>
  <c r="J9" i="128"/>
  <c r="I9" i="128"/>
  <c r="F9" i="128"/>
  <c r="B9" i="128"/>
  <c r="M8" i="128"/>
  <c r="L8" i="128"/>
  <c r="K8" i="128"/>
  <c r="J8" i="128"/>
  <c r="I8" i="128"/>
  <c r="H8" i="128"/>
  <c r="G8" i="128"/>
  <c r="F8" i="128"/>
  <c r="E8" i="128"/>
  <c r="D8" i="128"/>
  <c r="C8" i="128"/>
  <c r="B8" i="128"/>
  <c r="M7" i="128"/>
  <c r="L7" i="128"/>
  <c r="K7" i="128"/>
  <c r="J7" i="128"/>
  <c r="I7" i="128"/>
  <c r="H7" i="128"/>
  <c r="G7" i="128"/>
  <c r="F7" i="128"/>
  <c r="E7" i="128"/>
  <c r="D7" i="128"/>
  <c r="C7" i="128"/>
  <c r="B7" i="128"/>
  <c r="M6" i="128"/>
  <c r="L6" i="128"/>
  <c r="K6" i="128"/>
  <c r="J6" i="128"/>
  <c r="I6" i="128"/>
  <c r="H6" i="128"/>
  <c r="G6" i="128"/>
  <c r="F6" i="128"/>
  <c r="E6" i="128"/>
  <c r="D6" i="128"/>
  <c r="C6" i="128"/>
  <c r="B6" i="128"/>
  <c r="M5" i="128"/>
  <c r="L5" i="128"/>
  <c r="K5" i="128"/>
  <c r="J5" i="128"/>
  <c r="I5" i="128"/>
  <c r="H5" i="128"/>
  <c r="G5" i="128"/>
  <c r="F5" i="128"/>
  <c r="E5" i="128"/>
  <c r="D5" i="128"/>
  <c r="C5" i="128"/>
  <c r="B5" i="128"/>
  <c r="M4" i="128"/>
  <c r="L4" i="128"/>
  <c r="K4" i="128"/>
  <c r="J4" i="128"/>
  <c r="I4" i="128"/>
  <c r="H4" i="128"/>
  <c r="G4" i="128"/>
  <c r="F4" i="128"/>
  <c r="E4" i="128"/>
  <c r="D4" i="128"/>
  <c r="C4" i="128"/>
  <c r="B4" i="128"/>
  <c r="M378" i="127"/>
  <c r="L378" i="127"/>
  <c r="L9" i="127" s="1"/>
  <c r="K378" i="127"/>
  <c r="K9" i="127" s="1"/>
  <c r="J378" i="127"/>
  <c r="J9" i="127" s="1"/>
  <c r="I378" i="127"/>
  <c r="H378" i="127"/>
  <c r="H9" i="127" s="1"/>
  <c r="G378" i="127"/>
  <c r="G9" i="127" s="1"/>
  <c r="F378" i="127"/>
  <c r="F9" i="127" s="1"/>
  <c r="E378" i="127"/>
  <c r="D378" i="127"/>
  <c r="D9" i="127" s="1"/>
  <c r="C378" i="127"/>
  <c r="B378" i="127"/>
  <c r="B9" i="127" s="1"/>
  <c r="M372" i="127"/>
  <c r="L372" i="127"/>
  <c r="K372" i="127"/>
  <c r="J372" i="127"/>
  <c r="I372" i="127"/>
  <c r="H372" i="127"/>
  <c r="G372" i="127"/>
  <c r="F372" i="127"/>
  <c r="E372" i="127"/>
  <c r="D372" i="127"/>
  <c r="C372" i="127"/>
  <c r="B372" i="127"/>
  <c r="M367" i="127"/>
  <c r="L367" i="127"/>
  <c r="K367" i="127"/>
  <c r="J367" i="127"/>
  <c r="I367" i="127"/>
  <c r="H367" i="127"/>
  <c r="G367" i="127"/>
  <c r="F367" i="127"/>
  <c r="E367" i="127"/>
  <c r="D367" i="127"/>
  <c r="C367" i="127"/>
  <c r="B367" i="127"/>
  <c r="M359" i="127"/>
  <c r="L359" i="127"/>
  <c r="K359" i="127"/>
  <c r="J359" i="127"/>
  <c r="I359" i="127"/>
  <c r="H359" i="127"/>
  <c r="G359" i="127"/>
  <c r="F359" i="127"/>
  <c r="E359" i="127"/>
  <c r="D359" i="127"/>
  <c r="C359" i="127"/>
  <c r="B359" i="127"/>
  <c r="M354" i="127"/>
  <c r="L354" i="127"/>
  <c r="K354" i="127"/>
  <c r="J354" i="127"/>
  <c r="I354" i="127"/>
  <c r="H354" i="127"/>
  <c r="G354" i="127"/>
  <c r="F354" i="127"/>
  <c r="E354" i="127"/>
  <c r="D354" i="127"/>
  <c r="C354" i="127"/>
  <c r="B354" i="127"/>
  <c r="M349" i="127"/>
  <c r="M374" i="127" s="1"/>
  <c r="L349" i="127"/>
  <c r="L374" i="127" s="1"/>
  <c r="K349" i="127"/>
  <c r="K374" i="127" s="1"/>
  <c r="J349" i="127"/>
  <c r="J374" i="127" s="1"/>
  <c r="I349" i="127"/>
  <c r="I374" i="127" s="1"/>
  <c r="H349" i="127"/>
  <c r="H374" i="127" s="1"/>
  <c r="G349" i="127"/>
  <c r="G374" i="127" s="1"/>
  <c r="F349" i="127"/>
  <c r="F374" i="127" s="1"/>
  <c r="E349" i="127"/>
  <c r="E374" i="127" s="1"/>
  <c r="D349" i="127"/>
  <c r="D374" i="127" s="1"/>
  <c r="C349" i="127"/>
  <c r="C374" i="127" s="1"/>
  <c r="B349" i="127"/>
  <c r="B374" i="127" s="1"/>
  <c r="M339" i="127"/>
  <c r="M59" i="127" s="1"/>
  <c r="L339" i="127"/>
  <c r="L59" i="127" s="1"/>
  <c r="K339" i="127"/>
  <c r="K59" i="127" s="1"/>
  <c r="J339" i="127"/>
  <c r="J59" i="127" s="1"/>
  <c r="I339" i="127"/>
  <c r="I59" i="127" s="1"/>
  <c r="H339" i="127"/>
  <c r="H59" i="127" s="1"/>
  <c r="G339" i="127"/>
  <c r="G59" i="127" s="1"/>
  <c r="F339" i="127"/>
  <c r="F59" i="127" s="1"/>
  <c r="E339" i="127"/>
  <c r="E59" i="127" s="1"/>
  <c r="D339" i="127"/>
  <c r="D59" i="127" s="1"/>
  <c r="C339" i="127"/>
  <c r="B339" i="127"/>
  <c r="B59" i="127" s="1"/>
  <c r="F332" i="127"/>
  <c r="M328" i="127"/>
  <c r="M52" i="127" s="1"/>
  <c r="L328" i="127"/>
  <c r="L52" i="127" s="1"/>
  <c r="K328" i="127"/>
  <c r="K52" i="127" s="1"/>
  <c r="J328" i="127"/>
  <c r="I328" i="127"/>
  <c r="I52" i="127" s="1"/>
  <c r="H328" i="127"/>
  <c r="H52" i="127" s="1"/>
  <c r="G328" i="127"/>
  <c r="G52" i="127" s="1"/>
  <c r="F328" i="127"/>
  <c r="F52" i="127" s="1"/>
  <c r="E328" i="127"/>
  <c r="E52" i="127" s="1"/>
  <c r="D328" i="127"/>
  <c r="D52" i="127" s="1"/>
  <c r="C328" i="127"/>
  <c r="C52" i="127" s="1"/>
  <c r="B328" i="127"/>
  <c r="B52" i="127" s="1"/>
  <c r="M321" i="127"/>
  <c r="M51" i="127" s="1"/>
  <c r="L321" i="127"/>
  <c r="L51" i="127" s="1"/>
  <c r="K321" i="127"/>
  <c r="K51" i="127" s="1"/>
  <c r="J321" i="127"/>
  <c r="I321" i="127"/>
  <c r="I51" i="127" s="1"/>
  <c r="H321" i="127"/>
  <c r="H51" i="127" s="1"/>
  <c r="G321" i="127"/>
  <c r="G51" i="127" s="1"/>
  <c r="F321" i="127"/>
  <c r="E321" i="127"/>
  <c r="E51" i="127" s="1"/>
  <c r="D321" i="127"/>
  <c r="D51" i="127" s="1"/>
  <c r="C321" i="127"/>
  <c r="C51" i="127" s="1"/>
  <c r="B321" i="127"/>
  <c r="B51" i="127" s="1"/>
  <c r="M314" i="127"/>
  <c r="M50" i="127" s="1"/>
  <c r="L314" i="127"/>
  <c r="L50" i="127" s="1"/>
  <c r="K314" i="127"/>
  <c r="K50" i="127" s="1"/>
  <c r="J314" i="127"/>
  <c r="J50" i="127" s="1"/>
  <c r="I314" i="127"/>
  <c r="I50" i="127" s="1"/>
  <c r="H314" i="127"/>
  <c r="H50" i="127" s="1"/>
  <c r="G314" i="127"/>
  <c r="G50" i="127" s="1"/>
  <c r="F314" i="127"/>
  <c r="E314" i="127"/>
  <c r="E50" i="127" s="1"/>
  <c r="D314" i="127"/>
  <c r="D50" i="127" s="1"/>
  <c r="C314" i="127"/>
  <c r="C50" i="127" s="1"/>
  <c r="B314" i="127"/>
  <c r="M305" i="127"/>
  <c r="M49" i="127" s="1"/>
  <c r="L305" i="127"/>
  <c r="L49" i="127" s="1"/>
  <c r="K305" i="127"/>
  <c r="K49" i="127" s="1"/>
  <c r="J305" i="127"/>
  <c r="J49" i="127" s="1"/>
  <c r="I305" i="127"/>
  <c r="I49" i="127" s="1"/>
  <c r="H305" i="127"/>
  <c r="G305" i="127"/>
  <c r="G49" i="127" s="1"/>
  <c r="F305" i="127"/>
  <c r="F49" i="127" s="1"/>
  <c r="E305" i="127"/>
  <c r="E49" i="127" s="1"/>
  <c r="D305" i="127"/>
  <c r="D49" i="127" s="1"/>
  <c r="C305" i="127"/>
  <c r="C49" i="127" s="1"/>
  <c r="B305" i="127"/>
  <c r="M300" i="127"/>
  <c r="M48" i="127" s="1"/>
  <c r="L300" i="127"/>
  <c r="L48" i="127" s="1"/>
  <c r="K300" i="127"/>
  <c r="K48" i="127" s="1"/>
  <c r="J300" i="127"/>
  <c r="I300" i="127"/>
  <c r="I48" i="127" s="1"/>
  <c r="H300" i="127"/>
  <c r="H48" i="127" s="1"/>
  <c r="G300" i="127"/>
  <c r="G48" i="127" s="1"/>
  <c r="F300" i="127"/>
  <c r="F48" i="127" s="1"/>
  <c r="E300" i="127"/>
  <c r="E48" i="127" s="1"/>
  <c r="D300" i="127"/>
  <c r="D48" i="127" s="1"/>
  <c r="C300" i="127"/>
  <c r="C48" i="127" s="1"/>
  <c r="B300" i="127"/>
  <c r="B48" i="127" s="1"/>
  <c r="M292" i="127"/>
  <c r="M47" i="127" s="1"/>
  <c r="L292" i="127"/>
  <c r="K292" i="127"/>
  <c r="K47" i="127" s="1"/>
  <c r="J292" i="127"/>
  <c r="I292" i="127"/>
  <c r="I47" i="127" s="1"/>
  <c r="H292" i="127"/>
  <c r="H47" i="127" s="1"/>
  <c r="G292" i="127"/>
  <c r="G47" i="127" s="1"/>
  <c r="F292" i="127"/>
  <c r="E292" i="127"/>
  <c r="E47" i="127" s="1"/>
  <c r="D292" i="127"/>
  <c r="D47" i="127" s="1"/>
  <c r="C292" i="127"/>
  <c r="C47" i="127" s="1"/>
  <c r="B292" i="127"/>
  <c r="B47" i="127" s="1"/>
  <c r="M284" i="127"/>
  <c r="M46" i="127" s="1"/>
  <c r="L284" i="127"/>
  <c r="K284" i="127"/>
  <c r="K46" i="127" s="1"/>
  <c r="J284" i="127"/>
  <c r="J46" i="127" s="1"/>
  <c r="I284" i="127"/>
  <c r="I46" i="127" s="1"/>
  <c r="H284" i="127"/>
  <c r="H46" i="127" s="1"/>
  <c r="G284" i="127"/>
  <c r="G46" i="127" s="1"/>
  <c r="F284" i="127"/>
  <c r="E284" i="127"/>
  <c r="E46" i="127" s="1"/>
  <c r="D284" i="127"/>
  <c r="D46" i="127" s="1"/>
  <c r="C284" i="127"/>
  <c r="C46" i="127" s="1"/>
  <c r="B284" i="127"/>
  <c r="M269" i="127"/>
  <c r="M45" i="127" s="1"/>
  <c r="L269" i="127"/>
  <c r="L45" i="127" s="1"/>
  <c r="K269" i="127"/>
  <c r="K45" i="127" s="1"/>
  <c r="J269" i="127"/>
  <c r="J45" i="127" s="1"/>
  <c r="I269" i="127"/>
  <c r="I45" i="127" s="1"/>
  <c r="H269" i="127"/>
  <c r="H45" i="127" s="1"/>
  <c r="G269" i="127"/>
  <c r="G45" i="127" s="1"/>
  <c r="F269" i="127"/>
  <c r="F45" i="127" s="1"/>
  <c r="E269" i="127"/>
  <c r="E45" i="127" s="1"/>
  <c r="D269" i="127"/>
  <c r="C269" i="127"/>
  <c r="C45" i="127" s="1"/>
  <c r="B269" i="127"/>
  <c r="M243" i="127"/>
  <c r="M44" i="127" s="1"/>
  <c r="L243" i="127"/>
  <c r="L44" i="127" s="1"/>
  <c r="K243" i="127"/>
  <c r="K44" i="127" s="1"/>
  <c r="J243" i="127"/>
  <c r="I243" i="127"/>
  <c r="I44" i="127" s="1"/>
  <c r="H243" i="127"/>
  <c r="H44" i="127" s="1"/>
  <c r="G243" i="127"/>
  <c r="G44" i="127" s="1"/>
  <c r="F243" i="127"/>
  <c r="F44" i="127" s="1"/>
  <c r="E243" i="127"/>
  <c r="E44" i="127" s="1"/>
  <c r="D243" i="127"/>
  <c r="C243" i="127"/>
  <c r="C44" i="127" s="1"/>
  <c r="B243" i="127"/>
  <c r="B44" i="127" s="1"/>
  <c r="M227" i="127"/>
  <c r="M43" i="127" s="1"/>
  <c r="L227" i="127"/>
  <c r="L43" i="127" s="1"/>
  <c r="K227" i="127"/>
  <c r="J227" i="127"/>
  <c r="I227" i="127"/>
  <c r="I43" i="127" s="1"/>
  <c r="H227" i="127"/>
  <c r="H43" i="127" s="1"/>
  <c r="G227" i="127"/>
  <c r="F227" i="127"/>
  <c r="E227" i="127"/>
  <c r="E43" i="127" s="1"/>
  <c r="D227" i="127"/>
  <c r="D43" i="127" s="1"/>
  <c r="C227" i="127"/>
  <c r="B227" i="127"/>
  <c r="B43" i="127" s="1"/>
  <c r="F217" i="127"/>
  <c r="F42" i="127" s="1"/>
  <c r="E217" i="127"/>
  <c r="E42" i="127" s="1"/>
  <c r="D217" i="127"/>
  <c r="D42" i="127" s="1"/>
  <c r="C217" i="127"/>
  <c r="C42" i="127" s="1"/>
  <c r="B217" i="127"/>
  <c r="B42" i="127" s="1"/>
  <c r="M210" i="127"/>
  <c r="L210" i="127"/>
  <c r="K210" i="127"/>
  <c r="J210" i="127"/>
  <c r="J41" i="127" s="1"/>
  <c r="I210" i="127"/>
  <c r="I41" i="127" s="1"/>
  <c r="H210" i="127"/>
  <c r="G210" i="127"/>
  <c r="F210" i="127"/>
  <c r="F334" i="127" s="1"/>
  <c r="F55" i="127" s="1"/>
  <c r="E210" i="127"/>
  <c r="E41" i="127" s="1"/>
  <c r="D210" i="127"/>
  <c r="C210" i="127"/>
  <c r="C41" i="127" s="1"/>
  <c r="B210" i="127"/>
  <c r="B334" i="127" s="1"/>
  <c r="B55" i="127" s="1"/>
  <c r="M186" i="127"/>
  <c r="M36" i="127" s="1"/>
  <c r="L186" i="127"/>
  <c r="L36" i="127" s="1"/>
  <c r="K186" i="127"/>
  <c r="K36" i="127" s="1"/>
  <c r="J186" i="127"/>
  <c r="J36" i="127" s="1"/>
  <c r="I186" i="127"/>
  <c r="I36" i="127" s="1"/>
  <c r="H186" i="127"/>
  <c r="H36" i="127" s="1"/>
  <c r="G186" i="127"/>
  <c r="F186" i="127"/>
  <c r="F36" i="127" s="1"/>
  <c r="E186" i="127"/>
  <c r="E36" i="127" s="1"/>
  <c r="D186" i="127"/>
  <c r="D36" i="127" s="1"/>
  <c r="C186" i="127"/>
  <c r="B186" i="127"/>
  <c r="B36" i="127" s="1"/>
  <c r="M174" i="127"/>
  <c r="M176" i="127" s="1"/>
  <c r="M34" i="127" s="1"/>
  <c r="L174" i="127"/>
  <c r="L33" i="127" s="1"/>
  <c r="K174" i="127"/>
  <c r="J174" i="127"/>
  <c r="J33" i="127" s="1"/>
  <c r="I174" i="127"/>
  <c r="H174" i="127"/>
  <c r="H33" i="127" s="1"/>
  <c r="E174" i="127"/>
  <c r="D174" i="127"/>
  <c r="D33" i="127" s="1"/>
  <c r="C174" i="127"/>
  <c r="C33" i="127" s="1"/>
  <c r="B174" i="127"/>
  <c r="B33" i="127" s="1"/>
  <c r="M164" i="127"/>
  <c r="L164" i="127"/>
  <c r="L32" i="127" s="1"/>
  <c r="K164" i="127"/>
  <c r="K32" i="127" s="1"/>
  <c r="J164" i="127"/>
  <c r="J32" i="127" s="1"/>
  <c r="I164" i="127"/>
  <c r="H164" i="127"/>
  <c r="H32" i="127" s="1"/>
  <c r="G164" i="127"/>
  <c r="G32" i="127" s="1"/>
  <c r="F164" i="127"/>
  <c r="F32" i="127" s="1"/>
  <c r="E164" i="127"/>
  <c r="D164" i="127"/>
  <c r="D32" i="127" s="1"/>
  <c r="C164" i="127"/>
  <c r="C32" i="127" s="1"/>
  <c r="B164" i="127"/>
  <c r="B32" i="127" s="1"/>
  <c r="M150" i="127"/>
  <c r="L150" i="127"/>
  <c r="K150" i="127"/>
  <c r="K176" i="127" s="1"/>
  <c r="K34" i="127" s="1"/>
  <c r="J150" i="127"/>
  <c r="J31" i="127" s="1"/>
  <c r="I150" i="127"/>
  <c r="H150" i="127"/>
  <c r="H31" i="127" s="1"/>
  <c r="G150" i="127"/>
  <c r="G176" i="127" s="1"/>
  <c r="G34" i="127" s="1"/>
  <c r="F150" i="127"/>
  <c r="F176" i="127" s="1"/>
  <c r="F34" i="127" s="1"/>
  <c r="E150" i="127"/>
  <c r="E176" i="127" s="1"/>
  <c r="E34" i="127" s="1"/>
  <c r="D150" i="127"/>
  <c r="C150" i="127"/>
  <c r="C176" i="127" s="1"/>
  <c r="C34" i="127" s="1"/>
  <c r="B150" i="127"/>
  <c r="B176" i="127" s="1"/>
  <c r="B34" i="127" s="1"/>
  <c r="H130" i="127"/>
  <c r="M115" i="127"/>
  <c r="M26" i="127" s="1"/>
  <c r="K115" i="127"/>
  <c r="K26" i="127" s="1"/>
  <c r="J115" i="127"/>
  <c r="J26" i="127" s="1"/>
  <c r="I115" i="127"/>
  <c r="I26" i="127" s="1"/>
  <c r="H115" i="127"/>
  <c r="H26" i="127" s="1"/>
  <c r="G115" i="127"/>
  <c r="G26" i="127" s="1"/>
  <c r="D115" i="127"/>
  <c r="D26" i="127" s="1"/>
  <c r="M111" i="127"/>
  <c r="L111" i="127"/>
  <c r="L25" i="127" s="1"/>
  <c r="K111" i="127"/>
  <c r="K25" i="127" s="1"/>
  <c r="J111" i="127"/>
  <c r="J25" i="127" s="1"/>
  <c r="I111" i="127"/>
  <c r="H111" i="127"/>
  <c r="H25" i="127" s="1"/>
  <c r="G111" i="127"/>
  <c r="G25" i="127" s="1"/>
  <c r="E111" i="127"/>
  <c r="D111" i="127"/>
  <c r="D25" i="127" s="1"/>
  <c r="C111" i="127"/>
  <c r="C25" i="127" s="1"/>
  <c r="B111" i="127"/>
  <c r="B25" i="127" s="1"/>
  <c r="M104" i="127"/>
  <c r="M24" i="127" s="1"/>
  <c r="L104" i="127"/>
  <c r="L24" i="127" s="1"/>
  <c r="K104" i="127"/>
  <c r="K24" i="127" s="1"/>
  <c r="J104" i="127"/>
  <c r="J24" i="127" s="1"/>
  <c r="I104" i="127"/>
  <c r="H104" i="127"/>
  <c r="G104" i="127"/>
  <c r="G24" i="127" s="1"/>
  <c r="F104" i="127"/>
  <c r="F24" i="127" s="1"/>
  <c r="E104" i="127"/>
  <c r="E24" i="127" s="1"/>
  <c r="D104" i="127"/>
  <c r="C104" i="127"/>
  <c r="B104" i="127"/>
  <c r="B24" i="127" s="1"/>
  <c r="M100" i="127"/>
  <c r="K100" i="127"/>
  <c r="K23" i="127" s="1"/>
  <c r="J100" i="127"/>
  <c r="J23" i="127" s="1"/>
  <c r="I100" i="127"/>
  <c r="I23" i="127" s="1"/>
  <c r="H100" i="127"/>
  <c r="H23" i="127" s="1"/>
  <c r="G100" i="127"/>
  <c r="G23" i="127" s="1"/>
  <c r="F100" i="127"/>
  <c r="F23" i="127" s="1"/>
  <c r="E100" i="127"/>
  <c r="E23" i="127" s="1"/>
  <c r="D100" i="127"/>
  <c r="B100" i="127"/>
  <c r="M96" i="127"/>
  <c r="M22" i="127" s="1"/>
  <c r="L96" i="127"/>
  <c r="K96" i="127"/>
  <c r="K22" i="127" s="1"/>
  <c r="J96" i="127"/>
  <c r="I96" i="127"/>
  <c r="I22" i="127" s="1"/>
  <c r="H96" i="127"/>
  <c r="H22" i="127" s="1"/>
  <c r="G96" i="127"/>
  <c r="F96" i="127"/>
  <c r="F22" i="127" s="1"/>
  <c r="E96" i="127"/>
  <c r="E22" i="127" s="1"/>
  <c r="D96" i="127"/>
  <c r="C96" i="127"/>
  <c r="B96" i="127"/>
  <c r="B22" i="127" s="1"/>
  <c r="K90" i="127"/>
  <c r="K19" i="127" s="1"/>
  <c r="M88" i="127"/>
  <c r="M18" i="127" s="1"/>
  <c r="L88" i="127"/>
  <c r="L18" i="127" s="1"/>
  <c r="K88" i="127"/>
  <c r="J88" i="127"/>
  <c r="J18" i="127" s="1"/>
  <c r="I88" i="127"/>
  <c r="I18" i="127" s="1"/>
  <c r="H88" i="127"/>
  <c r="H18" i="127" s="1"/>
  <c r="G88" i="127"/>
  <c r="G18" i="127" s="1"/>
  <c r="F88" i="127"/>
  <c r="F18" i="127" s="1"/>
  <c r="E88" i="127"/>
  <c r="D88" i="127"/>
  <c r="D18" i="127" s="1"/>
  <c r="C88" i="127"/>
  <c r="B88" i="127"/>
  <c r="B18" i="127" s="1"/>
  <c r="M84" i="127"/>
  <c r="M17" i="127" s="1"/>
  <c r="L84" i="127"/>
  <c r="L17" i="127" s="1"/>
  <c r="K84" i="127"/>
  <c r="J84" i="127"/>
  <c r="J17" i="127" s="1"/>
  <c r="I84" i="127"/>
  <c r="I17" i="127" s="1"/>
  <c r="H84" i="127"/>
  <c r="H17" i="127" s="1"/>
  <c r="G84" i="127"/>
  <c r="F84" i="127"/>
  <c r="E84" i="127"/>
  <c r="E17" i="127" s="1"/>
  <c r="D84" i="127"/>
  <c r="D17" i="127" s="1"/>
  <c r="C84" i="127"/>
  <c r="C17" i="127" s="1"/>
  <c r="B84" i="127"/>
  <c r="B17" i="127" s="1"/>
  <c r="M77" i="127"/>
  <c r="M16" i="127" s="1"/>
  <c r="L77" i="127"/>
  <c r="L16" i="127" s="1"/>
  <c r="K77" i="127"/>
  <c r="J77" i="127"/>
  <c r="J16" i="127" s="1"/>
  <c r="I77" i="127"/>
  <c r="H77" i="127"/>
  <c r="H16" i="127" s="1"/>
  <c r="G77" i="127"/>
  <c r="F77" i="127"/>
  <c r="F16" i="127" s="1"/>
  <c r="E77" i="127"/>
  <c r="E16" i="127" s="1"/>
  <c r="D77" i="127"/>
  <c r="D16" i="127" s="1"/>
  <c r="C77" i="127"/>
  <c r="B77" i="127"/>
  <c r="B16" i="127" s="1"/>
  <c r="M73" i="127"/>
  <c r="M15" i="127" s="1"/>
  <c r="L73" i="127"/>
  <c r="L15" i="127" s="1"/>
  <c r="K73" i="127"/>
  <c r="K15" i="127" s="1"/>
  <c r="J73" i="127"/>
  <c r="J15" i="127" s="1"/>
  <c r="I73" i="127"/>
  <c r="I15" i="127" s="1"/>
  <c r="H73" i="127"/>
  <c r="H15" i="127" s="1"/>
  <c r="G73" i="127"/>
  <c r="F73" i="127"/>
  <c r="E73" i="127"/>
  <c r="E15" i="127" s="1"/>
  <c r="D73" i="127"/>
  <c r="D15" i="127" s="1"/>
  <c r="C73" i="127"/>
  <c r="B73" i="127"/>
  <c r="B15" i="127" s="1"/>
  <c r="M69" i="127"/>
  <c r="L69" i="127"/>
  <c r="L14" i="127" s="1"/>
  <c r="K69" i="127"/>
  <c r="J69" i="127"/>
  <c r="J90" i="127" s="1"/>
  <c r="J19" i="127" s="1"/>
  <c r="I69" i="127"/>
  <c r="H69" i="127"/>
  <c r="G69" i="127"/>
  <c r="G90" i="127" s="1"/>
  <c r="F69" i="127"/>
  <c r="F90" i="127" s="1"/>
  <c r="F19" i="127" s="1"/>
  <c r="E69" i="127"/>
  <c r="D69" i="127"/>
  <c r="C69" i="127"/>
  <c r="C90" i="127" s="1"/>
  <c r="C19" i="127" s="1"/>
  <c r="B69" i="127"/>
  <c r="B90" i="127" s="1"/>
  <c r="B19" i="127" s="1"/>
  <c r="C59" i="127"/>
  <c r="F53" i="127"/>
  <c r="J52" i="127"/>
  <c r="J51" i="127"/>
  <c r="F51" i="127"/>
  <c r="F50" i="127"/>
  <c r="B50" i="127"/>
  <c r="H49" i="127"/>
  <c r="B49" i="127"/>
  <c r="J48" i="127"/>
  <c r="L47" i="127"/>
  <c r="J47" i="127"/>
  <c r="F47" i="127"/>
  <c r="L46" i="127"/>
  <c r="F46" i="127"/>
  <c r="B46" i="127"/>
  <c r="D45" i="127"/>
  <c r="B45" i="127"/>
  <c r="J44" i="127"/>
  <c r="D44" i="127"/>
  <c r="J43" i="127"/>
  <c r="F43" i="127"/>
  <c r="M41" i="127"/>
  <c r="K41" i="127"/>
  <c r="G41" i="127"/>
  <c r="G36" i="127"/>
  <c r="C36" i="127"/>
  <c r="K33" i="127"/>
  <c r="E33" i="127"/>
  <c r="M32" i="127"/>
  <c r="I32" i="127"/>
  <c r="E32" i="127"/>
  <c r="M31" i="127"/>
  <c r="I31" i="127"/>
  <c r="F31" i="127"/>
  <c r="E31" i="127"/>
  <c r="B31" i="127"/>
  <c r="H30" i="127"/>
  <c r="M25" i="127"/>
  <c r="I25" i="127"/>
  <c r="E25" i="127"/>
  <c r="I24" i="127"/>
  <c r="H24" i="127"/>
  <c r="D24" i="127"/>
  <c r="M23" i="127"/>
  <c r="D23" i="127"/>
  <c r="B23" i="127"/>
  <c r="J22" i="127"/>
  <c r="G22" i="127"/>
  <c r="C22" i="127"/>
  <c r="G19" i="127"/>
  <c r="K18" i="127"/>
  <c r="E18" i="127"/>
  <c r="C18" i="127"/>
  <c r="K17" i="127"/>
  <c r="G17" i="127"/>
  <c r="F17" i="127"/>
  <c r="K16" i="127"/>
  <c r="I16" i="127"/>
  <c r="G16" i="127"/>
  <c r="C16" i="127"/>
  <c r="G15" i="127"/>
  <c r="F15" i="127"/>
  <c r="C15" i="127"/>
  <c r="K14" i="127"/>
  <c r="C14" i="127"/>
  <c r="M9" i="127"/>
  <c r="I9" i="127"/>
  <c r="E9" i="127"/>
  <c r="C9" i="127"/>
  <c r="M8" i="127"/>
  <c r="L8" i="127"/>
  <c r="K8" i="127"/>
  <c r="J8" i="127"/>
  <c r="I8" i="127"/>
  <c r="H8" i="127"/>
  <c r="G8" i="127"/>
  <c r="F8" i="127"/>
  <c r="E8" i="127"/>
  <c r="D8" i="127"/>
  <c r="C8" i="127"/>
  <c r="B8" i="127"/>
  <c r="M7" i="127"/>
  <c r="L7" i="127"/>
  <c r="K7" i="127"/>
  <c r="J7" i="127"/>
  <c r="I7" i="127"/>
  <c r="H7" i="127"/>
  <c r="G7" i="127"/>
  <c r="F7" i="127"/>
  <c r="E7" i="127"/>
  <c r="D7" i="127"/>
  <c r="C7" i="127"/>
  <c r="B7" i="127"/>
  <c r="M6" i="127"/>
  <c r="L6" i="127"/>
  <c r="K6" i="127"/>
  <c r="J6" i="127"/>
  <c r="I6" i="127"/>
  <c r="H6" i="127"/>
  <c r="G6" i="127"/>
  <c r="F6" i="127"/>
  <c r="E6" i="127"/>
  <c r="D6" i="127"/>
  <c r="C6" i="127"/>
  <c r="B6" i="127"/>
  <c r="M5" i="127"/>
  <c r="L5" i="127"/>
  <c r="K5" i="127"/>
  <c r="J5" i="127"/>
  <c r="I5" i="127"/>
  <c r="H5" i="127"/>
  <c r="G5" i="127"/>
  <c r="F5" i="127"/>
  <c r="E5" i="127"/>
  <c r="D5" i="127"/>
  <c r="C5" i="127"/>
  <c r="B5" i="127"/>
  <c r="M4" i="127"/>
  <c r="L4" i="127"/>
  <c r="K4" i="127"/>
  <c r="J4" i="127"/>
  <c r="I4" i="127"/>
  <c r="H4" i="127"/>
  <c r="G4" i="127"/>
  <c r="F4" i="127"/>
  <c r="E4" i="127"/>
  <c r="D4" i="127"/>
  <c r="C4" i="127"/>
  <c r="B4" i="127"/>
  <c r="M387" i="126"/>
  <c r="M9" i="126" s="1"/>
  <c r="L387" i="126"/>
  <c r="L9" i="126" s="1"/>
  <c r="K387" i="126"/>
  <c r="K9" i="126" s="1"/>
  <c r="J387" i="126"/>
  <c r="J9" i="126" s="1"/>
  <c r="I387" i="126"/>
  <c r="I9" i="126" s="1"/>
  <c r="H387" i="126"/>
  <c r="G387" i="126"/>
  <c r="F387" i="126"/>
  <c r="F9" i="126" s="1"/>
  <c r="E387" i="126"/>
  <c r="E9" i="126" s="1"/>
  <c r="D387" i="126"/>
  <c r="D9" i="126" s="1"/>
  <c r="C387" i="126"/>
  <c r="B387" i="126"/>
  <c r="B9" i="126" s="1"/>
  <c r="M381" i="126"/>
  <c r="L381" i="126"/>
  <c r="K381" i="126"/>
  <c r="J381" i="126"/>
  <c r="I381" i="126"/>
  <c r="H381" i="126"/>
  <c r="G381" i="126"/>
  <c r="F381" i="126"/>
  <c r="E381" i="126"/>
  <c r="D381" i="126"/>
  <c r="C381" i="126"/>
  <c r="B381" i="126"/>
  <c r="M376" i="126"/>
  <c r="L376" i="126"/>
  <c r="K376" i="126"/>
  <c r="J376" i="126"/>
  <c r="I376" i="126"/>
  <c r="H376" i="126"/>
  <c r="G376" i="126"/>
  <c r="F376" i="126"/>
  <c r="E376" i="126"/>
  <c r="D376" i="126"/>
  <c r="C376" i="126"/>
  <c r="B376" i="126"/>
  <c r="M368" i="126"/>
  <c r="L368" i="126"/>
  <c r="K368" i="126"/>
  <c r="J368" i="126"/>
  <c r="I368" i="126"/>
  <c r="H368" i="126"/>
  <c r="G368" i="126"/>
  <c r="F368" i="126"/>
  <c r="E368" i="126"/>
  <c r="D368" i="126"/>
  <c r="C368" i="126"/>
  <c r="B368" i="126"/>
  <c r="M363" i="126"/>
  <c r="L363" i="126"/>
  <c r="K363" i="126"/>
  <c r="J363" i="126"/>
  <c r="I363" i="126"/>
  <c r="H363" i="126"/>
  <c r="G363" i="126"/>
  <c r="F363" i="126"/>
  <c r="E363" i="126"/>
  <c r="D363" i="126"/>
  <c r="C363" i="126"/>
  <c r="B363" i="126"/>
  <c r="M358" i="126"/>
  <c r="M383" i="126" s="1"/>
  <c r="L358" i="126"/>
  <c r="L383" i="126" s="1"/>
  <c r="K358" i="126"/>
  <c r="K383" i="126" s="1"/>
  <c r="J358" i="126"/>
  <c r="J383" i="126" s="1"/>
  <c r="I358" i="126"/>
  <c r="I383" i="126" s="1"/>
  <c r="H358" i="126"/>
  <c r="H383" i="126" s="1"/>
  <c r="G358" i="126"/>
  <c r="G383" i="126" s="1"/>
  <c r="F358" i="126"/>
  <c r="F383" i="126" s="1"/>
  <c r="E358" i="126"/>
  <c r="E383" i="126" s="1"/>
  <c r="D358" i="126"/>
  <c r="D383" i="126" s="1"/>
  <c r="C358" i="126"/>
  <c r="C383" i="126" s="1"/>
  <c r="B358" i="126"/>
  <c r="B383" i="126" s="1"/>
  <c r="M348" i="126"/>
  <c r="M59" i="126" s="1"/>
  <c r="L348" i="126"/>
  <c r="L59" i="126" s="1"/>
  <c r="K348" i="126"/>
  <c r="J348" i="126"/>
  <c r="J59" i="126" s="1"/>
  <c r="I348" i="126"/>
  <c r="H348" i="126"/>
  <c r="H59" i="126" s="1"/>
  <c r="G348" i="126"/>
  <c r="G59" i="126" s="1"/>
  <c r="F348" i="126"/>
  <c r="F59" i="126" s="1"/>
  <c r="E348" i="126"/>
  <c r="E59" i="126" s="1"/>
  <c r="D348" i="126"/>
  <c r="D59" i="126" s="1"/>
  <c r="C348" i="126"/>
  <c r="C59" i="126" s="1"/>
  <c r="B348" i="126"/>
  <c r="B59" i="126" s="1"/>
  <c r="F341" i="126"/>
  <c r="F53" i="126" s="1"/>
  <c r="E341" i="126"/>
  <c r="E53" i="126" s="1"/>
  <c r="D341" i="126"/>
  <c r="D53" i="126" s="1"/>
  <c r="C341" i="126"/>
  <c r="C53" i="126" s="1"/>
  <c r="M337" i="126"/>
  <c r="M52" i="126" s="1"/>
  <c r="L337" i="126"/>
  <c r="L52" i="126" s="1"/>
  <c r="K337" i="126"/>
  <c r="K52" i="126" s="1"/>
  <c r="J337" i="126"/>
  <c r="J52" i="126" s="1"/>
  <c r="I337" i="126"/>
  <c r="I52" i="126" s="1"/>
  <c r="H337" i="126"/>
  <c r="H52" i="126" s="1"/>
  <c r="G337" i="126"/>
  <c r="F337" i="126"/>
  <c r="F52" i="126" s="1"/>
  <c r="E337" i="126"/>
  <c r="E52" i="126" s="1"/>
  <c r="D337" i="126"/>
  <c r="D52" i="126" s="1"/>
  <c r="C337" i="126"/>
  <c r="C52" i="126" s="1"/>
  <c r="B337" i="126"/>
  <c r="B52" i="126" s="1"/>
  <c r="M330" i="126"/>
  <c r="M51" i="126" s="1"/>
  <c r="L330" i="126"/>
  <c r="L51" i="126" s="1"/>
  <c r="K330" i="126"/>
  <c r="K51" i="126" s="1"/>
  <c r="J330" i="126"/>
  <c r="J51" i="126" s="1"/>
  <c r="I330" i="126"/>
  <c r="I51" i="126" s="1"/>
  <c r="H330" i="126"/>
  <c r="G330" i="126"/>
  <c r="F330" i="126"/>
  <c r="F51" i="126" s="1"/>
  <c r="E330" i="126"/>
  <c r="E51" i="126" s="1"/>
  <c r="D330" i="126"/>
  <c r="D51" i="126" s="1"/>
  <c r="C330" i="126"/>
  <c r="C51" i="126" s="1"/>
  <c r="B330" i="126"/>
  <c r="B51" i="126" s="1"/>
  <c r="M322" i="126"/>
  <c r="M50" i="126" s="1"/>
  <c r="L322" i="126"/>
  <c r="L50" i="126" s="1"/>
  <c r="K322" i="126"/>
  <c r="K50" i="126" s="1"/>
  <c r="J322" i="126"/>
  <c r="J50" i="126" s="1"/>
  <c r="I322" i="126"/>
  <c r="I50" i="126" s="1"/>
  <c r="H322" i="126"/>
  <c r="H50" i="126" s="1"/>
  <c r="G322" i="126"/>
  <c r="F322" i="126"/>
  <c r="F50" i="126" s="1"/>
  <c r="E322" i="126"/>
  <c r="E50" i="126" s="1"/>
  <c r="D322" i="126"/>
  <c r="D50" i="126" s="1"/>
  <c r="C322" i="126"/>
  <c r="C50" i="126" s="1"/>
  <c r="B322" i="126"/>
  <c r="B50" i="126" s="1"/>
  <c r="M313" i="126"/>
  <c r="M49" i="126" s="1"/>
  <c r="L313" i="126"/>
  <c r="L49" i="126" s="1"/>
  <c r="K313" i="126"/>
  <c r="K49" i="126" s="1"/>
  <c r="J313" i="126"/>
  <c r="J49" i="126" s="1"/>
  <c r="I313" i="126"/>
  <c r="I49" i="126" s="1"/>
  <c r="H313" i="126"/>
  <c r="H49" i="126" s="1"/>
  <c r="G313" i="126"/>
  <c r="G49" i="126" s="1"/>
  <c r="F313" i="126"/>
  <c r="F49" i="126" s="1"/>
  <c r="E313" i="126"/>
  <c r="E49" i="126" s="1"/>
  <c r="D313" i="126"/>
  <c r="D49" i="126" s="1"/>
  <c r="C313" i="126"/>
  <c r="C49" i="126" s="1"/>
  <c r="B313" i="126"/>
  <c r="B49" i="126" s="1"/>
  <c r="M308" i="126"/>
  <c r="M48" i="126" s="1"/>
  <c r="L308" i="126"/>
  <c r="L48" i="126" s="1"/>
  <c r="K308" i="126"/>
  <c r="K48" i="126" s="1"/>
  <c r="J308" i="126"/>
  <c r="J48" i="126" s="1"/>
  <c r="I308" i="126"/>
  <c r="I48" i="126" s="1"/>
  <c r="H308" i="126"/>
  <c r="H48" i="126" s="1"/>
  <c r="G308" i="126"/>
  <c r="F308" i="126"/>
  <c r="F48" i="126" s="1"/>
  <c r="E308" i="126"/>
  <c r="D308" i="126"/>
  <c r="D48" i="126" s="1"/>
  <c r="C308" i="126"/>
  <c r="C48" i="126" s="1"/>
  <c r="B308" i="126"/>
  <c r="B48" i="126" s="1"/>
  <c r="M299" i="126"/>
  <c r="M47" i="126" s="1"/>
  <c r="L299" i="126"/>
  <c r="L47" i="126" s="1"/>
  <c r="K299" i="126"/>
  <c r="K47" i="126" s="1"/>
  <c r="J299" i="126"/>
  <c r="J47" i="126" s="1"/>
  <c r="I299" i="126"/>
  <c r="I47" i="126" s="1"/>
  <c r="H299" i="126"/>
  <c r="H47" i="126" s="1"/>
  <c r="G299" i="126"/>
  <c r="F299" i="126"/>
  <c r="F47" i="126" s="1"/>
  <c r="E299" i="126"/>
  <c r="E47" i="126" s="1"/>
  <c r="D299" i="126"/>
  <c r="D47" i="126" s="1"/>
  <c r="C299" i="126"/>
  <c r="C47" i="126" s="1"/>
  <c r="B299" i="126"/>
  <c r="B47" i="126" s="1"/>
  <c r="M290" i="126"/>
  <c r="M46" i="126" s="1"/>
  <c r="L290" i="126"/>
  <c r="L46" i="126" s="1"/>
  <c r="K290" i="126"/>
  <c r="K46" i="126" s="1"/>
  <c r="J290" i="126"/>
  <c r="J46" i="126" s="1"/>
  <c r="I290" i="126"/>
  <c r="I46" i="126" s="1"/>
  <c r="H290" i="126"/>
  <c r="H46" i="126" s="1"/>
  <c r="G290" i="126"/>
  <c r="G46" i="126" s="1"/>
  <c r="F290" i="126"/>
  <c r="F46" i="126" s="1"/>
  <c r="E290" i="126"/>
  <c r="E46" i="126" s="1"/>
  <c r="D290" i="126"/>
  <c r="D46" i="126" s="1"/>
  <c r="C290" i="126"/>
  <c r="C46" i="126" s="1"/>
  <c r="B290" i="126"/>
  <c r="B46" i="126" s="1"/>
  <c r="M274" i="126"/>
  <c r="M45" i="126" s="1"/>
  <c r="L274" i="126"/>
  <c r="L45" i="126" s="1"/>
  <c r="K274" i="126"/>
  <c r="J274" i="126"/>
  <c r="J45" i="126" s="1"/>
  <c r="I274" i="126"/>
  <c r="H274" i="126"/>
  <c r="H45" i="126" s="1"/>
  <c r="G274" i="126"/>
  <c r="G45" i="126" s="1"/>
  <c r="F274" i="126"/>
  <c r="F45" i="126" s="1"/>
  <c r="E274" i="126"/>
  <c r="E45" i="126" s="1"/>
  <c r="D274" i="126"/>
  <c r="D45" i="126" s="1"/>
  <c r="C274" i="126"/>
  <c r="C45" i="126" s="1"/>
  <c r="B274" i="126"/>
  <c r="B45" i="126" s="1"/>
  <c r="M249" i="126"/>
  <c r="M44" i="126" s="1"/>
  <c r="L249" i="126"/>
  <c r="L44" i="126" s="1"/>
  <c r="K249" i="126"/>
  <c r="K44" i="126" s="1"/>
  <c r="J249" i="126"/>
  <c r="J44" i="126" s="1"/>
  <c r="I249" i="126"/>
  <c r="I44" i="126" s="1"/>
  <c r="H249" i="126"/>
  <c r="H44" i="126" s="1"/>
  <c r="G249" i="126"/>
  <c r="F249" i="126"/>
  <c r="F44" i="126" s="1"/>
  <c r="E249" i="126"/>
  <c r="E44" i="126" s="1"/>
  <c r="D249" i="126"/>
  <c r="D44" i="126" s="1"/>
  <c r="C249" i="126"/>
  <c r="C44" i="126" s="1"/>
  <c r="B249" i="126"/>
  <c r="B44" i="126" s="1"/>
  <c r="M233" i="126"/>
  <c r="M43" i="126" s="1"/>
  <c r="L233" i="126"/>
  <c r="L43" i="126" s="1"/>
  <c r="K233" i="126"/>
  <c r="J233" i="126"/>
  <c r="J43" i="126" s="1"/>
  <c r="I233" i="126"/>
  <c r="I43" i="126" s="1"/>
  <c r="H233" i="126"/>
  <c r="H43" i="126" s="1"/>
  <c r="G233" i="126"/>
  <c r="G43" i="126" s="1"/>
  <c r="F233" i="126"/>
  <c r="F43" i="126" s="1"/>
  <c r="E233" i="126"/>
  <c r="E43" i="126" s="1"/>
  <c r="D233" i="126"/>
  <c r="D43" i="126" s="1"/>
  <c r="C233" i="126"/>
  <c r="C43" i="126" s="1"/>
  <c r="B233" i="126"/>
  <c r="B43" i="126" s="1"/>
  <c r="K222" i="126"/>
  <c r="K42" i="126" s="1"/>
  <c r="I222" i="126"/>
  <c r="I42" i="126" s="1"/>
  <c r="F222" i="126"/>
  <c r="F42" i="126" s="1"/>
  <c r="E222" i="126"/>
  <c r="E42" i="126" s="1"/>
  <c r="D222" i="126"/>
  <c r="D42" i="126" s="1"/>
  <c r="C222" i="126"/>
  <c r="C42" i="126" s="1"/>
  <c r="B222" i="126"/>
  <c r="B42" i="126" s="1"/>
  <c r="M214" i="126"/>
  <c r="L214" i="126"/>
  <c r="K214" i="126"/>
  <c r="J214" i="126"/>
  <c r="I214" i="126"/>
  <c r="H214" i="126"/>
  <c r="G214" i="126"/>
  <c r="F214" i="126"/>
  <c r="F41" i="126" s="1"/>
  <c r="E214" i="126"/>
  <c r="D214" i="126"/>
  <c r="D41" i="126" s="1"/>
  <c r="C214" i="126"/>
  <c r="B214" i="126"/>
  <c r="B41" i="126" s="1"/>
  <c r="M191" i="126"/>
  <c r="M36" i="126" s="1"/>
  <c r="L191" i="126"/>
  <c r="K191" i="126"/>
  <c r="K36" i="126" s="1"/>
  <c r="J191" i="126"/>
  <c r="J36" i="126" s="1"/>
  <c r="I191" i="126"/>
  <c r="I36" i="126" s="1"/>
  <c r="H191" i="126"/>
  <c r="H36" i="126" s="1"/>
  <c r="G191" i="126"/>
  <c r="F191" i="126"/>
  <c r="F36" i="126" s="1"/>
  <c r="E191" i="126"/>
  <c r="E36" i="126" s="1"/>
  <c r="D191" i="126"/>
  <c r="D36" i="126" s="1"/>
  <c r="C191" i="126"/>
  <c r="C36" i="126" s="1"/>
  <c r="B191" i="126"/>
  <c r="B36" i="126" s="1"/>
  <c r="M179" i="126"/>
  <c r="M33" i="126" s="1"/>
  <c r="H179" i="126"/>
  <c r="H33" i="126" s="1"/>
  <c r="G179" i="126"/>
  <c r="G33" i="126" s="1"/>
  <c r="F179" i="126"/>
  <c r="E179" i="126"/>
  <c r="E33" i="126" s="1"/>
  <c r="D179" i="126"/>
  <c r="D33" i="126" s="1"/>
  <c r="C179" i="126"/>
  <c r="C33" i="126" s="1"/>
  <c r="B179" i="126"/>
  <c r="B33" i="126" s="1"/>
  <c r="M167" i="126"/>
  <c r="M32" i="126" s="1"/>
  <c r="L167" i="126"/>
  <c r="L32" i="126" s="1"/>
  <c r="K167" i="126"/>
  <c r="K32" i="126" s="1"/>
  <c r="J167" i="126"/>
  <c r="J32" i="126" s="1"/>
  <c r="I167" i="126"/>
  <c r="I32" i="126" s="1"/>
  <c r="H167" i="126"/>
  <c r="H32" i="126" s="1"/>
  <c r="G167" i="126"/>
  <c r="G32" i="126" s="1"/>
  <c r="F167" i="126"/>
  <c r="F32" i="126" s="1"/>
  <c r="E167" i="126"/>
  <c r="E32" i="126" s="1"/>
  <c r="D167" i="126"/>
  <c r="C167" i="126"/>
  <c r="C32" i="126" s="1"/>
  <c r="B167" i="126"/>
  <c r="B32" i="126" s="1"/>
  <c r="M153" i="126"/>
  <c r="M31" i="126" s="1"/>
  <c r="L153" i="126"/>
  <c r="L31" i="126" s="1"/>
  <c r="K153" i="126"/>
  <c r="K31" i="126" s="1"/>
  <c r="J153" i="126"/>
  <c r="J31" i="126" s="1"/>
  <c r="I153" i="126"/>
  <c r="H153" i="126"/>
  <c r="H31" i="126" s="1"/>
  <c r="G153" i="126"/>
  <c r="F153" i="126"/>
  <c r="E153" i="126"/>
  <c r="D153" i="126"/>
  <c r="D181" i="126" s="1"/>
  <c r="D34" i="126" s="1"/>
  <c r="C153" i="126"/>
  <c r="B153" i="126"/>
  <c r="M132" i="126"/>
  <c r="M181" i="126" s="1"/>
  <c r="M34" i="126" s="1"/>
  <c r="L132" i="126"/>
  <c r="K132" i="126"/>
  <c r="J132" i="126"/>
  <c r="I132" i="126"/>
  <c r="H132" i="126"/>
  <c r="H181" i="126" s="1"/>
  <c r="H34" i="126" s="1"/>
  <c r="M115" i="126"/>
  <c r="M26" i="126" s="1"/>
  <c r="L115" i="126"/>
  <c r="L26" i="126" s="1"/>
  <c r="K115" i="126"/>
  <c r="H115" i="126"/>
  <c r="H26" i="126" s="1"/>
  <c r="G115" i="126"/>
  <c r="G26" i="126" s="1"/>
  <c r="E115" i="126"/>
  <c r="D115" i="126"/>
  <c r="D26" i="126" s="1"/>
  <c r="C115" i="126"/>
  <c r="C26" i="126" s="1"/>
  <c r="B115" i="126"/>
  <c r="B26" i="126" s="1"/>
  <c r="M111" i="126"/>
  <c r="M25" i="126" s="1"/>
  <c r="L111" i="126"/>
  <c r="K111" i="126"/>
  <c r="K25" i="126" s="1"/>
  <c r="J111" i="126"/>
  <c r="J25" i="126" s="1"/>
  <c r="I111" i="126"/>
  <c r="H111" i="126"/>
  <c r="G111" i="126"/>
  <c r="G25" i="126" s="1"/>
  <c r="F111" i="126"/>
  <c r="F25" i="126" s="1"/>
  <c r="E111" i="126"/>
  <c r="E25" i="126" s="1"/>
  <c r="D111" i="126"/>
  <c r="D25" i="126" s="1"/>
  <c r="C111" i="126"/>
  <c r="C25" i="126" s="1"/>
  <c r="B111" i="126"/>
  <c r="B25" i="126" s="1"/>
  <c r="M104" i="126"/>
  <c r="L104" i="126"/>
  <c r="K104" i="126"/>
  <c r="K117" i="126" s="1"/>
  <c r="K27" i="126" s="1"/>
  <c r="J104" i="126"/>
  <c r="J24" i="126" s="1"/>
  <c r="I104" i="126"/>
  <c r="I24" i="126" s="1"/>
  <c r="H104" i="126"/>
  <c r="F104" i="126"/>
  <c r="F24" i="126" s="1"/>
  <c r="E104" i="126"/>
  <c r="E24" i="126" s="1"/>
  <c r="D104" i="126"/>
  <c r="D24" i="126" s="1"/>
  <c r="B104" i="126"/>
  <c r="B24" i="126" s="1"/>
  <c r="M100" i="126"/>
  <c r="M23" i="126" s="1"/>
  <c r="L100" i="126"/>
  <c r="L23" i="126" s="1"/>
  <c r="I100" i="126"/>
  <c r="I23" i="126" s="1"/>
  <c r="H100" i="126"/>
  <c r="H23" i="126" s="1"/>
  <c r="G100" i="126"/>
  <c r="G23" i="126" s="1"/>
  <c r="E100" i="126"/>
  <c r="E23" i="126" s="1"/>
  <c r="B100" i="126"/>
  <c r="M96" i="126"/>
  <c r="M22" i="126" s="1"/>
  <c r="L96" i="126"/>
  <c r="L22" i="126" s="1"/>
  <c r="K96" i="126"/>
  <c r="K22" i="126" s="1"/>
  <c r="J96" i="126"/>
  <c r="I96" i="126"/>
  <c r="H96" i="126"/>
  <c r="H22" i="126" s="1"/>
  <c r="G96" i="126"/>
  <c r="F96" i="126"/>
  <c r="E96" i="126"/>
  <c r="E22" i="126" s="1"/>
  <c r="D96" i="126"/>
  <c r="D22" i="126" s="1"/>
  <c r="C96" i="126"/>
  <c r="B96" i="126"/>
  <c r="M88" i="126"/>
  <c r="M18" i="126" s="1"/>
  <c r="L88" i="126"/>
  <c r="L18" i="126" s="1"/>
  <c r="K88" i="126"/>
  <c r="K18" i="126" s="1"/>
  <c r="J88" i="126"/>
  <c r="I88" i="126"/>
  <c r="H88" i="126"/>
  <c r="H18" i="126" s="1"/>
  <c r="G88" i="126"/>
  <c r="G18" i="126" s="1"/>
  <c r="F88" i="126"/>
  <c r="E88" i="126"/>
  <c r="E18" i="126" s="1"/>
  <c r="D88" i="126"/>
  <c r="D18" i="126" s="1"/>
  <c r="C88" i="126"/>
  <c r="C18" i="126" s="1"/>
  <c r="B88" i="126"/>
  <c r="M84" i="126"/>
  <c r="L84" i="126"/>
  <c r="L17" i="126" s="1"/>
  <c r="K84" i="126"/>
  <c r="K17" i="126" s="1"/>
  <c r="J84" i="126"/>
  <c r="I84" i="126"/>
  <c r="I17" i="126" s="1"/>
  <c r="H84" i="126"/>
  <c r="H17" i="126" s="1"/>
  <c r="G84" i="126"/>
  <c r="F84" i="126"/>
  <c r="E84" i="126"/>
  <c r="E17" i="126" s="1"/>
  <c r="D84" i="126"/>
  <c r="D17" i="126" s="1"/>
  <c r="C84" i="126"/>
  <c r="C17" i="126" s="1"/>
  <c r="B84" i="126"/>
  <c r="M77" i="126"/>
  <c r="L77" i="126"/>
  <c r="L16" i="126" s="1"/>
  <c r="K77" i="126"/>
  <c r="J77" i="126"/>
  <c r="I77" i="126"/>
  <c r="I16" i="126" s="1"/>
  <c r="H77" i="126"/>
  <c r="H16" i="126" s="1"/>
  <c r="G77" i="126"/>
  <c r="G16" i="126" s="1"/>
  <c r="F77" i="126"/>
  <c r="E77" i="126"/>
  <c r="D77" i="126"/>
  <c r="D16" i="126" s="1"/>
  <c r="C77" i="126"/>
  <c r="B77" i="126"/>
  <c r="M73" i="126"/>
  <c r="L73" i="126"/>
  <c r="L15" i="126" s="1"/>
  <c r="K73" i="126"/>
  <c r="K15" i="126" s="1"/>
  <c r="J73" i="126"/>
  <c r="I73" i="126"/>
  <c r="I15" i="126" s="1"/>
  <c r="H73" i="126"/>
  <c r="H15" i="126" s="1"/>
  <c r="G73" i="126"/>
  <c r="G15" i="126" s="1"/>
  <c r="F73" i="126"/>
  <c r="E73" i="126"/>
  <c r="E15" i="126" s="1"/>
  <c r="D73" i="126"/>
  <c r="D15" i="126" s="1"/>
  <c r="C73" i="126"/>
  <c r="C15" i="126" s="1"/>
  <c r="B73" i="126"/>
  <c r="M69" i="126"/>
  <c r="L69" i="126"/>
  <c r="L14" i="126" s="1"/>
  <c r="K69" i="126"/>
  <c r="K14" i="126" s="1"/>
  <c r="J69" i="126"/>
  <c r="I69" i="126"/>
  <c r="H69" i="126"/>
  <c r="H14" i="126" s="1"/>
  <c r="G69" i="126"/>
  <c r="G14" i="126" s="1"/>
  <c r="F69" i="126"/>
  <c r="E69" i="126"/>
  <c r="E14" i="126" s="1"/>
  <c r="D69" i="126"/>
  <c r="D14" i="126" s="1"/>
  <c r="C69" i="126"/>
  <c r="C14" i="126" s="1"/>
  <c r="B69" i="126"/>
  <c r="K59" i="126"/>
  <c r="I59" i="126"/>
  <c r="G52" i="126"/>
  <c r="H51" i="126"/>
  <c r="G51" i="126"/>
  <c r="G50" i="126"/>
  <c r="G48" i="126"/>
  <c r="E48" i="126"/>
  <c r="G47" i="126"/>
  <c r="K45" i="126"/>
  <c r="I45" i="126"/>
  <c r="G44" i="126"/>
  <c r="K43" i="126"/>
  <c r="L36" i="126"/>
  <c r="G36" i="126"/>
  <c r="F33" i="126"/>
  <c r="D32" i="126"/>
  <c r="I31" i="126"/>
  <c r="H30" i="126"/>
  <c r="K26" i="126"/>
  <c r="E26" i="126"/>
  <c r="L25" i="126"/>
  <c r="I25" i="126"/>
  <c r="H25" i="126"/>
  <c r="M24" i="126"/>
  <c r="L24" i="126"/>
  <c r="H24" i="126"/>
  <c r="B23" i="126"/>
  <c r="I22" i="126"/>
  <c r="F22" i="126"/>
  <c r="J18" i="126"/>
  <c r="I18" i="126"/>
  <c r="F18" i="126"/>
  <c r="B18" i="126"/>
  <c r="M17" i="126"/>
  <c r="J17" i="126"/>
  <c r="G17" i="126"/>
  <c r="F17" i="126"/>
  <c r="B17" i="126"/>
  <c r="M16" i="126"/>
  <c r="K16" i="126"/>
  <c r="J16" i="126"/>
  <c r="F16" i="126"/>
  <c r="E16" i="126"/>
  <c r="C16" i="126"/>
  <c r="B16" i="126"/>
  <c r="M15" i="126"/>
  <c r="J15" i="126"/>
  <c r="F15" i="126"/>
  <c r="B15" i="126"/>
  <c r="J14" i="126"/>
  <c r="F14" i="126"/>
  <c r="B14" i="126"/>
  <c r="H9" i="126"/>
  <c r="G9" i="126"/>
  <c r="C9" i="126"/>
  <c r="M8" i="126"/>
  <c r="L8" i="126"/>
  <c r="K8" i="126"/>
  <c r="J8" i="126"/>
  <c r="I8" i="126"/>
  <c r="H8" i="126"/>
  <c r="G8" i="126"/>
  <c r="F8" i="126"/>
  <c r="E8" i="126"/>
  <c r="D8" i="126"/>
  <c r="C8" i="126"/>
  <c r="B8" i="126"/>
  <c r="M7" i="126"/>
  <c r="L7" i="126"/>
  <c r="K7" i="126"/>
  <c r="J7" i="126"/>
  <c r="I7" i="126"/>
  <c r="H7" i="126"/>
  <c r="G7" i="126"/>
  <c r="F7" i="126"/>
  <c r="E7" i="126"/>
  <c r="D7" i="126"/>
  <c r="C7" i="126"/>
  <c r="B7" i="126"/>
  <c r="M6" i="126"/>
  <c r="L6" i="126"/>
  <c r="K6" i="126"/>
  <c r="J6" i="126"/>
  <c r="I6" i="126"/>
  <c r="H6" i="126"/>
  <c r="G6" i="126"/>
  <c r="F6" i="126"/>
  <c r="E6" i="126"/>
  <c r="D6" i="126"/>
  <c r="C6" i="126"/>
  <c r="B6" i="126"/>
  <c r="M5" i="126"/>
  <c r="L5" i="126"/>
  <c r="K5" i="126"/>
  <c r="J5" i="126"/>
  <c r="I5" i="126"/>
  <c r="H5" i="126"/>
  <c r="G5" i="126"/>
  <c r="F5" i="126"/>
  <c r="E5" i="126"/>
  <c r="D5" i="126"/>
  <c r="C5" i="126"/>
  <c r="B5" i="126"/>
  <c r="M4" i="126"/>
  <c r="L4" i="126"/>
  <c r="K4" i="126"/>
  <c r="J4" i="126"/>
  <c r="I4" i="126"/>
  <c r="H4" i="126"/>
  <c r="G4" i="126"/>
  <c r="F4" i="126"/>
  <c r="E4" i="126"/>
  <c r="D4" i="126"/>
  <c r="C4" i="126"/>
  <c r="B4" i="126"/>
  <c r="M374" i="125"/>
  <c r="M9" i="125" s="1"/>
  <c r="L374" i="125"/>
  <c r="L9" i="125" s="1"/>
  <c r="K374" i="125"/>
  <c r="K9" i="125" s="1"/>
  <c r="J374" i="125"/>
  <c r="J9" i="125" s="1"/>
  <c r="I374" i="125"/>
  <c r="H374" i="125"/>
  <c r="H9" i="125" s="1"/>
  <c r="G374" i="125"/>
  <c r="G9" i="125" s="1"/>
  <c r="F374" i="125"/>
  <c r="F9" i="125" s="1"/>
  <c r="E374" i="125"/>
  <c r="D374" i="125"/>
  <c r="D9" i="125" s="1"/>
  <c r="C374" i="125"/>
  <c r="C9" i="125" s="1"/>
  <c r="B374" i="125"/>
  <c r="B9" i="125" s="1"/>
  <c r="M368" i="125"/>
  <c r="L368" i="125"/>
  <c r="K368" i="125"/>
  <c r="J368" i="125"/>
  <c r="H368" i="125"/>
  <c r="G368" i="125"/>
  <c r="F368" i="125"/>
  <c r="E368" i="125"/>
  <c r="D368" i="125"/>
  <c r="C368" i="125"/>
  <c r="B368" i="125"/>
  <c r="M363" i="125"/>
  <c r="L363" i="125"/>
  <c r="K363" i="125"/>
  <c r="J363" i="125"/>
  <c r="I363" i="125"/>
  <c r="H363" i="125"/>
  <c r="G363" i="125"/>
  <c r="F363" i="125"/>
  <c r="E363" i="125"/>
  <c r="D363" i="125"/>
  <c r="C363" i="125"/>
  <c r="B363" i="125"/>
  <c r="M355" i="125"/>
  <c r="L355" i="125"/>
  <c r="K355" i="125"/>
  <c r="J355" i="125"/>
  <c r="I355" i="125"/>
  <c r="H355" i="125"/>
  <c r="G355" i="125"/>
  <c r="F355" i="125"/>
  <c r="E355" i="125"/>
  <c r="D355" i="125"/>
  <c r="C355" i="125"/>
  <c r="B355" i="125"/>
  <c r="M350" i="125"/>
  <c r="L350" i="125"/>
  <c r="K350" i="125"/>
  <c r="J350" i="125"/>
  <c r="I350" i="125"/>
  <c r="H350" i="125"/>
  <c r="G350" i="125"/>
  <c r="F350" i="125"/>
  <c r="E350" i="125"/>
  <c r="D350" i="125"/>
  <c r="C350" i="125"/>
  <c r="B350" i="125"/>
  <c r="M345" i="125"/>
  <c r="L345" i="125"/>
  <c r="L370" i="125" s="1"/>
  <c r="K345" i="125"/>
  <c r="J345" i="125"/>
  <c r="I345" i="125"/>
  <c r="I370" i="125" s="1"/>
  <c r="H345" i="125"/>
  <c r="H370" i="125" s="1"/>
  <c r="G345" i="125"/>
  <c r="G370" i="125" s="1"/>
  <c r="F345" i="125"/>
  <c r="F370" i="125" s="1"/>
  <c r="E345" i="125"/>
  <c r="E370" i="125" s="1"/>
  <c r="D345" i="125"/>
  <c r="D370" i="125" s="1"/>
  <c r="C345" i="125"/>
  <c r="C370" i="125" s="1"/>
  <c r="B345" i="125"/>
  <c r="B370" i="125" s="1"/>
  <c r="L335" i="125"/>
  <c r="L58" i="125" s="1"/>
  <c r="K335" i="125"/>
  <c r="K58" i="125" s="1"/>
  <c r="J335" i="125"/>
  <c r="I335" i="125"/>
  <c r="H335" i="125"/>
  <c r="H58" i="125" s="1"/>
  <c r="G335" i="125"/>
  <c r="G58" i="125" s="1"/>
  <c r="F335" i="125"/>
  <c r="F58" i="125" s="1"/>
  <c r="E335" i="125"/>
  <c r="E58" i="125" s="1"/>
  <c r="D335" i="125"/>
  <c r="D58" i="125" s="1"/>
  <c r="C335" i="125"/>
  <c r="C58" i="125" s="1"/>
  <c r="B335" i="125"/>
  <c r="F328" i="125"/>
  <c r="C328" i="125"/>
  <c r="C52" i="125" s="1"/>
  <c r="B328" i="125"/>
  <c r="B52" i="125" s="1"/>
  <c r="M324" i="125"/>
  <c r="L324" i="125"/>
  <c r="L51" i="125" s="1"/>
  <c r="K324" i="125"/>
  <c r="K51" i="125" s="1"/>
  <c r="J324" i="125"/>
  <c r="J51" i="125" s="1"/>
  <c r="I324" i="125"/>
  <c r="I51" i="125" s="1"/>
  <c r="H324" i="125"/>
  <c r="G324" i="125"/>
  <c r="G51" i="125" s="1"/>
  <c r="F324" i="125"/>
  <c r="F51" i="125" s="1"/>
  <c r="E324" i="125"/>
  <c r="D324" i="125"/>
  <c r="C324" i="125"/>
  <c r="C51" i="125" s="1"/>
  <c r="B324" i="125"/>
  <c r="B51" i="125" s="1"/>
  <c r="M317" i="125"/>
  <c r="M50" i="125" s="1"/>
  <c r="L317" i="125"/>
  <c r="L50" i="125" s="1"/>
  <c r="K317" i="125"/>
  <c r="K50" i="125" s="1"/>
  <c r="J317" i="125"/>
  <c r="J50" i="125" s="1"/>
  <c r="I317" i="125"/>
  <c r="H317" i="125"/>
  <c r="G317" i="125"/>
  <c r="G50" i="125" s="1"/>
  <c r="F317" i="125"/>
  <c r="F50" i="125" s="1"/>
  <c r="E317" i="125"/>
  <c r="D317" i="125"/>
  <c r="D50" i="125" s="1"/>
  <c r="C317" i="125"/>
  <c r="C50" i="125" s="1"/>
  <c r="B317" i="125"/>
  <c r="B50" i="125" s="1"/>
  <c r="M309" i="125"/>
  <c r="M49" i="125" s="1"/>
  <c r="L309" i="125"/>
  <c r="L49" i="125" s="1"/>
  <c r="K309" i="125"/>
  <c r="K49" i="125" s="1"/>
  <c r="J309" i="125"/>
  <c r="J49" i="125" s="1"/>
  <c r="I309" i="125"/>
  <c r="I49" i="125" s="1"/>
  <c r="H309" i="125"/>
  <c r="G309" i="125"/>
  <c r="G49" i="125" s="1"/>
  <c r="F309" i="125"/>
  <c r="F49" i="125" s="1"/>
  <c r="E309" i="125"/>
  <c r="D309" i="125"/>
  <c r="D49" i="125" s="1"/>
  <c r="C309" i="125"/>
  <c r="C49" i="125" s="1"/>
  <c r="B309" i="125"/>
  <c r="B49" i="125" s="1"/>
  <c r="M301" i="125"/>
  <c r="L301" i="125"/>
  <c r="L48" i="125" s="1"/>
  <c r="K301" i="125"/>
  <c r="K48" i="125" s="1"/>
  <c r="J301" i="125"/>
  <c r="J48" i="125" s="1"/>
  <c r="I301" i="125"/>
  <c r="H301" i="125"/>
  <c r="G301" i="125"/>
  <c r="G48" i="125" s="1"/>
  <c r="F301" i="125"/>
  <c r="F48" i="125" s="1"/>
  <c r="E301" i="125"/>
  <c r="E48" i="125" s="1"/>
  <c r="D301" i="125"/>
  <c r="D48" i="125" s="1"/>
  <c r="C301" i="125"/>
  <c r="C48" i="125" s="1"/>
  <c r="B301" i="125"/>
  <c r="B48" i="125" s="1"/>
  <c r="M296" i="125"/>
  <c r="M47" i="125" s="1"/>
  <c r="L296" i="125"/>
  <c r="K296" i="125"/>
  <c r="K47" i="125" s="1"/>
  <c r="J296" i="125"/>
  <c r="J47" i="125" s="1"/>
  <c r="I296" i="125"/>
  <c r="H296" i="125"/>
  <c r="H47" i="125" s="1"/>
  <c r="G296" i="125"/>
  <c r="G47" i="125" s="1"/>
  <c r="F296" i="125"/>
  <c r="F47" i="125" s="1"/>
  <c r="E296" i="125"/>
  <c r="E47" i="125" s="1"/>
  <c r="D296" i="125"/>
  <c r="D47" i="125" s="1"/>
  <c r="C296" i="125"/>
  <c r="C47" i="125" s="1"/>
  <c r="B296" i="125"/>
  <c r="B47" i="125" s="1"/>
  <c r="M289" i="125"/>
  <c r="L289" i="125"/>
  <c r="L46" i="125" s="1"/>
  <c r="K289" i="125"/>
  <c r="K46" i="125" s="1"/>
  <c r="J289" i="125"/>
  <c r="J46" i="125" s="1"/>
  <c r="I289" i="125"/>
  <c r="H289" i="125"/>
  <c r="H46" i="125" s="1"/>
  <c r="G289" i="125"/>
  <c r="G46" i="125" s="1"/>
  <c r="F289" i="125"/>
  <c r="F46" i="125" s="1"/>
  <c r="E289" i="125"/>
  <c r="D289" i="125"/>
  <c r="C289" i="125"/>
  <c r="C46" i="125" s="1"/>
  <c r="B289" i="125"/>
  <c r="B46" i="125" s="1"/>
  <c r="M281" i="125"/>
  <c r="M45" i="125" s="1"/>
  <c r="L281" i="125"/>
  <c r="L45" i="125" s="1"/>
  <c r="K281" i="125"/>
  <c r="K45" i="125" s="1"/>
  <c r="J281" i="125"/>
  <c r="J45" i="125" s="1"/>
  <c r="I281" i="125"/>
  <c r="I45" i="125" s="1"/>
  <c r="H281" i="125"/>
  <c r="H45" i="125" s="1"/>
  <c r="G281" i="125"/>
  <c r="G45" i="125" s="1"/>
  <c r="F281" i="125"/>
  <c r="F45" i="125" s="1"/>
  <c r="E281" i="125"/>
  <c r="D281" i="125"/>
  <c r="D45" i="125" s="1"/>
  <c r="C281" i="125"/>
  <c r="C45" i="125" s="1"/>
  <c r="B281" i="125"/>
  <c r="B45" i="125" s="1"/>
  <c r="M266" i="125"/>
  <c r="L266" i="125"/>
  <c r="L44" i="125" s="1"/>
  <c r="K266" i="125"/>
  <c r="K44" i="125" s="1"/>
  <c r="J266" i="125"/>
  <c r="J44" i="125" s="1"/>
  <c r="I266" i="125"/>
  <c r="I44" i="125" s="1"/>
  <c r="H266" i="125"/>
  <c r="H44" i="125" s="1"/>
  <c r="G266" i="125"/>
  <c r="G44" i="125" s="1"/>
  <c r="F266" i="125"/>
  <c r="F44" i="125" s="1"/>
  <c r="E266" i="125"/>
  <c r="D266" i="125"/>
  <c r="D44" i="125" s="1"/>
  <c r="C266" i="125"/>
  <c r="C44" i="125" s="1"/>
  <c r="B266" i="125"/>
  <c r="B44" i="125" s="1"/>
  <c r="M241" i="125"/>
  <c r="M43" i="125" s="1"/>
  <c r="L241" i="125"/>
  <c r="L43" i="125" s="1"/>
  <c r="K241" i="125"/>
  <c r="K43" i="125" s="1"/>
  <c r="J241" i="125"/>
  <c r="J43" i="125" s="1"/>
  <c r="I241" i="125"/>
  <c r="H241" i="125"/>
  <c r="G241" i="125"/>
  <c r="G43" i="125" s="1"/>
  <c r="F241" i="125"/>
  <c r="F43" i="125" s="1"/>
  <c r="E241" i="125"/>
  <c r="D241" i="125"/>
  <c r="D43" i="125" s="1"/>
  <c r="C241" i="125"/>
  <c r="C43" i="125" s="1"/>
  <c r="B241" i="125"/>
  <c r="B43" i="125" s="1"/>
  <c r="M225" i="125"/>
  <c r="M42" i="125" s="1"/>
  <c r="L225" i="125"/>
  <c r="L42" i="125" s="1"/>
  <c r="K225" i="125"/>
  <c r="K42" i="125" s="1"/>
  <c r="J225" i="125"/>
  <c r="J42" i="125" s="1"/>
  <c r="I225" i="125"/>
  <c r="H225" i="125"/>
  <c r="H42" i="125" s="1"/>
  <c r="G225" i="125"/>
  <c r="G42" i="125" s="1"/>
  <c r="F225" i="125"/>
  <c r="F42" i="125" s="1"/>
  <c r="E225" i="125"/>
  <c r="E42" i="125" s="1"/>
  <c r="D225" i="125"/>
  <c r="D42" i="125" s="1"/>
  <c r="C225" i="125"/>
  <c r="B225" i="125"/>
  <c r="B42" i="125" s="1"/>
  <c r="F214" i="125"/>
  <c r="F41" i="125" s="1"/>
  <c r="E214" i="125"/>
  <c r="E41" i="125" s="1"/>
  <c r="D214" i="125"/>
  <c r="D41" i="125" s="1"/>
  <c r="C214" i="125"/>
  <c r="C41" i="125" s="1"/>
  <c r="B214" i="125"/>
  <c r="M206" i="125"/>
  <c r="M40" i="125" s="1"/>
  <c r="L206" i="125"/>
  <c r="K206" i="125"/>
  <c r="K40" i="125" s="1"/>
  <c r="J206" i="125"/>
  <c r="I206" i="125"/>
  <c r="I40" i="125" s="1"/>
  <c r="H206" i="125"/>
  <c r="G206" i="125"/>
  <c r="G40" i="125" s="1"/>
  <c r="F206" i="125"/>
  <c r="F40" i="125" s="1"/>
  <c r="E206" i="125"/>
  <c r="D206" i="125"/>
  <c r="C206" i="125"/>
  <c r="C40" i="125" s="1"/>
  <c r="B206" i="125"/>
  <c r="M182" i="125"/>
  <c r="M35" i="125" s="1"/>
  <c r="L182" i="125"/>
  <c r="L35" i="125" s="1"/>
  <c r="K182" i="125"/>
  <c r="K35" i="125" s="1"/>
  <c r="J182" i="125"/>
  <c r="J35" i="125" s="1"/>
  <c r="I182" i="125"/>
  <c r="I35" i="125" s="1"/>
  <c r="H182" i="125"/>
  <c r="H35" i="125" s="1"/>
  <c r="G182" i="125"/>
  <c r="G35" i="125" s="1"/>
  <c r="F182" i="125"/>
  <c r="E182" i="125"/>
  <c r="D182" i="125"/>
  <c r="C182" i="125"/>
  <c r="C35" i="125" s="1"/>
  <c r="B182" i="125"/>
  <c r="B35" i="125" s="1"/>
  <c r="M170" i="125"/>
  <c r="M32" i="125" s="1"/>
  <c r="L170" i="125"/>
  <c r="J170" i="125"/>
  <c r="J32" i="125" s="1"/>
  <c r="I170" i="125"/>
  <c r="I32" i="125" s="1"/>
  <c r="G170" i="125"/>
  <c r="G32" i="125" s="1"/>
  <c r="F170" i="125"/>
  <c r="F32" i="125" s="1"/>
  <c r="B170" i="125"/>
  <c r="B32" i="125" s="1"/>
  <c r="M164" i="125"/>
  <c r="L164" i="125"/>
  <c r="L31" i="125" s="1"/>
  <c r="K164" i="125"/>
  <c r="J164" i="125"/>
  <c r="J31" i="125" s="1"/>
  <c r="I164" i="125"/>
  <c r="I31" i="125" s="1"/>
  <c r="H164" i="125"/>
  <c r="H31" i="125" s="1"/>
  <c r="G164" i="125"/>
  <c r="G31" i="125" s="1"/>
  <c r="F164" i="125"/>
  <c r="F31" i="125" s="1"/>
  <c r="E164" i="125"/>
  <c r="E31" i="125" s="1"/>
  <c r="D164" i="125"/>
  <c r="D31" i="125" s="1"/>
  <c r="C164" i="125"/>
  <c r="C31" i="125" s="1"/>
  <c r="B164" i="125"/>
  <c r="B31" i="125" s="1"/>
  <c r="M151" i="125"/>
  <c r="L151" i="125"/>
  <c r="L30" i="125" s="1"/>
  <c r="K151" i="125"/>
  <c r="K30" i="125" s="1"/>
  <c r="J151" i="125"/>
  <c r="J172" i="125" s="1"/>
  <c r="J33" i="125" s="1"/>
  <c r="I151" i="125"/>
  <c r="H151" i="125"/>
  <c r="G151" i="125"/>
  <c r="G30" i="125" s="1"/>
  <c r="F151" i="125"/>
  <c r="F30" i="125" s="1"/>
  <c r="E151" i="125"/>
  <c r="D151" i="125"/>
  <c r="D30" i="125" s="1"/>
  <c r="C151" i="125"/>
  <c r="C30" i="125" s="1"/>
  <c r="B151" i="125"/>
  <c r="B172" i="125" s="1"/>
  <c r="B33" i="125" s="1"/>
  <c r="L114" i="125"/>
  <c r="L26" i="125" s="1"/>
  <c r="I114" i="125"/>
  <c r="I26" i="125" s="1"/>
  <c r="H114" i="125"/>
  <c r="F114" i="125"/>
  <c r="F26" i="125" s="1"/>
  <c r="E114" i="125"/>
  <c r="E26" i="125" s="1"/>
  <c r="D114" i="125"/>
  <c r="D26" i="125" s="1"/>
  <c r="C114" i="125"/>
  <c r="B114" i="125"/>
  <c r="B26" i="125" s="1"/>
  <c r="M110" i="125"/>
  <c r="M25" i="125" s="1"/>
  <c r="L110" i="125"/>
  <c r="L25" i="125" s="1"/>
  <c r="K110" i="125"/>
  <c r="I110" i="125"/>
  <c r="I25" i="125" s="1"/>
  <c r="H110" i="125"/>
  <c r="H25" i="125" s="1"/>
  <c r="G110" i="125"/>
  <c r="G25" i="125" s="1"/>
  <c r="F110" i="125"/>
  <c r="E110" i="125"/>
  <c r="D110" i="125"/>
  <c r="D25" i="125" s="1"/>
  <c r="C110" i="125"/>
  <c r="C25" i="125" s="1"/>
  <c r="B110" i="125"/>
  <c r="M103" i="125"/>
  <c r="M24" i="125" s="1"/>
  <c r="L103" i="125"/>
  <c r="L24" i="125" s="1"/>
  <c r="K103" i="125"/>
  <c r="K24" i="125" s="1"/>
  <c r="I103" i="125"/>
  <c r="H103" i="125"/>
  <c r="H24" i="125" s="1"/>
  <c r="G103" i="125"/>
  <c r="G24" i="125" s="1"/>
  <c r="F103" i="125"/>
  <c r="F24" i="125" s="1"/>
  <c r="D103" i="125"/>
  <c r="C103" i="125"/>
  <c r="C24" i="125" s="1"/>
  <c r="B103" i="125"/>
  <c r="B24" i="125" s="1"/>
  <c r="L99" i="125"/>
  <c r="L23" i="125" s="1"/>
  <c r="I99" i="125"/>
  <c r="G99" i="125"/>
  <c r="G23" i="125" s="1"/>
  <c r="E99" i="125"/>
  <c r="E23" i="125" s="1"/>
  <c r="M95" i="125"/>
  <c r="M22" i="125" s="1"/>
  <c r="L95" i="125"/>
  <c r="K95" i="125"/>
  <c r="I95" i="125"/>
  <c r="I22" i="125" s="1"/>
  <c r="H95" i="125"/>
  <c r="H22" i="125" s="1"/>
  <c r="G95" i="125"/>
  <c r="F95" i="125"/>
  <c r="F22" i="125" s="1"/>
  <c r="E95" i="125"/>
  <c r="E22" i="125" s="1"/>
  <c r="D95" i="125"/>
  <c r="D22" i="125" s="1"/>
  <c r="C95" i="125"/>
  <c r="B95" i="125"/>
  <c r="M87" i="125"/>
  <c r="M18" i="125" s="1"/>
  <c r="L87" i="125"/>
  <c r="L18" i="125" s="1"/>
  <c r="K87" i="125"/>
  <c r="J87" i="125"/>
  <c r="J18" i="125" s="1"/>
  <c r="I87" i="125"/>
  <c r="I18" i="125" s="1"/>
  <c r="H87" i="125"/>
  <c r="H18" i="125" s="1"/>
  <c r="G87" i="125"/>
  <c r="F87" i="125"/>
  <c r="F18" i="125" s="1"/>
  <c r="E87" i="125"/>
  <c r="E18" i="125" s="1"/>
  <c r="D87" i="125"/>
  <c r="D18" i="125" s="1"/>
  <c r="C87" i="125"/>
  <c r="B87" i="125"/>
  <c r="B18" i="125" s="1"/>
  <c r="M83" i="125"/>
  <c r="L83" i="125"/>
  <c r="L17" i="125" s="1"/>
  <c r="K83" i="125"/>
  <c r="J83" i="125"/>
  <c r="J17" i="125" s="1"/>
  <c r="I83" i="125"/>
  <c r="I17" i="125" s="1"/>
  <c r="H83" i="125"/>
  <c r="H17" i="125" s="1"/>
  <c r="G83" i="125"/>
  <c r="F83" i="125"/>
  <c r="F17" i="125" s="1"/>
  <c r="E83" i="125"/>
  <c r="E17" i="125" s="1"/>
  <c r="D83" i="125"/>
  <c r="D17" i="125" s="1"/>
  <c r="C83" i="125"/>
  <c r="B83" i="125"/>
  <c r="B17" i="125" s="1"/>
  <c r="M76" i="125"/>
  <c r="M16" i="125" s="1"/>
  <c r="L76" i="125"/>
  <c r="L16" i="125" s="1"/>
  <c r="K76" i="125"/>
  <c r="J76" i="125"/>
  <c r="J16" i="125" s="1"/>
  <c r="I76" i="125"/>
  <c r="H76" i="125"/>
  <c r="H16" i="125" s="1"/>
  <c r="G76" i="125"/>
  <c r="F76" i="125"/>
  <c r="F16" i="125" s="1"/>
  <c r="E76" i="125"/>
  <c r="D76" i="125"/>
  <c r="D16" i="125" s="1"/>
  <c r="C76" i="125"/>
  <c r="B76" i="125"/>
  <c r="B16" i="125" s="1"/>
  <c r="M72" i="125"/>
  <c r="M15" i="125" s="1"/>
  <c r="L72" i="125"/>
  <c r="L15" i="125" s="1"/>
  <c r="K72" i="125"/>
  <c r="J72" i="125"/>
  <c r="J15" i="125" s="1"/>
  <c r="I72" i="125"/>
  <c r="I15" i="125" s="1"/>
  <c r="H72" i="125"/>
  <c r="H15" i="125" s="1"/>
  <c r="G72" i="125"/>
  <c r="F72" i="125"/>
  <c r="F15" i="125" s="1"/>
  <c r="E72" i="125"/>
  <c r="E15" i="125" s="1"/>
  <c r="D72" i="125"/>
  <c r="D15" i="125" s="1"/>
  <c r="C72" i="125"/>
  <c r="B72" i="125"/>
  <c r="B15" i="125" s="1"/>
  <c r="M68" i="125"/>
  <c r="M89" i="125" s="1"/>
  <c r="M19" i="125" s="1"/>
  <c r="L68" i="125"/>
  <c r="K68" i="125"/>
  <c r="K89" i="125" s="1"/>
  <c r="J68" i="125"/>
  <c r="I68" i="125"/>
  <c r="I14" i="125" s="1"/>
  <c r="H68" i="125"/>
  <c r="H89" i="125" s="1"/>
  <c r="H19" i="125" s="1"/>
  <c r="G68" i="125"/>
  <c r="G89" i="125" s="1"/>
  <c r="F68" i="125"/>
  <c r="E68" i="125"/>
  <c r="D68" i="125"/>
  <c r="D89" i="125" s="1"/>
  <c r="D19" i="125" s="1"/>
  <c r="C68" i="125"/>
  <c r="C89" i="125" s="1"/>
  <c r="B68" i="125"/>
  <c r="J58" i="125"/>
  <c r="I58" i="125"/>
  <c r="B58" i="125"/>
  <c r="F52" i="125"/>
  <c r="M51" i="125"/>
  <c r="H51" i="125"/>
  <c r="E51" i="125"/>
  <c r="D51" i="125"/>
  <c r="I50" i="125"/>
  <c r="H50" i="125"/>
  <c r="E50" i="125"/>
  <c r="H49" i="125"/>
  <c r="E49" i="125"/>
  <c r="M48" i="125"/>
  <c r="I48" i="125"/>
  <c r="H48" i="125"/>
  <c r="L47" i="125"/>
  <c r="I47" i="125"/>
  <c r="M46" i="125"/>
  <c r="I46" i="125"/>
  <c r="E46" i="125"/>
  <c r="D46" i="125"/>
  <c r="E45" i="125"/>
  <c r="M44" i="125"/>
  <c r="E44" i="125"/>
  <c r="I43" i="125"/>
  <c r="H43" i="125"/>
  <c r="E43" i="125"/>
  <c r="I42" i="125"/>
  <c r="B41" i="125"/>
  <c r="J40" i="125"/>
  <c r="E40" i="125"/>
  <c r="B40" i="125"/>
  <c r="F35" i="125"/>
  <c r="E35" i="125"/>
  <c r="D35" i="125"/>
  <c r="L32" i="125"/>
  <c r="M31" i="125"/>
  <c r="K31" i="125"/>
  <c r="H26" i="125"/>
  <c r="C26" i="125"/>
  <c r="K25" i="125"/>
  <c r="F25" i="125"/>
  <c r="B25" i="125"/>
  <c r="I24" i="125"/>
  <c r="D24" i="125"/>
  <c r="I23" i="125"/>
  <c r="L22" i="125"/>
  <c r="G22" i="125"/>
  <c r="C22" i="125"/>
  <c r="K19" i="125"/>
  <c r="G19" i="125"/>
  <c r="C19" i="125"/>
  <c r="K18" i="125"/>
  <c r="G18" i="125"/>
  <c r="C18" i="125"/>
  <c r="M17" i="125"/>
  <c r="K17" i="125"/>
  <c r="G17" i="125"/>
  <c r="C17" i="125"/>
  <c r="K16" i="125"/>
  <c r="I16" i="125"/>
  <c r="G16" i="125"/>
  <c r="E16" i="125"/>
  <c r="C16" i="125"/>
  <c r="K15" i="125"/>
  <c r="G15" i="125"/>
  <c r="C15" i="125"/>
  <c r="M14" i="125"/>
  <c r="K14" i="125"/>
  <c r="G14" i="125"/>
  <c r="C14" i="125"/>
  <c r="I9" i="125"/>
  <c r="E9" i="125"/>
  <c r="M8" i="125"/>
  <c r="L8" i="125"/>
  <c r="K8" i="125"/>
  <c r="J8" i="125"/>
  <c r="I8" i="125"/>
  <c r="H8" i="125"/>
  <c r="G8" i="125"/>
  <c r="F8" i="125"/>
  <c r="E8" i="125"/>
  <c r="D8" i="125"/>
  <c r="C8" i="125"/>
  <c r="B8" i="125"/>
  <c r="M7" i="125"/>
  <c r="L7" i="125"/>
  <c r="K7" i="125"/>
  <c r="J7" i="125"/>
  <c r="I7" i="125"/>
  <c r="H7" i="125"/>
  <c r="G7" i="125"/>
  <c r="F7" i="125"/>
  <c r="E7" i="125"/>
  <c r="D7" i="125"/>
  <c r="C7" i="125"/>
  <c r="B7" i="125"/>
  <c r="M6" i="125"/>
  <c r="L6" i="125"/>
  <c r="K6" i="125"/>
  <c r="J6" i="125"/>
  <c r="I6" i="125"/>
  <c r="H6" i="125"/>
  <c r="G6" i="125"/>
  <c r="F6" i="125"/>
  <c r="E6" i="125"/>
  <c r="D6" i="125"/>
  <c r="C6" i="125"/>
  <c r="B6" i="125"/>
  <c r="M5" i="125"/>
  <c r="L5" i="125"/>
  <c r="K5" i="125"/>
  <c r="J5" i="125"/>
  <c r="I5" i="125"/>
  <c r="H5" i="125"/>
  <c r="G5" i="125"/>
  <c r="F5" i="125"/>
  <c r="E5" i="125"/>
  <c r="D5" i="125"/>
  <c r="C5" i="125"/>
  <c r="B5" i="125"/>
  <c r="M4" i="125"/>
  <c r="L4" i="125"/>
  <c r="K4" i="125"/>
  <c r="J4" i="125"/>
  <c r="I4" i="125"/>
  <c r="H4" i="125"/>
  <c r="G4" i="125"/>
  <c r="F4" i="125"/>
  <c r="E4" i="125"/>
  <c r="D4" i="125"/>
  <c r="C4" i="125"/>
  <c r="B4" i="125"/>
  <c r="M380" i="124"/>
  <c r="M9" i="124" s="1"/>
  <c r="L380" i="124"/>
  <c r="L9" i="124" s="1"/>
  <c r="K380" i="124"/>
  <c r="K9" i="124" s="1"/>
  <c r="J380" i="124"/>
  <c r="J9" i="124" s="1"/>
  <c r="I380" i="124"/>
  <c r="I9" i="124" s="1"/>
  <c r="H380" i="124"/>
  <c r="H9" i="124" s="1"/>
  <c r="G380" i="124"/>
  <c r="G9" i="124" s="1"/>
  <c r="F380" i="124"/>
  <c r="F9" i="124" s="1"/>
  <c r="E380" i="124"/>
  <c r="E9" i="124" s="1"/>
  <c r="D380" i="124"/>
  <c r="D9" i="124" s="1"/>
  <c r="C380" i="124"/>
  <c r="C9" i="124" s="1"/>
  <c r="B380" i="124"/>
  <c r="B9" i="124" s="1"/>
  <c r="M374" i="124"/>
  <c r="L374" i="124"/>
  <c r="K374" i="124"/>
  <c r="J374" i="124"/>
  <c r="I374" i="124"/>
  <c r="H374" i="124"/>
  <c r="G374" i="124"/>
  <c r="F374" i="124"/>
  <c r="E374" i="124"/>
  <c r="D374" i="124"/>
  <c r="C374" i="124"/>
  <c r="B374" i="124"/>
  <c r="M369" i="124"/>
  <c r="L369" i="124"/>
  <c r="K369" i="124"/>
  <c r="J369" i="124"/>
  <c r="I369" i="124"/>
  <c r="H369" i="124"/>
  <c r="G369" i="124"/>
  <c r="F369" i="124"/>
  <c r="E369" i="124"/>
  <c r="D369" i="124"/>
  <c r="C369" i="124"/>
  <c r="B369" i="124"/>
  <c r="M361" i="124"/>
  <c r="L361" i="124"/>
  <c r="K361" i="124"/>
  <c r="J361" i="124"/>
  <c r="I361" i="124"/>
  <c r="H361" i="124"/>
  <c r="G361" i="124"/>
  <c r="F361" i="124"/>
  <c r="E361" i="124"/>
  <c r="D361" i="124"/>
  <c r="C361" i="124"/>
  <c r="B361" i="124"/>
  <c r="M356" i="124"/>
  <c r="L356" i="124"/>
  <c r="K356" i="124"/>
  <c r="J356" i="124"/>
  <c r="I356" i="124"/>
  <c r="H356" i="124"/>
  <c r="G356" i="124"/>
  <c r="F356" i="124"/>
  <c r="E356" i="124"/>
  <c r="D356" i="124"/>
  <c r="C356" i="124"/>
  <c r="B356" i="124"/>
  <c r="M351" i="124"/>
  <c r="M376" i="124" s="1"/>
  <c r="L351" i="124"/>
  <c r="L376" i="124" s="1"/>
  <c r="K351" i="124"/>
  <c r="K376" i="124" s="1"/>
  <c r="J351" i="124"/>
  <c r="J376" i="124" s="1"/>
  <c r="I351" i="124"/>
  <c r="I376" i="124" s="1"/>
  <c r="H351" i="124"/>
  <c r="H376" i="124" s="1"/>
  <c r="G351" i="124"/>
  <c r="G376" i="124" s="1"/>
  <c r="F351" i="124"/>
  <c r="F376" i="124" s="1"/>
  <c r="E351" i="124"/>
  <c r="D351" i="124"/>
  <c r="D376" i="124" s="1"/>
  <c r="C351" i="124"/>
  <c r="C376" i="124" s="1"/>
  <c r="B351" i="124"/>
  <c r="B376" i="124" s="1"/>
  <c r="M341" i="124"/>
  <c r="M58" i="124" s="1"/>
  <c r="L341" i="124"/>
  <c r="L58" i="124" s="1"/>
  <c r="K341" i="124"/>
  <c r="J341" i="124"/>
  <c r="J58" i="124" s="1"/>
  <c r="I341" i="124"/>
  <c r="I58" i="124" s="1"/>
  <c r="H341" i="124"/>
  <c r="H58" i="124" s="1"/>
  <c r="G341" i="124"/>
  <c r="G58" i="124" s="1"/>
  <c r="F341" i="124"/>
  <c r="F58" i="124" s="1"/>
  <c r="E341" i="124"/>
  <c r="E58" i="124" s="1"/>
  <c r="D341" i="124"/>
  <c r="D58" i="124" s="1"/>
  <c r="C341" i="124"/>
  <c r="B341" i="124"/>
  <c r="B58" i="124" s="1"/>
  <c r="F334" i="124"/>
  <c r="F52" i="124" s="1"/>
  <c r="C334" i="124"/>
  <c r="C52" i="124" s="1"/>
  <c r="B334" i="124"/>
  <c r="B52" i="124" s="1"/>
  <c r="M330" i="124"/>
  <c r="M51" i="124" s="1"/>
  <c r="L330" i="124"/>
  <c r="L51" i="124" s="1"/>
  <c r="K330" i="124"/>
  <c r="K51" i="124" s="1"/>
  <c r="J330" i="124"/>
  <c r="J51" i="124" s="1"/>
  <c r="I330" i="124"/>
  <c r="I51" i="124" s="1"/>
  <c r="H330" i="124"/>
  <c r="H51" i="124" s="1"/>
  <c r="G330" i="124"/>
  <c r="G51" i="124" s="1"/>
  <c r="F330" i="124"/>
  <c r="F51" i="124" s="1"/>
  <c r="E330" i="124"/>
  <c r="E51" i="124" s="1"/>
  <c r="D330" i="124"/>
  <c r="D51" i="124" s="1"/>
  <c r="C330" i="124"/>
  <c r="C51" i="124" s="1"/>
  <c r="B330" i="124"/>
  <c r="B51" i="124" s="1"/>
  <c r="M323" i="124"/>
  <c r="M50" i="124" s="1"/>
  <c r="L323" i="124"/>
  <c r="L50" i="124" s="1"/>
  <c r="K323" i="124"/>
  <c r="K50" i="124" s="1"/>
  <c r="J323" i="124"/>
  <c r="I323" i="124"/>
  <c r="I50" i="124" s="1"/>
  <c r="H323" i="124"/>
  <c r="H50" i="124" s="1"/>
  <c r="G323" i="124"/>
  <c r="G50" i="124" s="1"/>
  <c r="F323" i="124"/>
  <c r="F50" i="124" s="1"/>
  <c r="E323" i="124"/>
  <c r="E50" i="124" s="1"/>
  <c r="D323" i="124"/>
  <c r="C323" i="124"/>
  <c r="C50" i="124" s="1"/>
  <c r="B323" i="124"/>
  <c r="B50" i="124" s="1"/>
  <c r="M315" i="124"/>
  <c r="M49" i="124" s="1"/>
  <c r="L315" i="124"/>
  <c r="L49" i="124" s="1"/>
  <c r="K315" i="124"/>
  <c r="K49" i="124" s="1"/>
  <c r="J315" i="124"/>
  <c r="J49" i="124" s="1"/>
  <c r="I315" i="124"/>
  <c r="I49" i="124" s="1"/>
  <c r="H315" i="124"/>
  <c r="H49" i="124" s="1"/>
  <c r="G315" i="124"/>
  <c r="G49" i="124" s="1"/>
  <c r="F315" i="124"/>
  <c r="F49" i="124" s="1"/>
  <c r="E315" i="124"/>
  <c r="E49" i="124" s="1"/>
  <c r="D315" i="124"/>
  <c r="D49" i="124" s="1"/>
  <c r="C315" i="124"/>
  <c r="C49" i="124" s="1"/>
  <c r="B315" i="124"/>
  <c r="B49" i="124" s="1"/>
  <c r="M306" i="124"/>
  <c r="M48" i="124" s="1"/>
  <c r="L306" i="124"/>
  <c r="K306" i="124"/>
  <c r="K48" i="124" s="1"/>
  <c r="J306" i="124"/>
  <c r="J48" i="124" s="1"/>
  <c r="I306" i="124"/>
  <c r="I48" i="124" s="1"/>
  <c r="H306" i="124"/>
  <c r="H48" i="124" s="1"/>
  <c r="G306" i="124"/>
  <c r="G48" i="124" s="1"/>
  <c r="F306" i="124"/>
  <c r="F48" i="124" s="1"/>
  <c r="E306" i="124"/>
  <c r="E48" i="124" s="1"/>
  <c r="D306" i="124"/>
  <c r="D48" i="124" s="1"/>
  <c r="C306" i="124"/>
  <c r="C48" i="124" s="1"/>
  <c r="B306" i="124"/>
  <c r="B48" i="124" s="1"/>
  <c r="M301" i="124"/>
  <c r="M47" i="124" s="1"/>
  <c r="L301" i="124"/>
  <c r="L47" i="124" s="1"/>
  <c r="K301" i="124"/>
  <c r="K47" i="124" s="1"/>
  <c r="J301" i="124"/>
  <c r="J47" i="124" s="1"/>
  <c r="I301" i="124"/>
  <c r="I47" i="124" s="1"/>
  <c r="H301" i="124"/>
  <c r="H47" i="124" s="1"/>
  <c r="G301" i="124"/>
  <c r="G47" i="124" s="1"/>
  <c r="F301" i="124"/>
  <c r="F47" i="124" s="1"/>
  <c r="E301" i="124"/>
  <c r="E47" i="124" s="1"/>
  <c r="D301" i="124"/>
  <c r="D47" i="124" s="1"/>
  <c r="C301" i="124"/>
  <c r="C47" i="124" s="1"/>
  <c r="B301" i="124"/>
  <c r="M293" i="124"/>
  <c r="M46" i="124" s="1"/>
  <c r="L293" i="124"/>
  <c r="L46" i="124" s="1"/>
  <c r="K293" i="124"/>
  <c r="K46" i="124" s="1"/>
  <c r="J293" i="124"/>
  <c r="J46" i="124" s="1"/>
  <c r="I293" i="124"/>
  <c r="I46" i="124" s="1"/>
  <c r="H293" i="124"/>
  <c r="H46" i="124" s="1"/>
  <c r="G293" i="124"/>
  <c r="F293" i="124"/>
  <c r="F46" i="124" s="1"/>
  <c r="E293" i="124"/>
  <c r="E46" i="124" s="1"/>
  <c r="D293" i="124"/>
  <c r="D46" i="124" s="1"/>
  <c r="C293" i="124"/>
  <c r="C46" i="124" s="1"/>
  <c r="B293" i="124"/>
  <c r="B46" i="124" s="1"/>
  <c r="M285" i="124"/>
  <c r="M45" i="124" s="1"/>
  <c r="L285" i="124"/>
  <c r="L45" i="124" s="1"/>
  <c r="K285" i="124"/>
  <c r="K45" i="124" s="1"/>
  <c r="J285" i="124"/>
  <c r="J45" i="124" s="1"/>
  <c r="I285" i="124"/>
  <c r="I45" i="124" s="1"/>
  <c r="H285" i="124"/>
  <c r="H45" i="124" s="1"/>
  <c r="G285" i="124"/>
  <c r="G45" i="124" s="1"/>
  <c r="F285" i="124"/>
  <c r="E285" i="124"/>
  <c r="E45" i="124" s="1"/>
  <c r="D285" i="124"/>
  <c r="D45" i="124" s="1"/>
  <c r="C285" i="124"/>
  <c r="C45" i="124" s="1"/>
  <c r="B285" i="124"/>
  <c r="B45" i="124" s="1"/>
  <c r="M269" i="124"/>
  <c r="M44" i="124" s="1"/>
  <c r="L269" i="124"/>
  <c r="L44" i="124" s="1"/>
  <c r="K269" i="124"/>
  <c r="K44" i="124" s="1"/>
  <c r="J269" i="124"/>
  <c r="J44" i="124" s="1"/>
  <c r="I269" i="124"/>
  <c r="I44" i="124" s="1"/>
  <c r="H269" i="124"/>
  <c r="H44" i="124" s="1"/>
  <c r="G269" i="124"/>
  <c r="G44" i="124" s="1"/>
  <c r="F269" i="124"/>
  <c r="F44" i="124" s="1"/>
  <c r="E269" i="124"/>
  <c r="E44" i="124" s="1"/>
  <c r="D269" i="124"/>
  <c r="C269" i="124"/>
  <c r="C44" i="124" s="1"/>
  <c r="B269" i="124"/>
  <c r="B44" i="124" s="1"/>
  <c r="M243" i="124"/>
  <c r="M43" i="124" s="1"/>
  <c r="L243" i="124"/>
  <c r="L43" i="124" s="1"/>
  <c r="K243" i="124"/>
  <c r="K43" i="124" s="1"/>
  <c r="J243" i="124"/>
  <c r="J43" i="124" s="1"/>
  <c r="I243" i="124"/>
  <c r="I43" i="124" s="1"/>
  <c r="H243" i="124"/>
  <c r="H43" i="124" s="1"/>
  <c r="G243" i="124"/>
  <c r="G43" i="124" s="1"/>
  <c r="F243" i="124"/>
  <c r="F43" i="124" s="1"/>
  <c r="E243" i="124"/>
  <c r="E43" i="124" s="1"/>
  <c r="D243" i="124"/>
  <c r="D43" i="124" s="1"/>
  <c r="C243" i="124"/>
  <c r="C43" i="124" s="1"/>
  <c r="B243" i="124"/>
  <c r="B43" i="124" s="1"/>
  <c r="M227" i="124"/>
  <c r="L227" i="124"/>
  <c r="K227" i="124"/>
  <c r="K42" i="124" s="1"/>
  <c r="J227" i="124"/>
  <c r="J42" i="124" s="1"/>
  <c r="I227" i="124"/>
  <c r="H227" i="124"/>
  <c r="H42" i="124" s="1"/>
  <c r="G227" i="124"/>
  <c r="G42" i="124" s="1"/>
  <c r="F227" i="124"/>
  <c r="F42" i="124" s="1"/>
  <c r="E227" i="124"/>
  <c r="D227" i="124"/>
  <c r="D42" i="124" s="1"/>
  <c r="C227" i="124"/>
  <c r="C42" i="124" s="1"/>
  <c r="B227" i="124"/>
  <c r="B42" i="124" s="1"/>
  <c r="F217" i="124"/>
  <c r="F41" i="124" s="1"/>
  <c r="C217" i="124"/>
  <c r="C41" i="124" s="1"/>
  <c r="M211" i="124"/>
  <c r="M40" i="124" s="1"/>
  <c r="L211" i="124"/>
  <c r="K211" i="124"/>
  <c r="J211" i="124"/>
  <c r="J40" i="124" s="1"/>
  <c r="I211" i="124"/>
  <c r="I40" i="124" s="1"/>
  <c r="H211" i="124"/>
  <c r="G211" i="124"/>
  <c r="F211" i="124"/>
  <c r="F40" i="124" s="1"/>
  <c r="E211" i="124"/>
  <c r="E40" i="124" s="1"/>
  <c r="D211" i="124"/>
  <c r="C211" i="124"/>
  <c r="B211" i="124"/>
  <c r="M187" i="124"/>
  <c r="M35" i="124" s="1"/>
  <c r="L187" i="124"/>
  <c r="L35" i="124" s="1"/>
  <c r="K187" i="124"/>
  <c r="K35" i="124" s="1"/>
  <c r="J187" i="124"/>
  <c r="J35" i="124" s="1"/>
  <c r="I187" i="124"/>
  <c r="I35" i="124" s="1"/>
  <c r="H187" i="124"/>
  <c r="H35" i="124" s="1"/>
  <c r="G187" i="124"/>
  <c r="G35" i="124" s="1"/>
  <c r="F187" i="124"/>
  <c r="F35" i="124" s="1"/>
  <c r="E187" i="124"/>
  <c r="E35" i="124" s="1"/>
  <c r="D187" i="124"/>
  <c r="C187" i="124"/>
  <c r="C35" i="124" s="1"/>
  <c r="B187" i="124"/>
  <c r="B35" i="124" s="1"/>
  <c r="J177" i="124"/>
  <c r="J33" i="124" s="1"/>
  <c r="M175" i="124"/>
  <c r="M32" i="124" s="1"/>
  <c r="C175" i="124"/>
  <c r="C32" i="124" s="1"/>
  <c r="M169" i="124"/>
  <c r="M31" i="124" s="1"/>
  <c r="L169" i="124"/>
  <c r="L31" i="124" s="1"/>
  <c r="K169" i="124"/>
  <c r="K31" i="124" s="1"/>
  <c r="J169" i="124"/>
  <c r="J31" i="124" s="1"/>
  <c r="I169" i="124"/>
  <c r="I31" i="124" s="1"/>
  <c r="H169" i="124"/>
  <c r="H31" i="124" s="1"/>
  <c r="G169" i="124"/>
  <c r="G31" i="124" s="1"/>
  <c r="F169" i="124"/>
  <c r="E169" i="124"/>
  <c r="E31" i="124" s="1"/>
  <c r="D169" i="124"/>
  <c r="D31" i="124" s="1"/>
  <c r="C169" i="124"/>
  <c r="C31" i="124" s="1"/>
  <c r="B169" i="124"/>
  <c r="M154" i="124"/>
  <c r="L154" i="124"/>
  <c r="L177" i="124" s="1"/>
  <c r="L33" i="124" s="1"/>
  <c r="K154" i="124"/>
  <c r="J154" i="124"/>
  <c r="J30" i="124" s="1"/>
  <c r="I154" i="124"/>
  <c r="H154" i="124"/>
  <c r="H177" i="124" s="1"/>
  <c r="H33" i="124" s="1"/>
  <c r="G154" i="124"/>
  <c r="G30" i="124" s="1"/>
  <c r="F154" i="124"/>
  <c r="E154" i="124"/>
  <c r="D154" i="124"/>
  <c r="C154" i="124"/>
  <c r="B154" i="124"/>
  <c r="B177" i="124" s="1"/>
  <c r="B33" i="124" s="1"/>
  <c r="L114" i="124"/>
  <c r="I114" i="124"/>
  <c r="I26" i="124" s="1"/>
  <c r="H114" i="124"/>
  <c r="H26" i="124" s="1"/>
  <c r="G114" i="124"/>
  <c r="G26" i="124" s="1"/>
  <c r="C114" i="124"/>
  <c r="C26" i="124" s="1"/>
  <c r="B114" i="124"/>
  <c r="B26" i="124" s="1"/>
  <c r="M110" i="124"/>
  <c r="M25" i="124" s="1"/>
  <c r="K110" i="124"/>
  <c r="K25" i="124" s="1"/>
  <c r="J110" i="124"/>
  <c r="J25" i="124" s="1"/>
  <c r="I110" i="124"/>
  <c r="I25" i="124" s="1"/>
  <c r="H110" i="124"/>
  <c r="H25" i="124" s="1"/>
  <c r="G110" i="124"/>
  <c r="G25" i="124" s="1"/>
  <c r="F110" i="124"/>
  <c r="F25" i="124" s="1"/>
  <c r="E110" i="124"/>
  <c r="E25" i="124" s="1"/>
  <c r="D110" i="124"/>
  <c r="D25" i="124" s="1"/>
  <c r="C110" i="124"/>
  <c r="C25" i="124" s="1"/>
  <c r="B110" i="124"/>
  <c r="B25" i="124" s="1"/>
  <c r="M103" i="124"/>
  <c r="M24" i="124" s="1"/>
  <c r="L103" i="124"/>
  <c r="L24" i="124" s="1"/>
  <c r="K103" i="124"/>
  <c r="K116" i="124" s="1"/>
  <c r="K27" i="124" s="1"/>
  <c r="J103" i="124"/>
  <c r="J24" i="124" s="1"/>
  <c r="I103" i="124"/>
  <c r="I24" i="124" s="1"/>
  <c r="H103" i="124"/>
  <c r="H24" i="124" s="1"/>
  <c r="G103" i="124"/>
  <c r="G24" i="124" s="1"/>
  <c r="F103" i="124"/>
  <c r="E103" i="124"/>
  <c r="E24" i="124" s="1"/>
  <c r="C103" i="124"/>
  <c r="C24" i="124" s="1"/>
  <c r="B103" i="124"/>
  <c r="B24" i="124" s="1"/>
  <c r="J99" i="124"/>
  <c r="J23" i="124" s="1"/>
  <c r="H99" i="124"/>
  <c r="H23" i="124" s="1"/>
  <c r="E99" i="124"/>
  <c r="D99" i="124"/>
  <c r="C99" i="124"/>
  <c r="C23" i="124" s="1"/>
  <c r="M95" i="124"/>
  <c r="L95" i="124"/>
  <c r="L22" i="124" s="1"/>
  <c r="J95" i="124"/>
  <c r="J22" i="124" s="1"/>
  <c r="I95" i="124"/>
  <c r="I22" i="124" s="1"/>
  <c r="H95" i="124"/>
  <c r="H22" i="124" s="1"/>
  <c r="G95" i="124"/>
  <c r="F95" i="124"/>
  <c r="F22" i="124" s="1"/>
  <c r="E95" i="124"/>
  <c r="E22" i="124" s="1"/>
  <c r="D95" i="124"/>
  <c r="D22" i="124" s="1"/>
  <c r="C95" i="124"/>
  <c r="B95" i="124"/>
  <c r="B22" i="124" s="1"/>
  <c r="M87" i="124"/>
  <c r="M18" i="124" s="1"/>
  <c r="L87" i="124"/>
  <c r="L18" i="124" s="1"/>
  <c r="K87" i="124"/>
  <c r="K18" i="124" s="1"/>
  <c r="J87" i="124"/>
  <c r="J18" i="124" s="1"/>
  <c r="I87" i="124"/>
  <c r="I18" i="124" s="1"/>
  <c r="H87" i="124"/>
  <c r="H18" i="124" s="1"/>
  <c r="G87" i="124"/>
  <c r="G18" i="124" s="1"/>
  <c r="F87" i="124"/>
  <c r="F18" i="124" s="1"/>
  <c r="E87" i="124"/>
  <c r="E18" i="124" s="1"/>
  <c r="D87" i="124"/>
  <c r="D18" i="124" s="1"/>
  <c r="C87" i="124"/>
  <c r="B87" i="124"/>
  <c r="B18" i="124" s="1"/>
  <c r="M83" i="124"/>
  <c r="M17" i="124" s="1"/>
  <c r="L83" i="124"/>
  <c r="L17" i="124" s="1"/>
  <c r="K83" i="124"/>
  <c r="J83" i="124"/>
  <c r="J17" i="124" s="1"/>
  <c r="I83" i="124"/>
  <c r="I17" i="124" s="1"/>
  <c r="H83" i="124"/>
  <c r="H17" i="124" s="1"/>
  <c r="G83" i="124"/>
  <c r="G17" i="124" s="1"/>
  <c r="F83" i="124"/>
  <c r="F17" i="124" s="1"/>
  <c r="E83" i="124"/>
  <c r="E17" i="124" s="1"/>
  <c r="D83" i="124"/>
  <c r="D17" i="124" s="1"/>
  <c r="C83" i="124"/>
  <c r="C17" i="124" s="1"/>
  <c r="B83" i="124"/>
  <c r="B17" i="124" s="1"/>
  <c r="M76" i="124"/>
  <c r="M16" i="124" s="1"/>
  <c r="L76" i="124"/>
  <c r="L16" i="124" s="1"/>
  <c r="K76" i="124"/>
  <c r="J76" i="124"/>
  <c r="J16" i="124" s="1"/>
  <c r="I76" i="124"/>
  <c r="I16" i="124" s="1"/>
  <c r="H76" i="124"/>
  <c r="H16" i="124" s="1"/>
  <c r="G76" i="124"/>
  <c r="F76" i="124"/>
  <c r="F16" i="124" s="1"/>
  <c r="E76" i="124"/>
  <c r="E16" i="124" s="1"/>
  <c r="D76" i="124"/>
  <c r="D16" i="124" s="1"/>
  <c r="C76" i="124"/>
  <c r="C16" i="124" s="1"/>
  <c r="B76" i="124"/>
  <c r="B16" i="124" s="1"/>
  <c r="M72" i="124"/>
  <c r="M15" i="124" s="1"/>
  <c r="L72" i="124"/>
  <c r="L15" i="124" s="1"/>
  <c r="K72" i="124"/>
  <c r="K15" i="124" s="1"/>
  <c r="J72" i="124"/>
  <c r="J15" i="124" s="1"/>
  <c r="I72" i="124"/>
  <c r="I15" i="124" s="1"/>
  <c r="H72" i="124"/>
  <c r="H15" i="124" s="1"/>
  <c r="G72" i="124"/>
  <c r="F72" i="124"/>
  <c r="F15" i="124" s="1"/>
  <c r="E72" i="124"/>
  <c r="E15" i="124" s="1"/>
  <c r="D72" i="124"/>
  <c r="D15" i="124" s="1"/>
  <c r="C72" i="124"/>
  <c r="B72" i="124"/>
  <c r="M68" i="124"/>
  <c r="L68" i="124"/>
  <c r="L89" i="124" s="1"/>
  <c r="L19" i="124" s="1"/>
  <c r="K68" i="124"/>
  <c r="J68" i="124"/>
  <c r="J89" i="124" s="1"/>
  <c r="J19" i="124" s="1"/>
  <c r="I68" i="124"/>
  <c r="H68" i="124"/>
  <c r="H14" i="124" s="1"/>
  <c r="G68" i="124"/>
  <c r="F68" i="124"/>
  <c r="E68" i="124"/>
  <c r="D68" i="124"/>
  <c r="C68" i="124"/>
  <c r="C89" i="124" s="1"/>
  <c r="B68" i="124"/>
  <c r="K58" i="124"/>
  <c r="C58" i="124"/>
  <c r="J50" i="124"/>
  <c r="D50" i="124"/>
  <c r="L48" i="124"/>
  <c r="B47" i="124"/>
  <c r="G46" i="124"/>
  <c r="F45" i="124"/>
  <c r="D44" i="124"/>
  <c r="L42" i="124"/>
  <c r="L40" i="124"/>
  <c r="B40" i="124"/>
  <c r="D35" i="124"/>
  <c r="F31" i="124"/>
  <c r="B31" i="124"/>
  <c r="B30" i="124"/>
  <c r="K24" i="124"/>
  <c r="D23" i="124"/>
  <c r="M22" i="124"/>
  <c r="C18" i="124"/>
  <c r="K17" i="124"/>
  <c r="K16" i="124"/>
  <c r="G16" i="124"/>
  <c r="G15" i="124"/>
  <c r="C15" i="124"/>
  <c r="B15" i="124"/>
  <c r="C14" i="124"/>
  <c r="M8" i="124"/>
  <c r="L8" i="124"/>
  <c r="K8" i="124"/>
  <c r="J8" i="124"/>
  <c r="I8" i="124"/>
  <c r="H8" i="124"/>
  <c r="G8" i="124"/>
  <c r="F8" i="124"/>
  <c r="E8" i="124"/>
  <c r="D8" i="124"/>
  <c r="C8" i="124"/>
  <c r="B8" i="124"/>
  <c r="M7" i="124"/>
  <c r="L7" i="124"/>
  <c r="K7" i="124"/>
  <c r="J7" i="124"/>
  <c r="I7" i="124"/>
  <c r="H7" i="124"/>
  <c r="G7" i="124"/>
  <c r="F7" i="124"/>
  <c r="E7" i="124"/>
  <c r="D7" i="124"/>
  <c r="C7" i="124"/>
  <c r="B7" i="124"/>
  <c r="M6" i="124"/>
  <c r="L6" i="124"/>
  <c r="K6" i="124"/>
  <c r="J6" i="124"/>
  <c r="I6" i="124"/>
  <c r="H6" i="124"/>
  <c r="G6" i="124"/>
  <c r="F6" i="124"/>
  <c r="E6" i="124"/>
  <c r="D6" i="124"/>
  <c r="C6" i="124"/>
  <c r="B6" i="124"/>
  <c r="M5" i="124"/>
  <c r="L5" i="124"/>
  <c r="K5" i="124"/>
  <c r="J5" i="124"/>
  <c r="I5" i="124"/>
  <c r="H5" i="124"/>
  <c r="G5" i="124"/>
  <c r="F5" i="124"/>
  <c r="E5" i="124"/>
  <c r="D5" i="124"/>
  <c r="C5" i="124"/>
  <c r="B5" i="124"/>
  <c r="M4" i="124"/>
  <c r="L4" i="124"/>
  <c r="K4" i="124"/>
  <c r="J4" i="124"/>
  <c r="I4" i="124"/>
  <c r="H4" i="124"/>
  <c r="G4" i="124"/>
  <c r="F4" i="124"/>
  <c r="E4" i="124"/>
  <c r="D4" i="124"/>
  <c r="C4" i="124"/>
  <c r="B4" i="124"/>
  <c r="M391" i="123"/>
  <c r="M9" i="123" s="1"/>
  <c r="L391" i="123"/>
  <c r="K391" i="123"/>
  <c r="K9" i="123" s="1"/>
  <c r="J391" i="123"/>
  <c r="J9" i="123" s="1"/>
  <c r="I391" i="123"/>
  <c r="H391" i="123"/>
  <c r="G391" i="123"/>
  <c r="G9" i="123" s="1"/>
  <c r="F391" i="123"/>
  <c r="F9" i="123" s="1"/>
  <c r="E391" i="123"/>
  <c r="D391" i="123"/>
  <c r="C391" i="123"/>
  <c r="C9" i="123" s="1"/>
  <c r="B391" i="123"/>
  <c r="B9" i="123" s="1"/>
  <c r="M385" i="123"/>
  <c r="L385" i="123"/>
  <c r="K385" i="123"/>
  <c r="J385" i="123"/>
  <c r="I385" i="123"/>
  <c r="H385" i="123"/>
  <c r="G385" i="123"/>
  <c r="F385" i="123"/>
  <c r="E385" i="123"/>
  <c r="D385" i="123"/>
  <c r="C385" i="123"/>
  <c r="B385" i="123"/>
  <c r="M380" i="123"/>
  <c r="L380" i="123"/>
  <c r="K380" i="123"/>
  <c r="J380" i="123"/>
  <c r="I380" i="123"/>
  <c r="H380" i="123"/>
  <c r="G380" i="123"/>
  <c r="F380" i="123"/>
  <c r="E380" i="123"/>
  <c r="D380" i="123"/>
  <c r="C380" i="123"/>
  <c r="B380" i="123"/>
  <c r="M372" i="123"/>
  <c r="L372" i="123"/>
  <c r="K372" i="123"/>
  <c r="J372" i="123"/>
  <c r="I372" i="123"/>
  <c r="H372" i="123"/>
  <c r="G372" i="123"/>
  <c r="F372" i="123"/>
  <c r="E372" i="123"/>
  <c r="D372" i="123"/>
  <c r="C372" i="123"/>
  <c r="B372" i="123"/>
  <c r="M367" i="123"/>
  <c r="L367" i="123"/>
  <c r="K367" i="123"/>
  <c r="J367" i="123"/>
  <c r="I367" i="123"/>
  <c r="H367" i="123"/>
  <c r="G367" i="123"/>
  <c r="F367" i="123"/>
  <c r="E367" i="123"/>
  <c r="D367" i="123"/>
  <c r="C367" i="123"/>
  <c r="B367" i="123"/>
  <c r="M362" i="123"/>
  <c r="M387" i="123" s="1"/>
  <c r="L362" i="123"/>
  <c r="L387" i="123" s="1"/>
  <c r="K362" i="123"/>
  <c r="K387" i="123" s="1"/>
  <c r="J362" i="123"/>
  <c r="J387" i="123" s="1"/>
  <c r="I362" i="123"/>
  <c r="I387" i="123" s="1"/>
  <c r="H362" i="123"/>
  <c r="H387" i="123" s="1"/>
  <c r="G362" i="123"/>
  <c r="G387" i="123" s="1"/>
  <c r="F362" i="123"/>
  <c r="F387" i="123" s="1"/>
  <c r="E362" i="123"/>
  <c r="E387" i="123" s="1"/>
  <c r="D362" i="123"/>
  <c r="D387" i="123" s="1"/>
  <c r="C362" i="123"/>
  <c r="C387" i="123" s="1"/>
  <c r="B362" i="123"/>
  <c r="B387" i="123" s="1"/>
  <c r="M352" i="123"/>
  <c r="M59" i="123" s="1"/>
  <c r="L352" i="123"/>
  <c r="K352" i="123"/>
  <c r="K59" i="123" s="1"/>
  <c r="J352" i="123"/>
  <c r="J59" i="123" s="1"/>
  <c r="I352" i="123"/>
  <c r="I59" i="123" s="1"/>
  <c r="H352" i="123"/>
  <c r="H59" i="123" s="1"/>
  <c r="G352" i="123"/>
  <c r="G59" i="123" s="1"/>
  <c r="F352" i="123"/>
  <c r="F59" i="123" s="1"/>
  <c r="E352" i="123"/>
  <c r="E59" i="123" s="1"/>
  <c r="D352" i="123"/>
  <c r="D59" i="123" s="1"/>
  <c r="C352" i="123"/>
  <c r="C59" i="123" s="1"/>
  <c r="B352" i="123"/>
  <c r="B59" i="123" s="1"/>
  <c r="F345" i="123"/>
  <c r="M341" i="123"/>
  <c r="L341" i="123"/>
  <c r="L52" i="123" s="1"/>
  <c r="K341" i="123"/>
  <c r="K52" i="123" s="1"/>
  <c r="J341" i="123"/>
  <c r="J52" i="123" s="1"/>
  <c r="I341" i="123"/>
  <c r="H341" i="123"/>
  <c r="H52" i="123" s="1"/>
  <c r="G341" i="123"/>
  <c r="G52" i="123" s="1"/>
  <c r="F341" i="123"/>
  <c r="F52" i="123" s="1"/>
  <c r="E341" i="123"/>
  <c r="E52" i="123" s="1"/>
  <c r="D341" i="123"/>
  <c r="D52" i="123" s="1"/>
  <c r="C341" i="123"/>
  <c r="C52" i="123" s="1"/>
  <c r="B341" i="123"/>
  <c r="B52" i="123" s="1"/>
  <c r="M334" i="123"/>
  <c r="L334" i="123"/>
  <c r="L51" i="123" s="1"/>
  <c r="K334" i="123"/>
  <c r="K51" i="123" s="1"/>
  <c r="J334" i="123"/>
  <c r="J51" i="123" s="1"/>
  <c r="I334" i="123"/>
  <c r="H334" i="123"/>
  <c r="H51" i="123" s="1"/>
  <c r="G334" i="123"/>
  <c r="G51" i="123" s="1"/>
  <c r="F334" i="123"/>
  <c r="E334" i="123"/>
  <c r="D334" i="123"/>
  <c r="D51" i="123" s="1"/>
  <c r="C334" i="123"/>
  <c r="C51" i="123" s="1"/>
  <c r="B334" i="123"/>
  <c r="B51" i="123" s="1"/>
  <c r="M326" i="123"/>
  <c r="M50" i="123" s="1"/>
  <c r="L326" i="123"/>
  <c r="L50" i="123" s="1"/>
  <c r="K326" i="123"/>
  <c r="K50" i="123" s="1"/>
  <c r="J326" i="123"/>
  <c r="J50" i="123" s="1"/>
  <c r="I326" i="123"/>
  <c r="H326" i="123"/>
  <c r="H50" i="123" s="1"/>
  <c r="G326" i="123"/>
  <c r="G50" i="123" s="1"/>
  <c r="F326" i="123"/>
  <c r="F50" i="123" s="1"/>
  <c r="E326" i="123"/>
  <c r="D326" i="123"/>
  <c r="D50" i="123" s="1"/>
  <c r="C326" i="123"/>
  <c r="C50" i="123" s="1"/>
  <c r="B326" i="123"/>
  <c r="B50" i="123" s="1"/>
  <c r="M319" i="123"/>
  <c r="L319" i="123"/>
  <c r="L49" i="123" s="1"/>
  <c r="K319" i="123"/>
  <c r="K49" i="123" s="1"/>
  <c r="J319" i="123"/>
  <c r="J49" i="123" s="1"/>
  <c r="I319" i="123"/>
  <c r="I49" i="123" s="1"/>
  <c r="H319" i="123"/>
  <c r="H49" i="123" s="1"/>
  <c r="G319" i="123"/>
  <c r="G49" i="123" s="1"/>
  <c r="F319" i="123"/>
  <c r="F49" i="123" s="1"/>
  <c r="E319" i="123"/>
  <c r="D319" i="123"/>
  <c r="D49" i="123" s="1"/>
  <c r="C319" i="123"/>
  <c r="C49" i="123" s="1"/>
  <c r="B319" i="123"/>
  <c r="B49" i="123" s="1"/>
  <c r="M314" i="123"/>
  <c r="L314" i="123"/>
  <c r="L48" i="123" s="1"/>
  <c r="K314" i="123"/>
  <c r="K48" i="123" s="1"/>
  <c r="J314" i="123"/>
  <c r="I314" i="123"/>
  <c r="H314" i="123"/>
  <c r="H48" i="123" s="1"/>
  <c r="G314" i="123"/>
  <c r="G48" i="123" s="1"/>
  <c r="F314" i="123"/>
  <c r="F48" i="123" s="1"/>
  <c r="E314" i="123"/>
  <c r="E48" i="123" s="1"/>
  <c r="D314" i="123"/>
  <c r="D48" i="123" s="1"/>
  <c r="C314" i="123"/>
  <c r="C48" i="123" s="1"/>
  <c r="B314" i="123"/>
  <c r="B48" i="123" s="1"/>
  <c r="M305" i="123"/>
  <c r="L305" i="123"/>
  <c r="L47" i="123" s="1"/>
  <c r="K305" i="123"/>
  <c r="K47" i="123" s="1"/>
  <c r="J305" i="123"/>
  <c r="J47" i="123" s="1"/>
  <c r="I305" i="123"/>
  <c r="H305" i="123"/>
  <c r="H47" i="123" s="1"/>
  <c r="G305" i="123"/>
  <c r="G47" i="123" s="1"/>
  <c r="F305" i="123"/>
  <c r="E305" i="123"/>
  <c r="D305" i="123"/>
  <c r="D47" i="123" s="1"/>
  <c r="C305" i="123"/>
  <c r="C47" i="123" s="1"/>
  <c r="B305" i="123"/>
  <c r="B47" i="123" s="1"/>
  <c r="M296" i="123"/>
  <c r="L296" i="123"/>
  <c r="L46" i="123" s="1"/>
  <c r="K296" i="123"/>
  <c r="K46" i="123" s="1"/>
  <c r="J296" i="123"/>
  <c r="I296" i="123"/>
  <c r="H296" i="123"/>
  <c r="H46" i="123" s="1"/>
  <c r="G296" i="123"/>
  <c r="G46" i="123" s="1"/>
  <c r="F296" i="123"/>
  <c r="F46" i="123" s="1"/>
  <c r="E296" i="123"/>
  <c r="D296" i="123"/>
  <c r="D46" i="123" s="1"/>
  <c r="C296" i="123"/>
  <c r="C46" i="123" s="1"/>
  <c r="B296" i="123"/>
  <c r="M279" i="123"/>
  <c r="L279" i="123"/>
  <c r="K279" i="123"/>
  <c r="K45" i="123" s="1"/>
  <c r="J279" i="123"/>
  <c r="J45" i="123" s="1"/>
  <c r="I279" i="123"/>
  <c r="H279" i="123"/>
  <c r="H45" i="123" s="1"/>
  <c r="G279" i="123"/>
  <c r="G45" i="123" s="1"/>
  <c r="F279" i="123"/>
  <c r="F45" i="123" s="1"/>
  <c r="E279" i="123"/>
  <c r="D279" i="123"/>
  <c r="C279" i="123"/>
  <c r="C45" i="123" s="1"/>
  <c r="B279" i="123"/>
  <c r="B45" i="123" s="1"/>
  <c r="M253" i="123"/>
  <c r="L253" i="123"/>
  <c r="L44" i="123" s="1"/>
  <c r="K253" i="123"/>
  <c r="K44" i="123" s="1"/>
  <c r="J253" i="123"/>
  <c r="J44" i="123" s="1"/>
  <c r="I253" i="123"/>
  <c r="H253" i="123"/>
  <c r="G253" i="123"/>
  <c r="G44" i="123" s="1"/>
  <c r="F253" i="123"/>
  <c r="F44" i="123" s="1"/>
  <c r="E253" i="123"/>
  <c r="D253" i="123"/>
  <c r="D44" i="123" s="1"/>
  <c r="C253" i="123"/>
  <c r="C44" i="123" s="1"/>
  <c r="B253" i="123"/>
  <c r="B44" i="123" s="1"/>
  <c r="M237" i="123"/>
  <c r="L237" i="123"/>
  <c r="L43" i="123" s="1"/>
  <c r="K237" i="123"/>
  <c r="K43" i="123" s="1"/>
  <c r="J237" i="123"/>
  <c r="I237" i="123"/>
  <c r="H237" i="123"/>
  <c r="H43" i="123" s="1"/>
  <c r="G237" i="123"/>
  <c r="G43" i="123" s="1"/>
  <c r="F237" i="123"/>
  <c r="F347" i="123" s="1"/>
  <c r="F55" i="123" s="1"/>
  <c r="E237" i="123"/>
  <c r="D237" i="123"/>
  <c r="C237" i="123"/>
  <c r="C43" i="123" s="1"/>
  <c r="B237" i="123"/>
  <c r="B43" i="123" s="1"/>
  <c r="F226" i="123"/>
  <c r="E226" i="123"/>
  <c r="E42" i="123" s="1"/>
  <c r="D226" i="123"/>
  <c r="D42" i="123" s="1"/>
  <c r="C226" i="123"/>
  <c r="C42" i="123" s="1"/>
  <c r="B226" i="123"/>
  <c r="M218" i="123"/>
  <c r="M347" i="123" s="1"/>
  <c r="M55" i="123" s="1"/>
  <c r="L218" i="123"/>
  <c r="K218" i="123"/>
  <c r="K41" i="123" s="1"/>
  <c r="J218" i="123"/>
  <c r="I218" i="123"/>
  <c r="I347" i="123" s="1"/>
  <c r="I55" i="123" s="1"/>
  <c r="H218" i="123"/>
  <c r="G218" i="123"/>
  <c r="G41" i="123" s="1"/>
  <c r="F218" i="123"/>
  <c r="E218" i="123"/>
  <c r="E347" i="123" s="1"/>
  <c r="E55" i="123" s="1"/>
  <c r="D218" i="123"/>
  <c r="C218" i="123"/>
  <c r="C41" i="123" s="1"/>
  <c r="B218" i="123"/>
  <c r="M194" i="123"/>
  <c r="M36" i="123" s="1"/>
  <c r="L194" i="123"/>
  <c r="L36" i="123" s="1"/>
  <c r="K194" i="123"/>
  <c r="K36" i="123" s="1"/>
  <c r="J194" i="123"/>
  <c r="I194" i="123"/>
  <c r="H194" i="123"/>
  <c r="H36" i="123" s="1"/>
  <c r="G194" i="123"/>
  <c r="G36" i="123" s="1"/>
  <c r="F194" i="123"/>
  <c r="E194" i="123"/>
  <c r="E36" i="123" s="1"/>
  <c r="D194" i="123"/>
  <c r="D36" i="123" s="1"/>
  <c r="C194" i="123"/>
  <c r="B194" i="123"/>
  <c r="F184" i="123"/>
  <c r="M182" i="123"/>
  <c r="L182" i="123"/>
  <c r="L33" i="123" s="1"/>
  <c r="K182" i="123"/>
  <c r="K33" i="123" s="1"/>
  <c r="J182" i="123"/>
  <c r="G182" i="123"/>
  <c r="E182" i="123"/>
  <c r="E33" i="123" s="1"/>
  <c r="D182" i="123"/>
  <c r="D33" i="123" s="1"/>
  <c r="C182" i="123"/>
  <c r="C33" i="123" s="1"/>
  <c r="B182" i="123"/>
  <c r="M173" i="123"/>
  <c r="M32" i="123" s="1"/>
  <c r="L173" i="123"/>
  <c r="K173" i="123"/>
  <c r="K32" i="123" s="1"/>
  <c r="J173" i="123"/>
  <c r="I173" i="123"/>
  <c r="I32" i="123" s="1"/>
  <c r="H173" i="123"/>
  <c r="H32" i="123" s="1"/>
  <c r="G173" i="123"/>
  <c r="G32" i="123" s="1"/>
  <c r="F173" i="123"/>
  <c r="E173" i="123"/>
  <c r="E32" i="123" s="1"/>
  <c r="D173" i="123"/>
  <c r="C173" i="123"/>
  <c r="B173" i="123"/>
  <c r="M158" i="123"/>
  <c r="M31" i="123" s="1"/>
  <c r="L158" i="123"/>
  <c r="L31" i="123" s="1"/>
  <c r="K158" i="123"/>
  <c r="K31" i="123" s="1"/>
  <c r="J158" i="123"/>
  <c r="I158" i="123"/>
  <c r="I31" i="123" s="1"/>
  <c r="H158" i="123"/>
  <c r="H31" i="123" s="1"/>
  <c r="G158" i="123"/>
  <c r="G31" i="123" s="1"/>
  <c r="F158" i="123"/>
  <c r="E158" i="123"/>
  <c r="E31" i="123" s="1"/>
  <c r="D158" i="123"/>
  <c r="D31" i="123" s="1"/>
  <c r="C158" i="123"/>
  <c r="C31" i="123" s="1"/>
  <c r="B158" i="123"/>
  <c r="M131" i="123"/>
  <c r="L131" i="123"/>
  <c r="L30" i="123" s="1"/>
  <c r="K131" i="123"/>
  <c r="J131" i="123"/>
  <c r="I131" i="123"/>
  <c r="I184" i="123" s="1"/>
  <c r="I34" i="123" s="1"/>
  <c r="H131" i="123"/>
  <c r="H184" i="123" s="1"/>
  <c r="H34" i="123" s="1"/>
  <c r="G131" i="123"/>
  <c r="F131" i="123"/>
  <c r="E131" i="123"/>
  <c r="E184" i="123" s="1"/>
  <c r="E34" i="123" s="1"/>
  <c r="D131" i="123"/>
  <c r="D184" i="123" s="1"/>
  <c r="D34" i="123" s="1"/>
  <c r="C131" i="123"/>
  <c r="C184" i="123" s="1"/>
  <c r="C34" i="123" s="1"/>
  <c r="B131" i="123"/>
  <c r="B184" i="123" s="1"/>
  <c r="B34" i="123" s="1"/>
  <c r="M115" i="123"/>
  <c r="M26" i="123" s="1"/>
  <c r="L115" i="123"/>
  <c r="L26" i="123" s="1"/>
  <c r="K115" i="123"/>
  <c r="K26" i="123" s="1"/>
  <c r="I115" i="123"/>
  <c r="G115" i="123"/>
  <c r="G26" i="123" s="1"/>
  <c r="F115" i="123"/>
  <c r="F26" i="123" s="1"/>
  <c r="B115" i="123"/>
  <c r="B26" i="123" s="1"/>
  <c r="M111" i="123"/>
  <c r="L111" i="123"/>
  <c r="L25" i="123" s="1"/>
  <c r="K111" i="123"/>
  <c r="K25" i="123" s="1"/>
  <c r="I111" i="123"/>
  <c r="I25" i="123" s="1"/>
  <c r="H111" i="123"/>
  <c r="G111" i="123"/>
  <c r="G25" i="123" s="1"/>
  <c r="F111" i="123"/>
  <c r="F25" i="123" s="1"/>
  <c r="E111" i="123"/>
  <c r="D111" i="123"/>
  <c r="C111" i="123"/>
  <c r="C25" i="123" s="1"/>
  <c r="B111" i="123"/>
  <c r="B25" i="123" s="1"/>
  <c r="M104" i="123"/>
  <c r="M24" i="123" s="1"/>
  <c r="L104" i="123"/>
  <c r="K104" i="123"/>
  <c r="K24" i="123" s="1"/>
  <c r="I104" i="123"/>
  <c r="I24" i="123" s="1"/>
  <c r="H104" i="123"/>
  <c r="H24" i="123" s="1"/>
  <c r="G104" i="123"/>
  <c r="F104" i="123"/>
  <c r="F24" i="123" s="1"/>
  <c r="E104" i="123"/>
  <c r="E24" i="123" s="1"/>
  <c r="D104" i="123"/>
  <c r="D24" i="123" s="1"/>
  <c r="C104" i="123"/>
  <c r="B104" i="123"/>
  <c r="B24" i="123" s="1"/>
  <c r="M100" i="123"/>
  <c r="M23" i="123" s="1"/>
  <c r="L100" i="123"/>
  <c r="K100" i="123"/>
  <c r="I100" i="123"/>
  <c r="I23" i="123" s="1"/>
  <c r="M96" i="123"/>
  <c r="L96" i="123"/>
  <c r="L22" i="123" s="1"/>
  <c r="K96" i="123"/>
  <c r="I96" i="123"/>
  <c r="I22" i="123" s="1"/>
  <c r="H96" i="123"/>
  <c r="G96" i="123"/>
  <c r="F96" i="123"/>
  <c r="E96" i="123"/>
  <c r="D96" i="123"/>
  <c r="C96" i="123"/>
  <c r="B96" i="123"/>
  <c r="M88" i="123"/>
  <c r="M18" i="123" s="1"/>
  <c r="L88" i="123"/>
  <c r="L18" i="123" s="1"/>
  <c r="K88" i="123"/>
  <c r="J88" i="123"/>
  <c r="I88" i="123"/>
  <c r="I18" i="123" s="1"/>
  <c r="H88" i="123"/>
  <c r="H18" i="123" s="1"/>
  <c r="G88" i="123"/>
  <c r="F88" i="123"/>
  <c r="F18" i="123" s="1"/>
  <c r="E88" i="123"/>
  <c r="E18" i="123" s="1"/>
  <c r="D88" i="123"/>
  <c r="D18" i="123" s="1"/>
  <c r="C88" i="123"/>
  <c r="B88" i="123"/>
  <c r="M84" i="123"/>
  <c r="M17" i="123" s="1"/>
  <c r="L84" i="123"/>
  <c r="L17" i="123" s="1"/>
  <c r="K84" i="123"/>
  <c r="J84" i="123"/>
  <c r="J17" i="123" s="1"/>
  <c r="I84" i="123"/>
  <c r="H84" i="123"/>
  <c r="H17" i="123" s="1"/>
  <c r="G84" i="123"/>
  <c r="G17" i="123" s="1"/>
  <c r="F84" i="123"/>
  <c r="E84" i="123"/>
  <c r="E17" i="123" s="1"/>
  <c r="D84" i="123"/>
  <c r="D17" i="123" s="1"/>
  <c r="C84" i="123"/>
  <c r="B84" i="123"/>
  <c r="B17" i="123" s="1"/>
  <c r="M77" i="123"/>
  <c r="M16" i="123" s="1"/>
  <c r="L77" i="123"/>
  <c r="L16" i="123" s="1"/>
  <c r="K77" i="123"/>
  <c r="J77" i="123"/>
  <c r="I77" i="123"/>
  <c r="H77" i="123"/>
  <c r="H16" i="123" s="1"/>
  <c r="G77" i="123"/>
  <c r="G16" i="123" s="1"/>
  <c r="F77" i="123"/>
  <c r="F16" i="123" s="1"/>
  <c r="E77" i="123"/>
  <c r="E16" i="123" s="1"/>
  <c r="D77" i="123"/>
  <c r="D16" i="123" s="1"/>
  <c r="C77" i="123"/>
  <c r="B77" i="123"/>
  <c r="M73" i="123"/>
  <c r="M15" i="123" s="1"/>
  <c r="L73" i="123"/>
  <c r="L15" i="123" s="1"/>
  <c r="K73" i="123"/>
  <c r="J73" i="123"/>
  <c r="J15" i="123" s="1"/>
  <c r="I73" i="123"/>
  <c r="I15" i="123" s="1"/>
  <c r="H73" i="123"/>
  <c r="H15" i="123" s="1"/>
  <c r="G73" i="123"/>
  <c r="F73" i="123"/>
  <c r="E73" i="123"/>
  <c r="E15" i="123" s="1"/>
  <c r="D73" i="123"/>
  <c r="D15" i="123" s="1"/>
  <c r="C73" i="123"/>
  <c r="B73" i="123"/>
  <c r="B15" i="123" s="1"/>
  <c r="M69" i="123"/>
  <c r="L69" i="123"/>
  <c r="L14" i="123" s="1"/>
  <c r="K69" i="123"/>
  <c r="K14" i="123" s="1"/>
  <c r="J69" i="123"/>
  <c r="I69" i="123"/>
  <c r="I14" i="123" s="1"/>
  <c r="H69" i="123"/>
  <c r="H14" i="123" s="1"/>
  <c r="G69" i="123"/>
  <c r="F69" i="123"/>
  <c r="F14" i="123" s="1"/>
  <c r="E69" i="123"/>
  <c r="E14" i="123" s="1"/>
  <c r="D69" i="123"/>
  <c r="C69" i="123"/>
  <c r="B69" i="123"/>
  <c r="L59" i="123"/>
  <c r="F53" i="123"/>
  <c r="M52" i="123"/>
  <c r="I52" i="123"/>
  <c r="M51" i="123"/>
  <c r="I51" i="123"/>
  <c r="F51" i="123"/>
  <c r="E51" i="123"/>
  <c r="I50" i="123"/>
  <c r="E50" i="123"/>
  <c r="M49" i="123"/>
  <c r="E49" i="123"/>
  <c r="M48" i="123"/>
  <c r="J48" i="123"/>
  <c r="I48" i="123"/>
  <c r="M47" i="123"/>
  <c r="I47" i="123"/>
  <c r="F47" i="123"/>
  <c r="E47" i="123"/>
  <c r="M46" i="123"/>
  <c r="J46" i="123"/>
  <c r="I46" i="123"/>
  <c r="E46" i="123"/>
  <c r="B46" i="123"/>
  <c r="M45" i="123"/>
  <c r="L45" i="123"/>
  <c r="I45" i="123"/>
  <c r="E45" i="123"/>
  <c r="D45" i="123"/>
  <c r="M44" i="123"/>
  <c r="I44" i="123"/>
  <c r="H44" i="123"/>
  <c r="E44" i="123"/>
  <c r="M43" i="123"/>
  <c r="J43" i="123"/>
  <c r="I43" i="123"/>
  <c r="E43" i="123"/>
  <c r="D43" i="123"/>
  <c r="F42" i="123"/>
  <c r="B42" i="123"/>
  <c r="M41" i="123"/>
  <c r="J41" i="123"/>
  <c r="F41" i="123"/>
  <c r="E41" i="123"/>
  <c r="B41" i="123"/>
  <c r="J36" i="123"/>
  <c r="I36" i="123"/>
  <c r="F36" i="123"/>
  <c r="C36" i="123"/>
  <c r="B36" i="123"/>
  <c r="F34" i="123"/>
  <c r="M33" i="123"/>
  <c r="J33" i="123"/>
  <c r="G33" i="123"/>
  <c r="B33" i="123"/>
  <c r="L32" i="123"/>
  <c r="J32" i="123"/>
  <c r="F32" i="123"/>
  <c r="D32" i="123"/>
  <c r="C32" i="123"/>
  <c r="B32" i="123"/>
  <c r="J31" i="123"/>
  <c r="F31" i="123"/>
  <c r="B31" i="123"/>
  <c r="J30" i="123"/>
  <c r="I30" i="123"/>
  <c r="H30" i="123"/>
  <c r="F30" i="123"/>
  <c r="E30" i="123"/>
  <c r="B30" i="123"/>
  <c r="I26" i="123"/>
  <c r="M25" i="123"/>
  <c r="H25" i="123"/>
  <c r="E25" i="123"/>
  <c r="D25" i="123"/>
  <c r="L24" i="123"/>
  <c r="G24" i="123"/>
  <c r="C24" i="123"/>
  <c r="L23" i="123"/>
  <c r="K23" i="123"/>
  <c r="K22" i="123"/>
  <c r="F22" i="123"/>
  <c r="E22" i="123"/>
  <c r="B22" i="123"/>
  <c r="K18" i="123"/>
  <c r="J18" i="123"/>
  <c r="G18" i="123"/>
  <c r="C18" i="123"/>
  <c r="B18" i="123"/>
  <c r="K17" i="123"/>
  <c r="I17" i="123"/>
  <c r="F17" i="123"/>
  <c r="C17" i="123"/>
  <c r="K16" i="123"/>
  <c r="J16" i="123"/>
  <c r="I16" i="123"/>
  <c r="C16" i="123"/>
  <c r="B16" i="123"/>
  <c r="K15" i="123"/>
  <c r="G15" i="123"/>
  <c r="F15" i="123"/>
  <c r="C15" i="123"/>
  <c r="M14" i="123"/>
  <c r="J14" i="123"/>
  <c r="G14" i="123"/>
  <c r="C14" i="123"/>
  <c r="B14" i="123"/>
  <c r="L9" i="123"/>
  <c r="I9" i="123"/>
  <c r="H9" i="123"/>
  <c r="E9" i="123"/>
  <c r="D9" i="123"/>
  <c r="M8" i="123"/>
  <c r="L8" i="123"/>
  <c r="K8" i="123"/>
  <c r="J8" i="123"/>
  <c r="I8" i="123"/>
  <c r="H8" i="123"/>
  <c r="G8" i="123"/>
  <c r="F8" i="123"/>
  <c r="E8" i="123"/>
  <c r="D8" i="123"/>
  <c r="C8" i="123"/>
  <c r="B8" i="123"/>
  <c r="M7" i="123"/>
  <c r="L7" i="123"/>
  <c r="K7" i="123"/>
  <c r="J7" i="123"/>
  <c r="I7" i="123"/>
  <c r="H7" i="123"/>
  <c r="G7" i="123"/>
  <c r="F7" i="123"/>
  <c r="E7" i="123"/>
  <c r="D7" i="123"/>
  <c r="C7" i="123"/>
  <c r="B7" i="123"/>
  <c r="M6" i="123"/>
  <c r="L6" i="123"/>
  <c r="K6" i="123"/>
  <c r="J6" i="123"/>
  <c r="I6" i="123"/>
  <c r="H6" i="123"/>
  <c r="G6" i="123"/>
  <c r="F6" i="123"/>
  <c r="E6" i="123"/>
  <c r="D6" i="123"/>
  <c r="C6" i="123"/>
  <c r="B6" i="123"/>
  <c r="M5" i="123"/>
  <c r="L5" i="123"/>
  <c r="K5" i="123"/>
  <c r="J5" i="123"/>
  <c r="I5" i="123"/>
  <c r="H5" i="123"/>
  <c r="G5" i="123"/>
  <c r="F5" i="123"/>
  <c r="E5" i="123"/>
  <c r="D5" i="123"/>
  <c r="C5" i="123"/>
  <c r="B5" i="123"/>
  <c r="M4" i="123"/>
  <c r="L4" i="123"/>
  <c r="K4" i="123"/>
  <c r="J4" i="123"/>
  <c r="I4" i="123"/>
  <c r="H4" i="123"/>
  <c r="G4" i="123"/>
  <c r="F4" i="123"/>
  <c r="E4" i="123"/>
  <c r="D4" i="123"/>
  <c r="C4" i="123"/>
  <c r="B4" i="123"/>
  <c r="M380" i="122"/>
  <c r="L380" i="122"/>
  <c r="K380" i="122"/>
  <c r="K9" i="122" s="1"/>
  <c r="J380" i="122"/>
  <c r="J9" i="122" s="1"/>
  <c r="I380" i="122"/>
  <c r="I9" i="122" s="1"/>
  <c r="H380" i="122"/>
  <c r="H9" i="122" s="1"/>
  <c r="G380" i="122"/>
  <c r="G9" i="122" s="1"/>
  <c r="F380" i="122"/>
  <c r="F9" i="122" s="1"/>
  <c r="E380" i="122"/>
  <c r="D380" i="122"/>
  <c r="C380" i="122"/>
  <c r="C9" i="122" s="1"/>
  <c r="B380" i="122"/>
  <c r="B9" i="122" s="1"/>
  <c r="M374" i="122"/>
  <c r="L374" i="122"/>
  <c r="K374" i="122"/>
  <c r="J374" i="122"/>
  <c r="I374" i="122"/>
  <c r="H374" i="122"/>
  <c r="G374" i="122"/>
  <c r="F374" i="122"/>
  <c r="E374" i="122"/>
  <c r="D374" i="122"/>
  <c r="C374" i="122"/>
  <c r="B374" i="122"/>
  <c r="M369" i="122"/>
  <c r="L369" i="122"/>
  <c r="K369" i="122"/>
  <c r="J369" i="122"/>
  <c r="I369" i="122"/>
  <c r="H369" i="122"/>
  <c r="G369" i="122"/>
  <c r="F369" i="122"/>
  <c r="E369" i="122"/>
  <c r="D369" i="122"/>
  <c r="C369" i="122"/>
  <c r="B369" i="122"/>
  <c r="M361" i="122"/>
  <c r="L361" i="122"/>
  <c r="K361" i="122"/>
  <c r="J361" i="122"/>
  <c r="I361" i="122"/>
  <c r="H361" i="122"/>
  <c r="G361" i="122"/>
  <c r="F361" i="122"/>
  <c r="E361" i="122"/>
  <c r="D361" i="122"/>
  <c r="C361" i="122"/>
  <c r="B361" i="122"/>
  <c r="M356" i="122"/>
  <c r="L356" i="122"/>
  <c r="K356" i="122"/>
  <c r="J356" i="122"/>
  <c r="I356" i="122"/>
  <c r="H356" i="122"/>
  <c r="G356" i="122"/>
  <c r="F356" i="122"/>
  <c r="E356" i="122"/>
  <c r="D356" i="122"/>
  <c r="C356" i="122"/>
  <c r="B356" i="122"/>
  <c r="M351" i="122"/>
  <c r="M376" i="122" s="1"/>
  <c r="L351" i="122"/>
  <c r="L376" i="122" s="1"/>
  <c r="K351" i="122"/>
  <c r="K376" i="122" s="1"/>
  <c r="J351" i="122"/>
  <c r="J376" i="122" s="1"/>
  <c r="I351" i="122"/>
  <c r="I376" i="122" s="1"/>
  <c r="H351" i="122"/>
  <c r="H376" i="122" s="1"/>
  <c r="G351" i="122"/>
  <c r="F351" i="122"/>
  <c r="F376" i="122" s="1"/>
  <c r="E351" i="122"/>
  <c r="E376" i="122" s="1"/>
  <c r="D351" i="122"/>
  <c r="D376" i="122" s="1"/>
  <c r="C351" i="122"/>
  <c r="C376" i="122" s="1"/>
  <c r="B351" i="122"/>
  <c r="B376" i="122" s="1"/>
  <c r="M341" i="122"/>
  <c r="M59" i="122" s="1"/>
  <c r="L341" i="122"/>
  <c r="K341" i="122"/>
  <c r="K59" i="122" s="1"/>
  <c r="J341" i="122"/>
  <c r="J59" i="122" s="1"/>
  <c r="I341" i="122"/>
  <c r="H341" i="122"/>
  <c r="H59" i="122" s="1"/>
  <c r="G341" i="122"/>
  <c r="G59" i="122" s="1"/>
  <c r="F341" i="122"/>
  <c r="F59" i="122" s="1"/>
  <c r="E341" i="122"/>
  <c r="E59" i="122" s="1"/>
  <c r="D341" i="122"/>
  <c r="C341" i="122"/>
  <c r="C59" i="122" s="1"/>
  <c r="B341" i="122"/>
  <c r="B59" i="122" s="1"/>
  <c r="F334" i="122"/>
  <c r="E334" i="122"/>
  <c r="E53" i="122" s="1"/>
  <c r="M330" i="122"/>
  <c r="M52" i="122" s="1"/>
  <c r="L330" i="122"/>
  <c r="L52" i="122" s="1"/>
  <c r="K330" i="122"/>
  <c r="J330" i="122"/>
  <c r="J52" i="122" s="1"/>
  <c r="I330" i="122"/>
  <c r="H330" i="122"/>
  <c r="H52" i="122" s="1"/>
  <c r="G330" i="122"/>
  <c r="G52" i="122" s="1"/>
  <c r="F330" i="122"/>
  <c r="F52" i="122" s="1"/>
  <c r="E330" i="122"/>
  <c r="E52" i="122" s="1"/>
  <c r="D330" i="122"/>
  <c r="D52" i="122" s="1"/>
  <c r="C330" i="122"/>
  <c r="B330" i="122"/>
  <c r="B52" i="122" s="1"/>
  <c r="M323" i="122"/>
  <c r="L323" i="122"/>
  <c r="L51" i="122" s="1"/>
  <c r="K323" i="122"/>
  <c r="K51" i="122" s="1"/>
  <c r="J323" i="122"/>
  <c r="J51" i="122" s="1"/>
  <c r="I323" i="122"/>
  <c r="I51" i="122" s="1"/>
  <c r="H323" i="122"/>
  <c r="H51" i="122" s="1"/>
  <c r="G323" i="122"/>
  <c r="G51" i="122" s="1"/>
  <c r="F323" i="122"/>
  <c r="F51" i="122" s="1"/>
  <c r="E323" i="122"/>
  <c r="E51" i="122" s="1"/>
  <c r="D323" i="122"/>
  <c r="D51" i="122" s="1"/>
  <c r="C323" i="122"/>
  <c r="B323" i="122"/>
  <c r="B51" i="122" s="1"/>
  <c r="M315" i="122"/>
  <c r="M50" i="122" s="1"/>
  <c r="L315" i="122"/>
  <c r="L50" i="122" s="1"/>
  <c r="K315" i="122"/>
  <c r="K50" i="122" s="1"/>
  <c r="J315" i="122"/>
  <c r="J50" i="122" s="1"/>
  <c r="I315" i="122"/>
  <c r="I50" i="122" s="1"/>
  <c r="H315" i="122"/>
  <c r="H50" i="122" s="1"/>
  <c r="G315" i="122"/>
  <c r="F315" i="122"/>
  <c r="F50" i="122" s="1"/>
  <c r="E315" i="122"/>
  <c r="E50" i="122" s="1"/>
  <c r="D315" i="122"/>
  <c r="D50" i="122" s="1"/>
  <c r="C315" i="122"/>
  <c r="B315" i="122"/>
  <c r="B50" i="122" s="1"/>
  <c r="M307" i="122"/>
  <c r="L307" i="122"/>
  <c r="L49" i="122" s="1"/>
  <c r="K307" i="122"/>
  <c r="K49" i="122" s="1"/>
  <c r="J307" i="122"/>
  <c r="J49" i="122" s="1"/>
  <c r="I307" i="122"/>
  <c r="I49" i="122" s="1"/>
  <c r="H307" i="122"/>
  <c r="H49" i="122" s="1"/>
  <c r="G307" i="122"/>
  <c r="F307" i="122"/>
  <c r="F49" i="122" s="1"/>
  <c r="E307" i="122"/>
  <c r="D307" i="122"/>
  <c r="D49" i="122" s="1"/>
  <c r="C307" i="122"/>
  <c r="C49" i="122" s="1"/>
  <c r="B307" i="122"/>
  <c r="B49" i="122" s="1"/>
  <c r="M302" i="122"/>
  <c r="M48" i="122" s="1"/>
  <c r="L302" i="122"/>
  <c r="L48" i="122" s="1"/>
  <c r="K302" i="122"/>
  <c r="K48" i="122" s="1"/>
  <c r="J302" i="122"/>
  <c r="J48" i="122" s="1"/>
  <c r="I302" i="122"/>
  <c r="I48" i="122" s="1"/>
  <c r="H302" i="122"/>
  <c r="H48" i="122" s="1"/>
  <c r="G302" i="122"/>
  <c r="F302" i="122"/>
  <c r="F48" i="122" s="1"/>
  <c r="E302" i="122"/>
  <c r="E48" i="122" s="1"/>
  <c r="D302" i="122"/>
  <c r="D48" i="122" s="1"/>
  <c r="C302" i="122"/>
  <c r="C48" i="122" s="1"/>
  <c r="B302" i="122"/>
  <c r="B48" i="122" s="1"/>
  <c r="M295" i="122"/>
  <c r="M47" i="122" s="1"/>
  <c r="L295" i="122"/>
  <c r="L47" i="122" s="1"/>
  <c r="K295" i="122"/>
  <c r="J295" i="122"/>
  <c r="J47" i="122" s="1"/>
  <c r="I295" i="122"/>
  <c r="I47" i="122" s="1"/>
  <c r="H295" i="122"/>
  <c r="H47" i="122" s="1"/>
  <c r="G295" i="122"/>
  <c r="F295" i="122"/>
  <c r="F47" i="122" s="1"/>
  <c r="E295" i="122"/>
  <c r="D295" i="122"/>
  <c r="D47" i="122" s="1"/>
  <c r="C295" i="122"/>
  <c r="C47" i="122" s="1"/>
  <c r="B295" i="122"/>
  <c r="B47" i="122" s="1"/>
  <c r="M286" i="122"/>
  <c r="M46" i="122" s="1"/>
  <c r="L286" i="122"/>
  <c r="L46" i="122" s="1"/>
  <c r="K286" i="122"/>
  <c r="J286" i="122"/>
  <c r="J46" i="122" s="1"/>
  <c r="I286" i="122"/>
  <c r="H286" i="122"/>
  <c r="H46" i="122" s="1"/>
  <c r="G286" i="122"/>
  <c r="G46" i="122" s="1"/>
  <c r="F286" i="122"/>
  <c r="F46" i="122" s="1"/>
  <c r="E286" i="122"/>
  <c r="E46" i="122" s="1"/>
  <c r="D286" i="122"/>
  <c r="D46" i="122" s="1"/>
  <c r="C286" i="122"/>
  <c r="C46" i="122" s="1"/>
  <c r="B286" i="122"/>
  <c r="B46" i="122" s="1"/>
  <c r="M269" i="122"/>
  <c r="M45" i="122" s="1"/>
  <c r="L269" i="122"/>
  <c r="L45" i="122" s="1"/>
  <c r="K269" i="122"/>
  <c r="J269" i="122"/>
  <c r="J45" i="122" s="1"/>
  <c r="I269" i="122"/>
  <c r="I45" i="122" s="1"/>
  <c r="H269" i="122"/>
  <c r="H45" i="122" s="1"/>
  <c r="G269" i="122"/>
  <c r="G45" i="122" s="1"/>
  <c r="F269" i="122"/>
  <c r="F45" i="122" s="1"/>
  <c r="E269" i="122"/>
  <c r="E45" i="122" s="1"/>
  <c r="D269" i="122"/>
  <c r="D45" i="122" s="1"/>
  <c r="C269" i="122"/>
  <c r="B269" i="122"/>
  <c r="B45" i="122" s="1"/>
  <c r="M244" i="122"/>
  <c r="M44" i="122" s="1"/>
  <c r="L244" i="122"/>
  <c r="L44" i="122" s="1"/>
  <c r="K244" i="122"/>
  <c r="K44" i="122" s="1"/>
  <c r="J244" i="122"/>
  <c r="J44" i="122" s="1"/>
  <c r="I244" i="122"/>
  <c r="I44" i="122" s="1"/>
  <c r="H244" i="122"/>
  <c r="H44" i="122" s="1"/>
  <c r="G244" i="122"/>
  <c r="G44" i="122" s="1"/>
  <c r="F244" i="122"/>
  <c r="E244" i="122"/>
  <c r="E44" i="122" s="1"/>
  <c r="D244" i="122"/>
  <c r="D44" i="122" s="1"/>
  <c r="C244" i="122"/>
  <c r="B244" i="122"/>
  <c r="B44" i="122" s="1"/>
  <c r="M228" i="122"/>
  <c r="M43" i="122" s="1"/>
  <c r="L228" i="122"/>
  <c r="L43" i="122" s="1"/>
  <c r="K228" i="122"/>
  <c r="K43" i="122" s="1"/>
  <c r="J228" i="122"/>
  <c r="I228" i="122"/>
  <c r="I43" i="122" s="1"/>
  <c r="H228" i="122"/>
  <c r="H43" i="122" s="1"/>
  <c r="G228" i="122"/>
  <c r="G43" i="122" s="1"/>
  <c r="F228" i="122"/>
  <c r="F43" i="122" s="1"/>
  <c r="E228" i="122"/>
  <c r="E43" i="122" s="1"/>
  <c r="D228" i="122"/>
  <c r="D43" i="122" s="1"/>
  <c r="C228" i="122"/>
  <c r="C43" i="122" s="1"/>
  <c r="B228" i="122"/>
  <c r="F217" i="122"/>
  <c r="D217" i="122"/>
  <c r="D42" i="122" s="1"/>
  <c r="C217" i="122"/>
  <c r="C42" i="122" s="1"/>
  <c r="B217" i="122"/>
  <c r="B42" i="122" s="1"/>
  <c r="M210" i="122"/>
  <c r="M336" i="122" s="1"/>
  <c r="M55" i="122" s="1"/>
  <c r="L210" i="122"/>
  <c r="K210" i="122"/>
  <c r="K336" i="122" s="1"/>
  <c r="K55" i="122" s="1"/>
  <c r="J210" i="122"/>
  <c r="J336" i="122" s="1"/>
  <c r="J55" i="122" s="1"/>
  <c r="I210" i="122"/>
  <c r="I336" i="122" s="1"/>
  <c r="I55" i="122" s="1"/>
  <c r="H210" i="122"/>
  <c r="G210" i="122"/>
  <c r="G336" i="122" s="1"/>
  <c r="G55" i="122" s="1"/>
  <c r="F210" i="122"/>
  <c r="E210" i="122"/>
  <c r="E41" i="122" s="1"/>
  <c r="D210" i="122"/>
  <c r="C210" i="122"/>
  <c r="C336" i="122" s="1"/>
  <c r="C55" i="122" s="1"/>
  <c r="B210" i="122"/>
  <c r="B336" i="122" s="1"/>
  <c r="B55" i="122" s="1"/>
  <c r="M186" i="122"/>
  <c r="M36" i="122" s="1"/>
  <c r="L186" i="122"/>
  <c r="L36" i="122" s="1"/>
  <c r="K186" i="122"/>
  <c r="J186" i="122"/>
  <c r="J36" i="122" s="1"/>
  <c r="I186" i="122"/>
  <c r="I36" i="122" s="1"/>
  <c r="H186" i="122"/>
  <c r="H36" i="122" s="1"/>
  <c r="G186" i="122"/>
  <c r="G36" i="122" s="1"/>
  <c r="F186" i="122"/>
  <c r="F36" i="122" s="1"/>
  <c r="E186" i="122"/>
  <c r="E36" i="122" s="1"/>
  <c r="D186" i="122"/>
  <c r="D36" i="122" s="1"/>
  <c r="C186" i="122"/>
  <c r="C36" i="122" s="1"/>
  <c r="B186" i="122"/>
  <c r="B36" i="122" s="1"/>
  <c r="M173" i="122"/>
  <c r="M33" i="122" s="1"/>
  <c r="L173" i="122"/>
  <c r="L33" i="122" s="1"/>
  <c r="K173" i="122"/>
  <c r="J173" i="122"/>
  <c r="J33" i="122" s="1"/>
  <c r="I173" i="122"/>
  <c r="H173" i="122"/>
  <c r="H33" i="122" s="1"/>
  <c r="G173" i="122"/>
  <c r="F173" i="122"/>
  <c r="F33" i="122" s="1"/>
  <c r="E173" i="122"/>
  <c r="E33" i="122" s="1"/>
  <c r="D173" i="122"/>
  <c r="D33" i="122" s="1"/>
  <c r="C173" i="122"/>
  <c r="B173" i="122"/>
  <c r="M163" i="122"/>
  <c r="M32" i="122" s="1"/>
  <c r="L163" i="122"/>
  <c r="L32" i="122" s="1"/>
  <c r="K163" i="122"/>
  <c r="J163" i="122"/>
  <c r="J32" i="122" s="1"/>
  <c r="I163" i="122"/>
  <c r="I32" i="122" s="1"/>
  <c r="H163" i="122"/>
  <c r="H32" i="122" s="1"/>
  <c r="G163" i="122"/>
  <c r="F163" i="122"/>
  <c r="F32" i="122" s="1"/>
  <c r="E163" i="122"/>
  <c r="E32" i="122" s="1"/>
  <c r="D163" i="122"/>
  <c r="D32" i="122" s="1"/>
  <c r="C163" i="122"/>
  <c r="B163" i="122"/>
  <c r="B32" i="122" s="1"/>
  <c r="M150" i="122"/>
  <c r="M175" i="122" s="1"/>
  <c r="M34" i="122" s="1"/>
  <c r="L150" i="122"/>
  <c r="L175" i="122" s="1"/>
  <c r="L34" i="122" s="1"/>
  <c r="K150" i="122"/>
  <c r="K175" i="122" s="1"/>
  <c r="J150" i="122"/>
  <c r="J175" i="122" s="1"/>
  <c r="J34" i="122" s="1"/>
  <c r="I150" i="122"/>
  <c r="I175" i="122" s="1"/>
  <c r="I34" i="122" s="1"/>
  <c r="H150" i="122"/>
  <c r="H31" i="122" s="1"/>
  <c r="G150" i="122"/>
  <c r="F150" i="122"/>
  <c r="F31" i="122" s="1"/>
  <c r="E150" i="122"/>
  <c r="D150" i="122"/>
  <c r="D31" i="122" s="1"/>
  <c r="C150" i="122"/>
  <c r="B150" i="122"/>
  <c r="B175" i="122" s="1"/>
  <c r="B34" i="122" s="1"/>
  <c r="H131" i="122"/>
  <c r="H30" i="122" s="1"/>
  <c r="G131" i="122"/>
  <c r="G175" i="122" s="1"/>
  <c r="G34" i="122" s="1"/>
  <c r="F131" i="122"/>
  <c r="E131" i="122"/>
  <c r="E30" i="122" s="1"/>
  <c r="D131" i="122"/>
  <c r="D175" i="122" s="1"/>
  <c r="D34" i="122" s="1"/>
  <c r="C131" i="122"/>
  <c r="C175" i="122" s="1"/>
  <c r="C34" i="122" s="1"/>
  <c r="M115" i="122"/>
  <c r="M26" i="122" s="1"/>
  <c r="K115" i="122"/>
  <c r="I115" i="122"/>
  <c r="I26" i="122" s="1"/>
  <c r="H115" i="122"/>
  <c r="G115" i="122"/>
  <c r="G26" i="122" s="1"/>
  <c r="F115" i="122"/>
  <c r="F26" i="122" s="1"/>
  <c r="E115" i="122"/>
  <c r="E26" i="122" s="1"/>
  <c r="D115" i="122"/>
  <c r="B115" i="122"/>
  <c r="B26" i="122" s="1"/>
  <c r="M111" i="122"/>
  <c r="L111" i="122"/>
  <c r="L25" i="122" s="1"/>
  <c r="K111" i="122"/>
  <c r="I111" i="122"/>
  <c r="I25" i="122" s="1"/>
  <c r="H111" i="122"/>
  <c r="H25" i="122" s="1"/>
  <c r="G111" i="122"/>
  <c r="G25" i="122" s="1"/>
  <c r="F111" i="122"/>
  <c r="E111" i="122"/>
  <c r="E25" i="122" s="1"/>
  <c r="C111" i="122"/>
  <c r="B111" i="122"/>
  <c r="B25" i="122" s="1"/>
  <c r="M104" i="122"/>
  <c r="L104" i="122"/>
  <c r="L24" i="122" s="1"/>
  <c r="K104" i="122"/>
  <c r="K24" i="122" s="1"/>
  <c r="I104" i="122"/>
  <c r="I24" i="122" s="1"/>
  <c r="H104" i="122"/>
  <c r="G104" i="122"/>
  <c r="G24" i="122" s="1"/>
  <c r="F104" i="122"/>
  <c r="E104" i="122"/>
  <c r="E24" i="122" s="1"/>
  <c r="D104" i="122"/>
  <c r="C104" i="122"/>
  <c r="C24" i="122" s="1"/>
  <c r="B104" i="122"/>
  <c r="B24" i="122" s="1"/>
  <c r="M100" i="122"/>
  <c r="M23" i="122" s="1"/>
  <c r="I100" i="122"/>
  <c r="H100" i="122"/>
  <c r="H23" i="122" s="1"/>
  <c r="G100" i="122"/>
  <c r="E100" i="122"/>
  <c r="E23" i="122" s="1"/>
  <c r="M96" i="122"/>
  <c r="L96" i="122"/>
  <c r="K96" i="122"/>
  <c r="K22" i="122" s="1"/>
  <c r="I96" i="122"/>
  <c r="I117" i="122" s="1"/>
  <c r="I27" i="122" s="1"/>
  <c r="H96" i="122"/>
  <c r="G96" i="122"/>
  <c r="G22" i="122" s="1"/>
  <c r="F96" i="122"/>
  <c r="E96" i="122"/>
  <c r="E22" i="122" s="1"/>
  <c r="D96" i="122"/>
  <c r="D117" i="122" s="1"/>
  <c r="D27" i="122" s="1"/>
  <c r="C96" i="122"/>
  <c r="C22" i="122" s="1"/>
  <c r="B96" i="122"/>
  <c r="B22" i="122" s="1"/>
  <c r="M88" i="122"/>
  <c r="M18" i="122" s="1"/>
  <c r="L88" i="122"/>
  <c r="L18" i="122" s="1"/>
  <c r="K88" i="122"/>
  <c r="K18" i="122" s="1"/>
  <c r="J88" i="122"/>
  <c r="J18" i="122" s="1"/>
  <c r="I88" i="122"/>
  <c r="I18" i="122" s="1"/>
  <c r="H88" i="122"/>
  <c r="H18" i="122" s="1"/>
  <c r="G88" i="122"/>
  <c r="F88" i="122"/>
  <c r="F18" i="122" s="1"/>
  <c r="E88" i="122"/>
  <c r="E18" i="122" s="1"/>
  <c r="D88" i="122"/>
  <c r="D18" i="122" s="1"/>
  <c r="C88" i="122"/>
  <c r="C18" i="122" s="1"/>
  <c r="B88" i="122"/>
  <c r="B18" i="122" s="1"/>
  <c r="M84" i="122"/>
  <c r="M17" i="122" s="1"/>
  <c r="L84" i="122"/>
  <c r="L17" i="122" s="1"/>
  <c r="K84" i="122"/>
  <c r="J84" i="122"/>
  <c r="J17" i="122" s="1"/>
  <c r="I84" i="122"/>
  <c r="I17" i="122" s="1"/>
  <c r="H84" i="122"/>
  <c r="H17" i="122" s="1"/>
  <c r="G84" i="122"/>
  <c r="G17" i="122" s="1"/>
  <c r="F84" i="122"/>
  <c r="F17" i="122" s="1"/>
  <c r="E84" i="122"/>
  <c r="E17" i="122" s="1"/>
  <c r="D84" i="122"/>
  <c r="D17" i="122" s="1"/>
  <c r="C84" i="122"/>
  <c r="B84" i="122"/>
  <c r="B17" i="122" s="1"/>
  <c r="M77" i="122"/>
  <c r="M16" i="122" s="1"/>
  <c r="L77" i="122"/>
  <c r="L16" i="122" s="1"/>
  <c r="K77" i="122"/>
  <c r="K16" i="122" s="1"/>
  <c r="J77" i="122"/>
  <c r="J16" i="122" s="1"/>
  <c r="I77" i="122"/>
  <c r="I16" i="122" s="1"/>
  <c r="H77" i="122"/>
  <c r="H16" i="122" s="1"/>
  <c r="G77" i="122"/>
  <c r="F77" i="122"/>
  <c r="F16" i="122" s="1"/>
  <c r="E77" i="122"/>
  <c r="E16" i="122" s="1"/>
  <c r="D77" i="122"/>
  <c r="D16" i="122" s="1"/>
  <c r="C77" i="122"/>
  <c r="C16" i="122" s="1"/>
  <c r="B77" i="122"/>
  <c r="B16" i="122" s="1"/>
  <c r="M73" i="122"/>
  <c r="M15" i="122" s="1"/>
  <c r="L73" i="122"/>
  <c r="L15" i="122" s="1"/>
  <c r="K73" i="122"/>
  <c r="J73" i="122"/>
  <c r="J15" i="122" s="1"/>
  <c r="I73" i="122"/>
  <c r="I15" i="122" s="1"/>
  <c r="H73" i="122"/>
  <c r="H15" i="122" s="1"/>
  <c r="G73" i="122"/>
  <c r="G15" i="122" s="1"/>
  <c r="F73" i="122"/>
  <c r="F15" i="122" s="1"/>
  <c r="E73" i="122"/>
  <c r="E15" i="122" s="1"/>
  <c r="D73" i="122"/>
  <c r="D15" i="122" s="1"/>
  <c r="C73" i="122"/>
  <c r="B73" i="122"/>
  <c r="B15" i="122" s="1"/>
  <c r="M69" i="122"/>
  <c r="M90" i="122" s="1"/>
  <c r="M19" i="122" s="1"/>
  <c r="L69" i="122"/>
  <c r="L90" i="122" s="1"/>
  <c r="K69" i="122"/>
  <c r="K90" i="122" s="1"/>
  <c r="K19" i="122" s="1"/>
  <c r="J69" i="122"/>
  <c r="J90" i="122" s="1"/>
  <c r="J19" i="122" s="1"/>
  <c r="I69" i="122"/>
  <c r="I90" i="122" s="1"/>
  <c r="I19" i="122" s="1"/>
  <c r="H69" i="122"/>
  <c r="H90" i="122" s="1"/>
  <c r="H19" i="122" s="1"/>
  <c r="G69" i="122"/>
  <c r="F69" i="122"/>
  <c r="F90" i="122" s="1"/>
  <c r="E69" i="122"/>
  <c r="E90" i="122" s="1"/>
  <c r="E19" i="122" s="1"/>
  <c r="D69" i="122"/>
  <c r="D90" i="122" s="1"/>
  <c r="D19" i="122" s="1"/>
  <c r="C69" i="122"/>
  <c r="C14" i="122" s="1"/>
  <c r="B69" i="122"/>
  <c r="B90" i="122" s="1"/>
  <c r="B19" i="122" s="1"/>
  <c r="L59" i="122"/>
  <c r="I59" i="122"/>
  <c r="D59" i="122"/>
  <c r="F53" i="122"/>
  <c r="K52" i="122"/>
  <c r="I52" i="122"/>
  <c r="C52" i="122"/>
  <c r="M51" i="122"/>
  <c r="C51" i="122"/>
  <c r="G50" i="122"/>
  <c r="C50" i="122"/>
  <c r="M49" i="122"/>
  <c r="G49" i="122"/>
  <c r="E49" i="122"/>
  <c r="G48" i="122"/>
  <c r="K47" i="122"/>
  <c r="G47" i="122"/>
  <c r="E47" i="122"/>
  <c r="K46" i="122"/>
  <c r="I46" i="122"/>
  <c r="K45" i="122"/>
  <c r="C45" i="122"/>
  <c r="F44" i="122"/>
  <c r="C44" i="122"/>
  <c r="J43" i="122"/>
  <c r="B43" i="122"/>
  <c r="F42" i="122"/>
  <c r="K41" i="122"/>
  <c r="J41" i="122"/>
  <c r="I41" i="122"/>
  <c r="K36" i="122"/>
  <c r="K34" i="122"/>
  <c r="K33" i="122"/>
  <c r="I33" i="122"/>
  <c r="G33" i="122"/>
  <c r="C33" i="122"/>
  <c r="B33" i="122"/>
  <c r="K32" i="122"/>
  <c r="G32" i="122"/>
  <c r="C32" i="122"/>
  <c r="K31" i="122"/>
  <c r="G31" i="122"/>
  <c r="E31" i="122"/>
  <c r="C31" i="122"/>
  <c r="F30" i="122"/>
  <c r="K26" i="122"/>
  <c r="H26" i="122"/>
  <c r="D26" i="122"/>
  <c r="M25" i="122"/>
  <c r="K25" i="122"/>
  <c r="F25" i="122"/>
  <c r="C25" i="122"/>
  <c r="M24" i="122"/>
  <c r="H24" i="122"/>
  <c r="F24" i="122"/>
  <c r="D24" i="122"/>
  <c r="I23" i="122"/>
  <c r="G23" i="122"/>
  <c r="M22" i="122"/>
  <c r="H22" i="122"/>
  <c r="F22" i="122"/>
  <c r="D22" i="122"/>
  <c r="L19" i="122"/>
  <c r="F19" i="122"/>
  <c r="G18" i="122"/>
  <c r="K17" i="122"/>
  <c r="C17" i="122"/>
  <c r="G16" i="122"/>
  <c r="K15" i="122"/>
  <c r="C15" i="122"/>
  <c r="G14" i="122"/>
  <c r="M9" i="122"/>
  <c r="L9" i="122"/>
  <c r="E9" i="122"/>
  <c r="D9" i="122"/>
  <c r="M8" i="122"/>
  <c r="L8" i="122"/>
  <c r="K8" i="122"/>
  <c r="J8" i="122"/>
  <c r="I8" i="122"/>
  <c r="H8" i="122"/>
  <c r="G8" i="122"/>
  <c r="F8" i="122"/>
  <c r="E8" i="122"/>
  <c r="D8" i="122"/>
  <c r="C8" i="122"/>
  <c r="B8" i="122"/>
  <c r="M7" i="122"/>
  <c r="L7" i="122"/>
  <c r="K7" i="122"/>
  <c r="J7" i="122"/>
  <c r="I7" i="122"/>
  <c r="H7" i="122"/>
  <c r="G7" i="122"/>
  <c r="F7" i="122"/>
  <c r="E7" i="122"/>
  <c r="D7" i="122"/>
  <c r="C7" i="122"/>
  <c r="B7" i="122"/>
  <c r="M6" i="122"/>
  <c r="L6" i="122"/>
  <c r="K6" i="122"/>
  <c r="J6" i="122"/>
  <c r="I6" i="122"/>
  <c r="H6" i="122"/>
  <c r="G6" i="122"/>
  <c r="F6" i="122"/>
  <c r="E6" i="122"/>
  <c r="D6" i="122"/>
  <c r="C6" i="122"/>
  <c r="B6" i="122"/>
  <c r="M5" i="122"/>
  <c r="L5" i="122"/>
  <c r="K5" i="122"/>
  <c r="J5" i="122"/>
  <c r="I5" i="122"/>
  <c r="H5" i="122"/>
  <c r="G5" i="122"/>
  <c r="F5" i="122"/>
  <c r="E5" i="122"/>
  <c r="D5" i="122"/>
  <c r="C5" i="122"/>
  <c r="B5" i="122"/>
  <c r="M4" i="122"/>
  <c r="L4" i="122"/>
  <c r="K4" i="122"/>
  <c r="J4" i="122"/>
  <c r="I4" i="122"/>
  <c r="H4" i="122"/>
  <c r="G4" i="122"/>
  <c r="F4" i="122"/>
  <c r="E4" i="122"/>
  <c r="D4" i="122"/>
  <c r="C4" i="122"/>
  <c r="B4" i="122"/>
  <c r="M426" i="121"/>
  <c r="L426" i="121"/>
  <c r="K426" i="121"/>
  <c r="J426" i="121"/>
  <c r="I426" i="121"/>
  <c r="H426" i="121"/>
  <c r="G426" i="121"/>
  <c r="F426" i="121"/>
  <c r="E426" i="121"/>
  <c r="D426" i="121"/>
  <c r="C426" i="121"/>
  <c r="B426" i="121"/>
  <c r="M419" i="121"/>
  <c r="L419" i="121"/>
  <c r="K419" i="121"/>
  <c r="J419" i="121"/>
  <c r="I419" i="121"/>
  <c r="H419" i="121"/>
  <c r="G419" i="121"/>
  <c r="F419" i="121"/>
  <c r="E419" i="121"/>
  <c r="D419" i="121"/>
  <c r="C419" i="121"/>
  <c r="B419" i="121"/>
  <c r="M414" i="121"/>
  <c r="L414" i="121"/>
  <c r="K414" i="121"/>
  <c r="J414" i="121"/>
  <c r="I414" i="121"/>
  <c r="H414" i="121"/>
  <c r="G414" i="121"/>
  <c r="F414" i="121"/>
  <c r="E414" i="121"/>
  <c r="D414" i="121"/>
  <c r="C414" i="121"/>
  <c r="B414" i="121"/>
  <c r="M406" i="121"/>
  <c r="L406" i="121"/>
  <c r="K406" i="121"/>
  <c r="J406" i="121"/>
  <c r="I406" i="121"/>
  <c r="H406" i="121"/>
  <c r="G406" i="121"/>
  <c r="F406" i="121"/>
  <c r="E406" i="121"/>
  <c r="D406" i="121"/>
  <c r="C406" i="121"/>
  <c r="B406" i="121"/>
  <c r="M401" i="121"/>
  <c r="L401" i="121"/>
  <c r="K401" i="121"/>
  <c r="J401" i="121"/>
  <c r="I401" i="121"/>
  <c r="H401" i="121"/>
  <c r="G401" i="121"/>
  <c r="F401" i="121"/>
  <c r="E401" i="121"/>
  <c r="D401" i="121"/>
  <c r="C401" i="121"/>
  <c r="B401" i="121"/>
  <c r="M396" i="121"/>
  <c r="M421" i="121" s="1"/>
  <c r="L396" i="121"/>
  <c r="L421" i="121" s="1"/>
  <c r="K396" i="121"/>
  <c r="K421" i="121" s="1"/>
  <c r="J396" i="121"/>
  <c r="J421" i="121" s="1"/>
  <c r="I396" i="121"/>
  <c r="I421" i="121" s="1"/>
  <c r="H396" i="121"/>
  <c r="H421" i="121" s="1"/>
  <c r="G396" i="121"/>
  <c r="G421" i="121" s="1"/>
  <c r="F396" i="121"/>
  <c r="F421" i="121" s="1"/>
  <c r="E396" i="121"/>
  <c r="E421" i="121" s="1"/>
  <c r="D396" i="121"/>
  <c r="D421" i="121" s="1"/>
  <c r="C396" i="121"/>
  <c r="C421" i="121" s="1"/>
  <c r="B396" i="121"/>
  <c r="B421" i="121" s="1"/>
  <c r="M386" i="121"/>
  <c r="L386" i="121"/>
  <c r="K386" i="121"/>
  <c r="J386" i="121"/>
  <c r="I386" i="121"/>
  <c r="H386" i="121"/>
  <c r="G386" i="121"/>
  <c r="F386" i="121"/>
  <c r="E386" i="121"/>
  <c r="D386" i="121"/>
  <c r="C386" i="121"/>
  <c r="B386" i="121"/>
  <c r="M377" i="121"/>
  <c r="J377" i="121"/>
  <c r="H377" i="121"/>
  <c r="F377" i="121"/>
  <c r="E377" i="121"/>
  <c r="D377" i="121"/>
  <c r="C377" i="121"/>
  <c r="B377" i="121"/>
  <c r="M373" i="121"/>
  <c r="L373" i="121"/>
  <c r="K373" i="121"/>
  <c r="J373" i="121"/>
  <c r="I373" i="121"/>
  <c r="H373" i="121"/>
  <c r="G373" i="121"/>
  <c r="F373" i="121"/>
  <c r="E373" i="121"/>
  <c r="D373" i="121"/>
  <c r="C373" i="121"/>
  <c r="B373" i="121"/>
  <c r="M365" i="121"/>
  <c r="L365" i="121"/>
  <c r="K365" i="121"/>
  <c r="J365" i="121"/>
  <c r="I365" i="121"/>
  <c r="H365" i="121"/>
  <c r="G365" i="121"/>
  <c r="F365" i="121"/>
  <c r="E365" i="121"/>
  <c r="D365" i="121"/>
  <c r="C365" i="121"/>
  <c r="B365" i="121"/>
  <c r="M356" i="121"/>
  <c r="L356" i="121"/>
  <c r="K356" i="121"/>
  <c r="J356" i="121"/>
  <c r="I356" i="121"/>
  <c r="H356" i="121"/>
  <c r="G356" i="121"/>
  <c r="F356" i="121"/>
  <c r="E356" i="121"/>
  <c r="D356" i="121"/>
  <c r="C356" i="121"/>
  <c r="B356" i="121"/>
  <c r="M347" i="121"/>
  <c r="L347" i="121"/>
  <c r="K347" i="121"/>
  <c r="J347" i="121"/>
  <c r="I347" i="121"/>
  <c r="H347" i="121"/>
  <c r="G347" i="121"/>
  <c r="F347" i="121"/>
  <c r="E347" i="121"/>
  <c r="D347" i="121"/>
  <c r="C347" i="121"/>
  <c r="B347" i="121"/>
  <c r="M342" i="121"/>
  <c r="L342" i="121"/>
  <c r="K342" i="121"/>
  <c r="J342" i="121"/>
  <c r="I342" i="121"/>
  <c r="H342" i="121"/>
  <c r="G342" i="121"/>
  <c r="F342" i="121"/>
  <c r="E342" i="121"/>
  <c r="D342" i="121"/>
  <c r="C342" i="121"/>
  <c r="B342" i="121"/>
  <c r="M332" i="121"/>
  <c r="L332" i="121"/>
  <c r="K332" i="121"/>
  <c r="J332" i="121"/>
  <c r="I332" i="121"/>
  <c r="H332" i="121"/>
  <c r="G332" i="121"/>
  <c r="F332" i="121"/>
  <c r="E332" i="121"/>
  <c r="D332" i="121"/>
  <c r="C332" i="121"/>
  <c r="B332" i="121"/>
  <c r="M322" i="121"/>
  <c r="L322" i="121"/>
  <c r="K322" i="121"/>
  <c r="J322" i="121"/>
  <c r="I322" i="121"/>
  <c r="H322" i="121"/>
  <c r="G322" i="121"/>
  <c r="F322" i="121"/>
  <c r="E322" i="121"/>
  <c r="D322" i="121"/>
  <c r="C322" i="121"/>
  <c r="B322" i="121"/>
  <c r="M305" i="121"/>
  <c r="L305" i="121"/>
  <c r="K305" i="121"/>
  <c r="J305" i="121"/>
  <c r="I305" i="121"/>
  <c r="H305" i="121"/>
  <c r="G305" i="121"/>
  <c r="F305" i="121"/>
  <c r="E305" i="121"/>
  <c r="D305" i="121"/>
  <c r="C305" i="121"/>
  <c r="B305" i="121"/>
  <c r="M279" i="121"/>
  <c r="L279" i="121"/>
  <c r="K279" i="121"/>
  <c r="J279" i="121"/>
  <c r="I279" i="121"/>
  <c r="H279" i="121"/>
  <c r="G279" i="121"/>
  <c r="F279" i="121"/>
  <c r="E279" i="121"/>
  <c r="D279" i="121"/>
  <c r="C279" i="121"/>
  <c r="B279" i="121"/>
  <c r="M263" i="121"/>
  <c r="L263" i="121"/>
  <c r="K263" i="121"/>
  <c r="J263" i="121"/>
  <c r="I263" i="121"/>
  <c r="H263" i="121"/>
  <c r="G263" i="121"/>
  <c r="F263" i="121"/>
  <c r="E263" i="121"/>
  <c r="D263" i="121"/>
  <c r="C263" i="121"/>
  <c r="B263" i="121"/>
  <c r="K251" i="121"/>
  <c r="J251" i="121"/>
  <c r="I251" i="121"/>
  <c r="F251" i="121"/>
  <c r="E251" i="121"/>
  <c r="D251" i="121"/>
  <c r="C251" i="121"/>
  <c r="B251" i="121"/>
  <c r="M243" i="121"/>
  <c r="M379" i="121" s="1"/>
  <c r="M56" i="121" s="1"/>
  <c r="L243" i="121"/>
  <c r="L379" i="121" s="1"/>
  <c r="L56" i="121" s="1"/>
  <c r="K243" i="121"/>
  <c r="J243" i="121"/>
  <c r="I243" i="121"/>
  <c r="H243" i="121"/>
  <c r="G243" i="121"/>
  <c r="G379" i="121" s="1"/>
  <c r="G56" i="121" s="1"/>
  <c r="F243" i="121"/>
  <c r="F379" i="121" s="1"/>
  <c r="F56" i="121" s="1"/>
  <c r="E243" i="121"/>
  <c r="E379" i="121" s="1"/>
  <c r="E56" i="121" s="1"/>
  <c r="D243" i="121"/>
  <c r="D379" i="121" s="1"/>
  <c r="D56" i="121" s="1"/>
  <c r="C243" i="121"/>
  <c r="C379" i="121" s="1"/>
  <c r="C56" i="121" s="1"/>
  <c r="B243" i="121"/>
  <c r="B379" i="121" s="1"/>
  <c r="B56" i="121" s="1"/>
  <c r="M214" i="121"/>
  <c r="L214" i="121"/>
  <c r="K214" i="121"/>
  <c r="J214" i="121"/>
  <c r="I214" i="121"/>
  <c r="H214" i="121"/>
  <c r="G214" i="121"/>
  <c r="F214" i="121"/>
  <c r="E214" i="121"/>
  <c r="D214" i="121"/>
  <c r="C214" i="121"/>
  <c r="B214" i="121"/>
  <c r="M198" i="121"/>
  <c r="L198" i="121"/>
  <c r="K198" i="121"/>
  <c r="J198" i="121"/>
  <c r="I198" i="121"/>
  <c r="H198" i="121"/>
  <c r="G198" i="121"/>
  <c r="F198" i="121"/>
  <c r="E198" i="121"/>
  <c r="D198" i="121"/>
  <c r="C198" i="121"/>
  <c r="B198" i="121"/>
  <c r="M182" i="121"/>
  <c r="L182" i="121"/>
  <c r="K182" i="121"/>
  <c r="J182" i="121"/>
  <c r="I182" i="121"/>
  <c r="H182" i="121"/>
  <c r="G182" i="121"/>
  <c r="F182" i="121"/>
  <c r="E182" i="121"/>
  <c r="D182" i="121"/>
  <c r="C182" i="121"/>
  <c r="B182" i="121"/>
  <c r="M163" i="121"/>
  <c r="L163" i="121"/>
  <c r="K163" i="121"/>
  <c r="J163" i="121"/>
  <c r="I163" i="121"/>
  <c r="H163" i="121"/>
  <c r="G163" i="121"/>
  <c r="F163" i="121"/>
  <c r="E163" i="121"/>
  <c r="D163" i="121"/>
  <c r="C163" i="121"/>
  <c r="B163" i="121"/>
  <c r="J154" i="121"/>
  <c r="I154" i="121"/>
  <c r="G154" i="121"/>
  <c r="F154" i="121"/>
  <c r="M134" i="121"/>
  <c r="M200" i="121" s="1"/>
  <c r="M35" i="121" s="1"/>
  <c r="L134" i="121"/>
  <c r="L200" i="121" s="1"/>
  <c r="L35" i="121" s="1"/>
  <c r="K134" i="121"/>
  <c r="K200" i="121" s="1"/>
  <c r="K35" i="121" s="1"/>
  <c r="J134" i="121"/>
  <c r="J200" i="121" s="1"/>
  <c r="J35" i="121" s="1"/>
  <c r="I134" i="121"/>
  <c r="H134" i="121"/>
  <c r="H200" i="121" s="1"/>
  <c r="H35" i="121" s="1"/>
  <c r="G134" i="121"/>
  <c r="G200" i="121" s="1"/>
  <c r="G35" i="121" s="1"/>
  <c r="F134" i="121"/>
  <c r="F200" i="121" s="1"/>
  <c r="F35" i="121" s="1"/>
  <c r="E134" i="121"/>
  <c r="E200" i="121" s="1"/>
  <c r="E35" i="121" s="1"/>
  <c r="D134" i="121"/>
  <c r="D200" i="121" s="1"/>
  <c r="D35" i="121" s="1"/>
  <c r="C134" i="121"/>
  <c r="C200" i="121" s="1"/>
  <c r="C35" i="121" s="1"/>
  <c r="B134" i="121"/>
  <c r="M116" i="121"/>
  <c r="L116" i="121"/>
  <c r="K116" i="121"/>
  <c r="J116" i="121"/>
  <c r="I116" i="121"/>
  <c r="H116" i="121"/>
  <c r="G116" i="121"/>
  <c r="F116" i="121"/>
  <c r="E116" i="121"/>
  <c r="D116" i="121"/>
  <c r="C116" i="121"/>
  <c r="B116" i="121"/>
  <c r="M112" i="121"/>
  <c r="L112" i="121"/>
  <c r="K112" i="121"/>
  <c r="J112" i="121"/>
  <c r="I112" i="121"/>
  <c r="H112" i="121"/>
  <c r="G112" i="121"/>
  <c r="F112" i="121"/>
  <c r="E112" i="121"/>
  <c r="D112" i="121"/>
  <c r="C112" i="121"/>
  <c r="B112" i="121"/>
  <c r="M105" i="121"/>
  <c r="L105" i="121"/>
  <c r="K105" i="121"/>
  <c r="J105" i="121"/>
  <c r="I105" i="121"/>
  <c r="H105" i="121"/>
  <c r="G105" i="121"/>
  <c r="F105" i="121"/>
  <c r="E105" i="121"/>
  <c r="D105" i="121"/>
  <c r="C105" i="121"/>
  <c r="B105" i="121"/>
  <c r="M101" i="121"/>
  <c r="L101" i="121"/>
  <c r="K101" i="121"/>
  <c r="J101" i="121"/>
  <c r="I101" i="121"/>
  <c r="H101" i="121"/>
  <c r="G101" i="121"/>
  <c r="F101" i="121"/>
  <c r="E101" i="121"/>
  <c r="D101" i="121"/>
  <c r="C101" i="121"/>
  <c r="B101" i="121"/>
  <c r="M97" i="121"/>
  <c r="M118" i="121" s="1"/>
  <c r="M27" i="121" s="1"/>
  <c r="L97" i="121"/>
  <c r="L118" i="121" s="1"/>
  <c r="L27" i="121" s="1"/>
  <c r="K97" i="121"/>
  <c r="K118" i="121" s="1"/>
  <c r="K27" i="121" s="1"/>
  <c r="J97" i="121"/>
  <c r="J118" i="121" s="1"/>
  <c r="J27" i="121" s="1"/>
  <c r="I97" i="121"/>
  <c r="I118" i="121" s="1"/>
  <c r="I27" i="121" s="1"/>
  <c r="H97" i="121"/>
  <c r="H118" i="121" s="1"/>
  <c r="H27" i="121" s="1"/>
  <c r="G97" i="121"/>
  <c r="G118" i="121" s="1"/>
  <c r="G27" i="121" s="1"/>
  <c r="F97" i="121"/>
  <c r="F118" i="121" s="1"/>
  <c r="F27" i="121" s="1"/>
  <c r="E97" i="121"/>
  <c r="E118" i="121" s="1"/>
  <c r="E27" i="121" s="1"/>
  <c r="D97" i="121"/>
  <c r="D118" i="121" s="1"/>
  <c r="D27" i="121" s="1"/>
  <c r="C97" i="121"/>
  <c r="C118" i="121" s="1"/>
  <c r="C27" i="121" s="1"/>
  <c r="B97" i="121"/>
  <c r="B118" i="121" s="1"/>
  <c r="B27" i="121" s="1"/>
  <c r="M89" i="121"/>
  <c r="L89" i="121"/>
  <c r="K89" i="121"/>
  <c r="J89" i="121"/>
  <c r="I89" i="121"/>
  <c r="H89" i="121"/>
  <c r="G89" i="121"/>
  <c r="F89" i="121"/>
  <c r="E89" i="121"/>
  <c r="D89" i="121"/>
  <c r="C89" i="121"/>
  <c r="B89" i="121"/>
  <c r="M85" i="121"/>
  <c r="L85" i="121"/>
  <c r="K85" i="121"/>
  <c r="J85" i="121"/>
  <c r="I85" i="121"/>
  <c r="H85" i="121"/>
  <c r="G85" i="121"/>
  <c r="F85" i="121"/>
  <c r="E85" i="121"/>
  <c r="D85" i="121"/>
  <c r="C85" i="121"/>
  <c r="B85" i="121"/>
  <c r="M78" i="121"/>
  <c r="L78" i="121"/>
  <c r="K78" i="121"/>
  <c r="J78" i="121"/>
  <c r="I78" i="121"/>
  <c r="H78" i="121"/>
  <c r="G78" i="121"/>
  <c r="F78" i="121"/>
  <c r="E78" i="121"/>
  <c r="D78" i="121"/>
  <c r="C78" i="121"/>
  <c r="B78" i="121"/>
  <c r="M74" i="121"/>
  <c r="L74" i="121"/>
  <c r="K74" i="121"/>
  <c r="J74" i="121"/>
  <c r="I74" i="121"/>
  <c r="H74" i="121"/>
  <c r="G74" i="121"/>
  <c r="F74" i="121"/>
  <c r="E74" i="121"/>
  <c r="D74" i="121"/>
  <c r="C74" i="121"/>
  <c r="B74" i="121"/>
  <c r="M70" i="121"/>
  <c r="L70" i="121"/>
  <c r="K70" i="121"/>
  <c r="J70" i="121"/>
  <c r="I70" i="121"/>
  <c r="H70" i="121"/>
  <c r="G70" i="121"/>
  <c r="G91" i="121" s="1"/>
  <c r="G19" i="121" s="1"/>
  <c r="F70" i="121"/>
  <c r="E70" i="121"/>
  <c r="D70" i="121"/>
  <c r="C70" i="121"/>
  <c r="B70" i="121"/>
  <c r="M60" i="121"/>
  <c r="L60" i="121"/>
  <c r="K60" i="121"/>
  <c r="J60" i="121"/>
  <c r="I60" i="121"/>
  <c r="H60" i="121"/>
  <c r="G60" i="121"/>
  <c r="F60" i="121"/>
  <c r="E60" i="121"/>
  <c r="D60" i="121"/>
  <c r="C60" i="121"/>
  <c r="B60" i="121"/>
  <c r="M54" i="121"/>
  <c r="J54" i="121"/>
  <c r="H54" i="121"/>
  <c r="F54" i="121"/>
  <c r="E54" i="121"/>
  <c r="D54" i="121"/>
  <c r="C54" i="121"/>
  <c r="B54" i="121"/>
  <c r="M53" i="121"/>
  <c r="L53" i="121"/>
  <c r="K53" i="121"/>
  <c r="J53" i="121"/>
  <c r="I53" i="121"/>
  <c r="H53" i="121"/>
  <c r="G53" i="121"/>
  <c r="F53" i="121"/>
  <c r="E53" i="121"/>
  <c r="D53" i="121"/>
  <c r="C53" i="121"/>
  <c r="B53" i="121"/>
  <c r="M52" i="121"/>
  <c r="L52" i="121"/>
  <c r="K52" i="121"/>
  <c r="J52" i="121"/>
  <c r="I52" i="121"/>
  <c r="H52" i="121"/>
  <c r="G52" i="121"/>
  <c r="F52" i="121"/>
  <c r="E52" i="121"/>
  <c r="D52" i="121"/>
  <c r="C52" i="121"/>
  <c r="B52" i="121"/>
  <c r="M51" i="121"/>
  <c r="L51" i="121"/>
  <c r="K51" i="121"/>
  <c r="J51" i="121"/>
  <c r="I51" i="121"/>
  <c r="H51" i="121"/>
  <c r="G51" i="121"/>
  <c r="F51" i="121"/>
  <c r="E51" i="121"/>
  <c r="D51" i="121"/>
  <c r="C51" i="121"/>
  <c r="B51" i="121"/>
  <c r="M50" i="121"/>
  <c r="L50" i="121"/>
  <c r="K50" i="121"/>
  <c r="J50" i="121"/>
  <c r="I50" i="121"/>
  <c r="H50" i="121"/>
  <c r="G50" i="121"/>
  <c r="F50" i="121"/>
  <c r="E50" i="121"/>
  <c r="D50" i="121"/>
  <c r="C50" i="121"/>
  <c r="B50" i="121"/>
  <c r="M49" i="121"/>
  <c r="L49" i="121"/>
  <c r="K49" i="121"/>
  <c r="J49" i="121"/>
  <c r="I49" i="121"/>
  <c r="H49" i="121"/>
  <c r="G49" i="121"/>
  <c r="F49" i="121"/>
  <c r="E49" i="121"/>
  <c r="D49" i="121"/>
  <c r="C49" i="121"/>
  <c r="B49" i="121"/>
  <c r="M48" i="121"/>
  <c r="L48" i="121"/>
  <c r="K48" i="121"/>
  <c r="J48" i="121"/>
  <c r="I48" i="121"/>
  <c r="H48" i="121"/>
  <c r="G48" i="121"/>
  <c r="F48" i="121"/>
  <c r="E48" i="121"/>
  <c r="D48" i="121"/>
  <c r="C48" i="121"/>
  <c r="B48" i="121"/>
  <c r="M47" i="121"/>
  <c r="L47" i="121"/>
  <c r="K47" i="121"/>
  <c r="J47" i="121"/>
  <c r="I47" i="121"/>
  <c r="H47" i="121"/>
  <c r="G47" i="121"/>
  <c r="F47" i="121"/>
  <c r="E47" i="121"/>
  <c r="D47" i="121"/>
  <c r="C47" i="121"/>
  <c r="B47" i="121"/>
  <c r="M46" i="121"/>
  <c r="L46" i="121"/>
  <c r="K46" i="121"/>
  <c r="J46" i="121"/>
  <c r="I46" i="121"/>
  <c r="H46" i="121"/>
  <c r="G46" i="121"/>
  <c r="F46" i="121"/>
  <c r="E46" i="121"/>
  <c r="D46" i="121"/>
  <c r="C46" i="121"/>
  <c r="B46" i="121"/>
  <c r="M45" i="121"/>
  <c r="L45" i="121"/>
  <c r="K45" i="121"/>
  <c r="J45" i="121"/>
  <c r="I45" i="121"/>
  <c r="H45" i="121"/>
  <c r="G45" i="121"/>
  <c r="F45" i="121"/>
  <c r="E45" i="121"/>
  <c r="D45" i="121"/>
  <c r="C45" i="121"/>
  <c r="B45" i="121"/>
  <c r="M44" i="121"/>
  <c r="L44" i="121"/>
  <c r="K44" i="121"/>
  <c r="J44" i="121"/>
  <c r="I44" i="121"/>
  <c r="H44" i="121"/>
  <c r="G44" i="121"/>
  <c r="F44" i="121"/>
  <c r="E44" i="121"/>
  <c r="D44" i="121"/>
  <c r="C44" i="121"/>
  <c r="B44" i="121"/>
  <c r="K43" i="121"/>
  <c r="J43" i="121"/>
  <c r="I43" i="121"/>
  <c r="F43" i="121"/>
  <c r="E43" i="121"/>
  <c r="D43" i="121"/>
  <c r="C43" i="121"/>
  <c r="B43" i="121"/>
  <c r="M42" i="121"/>
  <c r="L42" i="121"/>
  <c r="K42" i="121"/>
  <c r="J42" i="121"/>
  <c r="I42" i="121"/>
  <c r="H42" i="121"/>
  <c r="G42" i="121"/>
  <c r="F42" i="121"/>
  <c r="E42" i="121"/>
  <c r="D42" i="121"/>
  <c r="C42" i="121"/>
  <c r="B42" i="121"/>
  <c r="M37" i="121"/>
  <c r="L37" i="121"/>
  <c r="K37" i="121"/>
  <c r="J37" i="121"/>
  <c r="I37" i="121"/>
  <c r="H37" i="121"/>
  <c r="G37" i="121"/>
  <c r="F37" i="121"/>
  <c r="E37" i="121"/>
  <c r="D37" i="121"/>
  <c r="C37" i="121"/>
  <c r="B37" i="121"/>
  <c r="M34" i="121"/>
  <c r="L34" i="121"/>
  <c r="K34" i="121"/>
  <c r="J34" i="121"/>
  <c r="I34" i="121"/>
  <c r="H34" i="121"/>
  <c r="G34" i="121"/>
  <c r="F34" i="121"/>
  <c r="E34" i="121"/>
  <c r="D34" i="121"/>
  <c r="C34" i="121"/>
  <c r="B34" i="121"/>
  <c r="M33" i="121"/>
  <c r="L33" i="121"/>
  <c r="K33" i="121"/>
  <c r="J33" i="121"/>
  <c r="I33" i="121"/>
  <c r="H33" i="121"/>
  <c r="G33" i="121"/>
  <c r="F33" i="121"/>
  <c r="E33" i="121"/>
  <c r="D33" i="121"/>
  <c r="C33" i="121"/>
  <c r="B33" i="121"/>
  <c r="M32" i="121"/>
  <c r="L32" i="121"/>
  <c r="K32" i="121"/>
  <c r="J32" i="121"/>
  <c r="I32" i="121"/>
  <c r="H32" i="121"/>
  <c r="G32" i="121"/>
  <c r="F32" i="121"/>
  <c r="E32" i="121"/>
  <c r="D32" i="121"/>
  <c r="C32" i="121"/>
  <c r="B32" i="121"/>
  <c r="J31" i="121"/>
  <c r="I31" i="121"/>
  <c r="G31" i="121"/>
  <c r="F31" i="121"/>
  <c r="M30" i="121"/>
  <c r="L30" i="121"/>
  <c r="K30" i="121"/>
  <c r="J30" i="121"/>
  <c r="I30" i="121"/>
  <c r="H30" i="121"/>
  <c r="G30" i="121"/>
  <c r="F30" i="121"/>
  <c r="E30" i="121"/>
  <c r="D30" i="121"/>
  <c r="C30" i="121"/>
  <c r="B30" i="121"/>
  <c r="M26" i="121"/>
  <c r="L26" i="121"/>
  <c r="K26" i="121"/>
  <c r="J26" i="121"/>
  <c r="I26" i="121"/>
  <c r="H26" i="121"/>
  <c r="G26" i="121"/>
  <c r="F26" i="121"/>
  <c r="E26" i="121"/>
  <c r="D26" i="121"/>
  <c r="C26" i="121"/>
  <c r="B26" i="121"/>
  <c r="M25" i="121"/>
  <c r="L25" i="121"/>
  <c r="K25" i="121"/>
  <c r="J25" i="121"/>
  <c r="I25" i="121"/>
  <c r="H25" i="121"/>
  <c r="G25" i="121"/>
  <c r="F25" i="121"/>
  <c r="E25" i="121"/>
  <c r="D25" i="121"/>
  <c r="C25" i="121"/>
  <c r="B25" i="121"/>
  <c r="M24" i="121"/>
  <c r="L24" i="121"/>
  <c r="K24" i="121"/>
  <c r="J24" i="121"/>
  <c r="I24" i="121"/>
  <c r="H24" i="121"/>
  <c r="G24" i="121"/>
  <c r="F24" i="121"/>
  <c r="E24" i="121"/>
  <c r="D24" i="121"/>
  <c r="C24" i="121"/>
  <c r="B24" i="121"/>
  <c r="M23" i="121"/>
  <c r="L23" i="121"/>
  <c r="K23" i="121"/>
  <c r="J23" i="121"/>
  <c r="I23" i="121"/>
  <c r="H23" i="121"/>
  <c r="G23" i="121"/>
  <c r="F23" i="121"/>
  <c r="E23" i="121"/>
  <c r="D23" i="121"/>
  <c r="C23" i="121"/>
  <c r="B23" i="121"/>
  <c r="M22" i="121"/>
  <c r="L22" i="121"/>
  <c r="K22" i="121"/>
  <c r="J22" i="121"/>
  <c r="I22" i="121"/>
  <c r="H22" i="121"/>
  <c r="G22" i="121"/>
  <c r="F22" i="121"/>
  <c r="E22" i="121"/>
  <c r="D22" i="121"/>
  <c r="C22" i="121"/>
  <c r="B22" i="121"/>
  <c r="M18" i="121"/>
  <c r="L18" i="121"/>
  <c r="K18" i="121"/>
  <c r="J18" i="121"/>
  <c r="I18" i="121"/>
  <c r="H18" i="121"/>
  <c r="G18" i="121"/>
  <c r="F18" i="121"/>
  <c r="E18" i="121"/>
  <c r="D18" i="121"/>
  <c r="C18" i="121"/>
  <c r="B18" i="121"/>
  <c r="M17" i="121"/>
  <c r="L17" i="121"/>
  <c r="K17" i="121"/>
  <c r="J17" i="121"/>
  <c r="I17" i="121"/>
  <c r="H17" i="121"/>
  <c r="G17" i="121"/>
  <c r="F17" i="121"/>
  <c r="E17" i="121"/>
  <c r="D17" i="121"/>
  <c r="C17" i="121"/>
  <c r="B17" i="121"/>
  <c r="M16" i="121"/>
  <c r="L16" i="121"/>
  <c r="K16" i="121"/>
  <c r="J16" i="121"/>
  <c r="I16" i="121"/>
  <c r="H16" i="121"/>
  <c r="G16" i="121"/>
  <c r="F16" i="121"/>
  <c r="E16" i="121"/>
  <c r="D16" i="121"/>
  <c r="C16" i="121"/>
  <c r="B16" i="121"/>
  <c r="M15" i="121"/>
  <c r="L15" i="121"/>
  <c r="K15" i="121"/>
  <c r="J15" i="121"/>
  <c r="I15" i="121"/>
  <c r="H15" i="121"/>
  <c r="G15" i="121"/>
  <c r="F15" i="121"/>
  <c r="E15" i="121"/>
  <c r="D15" i="121"/>
  <c r="C15" i="121"/>
  <c r="B15" i="121"/>
  <c r="M14" i="121"/>
  <c r="L14" i="121"/>
  <c r="K14" i="121"/>
  <c r="J14" i="121"/>
  <c r="I14" i="121"/>
  <c r="H14" i="121"/>
  <c r="G14" i="121"/>
  <c r="F14" i="121"/>
  <c r="E14" i="121"/>
  <c r="D14" i="121"/>
  <c r="C14" i="121"/>
  <c r="B14" i="121"/>
  <c r="M9" i="121"/>
  <c r="L9" i="121"/>
  <c r="K9" i="121"/>
  <c r="J9" i="121"/>
  <c r="I9" i="121"/>
  <c r="H9" i="121"/>
  <c r="G9" i="121"/>
  <c r="F9" i="121"/>
  <c r="E9" i="121"/>
  <c r="D9" i="121"/>
  <c r="C9" i="121"/>
  <c r="B9" i="121"/>
  <c r="M8" i="121"/>
  <c r="L8" i="121"/>
  <c r="K8" i="121"/>
  <c r="J8" i="121"/>
  <c r="I8" i="121"/>
  <c r="H8" i="121"/>
  <c r="G8" i="121"/>
  <c r="F8" i="121"/>
  <c r="E8" i="121"/>
  <c r="D8" i="121"/>
  <c r="C8" i="121"/>
  <c r="B8" i="121"/>
  <c r="M7" i="121"/>
  <c r="L7" i="121"/>
  <c r="K7" i="121"/>
  <c r="J7" i="121"/>
  <c r="I7" i="121"/>
  <c r="H7" i="121"/>
  <c r="G7" i="121"/>
  <c r="F7" i="121"/>
  <c r="E7" i="121"/>
  <c r="D7" i="121"/>
  <c r="C7" i="121"/>
  <c r="B7" i="121"/>
  <c r="M6" i="121"/>
  <c r="L6" i="121"/>
  <c r="K6" i="121"/>
  <c r="J6" i="121"/>
  <c r="I6" i="121"/>
  <c r="H6" i="121"/>
  <c r="G6" i="121"/>
  <c r="F6" i="121"/>
  <c r="E6" i="121"/>
  <c r="D6" i="121"/>
  <c r="C6" i="121"/>
  <c r="B6" i="121"/>
  <c r="M5" i="121"/>
  <c r="L5" i="121"/>
  <c r="K5" i="121"/>
  <c r="J5" i="121"/>
  <c r="I5" i="121"/>
  <c r="H5" i="121"/>
  <c r="G5" i="121"/>
  <c r="F5" i="121"/>
  <c r="E5" i="121"/>
  <c r="D5" i="121"/>
  <c r="C5" i="121"/>
  <c r="B5" i="121"/>
  <c r="M4" i="121"/>
  <c r="L4" i="121"/>
  <c r="K4" i="121"/>
  <c r="J4" i="121"/>
  <c r="I4" i="121"/>
  <c r="H4" i="121"/>
  <c r="G4" i="121"/>
  <c r="F4" i="121"/>
  <c r="E4" i="121"/>
  <c r="D4" i="121"/>
  <c r="C4" i="121"/>
  <c r="B4" i="121"/>
  <c r="O124" i="143"/>
  <c r="W208" i="2"/>
  <c r="Q243" i="143"/>
  <c r="W10" i="2"/>
  <c r="AF214" i="2"/>
  <c r="AG175" i="2"/>
  <c r="B43" i="136" l="1"/>
  <c r="B320" i="136"/>
  <c r="B55" i="136" s="1"/>
  <c r="L14" i="124"/>
  <c r="L30" i="124"/>
  <c r="D31" i="126"/>
  <c r="C117" i="127"/>
  <c r="C27" i="127" s="1"/>
  <c r="C24" i="127"/>
  <c r="D176" i="127"/>
  <c r="D34" i="127" s="1"/>
  <c r="D31" i="127"/>
  <c r="D89" i="140"/>
  <c r="H116" i="140"/>
  <c r="H27" i="140" s="1"/>
  <c r="H22" i="140"/>
  <c r="C173" i="140"/>
  <c r="C33" i="140" s="1"/>
  <c r="C30" i="140"/>
  <c r="E328" i="140"/>
  <c r="E54" i="140" s="1"/>
  <c r="E40" i="140"/>
  <c r="B41" i="122"/>
  <c r="F43" i="123"/>
  <c r="B30" i="125"/>
  <c r="D89" i="124"/>
  <c r="D19" i="124" s="1"/>
  <c r="D14" i="124"/>
  <c r="L181" i="126"/>
  <c r="L34" i="126" s="1"/>
  <c r="L30" i="126"/>
  <c r="H379" i="121"/>
  <c r="H56" i="121" s="1"/>
  <c r="E14" i="122"/>
  <c r="D30" i="122"/>
  <c r="D30" i="123"/>
  <c r="J379" i="121"/>
  <c r="J56" i="121" s="1"/>
  <c r="M14" i="122"/>
  <c r="M31" i="122"/>
  <c r="M41" i="122"/>
  <c r="J30" i="125"/>
  <c r="K343" i="126"/>
  <c r="K55" i="126" s="1"/>
  <c r="B67" i="130"/>
  <c r="B10" i="130"/>
  <c r="M90" i="130"/>
  <c r="M15" i="130" s="1"/>
  <c r="M14" i="130"/>
  <c r="I181" i="126"/>
  <c r="I34" i="126" s="1"/>
  <c r="I30" i="126"/>
  <c r="E181" i="126"/>
  <c r="E34" i="126" s="1"/>
  <c r="E31" i="126"/>
  <c r="D112" i="131"/>
  <c r="D19" i="131" s="1"/>
  <c r="D18" i="131"/>
  <c r="J89" i="137"/>
  <c r="J19" i="137" s="1"/>
  <c r="J14" i="137"/>
  <c r="G184" i="123"/>
  <c r="G34" i="123" s="1"/>
  <c r="K184" i="123"/>
  <c r="K34" i="123" s="1"/>
  <c r="J184" i="123"/>
  <c r="J34" i="123" s="1"/>
  <c r="M30" i="126"/>
  <c r="K218" i="129"/>
  <c r="K36" i="129" s="1"/>
  <c r="K26" i="129"/>
  <c r="L26" i="131"/>
  <c r="E90" i="131"/>
  <c r="E15" i="131" s="1"/>
  <c r="E14" i="131"/>
  <c r="D90" i="131"/>
  <c r="D15" i="131" s="1"/>
  <c r="K164" i="134"/>
  <c r="K33" i="134" s="1"/>
  <c r="K31" i="134"/>
  <c r="J347" i="123"/>
  <c r="J55" i="123" s="1"/>
  <c r="D116" i="124"/>
  <c r="D27" i="124" s="1"/>
  <c r="H330" i="125"/>
  <c r="H54" i="125" s="1"/>
  <c r="J370" i="125"/>
  <c r="D116" i="133"/>
  <c r="D27" i="133" s="1"/>
  <c r="M116" i="133"/>
  <c r="M27" i="133" s="1"/>
  <c r="I116" i="133"/>
  <c r="I27" i="133" s="1"/>
  <c r="E116" i="134"/>
  <c r="E27" i="134" s="1"/>
  <c r="B112" i="135"/>
  <c r="B19" i="135" s="1"/>
  <c r="B18" i="135"/>
  <c r="M220" i="135"/>
  <c r="M37" i="135" s="1"/>
  <c r="M26" i="135"/>
  <c r="J26" i="131"/>
  <c r="B22" i="132"/>
  <c r="L31" i="134"/>
  <c r="C10" i="135"/>
  <c r="J18" i="135"/>
  <c r="I26" i="135"/>
  <c r="D369" i="139"/>
  <c r="H369" i="139"/>
  <c r="L369" i="139"/>
  <c r="J90" i="136"/>
  <c r="J19" i="136" s="1"/>
  <c r="H170" i="138"/>
  <c r="H34" i="138" s="1"/>
  <c r="D170" i="138"/>
  <c r="D34" i="138" s="1"/>
  <c r="F328" i="140"/>
  <c r="F54" i="140" s="1"/>
  <c r="L170" i="138"/>
  <c r="L34" i="138" s="1"/>
  <c r="I170" i="138"/>
  <c r="I34" i="138" s="1"/>
  <c r="D365" i="138"/>
  <c r="H365" i="138"/>
  <c r="L365" i="138"/>
  <c r="I14" i="140"/>
  <c r="I14" i="122"/>
  <c r="L117" i="122"/>
  <c r="L27" i="122" s="1"/>
  <c r="C117" i="123"/>
  <c r="C27" i="123" s="1"/>
  <c r="G117" i="123"/>
  <c r="G27" i="123" s="1"/>
  <c r="F177" i="124"/>
  <c r="F33" i="124" s="1"/>
  <c r="F30" i="124"/>
  <c r="K24" i="126"/>
  <c r="J181" i="126"/>
  <c r="J34" i="126" s="1"/>
  <c r="J30" i="126"/>
  <c r="B181" i="126"/>
  <c r="B34" i="126" s="1"/>
  <c r="B31" i="126"/>
  <c r="F181" i="126"/>
  <c r="F34" i="126" s="1"/>
  <c r="F31" i="126"/>
  <c r="J343" i="126"/>
  <c r="J55" i="126" s="1"/>
  <c r="J41" i="126"/>
  <c r="I379" i="121"/>
  <c r="I56" i="121" s="1"/>
  <c r="K14" i="122"/>
  <c r="L22" i="122"/>
  <c r="I31" i="122"/>
  <c r="C41" i="122"/>
  <c r="H117" i="122"/>
  <c r="H27" i="122" s="1"/>
  <c r="M117" i="122"/>
  <c r="M27" i="122" s="1"/>
  <c r="F117" i="122"/>
  <c r="F27" i="122" s="1"/>
  <c r="K117" i="122"/>
  <c r="K27" i="122" s="1"/>
  <c r="E117" i="122"/>
  <c r="E27" i="122" s="1"/>
  <c r="F336" i="122"/>
  <c r="F55" i="122" s="1"/>
  <c r="C30" i="123"/>
  <c r="G30" i="123"/>
  <c r="K30" i="123"/>
  <c r="H14" i="125"/>
  <c r="K181" i="126"/>
  <c r="K34" i="126" s="1"/>
  <c r="K30" i="126"/>
  <c r="C181" i="126"/>
  <c r="C34" i="126" s="1"/>
  <c r="C31" i="126"/>
  <c r="G181" i="126"/>
  <c r="G34" i="126" s="1"/>
  <c r="G31" i="126"/>
  <c r="L89" i="125"/>
  <c r="L19" i="125" s="1"/>
  <c r="L14" i="125"/>
  <c r="H172" i="125"/>
  <c r="H33" i="125" s="1"/>
  <c r="H30" i="125"/>
  <c r="D330" i="125"/>
  <c r="D54" i="125" s="1"/>
  <c r="D40" i="125"/>
  <c r="I14" i="126"/>
  <c r="I90" i="126"/>
  <c r="I19" i="126" s="1"/>
  <c r="M90" i="126"/>
  <c r="M19" i="126" s="1"/>
  <c r="M14" i="126"/>
  <c r="E90" i="127"/>
  <c r="E19" i="127" s="1"/>
  <c r="E14" i="127"/>
  <c r="I22" i="122"/>
  <c r="G41" i="122"/>
  <c r="H175" i="122"/>
  <c r="H34" i="122" s="1"/>
  <c r="M172" i="125"/>
  <c r="M33" i="125" s="1"/>
  <c r="D172" i="125"/>
  <c r="D33" i="125" s="1"/>
  <c r="H10" i="135"/>
  <c r="J26" i="135"/>
  <c r="C164" i="136"/>
  <c r="C34" i="136" s="1"/>
  <c r="C31" i="136"/>
  <c r="K164" i="136"/>
  <c r="K34" i="136" s="1"/>
  <c r="K31" i="136"/>
  <c r="F106" i="132"/>
  <c r="F167" i="132" s="1"/>
  <c r="F14" i="132"/>
  <c r="E165" i="132"/>
  <c r="E22" i="132"/>
  <c r="D68" i="135"/>
  <c r="D11" i="135" s="1"/>
  <c r="D10" i="135"/>
  <c r="L68" i="135"/>
  <c r="L11" i="135" s="1"/>
  <c r="L10" i="135"/>
  <c r="G112" i="135"/>
  <c r="G19" i="135" s="1"/>
  <c r="G18" i="135"/>
  <c r="F220" i="135"/>
  <c r="F37" i="135" s="1"/>
  <c r="F26" i="135"/>
  <c r="C90" i="136"/>
  <c r="C19" i="136" s="1"/>
  <c r="C14" i="136"/>
  <c r="G90" i="136"/>
  <c r="G19" i="136" s="1"/>
  <c r="G14" i="136"/>
  <c r="K90" i="136"/>
  <c r="K19" i="136" s="1"/>
  <c r="K14" i="136"/>
  <c r="I116" i="137"/>
  <c r="I27" i="137" s="1"/>
  <c r="I22" i="137"/>
  <c r="E116" i="137"/>
  <c r="E27" i="137" s="1"/>
  <c r="E168" i="137"/>
  <c r="E33" i="137" s="1"/>
  <c r="E30" i="137"/>
  <c r="I30" i="137"/>
  <c r="I168" i="137"/>
  <c r="I33" i="137" s="1"/>
  <c r="M168" i="137"/>
  <c r="M33" i="137" s="1"/>
  <c r="M30" i="137"/>
  <c r="C117" i="139"/>
  <c r="C27" i="139" s="1"/>
  <c r="C22" i="139"/>
  <c r="G117" i="139"/>
  <c r="G27" i="139" s="1"/>
  <c r="G22" i="139"/>
  <c r="C116" i="124"/>
  <c r="C27" i="124" s="1"/>
  <c r="E116" i="124"/>
  <c r="E27" i="124" s="1"/>
  <c r="B116" i="125"/>
  <c r="B27" i="125" s="1"/>
  <c r="K116" i="125"/>
  <c r="E116" i="125"/>
  <c r="E27" i="125" s="1"/>
  <c r="K370" i="125"/>
  <c r="H117" i="126"/>
  <c r="H27" i="126" s="1"/>
  <c r="F14" i="127"/>
  <c r="H10" i="129"/>
  <c r="H26" i="129"/>
  <c r="M90" i="131"/>
  <c r="M15" i="131" s="1"/>
  <c r="M14" i="131"/>
  <c r="D220" i="131"/>
  <c r="D36" i="131" s="1"/>
  <c r="D26" i="131"/>
  <c r="H220" i="131"/>
  <c r="H36" i="131" s="1"/>
  <c r="H26" i="131"/>
  <c r="I22" i="132"/>
  <c r="M106" i="132"/>
  <c r="M167" i="132" s="1"/>
  <c r="M14" i="132"/>
  <c r="C31" i="133"/>
  <c r="K18" i="135"/>
  <c r="G31" i="136"/>
  <c r="B347" i="123"/>
  <c r="B55" i="123" s="1"/>
  <c r="H336" i="124"/>
  <c r="H54" i="124" s="1"/>
  <c r="L336" i="124"/>
  <c r="L54" i="124" s="1"/>
  <c r="J336" i="124"/>
  <c r="J54" i="124" s="1"/>
  <c r="B117" i="126"/>
  <c r="B27" i="126" s="1"/>
  <c r="F117" i="126"/>
  <c r="F27" i="126" s="1"/>
  <c r="J117" i="126"/>
  <c r="J27" i="126" s="1"/>
  <c r="D117" i="126"/>
  <c r="D27" i="126" s="1"/>
  <c r="B14" i="127"/>
  <c r="J14" i="127"/>
  <c r="J334" i="127"/>
  <c r="J55" i="127" s="1"/>
  <c r="M59" i="128"/>
  <c r="I26" i="129"/>
  <c r="D90" i="130"/>
  <c r="D15" i="130" s="1"/>
  <c r="L213" i="130"/>
  <c r="L36" i="130" s="1"/>
  <c r="M112" i="131"/>
  <c r="M19" i="131" s="1"/>
  <c r="M18" i="131"/>
  <c r="I220" i="131"/>
  <c r="I36" i="131" s="1"/>
  <c r="I26" i="131"/>
  <c r="M220" i="131"/>
  <c r="M36" i="131" s="1"/>
  <c r="M26" i="131"/>
  <c r="C18" i="135"/>
  <c r="I31" i="138"/>
  <c r="L116" i="140"/>
  <c r="L27" i="140" s="1"/>
  <c r="L22" i="140"/>
  <c r="K173" i="140"/>
  <c r="K33" i="140" s="1"/>
  <c r="K30" i="140"/>
  <c r="G165" i="132"/>
  <c r="G167" i="132" s="1"/>
  <c r="E22" i="134"/>
  <c r="F25" i="134"/>
  <c r="J31" i="134"/>
  <c r="G322" i="134"/>
  <c r="G54" i="134" s="1"/>
  <c r="K322" i="134"/>
  <c r="K54" i="134" s="1"/>
  <c r="B14" i="136"/>
  <c r="D31" i="136"/>
  <c r="H30" i="137"/>
  <c r="C116" i="137"/>
  <c r="C27" i="137" s="1"/>
  <c r="G161" i="133"/>
  <c r="G33" i="133" s="1"/>
  <c r="F360" i="133"/>
  <c r="E365" i="138"/>
  <c r="I365" i="138"/>
  <c r="E172" i="139"/>
  <c r="E34" i="139" s="1"/>
  <c r="I172" i="139"/>
  <c r="I34" i="139" s="1"/>
  <c r="B172" i="139"/>
  <c r="B34" i="139" s="1"/>
  <c r="F172" i="139"/>
  <c r="F34" i="139" s="1"/>
  <c r="J172" i="139"/>
  <c r="J34" i="139" s="1"/>
  <c r="E369" i="139"/>
  <c r="I369" i="139"/>
  <c r="I40" i="140"/>
  <c r="C343" i="126"/>
  <c r="C55" i="126" s="1"/>
  <c r="C41" i="126"/>
  <c r="G343" i="126"/>
  <c r="G55" i="126" s="1"/>
  <c r="G41" i="126"/>
  <c r="H90" i="127"/>
  <c r="G376" i="122"/>
  <c r="C177" i="124"/>
  <c r="C33" i="124" s="1"/>
  <c r="C30" i="124"/>
  <c r="K30" i="124"/>
  <c r="K177" i="124"/>
  <c r="K33" i="124" s="1"/>
  <c r="F116" i="125"/>
  <c r="F27" i="125" s="1"/>
  <c r="E172" i="125"/>
  <c r="E33" i="125" s="1"/>
  <c r="E30" i="125"/>
  <c r="I172" i="125"/>
  <c r="I33" i="125" s="1"/>
  <c r="I30" i="125"/>
  <c r="K379" i="121"/>
  <c r="K56" i="121" s="1"/>
  <c r="B14" i="122"/>
  <c r="F14" i="122"/>
  <c r="J14" i="122"/>
  <c r="C30" i="122"/>
  <c r="G30" i="122"/>
  <c r="L31" i="122"/>
  <c r="F41" i="122"/>
  <c r="F175" i="122"/>
  <c r="F34" i="122" s="1"/>
  <c r="E336" i="122"/>
  <c r="E55" i="122" s="1"/>
  <c r="E23" i="124"/>
  <c r="B89" i="124"/>
  <c r="B19" i="124" s="1"/>
  <c r="B14" i="124"/>
  <c r="F89" i="124"/>
  <c r="F19" i="124" s="1"/>
  <c r="F14" i="124"/>
  <c r="D177" i="124"/>
  <c r="D33" i="124" s="1"/>
  <c r="D30" i="124"/>
  <c r="B336" i="124"/>
  <c r="B54" i="124" s="1"/>
  <c r="B22" i="126"/>
  <c r="D343" i="126"/>
  <c r="D55" i="126" s="1"/>
  <c r="H343" i="126"/>
  <c r="H55" i="126" s="1"/>
  <c r="H41" i="126"/>
  <c r="L343" i="126"/>
  <c r="L55" i="126" s="1"/>
  <c r="L41" i="126"/>
  <c r="F41" i="127"/>
  <c r="I90" i="127"/>
  <c r="I19" i="127" s="1"/>
  <c r="I14" i="127"/>
  <c r="M90" i="127"/>
  <c r="M19" i="127" s="1"/>
  <c r="M14" i="127"/>
  <c r="I90" i="129"/>
  <c r="I15" i="129" s="1"/>
  <c r="I14" i="129"/>
  <c r="D218" i="129"/>
  <c r="D36" i="129" s="1"/>
  <c r="D26" i="129"/>
  <c r="L218" i="129"/>
  <c r="L36" i="129" s="1"/>
  <c r="L26" i="129"/>
  <c r="E376" i="124"/>
  <c r="B22" i="125"/>
  <c r="K22" i="125"/>
  <c r="E25" i="125"/>
  <c r="I176" i="127"/>
  <c r="I34" i="127" s="1"/>
  <c r="I33" i="127"/>
  <c r="E90" i="128"/>
  <c r="E19" i="128" s="1"/>
  <c r="E14" i="128"/>
  <c r="I90" i="128"/>
  <c r="I19" i="128" s="1"/>
  <c r="I14" i="128"/>
  <c r="B117" i="128"/>
  <c r="B27" i="128" s="1"/>
  <c r="B22" i="128"/>
  <c r="F117" i="128"/>
  <c r="F27" i="128" s="1"/>
  <c r="F22" i="128"/>
  <c r="J117" i="128"/>
  <c r="J27" i="128" s="1"/>
  <c r="J22" i="128"/>
  <c r="B174" i="128"/>
  <c r="B34" i="128" s="1"/>
  <c r="B30" i="128"/>
  <c r="F174" i="128"/>
  <c r="F34" i="128" s="1"/>
  <c r="F30" i="128"/>
  <c r="J174" i="128"/>
  <c r="J34" i="128" s="1"/>
  <c r="J30" i="128"/>
  <c r="E327" i="128"/>
  <c r="E55" i="128" s="1"/>
  <c r="E41" i="128"/>
  <c r="I327" i="128"/>
  <c r="I55" i="128" s="1"/>
  <c r="I41" i="128"/>
  <c r="B200" i="121"/>
  <c r="B35" i="121" s="1"/>
  <c r="G22" i="123"/>
  <c r="H90" i="123"/>
  <c r="G89" i="124"/>
  <c r="G19" i="124" s="1"/>
  <c r="G14" i="124"/>
  <c r="K89" i="124"/>
  <c r="K189" i="124" s="1"/>
  <c r="K37" i="124" s="1"/>
  <c r="K14" i="124"/>
  <c r="G116" i="124"/>
  <c r="G27" i="124" s="1"/>
  <c r="G22" i="124"/>
  <c r="G177" i="124"/>
  <c r="G33" i="124" s="1"/>
  <c r="D336" i="124"/>
  <c r="D54" i="124" s="1"/>
  <c r="D40" i="124"/>
  <c r="I200" i="121"/>
  <c r="I35" i="121" s="1"/>
  <c r="D14" i="122"/>
  <c r="H14" i="122"/>
  <c r="L14" i="122"/>
  <c r="B31" i="122"/>
  <c r="J31" i="122"/>
  <c r="C117" i="122"/>
  <c r="C27" i="122" s="1"/>
  <c r="G117" i="122"/>
  <c r="G27" i="122" s="1"/>
  <c r="B117" i="122"/>
  <c r="B27" i="122" s="1"/>
  <c r="E175" i="122"/>
  <c r="E34" i="122" s="1"/>
  <c r="C22" i="123"/>
  <c r="I41" i="123"/>
  <c r="J14" i="124"/>
  <c r="C22" i="124"/>
  <c r="H40" i="124"/>
  <c r="M116" i="124"/>
  <c r="M27" i="124" s="1"/>
  <c r="M30" i="125"/>
  <c r="E89" i="125"/>
  <c r="E19" i="125" s="1"/>
  <c r="E14" i="125"/>
  <c r="I116" i="125"/>
  <c r="I27" i="125" s="1"/>
  <c r="L330" i="125"/>
  <c r="L54" i="125" s="1"/>
  <c r="L40" i="125"/>
  <c r="C330" i="125"/>
  <c r="C54" i="125" s="1"/>
  <c r="C42" i="125"/>
  <c r="K330" i="125"/>
  <c r="K54" i="125" s="1"/>
  <c r="M370" i="125"/>
  <c r="J22" i="126"/>
  <c r="K41" i="126"/>
  <c r="C117" i="126"/>
  <c r="C27" i="126" s="1"/>
  <c r="C22" i="126"/>
  <c r="G117" i="126"/>
  <c r="G27" i="126" s="1"/>
  <c r="G22" i="126"/>
  <c r="B41" i="127"/>
  <c r="L176" i="127"/>
  <c r="L34" i="127" s="1"/>
  <c r="L31" i="127"/>
  <c r="B90" i="128"/>
  <c r="B19" i="128" s="1"/>
  <c r="B14" i="128"/>
  <c r="F90" i="128"/>
  <c r="F19" i="128" s="1"/>
  <c r="F14" i="128"/>
  <c r="J90" i="128"/>
  <c r="J19" i="128" s="1"/>
  <c r="J14" i="128"/>
  <c r="C90" i="128"/>
  <c r="C19" i="128" s="1"/>
  <c r="C15" i="128"/>
  <c r="G90" i="128"/>
  <c r="G19" i="128" s="1"/>
  <c r="G15" i="128"/>
  <c r="K90" i="128"/>
  <c r="K19" i="128" s="1"/>
  <c r="K15" i="128"/>
  <c r="C117" i="128"/>
  <c r="C27" i="128" s="1"/>
  <c r="C22" i="128"/>
  <c r="G117" i="128"/>
  <c r="G27" i="128" s="1"/>
  <c r="G22" i="128"/>
  <c r="K117" i="128"/>
  <c r="K27" i="128" s="1"/>
  <c r="K22" i="128"/>
  <c r="B90" i="131"/>
  <c r="B15" i="131" s="1"/>
  <c r="B14" i="131"/>
  <c r="H90" i="131"/>
  <c r="H15" i="131" s="1"/>
  <c r="H14" i="131"/>
  <c r="C112" i="131"/>
  <c r="C19" i="131" s="1"/>
  <c r="C18" i="131"/>
  <c r="C220" i="131"/>
  <c r="C36" i="131" s="1"/>
  <c r="C26" i="131"/>
  <c r="G220" i="131"/>
  <c r="G36" i="131" s="1"/>
  <c r="G26" i="131"/>
  <c r="K220" i="131"/>
  <c r="K36" i="131" s="1"/>
  <c r="K26" i="131"/>
  <c r="F165" i="132"/>
  <c r="F30" i="132" s="1"/>
  <c r="F19" i="132"/>
  <c r="E89" i="133"/>
  <c r="E19" i="133" s="1"/>
  <c r="E14" i="133"/>
  <c r="E68" i="135"/>
  <c r="E11" i="135" s="1"/>
  <c r="E10" i="135"/>
  <c r="I68" i="135"/>
  <c r="I11" i="135" s="1"/>
  <c r="I10" i="135"/>
  <c r="M68" i="135"/>
  <c r="M11" i="135" s="1"/>
  <c r="M10" i="135"/>
  <c r="D112" i="135"/>
  <c r="D19" i="135" s="1"/>
  <c r="D18" i="135"/>
  <c r="H112" i="135"/>
  <c r="H19" i="135" s="1"/>
  <c r="H18" i="135"/>
  <c r="L112" i="135"/>
  <c r="L19" i="135" s="1"/>
  <c r="L18" i="135"/>
  <c r="C220" i="135"/>
  <c r="C37" i="135" s="1"/>
  <c r="C26" i="135"/>
  <c r="G220" i="135"/>
  <c r="G37" i="135" s="1"/>
  <c r="G26" i="135"/>
  <c r="K220" i="135"/>
  <c r="K37" i="135" s="1"/>
  <c r="K26" i="135"/>
  <c r="E90" i="139"/>
  <c r="E19" i="139" s="1"/>
  <c r="E14" i="139"/>
  <c r="I90" i="139"/>
  <c r="I19" i="139" s="1"/>
  <c r="I14" i="139"/>
  <c r="B90" i="139"/>
  <c r="B19" i="139" s="1"/>
  <c r="B15" i="139"/>
  <c r="F90" i="139"/>
  <c r="F19" i="139" s="1"/>
  <c r="F15" i="139"/>
  <c r="J90" i="139"/>
  <c r="J19" i="139" s="1"/>
  <c r="J15" i="139"/>
  <c r="D17" i="139"/>
  <c r="H17" i="139"/>
  <c r="L17" i="139"/>
  <c r="H117" i="139"/>
  <c r="H27" i="139" s="1"/>
  <c r="H23" i="139"/>
  <c r="C116" i="140"/>
  <c r="C27" i="140" s="1"/>
  <c r="C22" i="140"/>
  <c r="G116" i="140"/>
  <c r="G27" i="140" s="1"/>
  <c r="G22" i="140"/>
  <c r="K116" i="140"/>
  <c r="K27" i="140" s="1"/>
  <c r="K22" i="140"/>
  <c r="B173" i="140"/>
  <c r="B33" i="140" s="1"/>
  <c r="B30" i="140"/>
  <c r="F173" i="140"/>
  <c r="F33" i="140" s="1"/>
  <c r="F30" i="140"/>
  <c r="J173" i="140"/>
  <c r="J33" i="140" s="1"/>
  <c r="J30" i="140"/>
  <c r="D328" i="140"/>
  <c r="D54" i="140" s="1"/>
  <c r="D40" i="140"/>
  <c r="H328" i="140"/>
  <c r="H54" i="140" s="1"/>
  <c r="H40" i="140"/>
  <c r="L328" i="140"/>
  <c r="L54" i="140" s="1"/>
  <c r="L40" i="140"/>
  <c r="C328" i="140"/>
  <c r="C54" i="140" s="1"/>
  <c r="C42" i="140"/>
  <c r="G328" i="140"/>
  <c r="G54" i="140" s="1"/>
  <c r="G42" i="140"/>
  <c r="K328" i="140"/>
  <c r="K54" i="140" s="1"/>
  <c r="K42" i="140"/>
  <c r="B327" i="128"/>
  <c r="B55" i="128" s="1"/>
  <c r="F327" i="128"/>
  <c r="F55" i="128" s="1"/>
  <c r="J327" i="128"/>
  <c r="J55" i="128" s="1"/>
  <c r="D327" i="128"/>
  <c r="D55" i="128" s="1"/>
  <c r="H327" i="128"/>
  <c r="H55" i="128" s="1"/>
  <c r="L327" i="128"/>
  <c r="L55" i="128" s="1"/>
  <c r="E10" i="130"/>
  <c r="F14" i="130"/>
  <c r="D213" i="130"/>
  <c r="D36" i="130" s="1"/>
  <c r="D24" i="130"/>
  <c r="H213" i="130"/>
  <c r="H36" i="130" s="1"/>
  <c r="H24" i="130"/>
  <c r="B18" i="131"/>
  <c r="B26" i="131"/>
  <c r="K22" i="132"/>
  <c r="H165" i="132"/>
  <c r="H167" i="132" s="1"/>
  <c r="H22" i="132"/>
  <c r="L165" i="132"/>
  <c r="L167" i="132" s="1"/>
  <c r="L22" i="132"/>
  <c r="J165" i="132"/>
  <c r="F40" i="133"/>
  <c r="J164" i="136"/>
  <c r="J34" i="136" s="1"/>
  <c r="J30" i="136"/>
  <c r="D117" i="123"/>
  <c r="D27" i="123" s="1"/>
  <c r="H117" i="123"/>
  <c r="H27" i="123" s="1"/>
  <c r="M117" i="123"/>
  <c r="M27" i="123" s="1"/>
  <c r="H116" i="124"/>
  <c r="H27" i="124" s="1"/>
  <c r="D14" i="125"/>
  <c r="L116" i="125"/>
  <c r="L27" i="125" s="1"/>
  <c r="E330" i="125"/>
  <c r="E54" i="125" s="1"/>
  <c r="I330" i="125"/>
  <c r="I54" i="125" s="1"/>
  <c r="M330" i="125"/>
  <c r="M54" i="125" s="1"/>
  <c r="G14" i="127"/>
  <c r="B18" i="129"/>
  <c r="E26" i="129"/>
  <c r="E67" i="129"/>
  <c r="E11" i="129" s="1"/>
  <c r="E10" i="129"/>
  <c r="I67" i="129"/>
  <c r="I11" i="129" s="1"/>
  <c r="I10" i="129"/>
  <c r="M67" i="129"/>
  <c r="M11" i="129" s="1"/>
  <c r="M10" i="129"/>
  <c r="B218" i="129"/>
  <c r="B36" i="129" s="1"/>
  <c r="B26" i="129"/>
  <c r="F218" i="129"/>
  <c r="F36" i="129" s="1"/>
  <c r="F26" i="129"/>
  <c r="J218" i="129"/>
  <c r="J36" i="129" s="1"/>
  <c r="J26" i="129"/>
  <c r="I10" i="130"/>
  <c r="L24" i="130"/>
  <c r="E213" i="130"/>
  <c r="E36" i="130" s="1"/>
  <c r="I213" i="130"/>
  <c r="I36" i="130" s="1"/>
  <c r="M213" i="130"/>
  <c r="M36" i="130" s="1"/>
  <c r="G22" i="132"/>
  <c r="B40" i="133"/>
  <c r="G116" i="133"/>
  <c r="G27" i="133" s="1"/>
  <c r="G23" i="133"/>
  <c r="L116" i="133"/>
  <c r="L27" i="133" s="1"/>
  <c r="L24" i="133"/>
  <c r="L116" i="124"/>
  <c r="L27" i="124" s="1"/>
  <c r="D116" i="125"/>
  <c r="D27" i="125" s="1"/>
  <c r="H116" i="125"/>
  <c r="H27" i="125" s="1"/>
  <c r="M116" i="125"/>
  <c r="M27" i="125" s="1"/>
  <c r="L172" i="125"/>
  <c r="L33" i="125" s="1"/>
  <c r="B330" i="125"/>
  <c r="B54" i="125" s="1"/>
  <c r="F330" i="125"/>
  <c r="F54" i="125" s="1"/>
  <c r="J330" i="125"/>
  <c r="J54" i="125" s="1"/>
  <c r="E117" i="126"/>
  <c r="E27" i="126" s="1"/>
  <c r="I117" i="126"/>
  <c r="I27" i="126" s="1"/>
  <c r="M117" i="126"/>
  <c r="M27" i="126" s="1"/>
  <c r="L117" i="126"/>
  <c r="L27" i="126" s="1"/>
  <c r="D117" i="127"/>
  <c r="D27" i="127" s="1"/>
  <c r="L117" i="127"/>
  <c r="L27" i="127" s="1"/>
  <c r="J176" i="127"/>
  <c r="J34" i="127" s="1"/>
  <c r="E334" i="127"/>
  <c r="E55" i="127" s="1"/>
  <c r="I334" i="127"/>
  <c r="I55" i="127" s="1"/>
  <c r="M334" i="127"/>
  <c r="M55" i="127" s="1"/>
  <c r="B41" i="128"/>
  <c r="F41" i="128"/>
  <c r="J41" i="128"/>
  <c r="E117" i="128"/>
  <c r="E27" i="128" s="1"/>
  <c r="I117" i="128"/>
  <c r="I27" i="128" s="1"/>
  <c r="E174" i="128"/>
  <c r="E34" i="128" s="1"/>
  <c r="I174" i="128"/>
  <c r="I34" i="128" s="1"/>
  <c r="C174" i="128"/>
  <c r="C34" i="128" s="1"/>
  <c r="G174" i="128"/>
  <c r="G34" i="128" s="1"/>
  <c r="K174" i="128"/>
  <c r="K34" i="128" s="1"/>
  <c r="C22" i="132"/>
  <c r="H89" i="133"/>
  <c r="H19" i="133" s="1"/>
  <c r="H116" i="133"/>
  <c r="H27" i="133" s="1"/>
  <c r="H24" i="133"/>
  <c r="B161" i="133"/>
  <c r="B33" i="133" s="1"/>
  <c r="B31" i="133"/>
  <c r="J161" i="133"/>
  <c r="J33" i="133" s="1"/>
  <c r="J31" i="133"/>
  <c r="J321" i="133"/>
  <c r="J54" i="133" s="1"/>
  <c r="J40" i="133"/>
  <c r="G116" i="134"/>
  <c r="G27" i="134" s="1"/>
  <c r="G22" i="134"/>
  <c r="G164" i="134"/>
  <c r="G33" i="134" s="1"/>
  <c r="G30" i="134"/>
  <c r="I31" i="134"/>
  <c r="I164" i="134"/>
  <c r="I33" i="134" s="1"/>
  <c r="M31" i="134"/>
  <c r="M164" i="134"/>
  <c r="M33" i="134" s="1"/>
  <c r="F67" i="130"/>
  <c r="F11" i="130" s="1"/>
  <c r="F10" i="130"/>
  <c r="B90" i="130"/>
  <c r="B15" i="130" s="1"/>
  <c r="B14" i="130"/>
  <c r="F161" i="133"/>
  <c r="F33" i="133" s="1"/>
  <c r="D161" i="133"/>
  <c r="D33" i="133" s="1"/>
  <c r="D31" i="133"/>
  <c r="H321" i="133"/>
  <c r="H54" i="133" s="1"/>
  <c r="L321" i="133"/>
  <c r="L54" i="133" s="1"/>
  <c r="C116" i="134"/>
  <c r="C27" i="134" s="1"/>
  <c r="C22" i="134"/>
  <c r="I116" i="134"/>
  <c r="I27" i="134" s="1"/>
  <c r="I22" i="134"/>
  <c r="H116" i="134"/>
  <c r="H27" i="134" s="1"/>
  <c r="H24" i="134"/>
  <c r="M116" i="134"/>
  <c r="M27" i="134" s="1"/>
  <c r="M24" i="134"/>
  <c r="D116" i="134"/>
  <c r="D27" i="134" s="1"/>
  <c r="D26" i="134"/>
  <c r="B322" i="134"/>
  <c r="B54" i="134" s="1"/>
  <c r="J322" i="134"/>
  <c r="J54" i="134" s="1"/>
  <c r="J40" i="134"/>
  <c r="B91" i="135"/>
  <c r="B15" i="135" s="1"/>
  <c r="B14" i="135"/>
  <c r="E112" i="135"/>
  <c r="E19" i="135" s="1"/>
  <c r="E18" i="135"/>
  <c r="I112" i="135"/>
  <c r="I19" i="135" s="1"/>
  <c r="I18" i="135"/>
  <c r="M112" i="135"/>
  <c r="M19" i="135" s="1"/>
  <c r="M18" i="135"/>
  <c r="D220" i="135"/>
  <c r="D37" i="135" s="1"/>
  <c r="D26" i="135"/>
  <c r="H220" i="135"/>
  <c r="H37" i="135" s="1"/>
  <c r="H26" i="135"/>
  <c r="L220" i="135"/>
  <c r="L37" i="135" s="1"/>
  <c r="L26" i="135"/>
  <c r="C168" i="137"/>
  <c r="C33" i="137" s="1"/>
  <c r="C30" i="137"/>
  <c r="G168" i="137"/>
  <c r="G33" i="137" s="1"/>
  <c r="G30" i="137"/>
  <c r="C360" i="133"/>
  <c r="G360" i="133"/>
  <c r="K360" i="133"/>
  <c r="D360" i="133"/>
  <c r="J360" i="133"/>
  <c r="C322" i="134"/>
  <c r="C54" i="134" s="1"/>
  <c r="C40" i="134"/>
  <c r="D14" i="136"/>
  <c r="D90" i="136"/>
  <c r="D19" i="136" s="1"/>
  <c r="L90" i="136"/>
  <c r="L19" i="136" s="1"/>
  <c r="E22" i="136"/>
  <c r="E117" i="136"/>
  <c r="E27" i="136" s="1"/>
  <c r="K117" i="136"/>
  <c r="K27" i="136" s="1"/>
  <c r="K22" i="136"/>
  <c r="F116" i="137"/>
  <c r="F27" i="137" s="1"/>
  <c r="I164" i="136"/>
  <c r="I34" i="136" s="1"/>
  <c r="J320" i="136"/>
  <c r="J55" i="136" s="1"/>
  <c r="F89" i="137"/>
  <c r="B326" i="137"/>
  <c r="B54" i="137" s="1"/>
  <c r="B40" i="137"/>
  <c r="J326" i="137"/>
  <c r="J54" i="137" s="1"/>
  <c r="E117" i="138"/>
  <c r="E27" i="138" s="1"/>
  <c r="E22" i="138"/>
  <c r="I117" i="138"/>
  <c r="I27" i="138" s="1"/>
  <c r="I22" i="138"/>
  <c r="B170" i="138"/>
  <c r="B34" i="138" s="1"/>
  <c r="B31" i="138"/>
  <c r="F170" i="138"/>
  <c r="F34" i="138" s="1"/>
  <c r="F31" i="138"/>
  <c r="J170" i="138"/>
  <c r="J34" i="138" s="1"/>
  <c r="J31" i="138"/>
  <c r="C170" i="138"/>
  <c r="C34" i="138" s="1"/>
  <c r="C32" i="138"/>
  <c r="G170" i="138"/>
  <c r="G34" i="138" s="1"/>
  <c r="G32" i="138"/>
  <c r="K170" i="138"/>
  <c r="K34" i="138" s="1"/>
  <c r="K32" i="138"/>
  <c r="D323" i="138"/>
  <c r="D55" i="138" s="1"/>
  <c r="D41" i="138"/>
  <c r="H323" i="138"/>
  <c r="H55" i="138" s="1"/>
  <c r="H41" i="138"/>
  <c r="L323" i="138"/>
  <c r="L55" i="138" s="1"/>
  <c r="L41" i="138"/>
  <c r="M332" i="138"/>
  <c r="M61" i="138" s="1"/>
  <c r="M59" i="138"/>
  <c r="D117" i="128"/>
  <c r="D27" i="128" s="1"/>
  <c r="H117" i="128"/>
  <c r="H27" i="128" s="1"/>
  <c r="L117" i="128"/>
  <c r="L27" i="128" s="1"/>
  <c r="D174" i="128"/>
  <c r="D34" i="128" s="1"/>
  <c r="H174" i="128"/>
  <c r="H34" i="128" s="1"/>
  <c r="L174" i="128"/>
  <c r="L34" i="128" s="1"/>
  <c r="C327" i="128"/>
  <c r="C55" i="128" s="1"/>
  <c r="G327" i="128"/>
  <c r="G55" i="128" s="1"/>
  <c r="K327" i="128"/>
  <c r="K55" i="128" s="1"/>
  <c r="C213" i="130"/>
  <c r="C36" i="130" s="1"/>
  <c r="G213" i="130"/>
  <c r="G36" i="130" s="1"/>
  <c r="K213" i="130"/>
  <c r="K36" i="130" s="1"/>
  <c r="D165" i="132"/>
  <c r="M165" i="132"/>
  <c r="M30" i="132" s="1"/>
  <c r="E116" i="133"/>
  <c r="E27" i="133" s="1"/>
  <c r="K116" i="133"/>
  <c r="K27" i="133" s="1"/>
  <c r="B116" i="133"/>
  <c r="B27" i="133" s="1"/>
  <c r="C321" i="133"/>
  <c r="C54" i="133" s="1"/>
  <c r="K321" i="133"/>
  <c r="K54" i="133" s="1"/>
  <c r="E360" i="133"/>
  <c r="M360" i="133"/>
  <c r="H360" i="133"/>
  <c r="L360" i="133"/>
  <c r="I89" i="134"/>
  <c r="I19" i="134" s="1"/>
  <c r="K116" i="134"/>
  <c r="K27" i="134" s="1"/>
  <c r="F164" i="134"/>
  <c r="F33" i="134" s="1"/>
  <c r="F30" i="134"/>
  <c r="D164" i="134"/>
  <c r="D33" i="134" s="1"/>
  <c r="D31" i="134"/>
  <c r="L31" i="136"/>
  <c r="K116" i="137"/>
  <c r="K27" i="137" s="1"/>
  <c r="K22" i="137"/>
  <c r="B168" i="137"/>
  <c r="B33" i="137" s="1"/>
  <c r="B30" i="137"/>
  <c r="F168" i="137"/>
  <c r="F33" i="137" s="1"/>
  <c r="F30" i="137"/>
  <c r="J168" i="137"/>
  <c r="J33" i="137" s="1"/>
  <c r="J30" i="137"/>
  <c r="C90" i="139"/>
  <c r="C19" i="139" s="1"/>
  <c r="G90" i="139"/>
  <c r="G19" i="139" s="1"/>
  <c r="K90" i="139"/>
  <c r="K19" i="139" s="1"/>
  <c r="C15" i="139"/>
  <c r="G15" i="139"/>
  <c r="K15" i="139"/>
  <c r="D117" i="139"/>
  <c r="D27" i="139" s="1"/>
  <c r="L116" i="134"/>
  <c r="L27" i="134" s="1"/>
  <c r="B116" i="134"/>
  <c r="B27" i="134" s="1"/>
  <c r="L89" i="137"/>
  <c r="L19" i="137" s="1"/>
  <c r="M116" i="137"/>
  <c r="M27" i="137" s="1"/>
  <c r="G116" i="137"/>
  <c r="G27" i="137" s="1"/>
  <c r="E326" i="137"/>
  <c r="E54" i="137" s="1"/>
  <c r="I326" i="137"/>
  <c r="I54" i="137" s="1"/>
  <c r="M326" i="137"/>
  <c r="M54" i="137" s="1"/>
  <c r="D117" i="138"/>
  <c r="D27" i="138" s="1"/>
  <c r="H117" i="138"/>
  <c r="H27" i="138" s="1"/>
  <c r="E170" i="138"/>
  <c r="E34" i="138" s="1"/>
  <c r="K117" i="139"/>
  <c r="K27" i="139" s="1"/>
  <c r="E117" i="139"/>
  <c r="E27" i="139" s="1"/>
  <c r="I117" i="139"/>
  <c r="I27" i="139" s="1"/>
  <c r="L117" i="139"/>
  <c r="L27" i="139" s="1"/>
  <c r="C172" i="139"/>
  <c r="C34" i="139" s="1"/>
  <c r="G172" i="139"/>
  <c r="G34" i="139" s="1"/>
  <c r="K172" i="139"/>
  <c r="K34" i="139" s="1"/>
  <c r="B369" i="139"/>
  <c r="F369" i="139"/>
  <c r="J369" i="139"/>
  <c r="E90" i="138"/>
  <c r="E19" i="138" s="1"/>
  <c r="I90" i="138"/>
  <c r="I19" i="138" s="1"/>
  <c r="B90" i="138"/>
  <c r="B19" i="138" s="1"/>
  <c r="F90" i="138"/>
  <c r="F19" i="138" s="1"/>
  <c r="J90" i="138"/>
  <c r="J19" i="138" s="1"/>
  <c r="E323" i="138"/>
  <c r="E55" i="138" s="1"/>
  <c r="I323" i="138"/>
  <c r="I55" i="138" s="1"/>
  <c r="B365" i="138"/>
  <c r="F365" i="138"/>
  <c r="J365" i="138"/>
  <c r="D90" i="139"/>
  <c r="D19" i="139" s="1"/>
  <c r="H90" i="139"/>
  <c r="H19" i="139" s="1"/>
  <c r="L90" i="139"/>
  <c r="L19" i="139" s="1"/>
  <c r="F117" i="139"/>
  <c r="F27" i="139" s="1"/>
  <c r="J117" i="139"/>
  <c r="J27" i="139" s="1"/>
  <c r="D172" i="139"/>
  <c r="D34" i="139" s="1"/>
  <c r="H172" i="139"/>
  <c r="H34" i="139" s="1"/>
  <c r="L172" i="139"/>
  <c r="L34" i="139" s="1"/>
  <c r="E327" i="139"/>
  <c r="E55" i="139" s="1"/>
  <c r="I327" i="139"/>
  <c r="I55" i="139" s="1"/>
  <c r="C327" i="139"/>
  <c r="C55" i="139" s="1"/>
  <c r="G327" i="139"/>
  <c r="G55" i="139" s="1"/>
  <c r="K327" i="139"/>
  <c r="K55" i="139" s="1"/>
  <c r="C369" i="139"/>
  <c r="G369" i="139"/>
  <c r="K369" i="139"/>
  <c r="D14" i="140"/>
  <c r="H14" i="140"/>
  <c r="L14" i="140"/>
  <c r="D22" i="140"/>
  <c r="C117" i="138"/>
  <c r="C27" i="138" s="1"/>
  <c r="G117" i="138"/>
  <c r="G27" i="138" s="1"/>
  <c r="L117" i="138"/>
  <c r="L27" i="138" s="1"/>
  <c r="B117" i="138"/>
  <c r="B27" i="138" s="1"/>
  <c r="F117" i="138"/>
  <c r="F27" i="138" s="1"/>
  <c r="K117" i="138"/>
  <c r="K27" i="138" s="1"/>
  <c r="B323" i="138"/>
  <c r="B55" i="138" s="1"/>
  <c r="F323" i="138"/>
  <c r="F55" i="138" s="1"/>
  <c r="J323" i="138"/>
  <c r="J55" i="138" s="1"/>
  <c r="C323" i="138"/>
  <c r="C55" i="138" s="1"/>
  <c r="G323" i="138"/>
  <c r="G55" i="138" s="1"/>
  <c r="K323" i="138"/>
  <c r="K55" i="138" s="1"/>
  <c r="C365" i="138"/>
  <c r="G365" i="138"/>
  <c r="K365" i="138"/>
  <c r="B117" i="139"/>
  <c r="B27" i="139" s="1"/>
  <c r="B327" i="139"/>
  <c r="B55" i="139" s="1"/>
  <c r="F327" i="139"/>
  <c r="F55" i="139" s="1"/>
  <c r="J327" i="139"/>
  <c r="J55" i="139" s="1"/>
  <c r="D327" i="139"/>
  <c r="D55" i="139" s="1"/>
  <c r="H327" i="139"/>
  <c r="H55" i="139" s="1"/>
  <c r="L327" i="139"/>
  <c r="L55" i="139" s="1"/>
  <c r="G30" i="140"/>
  <c r="B116" i="140"/>
  <c r="B27" i="140" s="1"/>
  <c r="F116" i="140"/>
  <c r="F27" i="140" s="1"/>
  <c r="J116" i="140"/>
  <c r="J27" i="140" s="1"/>
  <c r="E116" i="140"/>
  <c r="E27" i="140" s="1"/>
  <c r="I116" i="140"/>
  <c r="I27" i="140" s="1"/>
  <c r="M116" i="140"/>
  <c r="M27" i="140" s="1"/>
  <c r="E173" i="140"/>
  <c r="E33" i="140" s="1"/>
  <c r="I173" i="140"/>
  <c r="I33" i="140" s="1"/>
  <c r="M173" i="140"/>
  <c r="M33" i="140" s="1"/>
  <c r="H173" i="140"/>
  <c r="H33" i="140" s="1"/>
  <c r="L173" i="140"/>
  <c r="L33" i="140" s="1"/>
  <c r="D19" i="140"/>
  <c r="D184" i="140"/>
  <c r="H19" i="140"/>
  <c r="L19" i="140"/>
  <c r="E19" i="140"/>
  <c r="I19" i="140"/>
  <c r="M19" i="140"/>
  <c r="B89" i="140"/>
  <c r="B19" i="140" s="1"/>
  <c r="J89" i="140"/>
  <c r="J19" i="140" s="1"/>
  <c r="C89" i="140"/>
  <c r="C19" i="140" s="1"/>
  <c r="G89" i="140"/>
  <c r="G19" i="140" s="1"/>
  <c r="K89" i="140"/>
  <c r="K19" i="140" s="1"/>
  <c r="F89" i="140"/>
  <c r="F19" i="140" s="1"/>
  <c r="J183" i="139"/>
  <c r="C90" i="138"/>
  <c r="C19" i="138" s="1"/>
  <c r="G90" i="138"/>
  <c r="G19" i="138" s="1"/>
  <c r="K90" i="138"/>
  <c r="K19" i="138" s="1"/>
  <c r="D90" i="138"/>
  <c r="D19" i="138" s="1"/>
  <c r="H90" i="138"/>
  <c r="H19" i="138" s="1"/>
  <c r="L90" i="138"/>
  <c r="L19" i="138" s="1"/>
  <c r="B19" i="137"/>
  <c r="F19" i="137"/>
  <c r="D116" i="137"/>
  <c r="D27" i="137" s="1"/>
  <c r="D22" i="137"/>
  <c r="H116" i="137"/>
  <c r="H27" i="137" s="1"/>
  <c r="H22" i="137"/>
  <c r="L116" i="137"/>
  <c r="L27" i="137" s="1"/>
  <c r="L22" i="137"/>
  <c r="F40" i="137"/>
  <c r="F326" i="137"/>
  <c r="F54" i="137" s="1"/>
  <c r="E89" i="137"/>
  <c r="E19" i="137" s="1"/>
  <c r="E14" i="137"/>
  <c r="I89" i="137"/>
  <c r="I14" i="137"/>
  <c r="M14" i="137"/>
  <c r="M89" i="137"/>
  <c r="M19" i="137" s="1"/>
  <c r="B116" i="137"/>
  <c r="B27" i="137" s="1"/>
  <c r="J116" i="137"/>
  <c r="J27" i="137" s="1"/>
  <c r="D14" i="137"/>
  <c r="H14" i="137"/>
  <c r="I40" i="137"/>
  <c r="K168" i="137"/>
  <c r="K33" i="137" s="1"/>
  <c r="C40" i="137"/>
  <c r="C326" i="137"/>
  <c r="C54" i="137" s="1"/>
  <c r="G40" i="137"/>
  <c r="G326" i="137"/>
  <c r="G54" i="137" s="1"/>
  <c r="K40" i="137"/>
  <c r="K326" i="137"/>
  <c r="K54" i="137" s="1"/>
  <c r="D326" i="137"/>
  <c r="D54" i="137" s="1"/>
  <c r="H326" i="137"/>
  <c r="H54" i="137" s="1"/>
  <c r="L326" i="137"/>
  <c r="L54" i="137" s="1"/>
  <c r="C41" i="136"/>
  <c r="C320" i="136"/>
  <c r="C55" i="136" s="1"/>
  <c r="K320" i="136"/>
  <c r="K55" i="136" s="1"/>
  <c r="K41" i="136"/>
  <c r="E43" i="136"/>
  <c r="E320" i="136"/>
  <c r="E55" i="136" s="1"/>
  <c r="I43" i="136"/>
  <c r="I320" i="136"/>
  <c r="I55" i="136" s="1"/>
  <c r="G320" i="136"/>
  <c r="G55" i="136" s="1"/>
  <c r="B19" i="136"/>
  <c r="D117" i="136"/>
  <c r="D27" i="136" s="1"/>
  <c r="D22" i="136"/>
  <c r="I117" i="136"/>
  <c r="I27" i="136" s="1"/>
  <c r="I22" i="136"/>
  <c r="L117" i="136"/>
  <c r="L27" i="136" s="1"/>
  <c r="L24" i="136"/>
  <c r="H117" i="136"/>
  <c r="H27" i="136" s="1"/>
  <c r="H25" i="136"/>
  <c r="E90" i="136"/>
  <c r="E19" i="136" s="1"/>
  <c r="E14" i="136"/>
  <c r="I90" i="136"/>
  <c r="I19" i="136" s="1"/>
  <c r="I14" i="136"/>
  <c r="M14" i="136"/>
  <c r="M90" i="136"/>
  <c r="M19" i="136" s="1"/>
  <c r="F320" i="136"/>
  <c r="F55" i="136" s="1"/>
  <c r="M320" i="136"/>
  <c r="M55" i="136" s="1"/>
  <c r="H14" i="136"/>
  <c r="H31" i="136"/>
  <c r="F41" i="136"/>
  <c r="H90" i="136"/>
  <c r="H19" i="136" s="1"/>
  <c r="F117" i="136"/>
  <c r="F27" i="136" s="1"/>
  <c r="M117" i="136"/>
  <c r="M27" i="136" s="1"/>
  <c r="D320" i="136"/>
  <c r="D55" i="136" s="1"/>
  <c r="D41" i="136"/>
  <c r="H320" i="136"/>
  <c r="H55" i="136" s="1"/>
  <c r="H41" i="136"/>
  <c r="L320" i="136"/>
  <c r="L55" i="136" s="1"/>
  <c r="L41" i="136"/>
  <c r="B117" i="136"/>
  <c r="B27" i="136" s="1"/>
  <c r="C117" i="136"/>
  <c r="C27" i="136" s="1"/>
  <c r="G117" i="136"/>
  <c r="G27" i="136" s="1"/>
  <c r="E164" i="136"/>
  <c r="E34" i="136" s="1"/>
  <c r="E31" i="136"/>
  <c r="M164" i="136"/>
  <c r="M34" i="136" s="1"/>
  <c r="M31" i="136"/>
  <c r="C11" i="135"/>
  <c r="C118" i="135"/>
  <c r="G11" i="135"/>
  <c r="K118" i="135"/>
  <c r="K11" i="135"/>
  <c r="J68" i="135"/>
  <c r="J11" i="135" s="1"/>
  <c r="L118" i="135"/>
  <c r="F68" i="135"/>
  <c r="F11" i="135" s="1"/>
  <c r="I118" i="135"/>
  <c r="B68" i="135"/>
  <c r="B11" i="135" s="1"/>
  <c r="M172" i="134"/>
  <c r="M19" i="134"/>
  <c r="I322" i="134"/>
  <c r="I54" i="134" s="1"/>
  <c r="I40" i="134"/>
  <c r="F322" i="134"/>
  <c r="F54" i="134" s="1"/>
  <c r="E322" i="134"/>
  <c r="E54" i="134" s="1"/>
  <c r="E40" i="134"/>
  <c r="L322" i="134"/>
  <c r="L54" i="134" s="1"/>
  <c r="E14" i="134"/>
  <c r="I14" i="134"/>
  <c r="M14" i="134"/>
  <c r="D322" i="134"/>
  <c r="D54" i="134" s="1"/>
  <c r="M322" i="134"/>
  <c r="M54" i="134" s="1"/>
  <c r="M40" i="134"/>
  <c r="E164" i="134"/>
  <c r="E33" i="134" s="1"/>
  <c r="H322" i="134"/>
  <c r="H54" i="134" s="1"/>
  <c r="B89" i="134"/>
  <c r="B19" i="134" s="1"/>
  <c r="F89" i="134"/>
  <c r="F19" i="134" s="1"/>
  <c r="J89" i="134"/>
  <c r="J19" i="134" s="1"/>
  <c r="C89" i="134"/>
  <c r="C19" i="134" s="1"/>
  <c r="G89" i="134"/>
  <c r="G19" i="134" s="1"/>
  <c r="K89" i="134"/>
  <c r="K19" i="134" s="1"/>
  <c r="D89" i="134"/>
  <c r="D19" i="134" s="1"/>
  <c r="H89" i="134"/>
  <c r="H19" i="134" s="1"/>
  <c r="L89" i="134"/>
  <c r="L19" i="134" s="1"/>
  <c r="B89" i="133"/>
  <c r="B19" i="133" s="1"/>
  <c r="F89" i="133"/>
  <c r="F19" i="133" s="1"/>
  <c r="J89" i="133"/>
  <c r="J19" i="133" s="1"/>
  <c r="G89" i="133"/>
  <c r="G19" i="133" s="1"/>
  <c r="L89" i="133"/>
  <c r="L19" i="133" s="1"/>
  <c r="I161" i="133"/>
  <c r="I33" i="133" s="1"/>
  <c r="E321" i="133"/>
  <c r="E54" i="133" s="1"/>
  <c r="E40" i="133"/>
  <c r="I321" i="133"/>
  <c r="I54" i="133" s="1"/>
  <c r="I40" i="133"/>
  <c r="M321" i="133"/>
  <c r="M54" i="133" s="1"/>
  <c r="M40" i="133"/>
  <c r="G321" i="133"/>
  <c r="G54" i="133" s="1"/>
  <c r="D22" i="133"/>
  <c r="M22" i="133"/>
  <c r="I24" i="133"/>
  <c r="C89" i="133"/>
  <c r="C19" i="133" s="1"/>
  <c r="M89" i="133"/>
  <c r="M19" i="133" s="1"/>
  <c r="K161" i="133"/>
  <c r="K33" i="133" s="1"/>
  <c r="B14" i="133"/>
  <c r="F14" i="133"/>
  <c r="J14" i="133"/>
  <c r="C15" i="133"/>
  <c r="I16" i="133"/>
  <c r="G30" i="133"/>
  <c r="E31" i="133"/>
  <c r="D89" i="133"/>
  <c r="D19" i="133" s="1"/>
  <c r="I89" i="133"/>
  <c r="I19" i="133" s="1"/>
  <c r="M161" i="133"/>
  <c r="M33" i="133" s="1"/>
  <c r="K89" i="133"/>
  <c r="K19" i="133" s="1"/>
  <c r="C116" i="133"/>
  <c r="C27" i="133" s="1"/>
  <c r="D321" i="133"/>
  <c r="D54" i="133" s="1"/>
  <c r="I360" i="133"/>
  <c r="D167" i="132"/>
  <c r="D30" i="132"/>
  <c r="I167" i="132"/>
  <c r="I30" i="132"/>
  <c r="C167" i="132"/>
  <c r="C30" i="132"/>
  <c r="K167" i="132"/>
  <c r="K30" i="132"/>
  <c r="B172" i="132"/>
  <c r="B36" i="132" s="1"/>
  <c r="B32" i="132"/>
  <c r="E167" i="132"/>
  <c r="E30" i="132"/>
  <c r="L30" i="132"/>
  <c r="B30" i="132"/>
  <c r="B67" i="131"/>
  <c r="B11" i="131" s="1"/>
  <c r="F67" i="131"/>
  <c r="F11" i="131" s="1"/>
  <c r="J67" i="131"/>
  <c r="J11" i="131" s="1"/>
  <c r="C67" i="131"/>
  <c r="C11" i="131" s="1"/>
  <c r="G67" i="131"/>
  <c r="G11" i="131" s="1"/>
  <c r="K67" i="131"/>
  <c r="K11" i="131" s="1"/>
  <c r="D67" i="131"/>
  <c r="D11" i="131" s="1"/>
  <c r="H67" i="131"/>
  <c r="H11" i="131" s="1"/>
  <c r="L67" i="131"/>
  <c r="L11" i="131" s="1"/>
  <c r="E67" i="131"/>
  <c r="E11" i="131" s="1"/>
  <c r="I67" i="131"/>
  <c r="I11" i="131" s="1"/>
  <c r="M67" i="131"/>
  <c r="M11" i="131" s="1"/>
  <c r="M118" i="130"/>
  <c r="M11" i="130"/>
  <c r="B118" i="130"/>
  <c r="B11" i="130"/>
  <c r="F118" i="130"/>
  <c r="J118" i="130"/>
  <c r="J11" i="130"/>
  <c r="I118" i="130"/>
  <c r="I11" i="130"/>
  <c r="E11" i="130"/>
  <c r="D67" i="130"/>
  <c r="D11" i="130" s="1"/>
  <c r="H67" i="130"/>
  <c r="H11" i="130" s="1"/>
  <c r="L67" i="130"/>
  <c r="L11" i="130" s="1"/>
  <c r="B213" i="130"/>
  <c r="B36" i="130" s="1"/>
  <c r="J213" i="130"/>
  <c r="J36" i="130" s="1"/>
  <c r="E90" i="130"/>
  <c r="E15" i="130" s="1"/>
  <c r="C118" i="130"/>
  <c r="G118" i="130"/>
  <c r="K118" i="130"/>
  <c r="F213" i="130"/>
  <c r="F36" i="130" s="1"/>
  <c r="C10" i="130"/>
  <c r="G10" i="130"/>
  <c r="K10" i="130"/>
  <c r="E24" i="130"/>
  <c r="I24" i="130"/>
  <c r="M24" i="130"/>
  <c r="D118" i="130"/>
  <c r="H118" i="130"/>
  <c r="L118" i="130"/>
  <c r="D11" i="129"/>
  <c r="D122" i="129"/>
  <c r="H11" i="129"/>
  <c r="H122" i="129"/>
  <c r="L11" i="129"/>
  <c r="L122" i="129"/>
  <c r="B67" i="129"/>
  <c r="B11" i="129" s="1"/>
  <c r="F67" i="129"/>
  <c r="F11" i="129" s="1"/>
  <c r="J67" i="129"/>
  <c r="J11" i="129" s="1"/>
  <c r="C67" i="129"/>
  <c r="C11" i="129" s="1"/>
  <c r="G67" i="129"/>
  <c r="G11" i="129" s="1"/>
  <c r="K67" i="129"/>
  <c r="K11" i="129" s="1"/>
  <c r="I122" i="129"/>
  <c r="D90" i="128"/>
  <c r="D19" i="128" s="1"/>
  <c r="H90" i="128"/>
  <c r="H19" i="128" s="1"/>
  <c r="L90" i="128"/>
  <c r="L19" i="128" s="1"/>
  <c r="H19" i="127"/>
  <c r="G117" i="127"/>
  <c r="G27" i="127" s="1"/>
  <c r="D41" i="127"/>
  <c r="D334" i="127"/>
  <c r="D55" i="127" s="1"/>
  <c r="H41" i="127"/>
  <c r="H334" i="127"/>
  <c r="H55" i="127" s="1"/>
  <c r="L41" i="127"/>
  <c r="L334" i="127"/>
  <c r="L55" i="127" s="1"/>
  <c r="C43" i="127"/>
  <c r="C334" i="127"/>
  <c r="C55" i="127" s="1"/>
  <c r="G43" i="127"/>
  <c r="G334" i="127"/>
  <c r="G55" i="127" s="1"/>
  <c r="K43" i="127"/>
  <c r="K334" i="127"/>
  <c r="K55" i="127" s="1"/>
  <c r="M33" i="127"/>
  <c r="C188" i="127"/>
  <c r="D90" i="127"/>
  <c r="D19" i="127" s="1"/>
  <c r="L90" i="127"/>
  <c r="L19" i="127" s="1"/>
  <c r="E117" i="127"/>
  <c r="E27" i="127" s="1"/>
  <c r="I117" i="127"/>
  <c r="I27" i="127" s="1"/>
  <c r="M117" i="127"/>
  <c r="M27" i="127" s="1"/>
  <c r="H117" i="127"/>
  <c r="H27" i="127" s="1"/>
  <c r="H176" i="127"/>
  <c r="H34" i="127" s="1"/>
  <c r="B117" i="127"/>
  <c r="B27" i="127" s="1"/>
  <c r="F117" i="127"/>
  <c r="F27" i="127" s="1"/>
  <c r="J117" i="127"/>
  <c r="J27" i="127" s="1"/>
  <c r="K117" i="127"/>
  <c r="K27" i="127" s="1"/>
  <c r="D14" i="127"/>
  <c r="H14" i="127"/>
  <c r="D22" i="127"/>
  <c r="L22" i="127"/>
  <c r="C31" i="127"/>
  <c r="G31" i="127"/>
  <c r="K31" i="127"/>
  <c r="E188" i="127"/>
  <c r="E343" i="126"/>
  <c r="E55" i="126" s="1"/>
  <c r="E41" i="126"/>
  <c r="I343" i="126"/>
  <c r="I55" i="126" s="1"/>
  <c r="I41" i="126"/>
  <c r="M343" i="126"/>
  <c r="M55" i="126" s="1"/>
  <c r="M41" i="126"/>
  <c r="B343" i="126"/>
  <c r="B55" i="126" s="1"/>
  <c r="E90" i="126"/>
  <c r="E19" i="126" s="1"/>
  <c r="F343" i="126"/>
  <c r="F55" i="126" s="1"/>
  <c r="B90" i="126"/>
  <c r="B19" i="126" s="1"/>
  <c r="F90" i="126"/>
  <c r="F19" i="126" s="1"/>
  <c r="J90" i="126"/>
  <c r="J19" i="126" s="1"/>
  <c r="C90" i="126"/>
  <c r="C19" i="126" s="1"/>
  <c r="G90" i="126"/>
  <c r="G19" i="126" s="1"/>
  <c r="K90" i="126"/>
  <c r="K19" i="126" s="1"/>
  <c r="D90" i="126"/>
  <c r="D19" i="126" s="1"/>
  <c r="H90" i="126"/>
  <c r="H19" i="126" s="1"/>
  <c r="L90" i="126"/>
  <c r="L19" i="126" s="1"/>
  <c r="K27" i="125"/>
  <c r="B184" i="125"/>
  <c r="B89" i="125"/>
  <c r="B19" i="125" s="1"/>
  <c r="J89" i="125"/>
  <c r="J19" i="125" s="1"/>
  <c r="G172" i="125"/>
  <c r="G33" i="125" s="1"/>
  <c r="G330" i="125"/>
  <c r="G54" i="125" s="1"/>
  <c r="B14" i="125"/>
  <c r="F14" i="125"/>
  <c r="J14" i="125"/>
  <c r="H40" i="125"/>
  <c r="F89" i="125"/>
  <c r="F19" i="125" s="1"/>
  <c r="C172" i="125"/>
  <c r="C33" i="125" s="1"/>
  <c r="K172" i="125"/>
  <c r="K33" i="125" s="1"/>
  <c r="I89" i="125"/>
  <c r="I19" i="125" s="1"/>
  <c r="C116" i="125"/>
  <c r="G116" i="125"/>
  <c r="G27" i="125" s="1"/>
  <c r="F172" i="125"/>
  <c r="F33" i="125" s="1"/>
  <c r="I89" i="124"/>
  <c r="I19" i="124" s="1"/>
  <c r="E177" i="124"/>
  <c r="E33" i="124" s="1"/>
  <c r="E30" i="124"/>
  <c r="I177" i="124"/>
  <c r="I33" i="124" s="1"/>
  <c r="I30" i="124"/>
  <c r="M177" i="124"/>
  <c r="M33" i="124" s="1"/>
  <c r="M30" i="124"/>
  <c r="C336" i="124"/>
  <c r="C54" i="124" s="1"/>
  <c r="C40" i="124"/>
  <c r="G336" i="124"/>
  <c r="G54" i="124" s="1"/>
  <c r="G40" i="124"/>
  <c r="K336" i="124"/>
  <c r="K54" i="124" s="1"/>
  <c r="K40" i="124"/>
  <c r="E336" i="124"/>
  <c r="E54" i="124" s="1"/>
  <c r="E42" i="124"/>
  <c r="I336" i="124"/>
  <c r="I54" i="124" s="1"/>
  <c r="I42" i="124"/>
  <c r="M336" i="124"/>
  <c r="M54" i="124" s="1"/>
  <c r="M42" i="124"/>
  <c r="C19" i="124"/>
  <c r="H30" i="124"/>
  <c r="F336" i="124"/>
  <c r="F54" i="124" s="1"/>
  <c r="E89" i="124"/>
  <c r="E19" i="124" s="1"/>
  <c r="M89" i="124"/>
  <c r="M19" i="124" s="1"/>
  <c r="I116" i="124"/>
  <c r="I27" i="124" s="1"/>
  <c r="E14" i="124"/>
  <c r="I14" i="124"/>
  <c r="M14" i="124"/>
  <c r="F24" i="124"/>
  <c r="L26" i="124"/>
  <c r="L189" i="124"/>
  <c r="H89" i="124"/>
  <c r="H19" i="124" s="1"/>
  <c r="B116" i="124"/>
  <c r="B27" i="124" s="1"/>
  <c r="F116" i="124"/>
  <c r="F27" i="124" s="1"/>
  <c r="J116" i="124"/>
  <c r="J27" i="124" s="1"/>
  <c r="D347" i="123"/>
  <c r="D55" i="123" s="1"/>
  <c r="D41" i="123"/>
  <c r="D22" i="123"/>
  <c r="H22" i="123"/>
  <c r="M22" i="123"/>
  <c r="L90" i="123"/>
  <c r="L19" i="123" s="1"/>
  <c r="E117" i="123"/>
  <c r="E27" i="123" s="1"/>
  <c r="I117" i="123"/>
  <c r="I27" i="123" s="1"/>
  <c r="H347" i="123"/>
  <c r="H55" i="123" s="1"/>
  <c r="H41" i="123"/>
  <c r="F117" i="123"/>
  <c r="F27" i="123" s="1"/>
  <c r="L184" i="123"/>
  <c r="L34" i="123" s="1"/>
  <c r="M30" i="123"/>
  <c r="M184" i="123"/>
  <c r="M34" i="123" s="1"/>
  <c r="L347" i="123"/>
  <c r="L55" i="123" s="1"/>
  <c r="L41" i="123"/>
  <c r="B117" i="123"/>
  <c r="B27" i="123" s="1"/>
  <c r="K117" i="123"/>
  <c r="K27" i="123" s="1"/>
  <c r="D14" i="123"/>
  <c r="D90" i="123"/>
  <c r="D19" i="123" s="1"/>
  <c r="L117" i="123"/>
  <c r="L27" i="123" s="1"/>
  <c r="C347" i="123"/>
  <c r="C55" i="123" s="1"/>
  <c r="G347" i="123"/>
  <c r="G55" i="123" s="1"/>
  <c r="K347" i="123"/>
  <c r="K55" i="123" s="1"/>
  <c r="E90" i="123"/>
  <c r="E19" i="123" s="1"/>
  <c r="I90" i="123"/>
  <c r="I19" i="123" s="1"/>
  <c r="M90" i="123"/>
  <c r="M19" i="123" s="1"/>
  <c r="B90" i="123"/>
  <c r="B19" i="123" s="1"/>
  <c r="F90" i="123"/>
  <c r="F19" i="123" s="1"/>
  <c r="J90" i="123"/>
  <c r="J19" i="123" s="1"/>
  <c r="C90" i="123"/>
  <c r="C19" i="123" s="1"/>
  <c r="G90" i="123"/>
  <c r="G19" i="123" s="1"/>
  <c r="K90" i="123"/>
  <c r="K19" i="123" s="1"/>
  <c r="H41" i="122"/>
  <c r="H336" i="122"/>
  <c r="H55" i="122" s="1"/>
  <c r="L188" i="122"/>
  <c r="H188" i="122"/>
  <c r="L41" i="122"/>
  <c r="L336" i="122"/>
  <c r="L55" i="122" s="1"/>
  <c r="G90" i="122"/>
  <c r="G19" i="122" s="1"/>
  <c r="D41" i="122"/>
  <c r="D336" i="122"/>
  <c r="D55" i="122" s="1"/>
  <c r="C90" i="122"/>
  <c r="C19" i="122" s="1"/>
  <c r="D188" i="122"/>
  <c r="E188" i="122"/>
  <c r="I188" i="122"/>
  <c r="M188" i="122"/>
  <c r="B188" i="122"/>
  <c r="J188" i="122"/>
  <c r="C91" i="121"/>
  <c r="C19" i="121" s="1"/>
  <c r="G216" i="121"/>
  <c r="D91" i="121"/>
  <c r="D19" i="121" s="1"/>
  <c r="H91" i="121"/>
  <c r="H19" i="121" s="1"/>
  <c r="L91" i="121"/>
  <c r="L19" i="121" s="1"/>
  <c r="K91" i="121"/>
  <c r="K19" i="121" s="1"/>
  <c r="E91" i="121"/>
  <c r="E19" i="121" s="1"/>
  <c r="I91" i="121"/>
  <c r="I19" i="121" s="1"/>
  <c r="M91" i="121"/>
  <c r="M19" i="121" s="1"/>
  <c r="B91" i="121"/>
  <c r="B19" i="121" s="1"/>
  <c r="F91" i="121"/>
  <c r="F19" i="121" s="1"/>
  <c r="J91" i="121"/>
  <c r="J19" i="121" s="1"/>
  <c r="F16" i="132" l="1"/>
  <c r="F184" i="140"/>
  <c r="D189" i="124"/>
  <c r="G186" i="128"/>
  <c r="G329" i="128" s="1"/>
  <c r="K183" i="139"/>
  <c r="K38" i="139" s="1"/>
  <c r="J186" i="128"/>
  <c r="C186" i="128"/>
  <c r="E122" i="129"/>
  <c r="E220" i="129" s="1"/>
  <c r="E171" i="133"/>
  <c r="E323" i="133" s="1"/>
  <c r="H118" i="135"/>
  <c r="I182" i="138"/>
  <c r="G183" i="139"/>
  <c r="G189" i="124"/>
  <c r="G37" i="124" s="1"/>
  <c r="K188" i="122"/>
  <c r="K338" i="124"/>
  <c r="F186" i="128"/>
  <c r="F329" i="128" s="1"/>
  <c r="E186" i="128"/>
  <c r="E38" i="128" s="1"/>
  <c r="H30" i="132"/>
  <c r="G30" i="132"/>
  <c r="M16" i="132"/>
  <c r="D118" i="135"/>
  <c r="D222" i="135" s="1"/>
  <c r="B182" i="138"/>
  <c r="I184" i="140"/>
  <c r="L184" i="140"/>
  <c r="L37" i="140" s="1"/>
  <c r="M188" i="127"/>
  <c r="M38" i="127" s="1"/>
  <c r="J216" i="121"/>
  <c r="J196" i="123"/>
  <c r="K19" i="124"/>
  <c r="M184" i="125"/>
  <c r="M332" i="125" s="1"/>
  <c r="D184" i="125"/>
  <c r="L193" i="126"/>
  <c r="B186" i="128"/>
  <c r="B329" i="128" s="1"/>
  <c r="K186" i="128"/>
  <c r="K329" i="128" s="1"/>
  <c r="M122" i="129"/>
  <c r="H121" i="131"/>
  <c r="G118" i="135"/>
  <c r="G23" i="135" s="1"/>
  <c r="L176" i="136"/>
  <c r="L322" i="136" s="1"/>
  <c r="K329" i="139"/>
  <c r="I172" i="134"/>
  <c r="I37" i="134" s="1"/>
  <c r="C189" i="124"/>
  <c r="C37" i="124" s="1"/>
  <c r="H189" i="124"/>
  <c r="H338" i="124" s="1"/>
  <c r="J193" i="126"/>
  <c r="E193" i="126"/>
  <c r="D172" i="134"/>
  <c r="D324" i="134" s="1"/>
  <c r="E118" i="135"/>
  <c r="E222" i="135" s="1"/>
  <c r="K176" i="136"/>
  <c r="E182" i="138"/>
  <c r="I183" i="139"/>
  <c r="I329" i="139" s="1"/>
  <c r="B184" i="140"/>
  <c r="B330" i="140" s="1"/>
  <c r="I193" i="126"/>
  <c r="L183" i="139"/>
  <c r="D183" i="139"/>
  <c r="H196" i="123"/>
  <c r="H38" i="123" s="1"/>
  <c r="H19" i="123"/>
  <c r="L186" i="128"/>
  <c r="I184" i="125"/>
  <c r="I37" i="125" s="1"/>
  <c r="D193" i="126"/>
  <c r="D345" i="126" s="1"/>
  <c r="L188" i="127"/>
  <c r="L171" i="133"/>
  <c r="B171" i="133"/>
  <c r="B37" i="133" s="1"/>
  <c r="C180" i="137"/>
  <c r="C37" i="137" s="1"/>
  <c r="I216" i="121"/>
  <c r="F188" i="122"/>
  <c r="B196" i="123"/>
  <c r="B349" i="123" s="1"/>
  <c r="G196" i="123"/>
  <c r="G349" i="123" s="1"/>
  <c r="B189" i="124"/>
  <c r="E184" i="125"/>
  <c r="L184" i="125"/>
  <c r="L37" i="125" s="1"/>
  <c r="K184" i="125"/>
  <c r="K332" i="125" s="1"/>
  <c r="G193" i="126"/>
  <c r="B193" i="126"/>
  <c r="M193" i="126"/>
  <c r="M345" i="126" s="1"/>
  <c r="F188" i="127"/>
  <c r="F38" i="127" s="1"/>
  <c r="I186" i="128"/>
  <c r="J122" i="129"/>
  <c r="G122" i="129"/>
  <c r="G23" i="129" s="1"/>
  <c r="M121" i="131"/>
  <c r="H171" i="133"/>
  <c r="J171" i="133"/>
  <c r="J176" i="136"/>
  <c r="J322" i="136" s="1"/>
  <c r="G176" i="136"/>
  <c r="G322" i="136" s="1"/>
  <c r="G180" i="137"/>
  <c r="J182" i="138"/>
  <c r="E183" i="139"/>
  <c r="E329" i="139" s="1"/>
  <c r="F183" i="139"/>
  <c r="F38" i="139" s="1"/>
  <c r="M184" i="140"/>
  <c r="E184" i="140"/>
  <c r="E330" i="140" s="1"/>
  <c r="H184" i="140"/>
  <c r="H37" i="140" s="1"/>
  <c r="C183" i="139"/>
  <c r="J167" i="132"/>
  <c r="J30" i="132"/>
  <c r="K121" i="131"/>
  <c r="K222" i="131" s="1"/>
  <c r="B216" i="121"/>
  <c r="B381" i="121" s="1"/>
  <c r="H184" i="125"/>
  <c r="B188" i="127"/>
  <c r="B122" i="129"/>
  <c r="B220" i="129" s="1"/>
  <c r="E118" i="130"/>
  <c r="E215" i="130" s="1"/>
  <c r="D171" i="133"/>
  <c r="G171" i="133"/>
  <c r="B172" i="134"/>
  <c r="B324" i="134" s="1"/>
  <c r="M118" i="135"/>
  <c r="M222" i="135" s="1"/>
  <c r="D180" i="137"/>
  <c r="F180" i="137"/>
  <c r="F37" i="137" s="1"/>
  <c r="F182" i="138"/>
  <c r="F325" i="138" s="1"/>
  <c r="B183" i="139"/>
  <c r="B38" i="139" s="1"/>
  <c r="H183" i="139"/>
  <c r="D37" i="140"/>
  <c r="D330" i="140"/>
  <c r="M330" i="140"/>
  <c r="M37" i="140"/>
  <c r="L330" i="140"/>
  <c r="F330" i="140"/>
  <c r="F37" i="140"/>
  <c r="J184" i="140"/>
  <c r="G184" i="140"/>
  <c r="I330" i="140"/>
  <c r="I37" i="140"/>
  <c r="K184" i="140"/>
  <c r="C184" i="140"/>
  <c r="K57" i="139"/>
  <c r="K336" i="139"/>
  <c r="K61" i="139" s="1"/>
  <c r="F329" i="139"/>
  <c r="J329" i="139"/>
  <c r="J38" i="139"/>
  <c r="C182" i="138"/>
  <c r="H182" i="138"/>
  <c r="G182" i="138"/>
  <c r="E38" i="138"/>
  <c r="E325" i="138"/>
  <c r="I325" i="138"/>
  <c r="I38" i="138"/>
  <c r="J325" i="138"/>
  <c r="J38" i="138"/>
  <c r="L182" i="138"/>
  <c r="B325" i="138"/>
  <c r="B38" i="138"/>
  <c r="K182" i="138"/>
  <c r="D182" i="138"/>
  <c r="I19" i="137"/>
  <c r="I180" i="137"/>
  <c r="K180" i="137"/>
  <c r="J180" i="137"/>
  <c r="L180" i="137"/>
  <c r="C328" i="137"/>
  <c r="E180" i="137"/>
  <c r="G37" i="137"/>
  <c r="G328" i="137"/>
  <c r="D328" i="137"/>
  <c r="D37" i="137"/>
  <c r="H180" i="137"/>
  <c r="M180" i="137"/>
  <c r="B180" i="137"/>
  <c r="L38" i="136"/>
  <c r="B176" i="136"/>
  <c r="E176" i="136"/>
  <c r="C176" i="136"/>
  <c r="I176" i="136"/>
  <c r="F176" i="136"/>
  <c r="M176" i="136"/>
  <c r="H176" i="136"/>
  <c r="K38" i="136"/>
  <c r="K322" i="136"/>
  <c r="D176" i="136"/>
  <c r="I222" i="135"/>
  <c r="I23" i="135"/>
  <c r="E23" i="135"/>
  <c r="J118" i="135"/>
  <c r="H222" i="135"/>
  <c r="H23" i="135"/>
  <c r="F118" i="135"/>
  <c r="K23" i="135"/>
  <c r="K222" i="135"/>
  <c r="M23" i="135"/>
  <c r="L222" i="135"/>
  <c r="L23" i="135"/>
  <c r="C222" i="135"/>
  <c r="C23" i="135"/>
  <c r="B118" i="135"/>
  <c r="M324" i="134"/>
  <c r="M37" i="134"/>
  <c r="K172" i="134"/>
  <c r="L172" i="134"/>
  <c r="G172" i="134"/>
  <c r="F172" i="134"/>
  <c r="I324" i="134"/>
  <c r="H172" i="134"/>
  <c r="J172" i="134"/>
  <c r="C172" i="134"/>
  <c r="E172" i="134"/>
  <c r="G323" i="133"/>
  <c r="G37" i="133"/>
  <c r="K171" i="133"/>
  <c r="L323" i="133"/>
  <c r="L37" i="133"/>
  <c r="M171" i="133"/>
  <c r="F171" i="133"/>
  <c r="I171" i="133"/>
  <c r="D323" i="133"/>
  <c r="D37" i="133"/>
  <c r="J323" i="133"/>
  <c r="J37" i="133"/>
  <c r="H323" i="133"/>
  <c r="H37" i="133"/>
  <c r="C171" i="133"/>
  <c r="H172" i="132"/>
  <c r="H36" i="132" s="1"/>
  <c r="H32" i="132"/>
  <c r="G172" i="132"/>
  <c r="G36" i="132" s="1"/>
  <c r="G32" i="132"/>
  <c r="I172" i="132"/>
  <c r="I36" i="132" s="1"/>
  <c r="I32" i="132"/>
  <c r="M172" i="132"/>
  <c r="M36" i="132" s="1"/>
  <c r="M32" i="132"/>
  <c r="L172" i="132"/>
  <c r="L36" i="132" s="1"/>
  <c r="L32" i="132"/>
  <c r="E172" i="132"/>
  <c r="E36" i="132" s="1"/>
  <c r="E32" i="132"/>
  <c r="K172" i="132"/>
  <c r="K36" i="132" s="1"/>
  <c r="K32" i="132"/>
  <c r="C172" i="132"/>
  <c r="C36" i="132" s="1"/>
  <c r="C32" i="132"/>
  <c r="F32" i="132"/>
  <c r="F172" i="132"/>
  <c r="F36" i="132" s="1"/>
  <c r="D172" i="132"/>
  <c r="D36" i="132" s="1"/>
  <c r="D32" i="132"/>
  <c r="I121" i="131"/>
  <c r="D121" i="131"/>
  <c r="G121" i="131"/>
  <c r="M23" i="131"/>
  <c r="E121" i="131"/>
  <c r="J121" i="131"/>
  <c r="C121" i="131"/>
  <c r="H222" i="131"/>
  <c r="H23" i="131"/>
  <c r="L121" i="131"/>
  <c r="B121" i="131"/>
  <c r="F121" i="131"/>
  <c r="L215" i="130"/>
  <c r="L21" i="130"/>
  <c r="C21" i="130"/>
  <c r="C215" i="130"/>
  <c r="J21" i="130"/>
  <c r="J215" i="130"/>
  <c r="B21" i="130"/>
  <c r="B215" i="130"/>
  <c r="G215" i="130"/>
  <c r="G21" i="130"/>
  <c r="H215" i="130"/>
  <c r="H21" i="130"/>
  <c r="F21" i="130"/>
  <c r="F215" i="130"/>
  <c r="D215" i="130"/>
  <c r="D21" i="130"/>
  <c r="K21" i="130"/>
  <c r="K215" i="130"/>
  <c r="I215" i="130"/>
  <c r="I21" i="130"/>
  <c r="M215" i="130"/>
  <c r="M21" i="130"/>
  <c r="I220" i="129"/>
  <c r="I23" i="129"/>
  <c r="J220" i="129"/>
  <c r="J23" i="129"/>
  <c r="F122" i="129"/>
  <c r="H23" i="129"/>
  <c r="H220" i="129"/>
  <c r="K122" i="129"/>
  <c r="M220" i="129"/>
  <c r="M23" i="129"/>
  <c r="L220" i="129"/>
  <c r="L23" i="129"/>
  <c r="D23" i="129"/>
  <c r="D220" i="129"/>
  <c r="C122" i="129"/>
  <c r="B38" i="128"/>
  <c r="H186" i="128"/>
  <c r="E329" i="128"/>
  <c r="J329" i="128"/>
  <c r="J38" i="128"/>
  <c r="C329" i="128"/>
  <c r="C38" i="128"/>
  <c r="D186" i="128"/>
  <c r="K38" i="128"/>
  <c r="F38" i="128"/>
  <c r="I329" i="128"/>
  <c r="I38" i="128"/>
  <c r="L329" i="128"/>
  <c r="L38" i="128"/>
  <c r="F336" i="127"/>
  <c r="E336" i="127"/>
  <c r="E38" i="127"/>
  <c r="L38" i="127"/>
  <c r="L336" i="127"/>
  <c r="K188" i="127"/>
  <c r="B336" i="127"/>
  <c r="B38" i="127"/>
  <c r="G188" i="127"/>
  <c r="H188" i="127"/>
  <c r="C336" i="127"/>
  <c r="C38" i="127"/>
  <c r="J188" i="127"/>
  <c r="I188" i="127"/>
  <c r="D188" i="127"/>
  <c r="B38" i="126"/>
  <c r="B345" i="126"/>
  <c r="K193" i="126"/>
  <c r="L345" i="126"/>
  <c r="L38" i="126"/>
  <c r="G38" i="126"/>
  <c r="G345" i="126"/>
  <c r="J38" i="126"/>
  <c r="J345" i="126"/>
  <c r="H193" i="126"/>
  <c r="C193" i="126"/>
  <c r="F193" i="126"/>
  <c r="E345" i="126"/>
  <c r="E38" i="126"/>
  <c r="C27" i="125"/>
  <c r="C184" i="125"/>
  <c r="E332" i="125"/>
  <c r="E37" i="125"/>
  <c r="B332" i="125"/>
  <c r="B37" i="125"/>
  <c r="H332" i="125"/>
  <c r="H37" i="125"/>
  <c r="D37" i="125"/>
  <c r="D332" i="125"/>
  <c r="J184" i="125"/>
  <c r="K37" i="125"/>
  <c r="I332" i="125"/>
  <c r="F184" i="125"/>
  <c r="G184" i="125"/>
  <c r="D338" i="124"/>
  <c r="D37" i="124"/>
  <c r="F189" i="124"/>
  <c r="E189" i="124"/>
  <c r="G338" i="124"/>
  <c r="M189" i="124"/>
  <c r="J189" i="124"/>
  <c r="L338" i="124"/>
  <c r="L37" i="124"/>
  <c r="I189" i="124"/>
  <c r="K56" i="124"/>
  <c r="K343" i="124"/>
  <c r="K60" i="124" s="1"/>
  <c r="B338" i="124"/>
  <c r="B37" i="124"/>
  <c r="F196" i="123"/>
  <c r="C196" i="123"/>
  <c r="D196" i="123"/>
  <c r="J38" i="123"/>
  <c r="J349" i="123"/>
  <c r="K196" i="123"/>
  <c r="I196" i="123"/>
  <c r="M196" i="123"/>
  <c r="G38" i="123"/>
  <c r="E196" i="123"/>
  <c r="L196" i="123"/>
  <c r="I338" i="122"/>
  <c r="I38" i="122"/>
  <c r="L38" i="122"/>
  <c r="L338" i="122"/>
  <c r="F38" i="122"/>
  <c r="F338" i="122"/>
  <c r="E338" i="122"/>
  <c r="E38" i="122"/>
  <c r="J38" i="122"/>
  <c r="J338" i="122"/>
  <c r="B338" i="122"/>
  <c r="B38" i="122"/>
  <c r="D38" i="122"/>
  <c r="D338" i="122"/>
  <c r="H38" i="122"/>
  <c r="H338" i="122"/>
  <c r="M338" i="122"/>
  <c r="M38" i="122"/>
  <c r="K38" i="122"/>
  <c r="K338" i="122"/>
  <c r="G188" i="122"/>
  <c r="C188" i="122"/>
  <c r="L216" i="121"/>
  <c r="J381" i="121"/>
  <c r="J39" i="121"/>
  <c r="M216" i="121"/>
  <c r="H216" i="121"/>
  <c r="K216" i="121"/>
  <c r="I381" i="121"/>
  <c r="I39" i="121"/>
  <c r="C216" i="121"/>
  <c r="G381" i="121"/>
  <c r="G39" i="121"/>
  <c r="E216" i="121"/>
  <c r="D216" i="121"/>
  <c r="F216" i="121"/>
  <c r="S91" i="142"/>
  <c r="AH144" i="2"/>
  <c r="G220" i="129" l="1"/>
  <c r="C338" i="124"/>
  <c r="M38" i="126"/>
  <c r="G38" i="128"/>
  <c r="E23" i="129"/>
  <c r="G222" i="135"/>
  <c r="F328" i="137"/>
  <c r="L332" i="125"/>
  <c r="L337" i="125" s="1"/>
  <c r="L60" i="125" s="1"/>
  <c r="B323" i="133"/>
  <c r="G38" i="136"/>
  <c r="B37" i="140"/>
  <c r="G329" i="139"/>
  <c r="G38" i="139"/>
  <c r="B39" i="121"/>
  <c r="H349" i="123"/>
  <c r="H37" i="124"/>
  <c r="M37" i="125"/>
  <c r="D38" i="126"/>
  <c r="M336" i="127"/>
  <c r="E21" i="130"/>
  <c r="E37" i="133"/>
  <c r="B37" i="134"/>
  <c r="D23" i="135"/>
  <c r="M222" i="131"/>
  <c r="M227" i="131" s="1"/>
  <c r="M42" i="131" s="1"/>
  <c r="B329" i="139"/>
  <c r="B57" i="139" s="1"/>
  <c r="H330" i="140"/>
  <c r="D38" i="139"/>
  <c r="D329" i="139"/>
  <c r="B23" i="129"/>
  <c r="J38" i="136"/>
  <c r="F38" i="138"/>
  <c r="L329" i="139"/>
  <c r="L38" i="139"/>
  <c r="B38" i="123"/>
  <c r="K23" i="131"/>
  <c r="D37" i="134"/>
  <c r="I38" i="139"/>
  <c r="E38" i="139"/>
  <c r="E37" i="140"/>
  <c r="H329" i="139"/>
  <c r="H38" i="139"/>
  <c r="J172" i="132"/>
  <c r="J36" i="132" s="1"/>
  <c r="J32" i="132"/>
  <c r="I38" i="126"/>
  <c r="I345" i="126"/>
  <c r="C38" i="139"/>
  <c r="C329" i="139"/>
  <c r="G37" i="140"/>
  <c r="G330" i="140"/>
  <c r="D336" i="140"/>
  <c r="D60" i="140" s="1"/>
  <c r="D56" i="140"/>
  <c r="E336" i="140"/>
  <c r="E60" i="140" s="1"/>
  <c r="E56" i="140"/>
  <c r="H336" i="140"/>
  <c r="H60" i="140" s="1"/>
  <c r="H56" i="140"/>
  <c r="L336" i="140"/>
  <c r="L60" i="140" s="1"/>
  <c r="L56" i="140"/>
  <c r="C37" i="140"/>
  <c r="C330" i="140"/>
  <c r="K37" i="140"/>
  <c r="K330" i="140"/>
  <c r="F56" i="140"/>
  <c r="F336" i="140"/>
  <c r="F60" i="140" s="1"/>
  <c r="I336" i="140"/>
  <c r="I60" i="140" s="1"/>
  <c r="I56" i="140"/>
  <c r="J330" i="140"/>
  <c r="J37" i="140"/>
  <c r="M336" i="140"/>
  <c r="M60" i="140" s="1"/>
  <c r="M56" i="140"/>
  <c r="B56" i="140"/>
  <c r="B336" i="140"/>
  <c r="B60" i="140" s="1"/>
  <c r="I336" i="139"/>
  <c r="I61" i="139" s="1"/>
  <c r="I57" i="139"/>
  <c r="E336" i="139"/>
  <c r="E61" i="139" s="1"/>
  <c r="E57" i="139"/>
  <c r="B336" i="139"/>
  <c r="B61" i="139" s="1"/>
  <c r="J57" i="139"/>
  <c r="J336" i="139"/>
  <c r="J61" i="139" s="1"/>
  <c r="F57" i="139"/>
  <c r="F336" i="139"/>
  <c r="F61" i="139" s="1"/>
  <c r="F57" i="138"/>
  <c r="F332" i="138"/>
  <c r="F61" i="138" s="1"/>
  <c r="D38" i="138"/>
  <c r="D325" i="138"/>
  <c r="J57" i="138"/>
  <c r="J332" i="138"/>
  <c r="J61" i="138" s="1"/>
  <c r="L38" i="138"/>
  <c r="L325" i="138"/>
  <c r="B57" i="138"/>
  <c r="B332" i="138"/>
  <c r="B61" i="138" s="1"/>
  <c r="G325" i="138"/>
  <c r="G38" i="138"/>
  <c r="I332" i="138"/>
  <c r="I61" i="138" s="1"/>
  <c r="I57" i="138"/>
  <c r="H38" i="138"/>
  <c r="H325" i="138"/>
  <c r="K325" i="138"/>
  <c r="K38" i="138"/>
  <c r="E57" i="138"/>
  <c r="E332" i="138"/>
  <c r="E61" i="138" s="1"/>
  <c r="C325" i="138"/>
  <c r="C38" i="138"/>
  <c r="F334" i="137"/>
  <c r="F60" i="137" s="1"/>
  <c r="F56" i="137"/>
  <c r="E328" i="137"/>
  <c r="E37" i="137"/>
  <c r="J328" i="137"/>
  <c r="J37" i="137"/>
  <c r="K37" i="137"/>
  <c r="K328" i="137"/>
  <c r="D334" i="137"/>
  <c r="D60" i="137" s="1"/>
  <c r="D56" i="137"/>
  <c r="M328" i="137"/>
  <c r="M37" i="137"/>
  <c r="G56" i="137"/>
  <c r="G334" i="137"/>
  <c r="G60" i="137" s="1"/>
  <c r="I328" i="137"/>
  <c r="I37" i="137"/>
  <c r="C56" i="137"/>
  <c r="C334" i="137"/>
  <c r="C60" i="137" s="1"/>
  <c r="B37" i="137"/>
  <c r="B328" i="137"/>
  <c r="H328" i="137"/>
  <c r="H37" i="137"/>
  <c r="L328" i="137"/>
  <c r="L37" i="137"/>
  <c r="D322" i="136"/>
  <c r="D38" i="136"/>
  <c r="M322" i="136"/>
  <c r="M38" i="136"/>
  <c r="I322" i="136"/>
  <c r="I38" i="136"/>
  <c r="G57" i="136"/>
  <c r="G328" i="136"/>
  <c r="G61" i="136" s="1"/>
  <c r="K57" i="136"/>
  <c r="K328" i="136"/>
  <c r="K61" i="136" s="1"/>
  <c r="F38" i="136"/>
  <c r="F322" i="136"/>
  <c r="C322" i="136"/>
  <c r="C38" i="136"/>
  <c r="B322" i="136"/>
  <c r="B38" i="136"/>
  <c r="E322" i="136"/>
  <c r="E38" i="136"/>
  <c r="H322" i="136"/>
  <c r="H38" i="136"/>
  <c r="J328" i="136"/>
  <c r="J61" i="136" s="1"/>
  <c r="J57" i="136"/>
  <c r="L328" i="136"/>
  <c r="L61" i="136" s="1"/>
  <c r="L57" i="136"/>
  <c r="F23" i="135"/>
  <c r="F222" i="135"/>
  <c r="C228" i="135"/>
  <c r="C43" i="135" s="1"/>
  <c r="C39" i="135"/>
  <c r="M228" i="135"/>
  <c r="M43" i="135" s="1"/>
  <c r="M39" i="135"/>
  <c r="G228" i="135"/>
  <c r="G43" i="135" s="1"/>
  <c r="G39" i="135"/>
  <c r="J23" i="135"/>
  <c r="J222" i="135"/>
  <c r="E228" i="135"/>
  <c r="E43" i="135" s="1"/>
  <c r="E39" i="135"/>
  <c r="H228" i="135"/>
  <c r="H43" i="135" s="1"/>
  <c r="H39" i="135"/>
  <c r="K228" i="135"/>
  <c r="K43" i="135" s="1"/>
  <c r="K39" i="135"/>
  <c r="B23" i="135"/>
  <c r="B222" i="135"/>
  <c r="L228" i="135"/>
  <c r="L43" i="135" s="1"/>
  <c r="L39" i="135"/>
  <c r="D228" i="135"/>
  <c r="D43" i="135" s="1"/>
  <c r="D39" i="135"/>
  <c r="I228" i="135"/>
  <c r="I43" i="135" s="1"/>
  <c r="I39" i="135"/>
  <c r="H324" i="134"/>
  <c r="H37" i="134"/>
  <c r="L324" i="134"/>
  <c r="L37" i="134"/>
  <c r="E324" i="134"/>
  <c r="E37" i="134"/>
  <c r="I329" i="134"/>
  <c r="I60" i="134" s="1"/>
  <c r="I56" i="134"/>
  <c r="K324" i="134"/>
  <c r="K37" i="134"/>
  <c r="D329" i="134"/>
  <c r="D60" i="134" s="1"/>
  <c r="D56" i="134"/>
  <c r="C324" i="134"/>
  <c r="C37" i="134"/>
  <c r="F324" i="134"/>
  <c r="F37" i="134"/>
  <c r="J324" i="134"/>
  <c r="J37" i="134"/>
  <c r="G324" i="134"/>
  <c r="G37" i="134"/>
  <c r="M329" i="134"/>
  <c r="M60" i="134" s="1"/>
  <c r="M56" i="134"/>
  <c r="B56" i="134"/>
  <c r="B329" i="134"/>
  <c r="B60" i="134" s="1"/>
  <c r="C323" i="133"/>
  <c r="C37" i="133"/>
  <c r="H328" i="133"/>
  <c r="H60" i="133" s="1"/>
  <c r="H56" i="133"/>
  <c r="D328" i="133"/>
  <c r="D60" i="133" s="1"/>
  <c r="D56" i="133"/>
  <c r="B328" i="133"/>
  <c r="B60" i="133" s="1"/>
  <c r="B56" i="133"/>
  <c r="I323" i="133"/>
  <c r="I37" i="133"/>
  <c r="L328" i="133"/>
  <c r="L60" i="133" s="1"/>
  <c r="L56" i="133"/>
  <c r="M323" i="133"/>
  <c r="M37" i="133"/>
  <c r="E328" i="133"/>
  <c r="E60" i="133" s="1"/>
  <c r="E56" i="133"/>
  <c r="J328" i="133"/>
  <c r="J60" i="133" s="1"/>
  <c r="J56" i="133"/>
  <c r="F323" i="133"/>
  <c r="F37" i="133"/>
  <c r="K37" i="133"/>
  <c r="K323" i="133"/>
  <c r="G56" i="133"/>
  <c r="G328" i="133"/>
  <c r="G60" i="133" s="1"/>
  <c r="F222" i="131"/>
  <c r="F23" i="131"/>
  <c r="H227" i="131"/>
  <c r="H42" i="131" s="1"/>
  <c r="H38" i="131"/>
  <c r="I222" i="131"/>
  <c r="I23" i="131"/>
  <c r="E222" i="131"/>
  <c r="E23" i="131"/>
  <c r="B222" i="131"/>
  <c r="B23" i="131"/>
  <c r="C222" i="131"/>
  <c r="C23" i="131"/>
  <c r="M38" i="131"/>
  <c r="D222" i="131"/>
  <c r="D23" i="131"/>
  <c r="L222" i="131"/>
  <c r="L23" i="131"/>
  <c r="J222" i="131"/>
  <c r="J23" i="131"/>
  <c r="G222" i="131"/>
  <c r="G23" i="131"/>
  <c r="K227" i="131"/>
  <c r="K42" i="131" s="1"/>
  <c r="K38" i="131"/>
  <c r="M220" i="130"/>
  <c r="M42" i="130" s="1"/>
  <c r="M38" i="130"/>
  <c r="G220" i="130"/>
  <c r="G42" i="130" s="1"/>
  <c r="G38" i="130"/>
  <c r="F220" i="130"/>
  <c r="F38" i="130"/>
  <c r="J220" i="130"/>
  <c r="J42" i="130" s="1"/>
  <c r="J38" i="130"/>
  <c r="B220" i="130"/>
  <c r="B42" i="130" s="1"/>
  <c r="B38" i="130"/>
  <c r="K220" i="130"/>
  <c r="K42" i="130" s="1"/>
  <c r="K38" i="130"/>
  <c r="C220" i="130"/>
  <c r="C42" i="130" s="1"/>
  <c r="C38" i="130"/>
  <c r="I220" i="130"/>
  <c r="I42" i="130" s="1"/>
  <c r="I38" i="130"/>
  <c r="D220" i="130"/>
  <c r="D42" i="130" s="1"/>
  <c r="D38" i="130"/>
  <c r="H220" i="130"/>
  <c r="H42" i="130" s="1"/>
  <c r="H38" i="130"/>
  <c r="E220" i="130"/>
  <c r="E42" i="130" s="1"/>
  <c r="E38" i="130"/>
  <c r="L220" i="130"/>
  <c r="L42" i="130" s="1"/>
  <c r="L38" i="130"/>
  <c r="D225" i="129"/>
  <c r="D42" i="129" s="1"/>
  <c r="D38" i="129"/>
  <c r="M225" i="129"/>
  <c r="M42" i="129" s="1"/>
  <c r="M38" i="129"/>
  <c r="B38" i="129"/>
  <c r="B225" i="129"/>
  <c r="B42" i="129" s="1"/>
  <c r="F220" i="129"/>
  <c r="F23" i="129"/>
  <c r="J38" i="129"/>
  <c r="J225" i="129"/>
  <c r="J42" i="129" s="1"/>
  <c r="K220" i="129"/>
  <c r="K23" i="129"/>
  <c r="C220" i="129"/>
  <c r="C23" i="129"/>
  <c r="L225" i="129"/>
  <c r="L42" i="129" s="1"/>
  <c r="L38" i="129"/>
  <c r="G38" i="129"/>
  <c r="G225" i="129"/>
  <c r="G42" i="129" s="1"/>
  <c r="H225" i="129"/>
  <c r="H42" i="129" s="1"/>
  <c r="H38" i="129"/>
  <c r="E225" i="129"/>
  <c r="E42" i="129" s="1"/>
  <c r="E38" i="129"/>
  <c r="I225" i="129"/>
  <c r="I42" i="129" s="1"/>
  <c r="I38" i="129"/>
  <c r="J335" i="128"/>
  <c r="J61" i="128" s="1"/>
  <c r="J57" i="128"/>
  <c r="L57" i="128"/>
  <c r="L335" i="128"/>
  <c r="L61" i="128" s="1"/>
  <c r="F57" i="128"/>
  <c r="F335" i="128"/>
  <c r="F61" i="128" s="1"/>
  <c r="G57" i="128"/>
  <c r="G335" i="128"/>
  <c r="G61" i="128" s="1"/>
  <c r="D329" i="128"/>
  <c r="D38" i="128"/>
  <c r="C57" i="128"/>
  <c r="C335" i="128"/>
  <c r="C61" i="128" s="1"/>
  <c r="E335" i="128"/>
  <c r="E61" i="128" s="1"/>
  <c r="E57" i="128"/>
  <c r="I335" i="128"/>
  <c r="I61" i="128" s="1"/>
  <c r="I57" i="128"/>
  <c r="K57" i="128"/>
  <c r="K335" i="128"/>
  <c r="K61" i="128" s="1"/>
  <c r="H329" i="128"/>
  <c r="H38" i="128"/>
  <c r="B335" i="128"/>
  <c r="B61" i="128" s="1"/>
  <c r="B57" i="128"/>
  <c r="D38" i="127"/>
  <c r="D336" i="127"/>
  <c r="C341" i="127"/>
  <c r="C61" i="127" s="1"/>
  <c r="C57" i="127"/>
  <c r="F57" i="127"/>
  <c r="F341" i="127"/>
  <c r="F61" i="127" s="1"/>
  <c r="J38" i="127"/>
  <c r="J336" i="127"/>
  <c r="M341" i="127"/>
  <c r="M61" i="127" s="1"/>
  <c r="M57" i="127"/>
  <c r="B57" i="127"/>
  <c r="B341" i="127"/>
  <c r="B61" i="127" s="1"/>
  <c r="H38" i="127"/>
  <c r="H336" i="127"/>
  <c r="K336" i="127"/>
  <c r="K38" i="127"/>
  <c r="E341" i="127"/>
  <c r="E61" i="127" s="1"/>
  <c r="E57" i="127"/>
  <c r="G336" i="127"/>
  <c r="G38" i="127"/>
  <c r="L341" i="127"/>
  <c r="L61" i="127" s="1"/>
  <c r="L57" i="127"/>
  <c r="I336" i="127"/>
  <c r="I38" i="127"/>
  <c r="F38" i="126"/>
  <c r="F345" i="126"/>
  <c r="C38" i="126"/>
  <c r="C345" i="126"/>
  <c r="H345" i="126"/>
  <c r="H38" i="126"/>
  <c r="L57" i="126"/>
  <c r="L350" i="126"/>
  <c r="L61" i="126" s="1"/>
  <c r="B57" i="126"/>
  <c r="B350" i="126"/>
  <c r="B61" i="126" s="1"/>
  <c r="E350" i="126"/>
  <c r="E61" i="126" s="1"/>
  <c r="E57" i="126"/>
  <c r="G57" i="126"/>
  <c r="G350" i="126"/>
  <c r="G61" i="126" s="1"/>
  <c r="K38" i="126"/>
  <c r="K345" i="126"/>
  <c r="J57" i="126"/>
  <c r="J350" i="126"/>
  <c r="J61" i="126" s="1"/>
  <c r="M350" i="126"/>
  <c r="M61" i="126" s="1"/>
  <c r="M57" i="126"/>
  <c r="D57" i="126"/>
  <c r="D350" i="126"/>
  <c r="D61" i="126" s="1"/>
  <c r="C37" i="125"/>
  <c r="C332" i="125"/>
  <c r="G37" i="125"/>
  <c r="G332" i="125"/>
  <c r="K337" i="125"/>
  <c r="K60" i="125" s="1"/>
  <c r="K56" i="125"/>
  <c r="M337" i="125"/>
  <c r="M60" i="125" s="1"/>
  <c r="M56" i="125"/>
  <c r="H337" i="125"/>
  <c r="H60" i="125" s="1"/>
  <c r="H56" i="125"/>
  <c r="F332" i="125"/>
  <c r="F37" i="125"/>
  <c r="D337" i="125"/>
  <c r="D60" i="125" s="1"/>
  <c r="D56" i="125"/>
  <c r="I56" i="125"/>
  <c r="I337" i="125"/>
  <c r="I60" i="125" s="1"/>
  <c r="L56" i="125"/>
  <c r="J332" i="125"/>
  <c r="J37" i="125"/>
  <c r="B337" i="125"/>
  <c r="B60" i="125" s="1"/>
  <c r="B56" i="125"/>
  <c r="E337" i="125"/>
  <c r="E60" i="125" s="1"/>
  <c r="E56" i="125"/>
  <c r="L343" i="124"/>
  <c r="L60" i="124" s="1"/>
  <c r="L56" i="124"/>
  <c r="G56" i="124"/>
  <c r="G343" i="124"/>
  <c r="G60" i="124" s="1"/>
  <c r="C56" i="124"/>
  <c r="C343" i="124"/>
  <c r="C60" i="124" s="1"/>
  <c r="J338" i="124"/>
  <c r="J37" i="124"/>
  <c r="E338" i="124"/>
  <c r="E37" i="124"/>
  <c r="F37" i="124"/>
  <c r="F338" i="124"/>
  <c r="I338" i="124"/>
  <c r="I37" i="124"/>
  <c r="M338" i="124"/>
  <c r="M37" i="124"/>
  <c r="B56" i="124"/>
  <c r="B343" i="124"/>
  <c r="B60" i="124" s="1"/>
  <c r="H343" i="124"/>
  <c r="H60" i="124" s="1"/>
  <c r="H56" i="124"/>
  <c r="D343" i="124"/>
  <c r="D60" i="124" s="1"/>
  <c r="D56" i="124"/>
  <c r="B57" i="123"/>
  <c r="B354" i="123"/>
  <c r="B61" i="123" s="1"/>
  <c r="H354" i="123"/>
  <c r="H61" i="123" s="1"/>
  <c r="H57" i="123"/>
  <c r="G57" i="123"/>
  <c r="G354" i="123"/>
  <c r="G61" i="123" s="1"/>
  <c r="I349" i="123"/>
  <c r="I38" i="123"/>
  <c r="D349" i="123"/>
  <c r="D38" i="123"/>
  <c r="L349" i="123"/>
  <c r="L38" i="123"/>
  <c r="M349" i="123"/>
  <c r="M38" i="123"/>
  <c r="K349" i="123"/>
  <c r="K38" i="123"/>
  <c r="C349" i="123"/>
  <c r="C38" i="123"/>
  <c r="E349" i="123"/>
  <c r="E38" i="123"/>
  <c r="J57" i="123"/>
  <c r="J354" i="123"/>
  <c r="J61" i="123" s="1"/>
  <c r="F38" i="123"/>
  <c r="F349" i="123"/>
  <c r="K343" i="122"/>
  <c r="K61" i="122" s="1"/>
  <c r="K57" i="122"/>
  <c r="H343" i="122"/>
  <c r="H61" i="122" s="1"/>
  <c r="H57" i="122"/>
  <c r="L343" i="122"/>
  <c r="L61" i="122" s="1"/>
  <c r="L57" i="122"/>
  <c r="B57" i="122"/>
  <c r="B343" i="122"/>
  <c r="B61" i="122" s="1"/>
  <c r="E343" i="122"/>
  <c r="E61" i="122" s="1"/>
  <c r="E57" i="122"/>
  <c r="C38" i="122"/>
  <c r="C338" i="122"/>
  <c r="D343" i="122"/>
  <c r="D61" i="122" s="1"/>
  <c r="D57" i="122"/>
  <c r="J57" i="122"/>
  <c r="J343" i="122"/>
  <c r="J61" i="122" s="1"/>
  <c r="F57" i="122"/>
  <c r="F343" i="122"/>
  <c r="F61" i="122" s="1"/>
  <c r="G38" i="122"/>
  <c r="G338" i="122"/>
  <c r="M343" i="122"/>
  <c r="M61" i="122" s="1"/>
  <c r="M57" i="122"/>
  <c r="I343" i="122"/>
  <c r="I61" i="122" s="1"/>
  <c r="I57" i="122"/>
  <c r="F381" i="121"/>
  <c r="F39" i="121"/>
  <c r="G58" i="121"/>
  <c r="G388" i="121"/>
  <c r="G62" i="121" s="1"/>
  <c r="M381" i="121"/>
  <c r="M39" i="121"/>
  <c r="D381" i="121"/>
  <c r="D39" i="121"/>
  <c r="C39" i="121"/>
  <c r="C381" i="121"/>
  <c r="I388" i="121"/>
  <c r="I62" i="121" s="1"/>
  <c r="I58" i="121"/>
  <c r="E381" i="121"/>
  <c r="E39" i="121"/>
  <c r="K381" i="121"/>
  <c r="K39" i="121"/>
  <c r="J388" i="121"/>
  <c r="J62" i="121" s="1"/>
  <c r="J58" i="121"/>
  <c r="B388" i="121"/>
  <c r="B62" i="121" s="1"/>
  <c r="B58" i="121"/>
  <c r="H381" i="121"/>
  <c r="H39" i="121"/>
  <c r="L381" i="121"/>
  <c r="L39" i="121"/>
  <c r="G336" i="139" l="1"/>
  <c r="G61" i="139" s="1"/>
  <c r="G57" i="139"/>
  <c r="I57" i="126"/>
  <c r="I350" i="126"/>
  <c r="I61" i="126" s="1"/>
  <c r="H57" i="139"/>
  <c r="H336" i="139"/>
  <c r="H61" i="139" s="1"/>
  <c r="L336" i="139"/>
  <c r="L61" i="139" s="1"/>
  <c r="L57" i="139"/>
  <c r="D57" i="139"/>
  <c r="D336" i="139"/>
  <c r="D61" i="139" s="1"/>
  <c r="C57" i="139"/>
  <c r="C336" i="139"/>
  <c r="C61" i="139" s="1"/>
  <c r="K56" i="140"/>
  <c r="K336" i="140"/>
  <c r="K60" i="140" s="1"/>
  <c r="G336" i="140"/>
  <c r="G60" i="140" s="1"/>
  <c r="G56" i="140"/>
  <c r="C56" i="140"/>
  <c r="C336" i="140"/>
  <c r="C60" i="140" s="1"/>
  <c r="J56" i="140"/>
  <c r="J336" i="140"/>
  <c r="J60" i="140" s="1"/>
  <c r="H332" i="138"/>
  <c r="H61" i="138" s="1"/>
  <c r="H57" i="138"/>
  <c r="L332" i="138"/>
  <c r="L61" i="138" s="1"/>
  <c r="L57" i="138"/>
  <c r="D332" i="138"/>
  <c r="D61" i="138" s="1"/>
  <c r="D57" i="138"/>
  <c r="G57" i="138"/>
  <c r="G332" i="138"/>
  <c r="G61" i="138" s="1"/>
  <c r="C57" i="138"/>
  <c r="C332" i="138"/>
  <c r="C61" i="138" s="1"/>
  <c r="K57" i="138"/>
  <c r="K332" i="138"/>
  <c r="K61" i="138" s="1"/>
  <c r="L334" i="137"/>
  <c r="L60" i="137" s="1"/>
  <c r="L56" i="137"/>
  <c r="I334" i="137"/>
  <c r="I60" i="137" s="1"/>
  <c r="I56" i="137"/>
  <c r="E334" i="137"/>
  <c r="E60" i="137" s="1"/>
  <c r="E56" i="137"/>
  <c r="B56" i="137"/>
  <c r="B334" i="137"/>
  <c r="B60" i="137" s="1"/>
  <c r="K56" i="137"/>
  <c r="K334" i="137"/>
  <c r="K60" i="137" s="1"/>
  <c r="M56" i="137"/>
  <c r="M334" i="137"/>
  <c r="M60" i="137" s="1"/>
  <c r="H334" i="137"/>
  <c r="H60" i="137" s="1"/>
  <c r="H56" i="137"/>
  <c r="J334" i="137"/>
  <c r="J60" i="137" s="1"/>
  <c r="J56" i="137"/>
  <c r="E328" i="136"/>
  <c r="E61" i="136" s="1"/>
  <c r="E57" i="136"/>
  <c r="C57" i="136"/>
  <c r="C328" i="136"/>
  <c r="C61" i="136" s="1"/>
  <c r="I328" i="136"/>
  <c r="I61" i="136" s="1"/>
  <c r="I57" i="136"/>
  <c r="D328" i="136"/>
  <c r="D61" i="136" s="1"/>
  <c r="D57" i="136"/>
  <c r="F328" i="136"/>
  <c r="F61" i="136" s="1"/>
  <c r="F57" i="136"/>
  <c r="H328" i="136"/>
  <c r="H61" i="136" s="1"/>
  <c r="H57" i="136"/>
  <c r="B328" i="136"/>
  <c r="B61" i="136" s="1"/>
  <c r="B57" i="136"/>
  <c r="M328" i="136"/>
  <c r="M61" i="136" s="1"/>
  <c r="M57" i="136"/>
  <c r="B228" i="135"/>
  <c r="B43" i="135" s="1"/>
  <c r="B39" i="135"/>
  <c r="J39" i="135"/>
  <c r="J228" i="135"/>
  <c r="J43" i="135" s="1"/>
  <c r="F228" i="135"/>
  <c r="F43" i="135" s="1"/>
  <c r="F39" i="135"/>
  <c r="G329" i="134"/>
  <c r="G60" i="134" s="1"/>
  <c r="G56" i="134"/>
  <c r="F56" i="134"/>
  <c r="F329" i="134"/>
  <c r="F60" i="134" s="1"/>
  <c r="L329" i="134"/>
  <c r="L60" i="134" s="1"/>
  <c r="L56" i="134"/>
  <c r="J56" i="134"/>
  <c r="J329" i="134"/>
  <c r="J60" i="134" s="1"/>
  <c r="C329" i="134"/>
  <c r="C60" i="134" s="1"/>
  <c r="C56" i="134"/>
  <c r="K329" i="134"/>
  <c r="K60" i="134" s="1"/>
  <c r="K56" i="134"/>
  <c r="E329" i="134"/>
  <c r="E60" i="134" s="1"/>
  <c r="E56" i="134"/>
  <c r="H329" i="134"/>
  <c r="H60" i="134" s="1"/>
  <c r="H56" i="134"/>
  <c r="F328" i="133"/>
  <c r="F60" i="133" s="1"/>
  <c r="F56" i="133"/>
  <c r="K56" i="133"/>
  <c r="K328" i="133"/>
  <c r="K60" i="133" s="1"/>
  <c r="M328" i="133"/>
  <c r="M60" i="133" s="1"/>
  <c r="M56" i="133"/>
  <c r="I328" i="133"/>
  <c r="I60" i="133" s="1"/>
  <c r="I56" i="133"/>
  <c r="C56" i="133"/>
  <c r="C328" i="133"/>
  <c r="C60" i="133" s="1"/>
  <c r="J227" i="131"/>
  <c r="J42" i="131" s="1"/>
  <c r="J38" i="131"/>
  <c r="D227" i="131"/>
  <c r="D42" i="131" s="1"/>
  <c r="D38" i="131"/>
  <c r="C227" i="131"/>
  <c r="C42" i="131" s="1"/>
  <c r="C38" i="131"/>
  <c r="E227" i="131"/>
  <c r="E42" i="131" s="1"/>
  <c r="E38" i="131"/>
  <c r="G227" i="131"/>
  <c r="G42" i="131" s="1"/>
  <c r="G38" i="131"/>
  <c r="L227" i="131"/>
  <c r="L42" i="131" s="1"/>
  <c r="L38" i="131"/>
  <c r="B227" i="131"/>
  <c r="B42" i="131" s="1"/>
  <c r="B38" i="131"/>
  <c r="I227" i="131"/>
  <c r="I42" i="131" s="1"/>
  <c r="I38" i="131"/>
  <c r="F227" i="131"/>
  <c r="F42" i="131" s="1"/>
  <c r="F38" i="131"/>
  <c r="F247" i="130"/>
  <c r="F42" i="130"/>
  <c r="K38" i="129"/>
  <c r="K225" i="129"/>
  <c r="K42" i="129" s="1"/>
  <c r="C38" i="129"/>
  <c r="C225" i="129"/>
  <c r="C42" i="129" s="1"/>
  <c r="F38" i="129"/>
  <c r="F225" i="129"/>
  <c r="F42" i="129" s="1"/>
  <c r="H57" i="128"/>
  <c r="H335" i="128"/>
  <c r="H61" i="128" s="1"/>
  <c r="D57" i="128"/>
  <c r="D335" i="128"/>
  <c r="D61" i="128" s="1"/>
  <c r="H341" i="127"/>
  <c r="H61" i="127" s="1"/>
  <c r="H57" i="127"/>
  <c r="J57" i="127"/>
  <c r="J341" i="127"/>
  <c r="J61" i="127" s="1"/>
  <c r="D341" i="127"/>
  <c r="D61" i="127" s="1"/>
  <c r="D57" i="127"/>
  <c r="I341" i="127"/>
  <c r="I61" i="127" s="1"/>
  <c r="I57" i="127"/>
  <c r="G341" i="127"/>
  <c r="G61" i="127" s="1"/>
  <c r="G57" i="127"/>
  <c r="K341" i="127"/>
  <c r="K61" i="127" s="1"/>
  <c r="K57" i="127"/>
  <c r="H57" i="126"/>
  <c r="H350" i="126"/>
  <c r="H61" i="126" s="1"/>
  <c r="K57" i="126"/>
  <c r="K350" i="126"/>
  <c r="K61" i="126" s="1"/>
  <c r="C57" i="126"/>
  <c r="C350" i="126"/>
  <c r="C61" i="126" s="1"/>
  <c r="F57" i="126"/>
  <c r="F350" i="126"/>
  <c r="F61" i="126" s="1"/>
  <c r="C337" i="125"/>
  <c r="C60" i="125" s="1"/>
  <c r="C56" i="125"/>
  <c r="G337" i="125"/>
  <c r="G60" i="125" s="1"/>
  <c r="G56" i="125"/>
  <c r="J337" i="125"/>
  <c r="J60" i="125" s="1"/>
  <c r="J56" i="125"/>
  <c r="F337" i="125"/>
  <c r="F60" i="125" s="1"/>
  <c r="F56" i="125"/>
  <c r="F56" i="124"/>
  <c r="F343" i="124"/>
  <c r="F60" i="124" s="1"/>
  <c r="M343" i="124"/>
  <c r="M60" i="124" s="1"/>
  <c r="M56" i="124"/>
  <c r="J56" i="124"/>
  <c r="J343" i="124"/>
  <c r="J60" i="124" s="1"/>
  <c r="I343" i="124"/>
  <c r="I60" i="124" s="1"/>
  <c r="I56" i="124"/>
  <c r="E343" i="124"/>
  <c r="E60" i="124" s="1"/>
  <c r="E56" i="124"/>
  <c r="F57" i="123"/>
  <c r="F354" i="123"/>
  <c r="F61" i="123" s="1"/>
  <c r="E354" i="123"/>
  <c r="E61" i="123" s="1"/>
  <c r="E57" i="123"/>
  <c r="K57" i="123"/>
  <c r="K354" i="123"/>
  <c r="K61" i="123" s="1"/>
  <c r="L354" i="123"/>
  <c r="L61" i="123" s="1"/>
  <c r="L57" i="123"/>
  <c r="I354" i="123"/>
  <c r="I61" i="123" s="1"/>
  <c r="I57" i="123"/>
  <c r="C57" i="123"/>
  <c r="C354" i="123"/>
  <c r="C61" i="123" s="1"/>
  <c r="M354" i="123"/>
  <c r="M61" i="123" s="1"/>
  <c r="M57" i="123"/>
  <c r="D354" i="123"/>
  <c r="D61" i="123" s="1"/>
  <c r="D57" i="123"/>
  <c r="G343" i="122"/>
  <c r="G61" i="122" s="1"/>
  <c r="G57" i="122"/>
  <c r="C343" i="122"/>
  <c r="C61" i="122" s="1"/>
  <c r="C57" i="122"/>
  <c r="L388" i="121"/>
  <c r="L62" i="121" s="1"/>
  <c r="L58" i="121"/>
  <c r="K58" i="121"/>
  <c r="K388" i="121"/>
  <c r="K62" i="121" s="1"/>
  <c r="D388" i="121"/>
  <c r="D62" i="121" s="1"/>
  <c r="D58" i="121"/>
  <c r="C388" i="121"/>
  <c r="C62" i="121" s="1"/>
  <c r="C58" i="121"/>
  <c r="H388" i="121"/>
  <c r="H62" i="121" s="1"/>
  <c r="H58" i="121"/>
  <c r="E388" i="121"/>
  <c r="E62" i="121" s="1"/>
  <c r="E58" i="121"/>
  <c r="M388" i="121"/>
  <c r="M62" i="121" s="1"/>
  <c r="M58" i="121"/>
  <c r="F388" i="121"/>
  <c r="F58" i="121"/>
  <c r="F424" i="121" l="1"/>
  <c r="F62" i="121"/>
  <c r="I7" i="142"/>
  <c r="F17" i="147" l="1"/>
  <c r="F39" i="147" s="1"/>
  <c r="E17" i="147"/>
  <c r="E39" i="147" s="1"/>
  <c r="D17" i="147"/>
  <c r="D39" i="147" s="1"/>
  <c r="C17" i="147"/>
  <c r="C39" i="147" s="1"/>
  <c r="E31" i="147"/>
  <c r="F38" i="147"/>
  <c r="E38" i="147"/>
  <c r="D38" i="147"/>
  <c r="F33" i="147"/>
  <c r="E33" i="147"/>
  <c r="D33" i="147"/>
  <c r="F31" i="147"/>
  <c r="D31" i="147"/>
  <c r="C38" i="147"/>
  <c r="C33" i="147"/>
  <c r="C31" i="147"/>
  <c r="F12" i="147"/>
  <c r="F37" i="147" s="1"/>
  <c r="E12" i="147"/>
  <c r="E37" i="147" s="1"/>
  <c r="D12" i="147"/>
  <c r="D37" i="147" s="1"/>
  <c r="C12" i="147"/>
  <c r="C37" i="147" s="1"/>
  <c r="Q4" i="1"/>
  <c r="C41" i="147" l="1"/>
  <c r="F41" i="147"/>
  <c r="D41" i="147"/>
  <c r="E41" i="147"/>
  <c r="P4" i="1"/>
  <c r="W144" i="2"/>
  <c r="AC12" i="2"/>
  <c r="O4" i="1"/>
  <c r="T116" i="2" l="1"/>
  <c r="T115" i="2"/>
  <c r="T114" i="2"/>
  <c r="T112" i="2"/>
  <c r="T111" i="2"/>
  <c r="E108" i="1"/>
  <c r="AD199" i="2"/>
  <c r="W199" i="2"/>
  <c r="E95" i="1"/>
  <c r="E103" i="1"/>
  <c r="L7" i="142"/>
  <c r="J4" i="1"/>
  <c r="E106" i="1"/>
  <c r="AB199" i="2"/>
  <c r="E97" i="1"/>
  <c r="AA199" i="2"/>
  <c r="E105" i="1"/>
  <c r="H4" i="1"/>
  <c r="E96" i="1"/>
  <c r="W139" i="2"/>
  <c r="E104" i="1"/>
  <c r="M4" i="1"/>
  <c r="N4" i="1"/>
  <c r="G4" i="1"/>
  <c r="AH89" i="2"/>
  <c r="E98" i="1"/>
  <c r="AF199" i="2"/>
  <c r="F4" i="1"/>
  <c r="X199" i="2"/>
  <c r="E99" i="1"/>
  <c r="E102" i="1"/>
  <c r="I4" i="1"/>
  <c r="AC199" i="2"/>
  <c r="AE199" i="2"/>
  <c r="D104" i="1"/>
  <c r="E107" i="1"/>
  <c r="K4" i="1"/>
  <c r="Z199" i="2"/>
  <c r="D95" i="1"/>
  <c r="Y199" i="2"/>
  <c r="E101" i="1"/>
  <c r="E109" i="1"/>
  <c r="L4" i="1"/>
  <c r="E100" i="1"/>
  <c r="C95" i="1" l="1"/>
  <c r="C96" i="1" s="1"/>
  <c r="C97" i="1" s="1"/>
  <c r="C98" i="1" s="1"/>
  <c r="C99" i="1" s="1"/>
  <c r="C100" i="1" s="1"/>
  <c r="C101" i="1" s="1"/>
  <c r="C102" i="1" s="1"/>
  <c r="C103" i="1" s="1"/>
  <c r="C104" i="1"/>
  <c r="C105" i="1" s="1"/>
  <c r="C106" i="1" s="1"/>
  <c r="C107" i="1" s="1"/>
  <c r="C108" i="1" s="1"/>
  <c r="C109" i="1" s="1"/>
  <c r="C110" i="1" s="1"/>
  <c r="C111" i="1" s="1"/>
  <c r="C112" i="1" s="1"/>
  <c r="C113" i="1" s="1"/>
  <c r="S79" i="146"/>
  <c r="S15" i="146" s="1"/>
  <c r="R79" i="146"/>
  <c r="R15" i="146" s="1"/>
  <c r="Q79" i="146"/>
  <c r="Q15" i="146" s="1"/>
  <c r="P79" i="146"/>
  <c r="P15" i="146" s="1"/>
  <c r="O79" i="146"/>
  <c r="O15" i="146" s="1"/>
  <c r="N79" i="146"/>
  <c r="N15" i="146" s="1"/>
  <c r="M79" i="146"/>
  <c r="M15" i="146" s="1"/>
  <c r="L79" i="146"/>
  <c r="L15" i="146" s="1"/>
  <c r="K79" i="146"/>
  <c r="K15" i="146" s="1"/>
  <c r="J79" i="146"/>
  <c r="J15" i="146" s="1"/>
  <c r="I79" i="146"/>
  <c r="I15" i="146" s="1"/>
  <c r="H79" i="146"/>
  <c r="G79" i="146"/>
  <c r="G15" i="146" s="1"/>
  <c r="F79" i="146"/>
  <c r="F15" i="146" s="1"/>
  <c r="E79" i="146"/>
  <c r="E15" i="146" s="1"/>
  <c r="S77" i="146"/>
  <c r="R77" i="146"/>
  <c r="Q77" i="146"/>
  <c r="P77" i="146"/>
  <c r="O77" i="146"/>
  <c r="N77" i="146"/>
  <c r="M77" i="146"/>
  <c r="L77" i="146"/>
  <c r="K77" i="146"/>
  <c r="J77" i="146"/>
  <c r="I77" i="146"/>
  <c r="H77" i="146"/>
  <c r="G77" i="146"/>
  <c r="F77" i="146"/>
  <c r="E77" i="146"/>
  <c r="S76" i="146"/>
  <c r="R76" i="146"/>
  <c r="Q76" i="146"/>
  <c r="P76" i="146"/>
  <c r="O76" i="146"/>
  <c r="N76" i="146"/>
  <c r="M76" i="146"/>
  <c r="L76" i="146"/>
  <c r="K76" i="146"/>
  <c r="J76" i="146"/>
  <c r="I76" i="146"/>
  <c r="H76" i="146"/>
  <c r="G76" i="146"/>
  <c r="F76" i="146"/>
  <c r="E76" i="146"/>
  <c r="S74" i="146"/>
  <c r="R74" i="146"/>
  <c r="Q74" i="146"/>
  <c r="P74" i="146"/>
  <c r="O74" i="146"/>
  <c r="N74" i="146"/>
  <c r="M74" i="146"/>
  <c r="L74" i="146"/>
  <c r="K74" i="146"/>
  <c r="J74" i="146"/>
  <c r="I74" i="146"/>
  <c r="H74" i="146"/>
  <c r="G74" i="146"/>
  <c r="F74" i="146"/>
  <c r="E74" i="146"/>
  <c r="S73" i="146"/>
  <c r="R73" i="146"/>
  <c r="Q73" i="146"/>
  <c r="P73" i="146"/>
  <c r="O73" i="146"/>
  <c r="N73" i="146"/>
  <c r="M73" i="146"/>
  <c r="L73" i="146"/>
  <c r="K73" i="146"/>
  <c r="J73" i="146"/>
  <c r="I73" i="146"/>
  <c r="H73" i="146"/>
  <c r="G73" i="146"/>
  <c r="F73" i="146"/>
  <c r="E73" i="146"/>
  <c r="S71" i="146"/>
  <c r="R71" i="146"/>
  <c r="Q71" i="146"/>
  <c r="P71" i="146"/>
  <c r="O71" i="146"/>
  <c r="N71" i="146"/>
  <c r="M71" i="146"/>
  <c r="L71" i="146"/>
  <c r="K71" i="146"/>
  <c r="J71" i="146"/>
  <c r="I71" i="146"/>
  <c r="H71" i="146"/>
  <c r="G71" i="146"/>
  <c r="F71" i="146"/>
  <c r="E71" i="146"/>
  <c r="S69" i="146"/>
  <c r="R69" i="146"/>
  <c r="Q69" i="146"/>
  <c r="P69" i="146"/>
  <c r="O69" i="146"/>
  <c r="N69" i="146"/>
  <c r="M69" i="146"/>
  <c r="L69" i="146"/>
  <c r="K69" i="146"/>
  <c r="J69" i="146"/>
  <c r="I69" i="146"/>
  <c r="H69" i="146"/>
  <c r="G69" i="146"/>
  <c r="F69" i="146"/>
  <c r="E69" i="146"/>
  <c r="S67" i="146"/>
  <c r="R67" i="146"/>
  <c r="Q67" i="146"/>
  <c r="P67" i="146"/>
  <c r="O67" i="146"/>
  <c r="N67" i="146"/>
  <c r="M67" i="146"/>
  <c r="L67" i="146"/>
  <c r="K67" i="146"/>
  <c r="J67" i="146"/>
  <c r="I67" i="146"/>
  <c r="H67" i="146"/>
  <c r="G67" i="146"/>
  <c r="F67" i="146"/>
  <c r="E67" i="146"/>
  <c r="S66" i="146"/>
  <c r="R66" i="146"/>
  <c r="Q66" i="146"/>
  <c r="P66" i="146"/>
  <c r="O66" i="146"/>
  <c r="N66" i="146"/>
  <c r="M66" i="146"/>
  <c r="L66" i="146"/>
  <c r="K66" i="146"/>
  <c r="J66" i="146"/>
  <c r="I66" i="146"/>
  <c r="H66" i="146"/>
  <c r="G66" i="146"/>
  <c r="F66" i="146"/>
  <c r="E66" i="146"/>
  <c r="S65" i="146"/>
  <c r="R65" i="146"/>
  <c r="Q65" i="146"/>
  <c r="P65" i="146"/>
  <c r="O65" i="146"/>
  <c r="N65" i="146"/>
  <c r="M65" i="146"/>
  <c r="L65" i="146"/>
  <c r="K65" i="146"/>
  <c r="J65" i="146"/>
  <c r="I65" i="146"/>
  <c r="H65" i="146"/>
  <c r="G65" i="146"/>
  <c r="F65" i="146"/>
  <c r="E65" i="146"/>
  <c r="S63" i="146"/>
  <c r="R63" i="146"/>
  <c r="Q63" i="146"/>
  <c r="P63" i="146"/>
  <c r="O63" i="146"/>
  <c r="N63" i="146"/>
  <c r="M63" i="146"/>
  <c r="L63" i="146"/>
  <c r="K63" i="146"/>
  <c r="J63" i="146"/>
  <c r="I63" i="146"/>
  <c r="H63" i="146"/>
  <c r="G63" i="146"/>
  <c r="F63" i="146"/>
  <c r="E63" i="146"/>
  <c r="D58" i="146"/>
  <c r="D56" i="146"/>
  <c r="D55" i="146"/>
  <c r="D53" i="146"/>
  <c r="D52" i="146"/>
  <c r="D50" i="146"/>
  <c r="D48" i="146"/>
  <c r="D46" i="146"/>
  <c r="D45" i="146"/>
  <c r="D44" i="146"/>
  <c r="D42" i="146"/>
  <c r="D37" i="146"/>
  <c r="D35" i="146"/>
  <c r="D34" i="146"/>
  <c r="D32" i="146"/>
  <c r="D31" i="146"/>
  <c r="D29" i="146"/>
  <c r="D27" i="146"/>
  <c r="D25" i="146"/>
  <c r="D24" i="146"/>
  <c r="D23" i="146"/>
  <c r="D21" i="146"/>
  <c r="U569" i="2"/>
  <c r="F8" i="146" l="1"/>
  <c r="J8" i="146"/>
  <c r="N8" i="146"/>
  <c r="R8" i="146"/>
  <c r="G8" i="146"/>
  <c r="K8" i="146"/>
  <c r="E10" i="146"/>
  <c r="O8" i="146"/>
  <c r="S8" i="146"/>
  <c r="I10" i="146"/>
  <c r="M10" i="146"/>
  <c r="Q10" i="146"/>
  <c r="H10" i="146"/>
  <c r="L10" i="146"/>
  <c r="P10" i="146"/>
  <c r="I8" i="146"/>
  <c r="M8" i="146"/>
  <c r="Q8" i="146"/>
  <c r="D71" i="146"/>
  <c r="O12" i="146"/>
  <c r="S12" i="146"/>
  <c r="D67" i="146"/>
  <c r="F10" i="146"/>
  <c r="J10" i="146"/>
  <c r="N10" i="146"/>
  <c r="R10" i="146"/>
  <c r="D74" i="146"/>
  <c r="F12" i="146"/>
  <c r="J12" i="146"/>
  <c r="N12" i="146"/>
  <c r="R12" i="146"/>
  <c r="D77" i="146"/>
  <c r="D79" i="146"/>
  <c r="G12" i="146"/>
  <c r="H12" i="146"/>
  <c r="L12" i="146"/>
  <c r="P12" i="146"/>
  <c r="G10" i="146"/>
  <c r="K10" i="146"/>
  <c r="O10" i="146"/>
  <c r="S10" i="146"/>
  <c r="K12" i="146"/>
  <c r="L8" i="146"/>
  <c r="P8" i="146"/>
  <c r="I12" i="146"/>
  <c r="M12" i="146"/>
  <c r="Q12" i="146"/>
  <c r="E8" i="146"/>
  <c r="D73" i="146"/>
  <c r="D76" i="146"/>
  <c r="D63" i="146"/>
  <c r="D65" i="146"/>
  <c r="E12" i="146"/>
  <c r="H8" i="146"/>
  <c r="H15" i="146"/>
  <c r="D15" i="146" s="1"/>
  <c r="D66" i="146"/>
  <c r="D69" i="146"/>
  <c r="D10" i="146" l="1"/>
  <c r="D8" i="146"/>
  <c r="D12" i="146"/>
  <c r="AH199" i="2"/>
  <c r="AH109" i="2"/>
  <c r="AG199" i="2"/>
  <c r="AH117" i="2"/>
  <c r="X205" i="2"/>
  <c r="Z205" i="2"/>
  <c r="V10" i="143" l="1"/>
  <c r="A378" i="1"/>
  <c r="E150" i="1"/>
  <c r="E142" i="1"/>
  <c r="E139" i="1"/>
  <c r="E161" i="1"/>
  <c r="A351" i="1"/>
  <c r="E34" i="1"/>
  <c r="D163" i="1"/>
  <c r="E77" i="1"/>
  <c r="A354" i="1"/>
  <c r="D172" i="1"/>
  <c r="E35" i="1"/>
  <c r="A361" i="1"/>
  <c r="A349" i="1"/>
  <c r="E140" i="1"/>
  <c r="A368" i="1"/>
  <c r="E83" i="1"/>
  <c r="E28" i="1"/>
  <c r="E167" i="1"/>
  <c r="E66" i="1"/>
  <c r="E152" i="1"/>
  <c r="D25" i="1"/>
  <c r="E45" i="1"/>
  <c r="E54" i="1"/>
  <c r="E144" i="1"/>
  <c r="E128" i="1"/>
  <c r="E19" i="1"/>
  <c r="E176" i="1"/>
  <c r="A348" i="1"/>
  <c r="E122" i="1"/>
  <c r="E71" i="1"/>
  <c r="E94" i="1"/>
  <c r="E111" i="1"/>
  <c r="A371" i="1"/>
  <c r="E15" i="1"/>
  <c r="E48" i="1"/>
  <c r="D123" i="1"/>
  <c r="E136" i="1"/>
  <c r="E147" i="1"/>
  <c r="E61" i="1"/>
  <c r="A380" i="1"/>
  <c r="E133" i="1"/>
  <c r="E134" i="1"/>
  <c r="E17" i="1"/>
  <c r="E89" i="1"/>
  <c r="E158" i="1"/>
  <c r="E146" i="1"/>
  <c r="A382" i="1"/>
  <c r="A346" i="1"/>
  <c r="E32" i="1"/>
  <c r="E42" i="1"/>
  <c r="E162" i="1"/>
  <c r="A365" i="1"/>
  <c r="E138" i="1"/>
  <c r="E55" i="1"/>
  <c r="E81" i="1"/>
  <c r="E112" i="1"/>
  <c r="A340" i="1"/>
  <c r="E164" i="1"/>
  <c r="E51" i="1"/>
  <c r="A375" i="1"/>
  <c r="E14" i="1"/>
  <c r="E148" i="1"/>
  <c r="E84" i="1"/>
  <c r="E82" i="1"/>
  <c r="E58" i="1"/>
  <c r="E52" i="1"/>
  <c r="A355" i="1"/>
  <c r="E70" i="1"/>
  <c r="E126" i="1"/>
  <c r="D15" i="1"/>
  <c r="E159" i="1"/>
  <c r="E123" i="1"/>
  <c r="E62" i="1"/>
  <c r="E160" i="1"/>
  <c r="E21" i="1"/>
  <c r="E39" i="1"/>
  <c r="E178" i="1"/>
  <c r="E46" i="1"/>
  <c r="E165" i="1"/>
  <c r="E174" i="1"/>
  <c r="E163" i="1"/>
  <c r="E30" i="1"/>
  <c r="E20" i="1"/>
  <c r="E29" i="1"/>
  <c r="A341" i="1"/>
  <c r="A360" i="1"/>
  <c r="A376" i="1"/>
  <c r="E41" i="1"/>
  <c r="E68" i="1"/>
  <c r="E49" i="1"/>
  <c r="E118" i="1"/>
  <c r="E115" i="1"/>
  <c r="E80" i="1"/>
  <c r="E18" i="1"/>
  <c r="A343" i="1"/>
  <c r="A359" i="1"/>
  <c r="E113" i="1"/>
  <c r="E168" i="1"/>
  <c r="E27" i="1"/>
  <c r="E141" i="1"/>
  <c r="E157" i="1"/>
  <c r="D114" i="1"/>
  <c r="E63" i="1"/>
  <c r="E145" i="1"/>
  <c r="E135" i="1"/>
  <c r="E127" i="1"/>
  <c r="A358" i="1"/>
  <c r="E155" i="1"/>
  <c r="A337" i="1"/>
  <c r="D75" i="1"/>
  <c r="E143" i="1"/>
  <c r="E92" i="1"/>
  <c r="E177" i="1"/>
  <c r="E151" i="1"/>
  <c r="E31" i="1"/>
  <c r="D133" i="1"/>
  <c r="E69" i="1"/>
  <c r="E44" i="1"/>
  <c r="D143" i="1"/>
  <c r="A352" i="1"/>
  <c r="E149" i="1"/>
  <c r="E53" i="1"/>
  <c r="A367" i="1"/>
  <c r="E116" i="1"/>
  <c r="E22" i="1"/>
  <c r="E180" i="1"/>
  <c r="A374" i="1"/>
  <c r="A362" i="1"/>
  <c r="A369" i="1"/>
  <c r="D65" i="1"/>
  <c r="E57" i="1"/>
  <c r="D153" i="1"/>
  <c r="E125" i="1"/>
  <c r="A373" i="1"/>
  <c r="E132" i="1"/>
  <c r="A372" i="1"/>
  <c r="E87" i="1"/>
  <c r="A356" i="1"/>
  <c r="E23" i="1"/>
  <c r="E173" i="1"/>
  <c r="E153" i="1"/>
  <c r="E36" i="1"/>
  <c r="E25" i="1"/>
  <c r="D85" i="1"/>
  <c r="E64" i="1"/>
  <c r="E114" i="1"/>
  <c r="E179" i="1"/>
  <c r="A383" i="1"/>
  <c r="A344" i="1"/>
  <c r="E79" i="1"/>
  <c r="E16" i="1"/>
  <c r="E43" i="1"/>
  <c r="E60" i="1"/>
  <c r="E131" i="1"/>
  <c r="D45" i="1"/>
  <c r="E33" i="1"/>
  <c r="E169" i="1"/>
  <c r="E38" i="1"/>
  <c r="E67" i="1"/>
  <c r="E85" i="1"/>
  <c r="A366" i="1"/>
  <c r="E170" i="1"/>
  <c r="A370" i="1"/>
  <c r="A357" i="1"/>
  <c r="D55" i="1"/>
  <c r="A345" i="1"/>
  <c r="E56" i="1"/>
  <c r="E59" i="1"/>
  <c r="E119" i="1"/>
  <c r="E137" i="1"/>
  <c r="A342" i="1"/>
  <c r="A339" i="1"/>
  <c r="A353" i="1"/>
  <c r="E120" i="1"/>
  <c r="E47" i="1"/>
  <c r="E90" i="1"/>
  <c r="E37" i="1"/>
  <c r="E156" i="1"/>
  <c r="E154" i="1"/>
  <c r="E86" i="1"/>
  <c r="E121" i="1"/>
  <c r="A364" i="1"/>
  <c r="A350" i="1"/>
  <c r="E175" i="1"/>
  <c r="E75" i="1"/>
  <c r="A381" i="1"/>
  <c r="E117" i="1"/>
  <c r="A377" i="1"/>
  <c r="E50" i="1"/>
  <c r="E78" i="1"/>
  <c r="E72" i="1"/>
  <c r="E88" i="1"/>
  <c r="E171" i="1"/>
  <c r="E73" i="1"/>
  <c r="E91" i="1"/>
  <c r="E76" i="1"/>
  <c r="E124" i="1"/>
  <c r="A379" i="1"/>
  <c r="E110" i="1"/>
  <c r="E166" i="1"/>
  <c r="E130" i="1"/>
  <c r="E74" i="1"/>
  <c r="E93" i="1"/>
  <c r="A347" i="1"/>
  <c r="A363" i="1"/>
  <c r="E129" i="1"/>
  <c r="E26" i="1"/>
  <c r="E40" i="1"/>
  <c r="D35" i="1"/>
  <c r="E65" i="1"/>
  <c r="A384" i="1"/>
  <c r="A338" i="1"/>
  <c r="E172" i="1"/>
  <c r="E24" i="1"/>
  <c r="C35" i="1" l="1"/>
  <c r="C36" i="1" s="1"/>
  <c r="C37" i="1" s="1"/>
  <c r="C38" i="1" s="1"/>
  <c r="C39" i="1" s="1"/>
  <c r="C40" i="1" s="1"/>
  <c r="C41" i="1" s="1"/>
  <c r="C42" i="1" s="1"/>
  <c r="C43" i="1" s="1"/>
  <c r="C44" i="1" s="1"/>
  <c r="C55" i="1"/>
  <c r="C56" i="1" s="1"/>
  <c r="C57" i="1" s="1"/>
  <c r="C58" i="1" s="1"/>
  <c r="C59" i="1" s="1"/>
  <c r="C60" i="1" s="1"/>
  <c r="C61" i="1" s="1"/>
  <c r="C62" i="1" s="1"/>
  <c r="C63" i="1" s="1"/>
  <c r="C64" i="1" s="1"/>
  <c r="C45" i="1"/>
  <c r="C46" i="1" s="1"/>
  <c r="C47" i="1" s="1"/>
  <c r="C48" i="1" s="1"/>
  <c r="C49" i="1" s="1"/>
  <c r="C50" i="1" s="1"/>
  <c r="C51" i="1" s="1"/>
  <c r="C52" i="1" s="1"/>
  <c r="C53" i="1" s="1"/>
  <c r="C54" i="1" s="1"/>
  <c r="C85" i="1"/>
  <c r="C86" i="1" s="1"/>
  <c r="C87" i="1" s="1"/>
  <c r="C88" i="1" s="1"/>
  <c r="C89" i="1" s="1"/>
  <c r="C90" i="1" s="1"/>
  <c r="C91" i="1" s="1"/>
  <c r="C92" i="1" s="1"/>
  <c r="C93" i="1" s="1"/>
  <c r="C94" i="1" s="1"/>
  <c r="C153" i="1"/>
  <c r="C154" i="1" s="1"/>
  <c r="C155" i="1" s="1"/>
  <c r="C156" i="1" s="1"/>
  <c r="C157" i="1" s="1"/>
  <c r="C158" i="1" s="1"/>
  <c r="C159" i="1" s="1"/>
  <c r="C160" i="1" s="1"/>
  <c r="C161" i="1" s="1"/>
  <c r="C162" i="1" s="1"/>
  <c r="C65" i="1"/>
  <c r="C66" i="1" s="1"/>
  <c r="C67" i="1" s="1"/>
  <c r="C68" i="1" s="1"/>
  <c r="C69" i="1" s="1"/>
  <c r="C70" i="1" s="1"/>
  <c r="C71" i="1" s="1"/>
  <c r="C72" i="1" s="1"/>
  <c r="C73" i="1" s="1"/>
  <c r="C74" i="1" s="1"/>
  <c r="C143" i="1"/>
  <c r="C144" i="1" s="1"/>
  <c r="C145" i="1" s="1"/>
  <c r="C146" i="1" s="1"/>
  <c r="C147" i="1" s="1"/>
  <c r="C148" i="1" s="1"/>
  <c r="C149" i="1" s="1"/>
  <c r="C150" i="1" s="1"/>
  <c r="C151" i="1" s="1"/>
  <c r="C152" i="1" s="1"/>
  <c r="C133" i="1"/>
  <c r="C134" i="1" s="1"/>
  <c r="C135" i="1" s="1"/>
  <c r="C136" i="1" s="1"/>
  <c r="C137" i="1" s="1"/>
  <c r="C138" i="1" s="1"/>
  <c r="C139" i="1" s="1"/>
  <c r="C140" i="1" s="1"/>
  <c r="C141" i="1" s="1"/>
  <c r="C142" i="1" s="1"/>
  <c r="C75" i="1"/>
  <c r="C76" i="1" s="1"/>
  <c r="C77" i="1" s="1"/>
  <c r="C78" i="1" s="1"/>
  <c r="C79" i="1" s="1"/>
  <c r="C80" i="1" s="1"/>
  <c r="C81" i="1" s="1"/>
  <c r="C82" i="1" s="1"/>
  <c r="C83" i="1" s="1"/>
  <c r="C84" i="1" s="1"/>
  <c r="C114" i="1"/>
  <c r="C115" i="1" s="1"/>
  <c r="C116" i="1" s="1"/>
  <c r="C117" i="1" s="1"/>
  <c r="C118" i="1" s="1"/>
  <c r="C119" i="1" s="1"/>
  <c r="C120" i="1" s="1"/>
  <c r="C121" i="1" s="1"/>
  <c r="C122" i="1" s="1"/>
  <c r="C15" i="1"/>
  <c r="C16" i="1" s="1"/>
  <c r="C17" i="1" s="1"/>
  <c r="C18" i="1" s="1"/>
  <c r="C19" i="1" s="1"/>
  <c r="C20" i="1" s="1"/>
  <c r="C21" i="1" s="1"/>
  <c r="C22" i="1" s="1"/>
  <c r="C23" i="1" s="1"/>
  <c r="C24" i="1" s="1"/>
  <c r="C123" i="1"/>
  <c r="C124" i="1" s="1"/>
  <c r="C125" i="1" s="1"/>
  <c r="C126" i="1" s="1"/>
  <c r="C127" i="1" s="1"/>
  <c r="C128" i="1" s="1"/>
  <c r="C129" i="1" s="1"/>
  <c r="C130" i="1" s="1"/>
  <c r="C131" i="1" s="1"/>
  <c r="C132" i="1" s="1"/>
  <c r="C25" i="1"/>
  <c r="C26" i="1" s="1"/>
  <c r="C27" i="1" s="1"/>
  <c r="C28" i="1" s="1"/>
  <c r="C29" i="1" s="1"/>
  <c r="C30" i="1" s="1"/>
  <c r="C31" i="1" s="1"/>
  <c r="C32" i="1" s="1"/>
  <c r="C33" i="1" s="1"/>
  <c r="C34" i="1" s="1"/>
  <c r="C172" i="1"/>
  <c r="C173" i="1" s="1"/>
  <c r="C174" i="1" s="1"/>
  <c r="C175" i="1" s="1"/>
  <c r="C176" i="1" s="1"/>
  <c r="C177" i="1" s="1"/>
  <c r="C178" i="1" s="1"/>
  <c r="C179" i="1" s="1"/>
  <c r="C180" i="1" s="1"/>
  <c r="C181" i="1" s="1"/>
  <c r="C182" i="1" s="1"/>
  <c r="C183" i="1" s="1"/>
  <c r="C184" i="1" s="1"/>
  <c r="C185" i="1" s="1"/>
  <c r="C186" i="1" s="1"/>
  <c r="C187" i="1" s="1"/>
  <c r="C188" i="1" s="1"/>
  <c r="C189" i="1" s="1"/>
  <c r="C190" i="1" s="1"/>
  <c r="C191" i="1" s="1"/>
  <c r="C192" i="1" s="1"/>
  <c r="C193" i="1" s="1"/>
  <c r="C194" i="1" s="1"/>
  <c r="C195" i="1" s="1"/>
  <c r="C196" i="1" s="1"/>
  <c r="C197" i="1" s="1"/>
  <c r="C198" i="1" s="1"/>
  <c r="C199" i="1" s="1"/>
  <c r="C200" i="1" s="1"/>
  <c r="C201" i="1" s="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0" i="1" s="1"/>
  <c r="C331" i="1" s="1"/>
  <c r="C332" i="1" s="1"/>
  <c r="C333" i="1" s="1"/>
  <c r="C334" i="1" s="1"/>
  <c r="C335" i="1" s="1"/>
  <c r="C336" i="1" s="1"/>
  <c r="C163" i="1"/>
  <c r="C164" i="1" s="1"/>
  <c r="C165" i="1" s="1"/>
  <c r="C166" i="1" s="1"/>
  <c r="C167" i="1" s="1"/>
  <c r="C168" i="1" s="1"/>
  <c r="C169" i="1" s="1"/>
  <c r="C170" i="1" s="1"/>
  <c r="C171" i="1" s="1"/>
  <c r="AH554" i="2"/>
  <c r="A25" i="1"/>
  <c r="A172" i="1"/>
  <c r="A95" i="1"/>
  <c r="A181" i="1"/>
  <c r="A35" i="1"/>
  <c r="A114" i="1"/>
  <c r="A132" i="1"/>
  <c r="A55" i="1"/>
  <c r="A85" i="1"/>
  <c r="A142" i="1"/>
  <c r="A152" i="1"/>
  <c r="A162" i="1"/>
  <c r="A15" i="1"/>
  <c r="A65" i="1"/>
  <c r="A123" i="1"/>
  <c r="A75" i="1"/>
  <c r="A45" i="1"/>
  <c r="A105" i="1"/>
  <c r="B162" i="1" l="1"/>
  <c r="B114" i="1"/>
  <c r="B172" i="1"/>
  <c r="B35" i="1"/>
  <c r="B123" i="1"/>
  <c r="B152" i="1"/>
  <c r="B85" i="1"/>
  <c r="B25" i="1"/>
  <c r="B65" i="1"/>
  <c r="B142" i="1"/>
  <c r="B181" i="1"/>
  <c r="B75" i="1"/>
  <c r="B45" i="1"/>
  <c r="B95" i="1"/>
  <c r="B55" i="1"/>
  <c r="B15" i="1"/>
  <c r="B105" i="1"/>
  <c r="B132" i="1"/>
  <c r="AG554" i="2"/>
  <c r="AF554" i="2"/>
  <c r="AE554" i="2"/>
  <c r="AD554" i="2"/>
  <c r="AC554" i="2"/>
  <c r="AB554" i="2"/>
  <c r="AA554" i="2"/>
  <c r="Z554" i="2"/>
  <c r="Y554" i="2"/>
  <c r="X554" i="2"/>
  <c r="A56" i="1"/>
  <c r="A36" i="1"/>
  <c r="A153" i="1"/>
  <c r="A76" i="1"/>
  <c r="A163" i="1"/>
  <c r="A143" i="1"/>
  <c r="A46" i="1"/>
  <c r="A133" i="1"/>
  <c r="A106" i="1"/>
  <c r="A16" i="1"/>
  <c r="A96" i="1"/>
  <c r="A173" i="1"/>
  <c r="A66" i="1"/>
  <c r="A115" i="1"/>
  <c r="A86" i="1"/>
  <c r="A26" i="1"/>
  <c r="A182" i="1"/>
  <c r="A124" i="1"/>
  <c r="B16" i="1" l="1"/>
  <c r="B96" i="1"/>
  <c r="B143" i="1"/>
  <c r="B153" i="1"/>
  <c r="B115" i="1"/>
  <c r="B133" i="1"/>
  <c r="B76" i="1"/>
  <c r="B26" i="1"/>
  <c r="B36" i="1"/>
  <c r="B106" i="1"/>
  <c r="B56" i="1"/>
  <c r="B46" i="1"/>
  <c r="B182" i="1"/>
  <c r="B66" i="1"/>
  <c r="B86" i="1"/>
  <c r="B124" i="1"/>
  <c r="B173" i="1"/>
  <c r="B163" i="1"/>
  <c r="A77" i="1"/>
  <c r="A125" i="1"/>
  <c r="A47" i="1"/>
  <c r="A144" i="1"/>
  <c r="A17" i="1"/>
  <c r="A183" i="1"/>
  <c r="A116" i="1"/>
  <c r="A57" i="1"/>
  <c r="A27" i="1"/>
  <c r="A97" i="1"/>
  <c r="A107" i="1"/>
  <c r="A164" i="1"/>
  <c r="A134" i="1"/>
  <c r="A37" i="1"/>
  <c r="A87" i="1"/>
  <c r="A174" i="1"/>
  <c r="A67" i="1"/>
  <c r="A154" i="1"/>
  <c r="B164" i="1" l="1"/>
  <c r="B125" i="1"/>
  <c r="B67" i="1"/>
  <c r="B47" i="1"/>
  <c r="B107" i="1"/>
  <c r="B27" i="1"/>
  <c r="B134" i="1"/>
  <c r="B154" i="1"/>
  <c r="B97" i="1"/>
  <c r="B174" i="1"/>
  <c r="B87" i="1"/>
  <c r="B183" i="1"/>
  <c r="B57" i="1"/>
  <c r="B37" i="1"/>
  <c r="B77" i="1"/>
  <c r="B116" i="1"/>
  <c r="B144" i="1"/>
  <c r="B17" i="1"/>
  <c r="B18" i="1" l="1"/>
  <c r="B117" i="1"/>
  <c r="B38" i="1"/>
  <c r="B184" i="1"/>
  <c r="B175" i="1"/>
  <c r="B155" i="1"/>
  <c r="B28" i="1"/>
  <c r="B48" i="1"/>
  <c r="B126" i="1"/>
  <c r="B145" i="1"/>
  <c r="B78" i="1"/>
  <c r="B58" i="1"/>
  <c r="B88" i="1"/>
  <c r="B98" i="1"/>
  <c r="B135" i="1"/>
  <c r="B108" i="1"/>
  <c r="B68" i="1"/>
  <c r="B165" i="1"/>
  <c r="A185" i="1"/>
  <c r="A155" i="1"/>
  <c r="A58" i="1"/>
  <c r="A136" i="1"/>
  <c r="A108" i="1"/>
  <c r="A176" i="1"/>
  <c r="A184" i="1"/>
  <c r="A18" i="1"/>
  <c r="A135" i="1"/>
  <c r="A127" i="1"/>
  <c r="A49" i="1"/>
  <c r="A79" i="1"/>
  <c r="A146" i="1"/>
  <c r="A68" i="1"/>
  <c r="A109" i="1"/>
  <c r="A59" i="1"/>
  <c r="A89" i="1"/>
  <c r="A99" i="1"/>
  <c r="A48" i="1"/>
  <c r="A117" i="1"/>
  <c r="A156" i="1"/>
  <c r="A118" i="1"/>
  <c r="A29" i="1"/>
  <c r="A145" i="1"/>
  <c r="A78" i="1"/>
  <c r="A19" i="1"/>
  <c r="A88" i="1"/>
  <c r="A38" i="1"/>
  <c r="A69" i="1"/>
  <c r="A39" i="1"/>
  <c r="A126" i="1"/>
  <c r="A28" i="1"/>
  <c r="A98" i="1"/>
  <c r="A175" i="1"/>
  <c r="A166" i="1"/>
  <c r="A165" i="1"/>
  <c r="B166" i="1" l="1"/>
  <c r="B109" i="1"/>
  <c r="B99" i="1"/>
  <c r="B59" i="1"/>
  <c r="B146" i="1"/>
  <c r="B49" i="1"/>
  <c r="B156" i="1"/>
  <c r="B185" i="1"/>
  <c r="B118" i="1"/>
  <c r="B69" i="1"/>
  <c r="B136" i="1"/>
  <c r="B89" i="1"/>
  <c r="B79" i="1"/>
  <c r="B127" i="1"/>
  <c r="B29" i="1"/>
  <c r="B176" i="1"/>
  <c r="B39" i="1"/>
  <c r="B19" i="1"/>
  <c r="A90" i="1"/>
  <c r="A110" i="1"/>
  <c r="A50" i="1"/>
  <c r="A137" i="1"/>
  <c r="D18" i="2"/>
  <c r="A177" i="1"/>
  <c r="A119" i="1"/>
  <c r="A80" i="1"/>
  <c r="A157" i="1"/>
  <c r="A147" i="1"/>
  <c r="A20" i="1"/>
  <c r="A60" i="1"/>
  <c r="A128" i="1"/>
  <c r="A70" i="1"/>
  <c r="A40" i="1"/>
  <c r="A167" i="1"/>
  <c r="A30" i="1"/>
  <c r="A186" i="1"/>
  <c r="A100" i="1"/>
  <c r="B20" i="1" l="1"/>
  <c r="B177" i="1"/>
  <c r="B128" i="1"/>
  <c r="B90" i="1"/>
  <c r="B70" i="1"/>
  <c r="B186" i="1"/>
  <c r="B50" i="1"/>
  <c r="B60" i="1"/>
  <c r="B110" i="1"/>
  <c r="B40" i="1"/>
  <c r="B30" i="1"/>
  <c r="B80" i="1"/>
  <c r="B137" i="1"/>
  <c r="B119" i="1"/>
  <c r="B157" i="1"/>
  <c r="B147" i="1"/>
  <c r="B100" i="1"/>
  <c r="B167" i="1"/>
  <c r="F4" i="2"/>
  <c r="A168" i="1"/>
  <c r="A138" i="1"/>
  <c r="A101" i="1"/>
  <c r="A81" i="1"/>
  <c r="A129" i="1"/>
  <c r="A178" i="1"/>
  <c r="A61" i="1"/>
  <c r="A21" i="1"/>
  <c r="A51" i="1"/>
  <c r="A71" i="1"/>
  <c r="A31" i="1"/>
  <c r="A91" i="1"/>
  <c r="A187" i="1"/>
  <c r="A41" i="1"/>
  <c r="A158" i="1"/>
  <c r="A148" i="1"/>
  <c r="A111" i="1"/>
  <c r="A120" i="1"/>
  <c r="B168" i="1" l="1"/>
  <c r="B148" i="1"/>
  <c r="B120" i="1"/>
  <c r="B81" i="1"/>
  <c r="B41" i="1"/>
  <c r="B61" i="1"/>
  <c r="B187" i="1"/>
  <c r="B91" i="1"/>
  <c r="B178" i="1"/>
  <c r="B101" i="1"/>
  <c r="B158" i="1"/>
  <c r="B138" i="1"/>
  <c r="B31" i="1"/>
  <c r="B111" i="1"/>
  <c r="B51" i="1"/>
  <c r="B71" i="1"/>
  <c r="B129" i="1"/>
  <c r="B21" i="1"/>
  <c r="G8" i="2"/>
  <c r="H3" i="2"/>
  <c r="H1" i="2" s="1"/>
  <c r="H2" i="2"/>
  <c r="B22" i="1" l="1"/>
  <c r="B72" i="1"/>
  <c r="B112" i="1"/>
  <c r="B139" i="1"/>
  <c r="B102" i="1"/>
  <c r="B92" i="1"/>
  <c r="B62" i="1"/>
  <c r="B82" i="1"/>
  <c r="B149" i="1"/>
  <c r="B130" i="1"/>
  <c r="B52" i="1"/>
  <c r="B32" i="1"/>
  <c r="B159" i="1"/>
  <c r="B179" i="1"/>
  <c r="B188" i="1"/>
  <c r="B42" i="1"/>
  <c r="B121" i="1"/>
  <c r="B169" i="1"/>
  <c r="W20" i="2"/>
  <c r="W185" i="2"/>
  <c r="W97" i="2"/>
  <c r="W141" i="2"/>
  <c r="W53" i="2"/>
  <c r="W9" i="2"/>
  <c r="W196" i="2"/>
  <c r="W152" i="2"/>
  <c r="W108" i="2"/>
  <c r="W174" i="2"/>
  <c r="W64" i="2"/>
  <c r="W130" i="2"/>
  <c r="W86" i="2"/>
  <c r="W42" i="2"/>
  <c r="W119" i="2"/>
  <c r="W75" i="2"/>
  <c r="W31" i="2"/>
  <c r="W207" i="2"/>
  <c r="W163" i="2"/>
  <c r="I2" i="2"/>
  <c r="I3" i="2"/>
  <c r="I8" i="2" s="1"/>
  <c r="H8" i="2"/>
  <c r="A52" i="1"/>
  <c r="A103" i="1"/>
  <c r="A122" i="1"/>
  <c r="A140" i="1"/>
  <c r="A83" i="1"/>
  <c r="A73" i="1"/>
  <c r="A42" i="1"/>
  <c r="A22" i="1"/>
  <c r="A63" i="1"/>
  <c r="A179" i="1"/>
  <c r="A53" i="1"/>
  <c r="A113" i="1"/>
  <c r="A23" i="1"/>
  <c r="A170" i="1"/>
  <c r="A180" i="1"/>
  <c r="A139" i="1"/>
  <c r="A32" i="1"/>
  <c r="A62" i="1"/>
  <c r="A149" i="1"/>
  <c r="A43" i="1"/>
  <c r="A131" i="1"/>
  <c r="A188" i="1"/>
  <c r="A72" i="1"/>
  <c r="A189" i="1"/>
  <c r="A169" i="1"/>
  <c r="A102" i="1"/>
  <c r="A93" i="1"/>
  <c r="A159" i="1"/>
  <c r="A130" i="1"/>
  <c r="A92" i="1"/>
  <c r="A112" i="1"/>
  <c r="A160" i="1"/>
  <c r="A33" i="1"/>
  <c r="A121" i="1"/>
  <c r="A82" i="1"/>
  <c r="A150" i="1"/>
  <c r="B170" i="1" l="1"/>
  <c r="B43" i="1"/>
  <c r="B180" i="1"/>
  <c r="B33" i="1"/>
  <c r="B131" i="1"/>
  <c r="B83" i="1"/>
  <c r="B93" i="1"/>
  <c r="B140" i="1"/>
  <c r="B73" i="1"/>
  <c r="B122" i="1"/>
  <c r="B189" i="1"/>
  <c r="B160" i="1"/>
  <c r="B53" i="1"/>
  <c r="B150" i="1"/>
  <c r="B63" i="1"/>
  <c r="B103" i="1"/>
  <c r="B113" i="1"/>
  <c r="B23" i="1"/>
  <c r="I243" i="142"/>
  <c r="I187" i="142"/>
  <c r="I131" i="142"/>
  <c r="I75" i="142"/>
  <c r="I19" i="142"/>
  <c r="F310" i="143"/>
  <c r="F233" i="143"/>
  <c r="F157" i="143"/>
  <c r="F81" i="143"/>
  <c r="I145" i="142"/>
  <c r="I33" i="142"/>
  <c r="F176" i="143"/>
  <c r="I257" i="142"/>
  <c r="I201" i="142"/>
  <c r="I89" i="142"/>
  <c r="F329" i="143"/>
  <c r="F252" i="143"/>
  <c r="F100" i="143"/>
  <c r="F23" i="143"/>
  <c r="F62" i="143"/>
  <c r="F138" i="143"/>
  <c r="I159" i="142"/>
  <c r="I229" i="142"/>
  <c r="I47" i="142"/>
  <c r="I103" i="142"/>
  <c r="I215" i="142"/>
  <c r="F291" i="143"/>
  <c r="F43" i="143"/>
  <c r="F5" i="143"/>
  <c r="F214" i="143"/>
  <c r="I5" i="142"/>
  <c r="I61" i="142"/>
  <c r="F119" i="143"/>
  <c r="I117" i="142"/>
  <c r="F195" i="143"/>
  <c r="I173" i="142"/>
  <c r="F348" i="143"/>
  <c r="F271" i="143"/>
  <c r="X185" i="2"/>
  <c r="X97" i="2"/>
  <c r="X20" i="2"/>
  <c r="X141" i="2"/>
  <c r="X53" i="2"/>
  <c r="X196" i="2"/>
  <c r="X152" i="2"/>
  <c r="X108" i="2"/>
  <c r="X174" i="2"/>
  <c r="X64" i="2"/>
  <c r="X130" i="2"/>
  <c r="X9" i="2"/>
  <c r="X86" i="2"/>
  <c r="X42" i="2"/>
  <c r="X75" i="2"/>
  <c r="X31" i="2"/>
  <c r="X207" i="2"/>
  <c r="X163" i="2"/>
  <c r="X119" i="2"/>
  <c r="AJ196" i="2"/>
  <c r="AJ152" i="2"/>
  <c r="AJ64" i="2"/>
  <c r="AJ108" i="2"/>
  <c r="AJ20" i="2"/>
  <c r="AJ130" i="2"/>
  <c r="AJ174" i="2"/>
  <c r="AJ31" i="2"/>
  <c r="AJ549" i="2"/>
  <c r="AJ75" i="2"/>
  <c r="AJ9" i="2"/>
  <c r="AJ119" i="2"/>
  <c r="AJ53" i="2"/>
  <c r="AJ86" i="2"/>
  <c r="AJ163" i="2"/>
  <c r="AJ141" i="2"/>
  <c r="AJ42" i="2"/>
  <c r="AJ207" i="2"/>
  <c r="AJ97" i="2"/>
  <c r="AJ185" i="2"/>
  <c r="Y20" i="2"/>
  <c r="Y196" i="2"/>
  <c r="Y185" i="2"/>
  <c r="Y141" i="2"/>
  <c r="Y97" i="2"/>
  <c r="Y53" i="2"/>
  <c r="Y108" i="2"/>
  <c r="Y174" i="2"/>
  <c r="Y64" i="2"/>
  <c r="Y130" i="2"/>
  <c r="Y9" i="2"/>
  <c r="Y86" i="2"/>
  <c r="Y42" i="2"/>
  <c r="Y75" i="2"/>
  <c r="Y152" i="2"/>
  <c r="Y31" i="2"/>
  <c r="Y207" i="2"/>
  <c r="Y163" i="2"/>
  <c r="Y119" i="2"/>
  <c r="I1" i="2"/>
  <c r="J2" i="2"/>
  <c r="J3" i="2"/>
  <c r="J8" i="2" s="1"/>
  <c r="A64" i="1"/>
  <c r="A94" i="1"/>
  <c r="A34" i="1"/>
  <c r="A84" i="1"/>
  <c r="A104" i="1"/>
  <c r="A141" i="1"/>
  <c r="A54" i="1"/>
  <c r="A161" i="1"/>
  <c r="A24" i="1"/>
  <c r="A74" i="1"/>
  <c r="A44" i="1"/>
  <c r="A190" i="1"/>
  <c r="A151" i="1"/>
  <c r="A171" i="1"/>
  <c r="B104" i="1" l="1"/>
  <c r="B151" i="1"/>
  <c r="B161" i="1"/>
  <c r="B24" i="1"/>
  <c r="B74" i="1"/>
  <c r="B94" i="1"/>
  <c r="B44" i="1"/>
  <c r="B64" i="1"/>
  <c r="B54" i="1"/>
  <c r="B190" i="1"/>
  <c r="B34" i="1"/>
  <c r="B141" i="1"/>
  <c r="B84" i="1"/>
  <c r="B171" i="1"/>
  <c r="H5" i="143"/>
  <c r="K257" i="142"/>
  <c r="K201" i="142"/>
  <c r="K145" i="142"/>
  <c r="K89" i="142"/>
  <c r="K33" i="142"/>
  <c r="H329" i="143"/>
  <c r="H252" i="143"/>
  <c r="H176" i="143"/>
  <c r="H100" i="143"/>
  <c r="H23" i="143"/>
  <c r="K19" i="142"/>
  <c r="K159" i="142"/>
  <c r="K75" i="142"/>
  <c r="H214" i="143"/>
  <c r="H291" i="143"/>
  <c r="K103" i="142"/>
  <c r="H138" i="143"/>
  <c r="K215" i="142"/>
  <c r="K131" i="142"/>
  <c r="H43" i="143"/>
  <c r="K187" i="142"/>
  <c r="K5" i="142"/>
  <c r="H119" i="143"/>
  <c r="K243" i="142"/>
  <c r="K61" i="142"/>
  <c r="H62" i="143"/>
  <c r="K117" i="142"/>
  <c r="H271" i="143"/>
  <c r="H195" i="143"/>
  <c r="K173" i="142"/>
  <c r="H348" i="143"/>
  <c r="H81" i="143"/>
  <c r="H233" i="143"/>
  <c r="K229" i="142"/>
  <c r="K47" i="142"/>
  <c r="H157" i="143"/>
  <c r="H310" i="143"/>
  <c r="J243" i="142"/>
  <c r="J187" i="142"/>
  <c r="J131" i="142"/>
  <c r="J75" i="142"/>
  <c r="J19" i="142"/>
  <c r="G310" i="143"/>
  <c r="G233" i="143"/>
  <c r="G157" i="143"/>
  <c r="G81" i="143"/>
  <c r="G5" i="143"/>
  <c r="J257" i="142"/>
  <c r="J201" i="142"/>
  <c r="J89" i="142"/>
  <c r="J33" i="142"/>
  <c r="G23" i="143"/>
  <c r="J145" i="142"/>
  <c r="G329" i="143"/>
  <c r="G252" i="143"/>
  <c r="G176" i="143"/>
  <c r="G100" i="143"/>
  <c r="J229" i="142"/>
  <c r="J47" i="142"/>
  <c r="G62" i="143"/>
  <c r="J103" i="142"/>
  <c r="J159" i="142"/>
  <c r="G214" i="143"/>
  <c r="G138" i="143"/>
  <c r="J215" i="142"/>
  <c r="G291" i="143"/>
  <c r="G43" i="143"/>
  <c r="J5" i="142"/>
  <c r="J61" i="142"/>
  <c r="G119" i="143"/>
  <c r="J117" i="142"/>
  <c r="G271" i="143"/>
  <c r="G195" i="143"/>
  <c r="G348" i="143"/>
  <c r="J173" i="142"/>
  <c r="Z185" i="2"/>
  <c r="Z141" i="2"/>
  <c r="Z97" i="2"/>
  <c r="Z53" i="2"/>
  <c r="Z152" i="2"/>
  <c r="Z64" i="2"/>
  <c r="Z196" i="2"/>
  <c r="Z108" i="2"/>
  <c r="Z9" i="2"/>
  <c r="Z174" i="2"/>
  <c r="Z130" i="2"/>
  <c r="Z86" i="2"/>
  <c r="Z42" i="2"/>
  <c r="Z75" i="2"/>
  <c r="Z31" i="2"/>
  <c r="Z207" i="2"/>
  <c r="Z163" i="2"/>
  <c r="Z119" i="2"/>
  <c r="Z20" i="2"/>
  <c r="AK196" i="2"/>
  <c r="AK152" i="2"/>
  <c r="AK108" i="2"/>
  <c r="AK64" i="2"/>
  <c r="AK20" i="2"/>
  <c r="AK130" i="2"/>
  <c r="AK174" i="2"/>
  <c r="AK31" i="2"/>
  <c r="AK549" i="2"/>
  <c r="AK75" i="2"/>
  <c r="AK9" i="2"/>
  <c r="AK119" i="2"/>
  <c r="AK53" i="2"/>
  <c r="AK163" i="2"/>
  <c r="AK207" i="2"/>
  <c r="AK141" i="2"/>
  <c r="AK86" i="2"/>
  <c r="AK97" i="2"/>
  <c r="AK185" i="2"/>
  <c r="AK42" i="2"/>
  <c r="AL163" i="2"/>
  <c r="AL119" i="2"/>
  <c r="AL31" i="2"/>
  <c r="AL196" i="2"/>
  <c r="AL152" i="2"/>
  <c r="AL108" i="2"/>
  <c r="AL64" i="2"/>
  <c r="AL20" i="2"/>
  <c r="AL207" i="2"/>
  <c r="AL75" i="2"/>
  <c r="AL174" i="2"/>
  <c r="AL549" i="2"/>
  <c r="AL9" i="2"/>
  <c r="AL53" i="2"/>
  <c r="AL97" i="2"/>
  <c r="AL130" i="2"/>
  <c r="AL141" i="2"/>
  <c r="AL86" i="2"/>
  <c r="AL185" i="2"/>
  <c r="AL42" i="2"/>
  <c r="K3" i="2"/>
  <c r="K8" i="2" s="1"/>
  <c r="J1" i="2"/>
  <c r="K2" i="2"/>
  <c r="A191" i="1"/>
  <c r="B191" i="1" l="1"/>
  <c r="L257" i="142"/>
  <c r="L201" i="142"/>
  <c r="L145" i="142"/>
  <c r="L89" i="142"/>
  <c r="L33" i="142"/>
  <c r="I329" i="143"/>
  <c r="I252" i="143"/>
  <c r="I176" i="143"/>
  <c r="I100" i="143"/>
  <c r="I23" i="143"/>
  <c r="L103" i="142"/>
  <c r="L19" i="142"/>
  <c r="I138" i="143"/>
  <c r="I291" i="143"/>
  <c r="I43" i="143"/>
  <c r="L159" i="142"/>
  <c r="L75" i="142"/>
  <c r="I214" i="143"/>
  <c r="L215" i="142"/>
  <c r="L131" i="142"/>
  <c r="L187" i="142"/>
  <c r="L5" i="142"/>
  <c r="I119" i="143"/>
  <c r="I5" i="143"/>
  <c r="L243" i="142"/>
  <c r="L61" i="142"/>
  <c r="I62" i="143"/>
  <c r="L117" i="142"/>
  <c r="I271" i="143"/>
  <c r="I195" i="143"/>
  <c r="L173" i="142"/>
  <c r="I348" i="143"/>
  <c r="L229" i="142"/>
  <c r="I157" i="143"/>
  <c r="L47" i="142"/>
  <c r="I81" i="143"/>
  <c r="I233" i="143"/>
  <c r="I310" i="143"/>
  <c r="AM196" i="2"/>
  <c r="AM152" i="2"/>
  <c r="AM108" i="2"/>
  <c r="AM64" i="2"/>
  <c r="AM20" i="2"/>
  <c r="AM207" i="2"/>
  <c r="AM119" i="2"/>
  <c r="AM163" i="2"/>
  <c r="AM75" i="2"/>
  <c r="AM31" i="2"/>
  <c r="AM174" i="2"/>
  <c r="AM549" i="2"/>
  <c r="AM9" i="2"/>
  <c r="AM53" i="2"/>
  <c r="AM97" i="2"/>
  <c r="AM141" i="2"/>
  <c r="AM130" i="2"/>
  <c r="AM185" i="2"/>
  <c r="AM42" i="2"/>
  <c r="AM86" i="2"/>
  <c r="AA152" i="2"/>
  <c r="AA64" i="2"/>
  <c r="AA196" i="2"/>
  <c r="AA108" i="2"/>
  <c r="AA9" i="2"/>
  <c r="AA130" i="2"/>
  <c r="AA86" i="2"/>
  <c r="AA42" i="2"/>
  <c r="AA163" i="2"/>
  <c r="AA207" i="2"/>
  <c r="AA31" i="2"/>
  <c r="AA75" i="2"/>
  <c r="AA185" i="2"/>
  <c r="AA141" i="2"/>
  <c r="AA97" i="2"/>
  <c r="AA174" i="2"/>
  <c r="AA53" i="2"/>
  <c r="AA119" i="2"/>
  <c r="AA20" i="2"/>
  <c r="K1" i="2"/>
  <c r="L3" i="2"/>
  <c r="M3" i="2" s="1"/>
  <c r="L2" i="2"/>
  <c r="A192" i="1"/>
  <c r="B192" i="1" l="1"/>
  <c r="M257" i="142"/>
  <c r="M201" i="142"/>
  <c r="M145" i="142"/>
  <c r="M89" i="142"/>
  <c r="M33" i="142"/>
  <c r="J329" i="143"/>
  <c r="J252" i="143"/>
  <c r="J176" i="143"/>
  <c r="J100" i="143"/>
  <c r="J23" i="143"/>
  <c r="M215" i="142"/>
  <c r="M103" i="142"/>
  <c r="J348" i="143"/>
  <c r="J119" i="143"/>
  <c r="J43" i="143"/>
  <c r="M159" i="142"/>
  <c r="M47" i="142"/>
  <c r="J271" i="143"/>
  <c r="J195" i="143"/>
  <c r="M75" i="142"/>
  <c r="J291" i="143"/>
  <c r="M5" i="142"/>
  <c r="J214" i="143"/>
  <c r="M131" i="142"/>
  <c r="M187" i="142"/>
  <c r="J5" i="143"/>
  <c r="M61" i="142"/>
  <c r="J81" i="143"/>
  <c r="M243" i="142"/>
  <c r="M117" i="142"/>
  <c r="J138" i="143"/>
  <c r="M173" i="142"/>
  <c r="J233" i="143"/>
  <c r="M19" i="142"/>
  <c r="J62" i="143"/>
  <c r="M229" i="142"/>
  <c r="J157" i="143"/>
  <c r="J310" i="143"/>
  <c r="AN207" i="2"/>
  <c r="AN119" i="2"/>
  <c r="AN31" i="2"/>
  <c r="AN163" i="2"/>
  <c r="AN75" i="2"/>
  <c r="AN549" i="2"/>
  <c r="AN152" i="2"/>
  <c r="AN9" i="2"/>
  <c r="AN196" i="2"/>
  <c r="AN53" i="2"/>
  <c r="AN97" i="2"/>
  <c r="AN141" i="2"/>
  <c r="AN174" i="2"/>
  <c r="AN130" i="2"/>
  <c r="AN20" i="2"/>
  <c r="AN64" i="2"/>
  <c r="AN108" i="2"/>
  <c r="AN185" i="2"/>
  <c r="AN42" i="2"/>
  <c r="AN86" i="2"/>
  <c r="L1" i="2"/>
  <c r="L8" i="2"/>
  <c r="M2" i="2"/>
  <c r="N3" i="2"/>
  <c r="M1" i="2"/>
  <c r="M8" i="2"/>
  <c r="B193" i="1" l="1"/>
  <c r="AC196" i="2"/>
  <c r="AC152" i="2"/>
  <c r="AC108" i="2"/>
  <c r="AC64" i="2"/>
  <c r="AC9" i="2"/>
  <c r="AC207" i="2"/>
  <c r="AC42" i="2"/>
  <c r="AC163" i="2"/>
  <c r="AC119" i="2"/>
  <c r="AC75" i="2"/>
  <c r="AC31" i="2"/>
  <c r="AC185" i="2"/>
  <c r="AC141" i="2"/>
  <c r="AC97" i="2"/>
  <c r="AC174" i="2"/>
  <c r="AC53" i="2"/>
  <c r="AC130" i="2"/>
  <c r="AC20" i="2"/>
  <c r="AC86" i="2"/>
  <c r="AB152" i="2"/>
  <c r="AB64" i="2"/>
  <c r="AB196" i="2"/>
  <c r="AB108" i="2"/>
  <c r="AB9" i="2"/>
  <c r="AB86" i="2"/>
  <c r="AB42" i="2"/>
  <c r="AB163" i="2"/>
  <c r="AB207" i="2"/>
  <c r="AB119" i="2"/>
  <c r="AB31" i="2"/>
  <c r="AB185" i="2"/>
  <c r="AB75" i="2"/>
  <c r="AB141" i="2"/>
  <c r="AB97" i="2"/>
  <c r="AB174" i="2"/>
  <c r="AB53" i="2"/>
  <c r="AB130" i="2"/>
  <c r="AB20" i="2"/>
  <c r="N2" i="2"/>
  <c r="O3" i="2"/>
  <c r="P3" i="2" s="1"/>
  <c r="N1" i="2"/>
  <c r="N8" i="2"/>
  <c r="T199" i="2" l="1"/>
  <c r="AO549" i="2"/>
  <c r="AO174" i="2"/>
  <c r="AO130" i="2"/>
  <c r="AO86" i="2"/>
  <c r="AO42" i="2"/>
  <c r="AO31" i="2"/>
  <c r="AO207" i="2"/>
  <c r="AO163" i="2"/>
  <c r="AO119" i="2"/>
  <c r="AO75" i="2"/>
  <c r="AO196" i="2"/>
  <c r="AO152" i="2"/>
  <c r="AO108" i="2"/>
  <c r="AO64" i="2"/>
  <c r="AO20" i="2"/>
  <c r="AO185" i="2"/>
  <c r="AO141" i="2"/>
  <c r="AO97" i="2"/>
  <c r="AO53" i="2"/>
  <c r="AO9" i="2"/>
  <c r="B194" i="1"/>
  <c r="N257" i="142"/>
  <c r="N201" i="142"/>
  <c r="N145" i="142"/>
  <c r="N89" i="142"/>
  <c r="N33" i="142"/>
  <c r="K329" i="143"/>
  <c r="K252" i="143"/>
  <c r="K176" i="143"/>
  <c r="K100" i="143"/>
  <c r="K23" i="143"/>
  <c r="N159" i="142"/>
  <c r="K348" i="143"/>
  <c r="K271" i="143"/>
  <c r="K195" i="143"/>
  <c r="N215" i="142"/>
  <c r="N103" i="142"/>
  <c r="N47" i="142"/>
  <c r="K119" i="143"/>
  <c r="K43" i="143"/>
  <c r="N75" i="142"/>
  <c r="K214" i="143"/>
  <c r="N5" i="142"/>
  <c r="N131" i="142"/>
  <c r="K291" i="143"/>
  <c r="N187" i="142"/>
  <c r="K5" i="143"/>
  <c r="N243" i="142"/>
  <c r="N61" i="142"/>
  <c r="K81" i="143"/>
  <c r="N117" i="142"/>
  <c r="K138" i="143"/>
  <c r="N173" i="142"/>
  <c r="N229" i="142"/>
  <c r="K157" i="143"/>
  <c r="K310" i="143"/>
  <c r="N19" i="142"/>
  <c r="K62" i="143"/>
  <c r="K233" i="143"/>
  <c r="O215" i="142"/>
  <c r="O159" i="142"/>
  <c r="O103" i="142"/>
  <c r="O47" i="142"/>
  <c r="L348" i="143"/>
  <c r="L271" i="143"/>
  <c r="L195" i="143"/>
  <c r="L119" i="143"/>
  <c r="L43" i="143"/>
  <c r="L176" i="143"/>
  <c r="O5" i="142"/>
  <c r="L5" i="143"/>
  <c r="O243" i="142"/>
  <c r="O61" i="142"/>
  <c r="O131" i="142"/>
  <c r="L291" i="143"/>
  <c r="O187" i="142"/>
  <c r="L252" i="143"/>
  <c r="L329" i="143"/>
  <c r="L81" i="143"/>
  <c r="O117" i="142"/>
  <c r="O33" i="142"/>
  <c r="L157" i="143"/>
  <c r="O173" i="142"/>
  <c r="O229" i="142"/>
  <c r="O89" i="142"/>
  <c r="O145" i="142"/>
  <c r="O19" i="142"/>
  <c r="L62" i="143"/>
  <c r="O75" i="142"/>
  <c r="L214" i="143"/>
  <c r="L23" i="143"/>
  <c r="L233" i="143"/>
  <c r="L100" i="143"/>
  <c r="L310" i="143"/>
  <c r="O201" i="142"/>
  <c r="O257" i="142"/>
  <c r="L138" i="143"/>
  <c r="AD196" i="2"/>
  <c r="AD152" i="2"/>
  <c r="AD108" i="2"/>
  <c r="AD64" i="2"/>
  <c r="AD9" i="2"/>
  <c r="AD119" i="2"/>
  <c r="AD31" i="2"/>
  <c r="AD207" i="2"/>
  <c r="AD163" i="2"/>
  <c r="AD75" i="2"/>
  <c r="AD185" i="2"/>
  <c r="AD141" i="2"/>
  <c r="AD97" i="2"/>
  <c r="AD174" i="2"/>
  <c r="AD53" i="2"/>
  <c r="AD130" i="2"/>
  <c r="AD20" i="2"/>
  <c r="AD86" i="2"/>
  <c r="AD42" i="2"/>
  <c r="AP549" i="2"/>
  <c r="AP86" i="2"/>
  <c r="AP207" i="2"/>
  <c r="AP163" i="2"/>
  <c r="AP119" i="2"/>
  <c r="AP75" i="2"/>
  <c r="AP31" i="2"/>
  <c r="AP174" i="2"/>
  <c r="AP130" i="2"/>
  <c r="AP42" i="2"/>
  <c r="AP196" i="2"/>
  <c r="AP53" i="2"/>
  <c r="AP97" i="2"/>
  <c r="AP141" i="2"/>
  <c r="AP20" i="2"/>
  <c r="AP64" i="2"/>
  <c r="AP108" i="2"/>
  <c r="AP185" i="2"/>
  <c r="AP152" i="2"/>
  <c r="AP9" i="2"/>
  <c r="O2" i="2"/>
  <c r="P8" i="2"/>
  <c r="P1" i="2"/>
  <c r="Q3" i="2"/>
  <c r="O1" i="2"/>
  <c r="O8" i="2"/>
  <c r="B195" i="1" l="1"/>
  <c r="P215" i="142"/>
  <c r="P159" i="142"/>
  <c r="P103" i="142"/>
  <c r="P47" i="142"/>
  <c r="M348" i="143"/>
  <c r="M271" i="143"/>
  <c r="M195" i="143"/>
  <c r="M119" i="143"/>
  <c r="M43" i="143"/>
  <c r="P131" i="142"/>
  <c r="M291" i="143"/>
  <c r="M176" i="143"/>
  <c r="P187" i="142"/>
  <c r="M252" i="143"/>
  <c r="P243" i="142"/>
  <c r="P5" i="142"/>
  <c r="M5" i="143"/>
  <c r="P61" i="142"/>
  <c r="M329" i="143"/>
  <c r="M81" i="143"/>
  <c r="P117" i="142"/>
  <c r="P33" i="142"/>
  <c r="M157" i="143"/>
  <c r="P173" i="142"/>
  <c r="P229" i="142"/>
  <c r="M233" i="143"/>
  <c r="M100" i="143"/>
  <c r="P145" i="142"/>
  <c r="M310" i="143"/>
  <c r="P201" i="142"/>
  <c r="M62" i="143"/>
  <c r="M214" i="143"/>
  <c r="M23" i="143"/>
  <c r="P89" i="142"/>
  <c r="P19" i="142"/>
  <c r="P257" i="142"/>
  <c r="P75" i="142"/>
  <c r="M138" i="143"/>
  <c r="AF207" i="2"/>
  <c r="AF119" i="2"/>
  <c r="AF31" i="2"/>
  <c r="AF163" i="2"/>
  <c r="AF75" i="2"/>
  <c r="AF9" i="2"/>
  <c r="AF185" i="2"/>
  <c r="AF141" i="2"/>
  <c r="AF97" i="2"/>
  <c r="AF53" i="2"/>
  <c r="AF20" i="2"/>
  <c r="AF152" i="2"/>
  <c r="AF130" i="2"/>
  <c r="AF42" i="2"/>
  <c r="AF108" i="2"/>
  <c r="AF174" i="2"/>
  <c r="AF64" i="2"/>
  <c r="AF86" i="2"/>
  <c r="AF196" i="2"/>
  <c r="AQ207" i="2"/>
  <c r="AQ163" i="2"/>
  <c r="AQ119" i="2"/>
  <c r="AQ75" i="2"/>
  <c r="AQ31" i="2"/>
  <c r="AQ86" i="2"/>
  <c r="AQ42" i="2"/>
  <c r="AQ549" i="2"/>
  <c r="AQ174" i="2"/>
  <c r="AQ130" i="2"/>
  <c r="AQ196" i="2"/>
  <c r="AQ53" i="2"/>
  <c r="AQ97" i="2"/>
  <c r="AQ141" i="2"/>
  <c r="AQ185" i="2"/>
  <c r="AQ20" i="2"/>
  <c r="AQ152" i="2"/>
  <c r="AQ9" i="2"/>
  <c r="AQ64" i="2"/>
  <c r="AQ108" i="2"/>
  <c r="AE207" i="2"/>
  <c r="AE119" i="2"/>
  <c r="AE31" i="2"/>
  <c r="AE163" i="2"/>
  <c r="AE75" i="2"/>
  <c r="AE64" i="2"/>
  <c r="AE9" i="2"/>
  <c r="AE185" i="2"/>
  <c r="AE141" i="2"/>
  <c r="AE97" i="2"/>
  <c r="AE196" i="2"/>
  <c r="AE152" i="2"/>
  <c r="AE53" i="2"/>
  <c r="AE108" i="2"/>
  <c r="AE174" i="2"/>
  <c r="AE130" i="2"/>
  <c r="AE20" i="2"/>
  <c r="AE86" i="2"/>
  <c r="AE42" i="2"/>
  <c r="P2" i="2"/>
  <c r="R3" i="2"/>
  <c r="Q1" i="2"/>
  <c r="Q8" i="2"/>
  <c r="B196" i="1" l="1"/>
  <c r="Q215" i="142"/>
  <c r="Q159" i="142"/>
  <c r="Q103" i="142"/>
  <c r="Q47" i="142"/>
  <c r="N348" i="143"/>
  <c r="N271" i="143"/>
  <c r="N195" i="143"/>
  <c r="N119" i="143"/>
  <c r="N43" i="143"/>
  <c r="Q229" i="142"/>
  <c r="Q173" i="142"/>
  <c r="Q61" i="142"/>
  <c r="N291" i="143"/>
  <c r="N214" i="143"/>
  <c r="Q117" i="142"/>
  <c r="Q5" i="142"/>
  <c r="N138" i="143"/>
  <c r="N62" i="143"/>
  <c r="N252" i="143"/>
  <c r="Q243" i="142"/>
  <c r="Q187" i="142"/>
  <c r="N5" i="143"/>
  <c r="N329" i="143"/>
  <c r="N81" i="143"/>
  <c r="Q33" i="142"/>
  <c r="N157" i="143"/>
  <c r="Q89" i="142"/>
  <c r="N233" i="143"/>
  <c r="N23" i="143"/>
  <c r="N100" i="143"/>
  <c r="N310" i="143"/>
  <c r="N176" i="143"/>
  <c r="Q19" i="142"/>
  <c r="Q257" i="142"/>
  <c r="Q145" i="142"/>
  <c r="Q201" i="142"/>
  <c r="Q75" i="142"/>
  <c r="Q131" i="142"/>
  <c r="R215" i="142"/>
  <c r="R159" i="142"/>
  <c r="R103" i="142"/>
  <c r="R47" i="142"/>
  <c r="O348" i="143"/>
  <c r="O271" i="143"/>
  <c r="O195" i="143"/>
  <c r="O119" i="143"/>
  <c r="O43" i="143"/>
  <c r="R117" i="142"/>
  <c r="O291" i="143"/>
  <c r="O214" i="143"/>
  <c r="O138" i="143"/>
  <c r="O62" i="143"/>
  <c r="R229" i="142"/>
  <c r="R173" i="142"/>
  <c r="R61" i="142"/>
  <c r="R5" i="142"/>
  <c r="R187" i="142"/>
  <c r="O252" i="143"/>
  <c r="O5" i="143"/>
  <c r="O329" i="143"/>
  <c r="O81" i="143"/>
  <c r="R33" i="142"/>
  <c r="R243" i="142"/>
  <c r="O157" i="143"/>
  <c r="R89" i="142"/>
  <c r="O233" i="143"/>
  <c r="O23" i="143"/>
  <c r="O100" i="143"/>
  <c r="R145" i="142"/>
  <c r="R201" i="142"/>
  <c r="R75" i="142"/>
  <c r="R131" i="142"/>
  <c r="O310" i="143"/>
  <c r="O176" i="143"/>
  <c r="R19" i="142"/>
  <c r="R257" i="142"/>
  <c r="AR174" i="2"/>
  <c r="AR86" i="2"/>
  <c r="AR549" i="2"/>
  <c r="AR130" i="2"/>
  <c r="AR42" i="2"/>
  <c r="AR97" i="2"/>
  <c r="AR31" i="2"/>
  <c r="AR141" i="2"/>
  <c r="AR75" i="2"/>
  <c r="AR185" i="2"/>
  <c r="AR119" i="2"/>
  <c r="AR163" i="2"/>
  <c r="AR20" i="2"/>
  <c r="AR207" i="2"/>
  <c r="AR64" i="2"/>
  <c r="AR152" i="2"/>
  <c r="AR108" i="2"/>
  <c r="AR9" i="2"/>
  <c r="AR196" i="2"/>
  <c r="AR53" i="2"/>
  <c r="AG207" i="2"/>
  <c r="AG163" i="2"/>
  <c r="AG119" i="2"/>
  <c r="AG75" i="2"/>
  <c r="AG31" i="2"/>
  <c r="AG174" i="2"/>
  <c r="AG185" i="2"/>
  <c r="AG141" i="2"/>
  <c r="AG97" i="2"/>
  <c r="AG53" i="2"/>
  <c r="AG20" i="2"/>
  <c r="AG108" i="2"/>
  <c r="AG152" i="2"/>
  <c r="AG64" i="2"/>
  <c r="AG130" i="2"/>
  <c r="AG9" i="2"/>
  <c r="AG86" i="2"/>
  <c r="AG42" i="2"/>
  <c r="AG196" i="2"/>
  <c r="AS549" i="2"/>
  <c r="AS174" i="2"/>
  <c r="AS130" i="2"/>
  <c r="AS86" i="2"/>
  <c r="AS42" i="2"/>
  <c r="AS97" i="2"/>
  <c r="AS31" i="2"/>
  <c r="AS141" i="2"/>
  <c r="AS75" i="2"/>
  <c r="AS185" i="2"/>
  <c r="AS119" i="2"/>
  <c r="AS163" i="2"/>
  <c r="AS20" i="2"/>
  <c r="AS207" i="2"/>
  <c r="AS64" i="2"/>
  <c r="AS108" i="2"/>
  <c r="AS152" i="2"/>
  <c r="AS9" i="2"/>
  <c r="AS196" i="2"/>
  <c r="AS53" i="2"/>
  <c r="Q2" i="2"/>
  <c r="R1" i="2"/>
  <c r="R8" i="2"/>
  <c r="F5" i="2"/>
  <c r="F6" i="2"/>
  <c r="B197" i="1" l="1"/>
  <c r="S229" i="142"/>
  <c r="S173" i="142"/>
  <c r="S117" i="142"/>
  <c r="S61" i="142"/>
  <c r="S5" i="142"/>
  <c r="P291" i="143"/>
  <c r="P214" i="143"/>
  <c r="P138" i="143"/>
  <c r="P62" i="143"/>
  <c r="P329" i="143"/>
  <c r="P81" i="143"/>
  <c r="P43" i="143"/>
  <c r="S89" i="142"/>
  <c r="S243" i="142"/>
  <c r="S159" i="142"/>
  <c r="S215" i="142"/>
  <c r="S33" i="142"/>
  <c r="P157" i="143"/>
  <c r="P233" i="143"/>
  <c r="P119" i="143"/>
  <c r="S145" i="142"/>
  <c r="P310" i="143"/>
  <c r="P195" i="143"/>
  <c r="P348" i="143"/>
  <c r="P23" i="143"/>
  <c r="S47" i="142"/>
  <c r="S103" i="142"/>
  <c r="P176" i="143"/>
  <c r="S201" i="142"/>
  <c r="P5" i="143"/>
  <c r="S257" i="142"/>
  <c r="S131" i="142"/>
  <c r="S187" i="142"/>
  <c r="P271" i="143"/>
  <c r="P100" i="143"/>
  <c r="P252" i="143"/>
  <c r="S19" i="142"/>
  <c r="S75" i="142"/>
  <c r="AH207" i="2"/>
  <c r="AH163" i="2"/>
  <c r="AH119" i="2"/>
  <c r="AH75" i="2"/>
  <c r="AH31" i="2"/>
  <c r="AH174" i="2"/>
  <c r="AH86" i="2"/>
  <c r="AH130" i="2"/>
  <c r="AH42" i="2"/>
  <c r="AH185" i="2"/>
  <c r="AH141" i="2"/>
  <c r="AH97" i="2"/>
  <c r="AH53" i="2"/>
  <c r="AH20" i="2"/>
  <c r="AH108" i="2"/>
  <c r="AH64" i="2"/>
  <c r="AH9" i="2"/>
  <c r="AH196" i="2"/>
  <c r="AH152" i="2"/>
  <c r="AT185" i="2"/>
  <c r="AT141" i="2"/>
  <c r="AT53" i="2"/>
  <c r="AT9" i="2"/>
  <c r="AT549" i="2"/>
  <c r="AT174" i="2"/>
  <c r="AT130" i="2"/>
  <c r="AT86" i="2"/>
  <c r="AT42" i="2"/>
  <c r="AT97" i="2"/>
  <c r="AT75" i="2"/>
  <c r="AT119" i="2"/>
  <c r="AT163" i="2"/>
  <c r="AT20" i="2"/>
  <c r="AT207" i="2"/>
  <c r="AT64" i="2"/>
  <c r="AT31" i="2"/>
  <c r="AT108" i="2"/>
  <c r="AT152" i="2"/>
  <c r="AT196" i="2"/>
  <c r="R2" i="2"/>
  <c r="W186" i="2"/>
  <c r="X203" i="2"/>
  <c r="G312" i="143"/>
  <c r="G258" i="143"/>
  <c r="AC210" i="2"/>
  <c r="F352" i="143"/>
  <c r="AB12" i="2"/>
  <c r="G334" i="143"/>
  <c r="AG34" i="2"/>
  <c r="X177" i="2"/>
  <c r="J206" i="142"/>
  <c r="J246" i="142"/>
  <c r="X155" i="2"/>
  <c r="F312" i="143"/>
  <c r="G352" i="143"/>
  <c r="G299" i="143"/>
  <c r="AA34" i="2"/>
  <c r="O189" i="142"/>
  <c r="G293" i="143"/>
  <c r="Z194" i="2"/>
  <c r="Y210" i="2"/>
  <c r="J207" i="142"/>
  <c r="AE78" i="2"/>
  <c r="AH67" i="2"/>
  <c r="AD133" i="2"/>
  <c r="AH188" i="2"/>
  <c r="F274" i="143"/>
  <c r="AC155" i="2"/>
  <c r="AB78" i="2"/>
  <c r="AC144" i="2"/>
  <c r="Y166" i="2"/>
  <c r="AF23" i="2"/>
  <c r="A193" i="1"/>
  <c r="AE122" i="2"/>
  <c r="AG12" i="2"/>
  <c r="G314" i="143"/>
  <c r="X166" i="2"/>
  <c r="Y122" i="2"/>
  <c r="AD177" i="2"/>
  <c r="I263" i="142"/>
  <c r="W67" i="2"/>
  <c r="Q189" i="142"/>
  <c r="X133" i="2"/>
  <c r="F282" i="143"/>
  <c r="G281" i="143"/>
  <c r="AG100" i="2"/>
  <c r="J189" i="142"/>
  <c r="X186" i="2"/>
  <c r="I206" i="142"/>
  <c r="J247" i="142"/>
  <c r="G261" i="143"/>
  <c r="I190" i="142"/>
  <c r="Y45" i="2"/>
  <c r="G356" i="143"/>
  <c r="W34" i="2"/>
  <c r="AF122" i="2"/>
  <c r="G262" i="143"/>
  <c r="N189" i="142"/>
  <c r="I204" i="142"/>
  <c r="I231" i="142"/>
  <c r="F313" i="143"/>
  <c r="F339" i="143"/>
  <c r="A197" i="1"/>
  <c r="Y177" i="2"/>
  <c r="AE133" i="2"/>
  <c r="AE100" i="2"/>
  <c r="J192" i="142"/>
  <c r="AB56" i="2"/>
  <c r="G260" i="143"/>
  <c r="F351" i="143"/>
  <c r="G338" i="143"/>
  <c r="AB89" i="2"/>
  <c r="G332" i="143"/>
  <c r="Y56" i="2"/>
  <c r="J248" i="142"/>
  <c r="AA89" i="2"/>
  <c r="I235" i="142"/>
  <c r="AB34" i="2"/>
  <c r="X56" i="2"/>
  <c r="AD210" i="2"/>
  <c r="I207" i="142"/>
  <c r="I220" i="142"/>
  <c r="Y78" i="2"/>
  <c r="J219" i="142"/>
  <c r="X100" i="2"/>
  <c r="AG122" i="2"/>
  <c r="F281" i="143"/>
  <c r="AD78" i="2"/>
  <c r="J259" i="142"/>
  <c r="AH166" i="2"/>
  <c r="I246" i="142"/>
  <c r="W175" i="2"/>
  <c r="G277" i="143"/>
  <c r="F350" i="143"/>
  <c r="P189" i="142"/>
  <c r="AC89" i="2"/>
  <c r="F295" i="143"/>
  <c r="J235" i="142"/>
  <c r="F7" i="143"/>
  <c r="AA56" i="2"/>
  <c r="X23" i="2"/>
  <c r="I10" i="142"/>
  <c r="W170" i="2"/>
  <c r="AA133" i="2"/>
  <c r="F279" i="143"/>
  <c r="G279" i="143"/>
  <c r="E390" i="143"/>
  <c r="AF56" i="2"/>
  <c r="X122" i="2"/>
  <c r="F254" i="143"/>
  <c r="AE56" i="2"/>
  <c r="AG89" i="2"/>
  <c r="G282" i="143"/>
  <c r="J263" i="142"/>
  <c r="J205" i="142"/>
  <c r="F338" i="143"/>
  <c r="AE177" i="2"/>
  <c r="F315" i="143"/>
  <c r="AA155" i="2"/>
  <c r="G301" i="143"/>
  <c r="I221" i="142"/>
  <c r="AH34" i="2"/>
  <c r="J233" i="142"/>
  <c r="AF34" i="2"/>
  <c r="F259" i="143"/>
  <c r="W164" i="2"/>
  <c r="W216" i="2"/>
  <c r="W56" i="2"/>
  <c r="AG166" i="2"/>
  <c r="AE210" i="2"/>
  <c r="W210" i="2"/>
  <c r="AB133" i="2"/>
  <c r="AG133" i="2"/>
  <c r="Z133" i="2"/>
  <c r="AH56" i="2"/>
  <c r="W23" i="2"/>
  <c r="AC34" i="2"/>
  <c r="W172" i="2"/>
  <c r="AG210" i="2"/>
  <c r="F257" i="143"/>
  <c r="AB155" i="2"/>
  <c r="G280" i="143"/>
  <c r="F258" i="143"/>
  <c r="AA172" i="2"/>
  <c r="I217" i="142"/>
  <c r="J260" i="142"/>
  <c r="Z216" i="2"/>
  <c r="X161" i="2"/>
  <c r="AH45" i="2"/>
  <c r="I247" i="142"/>
  <c r="X34" i="2"/>
  <c r="A194" i="1"/>
  <c r="J221" i="142"/>
  <c r="AE155" i="2"/>
  <c r="AD23" i="2"/>
  <c r="J191" i="142"/>
  <c r="AE89" i="2"/>
  <c r="AG155" i="2"/>
  <c r="AC100" i="2"/>
  <c r="G255" i="143"/>
  <c r="AE166" i="2"/>
  <c r="Z78" i="2"/>
  <c r="X45" i="2"/>
  <c r="AC133" i="2"/>
  <c r="AE144" i="2"/>
  <c r="F320" i="143"/>
  <c r="F260" i="143"/>
  <c r="J261" i="142"/>
  <c r="G350" i="143"/>
  <c r="AB172" i="2"/>
  <c r="AE34" i="2"/>
  <c r="W194" i="2"/>
  <c r="AD122" i="2"/>
  <c r="Z56" i="2"/>
  <c r="AB23" i="2"/>
  <c r="I245" i="142"/>
  <c r="J262" i="142"/>
  <c r="Y188" i="2"/>
  <c r="F301" i="143"/>
  <c r="X164" i="2"/>
  <c r="F296" i="143"/>
  <c r="F278" i="143"/>
  <c r="F337" i="143"/>
  <c r="AA122" i="2"/>
  <c r="F294" i="143"/>
  <c r="X194" i="2"/>
  <c r="J218" i="142"/>
  <c r="I261" i="142"/>
  <c r="J231" i="142"/>
  <c r="G358" i="143"/>
  <c r="AG78" i="2"/>
  <c r="F297" i="143"/>
  <c r="X159" i="2"/>
  <c r="AH133" i="2"/>
  <c r="G331" i="143"/>
  <c r="X214" i="2"/>
  <c r="F298" i="143"/>
  <c r="X153" i="2"/>
  <c r="Z210" i="2"/>
  <c r="AC166" i="2"/>
  <c r="X175" i="2"/>
  <c r="AB188" i="2"/>
  <c r="Z45" i="2"/>
  <c r="X181" i="2"/>
  <c r="I191" i="142"/>
  <c r="X144" i="2"/>
  <c r="AC45" i="2"/>
  <c r="AH155" i="2"/>
  <c r="W12" i="2"/>
  <c r="I260" i="142"/>
  <c r="I189" i="142"/>
  <c r="W203" i="2"/>
  <c r="Y67" i="2"/>
  <c r="AD89" i="2"/>
  <c r="AB210" i="2"/>
  <c r="F275" i="143"/>
  <c r="AH23" i="2"/>
  <c r="AD12" i="2"/>
  <c r="Y12" i="2"/>
  <c r="S189" i="142"/>
  <c r="AD188" i="2"/>
  <c r="AF89" i="2"/>
  <c r="J203" i="142"/>
  <c r="AH100" i="2"/>
  <c r="Z34" i="2"/>
  <c r="AE12" i="2"/>
  <c r="AF133" i="2"/>
  <c r="AB122" i="2"/>
  <c r="AD67" i="2"/>
  <c r="G353" i="143"/>
  <c r="W192" i="2"/>
  <c r="W177" i="2"/>
  <c r="J217" i="142"/>
  <c r="F256" i="143"/>
  <c r="AF67" i="2"/>
  <c r="Z172" i="2"/>
  <c r="Z177" i="2"/>
  <c r="F353" i="143"/>
  <c r="AD144" i="2"/>
  <c r="W159" i="2"/>
  <c r="G298" i="143"/>
  <c r="Z12" i="2"/>
  <c r="I193" i="142"/>
  <c r="F277" i="143"/>
  <c r="G339" i="143"/>
  <c r="Z67" i="2"/>
  <c r="F262" i="143"/>
  <c r="AA166" i="2"/>
  <c r="F333" i="143"/>
  <c r="I232" i="142"/>
  <c r="J193" i="142"/>
  <c r="Z89" i="2"/>
  <c r="W183" i="2"/>
  <c r="F317" i="143"/>
  <c r="AC122" i="2"/>
  <c r="AE23" i="2"/>
  <c r="Z188" i="2"/>
  <c r="AB177" i="2"/>
  <c r="F354" i="143"/>
  <c r="Z100" i="2"/>
  <c r="G294" i="143"/>
  <c r="AA12" i="2"/>
  <c r="X67" i="2"/>
  <c r="I259" i="142"/>
  <c r="W89" i="2"/>
  <c r="AC23" i="2"/>
  <c r="W153" i="2"/>
  <c r="Z23" i="2"/>
  <c r="G315" i="143"/>
  <c r="A195" i="1"/>
  <c r="X210" i="2"/>
  <c r="F293" i="143"/>
  <c r="F280" i="143"/>
  <c r="W133" i="2"/>
  <c r="Z155" i="2"/>
  <c r="G318" i="143"/>
  <c r="AC188" i="2"/>
  <c r="F299" i="143"/>
  <c r="AA45" i="2"/>
  <c r="F356" i="143"/>
  <c r="X183" i="2"/>
  <c r="AA210" i="2"/>
  <c r="G337" i="143"/>
  <c r="G355" i="143"/>
  <c r="AE45" i="2"/>
  <c r="F318" i="143"/>
  <c r="G257" i="143"/>
  <c r="AA177" i="2"/>
  <c r="Y100" i="2"/>
  <c r="K189" i="142"/>
  <c r="J245" i="142"/>
  <c r="Y89" i="2"/>
  <c r="L189" i="142"/>
  <c r="J190" i="142"/>
  <c r="G256" i="143"/>
  <c r="AF12" i="2"/>
  <c r="G336" i="143"/>
  <c r="AH122" i="2"/>
  <c r="G297" i="143"/>
  <c r="AF78" i="2"/>
  <c r="W181" i="2"/>
  <c r="F300" i="143"/>
  <c r="G275" i="143"/>
  <c r="X208" i="2"/>
  <c r="AA78" i="2"/>
  <c r="F255" i="143"/>
  <c r="G295" i="143"/>
  <c r="G313" i="143"/>
  <c r="Y34" i="2"/>
  <c r="J220" i="142"/>
  <c r="F334" i="143"/>
  <c r="AD155" i="2"/>
  <c r="X188" i="2"/>
  <c r="G296" i="143"/>
  <c r="Z122" i="2"/>
  <c r="G276" i="143"/>
  <c r="Z144" i="2"/>
  <c r="Y133" i="2"/>
  <c r="AF155" i="2"/>
  <c r="A196" i="1"/>
  <c r="X170" i="2"/>
  <c r="AB144" i="2"/>
  <c r="J232" i="142"/>
  <c r="G335" i="143"/>
  <c r="G357" i="143"/>
  <c r="I203" i="142"/>
  <c r="X78" i="2"/>
  <c r="X12" i="2"/>
  <c r="G333" i="143"/>
  <c r="W205" i="2"/>
  <c r="J204" i="142"/>
  <c r="G320" i="143"/>
  <c r="I192" i="142"/>
  <c r="G316" i="143"/>
  <c r="W197" i="2"/>
  <c r="AA144" i="2"/>
  <c r="F355" i="143"/>
  <c r="AG67" i="2"/>
  <c r="AC177" i="2"/>
  <c r="AH12" i="2"/>
  <c r="G274" i="143"/>
  <c r="AB100" i="2"/>
  <c r="J249" i="142"/>
  <c r="AE67" i="2"/>
  <c r="AD34" i="2"/>
  <c r="X197" i="2"/>
  <c r="W78" i="2"/>
  <c r="AG23" i="2"/>
  <c r="F357" i="143"/>
  <c r="G259" i="143"/>
  <c r="W188" i="2"/>
  <c r="W155" i="2"/>
  <c r="AC67" i="2"/>
  <c r="AB45" i="2"/>
  <c r="W214" i="2"/>
  <c r="W166" i="2"/>
  <c r="W100" i="2"/>
  <c r="X192" i="2"/>
  <c r="AG45" i="2"/>
  <c r="R189" i="142"/>
  <c r="G273" i="143"/>
  <c r="F332" i="143"/>
  <c r="AF177" i="2"/>
  <c r="AF166" i="2"/>
  <c r="G300" i="143"/>
  <c r="AG177" i="2"/>
  <c r="AF144" i="2"/>
  <c r="Y144" i="2"/>
  <c r="G319" i="143"/>
  <c r="AD100" i="2"/>
  <c r="AE188" i="2"/>
  <c r="F314" i="143"/>
  <c r="J234" i="142"/>
  <c r="G351" i="143"/>
  <c r="AA23" i="2"/>
  <c r="G254" i="143"/>
  <c r="F319" i="143"/>
  <c r="T189" i="142"/>
  <c r="AG188" i="2"/>
  <c r="W45" i="2"/>
  <c r="F273" i="143"/>
  <c r="Z166" i="2"/>
  <c r="AA100" i="2"/>
  <c r="I233" i="142"/>
  <c r="F331" i="143"/>
  <c r="AC78" i="2"/>
  <c r="Y155" i="2"/>
  <c r="X89" i="2"/>
  <c r="AA67" i="2"/>
  <c r="F336" i="143"/>
  <c r="AD56" i="2"/>
  <c r="Z183" i="2"/>
  <c r="AD166" i="2"/>
  <c r="AF45" i="2"/>
  <c r="AD45" i="2"/>
  <c r="F261" i="143"/>
  <c r="I218" i="142"/>
  <c r="W122" i="2"/>
  <c r="G317" i="143"/>
  <c r="AG144" i="2"/>
  <c r="AB67" i="2"/>
  <c r="I248" i="142"/>
  <c r="F316" i="143"/>
  <c r="AF100" i="2"/>
  <c r="AB166" i="2"/>
  <c r="X216" i="2"/>
  <c r="AC56" i="2"/>
  <c r="F358" i="143"/>
  <c r="X172" i="2"/>
  <c r="G278" i="143"/>
  <c r="F335" i="143"/>
  <c r="I262" i="142"/>
  <c r="AG56" i="2"/>
  <c r="Y23" i="2"/>
  <c r="W161" i="2"/>
  <c r="I205" i="142"/>
  <c r="I234" i="142"/>
  <c r="AF188" i="2"/>
  <c r="I219" i="142"/>
  <c r="AA188" i="2"/>
  <c r="E391" i="143"/>
  <c r="AF210" i="2"/>
  <c r="F276" i="143"/>
  <c r="M189" i="142"/>
  <c r="G354" i="143"/>
  <c r="I249" i="142"/>
  <c r="A198" i="1"/>
  <c r="T122" i="2" l="1"/>
  <c r="F341" i="143"/>
  <c r="F284" i="143"/>
  <c r="T45" i="2"/>
  <c r="G264" i="143"/>
  <c r="G284" i="143"/>
  <c r="T100" i="2"/>
  <c r="T166" i="2"/>
  <c r="T155" i="2"/>
  <c r="T188" i="2"/>
  <c r="T78" i="2"/>
  <c r="AH552" i="2"/>
  <c r="X552" i="2"/>
  <c r="I208" i="142"/>
  <c r="AF552" i="2"/>
  <c r="J250" i="142"/>
  <c r="T133" i="2"/>
  <c r="F303" i="143"/>
  <c r="AC552" i="2"/>
  <c r="T89" i="2"/>
  <c r="I264" i="142"/>
  <c r="AA552" i="2"/>
  <c r="Z552" i="2"/>
  <c r="J222" i="142"/>
  <c r="T177" i="2"/>
  <c r="AE552" i="2"/>
  <c r="J208" i="142"/>
  <c r="Y552" i="2"/>
  <c r="AD552" i="2"/>
  <c r="I194" i="142"/>
  <c r="U189" i="142"/>
  <c r="T12" i="2"/>
  <c r="T144" i="2"/>
  <c r="G341" i="143"/>
  <c r="J236" i="142"/>
  <c r="I250" i="142"/>
  <c r="G360" i="143"/>
  <c r="I222" i="142"/>
  <c r="T23" i="2"/>
  <c r="T210" i="2"/>
  <c r="T56" i="2"/>
  <c r="F264" i="143"/>
  <c r="F360" i="143"/>
  <c r="J264" i="142"/>
  <c r="I236" i="142"/>
  <c r="T34" i="2"/>
  <c r="J194" i="142"/>
  <c r="T67" i="2"/>
  <c r="AG552" i="2"/>
  <c r="G303" i="143"/>
  <c r="F322" i="143"/>
  <c r="AB552" i="2"/>
  <c r="G322" i="143"/>
  <c r="B198" i="1"/>
  <c r="T229" i="142"/>
  <c r="T173" i="142"/>
  <c r="T117" i="142"/>
  <c r="T61" i="142"/>
  <c r="T5" i="142"/>
  <c r="Q291" i="143"/>
  <c r="Q214" i="143"/>
  <c r="Q138" i="143"/>
  <c r="Q62" i="143"/>
  <c r="T243" i="142"/>
  <c r="T159" i="142"/>
  <c r="Q329" i="143"/>
  <c r="Q81" i="143"/>
  <c r="T215" i="142"/>
  <c r="T33" i="142"/>
  <c r="Q157" i="143"/>
  <c r="T89" i="142"/>
  <c r="Q43" i="143"/>
  <c r="Q233" i="143"/>
  <c r="Q119" i="143"/>
  <c r="T145" i="142"/>
  <c r="Q310" i="143"/>
  <c r="Q195" i="143"/>
  <c r="Q271" i="143"/>
  <c r="Q348" i="143"/>
  <c r="Q23" i="143"/>
  <c r="T47" i="142"/>
  <c r="Q100" i="143"/>
  <c r="T103" i="142"/>
  <c r="Q252" i="143"/>
  <c r="T19" i="142"/>
  <c r="T75" i="142"/>
  <c r="T187" i="142"/>
  <c r="Q176" i="143"/>
  <c r="T201" i="142"/>
  <c r="Q5" i="143"/>
  <c r="T257" i="142"/>
  <c r="T131" i="142"/>
  <c r="AU549" i="2"/>
  <c r="AU174" i="2"/>
  <c r="AU130" i="2"/>
  <c r="AU86" i="2"/>
  <c r="AU42" i="2"/>
  <c r="AU141" i="2"/>
  <c r="AU53" i="2"/>
  <c r="AU9" i="2"/>
  <c r="AU185" i="2"/>
  <c r="AU97" i="2"/>
  <c r="AU75" i="2"/>
  <c r="AU119" i="2"/>
  <c r="AU163" i="2"/>
  <c r="AU20" i="2"/>
  <c r="AU207" i="2"/>
  <c r="AU64" i="2"/>
  <c r="AU108" i="2"/>
  <c r="AU31" i="2"/>
  <c r="AU152" i="2"/>
  <c r="AU196" i="2"/>
  <c r="W156" i="2"/>
  <c r="X178" i="2"/>
  <c r="X200" i="2"/>
  <c r="A199" i="1"/>
  <c r="X167" i="2"/>
  <c r="X189" i="2"/>
  <c r="X156" i="2"/>
  <c r="X211" i="2"/>
  <c r="W200" i="2"/>
  <c r="W178" i="2"/>
  <c r="W189" i="2"/>
  <c r="W167" i="2"/>
  <c r="W211" i="2"/>
  <c r="W213" i="2" l="1"/>
  <c r="W215" i="2" s="1"/>
  <c r="W169" i="2"/>
  <c r="W171" i="2" s="1"/>
  <c r="W191" i="2"/>
  <c r="W193" i="2" s="1"/>
  <c r="W180" i="2"/>
  <c r="W182" i="2" s="1"/>
  <c r="W202" i="2"/>
  <c r="W204" i="2" s="1"/>
  <c r="X213" i="2"/>
  <c r="X215" i="2" s="1"/>
  <c r="X158" i="2"/>
  <c r="X160" i="2" s="1"/>
  <c r="X191" i="2"/>
  <c r="X193" i="2" s="1"/>
  <c r="X169" i="2"/>
  <c r="X171" i="2" s="1"/>
  <c r="X202" i="2"/>
  <c r="X204" i="2" s="1"/>
  <c r="X180" i="2"/>
  <c r="X182" i="2" s="1"/>
  <c r="W158" i="2"/>
  <c r="W160" i="2" s="1"/>
  <c r="B199" i="1"/>
  <c r="A200" i="1"/>
  <c r="B200" i="1" l="1"/>
  <c r="A201" i="1"/>
  <c r="B201" i="1" l="1"/>
  <c r="A202" i="1"/>
  <c r="B202" i="1" l="1"/>
  <c r="A203" i="1"/>
  <c r="B203" i="1" l="1"/>
  <c r="W554" i="2"/>
  <c r="E181" i="1"/>
  <c r="A204" i="1"/>
  <c r="B204" i="1" l="1"/>
  <c r="A205" i="1"/>
  <c r="B205" i="1" l="1"/>
  <c r="W552" i="2"/>
  <c r="T552" i="2" s="1"/>
  <c r="A206" i="1"/>
  <c r="C10" i="141" l="1"/>
  <c r="B206" i="1"/>
  <c r="A207" i="1"/>
  <c r="E13" i="1"/>
  <c r="D5" i="1"/>
  <c r="E8" i="1"/>
  <c r="E7" i="1"/>
  <c r="E5" i="1"/>
  <c r="E11" i="1"/>
  <c r="E12" i="1"/>
  <c r="E6" i="1"/>
  <c r="E10" i="1"/>
  <c r="E9" i="1"/>
  <c r="B207" i="1" l="1"/>
  <c r="G19" i="2"/>
  <c r="G20" i="2"/>
  <c r="H19" i="2"/>
  <c r="H20" i="2"/>
  <c r="I20" i="2"/>
  <c r="I19" i="2"/>
  <c r="J20" i="2"/>
  <c r="J19" i="2"/>
  <c r="K19" i="2"/>
  <c r="K20" i="2"/>
  <c r="L19" i="2"/>
  <c r="L20" i="2"/>
  <c r="M19" i="2"/>
  <c r="M20" i="2"/>
  <c r="N19" i="2"/>
  <c r="N20" i="2"/>
  <c r="O20" i="2"/>
  <c r="O19" i="2"/>
  <c r="P19" i="2"/>
  <c r="P20" i="2"/>
  <c r="Q20" i="2"/>
  <c r="Q19" i="2"/>
  <c r="R19" i="2"/>
  <c r="R20" i="2"/>
  <c r="A208" i="1"/>
  <c r="B208" i="1" l="1"/>
  <c r="C5" i="3"/>
  <c r="C6" i="3" s="1"/>
  <c r="C7" i="3" s="1"/>
  <c r="C8" i="3" s="1"/>
  <c r="C9" i="3" s="1"/>
  <c r="C10" i="3" s="1"/>
  <c r="C11" i="3" s="1"/>
  <c r="C12" i="3" s="1"/>
  <c r="C13" i="3" s="1"/>
  <c r="A209" i="1"/>
  <c r="B209" i="1" l="1"/>
  <c r="C5" i="1"/>
  <c r="C6" i="1" s="1"/>
  <c r="C7" i="1" s="1"/>
  <c r="C8" i="1" s="1"/>
  <c r="C9" i="1" s="1"/>
  <c r="C10" i="1" s="1"/>
  <c r="C11" i="1" s="1"/>
  <c r="C12" i="1" s="1"/>
  <c r="C13" i="1" s="1"/>
  <c r="C14" i="1" s="1"/>
  <c r="A210" i="1"/>
  <c r="A5" i="1"/>
  <c r="B6" i="1" l="1"/>
  <c r="B210" i="1"/>
  <c r="D31" i="2"/>
  <c r="D30" i="2"/>
  <c r="D29" i="2"/>
  <c r="D28" i="2"/>
  <c r="D27" i="2"/>
  <c r="D26" i="2"/>
  <c r="D25" i="2"/>
  <c r="D24" i="2"/>
  <c r="D23" i="2"/>
  <c r="D22" i="2"/>
  <c r="D21" i="2"/>
  <c r="A211" i="1"/>
  <c r="A6" i="1"/>
  <c r="B7" i="1" l="1"/>
  <c r="B211" i="1"/>
  <c r="R31" i="2"/>
  <c r="O31" i="2"/>
  <c r="I31" i="2"/>
  <c r="P31" i="2"/>
  <c r="G31" i="2"/>
  <c r="Q31" i="2"/>
  <c r="K31" i="2"/>
  <c r="L31" i="2"/>
  <c r="M31" i="2"/>
  <c r="H31" i="2"/>
  <c r="N31" i="2"/>
  <c r="J31" i="2"/>
  <c r="R30" i="2"/>
  <c r="O30" i="2"/>
  <c r="J30" i="2"/>
  <c r="I30" i="2"/>
  <c r="L30" i="2"/>
  <c r="P30" i="2"/>
  <c r="G30" i="2"/>
  <c r="M30" i="2"/>
  <c r="H30" i="2"/>
  <c r="N30" i="2"/>
  <c r="Q30" i="2"/>
  <c r="K30" i="2"/>
  <c r="D41" i="2"/>
  <c r="D42" i="2"/>
  <c r="D40" i="2"/>
  <c r="D32" i="2"/>
  <c r="D34" i="2"/>
  <c r="D36" i="2"/>
  <c r="D38" i="2"/>
  <c r="D33" i="2"/>
  <c r="D35" i="2"/>
  <c r="D37" i="2"/>
  <c r="D39" i="2"/>
  <c r="F9" i="2"/>
  <c r="C18" i="2" s="1"/>
  <c r="C14" i="3"/>
  <c r="A7" i="1"/>
  <c r="F38" i="2"/>
  <c r="F23" i="2"/>
  <c r="F26" i="2"/>
  <c r="F32" i="2"/>
  <c r="F35" i="2"/>
  <c r="F37" i="2"/>
  <c r="F28" i="2"/>
  <c r="F33" i="2"/>
  <c r="F24" i="2"/>
  <c r="F39" i="2"/>
  <c r="F27" i="2"/>
  <c r="F11" i="2"/>
  <c r="F36" i="2"/>
  <c r="F40" i="2"/>
  <c r="F34" i="2"/>
  <c r="F14" i="2"/>
  <c r="A212" i="1"/>
  <c r="F21" i="2"/>
  <c r="F25" i="2"/>
  <c r="F22" i="2"/>
  <c r="F10" i="2"/>
  <c r="F29" i="2"/>
  <c r="B212" i="1" l="1"/>
  <c r="B8" i="1"/>
  <c r="P41" i="2"/>
  <c r="Q41" i="2"/>
  <c r="M41" i="2"/>
  <c r="I41" i="2"/>
  <c r="N41" i="2"/>
  <c r="O41" i="2"/>
  <c r="G41" i="2"/>
  <c r="J41" i="2"/>
  <c r="H41" i="2"/>
  <c r="K41" i="2"/>
  <c r="R41" i="2"/>
  <c r="L41" i="2"/>
  <c r="Q42" i="2"/>
  <c r="K42" i="2"/>
  <c r="R42" i="2"/>
  <c r="O42" i="2"/>
  <c r="L42" i="2"/>
  <c r="G42" i="2"/>
  <c r="I42" i="2"/>
  <c r="N42" i="2"/>
  <c r="P42" i="2"/>
  <c r="H42" i="2"/>
  <c r="J42" i="2"/>
  <c r="M42" i="2"/>
  <c r="D53" i="2"/>
  <c r="D52" i="2"/>
  <c r="D43" i="2"/>
  <c r="D49" i="2"/>
  <c r="D47" i="2"/>
  <c r="D46" i="2"/>
  <c r="D45" i="2"/>
  <c r="D44" i="2"/>
  <c r="D48" i="2"/>
  <c r="D50" i="2"/>
  <c r="D51" i="2"/>
  <c r="C15" i="3"/>
  <c r="C16" i="3" s="1"/>
  <c r="C17" i="3" s="1"/>
  <c r="C18" i="3" s="1"/>
  <c r="C19" i="3" s="1"/>
  <c r="C20" i="3" s="1"/>
  <c r="C21" i="3" s="1"/>
  <c r="C22" i="3" s="1"/>
  <c r="C23" i="3" s="1"/>
  <c r="C24" i="3" s="1"/>
  <c r="A10" i="2"/>
  <c r="A11" i="2" s="1"/>
  <c r="C10" i="2"/>
  <c r="C11" i="2"/>
  <c r="C12" i="2"/>
  <c r="C13" i="2"/>
  <c r="C14" i="2"/>
  <c r="C15" i="2"/>
  <c r="C16" i="2"/>
  <c r="C17" i="2"/>
  <c r="A213" i="1"/>
  <c r="F46" i="2"/>
  <c r="F47" i="2"/>
  <c r="F48" i="2"/>
  <c r="A8" i="1"/>
  <c r="F49" i="2"/>
  <c r="F44" i="2"/>
  <c r="F51" i="2"/>
  <c r="F50" i="2"/>
  <c r="F43" i="2"/>
  <c r="F45" i="2"/>
  <c r="S42" i="2" l="1"/>
  <c r="S41" i="2"/>
  <c r="B213" i="1"/>
  <c r="B9" i="1"/>
  <c r="G11" i="2"/>
  <c r="J11" i="2"/>
  <c r="N11" i="2"/>
  <c r="M11" i="2"/>
  <c r="P11" i="2"/>
  <c r="L11" i="2"/>
  <c r="I11" i="2"/>
  <c r="R11" i="2"/>
  <c r="S11" i="2" s="1"/>
  <c r="O11" i="2"/>
  <c r="Q11" i="2"/>
  <c r="K11" i="2"/>
  <c r="H11" i="2"/>
  <c r="O52" i="2"/>
  <c r="P52" i="2"/>
  <c r="N52" i="2"/>
  <c r="R52" i="2"/>
  <c r="I52" i="2"/>
  <c r="Q52" i="2"/>
  <c r="K52" i="2"/>
  <c r="J52" i="2"/>
  <c r="M52" i="2"/>
  <c r="L52" i="2"/>
  <c r="H52" i="2"/>
  <c r="G52" i="2"/>
  <c r="N13" i="2"/>
  <c r="Q13" i="2"/>
  <c r="I13" i="2"/>
  <c r="J13" i="2"/>
  <c r="G13" i="2"/>
  <c r="F18" i="143" s="1"/>
  <c r="P13" i="2"/>
  <c r="H13" i="2"/>
  <c r="O13" i="2"/>
  <c r="M13" i="2"/>
  <c r="K13" i="2"/>
  <c r="L13" i="2"/>
  <c r="R13" i="2"/>
  <c r="N53" i="2"/>
  <c r="P53" i="2"/>
  <c r="M53" i="2"/>
  <c r="K53" i="2"/>
  <c r="Q53" i="2"/>
  <c r="H53" i="2"/>
  <c r="G53" i="2"/>
  <c r="O53" i="2"/>
  <c r="L53" i="2"/>
  <c r="I53" i="2"/>
  <c r="J53" i="2"/>
  <c r="R53" i="2"/>
  <c r="Q12" i="2"/>
  <c r="H12" i="2"/>
  <c r="J12" i="2"/>
  <c r="R12" i="2"/>
  <c r="N12" i="2"/>
  <c r="O12" i="2"/>
  <c r="I12" i="2"/>
  <c r="P12" i="2"/>
  <c r="K12" i="2"/>
  <c r="G12" i="2"/>
  <c r="I14" i="142" s="1"/>
  <c r="L12" i="2"/>
  <c r="M12" i="2"/>
  <c r="D64" i="2"/>
  <c r="D63" i="2"/>
  <c r="D61" i="2"/>
  <c r="D59" i="2"/>
  <c r="D60" i="2"/>
  <c r="D57" i="2"/>
  <c r="D58" i="2"/>
  <c r="D56" i="2"/>
  <c r="D55" i="2"/>
  <c r="D62" i="2"/>
  <c r="D54" i="2"/>
  <c r="C25" i="3"/>
  <c r="C26" i="3" s="1"/>
  <c r="C27" i="3" s="1"/>
  <c r="C28" i="3" s="1"/>
  <c r="C29" i="3" s="1"/>
  <c r="C30" i="3" s="1"/>
  <c r="C31" i="3" s="1"/>
  <c r="C32" i="3" s="1"/>
  <c r="C33" i="3" s="1"/>
  <c r="C34" i="3" s="1"/>
  <c r="F549" i="2"/>
  <c r="F13" i="2"/>
  <c r="A214" i="1"/>
  <c r="F18" i="2"/>
  <c r="F59" i="2"/>
  <c r="F62" i="2"/>
  <c r="F56" i="2"/>
  <c r="F17" i="2"/>
  <c r="A9" i="1"/>
  <c r="F61" i="2"/>
  <c r="F57" i="2"/>
  <c r="F12" i="2"/>
  <c r="F60" i="2"/>
  <c r="F15" i="2"/>
  <c r="F54" i="2"/>
  <c r="F58" i="2"/>
  <c r="F16" i="2"/>
  <c r="F55" i="2"/>
  <c r="AO12" i="2" l="1"/>
  <c r="L14" i="142"/>
  <c r="S12" i="2"/>
  <c r="S13" i="2"/>
  <c r="S52" i="2"/>
  <c r="H18" i="143"/>
  <c r="S53" i="2"/>
  <c r="B214" i="1"/>
  <c r="B10" i="1"/>
  <c r="I18" i="143"/>
  <c r="M18" i="143"/>
  <c r="Q18" i="143"/>
  <c r="K18" i="143"/>
  <c r="J18" i="143"/>
  <c r="L18" i="143"/>
  <c r="O18" i="143"/>
  <c r="N18" i="143"/>
  <c r="P18" i="143"/>
  <c r="G18" i="143"/>
  <c r="AN12" i="2"/>
  <c r="M14" i="142"/>
  <c r="AS12" i="2"/>
  <c r="R14" i="142"/>
  <c r="N14" i="142"/>
  <c r="AL12" i="2"/>
  <c r="K14" i="142"/>
  <c r="AR12" i="2"/>
  <c r="Q14" i="142"/>
  <c r="AQ12" i="2"/>
  <c r="P14" i="142"/>
  <c r="AU12" i="2"/>
  <c r="T14" i="142"/>
  <c r="AM12" i="2"/>
  <c r="AP12" i="2"/>
  <c r="O14" i="142"/>
  <c r="AK12" i="2"/>
  <c r="J14" i="142"/>
  <c r="AT12" i="2"/>
  <c r="S14" i="142"/>
  <c r="AJ12" i="2"/>
  <c r="L64" i="2"/>
  <c r="O64" i="2"/>
  <c r="H64" i="2"/>
  <c r="I64" i="2"/>
  <c r="K64" i="2"/>
  <c r="P64" i="2"/>
  <c r="G64" i="2"/>
  <c r="N64" i="2"/>
  <c r="J64" i="2"/>
  <c r="Q64" i="2"/>
  <c r="R64" i="2"/>
  <c r="M64" i="2"/>
  <c r="H63" i="2"/>
  <c r="I63" i="2"/>
  <c r="N63" i="2"/>
  <c r="Q63" i="2"/>
  <c r="M63" i="2"/>
  <c r="J63" i="2"/>
  <c r="O63" i="2"/>
  <c r="P63" i="2"/>
  <c r="G63" i="2"/>
  <c r="R63" i="2"/>
  <c r="K63" i="2"/>
  <c r="L63" i="2"/>
  <c r="D75" i="2"/>
  <c r="D74" i="2"/>
  <c r="D69" i="2"/>
  <c r="D70" i="2"/>
  <c r="D65" i="2"/>
  <c r="D71" i="2"/>
  <c r="D67" i="2"/>
  <c r="D66" i="2"/>
  <c r="D73" i="2"/>
  <c r="D68" i="2"/>
  <c r="D72" i="2"/>
  <c r="C35" i="3"/>
  <c r="C36" i="3" s="1"/>
  <c r="C37" i="3" s="1"/>
  <c r="C38" i="3" s="1"/>
  <c r="C39" i="3" s="1"/>
  <c r="C40" i="3" s="1"/>
  <c r="C41" i="3" s="1"/>
  <c r="C42" i="3" s="1"/>
  <c r="C43" i="3" s="1"/>
  <c r="C44" i="3" s="1"/>
  <c r="C45" i="3" s="1"/>
  <c r="C46" i="3" s="1"/>
  <c r="C47" i="3" s="1"/>
  <c r="C48" i="3" s="1"/>
  <c r="C49" i="3" s="1"/>
  <c r="C50" i="3" s="1"/>
  <c r="C51" i="3" s="1"/>
  <c r="C52" i="3" s="1"/>
  <c r="A12" i="2"/>
  <c r="A13" i="2" s="1"/>
  <c r="A14" i="2" s="1"/>
  <c r="A15" i="2" s="1"/>
  <c r="A16" i="2" s="1"/>
  <c r="A17" i="2" s="1"/>
  <c r="A18" i="2" s="1"/>
  <c r="A19" i="2" s="1"/>
  <c r="A20" i="2" s="1"/>
  <c r="A21" i="2" s="1"/>
  <c r="A22" i="2" s="1"/>
  <c r="A23" i="2" s="1"/>
  <c r="A24" i="2" s="1"/>
  <c r="A25" i="2" s="1"/>
  <c r="A26" i="2" s="1"/>
  <c r="A27" i="2" s="1"/>
  <c r="A28" i="2" s="1"/>
  <c r="A29" i="2" s="1"/>
  <c r="A30" i="2" s="1"/>
  <c r="A31" i="2" s="1"/>
  <c r="B5" i="1"/>
  <c r="F69" i="2"/>
  <c r="F70" i="2"/>
  <c r="F72" i="2"/>
  <c r="F73" i="2"/>
  <c r="F67" i="2"/>
  <c r="A10" i="1"/>
  <c r="F71" i="2"/>
  <c r="F65" i="2"/>
  <c r="A215" i="1"/>
  <c r="F66" i="2"/>
  <c r="F68" i="2"/>
  <c r="E18" i="143" l="1"/>
  <c r="S63" i="2"/>
  <c r="S64" i="2"/>
  <c r="B215" i="1"/>
  <c r="J14" i="2"/>
  <c r="P14" i="2"/>
  <c r="G14" i="2"/>
  <c r="I14" i="2"/>
  <c r="O14" i="2"/>
  <c r="M14" i="2"/>
  <c r="H14" i="2"/>
  <c r="Q14" i="2"/>
  <c r="K14" i="2"/>
  <c r="N14" i="2"/>
  <c r="L14" i="2"/>
  <c r="R14" i="2"/>
  <c r="B11" i="1"/>
  <c r="U14" i="142"/>
  <c r="N74" i="2"/>
  <c r="Q74" i="2"/>
  <c r="G74" i="2"/>
  <c r="K74" i="2"/>
  <c r="L74" i="2"/>
  <c r="J74" i="2"/>
  <c r="P74" i="2"/>
  <c r="H74" i="2"/>
  <c r="I74" i="2"/>
  <c r="M74" i="2"/>
  <c r="R74" i="2"/>
  <c r="O74" i="2"/>
  <c r="R75" i="2"/>
  <c r="I75" i="2"/>
  <c r="P75" i="2"/>
  <c r="J75" i="2"/>
  <c r="N75" i="2"/>
  <c r="M75" i="2"/>
  <c r="G75" i="2"/>
  <c r="H75" i="2"/>
  <c r="O75" i="2"/>
  <c r="L75" i="2"/>
  <c r="K75" i="2"/>
  <c r="Q75" i="2"/>
  <c r="K10" i="2"/>
  <c r="N10" i="2"/>
  <c r="P10" i="2"/>
  <c r="G10" i="2"/>
  <c r="M10" i="2"/>
  <c r="H10" i="2"/>
  <c r="O10" i="2"/>
  <c r="R10" i="2"/>
  <c r="I10" i="2"/>
  <c r="J10" i="2"/>
  <c r="L10" i="2"/>
  <c r="Q10" i="2"/>
  <c r="D85" i="2"/>
  <c r="D86" i="2"/>
  <c r="D81" i="2"/>
  <c r="D82" i="2"/>
  <c r="D84" i="2"/>
  <c r="D76" i="2"/>
  <c r="D78" i="2"/>
  <c r="D77" i="2"/>
  <c r="D79" i="2"/>
  <c r="D83" i="2"/>
  <c r="D80" i="2"/>
  <c r="F31" i="2"/>
  <c r="A32" i="2"/>
  <c r="A33" i="2" s="1"/>
  <c r="A34" i="2" s="1"/>
  <c r="A35" i="2" s="1"/>
  <c r="A36" i="2" s="1"/>
  <c r="A37" i="2" s="1"/>
  <c r="A38" i="2" s="1"/>
  <c r="A39" i="2" s="1"/>
  <c r="A40" i="2" s="1"/>
  <c r="A41" i="2" s="1"/>
  <c r="A42" i="2" s="1"/>
  <c r="F77" i="2"/>
  <c r="F79" i="2"/>
  <c r="A11" i="1"/>
  <c r="A216" i="1"/>
  <c r="F84" i="2"/>
  <c r="F82" i="2"/>
  <c r="F76" i="2"/>
  <c r="F83" i="2"/>
  <c r="F80" i="2"/>
  <c r="F81" i="2"/>
  <c r="F78" i="2"/>
  <c r="S14" i="2" l="1"/>
  <c r="S10" i="2"/>
  <c r="S75" i="2"/>
  <c r="S74" i="2"/>
  <c r="B216" i="1"/>
  <c r="G15" i="2"/>
  <c r="O15" i="2"/>
  <c r="Q15" i="2"/>
  <c r="J15" i="2"/>
  <c r="P15" i="2"/>
  <c r="H15" i="2"/>
  <c r="N15" i="2"/>
  <c r="L15" i="2"/>
  <c r="M15" i="2"/>
  <c r="I15" i="2"/>
  <c r="K15" i="2"/>
  <c r="R15" i="2"/>
  <c r="B12" i="1"/>
  <c r="J86" i="2"/>
  <c r="K86" i="2"/>
  <c r="M86" i="2"/>
  <c r="P86" i="2"/>
  <c r="L86" i="2"/>
  <c r="Q86" i="2"/>
  <c r="G86" i="2"/>
  <c r="I86" i="2"/>
  <c r="O86" i="2"/>
  <c r="H86" i="2"/>
  <c r="N86" i="2"/>
  <c r="R86" i="2"/>
  <c r="P85" i="2"/>
  <c r="Q85" i="2"/>
  <c r="O85" i="2"/>
  <c r="H85" i="2"/>
  <c r="J85" i="2"/>
  <c r="G85" i="2"/>
  <c r="L85" i="2"/>
  <c r="M85" i="2"/>
  <c r="N85" i="2"/>
  <c r="R85" i="2"/>
  <c r="K85" i="2"/>
  <c r="I85" i="2"/>
  <c r="D97" i="2"/>
  <c r="D96" i="2"/>
  <c r="D87" i="2"/>
  <c r="D93" i="2"/>
  <c r="D94" i="2"/>
  <c r="D95" i="2"/>
  <c r="D90" i="2"/>
  <c r="D89" i="2"/>
  <c r="D88" i="2"/>
  <c r="D91" i="2"/>
  <c r="D92" i="2"/>
  <c r="F42" i="2"/>
  <c r="A43" i="2"/>
  <c r="A44" i="2" s="1"/>
  <c r="A45" i="2" s="1"/>
  <c r="A46" i="2" s="1"/>
  <c r="A47" i="2" s="1"/>
  <c r="A48" i="2" s="1"/>
  <c r="A49" i="2" s="1"/>
  <c r="A50" i="2" s="1"/>
  <c r="A51" i="2" s="1"/>
  <c r="A52" i="2" s="1"/>
  <c r="A53" i="2" s="1"/>
  <c r="C38" i="2"/>
  <c r="C33" i="2"/>
  <c r="C37" i="2"/>
  <c r="C35" i="2"/>
  <c r="C34" i="2"/>
  <c r="C36" i="2"/>
  <c r="C32" i="2"/>
  <c r="C39" i="2"/>
  <c r="C40" i="2"/>
  <c r="F89" i="2"/>
  <c r="F92" i="2"/>
  <c r="F88" i="2"/>
  <c r="F94" i="2"/>
  <c r="A12" i="1"/>
  <c r="F91" i="2"/>
  <c r="F90" i="2"/>
  <c r="A217" i="1"/>
  <c r="F87" i="2"/>
  <c r="F95" i="2"/>
  <c r="F93" i="2"/>
  <c r="S15" i="2" l="1"/>
  <c r="S86" i="2"/>
  <c r="S85" i="2"/>
  <c r="B217" i="1"/>
  <c r="J16" i="2"/>
  <c r="M16" i="2"/>
  <c r="R16" i="2"/>
  <c r="K16" i="2"/>
  <c r="N16" i="2"/>
  <c r="Q16" i="2"/>
  <c r="I16" i="2"/>
  <c r="L16" i="2"/>
  <c r="P16" i="2"/>
  <c r="G16" i="2"/>
  <c r="O16" i="2"/>
  <c r="H16" i="2"/>
  <c r="B13" i="1"/>
  <c r="I39" i="2" s="1"/>
  <c r="H37" i="2"/>
  <c r="N37" i="2"/>
  <c r="I37" i="2"/>
  <c r="O37" i="2"/>
  <c r="M37" i="2"/>
  <c r="L37" i="2"/>
  <c r="Q37" i="2"/>
  <c r="R37" i="2"/>
  <c r="J37" i="2"/>
  <c r="K37" i="2"/>
  <c r="G37" i="2"/>
  <c r="P37" i="2"/>
  <c r="M33" i="2"/>
  <c r="G33" i="2"/>
  <c r="P33" i="2"/>
  <c r="J33" i="2"/>
  <c r="N33" i="2"/>
  <c r="O33" i="2"/>
  <c r="R33" i="2"/>
  <c r="Q33" i="2"/>
  <c r="I33" i="2"/>
  <c r="K33" i="2"/>
  <c r="H33" i="2"/>
  <c r="L33" i="2"/>
  <c r="L38" i="2"/>
  <c r="P38" i="2"/>
  <c r="M38" i="2"/>
  <c r="N38" i="2"/>
  <c r="H38" i="2"/>
  <c r="I38" i="2"/>
  <c r="Q38" i="2"/>
  <c r="R38" i="2"/>
  <c r="O38" i="2"/>
  <c r="J38" i="2"/>
  <c r="K38" i="2"/>
  <c r="G38" i="2"/>
  <c r="H39" i="2"/>
  <c r="P39" i="2"/>
  <c r="L39" i="2"/>
  <c r="K32" i="2"/>
  <c r="H32" i="2"/>
  <c r="Q32" i="2"/>
  <c r="L32" i="2"/>
  <c r="J32" i="2"/>
  <c r="M32" i="2"/>
  <c r="I32" i="2"/>
  <c r="G32" i="2"/>
  <c r="R32" i="2"/>
  <c r="P32" i="2"/>
  <c r="N32" i="2"/>
  <c r="O32" i="2"/>
  <c r="R36" i="2"/>
  <c r="H36" i="2"/>
  <c r="K36" i="2"/>
  <c r="N36" i="2"/>
  <c r="G36" i="2"/>
  <c r="O36" i="2"/>
  <c r="J36" i="2"/>
  <c r="I36" i="2"/>
  <c r="Q36" i="2"/>
  <c r="L36" i="2"/>
  <c r="M36" i="2"/>
  <c r="P36" i="2"/>
  <c r="R34" i="2"/>
  <c r="G34" i="2"/>
  <c r="N34" i="2"/>
  <c r="H34" i="2"/>
  <c r="J34" i="2"/>
  <c r="L34" i="2"/>
  <c r="O34" i="2"/>
  <c r="P34" i="2"/>
  <c r="M34" i="2"/>
  <c r="I34" i="2"/>
  <c r="Q34" i="2"/>
  <c r="K34" i="2"/>
  <c r="L96" i="2"/>
  <c r="N96" i="2"/>
  <c r="R96" i="2"/>
  <c r="I96" i="2"/>
  <c r="M96" i="2"/>
  <c r="O96" i="2"/>
  <c r="J96" i="2"/>
  <c r="G96" i="2"/>
  <c r="H96" i="2"/>
  <c r="Q96" i="2"/>
  <c r="P96" i="2"/>
  <c r="K96" i="2"/>
  <c r="R35" i="2"/>
  <c r="M35" i="2"/>
  <c r="L35" i="2"/>
  <c r="O35" i="2"/>
  <c r="G35" i="2"/>
  <c r="H35" i="2"/>
  <c r="Q35" i="2"/>
  <c r="N35" i="2"/>
  <c r="P35" i="2"/>
  <c r="J35" i="2"/>
  <c r="I35" i="2"/>
  <c r="K35" i="2"/>
  <c r="L97" i="2"/>
  <c r="R97" i="2"/>
  <c r="M97" i="2"/>
  <c r="G97" i="2"/>
  <c r="H97" i="2"/>
  <c r="N97" i="2"/>
  <c r="P97" i="2"/>
  <c r="K97" i="2"/>
  <c r="I97" i="2"/>
  <c r="O97" i="2"/>
  <c r="Q97" i="2"/>
  <c r="J97" i="2"/>
  <c r="D108" i="2"/>
  <c r="D107" i="2"/>
  <c r="D101" i="2"/>
  <c r="D106" i="2"/>
  <c r="D99" i="2"/>
  <c r="D104" i="2"/>
  <c r="D105" i="2"/>
  <c r="D102" i="2"/>
  <c r="D100" i="2"/>
  <c r="D103" i="2"/>
  <c r="D98" i="2"/>
  <c r="F53" i="2"/>
  <c r="A54" i="2"/>
  <c r="A55" i="2" s="1"/>
  <c r="A56" i="2" s="1"/>
  <c r="A57" i="2" s="1"/>
  <c r="A58" i="2" s="1"/>
  <c r="A59" i="2" s="1"/>
  <c r="A60" i="2" s="1"/>
  <c r="A61" i="2" s="1"/>
  <c r="A62" i="2" s="1"/>
  <c r="A63" i="2" s="1"/>
  <c r="A64" i="2" s="1"/>
  <c r="C46" i="2"/>
  <c r="C50" i="2"/>
  <c r="C49" i="2"/>
  <c r="C48" i="2"/>
  <c r="C51" i="2"/>
  <c r="C47" i="2"/>
  <c r="C45" i="2"/>
  <c r="C44" i="2"/>
  <c r="C43" i="2"/>
  <c r="F102" i="2"/>
  <c r="F106" i="2"/>
  <c r="F105" i="2"/>
  <c r="F98" i="2"/>
  <c r="A13" i="1"/>
  <c r="F101" i="2"/>
  <c r="A218" i="1"/>
  <c r="F103" i="2"/>
  <c r="F100" i="2"/>
  <c r="F104" i="2"/>
  <c r="F99" i="2"/>
  <c r="AO34" i="2" l="1"/>
  <c r="S38" i="2"/>
  <c r="S32" i="2"/>
  <c r="S37" i="2"/>
  <c r="I42" i="142"/>
  <c r="S34" i="2"/>
  <c r="U34" i="2" s="1"/>
  <c r="S16" i="2"/>
  <c r="F57" i="143"/>
  <c r="S35" i="2"/>
  <c r="S36" i="2"/>
  <c r="S97" i="2"/>
  <c r="S96" i="2"/>
  <c r="S33" i="2"/>
  <c r="B218" i="1"/>
  <c r="N39" i="2"/>
  <c r="J39" i="2"/>
  <c r="R39" i="2"/>
  <c r="O39" i="2"/>
  <c r="G39" i="2"/>
  <c r="Q39" i="2"/>
  <c r="K39" i="2"/>
  <c r="M39" i="2"/>
  <c r="I17" i="2"/>
  <c r="Q17" i="2"/>
  <c r="R17" i="2"/>
  <c r="L17" i="2"/>
  <c r="M17" i="2"/>
  <c r="O17" i="2"/>
  <c r="G17" i="2"/>
  <c r="N17" i="2"/>
  <c r="K17" i="2"/>
  <c r="H17" i="2"/>
  <c r="P17" i="2"/>
  <c r="J17" i="2"/>
  <c r="B14" i="1"/>
  <c r="H51" i="2" s="1"/>
  <c r="L57" i="143"/>
  <c r="Q57" i="143"/>
  <c r="H57" i="143"/>
  <c r="O57" i="143"/>
  <c r="K57" i="143"/>
  <c r="M57" i="143"/>
  <c r="P57" i="143"/>
  <c r="J57" i="143"/>
  <c r="G57" i="143"/>
  <c r="N57" i="143"/>
  <c r="I57" i="143"/>
  <c r="AL34" i="2"/>
  <c r="K42" i="142"/>
  <c r="AK34" i="2"/>
  <c r="J42" i="142"/>
  <c r="N42" i="142"/>
  <c r="AU34" i="2"/>
  <c r="T42" i="142"/>
  <c r="AS34" i="2"/>
  <c r="R42" i="142"/>
  <c r="AT34" i="2"/>
  <c r="S42" i="142"/>
  <c r="AR34" i="2"/>
  <c r="Q42" i="142"/>
  <c r="AN34" i="2"/>
  <c r="M42" i="142"/>
  <c r="AP34" i="2"/>
  <c r="O42" i="142"/>
  <c r="AQ34" i="2"/>
  <c r="P42" i="142"/>
  <c r="AM34" i="2"/>
  <c r="L42" i="142"/>
  <c r="O50" i="2"/>
  <c r="H50" i="2"/>
  <c r="N50" i="2"/>
  <c r="J50" i="2"/>
  <c r="P50" i="2"/>
  <c r="G50" i="2"/>
  <c r="K50" i="2"/>
  <c r="I50" i="2"/>
  <c r="R50" i="2"/>
  <c r="M50" i="2"/>
  <c r="Q50" i="2"/>
  <c r="L50" i="2"/>
  <c r="G46" i="2"/>
  <c r="Q46" i="2"/>
  <c r="J46" i="2"/>
  <c r="K46" i="2"/>
  <c r="L46" i="2"/>
  <c r="P46" i="2"/>
  <c r="R46" i="2"/>
  <c r="H46" i="2"/>
  <c r="M46" i="2"/>
  <c r="O46" i="2"/>
  <c r="N46" i="2"/>
  <c r="I46" i="2"/>
  <c r="N45" i="2"/>
  <c r="K45" i="2"/>
  <c r="J45" i="2"/>
  <c r="R45" i="2"/>
  <c r="I45" i="2"/>
  <c r="M45" i="2"/>
  <c r="L45" i="2"/>
  <c r="O45" i="2"/>
  <c r="H45" i="2"/>
  <c r="P45" i="2"/>
  <c r="Q45" i="2"/>
  <c r="G45" i="2"/>
  <c r="Q43" i="2"/>
  <c r="P43" i="2"/>
  <c r="N43" i="2"/>
  <c r="K43" i="2"/>
  <c r="J43" i="2"/>
  <c r="O43" i="2"/>
  <c r="G43" i="2"/>
  <c r="H43" i="2"/>
  <c r="L43" i="2"/>
  <c r="I43" i="2"/>
  <c r="M43" i="2"/>
  <c r="R43" i="2"/>
  <c r="J47" i="2"/>
  <c r="P47" i="2"/>
  <c r="H47" i="2"/>
  <c r="O47" i="2"/>
  <c r="L47" i="2"/>
  <c r="N47" i="2"/>
  <c r="G47" i="2"/>
  <c r="R47" i="2"/>
  <c r="Q47" i="2"/>
  <c r="M47" i="2"/>
  <c r="I47" i="2"/>
  <c r="K47" i="2"/>
  <c r="O107" i="2"/>
  <c r="K107" i="2"/>
  <c r="Q107" i="2"/>
  <c r="R107" i="2"/>
  <c r="H107" i="2"/>
  <c r="P107" i="2"/>
  <c r="M107" i="2"/>
  <c r="G107" i="2"/>
  <c r="J107" i="2"/>
  <c r="N107" i="2"/>
  <c r="I107" i="2"/>
  <c r="L107" i="2"/>
  <c r="I44" i="2"/>
  <c r="K44" i="2"/>
  <c r="H44" i="2"/>
  <c r="M44" i="2"/>
  <c r="P44" i="2"/>
  <c r="N44" i="2"/>
  <c r="R44" i="2"/>
  <c r="G44" i="2"/>
  <c r="J44" i="2"/>
  <c r="Q44" i="2"/>
  <c r="O44" i="2"/>
  <c r="L44" i="2"/>
  <c r="G48" i="2"/>
  <c r="K48" i="2"/>
  <c r="O48" i="2"/>
  <c r="N48" i="2"/>
  <c r="R48" i="2"/>
  <c r="J48" i="2"/>
  <c r="I48" i="2"/>
  <c r="P48" i="2"/>
  <c r="M48" i="2"/>
  <c r="Q48" i="2"/>
  <c r="L48" i="2"/>
  <c r="H48" i="2"/>
  <c r="I108" i="2"/>
  <c r="K108" i="2"/>
  <c r="P108" i="2"/>
  <c r="Q108" i="2"/>
  <c r="N108" i="2"/>
  <c r="L108" i="2"/>
  <c r="R108" i="2"/>
  <c r="G108" i="2"/>
  <c r="J108" i="2"/>
  <c r="H108" i="2"/>
  <c r="M108" i="2"/>
  <c r="O108" i="2"/>
  <c r="G49" i="2"/>
  <c r="L49" i="2"/>
  <c r="I49" i="2"/>
  <c r="P49" i="2"/>
  <c r="H49" i="2"/>
  <c r="J49" i="2"/>
  <c r="O49" i="2"/>
  <c r="N49" i="2"/>
  <c r="R49" i="2"/>
  <c r="M49" i="2"/>
  <c r="Q49" i="2"/>
  <c r="K49" i="2"/>
  <c r="D119" i="2"/>
  <c r="D118" i="2"/>
  <c r="D111" i="2"/>
  <c r="D117" i="2"/>
  <c r="D114" i="2"/>
  <c r="D115" i="2"/>
  <c r="D113" i="2"/>
  <c r="D110" i="2"/>
  <c r="D116" i="2"/>
  <c r="D109" i="2"/>
  <c r="D112" i="2"/>
  <c r="F64" i="2"/>
  <c r="A65" i="2"/>
  <c r="A66" i="2" s="1"/>
  <c r="A67" i="2" s="1"/>
  <c r="A68" i="2" s="1"/>
  <c r="A69" i="2" s="1"/>
  <c r="A70" i="2" s="1"/>
  <c r="A71" i="2" s="1"/>
  <c r="A72" i="2" s="1"/>
  <c r="A73" i="2" s="1"/>
  <c r="A74" i="2" s="1"/>
  <c r="A75" i="2" s="1"/>
  <c r="C58" i="2"/>
  <c r="C57" i="2"/>
  <c r="C55" i="2"/>
  <c r="C56" i="2"/>
  <c r="C54" i="2"/>
  <c r="C60" i="2"/>
  <c r="C59" i="2"/>
  <c r="C62" i="2"/>
  <c r="C61" i="2"/>
  <c r="F110" i="2"/>
  <c r="F109" i="2"/>
  <c r="A14" i="1"/>
  <c r="F112" i="2"/>
  <c r="F114" i="2"/>
  <c r="A219" i="1"/>
  <c r="F116" i="2"/>
  <c r="F111" i="2"/>
  <c r="F113" i="2"/>
  <c r="F117" i="2"/>
  <c r="F115" i="2"/>
  <c r="AO45" i="2" l="1"/>
  <c r="S50" i="2"/>
  <c r="S17" i="2"/>
  <c r="S49" i="2"/>
  <c r="S48" i="2"/>
  <c r="S46" i="2"/>
  <c r="I56" i="142"/>
  <c r="S45" i="2"/>
  <c r="S39" i="2"/>
  <c r="S47" i="2"/>
  <c r="S43" i="2"/>
  <c r="N51" i="2"/>
  <c r="K51" i="2"/>
  <c r="E57" i="143"/>
  <c r="S108" i="2"/>
  <c r="S107" i="2"/>
  <c r="M51" i="2"/>
  <c r="G51" i="2"/>
  <c r="R51" i="2"/>
  <c r="O51" i="2"/>
  <c r="J51" i="2"/>
  <c r="P51" i="2"/>
  <c r="Q51" i="2"/>
  <c r="I51" i="2"/>
  <c r="L51" i="2"/>
  <c r="S44" i="2"/>
  <c r="B219" i="1"/>
  <c r="I18" i="2"/>
  <c r="O18" i="2"/>
  <c r="N18" i="2"/>
  <c r="G18" i="2"/>
  <c r="J18" i="2"/>
  <c r="Q18" i="2"/>
  <c r="K18" i="2"/>
  <c r="L18" i="2"/>
  <c r="R18" i="2"/>
  <c r="H18" i="2"/>
  <c r="M18" i="2"/>
  <c r="P18" i="2"/>
  <c r="J40" i="2"/>
  <c r="I40" i="2"/>
  <c r="M40" i="2"/>
  <c r="P40" i="2"/>
  <c r="G40" i="2"/>
  <c r="L40" i="2"/>
  <c r="Q40" i="2"/>
  <c r="R40" i="2"/>
  <c r="H40" i="2"/>
  <c r="N40" i="2"/>
  <c r="K40" i="2"/>
  <c r="O40" i="2"/>
  <c r="U42" i="142"/>
  <c r="L76" i="143"/>
  <c r="G76" i="143"/>
  <c r="Q76" i="143"/>
  <c r="N76" i="143"/>
  <c r="J76" i="143"/>
  <c r="O76" i="143"/>
  <c r="M76" i="143"/>
  <c r="I76" i="143"/>
  <c r="K76" i="143"/>
  <c r="P76" i="143"/>
  <c r="H76" i="143"/>
  <c r="F76" i="143"/>
  <c r="AR45" i="2"/>
  <c r="Q56" i="142"/>
  <c r="AP45" i="2"/>
  <c r="O56" i="142"/>
  <c r="AL45" i="2"/>
  <c r="K56" i="142"/>
  <c r="N56" i="142"/>
  <c r="AM45" i="2"/>
  <c r="L56" i="142"/>
  <c r="AU45" i="2"/>
  <c r="T56" i="142"/>
  <c r="AN45" i="2"/>
  <c r="M56" i="142"/>
  <c r="AK45" i="2"/>
  <c r="J56" i="142"/>
  <c r="AQ45" i="2"/>
  <c r="P56" i="142"/>
  <c r="AT45" i="2"/>
  <c r="S56" i="142"/>
  <c r="AS45" i="2"/>
  <c r="R56" i="142"/>
  <c r="R58" i="2"/>
  <c r="M58" i="2"/>
  <c r="J58" i="2"/>
  <c r="L58" i="2"/>
  <c r="P58" i="2"/>
  <c r="G58" i="2"/>
  <c r="K58" i="2"/>
  <c r="O58" i="2"/>
  <c r="H58" i="2"/>
  <c r="I58" i="2"/>
  <c r="Q58" i="2"/>
  <c r="N58" i="2"/>
  <c r="H119" i="2"/>
  <c r="O119" i="2"/>
  <c r="K119" i="2"/>
  <c r="L119" i="2"/>
  <c r="I119" i="2"/>
  <c r="Q119" i="2"/>
  <c r="J119" i="2"/>
  <c r="M119" i="2"/>
  <c r="N119" i="2"/>
  <c r="P119" i="2"/>
  <c r="G119" i="2"/>
  <c r="R119" i="2"/>
  <c r="N57" i="2"/>
  <c r="Q57" i="2"/>
  <c r="M57" i="2"/>
  <c r="H57" i="2"/>
  <c r="L57" i="2"/>
  <c r="J57" i="2"/>
  <c r="R57" i="2"/>
  <c r="O57" i="2"/>
  <c r="G57" i="2"/>
  <c r="K57" i="2"/>
  <c r="P57" i="2"/>
  <c r="I57" i="2"/>
  <c r="K59" i="2"/>
  <c r="M59" i="2"/>
  <c r="H59" i="2"/>
  <c r="O59" i="2"/>
  <c r="N59" i="2"/>
  <c r="Q59" i="2"/>
  <c r="G59" i="2"/>
  <c r="I59" i="2"/>
  <c r="P59" i="2"/>
  <c r="R59" i="2"/>
  <c r="J59" i="2"/>
  <c r="L59" i="2"/>
  <c r="G54" i="2"/>
  <c r="L54" i="2"/>
  <c r="I54" i="2"/>
  <c r="P54" i="2"/>
  <c r="H54" i="2"/>
  <c r="N54" i="2"/>
  <c r="R54" i="2"/>
  <c r="J54" i="2"/>
  <c r="K54" i="2"/>
  <c r="O54" i="2"/>
  <c r="Q54" i="2"/>
  <c r="M54" i="2"/>
  <c r="G118" i="2"/>
  <c r="J118" i="2"/>
  <c r="R118" i="2"/>
  <c r="Q118" i="2"/>
  <c r="N118" i="2"/>
  <c r="O118" i="2"/>
  <c r="L118" i="2"/>
  <c r="I118" i="2"/>
  <c r="K118" i="2"/>
  <c r="M118" i="2"/>
  <c r="P118" i="2"/>
  <c r="H118" i="2"/>
  <c r="O56" i="2"/>
  <c r="P56" i="2"/>
  <c r="L56" i="2"/>
  <c r="H56" i="2"/>
  <c r="K56" i="2"/>
  <c r="G56" i="2"/>
  <c r="J56" i="2"/>
  <c r="R56" i="2"/>
  <c r="N56" i="2"/>
  <c r="I56" i="2"/>
  <c r="M56" i="2"/>
  <c r="Q56" i="2"/>
  <c r="N60" i="2"/>
  <c r="O60" i="2"/>
  <c r="J60" i="2"/>
  <c r="K60" i="2"/>
  <c r="Q60" i="2"/>
  <c r="P60" i="2"/>
  <c r="R60" i="2"/>
  <c r="G60" i="2"/>
  <c r="M60" i="2"/>
  <c r="I60" i="2"/>
  <c r="L60" i="2"/>
  <c r="H60" i="2"/>
  <c r="I55" i="2"/>
  <c r="K55" i="2"/>
  <c r="Q55" i="2"/>
  <c r="P55" i="2"/>
  <c r="O55" i="2"/>
  <c r="N55" i="2"/>
  <c r="G55" i="2"/>
  <c r="R55" i="2"/>
  <c r="M55" i="2"/>
  <c r="H55" i="2"/>
  <c r="J55" i="2"/>
  <c r="L55" i="2"/>
  <c r="G61" i="2"/>
  <c r="I61" i="2"/>
  <c r="Q61" i="2"/>
  <c r="L61" i="2"/>
  <c r="K61" i="2"/>
  <c r="J61" i="2"/>
  <c r="P61" i="2"/>
  <c r="O61" i="2"/>
  <c r="M61" i="2"/>
  <c r="N61" i="2"/>
  <c r="H61" i="2"/>
  <c r="R61" i="2"/>
  <c r="Q62" i="2"/>
  <c r="L62" i="2"/>
  <c r="G62" i="2"/>
  <c r="N62" i="2"/>
  <c r="I62" i="2"/>
  <c r="P62" i="2"/>
  <c r="O62" i="2"/>
  <c r="K62" i="2"/>
  <c r="M62" i="2"/>
  <c r="J62" i="2"/>
  <c r="H62" i="2"/>
  <c r="R62" i="2"/>
  <c r="AJ45" i="2"/>
  <c r="AJ34" i="2"/>
  <c r="D130" i="2"/>
  <c r="D129" i="2"/>
  <c r="D128" i="2"/>
  <c r="D125" i="2"/>
  <c r="D127" i="2"/>
  <c r="D121" i="2"/>
  <c r="D124" i="2"/>
  <c r="D123" i="2"/>
  <c r="D120" i="2"/>
  <c r="D126" i="2"/>
  <c r="D122" i="2"/>
  <c r="F75" i="2"/>
  <c r="A76" i="2"/>
  <c r="A77" i="2" s="1"/>
  <c r="A78" i="2" s="1"/>
  <c r="A79" i="2" s="1"/>
  <c r="A80" i="2" s="1"/>
  <c r="A81" i="2" s="1"/>
  <c r="A82" i="2" s="1"/>
  <c r="A83" i="2" s="1"/>
  <c r="A84" i="2" s="1"/>
  <c r="A85" i="2" s="1"/>
  <c r="A86" i="2" s="1"/>
  <c r="C71" i="2"/>
  <c r="C70" i="2"/>
  <c r="C67" i="2"/>
  <c r="C72" i="2"/>
  <c r="C66" i="2"/>
  <c r="C65" i="2"/>
  <c r="C69" i="2"/>
  <c r="C68" i="2"/>
  <c r="C73" i="2"/>
  <c r="F120" i="2"/>
  <c r="F123" i="2"/>
  <c r="F122" i="2"/>
  <c r="F126" i="2"/>
  <c r="F128" i="2"/>
  <c r="A220" i="1"/>
  <c r="F124" i="2"/>
  <c r="F125" i="2"/>
  <c r="F127" i="2"/>
  <c r="F121" i="2"/>
  <c r="AO56" i="2" l="1"/>
  <c r="S60" i="2"/>
  <c r="S62" i="2"/>
  <c r="S59" i="2"/>
  <c r="S40" i="2"/>
  <c r="S56" i="2"/>
  <c r="S58" i="2"/>
  <c r="S18" i="2"/>
  <c r="S61" i="2"/>
  <c r="S54" i="2"/>
  <c r="S57" i="2"/>
  <c r="S51" i="2"/>
  <c r="E76" i="143"/>
  <c r="S119" i="2"/>
  <c r="S118" i="2"/>
  <c r="S55" i="2"/>
  <c r="B220" i="1"/>
  <c r="U45" i="2"/>
  <c r="U56" i="142"/>
  <c r="I95" i="143"/>
  <c r="K95" i="143"/>
  <c r="G95" i="143"/>
  <c r="Q95" i="143"/>
  <c r="M95" i="143"/>
  <c r="P95" i="143"/>
  <c r="H95" i="143"/>
  <c r="O95" i="143"/>
  <c r="N95" i="143"/>
  <c r="L95" i="143"/>
  <c r="J95" i="143"/>
  <c r="F95" i="143"/>
  <c r="AS56" i="2"/>
  <c r="R70" i="142"/>
  <c r="AN56" i="2"/>
  <c r="M70" i="142"/>
  <c r="N70" i="142"/>
  <c r="AP56" i="2"/>
  <c r="O70" i="142"/>
  <c r="AL56" i="2"/>
  <c r="K70" i="142"/>
  <c r="AK56" i="2"/>
  <c r="J70" i="142"/>
  <c r="AQ56" i="2"/>
  <c r="P70" i="142"/>
  <c r="AR56" i="2"/>
  <c r="Q70" i="142"/>
  <c r="AT56" i="2"/>
  <c r="S70" i="142"/>
  <c r="AU56" i="2"/>
  <c r="T70" i="142"/>
  <c r="AM56" i="2"/>
  <c r="L70" i="142"/>
  <c r="AJ56" i="2"/>
  <c r="I70" i="142"/>
  <c r="K67" i="2"/>
  <c r="I67" i="2"/>
  <c r="J67" i="2"/>
  <c r="L67" i="2"/>
  <c r="O67" i="2"/>
  <c r="M67" i="2"/>
  <c r="G67" i="2"/>
  <c r="N67" i="2"/>
  <c r="R67" i="2"/>
  <c r="Q67" i="2"/>
  <c r="P67" i="2"/>
  <c r="H67" i="2"/>
  <c r="P72" i="2"/>
  <c r="H72" i="2"/>
  <c r="Q72" i="2"/>
  <c r="R72" i="2"/>
  <c r="O72" i="2"/>
  <c r="J72" i="2"/>
  <c r="M72" i="2"/>
  <c r="L72" i="2"/>
  <c r="I72" i="2"/>
  <c r="G72" i="2"/>
  <c r="N72" i="2"/>
  <c r="K72" i="2"/>
  <c r="H70" i="2"/>
  <c r="I70" i="2"/>
  <c r="G70" i="2"/>
  <c r="J70" i="2"/>
  <c r="P70" i="2"/>
  <c r="K70" i="2"/>
  <c r="R70" i="2"/>
  <c r="M70" i="2"/>
  <c r="Q70" i="2"/>
  <c r="O70" i="2"/>
  <c r="N70" i="2"/>
  <c r="L70" i="2"/>
  <c r="M129" i="2"/>
  <c r="G129" i="2"/>
  <c r="P129" i="2"/>
  <c r="R129" i="2"/>
  <c r="H129" i="2"/>
  <c r="J129" i="2"/>
  <c r="I129" i="2"/>
  <c r="L129" i="2"/>
  <c r="N129" i="2"/>
  <c r="Q129" i="2"/>
  <c r="K129" i="2"/>
  <c r="O129" i="2"/>
  <c r="J71" i="2"/>
  <c r="G71" i="2"/>
  <c r="K71" i="2"/>
  <c r="M71" i="2"/>
  <c r="H71" i="2"/>
  <c r="Q71" i="2"/>
  <c r="L71" i="2"/>
  <c r="N71" i="2"/>
  <c r="O71" i="2"/>
  <c r="I71" i="2"/>
  <c r="R71" i="2"/>
  <c r="P71" i="2"/>
  <c r="R65" i="2"/>
  <c r="K65" i="2"/>
  <c r="P65" i="2"/>
  <c r="G65" i="2"/>
  <c r="H65" i="2"/>
  <c r="I65" i="2"/>
  <c r="N65" i="2"/>
  <c r="L65" i="2"/>
  <c r="O65" i="2"/>
  <c r="J65" i="2"/>
  <c r="Q65" i="2"/>
  <c r="M65" i="2"/>
  <c r="Q73" i="2"/>
  <c r="N73" i="2"/>
  <c r="J73" i="2"/>
  <c r="K73" i="2"/>
  <c r="P73" i="2"/>
  <c r="G73" i="2"/>
  <c r="O73" i="2"/>
  <c r="R73" i="2"/>
  <c r="I73" i="2"/>
  <c r="M73" i="2"/>
  <c r="H73" i="2"/>
  <c r="L73" i="2"/>
  <c r="Q66" i="2"/>
  <c r="R66" i="2"/>
  <c r="K66" i="2"/>
  <c r="O66" i="2"/>
  <c r="I66" i="2"/>
  <c r="L66" i="2"/>
  <c r="G66" i="2"/>
  <c r="H66" i="2"/>
  <c r="N66" i="2"/>
  <c r="M66" i="2"/>
  <c r="J66" i="2"/>
  <c r="P66" i="2"/>
  <c r="I130" i="2"/>
  <c r="G130" i="2"/>
  <c r="Q130" i="2"/>
  <c r="R130" i="2"/>
  <c r="K130" i="2"/>
  <c r="H130" i="2"/>
  <c r="N130" i="2"/>
  <c r="L130" i="2"/>
  <c r="O130" i="2"/>
  <c r="M130" i="2"/>
  <c r="J130" i="2"/>
  <c r="P130" i="2"/>
  <c r="G68" i="2"/>
  <c r="K68" i="2"/>
  <c r="P68" i="2"/>
  <c r="Q68" i="2"/>
  <c r="O68" i="2"/>
  <c r="R68" i="2"/>
  <c r="L68" i="2"/>
  <c r="H68" i="2"/>
  <c r="J68" i="2"/>
  <c r="M68" i="2"/>
  <c r="N68" i="2"/>
  <c r="I68" i="2"/>
  <c r="G69" i="2"/>
  <c r="J69" i="2"/>
  <c r="I69" i="2"/>
  <c r="R69" i="2"/>
  <c r="Q69" i="2"/>
  <c r="P69" i="2"/>
  <c r="K69" i="2"/>
  <c r="L69" i="2"/>
  <c r="H69" i="2"/>
  <c r="O69" i="2"/>
  <c r="M69" i="2"/>
  <c r="N69" i="2"/>
  <c r="D141" i="2"/>
  <c r="D140" i="2"/>
  <c r="D134" i="2"/>
  <c r="D131" i="2"/>
  <c r="D138" i="2"/>
  <c r="D133" i="2"/>
  <c r="D136" i="2"/>
  <c r="D137" i="2"/>
  <c r="D135" i="2"/>
  <c r="D132" i="2"/>
  <c r="D139" i="2"/>
  <c r="F86" i="2"/>
  <c r="A87" i="2"/>
  <c r="A88" i="2" s="1"/>
  <c r="A89" i="2" s="1"/>
  <c r="A90" i="2" s="1"/>
  <c r="A91" i="2" s="1"/>
  <c r="A92" i="2" s="1"/>
  <c r="A93" i="2" s="1"/>
  <c r="A94" i="2" s="1"/>
  <c r="A95" i="2" s="1"/>
  <c r="A96" i="2" s="1"/>
  <c r="A97" i="2" s="1"/>
  <c r="C78" i="2"/>
  <c r="C77" i="2"/>
  <c r="C80" i="2"/>
  <c r="C76" i="2"/>
  <c r="C84" i="2"/>
  <c r="C83" i="2"/>
  <c r="C82" i="2"/>
  <c r="C81" i="2"/>
  <c r="C79" i="2"/>
  <c r="A221" i="1"/>
  <c r="F133" i="2"/>
  <c r="F135" i="2"/>
  <c r="F132" i="2"/>
  <c r="F138" i="2"/>
  <c r="F134" i="2"/>
  <c r="F131" i="2"/>
  <c r="F136" i="2"/>
  <c r="F139" i="2"/>
  <c r="F137" i="2"/>
  <c r="AO67" i="2" l="1"/>
  <c r="S70" i="2"/>
  <c r="I84" i="142"/>
  <c r="S67" i="2"/>
  <c r="S73" i="2"/>
  <c r="S71" i="2"/>
  <c r="S72" i="2"/>
  <c r="S69" i="2"/>
  <c r="S68" i="2"/>
  <c r="S65" i="2"/>
  <c r="E95" i="143"/>
  <c r="S130" i="2"/>
  <c r="S129" i="2"/>
  <c r="S66" i="2"/>
  <c r="B221" i="1"/>
  <c r="U56" i="2"/>
  <c r="U70" i="142"/>
  <c r="P114" i="143"/>
  <c r="J114" i="143"/>
  <c r="H114" i="143"/>
  <c r="Q114" i="143"/>
  <c r="M114" i="143"/>
  <c r="L114" i="143"/>
  <c r="I114" i="143"/>
  <c r="N114" i="143"/>
  <c r="G114" i="143"/>
  <c r="O114" i="143"/>
  <c r="K114" i="143"/>
  <c r="F114" i="143"/>
  <c r="AK67" i="2"/>
  <c r="J84" i="142"/>
  <c r="AS67" i="2"/>
  <c r="R84" i="142"/>
  <c r="AT67" i="2"/>
  <c r="S84" i="142"/>
  <c r="AQ67" i="2"/>
  <c r="P84" i="142"/>
  <c r="AP67" i="2"/>
  <c r="O84" i="142"/>
  <c r="AU67" i="2"/>
  <c r="T84" i="142"/>
  <c r="AR67" i="2"/>
  <c r="Q84" i="142"/>
  <c r="AM67" i="2"/>
  <c r="L84" i="142"/>
  <c r="N84" i="142"/>
  <c r="AL67" i="2"/>
  <c r="K84" i="142"/>
  <c r="AN67" i="2"/>
  <c r="M84" i="142"/>
  <c r="H84" i="2"/>
  <c r="N84" i="2"/>
  <c r="R84" i="2"/>
  <c r="O84" i="2"/>
  <c r="I84" i="2"/>
  <c r="P84" i="2"/>
  <c r="Q84" i="2"/>
  <c r="L84" i="2"/>
  <c r="M84" i="2"/>
  <c r="G84" i="2"/>
  <c r="K84" i="2"/>
  <c r="J84" i="2"/>
  <c r="P140" i="2"/>
  <c r="G140" i="2"/>
  <c r="O140" i="2"/>
  <c r="Q140" i="2"/>
  <c r="M140" i="2"/>
  <c r="K140" i="2"/>
  <c r="H140" i="2"/>
  <c r="N140" i="2"/>
  <c r="R140" i="2"/>
  <c r="L140" i="2"/>
  <c r="J140" i="2"/>
  <c r="I140" i="2"/>
  <c r="M82" i="2"/>
  <c r="K82" i="2"/>
  <c r="I82" i="2"/>
  <c r="J82" i="2"/>
  <c r="G82" i="2"/>
  <c r="L82" i="2"/>
  <c r="H82" i="2"/>
  <c r="N82" i="2"/>
  <c r="P82" i="2"/>
  <c r="Q82" i="2"/>
  <c r="R82" i="2"/>
  <c r="O82" i="2"/>
  <c r="N76" i="2"/>
  <c r="R76" i="2"/>
  <c r="L76" i="2"/>
  <c r="P76" i="2"/>
  <c r="I76" i="2"/>
  <c r="J76" i="2"/>
  <c r="O76" i="2"/>
  <c r="M76" i="2"/>
  <c r="G76" i="2"/>
  <c r="H76" i="2"/>
  <c r="Q76" i="2"/>
  <c r="K76" i="2"/>
  <c r="G141" i="2"/>
  <c r="H141" i="2"/>
  <c r="O141" i="2"/>
  <c r="M141" i="2"/>
  <c r="L141" i="2"/>
  <c r="Q141" i="2"/>
  <c r="R141" i="2"/>
  <c r="K141" i="2"/>
  <c r="J141" i="2"/>
  <c r="N141" i="2"/>
  <c r="P141" i="2"/>
  <c r="I141" i="2"/>
  <c r="H81" i="2"/>
  <c r="I81" i="2"/>
  <c r="N81" i="2"/>
  <c r="K81" i="2"/>
  <c r="G81" i="2"/>
  <c r="M81" i="2"/>
  <c r="R81" i="2"/>
  <c r="P81" i="2"/>
  <c r="J81" i="2"/>
  <c r="Q81" i="2"/>
  <c r="O81" i="2"/>
  <c r="L81" i="2"/>
  <c r="H80" i="2"/>
  <c r="Q80" i="2"/>
  <c r="G80" i="2"/>
  <c r="L80" i="2"/>
  <c r="J80" i="2"/>
  <c r="O80" i="2"/>
  <c r="I80" i="2"/>
  <c r="P80" i="2"/>
  <c r="N80" i="2"/>
  <c r="K80" i="2"/>
  <c r="M80" i="2"/>
  <c r="R80" i="2"/>
  <c r="H83" i="2"/>
  <c r="K83" i="2"/>
  <c r="G83" i="2"/>
  <c r="M83" i="2"/>
  <c r="Q83" i="2"/>
  <c r="I83" i="2"/>
  <c r="P83" i="2"/>
  <c r="R83" i="2"/>
  <c r="O83" i="2"/>
  <c r="L83" i="2"/>
  <c r="N83" i="2"/>
  <c r="J83" i="2"/>
  <c r="P77" i="2"/>
  <c r="R77" i="2"/>
  <c r="Q77" i="2"/>
  <c r="S77" i="2" s="1"/>
  <c r="G77" i="2"/>
  <c r="L77" i="2"/>
  <c r="M77" i="2"/>
  <c r="N77" i="2"/>
  <c r="I77" i="2"/>
  <c r="H77" i="2"/>
  <c r="K77" i="2"/>
  <c r="O77" i="2"/>
  <c r="J77" i="2"/>
  <c r="J79" i="2"/>
  <c r="L79" i="2"/>
  <c r="Q79" i="2"/>
  <c r="H79" i="2"/>
  <c r="M79" i="2"/>
  <c r="R79" i="2"/>
  <c r="G79" i="2"/>
  <c r="K79" i="2"/>
  <c r="I79" i="2"/>
  <c r="O79" i="2"/>
  <c r="N79" i="2"/>
  <c r="P79" i="2"/>
  <c r="R78" i="2"/>
  <c r="K78" i="2"/>
  <c r="H78" i="2"/>
  <c r="L78" i="2"/>
  <c r="P78" i="2"/>
  <c r="G78" i="2"/>
  <c r="I78" i="2"/>
  <c r="M78" i="2"/>
  <c r="O78" i="2"/>
  <c r="Q78" i="2"/>
  <c r="J78" i="2"/>
  <c r="N78" i="2"/>
  <c r="AJ67" i="2"/>
  <c r="D151" i="2"/>
  <c r="D152" i="2"/>
  <c r="D149" i="2"/>
  <c r="D142" i="2"/>
  <c r="D143" i="2"/>
  <c r="D146" i="2"/>
  <c r="D147" i="2"/>
  <c r="D144" i="2"/>
  <c r="D145" i="2"/>
  <c r="D150" i="2"/>
  <c r="D148" i="2"/>
  <c r="F97" i="2"/>
  <c r="A98" i="2"/>
  <c r="A99" i="2" s="1"/>
  <c r="A100" i="2" s="1"/>
  <c r="A101" i="2" s="1"/>
  <c r="A102" i="2" s="1"/>
  <c r="A103" i="2" s="1"/>
  <c r="A104" i="2" s="1"/>
  <c r="A105" i="2" s="1"/>
  <c r="A106" i="2" s="1"/>
  <c r="A107" i="2" s="1"/>
  <c r="A108" i="2" s="1"/>
  <c r="C95" i="2"/>
  <c r="C89" i="2"/>
  <c r="C88" i="2"/>
  <c r="C87" i="2"/>
  <c r="C94" i="2"/>
  <c r="C93" i="2"/>
  <c r="C92" i="2"/>
  <c r="C91" i="2"/>
  <c r="C90" i="2"/>
  <c r="F145" i="2"/>
  <c r="F142" i="2"/>
  <c r="F146" i="2"/>
  <c r="F149" i="2"/>
  <c r="F144" i="2"/>
  <c r="F148" i="2"/>
  <c r="F143" i="2"/>
  <c r="F147" i="2"/>
  <c r="A222" i="1"/>
  <c r="F150" i="2"/>
  <c r="S84" i="2" l="1"/>
  <c r="S76" i="2"/>
  <c r="S78" i="2"/>
  <c r="S81" i="2"/>
  <c r="S82" i="2"/>
  <c r="S79" i="2"/>
  <c r="S83" i="2"/>
  <c r="S80" i="2"/>
  <c r="M133" i="143"/>
  <c r="P133" i="143"/>
  <c r="N133" i="143"/>
  <c r="Q133" i="143"/>
  <c r="K133" i="143"/>
  <c r="I133" i="143"/>
  <c r="O133" i="143"/>
  <c r="J133" i="143"/>
  <c r="AO78" i="2"/>
  <c r="F133" i="143"/>
  <c r="E114" i="143"/>
  <c r="H133" i="143"/>
  <c r="S140" i="2"/>
  <c r="S141" i="2"/>
  <c r="L133" i="143"/>
  <c r="G133" i="143"/>
  <c r="B222" i="1"/>
  <c r="U67" i="2"/>
  <c r="U84" i="142"/>
  <c r="N98" i="142"/>
  <c r="AN78" i="2"/>
  <c r="M98" i="142"/>
  <c r="T98" i="142"/>
  <c r="AS78" i="2"/>
  <c r="R98" i="142"/>
  <c r="AQ78" i="2"/>
  <c r="P98" i="142"/>
  <c r="AL78" i="2"/>
  <c r="K98" i="142"/>
  <c r="AK78" i="2"/>
  <c r="J98" i="142"/>
  <c r="AM78" i="2"/>
  <c r="L98" i="142"/>
  <c r="AP78" i="2"/>
  <c r="O98" i="142"/>
  <c r="AT78" i="2"/>
  <c r="S98" i="142"/>
  <c r="AR78" i="2"/>
  <c r="Q98" i="142"/>
  <c r="AJ78" i="2"/>
  <c r="I98" i="142"/>
  <c r="G94" i="2"/>
  <c r="M94" i="2"/>
  <c r="O94" i="2"/>
  <c r="N94" i="2"/>
  <c r="R94" i="2"/>
  <c r="P94" i="2"/>
  <c r="Q94" i="2"/>
  <c r="I94" i="2"/>
  <c r="J94" i="2"/>
  <c r="L94" i="2"/>
  <c r="K94" i="2"/>
  <c r="H94" i="2"/>
  <c r="H152" i="2"/>
  <c r="P152" i="2"/>
  <c r="J152" i="2"/>
  <c r="I152" i="2"/>
  <c r="L152" i="2"/>
  <c r="K152" i="2"/>
  <c r="G152" i="2"/>
  <c r="Q152" i="2"/>
  <c r="M152" i="2"/>
  <c r="N152" i="2"/>
  <c r="O152" i="2"/>
  <c r="R152" i="2"/>
  <c r="J87" i="2"/>
  <c r="M87" i="2"/>
  <c r="K87" i="2"/>
  <c r="R87" i="2"/>
  <c r="Q87" i="2"/>
  <c r="H87" i="2"/>
  <c r="P87" i="2"/>
  <c r="G87" i="2"/>
  <c r="O87" i="2"/>
  <c r="N87" i="2"/>
  <c r="I87" i="2"/>
  <c r="L87" i="2"/>
  <c r="M151" i="2"/>
  <c r="O151" i="2"/>
  <c r="L151" i="2"/>
  <c r="Q151" i="2"/>
  <c r="H151" i="2"/>
  <c r="K151" i="2"/>
  <c r="I151" i="2"/>
  <c r="J151" i="2"/>
  <c r="R151" i="2"/>
  <c r="N151" i="2"/>
  <c r="P151" i="2"/>
  <c r="G151" i="2"/>
  <c r="O88" i="2"/>
  <c r="M88" i="2"/>
  <c r="G88" i="2"/>
  <c r="K88" i="2"/>
  <c r="P88" i="2"/>
  <c r="I88" i="2"/>
  <c r="R88" i="2"/>
  <c r="L88" i="2"/>
  <c r="Q88" i="2"/>
  <c r="N88" i="2"/>
  <c r="J88" i="2"/>
  <c r="H88" i="2"/>
  <c r="Q90" i="2"/>
  <c r="L90" i="2"/>
  <c r="H90" i="2"/>
  <c r="P90" i="2"/>
  <c r="N90" i="2"/>
  <c r="I90" i="2"/>
  <c r="O90" i="2"/>
  <c r="M90" i="2"/>
  <c r="J90" i="2"/>
  <c r="R90" i="2"/>
  <c r="G90" i="2"/>
  <c r="K90" i="2"/>
  <c r="G91" i="2"/>
  <c r="J91" i="2"/>
  <c r="P91" i="2"/>
  <c r="H91" i="2"/>
  <c r="K91" i="2"/>
  <c r="L91" i="2"/>
  <c r="N91" i="2"/>
  <c r="R91" i="2"/>
  <c r="M91" i="2"/>
  <c r="O91" i="2"/>
  <c r="I91" i="2"/>
  <c r="Q91" i="2"/>
  <c r="H92" i="2"/>
  <c r="O92" i="2"/>
  <c r="P92" i="2"/>
  <c r="M92" i="2"/>
  <c r="N92" i="2"/>
  <c r="K92" i="2"/>
  <c r="I92" i="2"/>
  <c r="Q92" i="2"/>
  <c r="J92" i="2"/>
  <c r="L92" i="2"/>
  <c r="R92" i="2"/>
  <c r="G92" i="2"/>
  <c r="L89" i="2"/>
  <c r="M89" i="2"/>
  <c r="R89" i="2"/>
  <c r="N89" i="2"/>
  <c r="O89" i="2"/>
  <c r="P89" i="2"/>
  <c r="K89" i="2"/>
  <c r="J89" i="2"/>
  <c r="H89" i="2"/>
  <c r="I89" i="2"/>
  <c r="G89" i="2"/>
  <c r="Q89" i="2"/>
  <c r="H95" i="2"/>
  <c r="I95" i="2"/>
  <c r="K95" i="2"/>
  <c r="J95" i="2"/>
  <c r="P95" i="2"/>
  <c r="O95" i="2"/>
  <c r="G95" i="2"/>
  <c r="N95" i="2"/>
  <c r="L95" i="2"/>
  <c r="R95" i="2"/>
  <c r="Q95" i="2"/>
  <c r="M95" i="2"/>
  <c r="P93" i="2"/>
  <c r="I93" i="2"/>
  <c r="K93" i="2"/>
  <c r="G93" i="2"/>
  <c r="Q93" i="2"/>
  <c r="M93" i="2"/>
  <c r="H93" i="2"/>
  <c r="L93" i="2"/>
  <c r="N93" i="2"/>
  <c r="O93" i="2"/>
  <c r="J93" i="2"/>
  <c r="R93" i="2"/>
  <c r="D163" i="2"/>
  <c r="D162" i="2"/>
  <c r="D159" i="2"/>
  <c r="D154" i="2"/>
  <c r="D155" i="2"/>
  <c r="D161" i="2"/>
  <c r="D158" i="2"/>
  <c r="D156" i="2"/>
  <c r="D160" i="2"/>
  <c r="D153" i="2"/>
  <c r="D157" i="2"/>
  <c r="F108" i="2"/>
  <c r="A109" i="2"/>
  <c r="A110" i="2" s="1"/>
  <c r="A111" i="2" s="1"/>
  <c r="A112" i="2" s="1"/>
  <c r="A113" i="2" s="1"/>
  <c r="A114" i="2" s="1"/>
  <c r="A115" i="2" s="1"/>
  <c r="A116" i="2" s="1"/>
  <c r="A117" i="2" s="1"/>
  <c r="A118" i="2" s="1"/>
  <c r="A119" i="2" s="1"/>
  <c r="C98" i="2"/>
  <c r="C103" i="2"/>
  <c r="C99" i="2"/>
  <c r="C105" i="2"/>
  <c r="C104" i="2"/>
  <c r="C106" i="2"/>
  <c r="C102" i="2"/>
  <c r="C101" i="2"/>
  <c r="C100" i="2"/>
  <c r="F161" i="2"/>
  <c r="F158" i="2"/>
  <c r="F155" i="2"/>
  <c r="F154" i="2"/>
  <c r="F160" i="2"/>
  <c r="A223" i="1"/>
  <c r="F153" i="2"/>
  <c r="F156" i="2"/>
  <c r="F159" i="2"/>
  <c r="F157" i="2"/>
  <c r="AO89" i="2" l="1"/>
  <c r="S91" i="2"/>
  <c r="S94" i="2"/>
  <c r="S93" i="2"/>
  <c r="S92" i="2"/>
  <c r="S87" i="2"/>
  <c r="S95" i="2"/>
  <c r="S89" i="2"/>
  <c r="F152" i="143"/>
  <c r="S90" i="2"/>
  <c r="E133" i="143"/>
  <c r="S151" i="2"/>
  <c r="S152" i="2"/>
  <c r="S88" i="2"/>
  <c r="B223" i="1"/>
  <c r="U78" i="2"/>
  <c r="U98" i="142"/>
  <c r="I152" i="143"/>
  <c r="L152" i="143"/>
  <c r="K152" i="143"/>
  <c r="P152" i="143"/>
  <c r="H152" i="143"/>
  <c r="M152" i="143"/>
  <c r="O152" i="143"/>
  <c r="G152" i="143"/>
  <c r="J152" i="143"/>
  <c r="N152" i="143"/>
  <c r="Q152" i="143"/>
  <c r="AQ89" i="2"/>
  <c r="P112" i="142"/>
  <c r="AU89" i="2"/>
  <c r="T112" i="142"/>
  <c r="AT89" i="2"/>
  <c r="S112" i="142"/>
  <c r="AP89" i="2"/>
  <c r="O112" i="142"/>
  <c r="N112" i="142"/>
  <c r="AK89" i="2"/>
  <c r="J112" i="142"/>
  <c r="AN89" i="2"/>
  <c r="M112" i="142"/>
  <c r="AR89" i="2"/>
  <c r="Q112" i="142"/>
  <c r="AL89" i="2"/>
  <c r="K112" i="142"/>
  <c r="AM89" i="2"/>
  <c r="L112" i="142"/>
  <c r="AS89" i="2"/>
  <c r="R112" i="142"/>
  <c r="AJ89" i="2"/>
  <c r="I112" i="142"/>
  <c r="Q98" i="2"/>
  <c r="K98" i="2"/>
  <c r="M98" i="2"/>
  <c r="O98" i="2"/>
  <c r="R98" i="2"/>
  <c r="H98" i="2"/>
  <c r="I98" i="2"/>
  <c r="J98" i="2"/>
  <c r="G98" i="2"/>
  <c r="P98" i="2"/>
  <c r="L98" i="2"/>
  <c r="N98" i="2"/>
  <c r="M103" i="2"/>
  <c r="H103" i="2"/>
  <c r="O103" i="2"/>
  <c r="N103" i="2"/>
  <c r="I103" i="2"/>
  <c r="Q103" i="2"/>
  <c r="P103" i="2"/>
  <c r="L103" i="2"/>
  <c r="R103" i="2"/>
  <c r="G103" i="2"/>
  <c r="J103" i="2"/>
  <c r="K103" i="2"/>
  <c r="J100" i="2"/>
  <c r="L100" i="2"/>
  <c r="H100" i="2"/>
  <c r="N100" i="2"/>
  <c r="K100" i="2"/>
  <c r="I100" i="2"/>
  <c r="G100" i="2"/>
  <c r="Q100" i="2"/>
  <c r="M100" i="2"/>
  <c r="R100" i="2"/>
  <c r="O100" i="2"/>
  <c r="P100" i="2"/>
  <c r="M106" i="2"/>
  <c r="H106" i="2"/>
  <c r="R106" i="2"/>
  <c r="G106" i="2"/>
  <c r="Q106" i="2"/>
  <c r="N106" i="2"/>
  <c r="L106" i="2"/>
  <c r="J106" i="2"/>
  <c r="O106" i="2"/>
  <c r="I106" i="2"/>
  <c r="P106" i="2"/>
  <c r="K106" i="2"/>
  <c r="J99" i="2"/>
  <c r="P99" i="2"/>
  <c r="N99" i="2"/>
  <c r="M99" i="2"/>
  <c r="I99" i="2"/>
  <c r="L99" i="2"/>
  <c r="R99" i="2"/>
  <c r="Q99" i="2"/>
  <c r="G99" i="2"/>
  <c r="H99" i="2"/>
  <c r="O99" i="2"/>
  <c r="K99" i="2"/>
  <c r="R101" i="2"/>
  <c r="O101" i="2"/>
  <c r="K101" i="2"/>
  <c r="G101" i="2"/>
  <c r="L101" i="2"/>
  <c r="M101" i="2"/>
  <c r="P101" i="2"/>
  <c r="N101" i="2"/>
  <c r="H101" i="2"/>
  <c r="I101" i="2"/>
  <c r="J101" i="2"/>
  <c r="Q101" i="2"/>
  <c r="J102" i="2"/>
  <c r="P102" i="2"/>
  <c r="G102" i="2"/>
  <c r="I102" i="2"/>
  <c r="N102" i="2"/>
  <c r="Q102" i="2"/>
  <c r="R102" i="2"/>
  <c r="O102" i="2"/>
  <c r="K102" i="2"/>
  <c r="M102" i="2"/>
  <c r="L102" i="2"/>
  <c r="H102" i="2"/>
  <c r="R104" i="2"/>
  <c r="G104" i="2"/>
  <c r="H104" i="2"/>
  <c r="J104" i="2"/>
  <c r="P104" i="2"/>
  <c r="L104" i="2"/>
  <c r="O104" i="2"/>
  <c r="Q104" i="2"/>
  <c r="N104" i="2"/>
  <c r="I104" i="2"/>
  <c r="K104" i="2"/>
  <c r="M104" i="2"/>
  <c r="H162" i="2"/>
  <c r="M162" i="2"/>
  <c r="P162" i="2"/>
  <c r="G162" i="2"/>
  <c r="N162" i="2"/>
  <c r="R162" i="2"/>
  <c r="L162" i="2"/>
  <c r="O162" i="2"/>
  <c r="K162" i="2"/>
  <c r="J162" i="2"/>
  <c r="Q162" i="2"/>
  <c r="I162" i="2"/>
  <c r="G105" i="2"/>
  <c r="R105" i="2"/>
  <c r="J105" i="2"/>
  <c r="K105" i="2"/>
  <c r="O105" i="2"/>
  <c r="Q105" i="2"/>
  <c r="P105" i="2"/>
  <c r="H105" i="2"/>
  <c r="N105" i="2"/>
  <c r="M105" i="2"/>
  <c r="L105" i="2"/>
  <c r="I105" i="2"/>
  <c r="G163" i="2"/>
  <c r="H163" i="2"/>
  <c r="K163" i="2"/>
  <c r="R163" i="2"/>
  <c r="J163" i="2"/>
  <c r="M163" i="2"/>
  <c r="Q163" i="2"/>
  <c r="L163" i="2"/>
  <c r="I163" i="2"/>
  <c r="P163" i="2"/>
  <c r="N163" i="2"/>
  <c r="O163" i="2"/>
  <c r="D174" i="2"/>
  <c r="D173" i="2"/>
  <c r="D172" i="2"/>
  <c r="D171" i="2"/>
  <c r="D165" i="2"/>
  <c r="D168" i="2"/>
  <c r="D169" i="2"/>
  <c r="D170" i="2"/>
  <c r="D166" i="2"/>
  <c r="D164" i="2"/>
  <c r="D167" i="2"/>
  <c r="F119" i="2"/>
  <c r="A120" i="2"/>
  <c r="A121" i="2" s="1"/>
  <c r="A122" i="2" s="1"/>
  <c r="A123" i="2" s="1"/>
  <c r="A124" i="2" s="1"/>
  <c r="A125" i="2" s="1"/>
  <c r="A126" i="2" s="1"/>
  <c r="A127" i="2" s="1"/>
  <c r="A128" i="2" s="1"/>
  <c r="A129" i="2" s="1"/>
  <c r="A130" i="2" s="1"/>
  <c r="C116" i="2"/>
  <c r="C111" i="2"/>
  <c r="C115" i="2"/>
  <c r="C112" i="2"/>
  <c r="C109" i="2"/>
  <c r="C114" i="2"/>
  <c r="C113" i="2"/>
  <c r="C110" i="2"/>
  <c r="C117" i="2"/>
  <c r="F165" i="2"/>
  <c r="F164" i="2"/>
  <c r="F170" i="2"/>
  <c r="A224" i="1"/>
  <c r="F169" i="2"/>
  <c r="F166" i="2"/>
  <c r="F171" i="2"/>
  <c r="F172" i="2"/>
  <c r="F168" i="2"/>
  <c r="F167" i="2"/>
  <c r="AO100" i="2" l="1"/>
  <c r="S103" i="2"/>
  <c r="S104" i="2"/>
  <c r="S105" i="2"/>
  <c r="S98" i="2"/>
  <c r="F171" i="143"/>
  <c r="S101" i="2"/>
  <c r="S106" i="2"/>
  <c r="S102" i="2"/>
  <c r="S100" i="2"/>
  <c r="E152" i="143"/>
  <c r="S163" i="2"/>
  <c r="S162" i="2"/>
  <c r="S99" i="2"/>
  <c r="B224" i="1"/>
  <c r="G171" i="143"/>
  <c r="M171" i="143"/>
  <c r="Q171" i="143"/>
  <c r="J171" i="143"/>
  <c r="N171" i="143"/>
  <c r="L171" i="143"/>
  <c r="O171" i="143"/>
  <c r="K171" i="143"/>
  <c r="P171" i="143"/>
  <c r="I171" i="143"/>
  <c r="H171" i="143"/>
  <c r="AM100" i="2"/>
  <c r="L126" i="142"/>
  <c r="AS100" i="2"/>
  <c r="R126" i="142"/>
  <c r="AQ100" i="2"/>
  <c r="P126" i="142"/>
  <c r="AK100" i="2"/>
  <c r="J126" i="142"/>
  <c r="AR100" i="2"/>
  <c r="Q126" i="142"/>
  <c r="AU100" i="2"/>
  <c r="T126" i="142"/>
  <c r="AP100" i="2"/>
  <c r="O126" i="142"/>
  <c r="N126" i="142"/>
  <c r="AT100" i="2"/>
  <c r="S126" i="142"/>
  <c r="AL100" i="2"/>
  <c r="K126" i="142"/>
  <c r="AN100" i="2"/>
  <c r="M126" i="142"/>
  <c r="AJ100" i="2"/>
  <c r="I126" i="142"/>
  <c r="U89" i="2"/>
  <c r="U112" i="142"/>
  <c r="N112" i="2"/>
  <c r="H112" i="2"/>
  <c r="G112" i="2"/>
  <c r="I112" i="2"/>
  <c r="P112" i="2"/>
  <c r="J112" i="2"/>
  <c r="L112" i="2"/>
  <c r="K112" i="2"/>
  <c r="O112" i="2"/>
  <c r="M112" i="2"/>
  <c r="R112" i="2"/>
  <c r="Q112" i="2"/>
  <c r="M174" i="2"/>
  <c r="R174" i="2"/>
  <c r="Q174" i="2"/>
  <c r="P174" i="2"/>
  <c r="K174" i="2"/>
  <c r="I174" i="2"/>
  <c r="J174" i="2"/>
  <c r="H174" i="2"/>
  <c r="L174" i="2"/>
  <c r="O174" i="2"/>
  <c r="N174" i="2"/>
  <c r="G174" i="2"/>
  <c r="L115" i="2"/>
  <c r="J115" i="2"/>
  <c r="G115" i="2"/>
  <c r="R115" i="2"/>
  <c r="I115" i="2"/>
  <c r="K115" i="2"/>
  <c r="O115" i="2"/>
  <c r="P115" i="2"/>
  <c r="M115" i="2"/>
  <c r="N115" i="2"/>
  <c r="Q115" i="2"/>
  <c r="H115" i="2"/>
  <c r="O111" i="2"/>
  <c r="I111" i="2"/>
  <c r="J111" i="2"/>
  <c r="R111" i="2"/>
  <c r="P111" i="2"/>
  <c r="N111" i="2"/>
  <c r="G111" i="2"/>
  <c r="Q111" i="2"/>
  <c r="L111" i="2"/>
  <c r="AO111" i="2" s="1"/>
  <c r="H111" i="2"/>
  <c r="M111" i="2"/>
  <c r="K111" i="2"/>
  <c r="I173" i="2"/>
  <c r="N173" i="2"/>
  <c r="R173" i="2"/>
  <c r="J173" i="2"/>
  <c r="P173" i="2"/>
  <c r="L173" i="2"/>
  <c r="H173" i="2"/>
  <c r="O173" i="2"/>
  <c r="Q173" i="2"/>
  <c r="M173" i="2"/>
  <c r="K173" i="2"/>
  <c r="G173" i="2"/>
  <c r="L117" i="2"/>
  <c r="O117" i="2"/>
  <c r="Q117" i="2"/>
  <c r="I117" i="2"/>
  <c r="N117" i="2"/>
  <c r="P117" i="2"/>
  <c r="G117" i="2"/>
  <c r="R117" i="2"/>
  <c r="M117" i="2"/>
  <c r="H117" i="2"/>
  <c r="K117" i="2"/>
  <c r="J117" i="2"/>
  <c r="H109" i="2"/>
  <c r="L109" i="2"/>
  <c r="P109" i="2"/>
  <c r="J109" i="2"/>
  <c r="N109" i="2"/>
  <c r="I109" i="2"/>
  <c r="G109" i="2"/>
  <c r="M109" i="2"/>
  <c r="R109" i="2"/>
  <c r="Q109" i="2"/>
  <c r="O109" i="2"/>
  <c r="K109" i="2"/>
  <c r="G116" i="2"/>
  <c r="I116" i="2"/>
  <c r="K116" i="2"/>
  <c r="J116" i="2"/>
  <c r="H116" i="2"/>
  <c r="N116" i="2"/>
  <c r="O116" i="2"/>
  <c r="M116" i="2"/>
  <c r="Q116" i="2"/>
  <c r="P116" i="2"/>
  <c r="L116" i="2"/>
  <c r="R116" i="2"/>
  <c r="L110" i="2"/>
  <c r="M110" i="2"/>
  <c r="J110" i="2"/>
  <c r="P110" i="2"/>
  <c r="I110" i="2"/>
  <c r="H110" i="2"/>
  <c r="N110" i="2"/>
  <c r="Q110" i="2"/>
  <c r="G110" i="2"/>
  <c r="K110" i="2"/>
  <c r="R110" i="2"/>
  <c r="O110" i="2"/>
  <c r="P113" i="2"/>
  <c r="I113" i="2"/>
  <c r="Q113" i="2"/>
  <c r="H113" i="2"/>
  <c r="J113" i="2"/>
  <c r="G113" i="2"/>
  <c r="K113" i="2"/>
  <c r="N113" i="2"/>
  <c r="M113" i="2"/>
  <c r="R113" i="2"/>
  <c r="O113" i="2"/>
  <c r="L113" i="2"/>
  <c r="I114" i="2"/>
  <c r="Q114" i="2"/>
  <c r="M114" i="2"/>
  <c r="K114" i="2"/>
  <c r="L114" i="2"/>
  <c r="H114" i="2"/>
  <c r="O114" i="2"/>
  <c r="N114" i="2"/>
  <c r="G114" i="2"/>
  <c r="R114" i="2"/>
  <c r="P114" i="2"/>
  <c r="J114" i="2"/>
  <c r="D185" i="2"/>
  <c r="D184" i="2"/>
  <c r="D178" i="2"/>
  <c r="D179" i="2"/>
  <c r="D182" i="2"/>
  <c r="D177" i="2"/>
  <c r="D181" i="2"/>
  <c r="D176" i="2"/>
  <c r="D175" i="2"/>
  <c r="D180" i="2"/>
  <c r="D183" i="2"/>
  <c r="F130" i="2"/>
  <c r="A131" i="2"/>
  <c r="A132" i="2" s="1"/>
  <c r="A133" i="2" s="1"/>
  <c r="A134" i="2" s="1"/>
  <c r="A135" i="2" s="1"/>
  <c r="A136" i="2" s="1"/>
  <c r="A137" i="2" s="1"/>
  <c r="A138" i="2" s="1"/>
  <c r="A139" i="2" s="1"/>
  <c r="A140" i="2" s="1"/>
  <c r="A141" i="2" s="1"/>
  <c r="C125" i="2"/>
  <c r="C124" i="2"/>
  <c r="C126" i="2"/>
  <c r="C128" i="2"/>
  <c r="C127" i="2"/>
  <c r="C120" i="2"/>
  <c r="C123" i="2"/>
  <c r="C122" i="2"/>
  <c r="C121" i="2"/>
  <c r="F20" i="2"/>
  <c r="F180" i="2"/>
  <c r="F175" i="2"/>
  <c r="F178" i="2"/>
  <c r="F181" i="2"/>
  <c r="A225" i="1"/>
  <c r="F182" i="2"/>
  <c r="F176" i="2"/>
  <c r="F179" i="2"/>
  <c r="F177" i="2"/>
  <c r="F183" i="2"/>
  <c r="AT112" i="2" l="1"/>
  <c r="S109" i="2"/>
  <c r="S117" i="2"/>
  <c r="AJ111" i="2"/>
  <c r="S111" i="2"/>
  <c r="S115" i="2"/>
  <c r="S112" i="2"/>
  <c r="S113" i="2"/>
  <c r="S114" i="2"/>
  <c r="S116" i="2"/>
  <c r="E171" i="143"/>
  <c r="S174" i="2"/>
  <c r="S173" i="2"/>
  <c r="S110" i="2"/>
  <c r="B225" i="1"/>
  <c r="Q188" i="143"/>
  <c r="AU109" i="2"/>
  <c r="AU117" i="2"/>
  <c r="AU115" i="2"/>
  <c r="P190" i="143"/>
  <c r="Q190" i="143"/>
  <c r="N190" i="143"/>
  <c r="J190" i="143"/>
  <c r="L190" i="143"/>
  <c r="I190" i="143"/>
  <c r="O190" i="143"/>
  <c r="G190" i="143"/>
  <c r="K190" i="143"/>
  <c r="H190" i="143"/>
  <c r="M190" i="143"/>
  <c r="U100" i="2"/>
  <c r="U126" i="142"/>
  <c r="AT111" i="2"/>
  <c r="AU111" i="2"/>
  <c r="AM111" i="2"/>
  <c r="AQ111" i="2"/>
  <c r="AL111" i="2"/>
  <c r="AR111" i="2"/>
  <c r="AN111" i="2"/>
  <c r="AS111" i="2"/>
  <c r="AP111" i="2"/>
  <c r="AK111" i="2"/>
  <c r="Q126" i="2"/>
  <c r="J126" i="2"/>
  <c r="G126" i="2"/>
  <c r="I126" i="2"/>
  <c r="H126" i="2"/>
  <c r="R126" i="2"/>
  <c r="N126" i="2"/>
  <c r="M126" i="2"/>
  <c r="L126" i="2"/>
  <c r="O126" i="2"/>
  <c r="P126" i="2"/>
  <c r="K126" i="2"/>
  <c r="I125" i="2"/>
  <c r="K125" i="2"/>
  <c r="J125" i="2"/>
  <c r="P125" i="2"/>
  <c r="L125" i="2"/>
  <c r="G125" i="2"/>
  <c r="O125" i="2"/>
  <c r="M125" i="2"/>
  <c r="Q125" i="2"/>
  <c r="R125" i="2"/>
  <c r="H125" i="2"/>
  <c r="N125" i="2"/>
  <c r="H124" i="2"/>
  <c r="R124" i="2"/>
  <c r="N124" i="2"/>
  <c r="J124" i="2"/>
  <c r="M124" i="2"/>
  <c r="O124" i="2"/>
  <c r="I124" i="2"/>
  <c r="Q124" i="2"/>
  <c r="K124" i="2"/>
  <c r="P124" i="2"/>
  <c r="G124" i="2"/>
  <c r="L124" i="2"/>
  <c r="O121" i="2"/>
  <c r="M121" i="2"/>
  <c r="J121" i="2"/>
  <c r="L121" i="2"/>
  <c r="H121" i="2"/>
  <c r="N121" i="2"/>
  <c r="P121" i="2"/>
  <c r="R121" i="2"/>
  <c r="K121" i="2"/>
  <c r="I121" i="2"/>
  <c r="G121" i="2"/>
  <c r="Q121" i="2"/>
  <c r="P122" i="2"/>
  <c r="G122" i="2"/>
  <c r="H122" i="2"/>
  <c r="J122" i="2"/>
  <c r="O122" i="2"/>
  <c r="N122" i="2"/>
  <c r="M122" i="2"/>
  <c r="I122" i="2"/>
  <c r="Q122" i="2"/>
  <c r="K122" i="2"/>
  <c r="L122" i="2"/>
  <c r="R122" i="2"/>
  <c r="K123" i="2"/>
  <c r="L123" i="2"/>
  <c r="R123" i="2"/>
  <c r="H123" i="2"/>
  <c r="Q123" i="2"/>
  <c r="N123" i="2"/>
  <c r="M123" i="2"/>
  <c r="P123" i="2"/>
  <c r="I123" i="2"/>
  <c r="G123" i="2"/>
  <c r="J123" i="2"/>
  <c r="O123" i="2"/>
  <c r="K120" i="2"/>
  <c r="L120" i="2"/>
  <c r="P120" i="2"/>
  <c r="Q120" i="2"/>
  <c r="H120" i="2"/>
  <c r="N120" i="2"/>
  <c r="O120" i="2"/>
  <c r="G120" i="2"/>
  <c r="M120" i="2"/>
  <c r="J120" i="2"/>
  <c r="R120" i="2"/>
  <c r="I120" i="2"/>
  <c r="O184" i="2"/>
  <c r="J184" i="2"/>
  <c r="H184" i="2"/>
  <c r="K184" i="2"/>
  <c r="M184" i="2"/>
  <c r="N184" i="2"/>
  <c r="G184" i="2"/>
  <c r="I184" i="2"/>
  <c r="R184" i="2"/>
  <c r="P184" i="2"/>
  <c r="L184" i="2"/>
  <c r="Q184" i="2"/>
  <c r="M127" i="2"/>
  <c r="P127" i="2"/>
  <c r="L127" i="2"/>
  <c r="I127" i="2"/>
  <c r="G127" i="2"/>
  <c r="O127" i="2"/>
  <c r="R127" i="2"/>
  <c r="J127" i="2"/>
  <c r="N127" i="2"/>
  <c r="H127" i="2"/>
  <c r="K127" i="2"/>
  <c r="Q127" i="2"/>
  <c r="O128" i="2"/>
  <c r="M128" i="2"/>
  <c r="R128" i="2"/>
  <c r="J128" i="2"/>
  <c r="L128" i="2"/>
  <c r="I128" i="2"/>
  <c r="N128" i="2"/>
  <c r="P128" i="2"/>
  <c r="Q128" i="2"/>
  <c r="K128" i="2"/>
  <c r="H128" i="2"/>
  <c r="G128" i="2"/>
  <c r="R185" i="2"/>
  <c r="O185" i="2"/>
  <c r="N185" i="2"/>
  <c r="J185" i="2"/>
  <c r="K185" i="2"/>
  <c r="M185" i="2"/>
  <c r="I185" i="2"/>
  <c r="L185" i="2"/>
  <c r="H185" i="2"/>
  <c r="G185" i="2"/>
  <c r="Q185" i="2"/>
  <c r="P185" i="2"/>
  <c r="D196" i="2"/>
  <c r="D195" i="2"/>
  <c r="D193" i="2"/>
  <c r="D188" i="2"/>
  <c r="D187" i="2"/>
  <c r="D190" i="2"/>
  <c r="D191" i="2"/>
  <c r="D189" i="2"/>
  <c r="D186" i="2"/>
  <c r="D192" i="2"/>
  <c r="D194" i="2"/>
  <c r="C25" i="2"/>
  <c r="C28" i="2"/>
  <c r="C27" i="2"/>
  <c r="C22" i="2"/>
  <c r="C21" i="2"/>
  <c r="C29" i="2"/>
  <c r="C26" i="2"/>
  <c r="C24" i="2"/>
  <c r="C23" i="2"/>
  <c r="F141" i="2"/>
  <c r="A142" i="2"/>
  <c r="A143" i="2" s="1"/>
  <c r="A144" i="2" s="1"/>
  <c r="A145" i="2" s="1"/>
  <c r="A146" i="2" s="1"/>
  <c r="A147" i="2" s="1"/>
  <c r="A148" i="2" s="1"/>
  <c r="A149" i="2" s="1"/>
  <c r="A150" i="2" s="1"/>
  <c r="A151" i="2" s="1"/>
  <c r="A152" i="2" s="1"/>
  <c r="C136" i="2"/>
  <c r="C135" i="2"/>
  <c r="C138" i="2"/>
  <c r="C137" i="2"/>
  <c r="C134" i="2"/>
  <c r="C133" i="2"/>
  <c r="C132" i="2"/>
  <c r="C131" i="2"/>
  <c r="C139" i="2"/>
  <c r="G139" i="2" s="1"/>
  <c r="AO122" i="2" l="1"/>
  <c r="S128" i="2"/>
  <c r="S123" i="2"/>
  <c r="I154" i="142"/>
  <c r="S122" i="2"/>
  <c r="S125" i="2"/>
  <c r="S127" i="2"/>
  <c r="S120" i="2"/>
  <c r="S124" i="2"/>
  <c r="S126" i="2"/>
  <c r="E190" i="143"/>
  <c r="S184" i="2"/>
  <c r="S185" i="2"/>
  <c r="AU112" i="2"/>
  <c r="AU116" i="2"/>
  <c r="K209" i="143"/>
  <c r="I209" i="143"/>
  <c r="H209" i="143"/>
  <c r="J209" i="143"/>
  <c r="L209" i="143"/>
  <c r="M209" i="143"/>
  <c r="Q209" i="143"/>
  <c r="N209" i="143"/>
  <c r="P209" i="143"/>
  <c r="O209" i="143"/>
  <c r="G209" i="143"/>
  <c r="F209" i="143"/>
  <c r="AQ122" i="2"/>
  <c r="P154" i="142"/>
  <c r="AR122" i="2"/>
  <c r="Q154" i="142"/>
  <c r="AM122" i="2"/>
  <c r="L154" i="142"/>
  <c r="AK122" i="2"/>
  <c r="J154" i="142"/>
  <c r="AS122" i="2"/>
  <c r="R154" i="142"/>
  <c r="AU122" i="2"/>
  <c r="T154" i="142"/>
  <c r="AN122" i="2"/>
  <c r="M154" i="142"/>
  <c r="AT122" i="2"/>
  <c r="S154" i="142"/>
  <c r="AL122" i="2"/>
  <c r="K154" i="142"/>
  <c r="N154" i="142"/>
  <c r="AP122" i="2"/>
  <c r="O154" i="142"/>
  <c r="U111" i="2"/>
  <c r="S121" i="2"/>
  <c r="K196" i="2"/>
  <c r="N196" i="2"/>
  <c r="P196" i="2"/>
  <c r="J196" i="2"/>
  <c r="L196" i="2"/>
  <c r="Q196" i="2"/>
  <c r="I196" i="2"/>
  <c r="R196" i="2"/>
  <c r="H196" i="2"/>
  <c r="O196" i="2"/>
  <c r="M196" i="2"/>
  <c r="G196" i="2"/>
  <c r="M139" i="2"/>
  <c r="H139" i="2"/>
  <c r="Q139" i="2"/>
  <c r="K139" i="2"/>
  <c r="O139" i="2"/>
  <c r="N139" i="2"/>
  <c r="P139" i="2"/>
  <c r="J139" i="2"/>
  <c r="R139" i="2"/>
  <c r="L139" i="2"/>
  <c r="I139" i="2"/>
  <c r="H22" i="2"/>
  <c r="M22" i="2"/>
  <c r="R22" i="2"/>
  <c r="N22" i="2"/>
  <c r="I22" i="2"/>
  <c r="P22" i="2"/>
  <c r="J22" i="2"/>
  <c r="O22" i="2"/>
  <c r="K22" i="2"/>
  <c r="L22" i="2"/>
  <c r="G22" i="2"/>
  <c r="Q22" i="2"/>
  <c r="H29" i="2"/>
  <c r="L29" i="2"/>
  <c r="P29" i="2"/>
  <c r="J29" i="2"/>
  <c r="G29" i="2"/>
  <c r="M29" i="2"/>
  <c r="I29" i="2"/>
  <c r="O29" i="2"/>
  <c r="N29" i="2"/>
  <c r="Q29" i="2"/>
  <c r="R29" i="2"/>
  <c r="K29" i="2"/>
  <c r="N21" i="2"/>
  <c r="G21" i="2"/>
  <c r="Q21" i="2"/>
  <c r="O21" i="2"/>
  <c r="H21" i="2"/>
  <c r="I21" i="2"/>
  <c r="P21" i="2"/>
  <c r="M21" i="2"/>
  <c r="L21" i="2"/>
  <c r="J21" i="2"/>
  <c r="K21" i="2"/>
  <c r="R21" i="2"/>
  <c r="G131" i="2"/>
  <c r="H131" i="2"/>
  <c r="N131" i="2"/>
  <c r="M131" i="2"/>
  <c r="Q131" i="2"/>
  <c r="P131" i="2"/>
  <c r="L131" i="2"/>
  <c r="K131" i="2"/>
  <c r="O131" i="2"/>
  <c r="I131" i="2"/>
  <c r="J131" i="2"/>
  <c r="R131" i="2"/>
  <c r="O27" i="2"/>
  <c r="N27" i="2"/>
  <c r="I27" i="2"/>
  <c r="G27" i="2"/>
  <c r="K27" i="2"/>
  <c r="H27" i="2"/>
  <c r="J27" i="2"/>
  <c r="L27" i="2"/>
  <c r="M27" i="2"/>
  <c r="P27" i="2"/>
  <c r="Q27" i="2"/>
  <c r="R27" i="2"/>
  <c r="Q132" i="2"/>
  <c r="O132" i="2"/>
  <c r="J132" i="2"/>
  <c r="M132" i="2"/>
  <c r="K132" i="2"/>
  <c r="R132" i="2"/>
  <c r="P132" i="2"/>
  <c r="N132" i="2"/>
  <c r="L132" i="2"/>
  <c r="G132" i="2"/>
  <c r="H132" i="2"/>
  <c r="I132" i="2"/>
  <c r="I28" i="2"/>
  <c r="L28" i="2"/>
  <c r="H28" i="2"/>
  <c r="J28" i="2"/>
  <c r="K28" i="2"/>
  <c r="G28" i="2"/>
  <c r="O28" i="2"/>
  <c r="P28" i="2"/>
  <c r="R28" i="2"/>
  <c r="N28" i="2"/>
  <c r="M28" i="2"/>
  <c r="Q28" i="2"/>
  <c r="N133" i="2"/>
  <c r="J133" i="2"/>
  <c r="L133" i="2"/>
  <c r="P133" i="2"/>
  <c r="K133" i="2"/>
  <c r="H133" i="2"/>
  <c r="R133" i="2"/>
  <c r="O133" i="2"/>
  <c r="G133" i="2"/>
  <c r="M133" i="2"/>
  <c r="I133" i="2"/>
  <c r="Q133" i="2"/>
  <c r="O25" i="2"/>
  <c r="I25" i="2"/>
  <c r="P25" i="2"/>
  <c r="G25" i="2"/>
  <c r="L25" i="2"/>
  <c r="M25" i="2"/>
  <c r="H25" i="2"/>
  <c r="K25" i="2"/>
  <c r="N25" i="2"/>
  <c r="J25" i="2"/>
  <c r="Q25" i="2"/>
  <c r="R25" i="2"/>
  <c r="L137" i="2"/>
  <c r="G137" i="2"/>
  <c r="K137" i="2"/>
  <c r="M137" i="2"/>
  <c r="P137" i="2"/>
  <c r="N137" i="2"/>
  <c r="R137" i="2"/>
  <c r="O137" i="2"/>
  <c r="J137" i="2"/>
  <c r="H137" i="2"/>
  <c r="I137" i="2"/>
  <c r="Q137" i="2"/>
  <c r="N135" i="2"/>
  <c r="K135" i="2"/>
  <c r="H135" i="2"/>
  <c r="P135" i="2"/>
  <c r="R135" i="2"/>
  <c r="G135" i="2"/>
  <c r="Q135" i="2"/>
  <c r="J135" i="2"/>
  <c r="M135" i="2"/>
  <c r="L135" i="2"/>
  <c r="I135" i="2"/>
  <c r="O135" i="2"/>
  <c r="G136" i="2"/>
  <c r="M136" i="2"/>
  <c r="P136" i="2"/>
  <c r="I136" i="2"/>
  <c r="H136" i="2"/>
  <c r="K136" i="2"/>
  <c r="L136" i="2"/>
  <c r="N136" i="2"/>
  <c r="O136" i="2"/>
  <c r="Q136" i="2"/>
  <c r="R136" i="2"/>
  <c r="J136" i="2"/>
  <c r="L134" i="2"/>
  <c r="K134" i="2"/>
  <c r="G134" i="2"/>
  <c r="J134" i="2"/>
  <c r="N134" i="2"/>
  <c r="I134" i="2"/>
  <c r="O134" i="2"/>
  <c r="R134" i="2"/>
  <c r="M134" i="2"/>
  <c r="H134" i="2"/>
  <c r="P134" i="2"/>
  <c r="Q134" i="2"/>
  <c r="M23" i="2"/>
  <c r="I23" i="2"/>
  <c r="L23" i="2"/>
  <c r="K23" i="2"/>
  <c r="N23" i="2"/>
  <c r="H23" i="2"/>
  <c r="O23" i="2"/>
  <c r="J23" i="2"/>
  <c r="P23" i="2"/>
  <c r="G23" i="2"/>
  <c r="R23" i="2"/>
  <c r="Q23" i="2"/>
  <c r="H24" i="2"/>
  <c r="Q24" i="2"/>
  <c r="N24" i="2"/>
  <c r="J24" i="2"/>
  <c r="K24" i="2"/>
  <c r="M24" i="2"/>
  <c r="G24" i="2"/>
  <c r="O24" i="2"/>
  <c r="R24" i="2"/>
  <c r="I24" i="2"/>
  <c r="P24" i="2"/>
  <c r="L24" i="2"/>
  <c r="P138" i="2"/>
  <c r="O138" i="2"/>
  <c r="G138" i="2"/>
  <c r="L138" i="2"/>
  <c r="Q138" i="2"/>
  <c r="H138" i="2"/>
  <c r="R138" i="2"/>
  <c r="J138" i="2"/>
  <c r="N138" i="2"/>
  <c r="I138" i="2"/>
  <c r="M138" i="2"/>
  <c r="K138" i="2"/>
  <c r="I26" i="2"/>
  <c r="L26" i="2"/>
  <c r="R26" i="2"/>
  <c r="K26" i="2"/>
  <c r="J26" i="2"/>
  <c r="H26" i="2"/>
  <c r="P26" i="2"/>
  <c r="G26" i="2"/>
  <c r="O26" i="2"/>
  <c r="Q26" i="2"/>
  <c r="N26" i="2"/>
  <c r="M26" i="2"/>
  <c r="G195" i="2"/>
  <c r="K195" i="2"/>
  <c r="M195" i="2"/>
  <c r="P195" i="2"/>
  <c r="O195" i="2"/>
  <c r="L195" i="2"/>
  <c r="J195" i="2"/>
  <c r="N195" i="2"/>
  <c r="H195" i="2"/>
  <c r="I195" i="2"/>
  <c r="R195" i="2"/>
  <c r="Q195" i="2"/>
  <c r="AJ122" i="2"/>
  <c r="D207" i="2"/>
  <c r="D206" i="2"/>
  <c r="D200" i="2"/>
  <c r="D201" i="2"/>
  <c r="D197" i="2"/>
  <c r="D205" i="2"/>
  <c r="D203" i="2"/>
  <c r="D198" i="2"/>
  <c r="D199" i="2"/>
  <c r="D202" i="2"/>
  <c r="D204" i="2"/>
  <c r="F152" i="2"/>
  <c r="A153" i="2"/>
  <c r="A154" i="2" s="1"/>
  <c r="A155" i="2" s="1"/>
  <c r="A156" i="2" s="1"/>
  <c r="A157" i="2" s="1"/>
  <c r="A158" i="2" s="1"/>
  <c r="A159" i="2" s="1"/>
  <c r="A160" i="2" s="1"/>
  <c r="A161" i="2" s="1"/>
  <c r="A162" i="2" s="1"/>
  <c r="A163" i="2" s="1"/>
  <c r="C149" i="2"/>
  <c r="C150" i="2"/>
  <c r="C148" i="2"/>
  <c r="C144" i="2"/>
  <c r="C146" i="2"/>
  <c r="C145" i="2"/>
  <c r="C143" i="2"/>
  <c r="C147" i="2"/>
  <c r="C142" i="2"/>
  <c r="F199" i="2"/>
  <c r="F202" i="2"/>
  <c r="F198" i="2"/>
  <c r="F187" i="2"/>
  <c r="F191" i="2"/>
  <c r="F189" i="2"/>
  <c r="F188" i="2"/>
  <c r="F192" i="2"/>
  <c r="F203" i="2"/>
  <c r="F205" i="2"/>
  <c r="F200" i="2"/>
  <c r="F204" i="2"/>
  <c r="F193" i="2"/>
  <c r="F190" i="2"/>
  <c r="F186" i="2"/>
  <c r="F197" i="2"/>
  <c r="F194" i="2"/>
  <c r="A226" i="1"/>
  <c r="F201" i="2"/>
  <c r="R28" i="142" l="1"/>
  <c r="P28" i="142"/>
  <c r="S28" i="142"/>
  <c r="L28" i="142"/>
  <c r="M28" i="142"/>
  <c r="T28" i="142"/>
  <c r="Q28" i="142"/>
  <c r="AO133" i="2"/>
  <c r="S139" i="2"/>
  <c r="S26" i="2"/>
  <c r="S25" i="2"/>
  <c r="S27" i="2"/>
  <c r="S138" i="2"/>
  <c r="S24" i="2"/>
  <c r="S134" i="2"/>
  <c r="I28" i="142"/>
  <c r="S23" i="2"/>
  <c r="S135" i="2"/>
  <c r="S137" i="2"/>
  <c r="S28" i="2"/>
  <c r="S21" i="2"/>
  <c r="S136" i="2"/>
  <c r="I168" i="142"/>
  <c r="S133" i="2"/>
  <c r="S131" i="2"/>
  <c r="S29" i="2"/>
  <c r="E209" i="143"/>
  <c r="S196" i="2"/>
  <c r="K28" i="142"/>
  <c r="S195" i="2"/>
  <c r="S132" i="2"/>
  <c r="S22" i="2"/>
  <c r="O28" i="142"/>
  <c r="J28" i="142"/>
  <c r="N28" i="142"/>
  <c r="AO23" i="2"/>
  <c r="AT115" i="2"/>
  <c r="B226" i="1"/>
  <c r="AU114" i="2"/>
  <c r="U122" i="2"/>
  <c r="U154" i="142"/>
  <c r="K228" i="143"/>
  <c r="J228" i="143"/>
  <c r="L228" i="143"/>
  <c r="G228" i="143"/>
  <c r="Q228" i="143"/>
  <c r="N228" i="143"/>
  <c r="H228" i="143"/>
  <c r="P228" i="143"/>
  <c r="O228" i="143"/>
  <c r="M228" i="143"/>
  <c r="I228" i="143"/>
  <c r="F228" i="143"/>
  <c r="J37" i="143"/>
  <c r="P37" i="143"/>
  <c r="G37" i="143"/>
  <c r="K37" i="143"/>
  <c r="O37" i="143"/>
  <c r="H37" i="143"/>
  <c r="Q37" i="143"/>
  <c r="I37" i="143"/>
  <c r="M37" i="143"/>
  <c r="N37" i="143"/>
  <c r="L37" i="143"/>
  <c r="F37" i="143"/>
  <c r="AS133" i="2"/>
  <c r="R168" i="142"/>
  <c r="AU133" i="2"/>
  <c r="T168" i="142"/>
  <c r="N168" i="142"/>
  <c r="AN133" i="2"/>
  <c r="M168" i="142"/>
  <c r="AM133" i="2"/>
  <c r="L168" i="142"/>
  <c r="AQ133" i="2"/>
  <c r="P168" i="142"/>
  <c r="AR133" i="2"/>
  <c r="Q168" i="142"/>
  <c r="AP133" i="2"/>
  <c r="O168" i="142"/>
  <c r="AT133" i="2"/>
  <c r="S168" i="142"/>
  <c r="AK133" i="2"/>
  <c r="J168" i="142"/>
  <c r="AL133" i="2"/>
  <c r="K168" i="142"/>
  <c r="AJ133" i="2"/>
  <c r="AS23" i="2"/>
  <c r="AK23" i="2"/>
  <c r="AT23" i="2"/>
  <c r="AU23" i="2"/>
  <c r="AQ23" i="2"/>
  <c r="AN23" i="2"/>
  <c r="AL23" i="2"/>
  <c r="AM23" i="2"/>
  <c r="AR23" i="2"/>
  <c r="AP23" i="2"/>
  <c r="AJ23" i="2"/>
  <c r="O144" i="2"/>
  <c r="M144" i="2"/>
  <c r="H144" i="2"/>
  <c r="P144" i="2"/>
  <c r="K144" i="2"/>
  <c r="N144" i="2"/>
  <c r="R144" i="2"/>
  <c r="J144" i="2"/>
  <c r="Q144" i="2"/>
  <c r="I144" i="2"/>
  <c r="G144" i="2"/>
  <c r="L144" i="2"/>
  <c r="O207" i="2"/>
  <c r="P207" i="2"/>
  <c r="H207" i="2"/>
  <c r="N207" i="2"/>
  <c r="K207" i="2"/>
  <c r="R207" i="2"/>
  <c r="J207" i="2"/>
  <c r="Q207" i="2"/>
  <c r="L207" i="2"/>
  <c r="G207" i="2"/>
  <c r="M207" i="2"/>
  <c r="I207" i="2"/>
  <c r="H146" i="2"/>
  <c r="O146" i="2"/>
  <c r="I146" i="2"/>
  <c r="G146" i="2"/>
  <c r="M146" i="2"/>
  <c r="J146" i="2"/>
  <c r="P146" i="2"/>
  <c r="L146" i="2"/>
  <c r="N146" i="2"/>
  <c r="R146" i="2"/>
  <c r="Q146" i="2"/>
  <c r="K146" i="2"/>
  <c r="O206" i="2"/>
  <c r="L206" i="2"/>
  <c r="Q206" i="2"/>
  <c r="P206" i="2"/>
  <c r="I206" i="2"/>
  <c r="N206" i="2"/>
  <c r="G206" i="2"/>
  <c r="K206" i="2"/>
  <c r="M206" i="2"/>
  <c r="R206" i="2"/>
  <c r="H206" i="2"/>
  <c r="J206" i="2"/>
  <c r="N148" i="2"/>
  <c r="M148" i="2"/>
  <c r="G148" i="2"/>
  <c r="O148" i="2"/>
  <c r="I148" i="2"/>
  <c r="J148" i="2"/>
  <c r="R148" i="2"/>
  <c r="H148" i="2"/>
  <c r="Q148" i="2"/>
  <c r="L148" i="2"/>
  <c r="P148" i="2"/>
  <c r="K148" i="2"/>
  <c r="M150" i="2"/>
  <c r="R150" i="2"/>
  <c r="N150" i="2"/>
  <c r="K150" i="2"/>
  <c r="H150" i="2"/>
  <c r="J150" i="2"/>
  <c r="I150" i="2"/>
  <c r="Q150" i="2"/>
  <c r="L150" i="2"/>
  <c r="G150" i="2"/>
  <c r="P150" i="2"/>
  <c r="O150" i="2"/>
  <c r="O149" i="2"/>
  <c r="G149" i="2"/>
  <c r="K149" i="2"/>
  <c r="M149" i="2"/>
  <c r="H149" i="2"/>
  <c r="R149" i="2"/>
  <c r="I149" i="2"/>
  <c r="P149" i="2"/>
  <c r="Q149" i="2"/>
  <c r="L149" i="2"/>
  <c r="J149" i="2"/>
  <c r="N149" i="2"/>
  <c r="I145" i="2"/>
  <c r="L145" i="2"/>
  <c r="P145" i="2"/>
  <c r="G145" i="2"/>
  <c r="H145" i="2"/>
  <c r="M145" i="2"/>
  <c r="N145" i="2"/>
  <c r="O145" i="2"/>
  <c r="K145" i="2"/>
  <c r="J145" i="2"/>
  <c r="Q145" i="2"/>
  <c r="R145" i="2"/>
  <c r="J142" i="2"/>
  <c r="L142" i="2"/>
  <c r="H142" i="2"/>
  <c r="K142" i="2"/>
  <c r="O142" i="2"/>
  <c r="R142" i="2"/>
  <c r="P142" i="2"/>
  <c r="M142" i="2"/>
  <c r="N142" i="2"/>
  <c r="Q142" i="2"/>
  <c r="I142" i="2"/>
  <c r="G142" i="2"/>
  <c r="P147" i="2"/>
  <c r="H147" i="2"/>
  <c r="J147" i="2"/>
  <c r="N147" i="2"/>
  <c r="R147" i="2"/>
  <c r="Q147" i="2"/>
  <c r="K147" i="2"/>
  <c r="L147" i="2"/>
  <c r="I147" i="2"/>
  <c r="O147" i="2"/>
  <c r="G147" i="2"/>
  <c r="M147" i="2"/>
  <c r="L143" i="2"/>
  <c r="K143" i="2"/>
  <c r="P143" i="2"/>
  <c r="Q143" i="2"/>
  <c r="G143" i="2"/>
  <c r="H143" i="2"/>
  <c r="I143" i="2"/>
  <c r="M143" i="2"/>
  <c r="J143" i="2"/>
  <c r="O143" i="2"/>
  <c r="R143" i="2"/>
  <c r="N143" i="2"/>
  <c r="D217" i="2"/>
  <c r="D218" i="2"/>
  <c r="D216" i="2"/>
  <c r="D212" i="2"/>
  <c r="D209" i="2"/>
  <c r="D215" i="2"/>
  <c r="D210" i="2"/>
  <c r="D214" i="2"/>
  <c r="D208" i="2"/>
  <c r="D213" i="2"/>
  <c r="D211" i="2"/>
  <c r="F163" i="2"/>
  <c r="A164" i="2"/>
  <c r="A165" i="2" s="1"/>
  <c r="A166" i="2" s="1"/>
  <c r="A167" i="2" s="1"/>
  <c r="A168" i="2" s="1"/>
  <c r="A169" i="2" s="1"/>
  <c r="A170" i="2" s="1"/>
  <c r="A171" i="2" s="1"/>
  <c r="A172" i="2" s="1"/>
  <c r="A173" i="2" s="1"/>
  <c r="A174" i="2" s="1"/>
  <c r="C156" i="2"/>
  <c r="C155" i="2"/>
  <c r="C154" i="2"/>
  <c r="C153" i="2"/>
  <c r="C157" i="2"/>
  <c r="C161" i="2"/>
  <c r="C160" i="2"/>
  <c r="C159" i="2"/>
  <c r="C158" i="2"/>
  <c r="F216" i="2"/>
  <c r="A227" i="1"/>
  <c r="F215" i="2"/>
  <c r="F210" i="2"/>
  <c r="F212" i="2"/>
  <c r="F214" i="2"/>
  <c r="F211" i="2"/>
  <c r="F208" i="2"/>
  <c r="F213" i="2"/>
  <c r="F209" i="2"/>
  <c r="AO144" i="2" l="1"/>
  <c r="U28" i="142"/>
  <c r="S150" i="2"/>
  <c r="S149" i="2"/>
  <c r="S142" i="2"/>
  <c r="S145" i="2"/>
  <c r="S146" i="2"/>
  <c r="S147" i="2"/>
  <c r="S148" i="2"/>
  <c r="S144" i="2"/>
  <c r="E228" i="143"/>
  <c r="E37" i="143"/>
  <c r="S207" i="2"/>
  <c r="S206" i="2"/>
  <c r="S143" i="2"/>
  <c r="B227" i="1"/>
  <c r="Q247" i="143"/>
  <c r="P247" i="143"/>
  <c r="J247" i="143"/>
  <c r="L247" i="143"/>
  <c r="I247" i="143"/>
  <c r="O247" i="143"/>
  <c r="M247" i="143"/>
  <c r="K247" i="143"/>
  <c r="N247" i="143"/>
  <c r="G247" i="143"/>
  <c r="H247" i="143"/>
  <c r="F247" i="143"/>
  <c r="AP144" i="2"/>
  <c r="O182" i="142"/>
  <c r="AR144" i="2"/>
  <c r="Q182" i="142"/>
  <c r="AL144" i="2"/>
  <c r="K182" i="142"/>
  <c r="AT144" i="2"/>
  <c r="S182" i="142"/>
  <c r="AK144" i="2"/>
  <c r="J182" i="142"/>
  <c r="AU144" i="2"/>
  <c r="T182" i="142"/>
  <c r="N182" i="142"/>
  <c r="AQ144" i="2"/>
  <c r="P182" i="142"/>
  <c r="AM144" i="2"/>
  <c r="L182" i="142"/>
  <c r="AN144" i="2"/>
  <c r="M182" i="142"/>
  <c r="AS144" i="2"/>
  <c r="R182" i="142"/>
  <c r="AJ144" i="2"/>
  <c r="I182" i="142"/>
  <c r="U133" i="2"/>
  <c r="U168" i="142"/>
  <c r="U23" i="2"/>
  <c r="I158" i="2"/>
  <c r="Q158" i="2"/>
  <c r="R158" i="2"/>
  <c r="P158" i="2"/>
  <c r="G158" i="2"/>
  <c r="L158" i="2"/>
  <c r="O158" i="2"/>
  <c r="J158" i="2"/>
  <c r="H158" i="2"/>
  <c r="K158" i="2"/>
  <c r="N158" i="2"/>
  <c r="M158" i="2"/>
  <c r="K154" i="2"/>
  <c r="I154" i="2"/>
  <c r="G154" i="2"/>
  <c r="H154" i="2"/>
  <c r="P154" i="2"/>
  <c r="M154" i="2"/>
  <c r="J154" i="2"/>
  <c r="O154" i="2"/>
  <c r="N154" i="2"/>
  <c r="L154" i="2"/>
  <c r="Q154" i="2"/>
  <c r="R154" i="2"/>
  <c r="K161" i="2"/>
  <c r="Q161" i="2"/>
  <c r="O161" i="2"/>
  <c r="J161" i="2"/>
  <c r="H161" i="2"/>
  <c r="L161" i="2"/>
  <c r="P161" i="2"/>
  <c r="R161" i="2"/>
  <c r="G161" i="2"/>
  <c r="I161" i="2"/>
  <c r="M161" i="2"/>
  <c r="N161" i="2"/>
  <c r="H155" i="2"/>
  <c r="K155" i="2"/>
  <c r="P155" i="2"/>
  <c r="I155" i="2"/>
  <c r="L155" i="2"/>
  <c r="M155" i="2"/>
  <c r="R155" i="2"/>
  <c r="Q155" i="2"/>
  <c r="J155" i="2"/>
  <c r="O155" i="2"/>
  <c r="N155" i="2"/>
  <c r="G155" i="2"/>
  <c r="M160" i="2"/>
  <c r="H160" i="2"/>
  <c r="I160" i="2"/>
  <c r="G160" i="2"/>
  <c r="K160" i="2"/>
  <c r="L160" i="2"/>
  <c r="Q160" i="2"/>
  <c r="N160" i="2"/>
  <c r="O160" i="2"/>
  <c r="J160" i="2"/>
  <c r="R160" i="2"/>
  <c r="P160" i="2"/>
  <c r="K156" i="2"/>
  <c r="R156" i="2"/>
  <c r="L156" i="2"/>
  <c r="I156" i="2"/>
  <c r="Q156" i="2"/>
  <c r="N156" i="2"/>
  <c r="O156" i="2"/>
  <c r="M156" i="2"/>
  <c r="J156" i="2"/>
  <c r="P156" i="2"/>
  <c r="H156" i="2"/>
  <c r="G156" i="2"/>
  <c r="Q159" i="2"/>
  <c r="R159" i="2"/>
  <c r="I159" i="2"/>
  <c r="G159" i="2"/>
  <c r="O159" i="2"/>
  <c r="P159" i="2"/>
  <c r="J159" i="2"/>
  <c r="L159" i="2"/>
  <c r="N159" i="2"/>
  <c r="H159" i="2"/>
  <c r="K159" i="2"/>
  <c r="M159" i="2"/>
  <c r="H153" i="2"/>
  <c r="P153" i="2"/>
  <c r="Q153" i="2"/>
  <c r="I153" i="2"/>
  <c r="O153" i="2"/>
  <c r="J153" i="2"/>
  <c r="M153" i="2"/>
  <c r="L153" i="2"/>
  <c r="R153" i="2"/>
  <c r="N153" i="2"/>
  <c r="G153" i="2"/>
  <c r="K153" i="2"/>
  <c r="M157" i="2"/>
  <c r="P157" i="2"/>
  <c r="G157" i="2"/>
  <c r="K157" i="2"/>
  <c r="H157" i="2"/>
  <c r="O157" i="2"/>
  <c r="N157" i="2"/>
  <c r="Q157" i="2"/>
  <c r="J157" i="2"/>
  <c r="R157" i="2"/>
  <c r="L157" i="2"/>
  <c r="I157" i="2"/>
  <c r="J218" i="2"/>
  <c r="Q218" i="2"/>
  <c r="P218" i="2"/>
  <c r="I218" i="2"/>
  <c r="M218" i="2"/>
  <c r="L218" i="2"/>
  <c r="K218" i="2"/>
  <c r="R218" i="2"/>
  <c r="O218" i="2"/>
  <c r="N218" i="2"/>
  <c r="H218" i="2"/>
  <c r="G218" i="2"/>
  <c r="P217" i="2"/>
  <c r="K217" i="2"/>
  <c r="J217" i="2"/>
  <c r="N217" i="2"/>
  <c r="M217" i="2"/>
  <c r="L217" i="2"/>
  <c r="I217" i="2"/>
  <c r="H217" i="2"/>
  <c r="R217" i="2"/>
  <c r="Q217" i="2"/>
  <c r="O217" i="2"/>
  <c r="G217" i="2"/>
  <c r="D229" i="2"/>
  <c r="D228" i="2"/>
  <c r="D220" i="2"/>
  <c r="D225" i="2"/>
  <c r="D226" i="2"/>
  <c r="D222" i="2"/>
  <c r="D223" i="2"/>
  <c r="D219" i="2"/>
  <c r="D221" i="2"/>
  <c r="D224" i="2"/>
  <c r="D227" i="2"/>
  <c r="F174" i="2"/>
  <c r="A175" i="2"/>
  <c r="A176" i="2" s="1"/>
  <c r="A177" i="2" s="1"/>
  <c r="A178" i="2" s="1"/>
  <c r="A179" i="2" s="1"/>
  <c r="A180" i="2" s="1"/>
  <c r="A181" i="2" s="1"/>
  <c r="A182" i="2" s="1"/>
  <c r="A183" i="2" s="1"/>
  <c r="A184" i="2" s="1"/>
  <c r="A185" i="2" s="1"/>
  <c r="C169" i="2"/>
  <c r="C168" i="2"/>
  <c r="C165" i="2"/>
  <c r="C172" i="2"/>
  <c r="C171" i="2"/>
  <c r="C170" i="2"/>
  <c r="C164" i="2"/>
  <c r="C167" i="2"/>
  <c r="C166" i="2"/>
  <c r="F226" i="2"/>
  <c r="A228" i="1"/>
  <c r="F220" i="2"/>
  <c r="F221" i="2"/>
  <c r="F219" i="2"/>
  <c r="F223" i="2"/>
  <c r="F224" i="2"/>
  <c r="F225" i="2"/>
  <c r="F227" i="2"/>
  <c r="F222" i="2"/>
  <c r="AO155" i="2" l="1"/>
  <c r="S161" i="2"/>
  <c r="AJ158" i="2"/>
  <c r="S158" i="2"/>
  <c r="AJ159" i="2"/>
  <c r="S159" i="2"/>
  <c r="F266" i="143"/>
  <c r="S156" i="2"/>
  <c r="AJ160" i="2"/>
  <c r="S160" i="2"/>
  <c r="I196" i="142"/>
  <c r="I197" i="142" s="1"/>
  <c r="S155" i="2"/>
  <c r="S157" i="2"/>
  <c r="S153" i="2"/>
  <c r="F267" i="143"/>
  <c r="E247" i="143"/>
  <c r="S154" i="2"/>
  <c r="AK159" i="2"/>
  <c r="AK160" i="2"/>
  <c r="AK153" i="2"/>
  <c r="J196" i="142"/>
  <c r="J197" i="142" s="1"/>
  <c r="AK161" i="2"/>
  <c r="AK158" i="2"/>
  <c r="G266" i="143"/>
  <c r="G267" i="143" s="1"/>
  <c r="AS115" i="2"/>
  <c r="AS117" i="2"/>
  <c r="AT116" i="2"/>
  <c r="AT114" i="2"/>
  <c r="B228" i="1"/>
  <c r="U144" i="2"/>
  <c r="U182" i="142"/>
  <c r="Q266" i="143"/>
  <c r="J266" i="143"/>
  <c r="H266" i="143"/>
  <c r="K266" i="143"/>
  <c r="O266" i="143"/>
  <c r="AK156" i="2"/>
  <c r="I266" i="143"/>
  <c r="L266" i="143"/>
  <c r="N266" i="143"/>
  <c r="M266" i="143"/>
  <c r="P266" i="143"/>
  <c r="AJ156" i="2"/>
  <c r="N196" i="142"/>
  <c r="AT155" i="2"/>
  <c r="S196" i="142"/>
  <c r="AS155" i="2"/>
  <c r="R196" i="142"/>
  <c r="AK155" i="2"/>
  <c r="AU155" i="2"/>
  <c r="T196" i="142"/>
  <c r="AQ155" i="2"/>
  <c r="P196" i="142"/>
  <c r="AP155" i="2"/>
  <c r="O196" i="142"/>
  <c r="AR155" i="2"/>
  <c r="Q196" i="142"/>
  <c r="AL155" i="2"/>
  <c r="K196" i="142"/>
  <c r="AN155" i="2"/>
  <c r="M196" i="142"/>
  <c r="AM155" i="2"/>
  <c r="L196" i="142"/>
  <c r="K165" i="2"/>
  <c r="I165" i="2"/>
  <c r="L165" i="2"/>
  <c r="M165" i="2"/>
  <c r="Q165" i="2"/>
  <c r="H165" i="2"/>
  <c r="P165" i="2"/>
  <c r="J165" i="2"/>
  <c r="G165" i="2"/>
  <c r="R165" i="2"/>
  <c r="N165" i="2"/>
  <c r="O165" i="2"/>
  <c r="L172" i="2"/>
  <c r="AO172" i="2" s="1"/>
  <c r="I172" i="2"/>
  <c r="K172" i="2"/>
  <c r="AN172" i="2" s="1"/>
  <c r="H172" i="2"/>
  <c r="O172" i="2"/>
  <c r="N172" i="2"/>
  <c r="G172" i="2"/>
  <c r="P172" i="2"/>
  <c r="R172" i="2"/>
  <c r="J172" i="2"/>
  <c r="AM172" i="2" s="1"/>
  <c r="Q172" i="2"/>
  <c r="M172" i="2"/>
  <c r="H168" i="2"/>
  <c r="Q168" i="2"/>
  <c r="P168" i="2"/>
  <c r="R168" i="2"/>
  <c r="N168" i="2"/>
  <c r="O168" i="2"/>
  <c r="K168" i="2"/>
  <c r="I168" i="2"/>
  <c r="J168" i="2"/>
  <c r="G168" i="2"/>
  <c r="M168" i="2"/>
  <c r="L168" i="2"/>
  <c r="G169" i="2"/>
  <c r="N169" i="2"/>
  <c r="H169" i="2"/>
  <c r="Q169" i="2"/>
  <c r="L169" i="2"/>
  <c r="I169" i="2"/>
  <c r="R169" i="2"/>
  <c r="P169" i="2"/>
  <c r="K169" i="2"/>
  <c r="J169" i="2"/>
  <c r="O169" i="2"/>
  <c r="M169" i="2"/>
  <c r="N166" i="2"/>
  <c r="Q166" i="2"/>
  <c r="J166" i="2"/>
  <c r="G166" i="2"/>
  <c r="O166" i="2"/>
  <c r="I166" i="2"/>
  <c r="H166" i="2"/>
  <c r="M166" i="2"/>
  <c r="R166" i="2"/>
  <c r="K166" i="2"/>
  <c r="P166" i="2"/>
  <c r="L166" i="2"/>
  <c r="L167" i="2"/>
  <c r="N167" i="2"/>
  <c r="P167" i="2"/>
  <c r="G167" i="2"/>
  <c r="H167" i="2"/>
  <c r="I167" i="2"/>
  <c r="K167" i="2"/>
  <c r="R167" i="2"/>
  <c r="Q167" i="2"/>
  <c r="J167" i="2"/>
  <c r="M167" i="2"/>
  <c r="O167" i="2"/>
  <c r="J164" i="2"/>
  <c r="O164" i="2"/>
  <c r="N164" i="2"/>
  <c r="R164" i="2"/>
  <c r="H164" i="2"/>
  <c r="L164" i="2"/>
  <c r="Q164" i="2"/>
  <c r="K164" i="2"/>
  <c r="I164" i="2"/>
  <c r="P164" i="2"/>
  <c r="G164" i="2"/>
  <c r="M164" i="2"/>
  <c r="R170" i="2"/>
  <c r="K170" i="2"/>
  <c r="Q170" i="2"/>
  <c r="M170" i="2"/>
  <c r="O170" i="2"/>
  <c r="P170" i="2"/>
  <c r="L170" i="2"/>
  <c r="I170" i="2"/>
  <c r="N170" i="2"/>
  <c r="J170" i="2"/>
  <c r="H170" i="2"/>
  <c r="G170" i="2"/>
  <c r="I171" i="2"/>
  <c r="H171" i="2"/>
  <c r="N171" i="2"/>
  <c r="O171" i="2"/>
  <c r="J171" i="2"/>
  <c r="L171" i="2"/>
  <c r="K171" i="2"/>
  <c r="G171" i="2"/>
  <c r="P171" i="2"/>
  <c r="Q171" i="2"/>
  <c r="R171" i="2"/>
  <c r="M171" i="2"/>
  <c r="P229" i="2"/>
  <c r="M229" i="2"/>
  <c r="L229" i="2"/>
  <c r="Q229" i="2"/>
  <c r="O229" i="2"/>
  <c r="N229" i="2"/>
  <c r="H229" i="2"/>
  <c r="G229" i="2"/>
  <c r="R229" i="2"/>
  <c r="I229" i="2"/>
  <c r="J229" i="2"/>
  <c r="K229" i="2"/>
  <c r="R228" i="2"/>
  <c r="L228" i="2"/>
  <c r="G228" i="2"/>
  <c r="Q228" i="2"/>
  <c r="P228" i="2"/>
  <c r="O228" i="2"/>
  <c r="N228" i="2"/>
  <c r="H228" i="2"/>
  <c r="M228" i="2"/>
  <c r="K228" i="2"/>
  <c r="J228" i="2"/>
  <c r="I228" i="2"/>
  <c r="AJ161" i="2"/>
  <c r="AJ155" i="2"/>
  <c r="D240" i="2"/>
  <c r="D239" i="2"/>
  <c r="D235" i="2"/>
  <c r="D233" i="2"/>
  <c r="D234" i="2"/>
  <c r="D236" i="2"/>
  <c r="D232" i="2"/>
  <c r="D238" i="2"/>
  <c r="D230" i="2"/>
  <c r="D237" i="2"/>
  <c r="D231" i="2"/>
  <c r="F185" i="2"/>
  <c r="A186" i="2"/>
  <c r="A187" i="2" s="1"/>
  <c r="A188" i="2" s="1"/>
  <c r="A189" i="2" s="1"/>
  <c r="A190" i="2" s="1"/>
  <c r="A191" i="2" s="1"/>
  <c r="A192" i="2" s="1"/>
  <c r="A193" i="2" s="1"/>
  <c r="A194" i="2" s="1"/>
  <c r="A195" i="2" s="1"/>
  <c r="A196" i="2" s="1"/>
  <c r="C176" i="2"/>
  <c r="C183" i="2"/>
  <c r="C182" i="2"/>
  <c r="C181" i="2"/>
  <c r="C175" i="2"/>
  <c r="C180" i="2"/>
  <c r="C177" i="2"/>
  <c r="C179" i="2"/>
  <c r="C178" i="2"/>
  <c r="F234" i="2"/>
  <c r="F232" i="2"/>
  <c r="F231" i="2"/>
  <c r="A229" i="1"/>
  <c r="F235" i="2"/>
  <c r="F233" i="2"/>
  <c r="F238" i="2"/>
  <c r="F237" i="2"/>
  <c r="F236" i="2"/>
  <c r="F230" i="2"/>
  <c r="AO166" i="2" l="1"/>
  <c r="S168" i="2"/>
  <c r="AJ169" i="2"/>
  <c r="S169" i="2"/>
  <c r="AJ171" i="2"/>
  <c r="S171" i="2"/>
  <c r="AJ170" i="2"/>
  <c r="S170" i="2"/>
  <c r="S167" i="2"/>
  <c r="I210" i="142"/>
  <c r="I211" i="142" s="1"/>
  <c r="S166" i="2"/>
  <c r="AJ164" i="2"/>
  <c r="S164" i="2"/>
  <c r="AJ172" i="2"/>
  <c r="S172" i="2"/>
  <c r="E266" i="143"/>
  <c r="S165" i="2"/>
  <c r="AK172" i="2"/>
  <c r="AK170" i="2"/>
  <c r="J210" i="142"/>
  <c r="J211" i="142" s="1"/>
  <c r="AK169" i="2"/>
  <c r="AK171" i="2"/>
  <c r="AK164" i="2"/>
  <c r="AO117" i="2"/>
  <c r="AO115" i="2"/>
  <c r="AR117" i="2"/>
  <c r="AR109" i="2"/>
  <c r="AR115" i="2"/>
  <c r="AS116" i="2"/>
  <c r="AS112" i="2"/>
  <c r="B229" i="1"/>
  <c r="AJ167" i="2"/>
  <c r="F286" i="143"/>
  <c r="AK167" i="2"/>
  <c r="G286" i="143"/>
  <c r="O286" i="143"/>
  <c r="M286" i="143"/>
  <c r="K286" i="143"/>
  <c r="L286" i="143"/>
  <c r="I286" i="143"/>
  <c r="N286" i="143"/>
  <c r="P286" i="143"/>
  <c r="Q286" i="143"/>
  <c r="J286" i="143"/>
  <c r="H286" i="143"/>
  <c r="AL166" i="2"/>
  <c r="K210" i="142"/>
  <c r="AQ166" i="2"/>
  <c r="P210" i="142"/>
  <c r="AM166" i="2"/>
  <c r="L210" i="142"/>
  <c r="N210" i="142"/>
  <c r="AP166" i="2"/>
  <c r="O210" i="142"/>
  <c r="AS166" i="2"/>
  <c r="R210" i="142"/>
  <c r="AR166" i="2"/>
  <c r="Q210" i="142"/>
  <c r="AN166" i="2"/>
  <c r="M210" i="142"/>
  <c r="AK166" i="2"/>
  <c r="AT166" i="2"/>
  <c r="S210" i="142"/>
  <c r="AU166" i="2"/>
  <c r="T210" i="142"/>
  <c r="AJ166" i="2"/>
  <c r="U155" i="2"/>
  <c r="U196" i="142"/>
  <c r="G179" i="2"/>
  <c r="M179" i="2"/>
  <c r="P179" i="2"/>
  <c r="I179" i="2"/>
  <c r="O179" i="2"/>
  <c r="J179" i="2"/>
  <c r="R179" i="2"/>
  <c r="H179" i="2"/>
  <c r="L179" i="2"/>
  <c r="K179" i="2"/>
  <c r="N179" i="2"/>
  <c r="Q179" i="2"/>
  <c r="Q178" i="2"/>
  <c r="J178" i="2"/>
  <c r="N178" i="2"/>
  <c r="G178" i="2"/>
  <c r="L178" i="2"/>
  <c r="O178" i="2"/>
  <c r="H178" i="2"/>
  <c r="I178" i="2"/>
  <c r="P178" i="2"/>
  <c r="K178" i="2"/>
  <c r="M178" i="2"/>
  <c r="R178" i="2"/>
  <c r="K180" i="2"/>
  <c r="J180" i="2"/>
  <c r="H180" i="2"/>
  <c r="L180" i="2"/>
  <c r="O180" i="2"/>
  <c r="M180" i="2"/>
  <c r="R180" i="2"/>
  <c r="N180" i="2"/>
  <c r="P180" i="2"/>
  <c r="I180" i="2"/>
  <c r="G180" i="2"/>
  <c r="Q180" i="2"/>
  <c r="Q175" i="2"/>
  <c r="O175" i="2"/>
  <c r="N175" i="2"/>
  <c r="K175" i="2"/>
  <c r="L175" i="2"/>
  <c r="P175" i="2"/>
  <c r="J175" i="2"/>
  <c r="R175" i="2"/>
  <c r="M175" i="2"/>
  <c r="I175" i="2"/>
  <c r="G175" i="2"/>
  <c r="H175" i="2"/>
  <c r="N177" i="2"/>
  <c r="L177" i="2"/>
  <c r="I177" i="2"/>
  <c r="J177" i="2"/>
  <c r="G177" i="2"/>
  <c r="P177" i="2"/>
  <c r="M177" i="2"/>
  <c r="H177" i="2"/>
  <c r="O177" i="2"/>
  <c r="K177" i="2"/>
  <c r="Q177" i="2"/>
  <c r="R177" i="2"/>
  <c r="G181" i="2"/>
  <c r="Q181" i="2"/>
  <c r="J181" i="2"/>
  <c r="K181" i="2"/>
  <c r="O181" i="2"/>
  <c r="M181" i="2"/>
  <c r="N181" i="2"/>
  <c r="H181" i="2"/>
  <c r="I181" i="2"/>
  <c r="L181" i="2"/>
  <c r="R181" i="2"/>
  <c r="P181" i="2"/>
  <c r="I182" i="2"/>
  <c r="H182" i="2"/>
  <c r="M182" i="2"/>
  <c r="G182" i="2"/>
  <c r="K182" i="2"/>
  <c r="J182" i="2"/>
  <c r="Q182" i="2"/>
  <c r="R182" i="2"/>
  <c r="O182" i="2"/>
  <c r="P182" i="2"/>
  <c r="N182" i="2"/>
  <c r="L182" i="2"/>
  <c r="K183" i="2"/>
  <c r="J183" i="2"/>
  <c r="AM183" i="2" s="1"/>
  <c r="O183" i="2"/>
  <c r="M183" i="2"/>
  <c r="L183" i="2"/>
  <c r="I183" i="2"/>
  <c r="G183" i="2"/>
  <c r="Q183" i="2"/>
  <c r="N183" i="2"/>
  <c r="H183" i="2"/>
  <c r="P183" i="2"/>
  <c r="R183" i="2"/>
  <c r="M176" i="2"/>
  <c r="R176" i="2"/>
  <c r="J176" i="2"/>
  <c r="G176" i="2"/>
  <c r="H176" i="2"/>
  <c r="P176" i="2"/>
  <c r="Q176" i="2"/>
  <c r="S176" i="2" s="1"/>
  <c r="O176" i="2"/>
  <c r="K176" i="2"/>
  <c r="I176" i="2"/>
  <c r="N176" i="2"/>
  <c r="L176" i="2"/>
  <c r="N239" i="2"/>
  <c r="H239" i="2"/>
  <c r="M239" i="2"/>
  <c r="I239" i="2"/>
  <c r="G239" i="2"/>
  <c r="Q239" i="2"/>
  <c r="K239" i="2"/>
  <c r="J239" i="2"/>
  <c r="P239" i="2"/>
  <c r="O239" i="2"/>
  <c r="R239" i="2"/>
  <c r="L239" i="2"/>
  <c r="D251" i="2"/>
  <c r="D262" i="2" s="1"/>
  <c r="R240" i="2"/>
  <c r="L240" i="2"/>
  <c r="I240" i="2"/>
  <c r="H240" i="2"/>
  <c r="Q240" i="2"/>
  <c r="P240" i="2"/>
  <c r="N240" i="2"/>
  <c r="M240" i="2"/>
  <c r="K240" i="2"/>
  <c r="J240" i="2"/>
  <c r="G240" i="2"/>
  <c r="O240" i="2"/>
  <c r="D250" i="2"/>
  <c r="D246" i="2"/>
  <c r="D243" i="2"/>
  <c r="D245" i="2"/>
  <c r="D244" i="2"/>
  <c r="D241" i="2"/>
  <c r="D248" i="2"/>
  <c r="D247" i="2"/>
  <c r="D242" i="2"/>
  <c r="D249" i="2"/>
  <c r="F196" i="2"/>
  <c r="A197" i="2"/>
  <c r="A198" i="2" s="1"/>
  <c r="A199" i="2" s="1"/>
  <c r="A200" i="2" s="1"/>
  <c r="A201" i="2" s="1"/>
  <c r="A202" i="2" s="1"/>
  <c r="A203" i="2" s="1"/>
  <c r="A204" i="2" s="1"/>
  <c r="A205" i="2" s="1"/>
  <c r="A206" i="2" s="1"/>
  <c r="A207" i="2" s="1"/>
  <c r="C194" i="2"/>
  <c r="C189" i="2"/>
  <c r="C193" i="2"/>
  <c r="C190" i="2"/>
  <c r="C192" i="2"/>
  <c r="C191" i="2"/>
  <c r="C188" i="2"/>
  <c r="C187" i="2"/>
  <c r="C186" i="2"/>
  <c r="F245" i="2"/>
  <c r="F244" i="2"/>
  <c r="F242" i="2"/>
  <c r="F247" i="2"/>
  <c r="A230" i="1"/>
  <c r="F248" i="2"/>
  <c r="F241" i="2"/>
  <c r="F246" i="2"/>
  <c r="F243" i="2"/>
  <c r="F249" i="2"/>
  <c r="S182" i="2" l="1"/>
  <c r="S178" i="2"/>
  <c r="S183" i="2"/>
  <c r="S175" i="2"/>
  <c r="S180" i="2"/>
  <c r="S181" i="2"/>
  <c r="S177" i="2"/>
  <c r="S179" i="2"/>
  <c r="P224" i="142"/>
  <c r="S224" i="142"/>
  <c r="M224" i="142"/>
  <c r="R224" i="142"/>
  <c r="Q224" i="142"/>
  <c r="T224" i="142"/>
  <c r="L224" i="142"/>
  <c r="I224" i="142"/>
  <c r="I225" i="142" s="1"/>
  <c r="AJ183" i="2"/>
  <c r="AJ180" i="2"/>
  <c r="E286" i="143"/>
  <c r="K224" i="142"/>
  <c r="O224" i="142"/>
  <c r="AK180" i="2"/>
  <c r="AK183" i="2"/>
  <c r="AK182" i="2"/>
  <c r="AK181" i="2"/>
  <c r="J224" i="142"/>
  <c r="J225" i="142" s="1"/>
  <c r="AO112" i="2"/>
  <c r="N224" i="142"/>
  <c r="AO177" i="2"/>
  <c r="AO114" i="2"/>
  <c r="AR116" i="2"/>
  <c r="AR112" i="2"/>
  <c r="AS114" i="2"/>
  <c r="B230" i="1"/>
  <c r="AJ178" i="2"/>
  <c r="F305" i="143"/>
  <c r="F287" i="143"/>
  <c r="AK178" i="2"/>
  <c r="G305" i="143"/>
  <c r="G306" i="143" s="1"/>
  <c r="G287" i="143"/>
  <c r="U166" i="2"/>
  <c r="U210" i="142"/>
  <c r="K305" i="143"/>
  <c r="M305" i="143"/>
  <c r="I305" i="143"/>
  <c r="P305" i="143"/>
  <c r="Q305" i="143"/>
  <c r="L305" i="143"/>
  <c r="J305" i="143"/>
  <c r="O305" i="143"/>
  <c r="N305" i="143"/>
  <c r="H305" i="143"/>
  <c r="AK175" i="2"/>
  <c r="AS177" i="2"/>
  <c r="AK177" i="2"/>
  <c r="AJ177" i="2"/>
  <c r="AM177" i="2"/>
  <c r="AN177" i="2"/>
  <c r="AL177" i="2"/>
  <c r="AT177" i="2"/>
  <c r="AR177" i="2"/>
  <c r="AP177" i="2"/>
  <c r="AQ177" i="2"/>
  <c r="L190" i="2"/>
  <c r="G190" i="2"/>
  <c r="Q190" i="2"/>
  <c r="P190" i="2"/>
  <c r="K190" i="2"/>
  <c r="R190" i="2"/>
  <c r="M190" i="2"/>
  <c r="N190" i="2"/>
  <c r="I190" i="2"/>
  <c r="O190" i="2"/>
  <c r="H190" i="2"/>
  <c r="J190" i="2"/>
  <c r="G193" i="2"/>
  <c r="M193" i="2"/>
  <c r="I193" i="2"/>
  <c r="O193" i="2"/>
  <c r="L193" i="2"/>
  <c r="Q193" i="2"/>
  <c r="J193" i="2"/>
  <c r="R193" i="2"/>
  <c r="P193" i="2"/>
  <c r="K193" i="2"/>
  <c r="H193" i="2"/>
  <c r="N193" i="2"/>
  <c r="Q186" i="2"/>
  <c r="P186" i="2"/>
  <c r="N186" i="2"/>
  <c r="R186" i="2"/>
  <c r="J186" i="2"/>
  <c r="G186" i="2"/>
  <c r="L186" i="2"/>
  <c r="H186" i="2"/>
  <c r="O186" i="2"/>
  <c r="K186" i="2"/>
  <c r="M186" i="2"/>
  <c r="I186" i="2"/>
  <c r="L189" i="2"/>
  <c r="K189" i="2"/>
  <c r="N189" i="2"/>
  <c r="M189" i="2"/>
  <c r="H189" i="2"/>
  <c r="J189" i="2"/>
  <c r="P189" i="2"/>
  <c r="G189" i="2"/>
  <c r="O189" i="2"/>
  <c r="R189" i="2"/>
  <c r="I189" i="2"/>
  <c r="Q189" i="2"/>
  <c r="R187" i="2"/>
  <c r="N187" i="2"/>
  <c r="H187" i="2"/>
  <c r="K187" i="2"/>
  <c r="L187" i="2"/>
  <c r="O187" i="2"/>
  <c r="G187" i="2"/>
  <c r="I187" i="2"/>
  <c r="M187" i="2"/>
  <c r="P187" i="2"/>
  <c r="Q187" i="2"/>
  <c r="J187" i="2"/>
  <c r="M188" i="2"/>
  <c r="K188" i="2"/>
  <c r="P188" i="2"/>
  <c r="G188" i="2"/>
  <c r="H188" i="2"/>
  <c r="Q188" i="2"/>
  <c r="R188" i="2"/>
  <c r="J188" i="2"/>
  <c r="I188" i="2"/>
  <c r="O188" i="2"/>
  <c r="L188" i="2"/>
  <c r="N188" i="2"/>
  <c r="Q191" i="2"/>
  <c r="M191" i="2"/>
  <c r="H191" i="2"/>
  <c r="J191" i="2"/>
  <c r="N191" i="2"/>
  <c r="G191" i="2"/>
  <c r="I191" i="2"/>
  <c r="K191" i="2"/>
  <c r="P191" i="2"/>
  <c r="O191" i="2"/>
  <c r="L191" i="2"/>
  <c r="R191" i="2"/>
  <c r="M194" i="2"/>
  <c r="R194" i="2"/>
  <c r="Q194" i="2"/>
  <c r="K194" i="2"/>
  <c r="J194" i="2"/>
  <c r="AM194" i="2" s="1"/>
  <c r="L194" i="2"/>
  <c r="G194" i="2"/>
  <c r="H194" i="2"/>
  <c r="P194" i="2"/>
  <c r="N194" i="2"/>
  <c r="I194" i="2"/>
  <c r="O194" i="2"/>
  <c r="P192" i="2"/>
  <c r="J192" i="2"/>
  <c r="G192" i="2"/>
  <c r="M192" i="2"/>
  <c r="L192" i="2"/>
  <c r="K192" i="2"/>
  <c r="H192" i="2"/>
  <c r="Q192" i="2"/>
  <c r="I192" i="2"/>
  <c r="O192" i="2"/>
  <c r="N192" i="2"/>
  <c r="R192" i="2"/>
  <c r="K251" i="2"/>
  <c r="P251" i="2"/>
  <c r="M251" i="2"/>
  <c r="L251" i="2"/>
  <c r="G251" i="2"/>
  <c r="N251" i="2"/>
  <c r="J251" i="2"/>
  <c r="I251" i="2"/>
  <c r="H251" i="2"/>
  <c r="R251" i="2"/>
  <c r="Q251" i="2"/>
  <c r="O251" i="2"/>
  <c r="G262" i="2"/>
  <c r="J262" i="2"/>
  <c r="Q262" i="2"/>
  <c r="P262" i="2"/>
  <c r="I262" i="2"/>
  <c r="R262" i="2"/>
  <c r="O262" i="2"/>
  <c r="N262" i="2"/>
  <c r="M262" i="2"/>
  <c r="L262" i="2"/>
  <c r="K262" i="2"/>
  <c r="H262" i="2"/>
  <c r="G250" i="2"/>
  <c r="Q250" i="2"/>
  <c r="K250" i="2"/>
  <c r="P250" i="2"/>
  <c r="R250" i="2"/>
  <c r="O250" i="2"/>
  <c r="L250" i="2"/>
  <c r="J250" i="2"/>
  <c r="I250" i="2"/>
  <c r="H250" i="2"/>
  <c r="N250" i="2"/>
  <c r="M250" i="2"/>
  <c r="AJ182" i="2"/>
  <c r="AJ181" i="2"/>
  <c r="AJ175" i="2"/>
  <c r="D261" i="2"/>
  <c r="D273" i="2"/>
  <c r="D253" i="2"/>
  <c r="D259" i="2"/>
  <c r="D254" i="2"/>
  <c r="D260" i="2"/>
  <c r="D252" i="2"/>
  <c r="D255" i="2"/>
  <c r="D257" i="2"/>
  <c r="D256" i="2"/>
  <c r="D258" i="2"/>
  <c r="F207" i="2"/>
  <c r="A208" i="2"/>
  <c r="A209" i="2" s="1"/>
  <c r="A210" i="2" s="1"/>
  <c r="A211" i="2" s="1"/>
  <c r="A212" i="2" s="1"/>
  <c r="A213" i="2" s="1"/>
  <c r="A214" i="2" s="1"/>
  <c r="A215" i="2" s="1"/>
  <c r="A216" i="2" s="1"/>
  <c r="A217" i="2" s="1"/>
  <c r="A218" i="2" s="1"/>
  <c r="C202" i="2"/>
  <c r="C201" i="2"/>
  <c r="C203" i="2"/>
  <c r="C197" i="2"/>
  <c r="C205" i="2"/>
  <c r="C204" i="2"/>
  <c r="C200" i="2"/>
  <c r="C198" i="2"/>
  <c r="C199" i="2"/>
  <c r="F252" i="2"/>
  <c r="F257" i="2"/>
  <c r="F259" i="2"/>
  <c r="F255" i="2"/>
  <c r="F254" i="2"/>
  <c r="F256" i="2"/>
  <c r="F260" i="2"/>
  <c r="A231" i="1"/>
  <c r="F253" i="2"/>
  <c r="F258" i="2"/>
  <c r="U224" i="142" l="1"/>
  <c r="AO188" i="2"/>
  <c r="AJ193" i="2"/>
  <c r="S193" i="2"/>
  <c r="I238" i="142"/>
  <c r="I239" i="142" s="1"/>
  <c r="S188" i="2"/>
  <c r="S189" i="2"/>
  <c r="S192" i="2"/>
  <c r="S194" i="2"/>
  <c r="S191" i="2"/>
  <c r="AJ186" i="2"/>
  <c r="S186" i="2"/>
  <c r="S190" i="2"/>
  <c r="F306" i="143"/>
  <c r="E305" i="143"/>
  <c r="H324" i="143"/>
  <c r="S187" i="2"/>
  <c r="J238" i="142"/>
  <c r="J239" i="142" s="1"/>
  <c r="AK194" i="2"/>
  <c r="AK186" i="2"/>
  <c r="AK192" i="2"/>
  <c r="AK193" i="2"/>
  <c r="AR114" i="2"/>
  <c r="AO116" i="2"/>
  <c r="B231" i="1"/>
  <c r="AJ189" i="2"/>
  <c r="F324" i="143"/>
  <c r="AK189" i="2"/>
  <c r="G324" i="143"/>
  <c r="I324" i="143"/>
  <c r="M324" i="143"/>
  <c r="J324" i="143"/>
  <c r="K324" i="143"/>
  <c r="O324" i="143"/>
  <c r="L324" i="143"/>
  <c r="P324" i="143"/>
  <c r="Q324" i="143"/>
  <c r="N324" i="143"/>
  <c r="AS188" i="2"/>
  <c r="R238" i="142"/>
  <c r="AQ188" i="2"/>
  <c r="P238" i="142"/>
  <c r="N238" i="142"/>
  <c r="AL188" i="2"/>
  <c r="K238" i="142"/>
  <c r="AT188" i="2"/>
  <c r="S238" i="142"/>
  <c r="AK188" i="2"/>
  <c r="AN188" i="2"/>
  <c r="M238" i="142"/>
  <c r="AP188" i="2"/>
  <c r="O238" i="142"/>
  <c r="AM188" i="2"/>
  <c r="L238" i="142"/>
  <c r="AR188" i="2"/>
  <c r="Q238" i="142"/>
  <c r="AU188" i="2"/>
  <c r="T238" i="142"/>
  <c r="AJ188" i="2"/>
  <c r="AJ191" i="2"/>
  <c r="AK191" i="2"/>
  <c r="U177" i="2"/>
  <c r="Q203" i="2"/>
  <c r="O203" i="2"/>
  <c r="K203" i="2"/>
  <c r="G203" i="2"/>
  <c r="N203" i="2"/>
  <c r="M203" i="2"/>
  <c r="J203" i="2"/>
  <c r="R203" i="2"/>
  <c r="I203" i="2"/>
  <c r="P203" i="2"/>
  <c r="H203" i="2"/>
  <c r="L203" i="2"/>
  <c r="K201" i="2"/>
  <c r="J201" i="2"/>
  <c r="R201" i="2"/>
  <c r="L201" i="2"/>
  <c r="N201" i="2"/>
  <c r="I201" i="2"/>
  <c r="H201" i="2"/>
  <c r="O201" i="2"/>
  <c r="P201" i="2"/>
  <c r="M201" i="2"/>
  <c r="G201" i="2"/>
  <c r="Q201" i="2"/>
  <c r="P202" i="2"/>
  <c r="N202" i="2"/>
  <c r="K202" i="2"/>
  <c r="G202" i="2"/>
  <c r="Q202" i="2"/>
  <c r="M202" i="2"/>
  <c r="R202" i="2"/>
  <c r="H202" i="2"/>
  <c r="O202" i="2"/>
  <c r="L202" i="2"/>
  <c r="I202" i="2"/>
  <c r="J202" i="2"/>
  <c r="N199" i="2"/>
  <c r="M199" i="2"/>
  <c r="R199" i="2"/>
  <c r="P199" i="2"/>
  <c r="L199" i="2"/>
  <c r="Q199" i="2"/>
  <c r="O199" i="2"/>
  <c r="I199" i="2"/>
  <c r="G199" i="2"/>
  <c r="K199" i="2"/>
  <c r="J199" i="2"/>
  <c r="H199" i="2"/>
  <c r="I200" i="2"/>
  <c r="Q200" i="2"/>
  <c r="H200" i="2"/>
  <c r="G200" i="2"/>
  <c r="M200" i="2"/>
  <c r="L200" i="2"/>
  <c r="N200" i="2"/>
  <c r="P200" i="2"/>
  <c r="O200" i="2"/>
  <c r="J200" i="2"/>
  <c r="R200" i="2"/>
  <c r="K200" i="2"/>
  <c r="G198" i="2"/>
  <c r="R198" i="2"/>
  <c r="H198" i="2"/>
  <c r="K198" i="2"/>
  <c r="J198" i="2"/>
  <c r="P198" i="2"/>
  <c r="O198" i="2"/>
  <c r="I198" i="2"/>
  <c r="M198" i="2"/>
  <c r="L198" i="2"/>
  <c r="N198" i="2"/>
  <c r="Q198" i="2"/>
  <c r="O204" i="2"/>
  <c r="L204" i="2"/>
  <c r="H204" i="2"/>
  <c r="I204" i="2"/>
  <c r="R204" i="2"/>
  <c r="J204" i="2"/>
  <c r="N204" i="2"/>
  <c r="G204" i="2"/>
  <c r="P204" i="2"/>
  <c r="Q204" i="2"/>
  <c r="K204" i="2"/>
  <c r="M204" i="2"/>
  <c r="M205" i="2"/>
  <c r="G205" i="2"/>
  <c r="O205" i="2"/>
  <c r="L205" i="2"/>
  <c r="P205" i="2"/>
  <c r="K205" i="2"/>
  <c r="R205" i="2"/>
  <c r="Q205" i="2"/>
  <c r="H205" i="2"/>
  <c r="N205" i="2"/>
  <c r="J205" i="2"/>
  <c r="I205" i="2"/>
  <c r="Q197" i="2"/>
  <c r="N197" i="2"/>
  <c r="I197" i="2"/>
  <c r="P197" i="2"/>
  <c r="H197" i="2"/>
  <c r="K197" i="2"/>
  <c r="L197" i="2"/>
  <c r="O197" i="2"/>
  <c r="J197" i="2"/>
  <c r="M197" i="2"/>
  <c r="R197" i="2"/>
  <c r="G197" i="2"/>
  <c r="H273" i="2"/>
  <c r="M273" i="2"/>
  <c r="G273" i="2"/>
  <c r="R273" i="2"/>
  <c r="L273" i="2"/>
  <c r="K273" i="2"/>
  <c r="J273" i="2"/>
  <c r="Q273" i="2"/>
  <c r="P273" i="2"/>
  <c r="I273" i="2"/>
  <c r="O273" i="2"/>
  <c r="N273" i="2"/>
  <c r="O261" i="2"/>
  <c r="J261" i="2"/>
  <c r="I261" i="2"/>
  <c r="G261" i="2"/>
  <c r="R261" i="2"/>
  <c r="N261" i="2"/>
  <c r="M261" i="2"/>
  <c r="L261" i="2"/>
  <c r="Q261" i="2"/>
  <c r="P261" i="2"/>
  <c r="K261" i="2"/>
  <c r="H261" i="2"/>
  <c r="AJ192" i="2"/>
  <c r="AJ194" i="2"/>
  <c r="D272" i="2"/>
  <c r="D284" i="2"/>
  <c r="D271" i="2"/>
  <c r="D264" i="2"/>
  <c r="D269" i="2"/>
  <c r="D270" i="2"/>
  <c r="D263" i="2"/>
  <c r="D268" i="2"/>
  <c r="D266" i="2"/>
  <c r="D267" i="2"/>
  <c r="D265" i="2"/>
  <c r="F218" i="2"/>
  <c r="A219" i="2"/>
  <c r="A220" i="2" s="1"/>
  <c r="A221" i="2" s="1"/>
  <c r="A222" i="2" s="1"/>
  <c r="A223" i="2" s="1"/>
  <c r="A224" i="2" s="1"/>
  <c r="A225" i="2" s="1"/>
  <c r="A226" i="2" s="1"/>
  <c r="A227" i="2" s="1"/>
  <c r="A228" i="2" s="1"/>
  <c r="A229" i="2" s="1"/>
  <c r="C214" i="2"/>
  <c r="C209" i="2"/>
  <c r="C213" i="2"/>
  <c r="C212" i="2"/>
  <c r="C208" i="2"/>
  <c r="C211" i="2"/>
  <c r="C210" i="2"/>
  <c r="C215" i="2"/>
  <c r="C216" i="2"/>
  <c r="A232" i="1"/>
  <c r="F265" i="2"/>
  <c r="F266" i="2"/>
  <c r="F268" i="2"/>
  <c r="F263" i="2"/>
  <c r="F270" i="2"/>
  <c r="F264" i="2"/>
  <c r="F269" i="2"/>
  <c r="F271" i="2"/>
  <c r="F267" i="2"/>
  <c r="U238" i="142" l="1"/>
  <c r="AU199" i="2"/>
  <c r="AO199" i="2"/>
  <c r="S201" i="2"/>
  <c r="S205" i="2"/>
  <c r="S199" i="2"/>
  <c r="AJ197" i="2"/>
  <c r="S197" i="2"/>
  <c r="AJ204" i="2"/>
  <c r="S204" i="2"/>
  <c r="F343" i="143"/>
  <c r="F344" i="143" s="1"/>
  <c r="S200" i="2"/>
  <c r="AJ202" i="2"/>
  <c r="S202" i="2"/>
  <c r="AJ203" i="2"/>
  <c r="S203" i="2"/>
  <c r="E324" i="143"/>
  <c r="U252" i="142"/>
  <c r="AP199" i="2"/>
  <c r="AQ117" i="2"/>
  <c r="AQ115" i="2"/>
  <c r="AK197" i="2"/>
  <c r="AK202" i="2"/>
  <c r="AK204" i="2"/>
  <c r="AK203" i="2"/>
  <c r="B232" i="1"/>
  <c r="F325" i="143"/>
  <c r="AJ199" i="2"/>
  <c r="I252" i="142"/>
  <c r="AK200" i="2"/>
  <c r="G343" i="143"/>
  <c r="G344" i="143" s="1"/>
  <c r="G325" i="143"/>
  <c r="AK199" i="2"/>
  <c r="J252" i="142"/>
  <c r="O343" i="143"/>
  <c r="M343" i="143"/>
  <c r="L343" i="143"/>
  <c r="J343" i="143"/>
  <c r="P343" i="143"/>
  <c r="Q343" i="143"/>
  <c r="K343" i="143"/>
  <c r="I343" i="143"/>
  <c r="N343" i="143"/>
  <c r="H343" i="143"/>
  <c r="S198" i="2"/>
  <c r="AM199" i="2"/>
  <c r="L252" i="142"/>
  <c r="N252" i="142"/>
  <c r="AQ199" i="2"/>
  <c r="P252" i="142"/>
  <c r="T252" i="142"/>
  <c r="O252" i="142"/>
  <c r="AR199" i="2"/>
  <c r="Q252" i="142"/>
  <c r="AN199" i="2"/>
  <c r="M252" i="142"/>
  <c r="AT199" i="2"/>
  <c r="S252" i="142"/>
  <c r="AS199" i="2"/>
  <c r="R252" i="142"/>
  <c r="AL199" i="2"/>
  <c r="K252" i="142"/>
  <c r="AK205" i="2"/>
  <c r="AM205" i="2"/>
  <c r="AJ205" i="2"/>
  <c r="R214" i="2"/>
  <c r="G214" i="2"/>
  <c r="I214" i="2"/>
  <c r="Q214" i="2"/>
  <c r="J214" i="2"/>
  <c r="M214" i="2"/>
  <c r="K214" i="2"/>
  <c r="O214" i="2"/>
  <c r="N214" i="2"/>
  <c r="H214" i="2"/>
  <c r="P214" i="2"/>
  <c r="L214" i="2"/>
  <c r="R216" i="2"/>
  <c r="Q216" i="2"/>
  <c r="L216" i="2"/>
  <c r="O216" i="2"/>
  <c r="P216" i="2"/>
  <c r="N216" i="2"/>
  <c r="H216" i="2"/>
  <c r="M216" i="2"/>
  <c r="K216" i="2"/>
  <c r="G216" i="2"/>
  <c r="I216" i="2"/>
  <c r="J216" i="2"/>
  <c r="AM216" i="2" s="1"/>
  <c r="I215" i="2"/>
  <c r="H215" i="2"/>
  <c r="K215" i="2"/>
  <c r="J215" i="2"/>
  <c r="G215" i="2"/>
  <c r="R215" i="2"/>
  <c r="N215" i="2"/>
  <c r="O215" i="2"/>
  <c r="M215" i="2"/>
  <c r="L215" i="2"/>
  <c r="P215" i="2"/>
  <c r="Q215" i="2"/>
  <c r="K210" i="2"/>
  <c r="O210" i="2"/>
  <c r="Q210" i="2"/>
  <c r="I210" i="2"/>
  <c r="J210" i="2"/>
  <c r="N210" i="2"/>
  <c r="R210" i="2"/>
  <c r="L210" i="2"/>
  <c r="G210" i="2"/>
  <c r="P210" i="2"/>
  <c r="H210" i="2"/>
  <c r="M210" i="2"/>
  <c r="M211" i="2"/>
  <c r="H211" i="2"/>
  <c r="J211" i="2"/>
  <c r="R211" i="2"/>
  <c r="N211" i="2"/>
  <c r="I211" i="2"/>
  <c r="K211" i="2"/>
  <c r="G211" i="2"/>
  <c r="Q211" i="2"/>
  <c r="L211" i="2"/>
  <c r="O211" i="2"/>
  <c r="P211" i="2"/>
  <c r="N208" i="2"/>
  <c r="H208" i="2"/>
  <c r="O208" i="2"/>
  <c r="Q208" i="2"/>
  <c r="I208" i="2"/>
  <c r="P208" i="2"/>
  <c r="R208" i="2"/>
  <c r="M208" i="2"/>
  <c r="G208" i="2"/>
  <c r="J208" i="2"/>
  <c r="K208" i="2"/>
  <c r="L208" i="2"/>
  <c r="R212" i="2"/>
  <c r="N212" i="2"/>
  <c r="I212" i="2"/>
  <c r="L212" i="2"/>
  <c r="P212" i="2"/>
  <c r="Q212" i="2"/>
  <c r="M212" i="2"/>
  <c r="G212" i="2"/>
  <c r="O212" i="2"/>
  <c r="J212" i="2"/>
  <c r="H212" i="2"/>
  <c r="K212" i="2"/>
  <c r="G213" i="2"/>
  <c r="J213" i="2"/>
  <c r="N213" i="2"/>
  <c r="H213" i="2"/>
  <c r="Q213" i="2"/>
  <c r="M213" i="2"/>
  <c r="O213" i="2"/>
  <c r="P213" i="2"/>
  <c r="L213" i="2"/>
  <c r="R213" i="2"/>
  <c r="K213" i="2"/>
  <c r="I213" i="2"/>
  <c r="P209" i="2"/>
  <c r="R209" i="2"/>
  <c r="L209" i="2"/>
  <c r="N209" i="2"/>
  <c r="O209" i="2"/>
  <c r="I209" i="2"/>
  <c r="J209" i="2"/>
  <c r="M209" i="2"/>
  <c r="Q209" i="2"/>
  <c r="S209" i="2" s="1"/>
  <c r="G209" i="2"/>
  <c r="K209" i="2"/>
  <c r="H209" i="2"/>
  <c r="P284" i="2"/>
  <c r="L284" i="2"/>
  <c r="O284" i="2"/>
  <c r="H284" i="2"/>
  <c r="K284" i="2"/>
  <c r="G284" i="2"/>
  <c r="R284" i="2"/>
  <c r="J284" i="2"/>
  <c r="I284" i="2"/>
  <c r="Q284" i="2"/>
  <c r="N284" i="2"/>
  <c r="M284" i="2"/>
  <c r="P272" i="2"/>
  <c r="M272" i="2"/>
  <c r="G272" i="2"/>
  <c r="R272" i="2"/>
  <c r="J272" i="2"/>
  <c r="Q272" i="2"/>
  <c r="O272" i="2"/>
  <c r="N272" i="2"/>
  <c r="L272" i="2"/>
  <c r="K272" i="2"/>
  <c r="I272" i="2"/>
  <c r="H272" i="2"/>
  <c r="U188" i="2"/>
  <c r="AJ200" i="2"/>
  <c r="C220" i="2"/>
  <c r="D283" i="2"/>
  <c r="D295" i="2"/>
  <c r="D275" i="2"/>
  <c r="D279" i="2"/>
  <c r="D277" i="2"/>
  <c r="D281" i="2"/>
  <c r="D282" i="2"/>
  <c r="D276" i="2"/>
  <c r="D278" i="2"/>
  <c r="D274" i="2"/>
  <c r="D280" i="2"/>
  <c r="F229" i="2"/>
  <c r="A230" i="2"/>
  <c r="A231" i="2" s="1"/>
  <c r="A232" i="2" s="1"/>
  <c r="A233" i="2" s="1"/>
  <c r="A234" i="2" s="1"/>
  <c r="A235" i="2" s="1"/>
  <c r="A236" i="2" s="1"/>
  <c r="A237" i="2" s="1"/>
  <c r="A238" i="2" s="1"/>
  <c r="A239" i="2" s="1"/>
  <c r="A240" i="2" s="1"/>
  <c r="C223" i="2"/>
  <c r="C227" i="2"/>
  <c r="C222" i="2"/>
  <c r="C226" i="2"/>
  <c r="C221" i="2"/>
  <c r="C225" i="2"/>
  <c r="C224" i="2"/>
  <c r="C219" i="2"/>
  <c r="S216" i="2" l="1"/>
  <c r="S214" i="2"/>
  <c r="S213" i="2"/>
  <c r="S208" i="2"/>
  <c r="S210" i="2"/>
  <c r="S215" i="2"/>
  <c r="S212" i="2"/>
  <c r="S211" i="2"/>
  <c r="AO210" i="2"/>
  <c r="AJ208" i="2"/>
  <c r="I266" i="142"/>
  <c r="I267" i="142" s="1"/>
  <c r="AJ215" i="2"/>
  <c r="AJ214" i="2"/>
  <c r="E343" i="143"/>
  <c r="AP115" i="2"/>
  <c r="AP117" i="2"/>
  <c r="AQ112" i="2"/>
  <c r="AQ116" i="2"/>
  <c r="J266" i="142"/>
  <c r="J267" i="142" s="1"/>
  <c r="AK216" i="2"/>
  <c r="AK208" i="2"/>
  <c r="AK215" i="2"/>
  <c r="AK214" i="2"/>
  <c r="AK213" i="2"/>
  <c r="B233" i="1"/>
  <c r="AJ211" i="2"/>
  <c r="F362" i="143"/>
  <c r="I253" i="142"/>
  <c r="AK211" i="2"/>
  <c r="G362" i="143"/>
  <c r="J253" i="142"/>
  <c r="N362" i="143"/>
  <c r="N368" i="143" s="1"/>
  <c r="O362" i="143"/>
  <c r="O368" i="143" s="1"/>
  <c r="P362" i="143"/>
  <c r="P368" i="143" s="1"/>
  <c r="J362" i="143"/>
  <c r="J368" i="143" s="1"/>
  <c r="K362" i="143"/>
  <c r="K368" i="143" s="1"/>
  <c r="I362" i="143"/>
  <c r="I368" i="143" s="1"/>
  <c r="L362" i="143"/>
  <c r="L368" i="143" s="1"/>
  <c r="M362" i="143"/>
  <c r="M368" i="143" s="1"/>
  <c r="Q362" i="143"/>
  <c r="Q368" i="143" s="1"/>
  <c r="H362" i="143"/>
  <c r="H368" i="143" s="1"/>
  <c r="AQ210" i="2"/>
  <c r="P266" i="142"/>
  <c r="AR210" i="2"/>
  <c r="Q266" i="142"/>
  <c r="AP210" i="2"/>
  <c r="O266" i="142"/>
  <c r="AT210" i="2"/>
  <c r="S266" i="142"/>
  <c r="AK210" i="2"/>
  <c r="AL210" i="2"/>
  <c r="K266" i="142"/>
  <c r="AS210" i="2"/>
  <c r="R266" i="142"/>
  <c r="AN210" i="2"/>
  <c r="M266" i="142"/>
  <c r="N266" i="142"/>
  <c r="AM210" i="2"/>
  <c r="L266" i="142"/>
  <c r="T266" i="142"/>
  <c r="AJ210" i="2"/>
  <c r="U199" i="2"/>
  <c r="H224" i="2"/>
  <c r="G224" i="2"/>
  <c r="N224" i="2"/>
  <c r="J224" i="2"/>
  <c r="M224" i="2"/>
  <c r="K224" i="2"/>
  <c r="I224" i="2"/>
  <c r="P224" i="2"/>
  <c r="O224" i="2"/>
  <c r="R224" i="2"/>
  <c r="L224" i="2"/>
  <c r="Q224" i="2"/>
  <c r="O225" i="2"/>
  <c r="N225" i="2"/>
  <c r="L225" i="2"/>
  <c r="M225" i="2"/>
  <c r="K225" i="2"/>
  <c r="J225" i="2"/>
  <c r="H225" i="2"/>
  <c r="I225" i="2"/>
  <c r="Q225" i="2"/>
  <c r="R225" i="2"/>
  <c r="P225" i="2"/>
  <c r="G225" i="2"/>
  <c r="J226" i="2"/>
  <c r="M226" i="2"/>
  <c r="L226" i="2"/>
  <c r="G226" i="2"/>
  <c r="Q226" i="2"/>
  <c r="P226" i="2"/>
  <c r="O226" i="2"/>
  <c r="N226" i="2"/>
  <c r="K226" i="2"/>
  <c r="H226" i="2"/>
  <c r="R226" i="2"/>
  <c r="I226" i="2"/>
  <c r="L283" i="2"/>
  <c r="G283" i="2"/>
  <c r="I283" i="2"/>
  <c r="M283" i="2"/>
  <c r="K283" i="2"/>
  <c r="R283" i="2"/>
  <c r="Q283" i="2"/>
  <c r="N283" i="2"/>
  <c r="J283" i="2"/>
  <c r="H283" i="2"/>
  <c r="P283" i="2"/>
  <c r="O283" i="2"/>
  <c r="L295" i="2"/>
  <c r="Q295" i="2"/>
  <c r="J295" i="2"/>
  <c r="N295" i="2"/>
  <c r="M295" i="2"/>
  <c r="R295" i="2"/>
  <c r="O295" i="2"/>
  <c r="I295" i="2"/>
  <c r="H295" i="2"/>
  <c r="P295" i="2"/>
  <c r="K295" i="2"/>
  <c r="G295" i="2"/>
  <c r="P221" i="2"/>
  <c r="R221" i="2"/>
  <c r="Q191" i="143" s="1"/>
  <c r="J221" i="2"/>
  <c r="Q221" i="2"/>
  <c r="O221" i="2"/>
  <c r="N221" i="2"/>
  <c r="H221" i="2"/>
  <c r="M221" i="2"/>
  <c r="G221" i="2"/>
  <c r="L221" i="2"/>
  <c r="K221" i="2"/>
  <c r="I221" i="2"/>
  <c r="M222" i="2"/>
  <c r="Q222" i="2"/>
  <c r="O222" i="2"/>
  <c r="N222" i="2"/>
  <c r="R222" i="2"/>
  <c r="J222" i="2"/>
  <c r="P222" i="2"/>
  <c r="G222" i="2"/>
  <c r="K222" i="2"/>
  <c r="H222" i="2"/>
  <c r="I222" i="2"/>
  <c r="L222" i="2"/>
  <c r="G220" i="2"/>
  <c r="R220" i="2"/>
  <c r="L220" i="2"/>
  <c r="K220" i="2"/>
  <c r="J220" i="2"/>
  <c r="M220" i="2"/>
  <c r="I220" i="2"/>
  <c r="H220" i="2"/>
  <c r="Q220" i="2"/>
  <c r="N220" i="2"/>
  <c r="O220" i="2"/>
  <c r="P220" i="2"/>
  <c r="M227" i="2"/>
  <c r="L227" i="2"/>
  <c r="G227" i="2"/>
  <c r="J227" i="2"/>
  <c r="O227" i="2"/>
  <c r="H227" i="2"/>
  <c r="I227" i="2"/>
  <c r="N227" i="2"/>
  <c r="R227" i="2"/>
  <c r="Q227" i="2"/>
  <c r="K227" i="2"/>
  <c r="P227" i="2"/>
  <c r="N219" i="2"/>
  <c r="G219" i="2"/>
  <c r="H219" i="2"/>
  <c r="P219" i="2"/>
  <c r="Q219" i="2"/>
  <c r="O219" i="2"/>
  <c r="M219" i="2"/>
  <c r="I219" i="2"/>
  <c r="L219" i="2"/>
  <c r="J219" i="2"/>
  <c r="K219" i="2"/>
  <c r="R219" i="2"/>
  <c r="R223" i="2"/>
  <c r="Q223" i="2"/>
  <c r="J223" i="2"/>
  <c r="M223" i="2"/>
  <c r="I223" i="2"/>
  <c r="G223" i="2"/>
  <c r="O223" i="2"/>
  <c r="N223" i="2"/>
  <c r="P223" i="2"/>
  <c r="L223" i="2"/>
  <c r="K223" i="2"/>
  <c r="H223" i="2"/>
  <c r="AJ216" i="2"/>
  <c r="AJ213" i="2"/>
  <c r="D306" i="2"/>
  <c r="D294" i="2"/>
  <c r="D287" i="2"/>
  <c r="D292" i="2"/>
  <c r="D293" i="2"/>
  <c r="D286" i="2"/>
  <c r="D290" i="2"/>
  <c r="D291" i="2"/>
  <c r="D288" i="2"/>
  <c r="D289" i="2"/>
  <c r="D285" i="2"/>
  <c r="F240" i="2"/>
  <c r="A241" i="2"/>
  <c r="A242" i="2" s="1"/>
  <c r="A243" i="2" s="1"/>
  <c r="A244" i="2" s="1"/>
  <c r="A245" i="2" s="1"/>
  <c r="A246" i="2" s="1"/>
  <c r="A247" i="2" s="1"/>
  <c r="A248" i="2" s="1"/>
  <c r="A249" i="2" s="1"/>
  <c r="A250" i="2" s="1"/>
  <c r="A251" i="2" s="1"/>
  <c r="C234" i="2"/>
  <c r="C233" i="2"/>
  <c r="C230" i="2"/>
  <c r="C232" i="2"/>
  <c r="C235" i="2"/>
  <c r="C231" i="2"/>
  <c r="C238" i="2"/>
  <c r="C237" i="2"/>
  <c r="C236" i="2"/>
  <c r="F277" i="2"/>
  <c r="F282" i="2"/>
  <c r="F293" i="2"/>
  <c r="F280" i="2"/>
  <c r="F275" i="2"/>
  <c r="F285" i="2"/>
  <c r="F287" i="2"/>
  <c r="A234" i="1"/>
  <c r="F274" i="2"/>
  <c r="F281" i="2"/>
  <c r="F279" i="2"/>
  <c r="F290" i="2"/>
  <c r="A233" i="1"/>
  <c r="F289" i="2"/>
  <c r="F288" i="2"/>
  <c r="F276" i="2"/>
  <c r="F278" i="2"/>
  <c r="F291" i="2"/>
  <c r="F292" i="2"/>
  <c r="F286" i="2"/>
  <c r="U266" i="142" l="1"/>
  <c r="I272" i="142"/>
  <c r="E362" i="143"/>
  <c r="AP114" i="2"/>
  <c r="AP112" i="2"/>
  <c r="AQ114" i="2"/>
  <c r="J272" i="142"/>
  <c r="B234" i="1"/>
  <c r="F363" i="143"/>
  <c r="F368" i="143"/>
  <c r="G363" i="143"/>
  <c r="G368" i="143"/>
  <c r="S272" i="142"/>
  <c r="O272" i="142"/>
  <c r="T272" i="142"/>
  <c r="Q272" i="142"/>
  <c r="P272" i="142"/>
  <c r="N272" i="142"/>
  <c r="M272" i="142"/>
  <c r="L272" i="142"/>
  <c r="R272" i="142"/>
  <c r="K272" i="142"/>
  <c r="U210" i="2"/>
  <c r="Q238" i="2"/>
  <c r="H238" i="2"/>
  <c r="P238" i="2"/>
  <c r="M238" i="2"/>
  <c r="L238" i="2"/>
  <c r="I238" i="2"/>
  <c r="J238" i="2"/>
  <c r="O238" i="2"/>
  <c r="N238" i="2"/>
  <c r="G238" i="2"/>
  <c r="R238" i="2"/>
  <c r="K238" i="2"/>
  <c r="N235" i="2"/>
  <c r="H235" i="2"/>
  <c r="O235" i="2"/>
  <c r="M235" i="2"/>
  <c r="K235" i="2"/>
  <c r="J235" i="2"/>
  <c r="I235" i="2"/>
  <c r="R235" i="2"/>
  <c r="Q235" i="2"/>
  <c r="P235" i="2"/>
  <c r="L235" i="2"/>
  <c r="G235" i="2"/>
  <c r="H294" i="2"/>
  <c r="L294" i="2"/>
  <c r="P294" i="2"/>
  <c r="Q294" i="2"/>
  <c r="O294" i="2"/>
  <c r="N294" i="2"/>
  <c r="M294" i="2"/>
  <c r="G294" i="2"/>
  <c r="R294" i="2"/>
  <c r="J294" i="2"/>
  <c r="I294" i="2"/>
  <c r="K294" i="2"/>
  <c r="J236" i="2"/>
  <c r="I236" i="2"/>
  <c r="O236" i="2"/>
  <c r="N236" i="2"/>
  <c r="R236" i="2"/>
  <c r="L236" i="2"/>
  <c r="M236" i="2"/>
  <c r="H236" i="2"/>
  <c r="K236" i="2"/>
  <c r="G236" i="2"/>
  <c r="P236" i="2"/>
  <c r="Q236" i="2"/>
  <c r="P230" i="2"/>
  <c r="L230" i="2"/>
  <c r="I230" i="2"/>
  <c r="Q230" i="2"/>
  <c r="H230" i="2"/>
  <c r="O230" i="2"/>
  <c r="G230" i="2"/>
  <c r="N230" i="2"/>
  <c r="M230" i="2"/>
  <c r="K230" i="2"/>
  <c r="J230" i="2"/>
  <c r="R230" i="2"/>
  <c r="H306" i="2"/>
  <c r="Q306" i="2"/>
  <c r="G306" i="2"/>
  <c r="R306" i="2"/>
  <c r="P306" i="2"/>
  <c r="O306" i="2"/>
  <c r="N306" i="2"/>
  <c r="M306" i="2"/>
  <c r="L306" i="2"/>
  <c r="I306" i="2"/>
  <c r="K306" i="2"/>
  <c r="J306" i="2"/>
  <c r="Q232" i="2"/>
  <c r="O232" i="2"/>
  <c r="H232" i="2"/>
  <c r="J232" i="2"/>
  <c r="I232" i="2"/>
  <c r="P232" i="2"/>
  <c r="K232" i="2"/>
  <c r="M232" i="2"/>
  <c r="G232" i="2"/>
  <c r="N232" i="2"/>
  <c r="R232" i="2"/>
  <c r="L232" i="2"/>
  <c r="K237" i="2"/>
  <c r="M237" i="2"/>
  <c r="P237" i="2"/>
  <c r="I237" i="2"/>
  <c r="H237" i="2"/>
  <c r="J237" i="2"/>
  <c r="G237" i="2"/>
  <c r="R237" i="2"/>
  <c r="Q237" i="2"/>
  <c r="O237" i="2"/>
  <c r="L237" i="2"/>
  <c r="N237" i="2"/>
  <c r="N231" i="2"/>
  <c r="H231" i="2"/>
  <c r="G231" i="2"/>
  <c r="R231" i="2"/>
  <c r="O231" i="2"/>
  <c r="M231" i="2"/>
  <c r="L231" i="2"/>
  <c r="K231" i="2"/>
  <c r="J231" i="2"/>
  <c r="I231" i="2"/>
  <c r="P231" i="2"/>
  <c r="Q231" i="2"/>
  <c r="G233" i="2"/>
  <c r="R233" i="2"/>
  <c r="P233" i="2"/>
  <c r="L233" i="2"/>
  <c r="M233" i="2"/>
  <c r="K233" i="2"/>
  <c r="J233" i="2"/>
  <c r="Q233" i="2"/>
  <c r="O233" i="2"/>
  <c r="N233" i="2"/>
  <c r="I233" i="2"/>
  <c r="H233" i="2"/>
  <c r="J234" i="2"/>
  <c r="H234" i="2"/>
  <c r="G234" i="2"/>
  <c r="R234" i="2"/>
  <c r="N234" i="2"/>
  <c r="I234" i="2"/>
  <c r="M234" i="2"/>
  <c r="L234" i="2"/>
  <c r="K234" i="2"/>
  <c r="O234" i="2"/>
  <c r="Q234" i="2"/>
  <c r="P234" i="2"/>
  <c r="D305" i="2"/>
  <c r="D317" i="2"/>
  <c r="D298" i="2"/>
  <c r="D296" i="2"/>
  <c r="D303" i="2"/>
  <c r="D299" i="2"/>
  <c r="D302" i="2"/>
  <c r="D297" i="2"/>
  <c r="D301" i="2"/>
  <c r="D300" i="2"/>
  <c r="D304" i="2"/>
  <c r="F251" i="2"/>
  <c r="A252" i="2"/>
  <c r="A253" i="2" s="1"/>
  <c r="A254" i="2" s="1"/>
  <c r="A255" i="2" s="1"/>
  <c r="A256" i="2" s="1"/>
  <c r="A257" i="2" s="1"/>
  <c r="A258" i="2" s="1"/>
  <c r="A259" i="2" s="1"/>
  <c r="A260" i="2" s="1"/>
  <c r="A261" i="2" s="1"/>
  <c r="A262" i="2" s="1"/>
  <c r="C246" i="2"/>
  <c r="C243" i="2"/>
  <c r="C247" i="2"/>
  <c r="C242" i="2"/>
  <c r="C241" i="2"/>
  <c r="C249" i="2"/>
  <c r="C248" i="2"/>
  <c r="C245" i="2"/>
  <c r="C244" i="2"/>
  <c r="F297" i="2"/>
  <c r="A235" i="1"/>
  <c r="F303" i="2"/>
  <c r="F301" i="2"/>
  <c r="F304" i="2"/>
  <c r="F302" i="2"/>
  <c r="F298" i="2"/>
  <c r="F296" i="2"/>
  <c r="F299" i="2"/>
  <c r="F300" i="2"/>
  <c r="AP116" i="2" l="1"/>
  <c r="B235" i="1"/>
  <c r="U272" i="142"/>
  <c r="E368" i="143"/>
  <c r="L247" i="2"/>
  <c r="J247" i="2"/>
  <c r="I247" i="2"/>
  <c r="H247" i="2"/>
  <c r="O247" i="2"/>
  <c r="K247" i="2"/>
  <c r="M247" i="2"/>
  <c r="N247" i="2"/>
  <c r="G247" i="2"/>
  <c r="R247" i="2"/>
  <c r="P247" i="2"/>
  <c r="Q247" i="2"/>
  <c r="J243" i="2"/>
  <c r="H243" i="2"/>
  <c r="K243" i="2"/>
  <c r="G243" i="2"/>
  <c r="R243" i="2"/>
  <c r="O243" i="2"/>
  <c r="L243" i="2"/>
  <c r="N243" i="2"/>
  <c r="M243" i="2"/>
  <c r="Q243" i="2"/>
  <c r="I243" i="2"/>
  <c r="P243" i="2"/>
  <c r="K246" i="2"/>
  <c r="G246" i="2"/>
  <c r="H246" i="2"/>
  <c r="J246" i="2"/>
  <c r="L246" i="2"/>
  <c r="P246" i="2"/>
  <c r="Q246" i="2"/>
  <c r="I246" i="2"/>
  <c r="M246" i="2"/>
  <c r="N246" i="2"/>
  <c r="O246" i="2"/>
  <c r="R246" i="2"/>
  <c r="Q244" i="2"/>
  <c r="O244" i="2"/>
  <c r="J244" i="2"/>
  <c r="K244" i="2"/>
  <c r="H244" i="2"/>
  <c r="N244" i="2"/>
  <c r="R244" i="2"/>
  <c r="M244" i="2"/>
  <c r="P244" i="2"/>
  <c r="L244" i="2"/>
  <c r="G244" i="2"/>
  <c r="I244" i="2"/>
  <c r="I245" i="2"/>
  <c r="Q245" i="2"/>
  <c r="G245" i="2"/>
  <c r="H245" i="2"/>
  <c r="N245" i="2"/>
  <c r="M245" i="2"/>
  <c r="K245" i="2"/>
  <c r="J245" i="2"/>
  <c r="L245" i="2"/>
  <c r="R245" i="2"/>
  <c r="P245" i="2"/>
  <c r="O245" i="2"/>
  <c r="L248" i="2"/>
  <c r="O248" i="2"/>
  <c r="G248" i="2"/>
  <c r="R248" i="2"/>
  <c r="J248" i="2"/>
  <c r="I248" i="2"/>
  <c r="Q248" i="2"/>
  <c r="H248" i="2"/>
  <c r="P248" i="2"/>
  <c r="M248" i="2"/>
  <c r="N248" i="2"/>
  <c r="K248" i="2"/>
  <c r="L249" i="2"/>
  <c r="Q249" i="2"/>
  <c r="P249" i="2"/>
  <c r="I249" i="2"/>
  <c r="G249" i="2"/>
  <c r="R249" i="2"/>
  <c r="O249" i="2"/>
  <c r="N249" i="2"/>
  <c r="M249" i="2"/>
  <c r="K249" i="2"/>
  <c r="J249" i="2"/>
  <c r="H249" i="2"/>
  <c r="G241" i="2"/>
  <c r="M241" i="2"/>
  <c r="L241" i="2"/>
  <c r="J241" i="2"/>
  <c r="I241" i="2"/>
  <c r="N241" i="2"/>
  <c r="K241" i="2"/>
  <c r="R241" i="2"/>
  <c r="H241" i="2"/>
  <c r="Q241" i="2"/>
  <c r="P241" i="2"/>
  <c r="O241" i="2"/>
  <c r="I317" i="2"/>
  <c r="M317" i="2"/>
  <c r="R317" i="2"/>
  <c r="Q317" i="2"/>
  <c r="K317" i="2"/>
  <c r="O317" i="2"/>
  <c r="N317" i="2"/>
  <c r="L317" i="2"/>
  <c r="J317" i="2"/>
  <c r="H317" i="2"/>
  <c r="G317" i="2"/>
  <c r="P317" i="2"/>
  <c r="Q242" i="2"/>
  <c r="P242" i="2"/>
  <c r="N242" i="2"/>
  <c r="M242" i="2"/>
  <c r="L242" i="2"/>
  <c r="I242" i="2"/>
  <c r="H242" i="2"/>
  <c r="J242" i="2"/>
  <c r="R242" i="2"/>
  <c r="G242" i="2"/>
  <c r="K242" i="2"/>
  <c r="O242" i="2"/>
  <c r="P305" i="2"/>
  <c r="R305" i="2"/>
  <c r="K305" i="2"/>
  <c r="Q305" i="2"/>
  <c r="I305" i="2"/>
  <c r="L305" i="2"/>
  <c r="J305" i="2"/>
  <c r="H305" i="2"/>
  <c r="G305" i="2"/>
  <c r="O305" i="2"/>
  <c r="N305" i="2"/>
  <c r="M305" i="2"/>
  <c r="D316" i="2"/>
  <c r="D328" i="2"/>
  <c r="D315" i="2"/>
  <c r="D310" i="2"/>
  <c r="D307" i="2"/>
  <c r="D309" i="2"/>
  <c r="D313" i="2"/>
  <c r="D312" i="2"/>
  <c r="D314" i="2"/>
  <c r="D311" i="2"/>
  <c r="D308" i="2"/>
  <c r="F262" i="2"/>
  <c r="A263" i="2"/>
  <c r="A264" i="2" s="1"/>
  <c r="A265" i="2" s="1"/>
  <c r="A266" i="2" s="1"/>
  <c r="A267" i="2" s="1"/>
  <c r="A268" i="2" s="1"/>
  <c r="A269" i="2" s="1"/>
  <c r="A270" i="2" s="1"/>
  <c r="A271" i="2" s="1"/>
  <c r="A272" i="2" s="1"/>
  <c r="A273" i="2" s="1"/>
  <c r="C254" i="2"/>
  <c r="C260" i="2"/>
  <c r="C253" i="2"/>
  <c r="C252" i="2"/>
  <c r="C259" i="2"/>
  <c r="C255" i="2"/>
  <c r="C258" i="2"/>
  <c r="C256" i="2"/>
  <c r="C257" i="2"/>
  <c r="B236" i="1" l="1"/>
  <c r="O253" i="2"/>
  <c r="I253" i="2"/>
  <c r="H253" i="2"/>
  <c r="G253" i="2"/>
  <c r="J253" i="2"/>
  <c r="R253" i="2"/>
  <c r="P253" i="2"/>
  <c r="N253" i="2"/>
  <c r="Q253" i="2"/>
  <c r="M253" i="2"/>
  <c r="L253" i="2"/>
  <c r="K253" i="2"/>
  <c r="G254" i="2"/>
  <c r="N254" i="2"/>
  <c r="P254" i="2"/>
  <c r="O254" i="2"/>
  <c r="H254" i="2"/>
  <c r="R254" i="2"/>
  <c r="Q254" i="2"/>
  <c r="M254" i="2"/>
  <c r="L254" i="2"/>
  <c r="I254" i="2"/>
  <c r="J254" i="2"/>
  <c r="K254" i="2"/>
  <c r="G258" i="2"/>
  <c r="Q258" i="2"/>
  <c r="H258" i="2"/>
  <c r="R258" i="2"/>
  <c r="P258" i="2"/>
  <c r="O258" i="2"/>
  <c r="N258" i="2"/>
  <c r="I258" i="2"/>
  <c r="K258" i="2"/>
  <c r="J258" i="2"/>
  <c r="M258" i="2"/>
  <c r="L258" i="2"/>
  <c r="H252" i="2"/>
  <c r="O252" i="2"/>
  <c r="J252" i="2"/>
  <c r="L252" i="2"/>
  <c r="R252" i="2"/>
  <c r="Q252" i="2"/>
  <c r="P252" i="2"/>
  <c r="K252" i="2"/>
  <c r="N252" i="2"/>
  <c r="G252" i="2"/>
  <c r="M252" i="2"/>
  <c r="I252" i="2"/>
  <c r="P316" i="2"/>
  <c r="M316" i="2"/>
  <c r="G316" i="2"/>
  <c r="K316" i="2"/>
  <c r="J316" i="2"/>
  <c r="I316" i="2"/>
  <c r="H316" i="2"/>
  <c r="Q316" i="2"/>
  <c r="L316" i="2"/>
  <c r="N316" i="2"/>
  <c r="R316" i="2"/>
  <c r="O316" i="2"/>
  <c r="G260" i="2"/>
  <c r="R260" i="2"/>
  <c r="L260" i="2"/>
  <c r="K260" i="2"/>
  <c r="N260" i="2"/>
  <c r="H260" i="2"/>
  <c r="O260" i="2"/>
  <c r="I260" i="2"/>
  <c r="Q260" i="2"/>
  <c r="J260" i="2"/>
  <c r="M260" i="2"/>
  <c r="P260" i="2"/>
  <c r="R257" i="2"/>
  <c r="L257" i="2"/>
  <c r="M257" i="2"/>
  <c r="I257" i="2"/>
  <c r="Q257" i="2"/>
  <c r="J257" i="2"/>
  <c r="G257" i="2"/>
  <c r="P257" i="2"/>
  <c r="O257" i="2"/>
  <c r="N257" i="2"/>
  <c r="K257" i="2"/>
  <c r="H257" i="2"/>
  <c r="M255" i="2"/>
  <c r="L255" i="2"/>
  <c r="G255" i="2"/>
  <c r="J255" i="2"/>
  <c r="O255" i="2"/>
  <c r="I255" i="2"/>
  <c r="P255" i="2"/>
  <c r="R255" i="2"/>
  <c r="Q255" i="2"/>
  <c r="K255" i="2"/>
  <c r="N255" i="2"/>
  <c r="H255" i="2"/>
  <c r="H256" i="2"/>
  <c r="P256" i="2"/>
  <c r="N256" i="2"/>
  <c r="J256" i="2"/>
  <c r="L256" i="2"/>
  <c r="I256" i="2"/>
  <c r="Q256" i="2"/>
  <c r="O256" i="2"/>
  <c r="M256" i="2"/>
  <c r="G256" i="2"/>
  <c r="K256" i="2"/>
  <c r="R256" i="2"/>
  <c r="G259" i="2"/>
  <c r="R259" i="2"/>
  <c r="K259" i="2"/>
  <c r="Q259" i="2"/>
  <c r="P259" i="2"/>
  <c r="I259" i="2"/>
  <c r="H259" i="2"/>
  <c r="N259" i="2"/>
  <c r="M259" i="2"/>
  <c r="O259" i="2"/>
  <c r="J259" i="2"/>
  <c r="L259" i="2"/>
  <c r="P328" i="2"/>
  <c r="O328" i="2"/>
  <c r="M328" i="2"/>
  <c r="R328" i="2"/>
  <c r="Q328" i="2"/>
  <c r="I328" i="2"/>
  <c r="H328" i="2"/>
  <c r="G328" i="2"/>
  <c r="K328" i="2"/>
  <c r="J328" i="2"/>
  <c r="N328" i="2"/>
  <c r="L328" i="2"/>
  <c r="D327" i="2"/>
  <c r="D339" i="2"/>
  <c r="D324" i="2"/>
  <c r="D323" i="2"/>
  <c r="D322" i="2"/>
  <c r="D320" i="2"/>
  <c r="D321" i="2"/>
  <c r="D326" i="2"/>
  <c r="D319" i="2"/>
  <c r="D325" i="2"/>
  <c r="D318" i="2"/>
  <c r="F273" i="2"/>
  <c r="A274" i="2"/>
  <c r="A275" i="2" s="1"/>
  <c r="A276" i="2" s="1"/>
  <c r="A277" i="2" s="1"/>
  <c r="A278" i="2" s="1"/>
  <c r="A279" i="2" s="1"/>
  <c r="A280" i="2" s="1"/>
  <c r="A281" i="2" s="1"/>
  <c r="A282" i="2" s="1"/>
  <c r="A283" i="2" s="1"/>
  <c r="A284" i="2" s="1"/>
  <c r="C271" i="2"/>
  <c r="C268" i="2"/>
  <c r="C270" i="2"/>
  <c r="C269" i="2"/>
  <c r="C267" i="2"/>
  <c r="C266" i="2"/>
  <c r="C263" i="2"/>
  <c r="C265" i="2"/>
  <c r="C264" i="2"/>
  <c r="F318" i="2"/>
  <c r="F322" i="2"/>
  <c r="F320" i="2"/>
  <c r="F323" i="2"/>
  <c r="F325" i="2"/>
  <c r="F308" i="2"/>
  <c r="F315" i="2"/>
  <c r="F310" i="2"/>
  <c r="F309" i="2"/>
  <c r="A237" i="1"/>
  <c r="A236" i="1"/>
  <c r="F314" i="2"/>
  <c r="F312" i="2"/>
  <c r="F307" i="2"/>
  <c r="F321" i="2"/>
  <c r="F313" i="2"/>
  <c r="F326" i="2"/>
  <c r="F324" i="2"/>
  <c r="F311" i="2"/>
  <c r="F319" i="2"/>
  <c r="B237" i="1" l="1"/>
  <c r="L271" i="2"/>
  <c r="O271" i="2"/>
  <c r="J271" i="2"/>
  <c r="G271" i="2"/>
  <c r="I271" i="2"/>
  <c r="K271" i="2"/>
  <c r="H271" i="2"/>
  <c r="Q271" i="2"/>
  <c r="N271" i="2"/>
  <c r="R271" i="2"/>
  <c r="P271" i="2"/>
  <c r="M271" i="2"/>
  <c r="H270" i="2"/>
  <c r="J270" i="2"/>
  <c r="M270" i="2"/>
  <c r="N270" i="2"/>
  <c r="Q270" i="2"/>
  <c r="R270" i="2"/>
  <c r="K270" i="2"/>
  <c r="I270" i="2"/>
  <c r="G270" i="2"/>
  <c r="L270" i="2"/>
  <c r="P270" i="2"/>
  <c r="O270" i="2"/>
  <c r="P268" i="2"/>
  <c r="Q268" i="2"/>
  <c r="G268" i="2"/>
  <c r="O268" i="2"/>
  <c r="R268" i="2"/>
  <c r="K268" i="2"/>
  <c r="J268" i="2"/>
  <c r="I268" i="2"/>
  <c r="H268" i="2"/>
  <c r="N268" i="2"/>
  <c r="M268" i="2"/>
  <c r="L268" i="2"/>
  <c r="J264" i="2"/>
  <c r="G264" i="2"/>
  <c r="I264" i="2"/>
  <c r="H264" i="2"/>
  <c r="M264" i="2"/>
  <c r="N264" i="2"/>
  <c r="O264" i="2"/>
  <c r="P264" i="2"/>
  <c r="L264" i="2"/>
  <c r="K264" i="2"/>
  <c r="R264" i="2"/>
  <c r="Q264" i="2"/>
  <c r="O265" i="2"/>
  <c r="P265" i="2"/>
  <c r="N265" i="2"/>
  <c r="M265" i="2"/>
  <c r="K265" i="2"/>
  <c r="R265" i="2"/>
  <c r="H265" i="2"/>
  <c r="L265" i="2"/>
  <c r="I265" i="2"/>
  <c r="G265" i="2"/>
  <c r="J265" i="2"/>
  <c r="Q265" i="2"/>
  <c r="K263" i="2"/>
  <c r="O263" i="2"/>
  <c r="H263" i="2"/>
  <c r="Q263" i="2"/>
  <c r="G263" i="2"/>
  <c r="M263" i="2"/>
  <c r="I263" i="2"/>
  <c r="R263" i="2"/>
  <c r="P263" i="2"/>
  <c r="N263" i="2"/>
  <c r="L263" i="2"/>
  <c r="J263" i="2"/>
  <c r="R266" i="2"/>
  <c r="Q266" i="2"/>
  <c r="P266" i="2"/>
  <c r="O266" i="2"/>
  <c r="N266" i="2"/>
  <c r="L266" i="2"/>
  <c r="J266" i="2"/>
  <c r="K266" i="2"/>
  <c r="H266" i="2"/>
  <c r="G266" i="2"/>
  <c r="M266" i="2"/>
  <c r="I266" i="2"/>
  <c r="L267" i="2"/>
  <c r="K267" i="2"/>
  <c r="I267" i="2"/>
  <c r="M267" i="2"/>
  <c r="G267" i="2"/>
  <c r="Q267" i="2"/>
  <c r="P267" i="2"/>
  <c r="R267" i="2"/>
  <c r="H267" i="2"/>
  <c r="O267" i="2"/>
  <c r="N267" i="2"/>
  <c r="J267" i="2"/>
  <c r="L339" i="2"/>
  <c r="K339" i="2"/>
  <c r="P339" i="2"/>
  <c r="J339" i="2"/>
  <c r="Q339" i="2"/>
  <c r="O339" i="2"/>
  <c r="N339" i="2"/>
  <c r="M339" i="2"/>
  <c r="I339" i="2"/>
  <c r="H339" i="2"/>
  <c r="G339" i="2"/>
  <c r="R339" i="2"/>
  <c r="I269" i="2"/>
  <c r="Q269" i="2"/>
  <c r="H269" i="2"/>
  <c r="R269" i="2"/>
  <c r="P269" i="2"/>
  <c r="K269" i="2"/>
  <c r="O269" i="2"/>
  <c r="M269" i="2"/>
  <c r="J269" i="2"/>
  <c r="N269" i="2"/>
  <c r="G269" i="2"/>
  <c r="L269" i="2"/>
  <c r="L327" i="2"/>
  <c r="K327" i="2"/>
  <c r="N327" i="2"/>
  <c r="O327" i="2"/>
  <c r="H327" i="2"/>
  <c r="G327" i="2"/>
  <c r="R327" i="2"/>
  <c r="M327" i="2"/>
  <c r="I327" i="2"/>
  <c r="Q327" i="2"/>
  <c r="P327" i="2"/>
  <c r="J327" i="2"/>
  <c r="D350" i="2"/>
  <c r="D338" i="2"/>
  <c r="D331" i="2"/>
  <c r="D332" i="2"/>
  <c r="D334" i="2"/>
  <c r="D330" i="2"/>
  <c r="D329" i="2"/>
  <c r="D335" i="2"/>
  <c r="D333" i="2"/>
  <c r="D336" i="2"/>
  <c r="D337" i="2"/>
  <c r="F284" i="2"/>
  <c r="A285" i="2"/>
  <c r="A286" i="2" s="1"/>
  <c r="A287" i="2" s="1"/>
  <c r="A288" i="2" s="1"/>
  <c r="A289" i="2" s="1"/>
  <c r="A290" i="2" s="1"/>
  <c r="A291" i="2" s="1"/>
  <c r="A292" i="2" s="1"/>
  <c r="A293" i="2" s="1"/>
  <c r="A294" i="2" s="1"/>
  <c r="A295" i="2" s="1"/>
  <c r="C274" i="2"/>
  <c r="C279" i="2"/>
  <c r="C281" i="2"/>
  <c r="C275" i="2"/>
  <c r="C280" i="2"/>
  <c r="C282" i="2"/>
  <c r="C278" i="2"/>
  <c r="C277" i="2"/>
  <c r="C276" i="2"/>
  <c r="AJ139" i="2" l="1"/>
  <c r="AN115" i="2"/>
  <c r="AN117" i="2"/>
  <c r="B238" i="1"/>
  <c r="L279" i="2"/>
  <c r="N279" i="2"/>
  <c r="J279" i="2"/>
  <c r="R279" i="2"/>
  <c r="Q279" i="2"/>
  <c r="I279" i="2"/>
  <c r="P279" i="2"/>
  <c r="O279" i="2"/>
  <c r="M279" i="2"/>
  <c r="K279" i="2"/>
  <c r="H279" i="2"/>
  <c r="G279" i="2"/>
  <c r="K277" i="2"/>
  <c r="H277" i="2"/>
  <c r="M277" i="2"/>
  <c r="O277" i="2"/>
  <c r="L277" i="2"/>
  <c r="R277" i="2"/>
  <c r="Q277" i="2"/>
  <c r="P277" i="2"/>
  <c r="J277" i="2"/>
  <c r="I277" i="2"/>
  <c r="G277" i="2"/>
  <c r="N277" i="2"/>
  <c r="I274" i="2"/>
  <c r="N274" i="2"/>
  <c r="H274" i="2"/>
  <c r="G274" i="2"/>
  <c r="L274" i="2"/>
  <c r="K274" i="2"/>
  <c r="O274" i="2"/>
  <c r="Q274" i="2"/>
  <c r="M274" i="2"/>
  <c r="P274" i="2"/>
  <c r="R274" i="2"/>
  <c r="J274" i="2"/>
  <c r="M281" i="2"/>
  <c r="R281" i="2"/>
  <c r="Q281" i="2"/>
  <c r="I281" i="2"/>
  <c r="G281" i="2"/>
  <c r="L281" i="2"/>
  <c r="P281" i="2"/>
  <c r="K281" i="2"/>
  <c r="J281" i="2"/>
  <c r="N281" i="2"/>
  <c r="O281" i="2"/>
  <c r="H281" i="2"/>
  <c r="P276" i="2"/>
  <c r="M276" i="2"/>
  <c r="L276" i="2"/>
  <c r="K276" i="2"/>
  <c r="O276" i="2"/>
  <c r="H276" i="2"/>
  <c r="G276" i="2"/>
  <c r="N276" i="2"/>
  <c r="J276" i="2"/>
  <c r="I276" i="2"/>
  <c r="R276" i="2"/>
  <c r="Q276" i="2"/>
  <c r="P278" i="2"/>
  <c r="G278" i="2"/>
  <c r="J278" i="2"/>
  <c r="Q278" i="2"/>
  <c r="O278" i="2"/>
  <c r="H278" i="2"/>
  <c r="N278" i="2"/>
  <c r="L278" i="2"/>
  <c r="I278" i="2"/>
  <c r="M278" i="2"/>
  <c r="K278" i="2"/>
  <c r="R278" i="2"/>
  <c r="N282" i="2"/>
  <c r="O282" i="2"/>
  <c r="J282" i="2"/>
  <c r="I282" i="2"/>
  <c r="G282" i="2"/>
  <c r="L282" i="2"/>
  <c r="R282" i="2"/>
  <c r="Q282" i="2"/>
  <c r="P282" i="2"/>
  <c r="K282" i="2"/>
  <c r="M282" i="2"/>
  <c r="H282" i="2"/>
  <c r="O280" i="2"/>
  <c r="N280" i="2"/>
  <c r="K280" i="2"/>
  <c r="G280" i="2"/>
  <c r="P280" i="2"/>
  <c r="H280" i="2"/>
  <c r="L280" i="2"/>
  <c r="J280" i="2"/>
  <c r="R280" i="2"/>
  <c r="Q280" i="2"/>
  <c r="I280" i="2"/>
  <c r="M280" i="2"/>
  <c r="H338" i="2"/>
  <c r="G338" i="2"/>
  <c r="P338" i="2"/>
  <c r="J338" i="2"/>
  <c r="O338" i="2"/>
  <c r="N338" i="2"/>
  <c r="M338" i="2"/>
  <c r="L338" i="2"/>
  <c r="K338" i="2"/>
  <c r="I338" i="2"/>
  <c r="R338" i="2"/>
  <c r="Q338" i="2"/>
  <c r="P275" i="2"/>
  <c r="M275" i="2"/>
  <c r="K275" i="2"/>
  <c r="J275" i="2"/>
  <c r="O275" i="2"/>
  <c r="I275" i="2"/>
  <c r="L275" i="2"/>
  <c r="H275" i="2"/>
  <c r="G275" i="2"/>
  <c r="N275" i="2"/>
  <c r="R275" i="2"/>
  <c r="Q275" i="2"/>
  <c r="H350" i="2"/>
  <c r="G350" i="2"/>
  <c r="R350" i="2"/>
  <c r="L350" i="2"/>
  <c r="Q350" i="2"/>
  <c r="P350" i="2"/>
  <c r="O350" i="2"/>
  <c r="I350" i="2"/>
  <c r="N350" i="2"/>
  <c r="M350" i="2"/>
  <c r="K350" i="2"/>
  <c r="J350" i="2"/>
  <c r="D349" i="2"/>
  <c r="D361" i="2"/>
  <c r="D343" i="2"/>
  <c r="D346" i="2"/>
  <c r="D345" i="2"/>
  <c r="D340" i="2"/>
  <c r="D342" i="2"/>
  <c r="D344" i="2"/>
  <c r="D341" i="2"/>
  <c r="D347" i="2"/>
  <c r="D348" i="2"/>
  <c r="F295" i="2"/>
  <c r="A296" i="2"/>
  <c r="A297" i="2" s="1"/>
  <c r="A298" i="2" s="1"/>
  <c r="A299" i="2" s="1"/>
  <c r="A300" i="2" s="1"/>
  <c r="A301" i="2" s="1"/>
  <c r="A302" i="2" s="1"/>
  <c r="A303" i="2" s="1"/>
  <c r="A304" i="2" s="1"/>
  <c r="A305" i="2" s="1"/>
  <c r="A306" i="2" s="1"/>
  <c r="C292" i="2"/>
  <c r="C287" i="2"/>
  <c r="C293" i="2"/>
  <c r="C291" i="2"/>
  <c r="C288" i="2"/>
  <c r="C286" i="2"/>
  <c r="C290" i="2"/>
  <c r="C289" i="2"/>
  <c r="C285" i="2"/>
  <c r="AM115" i="2" l="1"/>
  <c r="AM117" i="2"/>
  <c r="AN114" i="2"/>
  <c r="AN112" i="2"/>
  <c r="B239" i="1"/>
  <c r="G293" i="2"/>
  <c r="P293" i="2"/>
  <c r="J293" i="2"/>
  <c r="Q293" i="2"/>
  <c r="O293" i="2"/>
  <c r="H293" i="2"/>
  <c r="R293" i="2"/>
  <c r="N293" i="2"/>
  <c r="M293" i="2"/>
  <c r="L293" i="2"/>
  <c r="K293" i="2"/>
  <c r="I293" i="2"/>
  <c r="I292" i="2"/>
  <c r="R292" i="2"/>
  <c r="O292" i="2"/>
  <c r="Q292" i="2"/>
  <c r="P292" i="2"/>
  <c r="J292" i="2"/>
  <c r="H292" i="2"/>
  <c r="G292" i="2"/>
  <c r="N292" i="2"/>
  <c r="M292" i="2"/>
  <c r="L292" i="2"/>
  <c r="K292" i="2"/>
  <c r="L290" i="2"/>
  <c r="K290" i="2"/>
  <c r="N290" i="2"/>
  <c r="M290" i="2"/>
  <c r="G290" i="2"/>
  <c r="R290" i="2"/>
  <c r="Q290" i="2"/>
  <c r="O290" i="2"/>
  <c r="H290" i="2"/>
  <c r="J290" i="2"/>
  <c r="I290" i="2"/>
  <c r="P290" i="2"/>
  <c r="L287" i="2"/>
  <c r="J287" i="2"/>
  <c r="H287" i="2"/>
  <c r="R287" i="2"/>
  <c r="P287" i="2"/>
  <c r="Q287" i="2"/>
  <c r="O287" i="2"/>
  <c r="M287" i="2"/>
  <c r="K287" i="2"/>
  <c r="I287" i="2"/>
  <c r="N287" i="2"/>
  <c r="G287" i="2"/>
  <c r="Q289" i="2"/>
  <c r="P289" i="2"/>
  <c r="O289" i="2"/>
  <c r="M289" i="2"/>
  <c r="J289" i="2"/>
  <c r="G289" i="2"/>
  <c r="R289" i="2"/>
  <c r="N289" i="2"/>
  <c r="L289" i="2"/>
  <c r="K289" i="2"/>
  <c r="I289" i="2"/>
  <c r="H289" i="2"/>
  <c r="R285" i="2"/>
  <c r="P285" i="2"/>
  <c r="M285" i="2"/>
  <c r="O285" i="2"/>
  <c r="L285" i="2"/>
  <c r="K285" i="2"/>
  <c r="G285" i="2"/>
  <c r="I285" i="2"/>
  <c r="J285" i="2"/>
  <c r="Q285" i="2"/>
  <c r="H285" i="2"/>
  <c r="N285" i="2"/>
  <c r="H286" i="2"/>
  <c r="J286" i="2"/>
  <c r="N286" i="2"/>
  <c r="M286" i="2"/>
  <c r="Q286" i="2"/>
  <c r="R286" i="2"/>
  <c r="P286" i="2"/>
  <c r="I286" i="2"/>
  <c r="K286" i="2"/>
  <c r="G286" i="2"/>
  <c r="L286" i="2"/>
  <c r="O286" i="2"/>
  <c r="P288" i="2"/>
  <c r="O288" i="2"/>
  <c r="N288" i="2"/>
  <c r="M288" i="2"/>
  <c r="L288" i="2"/>
  <c r="I288" i="2"/>
  <c r="J288" i="2"/>
  <c r="R288" i="2"/>
  <c r="H288" i="2"/>
  <c r="Q288" i="2"/>
  <c r="K288" i="2"/>
  <c r="G288" i="2"/>
  <c r="N361" i="2"/>
  <c r="H361" i="2"/>
  <c r="R361" i="2"/>
  <c r="K361" i="2"/>
  <c r="J361" i="2"/>
  <c r="P361" i="2"/>
  <c r="O361" i="2"/>
  <c r="M361" i="2"/>
  <c r="Q361" i="2"/>
  <c r="L361" i="2"/>
  <c r="I361" i="2"/>
  <c r="G361" i="2"/>
  <c r="R291" i="2"/>
  <c r="O291" i="2"/>
  <c r="Q291" i="2"/>
  <c r="M291" i="2"/>
  <c r="H291" i="2"/>
  <c r="K291" i="2"/>
  <c r="L291" i="2"/>
  <c r="N291" i="2"/>
  <c r="P291" i="2"/>
  <c r="J291" i="2"/>
  <c r="G291" i="2"/>
  <c r="I291" i="2"/>
  <c r="L349" i="2"/>
  <c r="P349" i="2"/>
  <c r="I349" i="2"/>
  <c r="H349" i="2"/>
  <c r="M349" i="2"/>
  <c r="K349" i="2"/>
  <c r="J349" i="2"/>
  <c r="G349" i="2"/>
  <c r="R349" i="2"/>
  <c r="Q349" i="2"/>
  <c r="O349" i="2"/>
  <c r="N349" i="2"/>
  <c r="D372" i="2"/>
  <c r="D360" i="2"/>
  <c r="D353" i="2"/>
  <c r="D354" i="2"/>
  <c r="D352" i="2"/>
  <c r="D351" i="2"/>
  <c r="D355" i="2"/>
  <c r="D359" i="2"/>
  <c r="D357" i="2"/>
  <c r="D358" i="2"/>
  <c r="D356" i="2"/>
  <c r="F306" i="2"/>
  <c r="A307" i="2"/>
  <c r="A308" i="2" s="1"/>
  <c r="A309" i="2" s="1"/>
  <c r="A310" i="2" s="1"/>
  <c r="A311" i="2" s="1"/>
  <c r="A312" i="2" s="1"/>
  <c r="A313" i="2" s="1"/>
  <c r="A314" i="2" s="1"/>
  <c r="A315" i="2" s="1"/>
  <c r="A316" i="2" s="1"/>
  <c r="A317" i="2" s="1"/>
  <c r="C304" i="2"/>
  <c r="C301" i="2"/>
  <c r="C300" i="2"/>
  <c r="C299" i="2"/>
  <c r="C303" i="2"/>
  <c r="C302" i="2"/>
  <c r="C298" i="2"/>
  <c r="C297" i="2"/>
  <c r="C296" i="2"/>
  <c r="F351" i="2"/>
  <c r="F331" i="2"/>
  <c r="A238" i="1"/>
  <c r="A240" i="1"/>
  <c r="F354" i="2"/>
  <c r="F334" i="2"/>
  <c r="F342" i="2"/>
  <c r="F341" i="2"/>
  <c r="F340" i="2"/>
  <c r="F357" i="2"/>
  <c r="F353" i="2"/>
  <c r="F333" i="2"/>
  <c r="F336" i="2"/>
  <c r="F359" i="2"/>
  <c r="F347" i="2"/>
  <c r="F346" i="2"/>
  <c r="F343" i="2"/>
  <c r="F337" i="2"/>
  <c r="F330" i="2"/>
  <c r="F344" i="2"/>
  <c r="F332" i="2"/>
  <c r="F329" i="2"/>
  <c r="A239" i="1"/>
  <c r="F335" i="2"/>
  <c r="F345" i="2"/>
  <c r="F352" i="2"/>
  <c r="F355" i="2"/>
  <c r="F356" i="2"/>
  <c r="F348" i="2"/>
  <c r="F358" i="2"/>
  <c r="AL117" i="2" l="1"/>
  <c r="AL115" i="2"/>
  <c r="U115" i="2"/>
  <c r="AM116" i="2"/>
  <c r="AM112" i="2"/>
  <c r="AN116" i="2"/>
  <c r="B240" i="1"/>
  <c r="H301" i="2"/>
  <c r="G301" i="2"/>
  <c r="R301" i="2"/>
  <c r="Q301" i="2"/>
  <c r="N301" i="2"/>
  <c r="L301" i="2"/>
  <c r="J301" i="2"/>
  <c r="M301" i="2"/>
  <c r="I301" i="2"/>
  <c r="O301" i="2"/>
  <c r="K301" i="2"/>
  <c r="P301" i="2"/>
  <c r="H300" i="2"/>
  <c r="Q300" i="2"/>
  <c r="O300" i="2"/>
  <c r="G300" i="2"/>
  <c r="N300" i="2"/>
  <c r="L300" i="2"/>
  <c r="K300" i="2"/>
  <c r="J300" i="2"/>
  <c r="I300" i="2"/>
  <c r="P300" i="2"/>
  <c r="R300" i="2"/>
  <c r="M300" i="2"/>
  <c r="O298" i="2"/>
  <c r="R298" i="2"/>
  <c r="Q298" i="2"/>
  <c r="I298" i="2"/>
  <c r="H298" i="2"/>
  <c r="K298" i="2"/>
  <c r="M298" i="2"/>
  <c r="J298" i="2"/>
  <c r="P298" i="2"/>
  <c r="G298" i="2"/>
  <c r="N298" i="2"/>
  <c r="L298" i="2"/>
  <c r="P304" i="2"/>
  <c r="K304" i="2"/>
  <c r="L304" i="2"/>
  <c r="I304" i="2"/>
  <c r="H304" i="2"/>
  <c r="N304" i="2"/>
  <c r="M304" i="2"/>
  <c r="J304" i="2"/>
  <c r="R304" i="2"/>
  <c r="G304" i="2"/>
  <c r="O304" i="2"/>
  <c r="Q304" i="2"/>
  <c r="Q296" i="2"/>
  <c r="K296" i="2"/>
  <c r="P296" i="2"/>
  <c r="J296" i="2"/>
  <c r="O296" i="2"/>
  <c r="M296" i="2"/>
  <c r="R296" i="2"/>
  <c r="N296" i="2"/>
  <c r="L296" i="2"/>
  <c r="G296" i="2"/>
  <c r="I296" i="2"/>
  <c r="H296" i="2"/>
  <c r="R302" i="2"/>
  <c r="Q302" i="2"/>
  <c r="K302" i="2"/>
  <c r="L302" i="2"/>
  <c r="M302" i="2"/>
  <c r="I302" i="2"/>
  <c r="G302" i="2"/>
  <c r="P302" i="2"/>
  <c r="J302" i="2"/>
  <c r="H302" i="2"/>
  <c r="O302" i="2"/>
  <c r="N302" i="2"/>
  <c r="L303" i="2"/>
  <c r="Q303" i="2"/>
  <c r="M303" i="2"/>
  <c r="J303" i="2"/>
  <c r="H303" i="2"/>
  <c r="R303" i="2"/>
  <c r="N303" i="2"/>
  <c r="P303" i="2"/>
  <c r="K303" i="2"/>
  <c r="O303" i="2"/>
  <c r="I303" i="2"/>
  <c r="G303" i="2"/>
  <c r="L297" i="2"/>
  <c r="G297" i="2"/>
  <c r="Q297" i="2"/>
  <c r="R297" i="2"/>
  <c r="P297" i="2"/>
  <c r="J297" i="2"/>
  <c r="M297" i="2"/>
  <c r="K297" i="2"/>
  <c r="I297" i="2"/>
  <c r="O297" i="2"/>
  <c r="H297" i="2"/>
  <c r="N297" i="2"/>
  <c r="P360" i="2"/>
  <c r="O360" i="2"/>
  <c r="H360" i="2"/>
  <c r="J360" i="2"/>
  <c r="Q360" i="2"/>
  <c r="N360" i="2"/>
  <c r="M360" i="2"/>
  <c r="L360" i="2"/>
  <c r="K360" i="2"/>
  <c r="R360" i="2"/>
  <c r="G360" i="2"/>
  <c r="I360" i="2"/>
  <c r="H299" i="2"/>
  <c r="M299" i="2"/>
  <c r="I299" i="2"/>
  <c r="K299" i="2"/>
  <c r="N299" i="2"/>
  <c r="O299" i="2"/>
  <c r="P299" i="2"/>
  <c r="L299" i="2"/>
  <c r="G299" i="2"/>
  <c r="R299" i="2"/>
  <c r="Q299" i="2"/>
  <c r="J299" i="2"/>
  <c r="P372" i="2"/>
  <c r="O372" i="2"/>
  <c r="J372" i="2"/>
  <c r="L372" i="2"/>
  <c r="M372" i="2"/>
  <c r="K372" i="2"/>
  <c r="I372" i="2"/>
  <c r="H372" i="2"/>
  <c r="G372" i="2"/>
  <c r="R372" i="2"/>
  <c r="Q372" i="2"/>
  <c r="N372" i="2"/>
  <c r="D383" i="2"/>
  <c r="D371" i="2"/>
  <c r="D367" i="2"/>
  <c r="D364" i="2"/>
  <c r="D362" i="2"/>
  <c r="D369" i="2"/>
  <c r="D365" i="2"/>
  <c r="D363" i="2"/>
  <c r="D366" i="2"/>
  <c r="D370" i="2"/>
  <c r="D368" i="2"/>
  <c r="F317" i="2"/>
  <c r="A318" i="2"/>
  <c r="A319" i="2" s="1"/>
  <c r="A320" i="2" s="1"/>
  <c r="A321" i="2" s="1"/>
  <c r="A322" i="2" s="1"/>
  <c r="A323" i="2" s="1"/>
  <c r="A324" i="2" s="1"/>
  <c r="A325" i="2" s="1"/>
  <c r="A326" i="2" s="1"/>
  <c r="A327" i="2" s="1"/>
  <c r="A328" i="2" s="1"/>
  <c r="C312" i="2"/>
  <c r="C311" i="2"/>
  <c r="C308" i="2"/>
  <c r="C310" i="2"/>
  <c r="C309" i="2"/>
  <c r="C307" i="2"/>
  <c r="C313" i="2"/>
  <c r="C315" i="2"/>
  <c r="C314" i="2"/>
  <c r="F366" i="2"/>
  <c r="F364" i="2"/>
  <c r="F370" i="2"/>
  <c r="A241" i="1"/>
  <c r="F365" i="2"/>
  <c r="F363" i="2"/>
  <c r="F367" i="2"/>
  <c r="F362" i="2"/>
  <c r="F368" i="2"/>
  <c r="F369" i="2"/>
  <c r="U112" i="2" l="1"/>
  <c r="AL112" i="2"/>
  <c r="U114" i="2"/>
  <c r="AM114" i="2"/>
  <c r="B241" i="1"/>
  <c r="L315" i="2"/>
  <c r="P315" i="2"/>
  <c r="G315" i="2"/>
  <c r="R315" i="2"/>
  <c r="N315" i="2"/>
  <c r="Q315" i="2"/>
  <c r="H315" i="2"/>
  <c r="O315" i="2"/>
  <c r="K315" i="2"/>
  <c r="M315" i="2"/>
  <c r="J315" i="2"/>
  <c r="I315" i="2"/>
  <c r="P312" i="2"/>
  <c r="N312" i="2"/>
  <c r="R312" i="2"/>
  <c r="G312" i="2"/>
  <c r="I312" i="2"/>
  <c r="J312" i="2"/>
  <c r="Q312" i="2"/>
  <c r="O312" i="2"/>
  <c r="L312" i="2"/>
  <c r="K312" i="2"/>
  <c r="M312" i="2"/>
  <c r="H312" i="2"/>
  <c r="G311" i="2"/>
  <c r="R311" i="2"/>
  <c r="Q311" i="2"/>
  <c r="P311" i="2"/>
  <c r="O311" i="2"/>
  <c r="K311" i="2"/>
  <c r="N311" i="2"/>
  <c r="J311" i="2"/>
  <c r="I311" i="2"/>
  <c r="L311" i="2"/>
  <c r="H311" i="2"/>
  <c r="M311" i="2"/>
  <c r="H308" i="2"/>
  <c r="I308" i="2"/>
  <c r="G308" i="2"/>
  <c r="M308" i="2"/>
  <c r="L308" i="2"/>
  <c r="N308" i="2"/>
  <c r="P308" i="2"/>
  <c r="K308" i="2"/>
  <c r="O308" i="2"/>
  <c r="R308" i="2"/>
  <c r="J308" i="2"/>
  <c r="Q308" i="2"/>
  <c r="L314" i="2"/>
  <c r="J314" i="2"/>
  <c r="I314" i="2"/>
  <c r="G314" i="2"/>
  <c r="Q314" i="2"/>
  <c r="K314" i="2"/>
  <c r="H314" i="2"/>
  <c r="M314" i="2"/>
  <c r="O314" i="2"/>
  <c r="N314" i="2"/>
  <c r="P314" i="2"/>
  <c r="R314" i="2"/>
  <c r="M313" i="2"/>
  <c r="P313" i="2"/>
  <c r="G313" i="2"/>
  <c r="Q313" i="2"/>
  <c r="R313" i="2"/>
  <c r="O313" i="2"/>
  <c r="K313" i="2"/>
  <c r="H313" i="2"/>
  <c r="J313" i="2"/>
  <c r="I313" i="2"/>
  <c r="N313" i="2"/>
  <c r="L313" i="2"/>
  <c r="L307" i="2"/>
  <c r="Q307" i="2"/>
  <c r="I307" i="2"/>
  <c r="N307" i="2"/>
  <c r="M307" i="2"/>
  <c r="P307" i="2"/>
  <c r="O307" i="2"/>
  <c r="K307" i="2"/>
  <c r="J307" i="2"/>
  <c r="G307" i="2"/>
  <c r="H307" i="2"/>
  <c r="R307" i="2"/>
  <c r="P309" i="2"/>
  <c r="J309" i="2"/>
  <c r="I309" i="2"/>
  <c r="M309" i="2"/>
  <c r="H309" i="2"/>
  <c r="Q309" i="2"/>
  <c r="G309" i="2"/>
  <c r="L309" i="2"/>
  <c r="K309" i="2"/>
  <c r="O309" i="2"/>
  <c r="R309" i="2"/>
  <c r="N309" i="2"/>
  <c r="L371" i="2"/>
  <c r="K371" i="2"/>
  <c r="P371" i="2"/>
  <c r="Q371" i="2"/>
  <c r="O371" i="2"/>
  <c r="M371" i="2"/>
  <c r="R371" i="2"/>
  <c r="N371" i="2"/>
  <c r="H371" i="2"/>
  <c r="J371" i="2"/>
  <c r="I371" i="2"/>
  <c r="G371" i="2"/>
  <c r="H310" i="2"/>
  <c r="G310" i="2"/>
  <c r="M310" i="2"/>
  <c r="L310" i="2"/>
  <c r="N310" i="2"/>
  <c r="K310" i="2"/>
  <c r="J310" i="2"/>
  <c r="I310" i="2"/>
  <c r="R310" i="2"/>
  <c r="O310" i="2"/>
  <c r="Q310" i="2"/>
  <c r="P310" i="2"/>
  <c r="L383" i="2"/>
  <c r="K383" i="2"/>
  <c r="R383" i="2"/>
  <c r="Q383" i="2"/>
  <c r="I383" i="2"/>
  <c r="H383" i="2"/>
  <c r="G383" i="2"/>
  <c r="O383" i="2"/>
  <c r="N383" i="2"/>
  <c r="M383" i="2"/>
  <c r="J383" i="2"/>
  <c r="P383" i="2"/>
  <c r="D382" i="2"/>
  <c r="D394" i="2"/>
  <c r="D377" i="2"/>
  <c r="D378" i="2"/>
  <c r="D374" i="2"/>
  <c r="D373" i="2"/>
  <c r="D376" i="2"/>
  <c r="D379" i="2"/>
  <c r="D381" i="2"/>
  <c r="D380" i="2"/>
  <c r="D375" i="2"/>
  <c r="F328" i="2"/>
  <c r="A329" i="2"/>
  <c r="A330" i="2" s="1"/>
  <c r="A331" i="2" s="1"/>
  <c r="A332" i="2" s="1"/>
  <c r="A333" i="2" s="1"/>
  <c r="A334" i="2" s="1"/>
  <c r="A335" i="2" s="1"/>
  <c r="A336" i="2" s="1"/>
  <c r="A337" i="2" s="1"/>
  <c r="A338" i="2" s="1"/>
  <c r="A339" i="2" s="1"/>
  <c r="C320" i="2"/>
  <c r="C319" i="2"/>
  <c r="C321" i="2"/>
  <c r="C326" i="2"/>
  <c r="C325" i="2"/>
  <c r="C324" i="2"/>
  <c r="C323" i="2"/>
  <c r="C322" i="2"/>
  <c r="C318" i="2"/>
  <c r="AL114" i="2" l="1"/>
  <c r="B242" i="1"/>
  <c r="O320" i="2"/>
  <c r="K320" i="2"/>
  <c r="N320" i="2"/>
  <c r="L320" i="2"/>
  <c r="R320" i="2"/>
  <c r="J320" i="2"/>
  <c r="P320" i="2"/>
  <c r="I320" i="2"/>
  <c r="H320" i="2"/>
  <c r="M320" i="2"/>
  <c r="G320" i="2"/>
  <c r="Q320" i="2"/>
  <c r="H322" i="2"/>
  <c r="G322" i="2"/>
  <c r="M322" i="2"/>
  <c r="R322" i="2"/>
  <c r="K322" i="2"/>
  <c r="O322" i="2"/>
  <c r="I322" i="2"/>
  <c r="L322" i="2"/>
  <c r="N322" i="2"/>
  <c r="Q322" i="2"/>
  <c r="P322" i="2"/>
  <c r="J322" i="2"/>
  <c r="K326" i="2"/>
  <c r="P326" i="2"/>
  <c r="J326" i="2"/>
  <c r="I326" i="2"/>
  <c r="H326" i="2"/>
  <c r="N326" i="2"/>
  <c r="G326" i="2"/>
  <c r="L326" i="2"/>
  <c r="R326" i="2"/>
  <c r="M326" i="2"/>
  <c r="Q326" i="2"/>
  <c r="O326" i="2"/>
  <c r="H382" i="2"/>
  <c r="G382" i="2"/>
  <c r="R382" i="2"/>
  <c r="L382" i="2"/>
  <c r="Q382" i="2"/>
  <c r="J382" i="2"/>
  <c r="I382" i="2"/>
  <c r="K382" i="2"/>
  <c r="N382" i="2"/>
  <c r="P382" i="2"/>
  <c r="O382" i="2"/>
  <c r="M382" i="2"/>
  <c r="P319" i="2"/>
  <c r="R319" i="2"/>
  <c r="O319" i="2"/>
  <c r="H319" i="2"/>
  <c r="M319" i="2"/>
  <c r="K319" i="2"/>
  <c r="J319" i="2"/>
  <c r="I319" i="2"/>
  <c r="L319" i="2"/>
  <c r="G319" i="2"/>
  <c r="Q319" i="2"/>
  <c r="N319" i="2"/>
  <c r="J323" i="2"/>
  <c r="I323" i="2"/>
  <c r="G323" i="2"/>
  <c r="H323" i="2"/>
  <c r="R323" i="2"/>
  <c r="Q323" i="2"/>
  <c r="O323" i="2"/>
  <c r="N323" i="2"/>
  <c r="M323" i="2"/>
  <c r="L323" i="2"/>
  <c r="P323" i="2"/>
  <c r="K323" i="2"/>
  <c r="L321" i="2"/>
  <c r="H321" i="2"/>
  <c r="N321" i="2"/>
  <c r="M321" i="2"/>
  <c r="J321" i="2"/>
  <c r="K321" i="2"/>
  <c r="I321" i="2"/>
  <c r="R321" i="2"/>
  <c r="Q321" i="2"/>
  <c r="O321" i="2"/>
  <c r="P321" i="2"/>
  <c r="G321" i="2"/>
  <c r="H318" i="2"/>
  <c r="I318" i="2"/>
  <c r="N318" i="2"/>
  <c r="G318" i="2"/>
  <c r="M318" i="2"/>
  <c r="L318" i="2"/>
  <c r="K318" i="2"/>
  <c r="R318" i="2"/>
  <c r="J318" i="2"/>
  <c r="Q318" i="2"/>
  <c r="P318" i="2"/>
  <c r="O318" i="2"/>
  <c r="P324" i="2"/>
  <c r="O324" i="2"/>
  <c r="I324" i="2"/>
  <c r="L324" i="2"/>
  <c r="J324" i="2"/>
  <c r="M324" i="2"/>
  <c r="K324" i="2"/>
  <c r="H324" i="2"/>
  <c r="R324" i="2"/>
  <c r="G324" i="2"/>
  <c r="Q324" i="2"/>
  <c r="N324" i="2"/>
  <c r="M325" i="2"/>
  <c r="L325" i="2"/>
  <c r="G325" i="2"/>
  <c r="P325" i="2"/>
  <c r="I325" i="2"/>
  <c r="R325" i="2"/>
  <c r="Q325" i="2"/>
  <c r="O325" i="2"/>
  <c r="K325" i="2"/>
  <c r="J325" i="2"/>
  <c r="H325" i="2"/>
  <c r="N325" i="2"/>
  <c r="J394" i="2"/>
  <c r="P394" i="2"/>
  <c r="O394" i="2"/>
  <c r="I394" i="2"/>
  <c r="M394" i="2"/>
  <c r="L394" i="2"/>
  <c r="K394" i="2"/>
  <c r="H394" i="2"/>
  <c r="G394" i="2"/>
  <c r="R394" i="2"/>
  <c r="Q394" i="2"/>
  <c r="N394" i="2"/>
  <c r="D405" i="2"/>
  <c r="D393" i="2"/>
  <c r="D386" i="2"/>
  <c r="D388" i="2"/>
  <c r="D384" i="2"/>
  <c r="D392" i="2"/>
  <c r="D387" i="2"/>
  <c r="D389" i="2"/>
  <c r="D391" i="2"/>
  <c r="D390" i="2"/>
  <c r="D385" i="2"/>
  <c r="F339" i="2"/>
  <c r="A340" i="2"/>
  <c r="A341" i="2" s="1"/>
  <c r="A342" i="2" s="1"/>
  <c r="A343" i="2" s="1"/>
  <c r="A344" i="2" s="1"/>
  <c r="A345" i="2" s="1"/>
  <c r="A346" i="2" s="1"/>
  <c r="A347" i="2" s="1"/>
  <c r="A348" i="2" s="1"/>
  <c r="A349" i="2" s="1"/>
  <c r="A350" i="2" s="1"/>
  <c r="C332" i="2"/>
  <c r="C331" i="2"/>
  <c r="C337" i="2"/>
  <c r="C330" i="2"/>
  <c r="C329" i="2"/>
  <c r="C333" i="2"/>
  <c r="C336" i="2"/>
  <c r="C334" i="2"/>
  <c r="C335" i="2"/>
  <c r="AL116" i="2" l="1"/>
  <c r="U116" i="2"/>
  <c r="B243" i="1"/>
  <c r="O337" i="2"/>
  <c r="K337" i="2"/>
  <c r="M337" i="2"/>
  <c r="L337" i="2"/>
  <c r="J337" i="2"/>
  <c r="N337" i="2"/>
  <c r="G337" i="2"/>
  <c r="I337" i="2"/>
  <c r="P337" i="2"/>
  <c r="R337" i="2"/>
  <c r="H337" i="2"/>
  <c r="Q337" i="2"/>
  <c r="K331" i="2"/>
  <c r="N331" i="2"/>
  <c r="Q331" i="2"/>
  <c r="G331" i="2"/>
  <c r="R331" i="2"/>
  <c r="H331" i="2"/>
  <c r="P331" i="2"/>
  <c r="O331" i="2"/>
  <c r="L331" i="2"/>
  <c r="I331" i="2"/>
  <c r="J331" i="2"/>
  <c r="M331" i="2"/>
  <c r="Q332" i="2"/>
  <c r="R332" i="2"/>
  <c r="N332" i="2"/>
  <c r="M332" i="2"/>
  <c r="J332" i="2"/>
  <c r="I332" i="2"/>
  <c r="L332" i="2"/>
  <c r="G332" i="2"/>
  <c r="K332" i="2"/>
  <c r="P332" i="2"/>
  <c r="H332" i="2"/>
  <c r="O332" i="2"/>
  <c r="G334" i="2"/>
  <c r="J334" i="2"/>
  <c r="L334" i="2"/>
  <c r="I334" i="2"/>
  <c r="Q334" i="2"/>
  <c r="O334" i="2"/>
  <c r="N334" i="2"/>
  <c r="M334" i="2"/>
  <c r="R334" i="2"/>
  <c r="K334" i="2"/>
  <c r="H334" i="2"/>
  <c r="P334" i="2"/>
  <c r="G330" i="2"/>
  <c r="I330" i="2"/>
  <c r="N330" i="2"/>
  <c r="Q330" i="2"/>
  <c r="H330" i="2"/>
  <c r="J330" i="2"/>
  <c r="R330" i="2"/>
  <c r="P330" i="2"/>
  <c r="O330" i="2"/>
  <c r="M330" i="2"/>
  <c r="K330" i="2"/>
  <c r="L330" i="2"/>
  <c r="L405" i="2"/>
  <c r="K405" i="2"/>
  <c r="P405" i="2"/>
  <c r="Q405" i="2"/>
  <c r="H405" i="2"/>
  <c r="G405" i="2"/>
  <c r="O405" i="2"/>
  <c r="N405" i="2"/>
  <c r="M405" i="2"/>
  <c r="J405" i="2"/>
  <c r="I405" i="2"/>
  <c r="R405" i="2"/>
  <c r="L335" i="2"/>
  <c r="H335" i="2"/>
  <c r="K335" i="2"/>
  <c r="P335" i="2"/>
  <c r="I335" i="2"/>
  <c r="Q335" i="2"/>
  <c r="O335" i="2"/>
  <c r="N335" i="2"/>
  <c r="M335" i="2"/>
  <c r="R335" i="2"/>
  <c r="J335" i="2"/>
  <c r="G335" i="2"/>
  <c r="L333" i="2"/>
  <c r="K333" i="2"/>
  <c r="R333" i="2"/>
  <c r="P333" i="2"/>
  <c r="I333" i="2"/>
  <c r="H333" i="2"/>
  <c r="G333" i="2"/>
  <c r="N333" i="2"/>
  <c r="O333" i="2"/>
  <c r="M333" i="2"/>
  <c r="Q333" i="2"/>
  <c r="J333" i="2"/>
  <c r="O329" i="2"/>
  <c r="L329" i="2"/>
  <c r="N329" i="2"/>
  <c r="M329" i="2"/>
  <c r="I329" i="2"/>
  <c r="Q329" i="2"/>
  <c r="P329" i="2"/>
  <c r="K329" i="2"/>
  <c r="H329" i="2"/>
  <c r="G329" i="2"/>
  <c r="R329" i="2"/>
  <c r="J329" i="2"/>
  <c r="K393" i="2"/>
  <c r="J393" i="2"/>
  <c r="O393" i="2"/>
  <c r="R393" i="2"/>
  <c r="I393" i="2"/>
  <c r="H393" i="2"/>
  <c r="N393" i="2"/>
  <c r="M393" i="2"/>
  <c r="L393" i="2"/>
  <c r="G393" i="2"/>
  <c r="Q393" i="2"/>
  <c r="P393" i="2"/>
  <c r="P336" i="2"/>
  <c r="O336" i="2"/>
  <c r="M336" i="2"/>
  <c r="N336" i="2"/>
  <c r="K336" i="2"/>
  <c r="J336" i="2"/>
  <c r="I336" i="2"/>
  <c r="H336" i="2"/>
  <c r="G336" i="2"/>
  <c r="Q336" i="2"/>
  <c r="R336" i="2"/>
  <c r="L336" i="2"/>
  <c r="D404" i="2"/>
  <c r="D416" i="2"/>
  <c r="D396" i="2"/>
  <c r="D395" i="2"/>
  <c r="D401" i="2"/>
  <c r="D397" i="2"/>
  <c r="D402" i="2"/>
  <c r="D400" i="2"/>
  <c r="D399" i="2"/>
  <c r="D398" i="2"/>
  <c r="D403" i="2"/>
  <c r="F350" i="2"/>
  <c r="A351" i="2"/>
  <c r="A352" i="2" s="1"/>
  <c r="A353" i="2" s="1"/>
  <c r="A354" i="2" s="1"/>
  <c r="A355" i="2" s="1"/>
  <c r="A356" i="2" s="1"/>
  <c r="A357" i="2" s="1"/>
  <c r="A358" i="2" s="1"/>
  <c r="A359" i="2" s="1"/>
  <c r="A360" i="2" s="1"/>
  <c r="A361" i="2" s="1"/>
  <c r="C344" i="2"/>
  <c r="C341" i="2"/>
  <c r="C346" i="2"/>
  <c r="C348" i="2"/>
  <c r="C347" i="2"/>
  <c r="C340" i="2"/>
  <c r="C345" i="2"/>
  <c r="C343" i="2"/>
  <c r="C342" i="2"/>
  <c r="F392" i="2"/>
  <c r="F385" i="2"/>
  <c r="F375" i="2"/>
  <c r="F389" i="2"/>
  <c r="F395" i="2"/>
  <c r="F381" i="2"/>
  <c r="F400" i="2"/>
  <c r="F384" i="2"/>
  <c r="F397" i="2"/>
  <c r="F401" i="2"/>
  <c r="F396" i="2"/>
  <c r="A242" i="1"/>
  <c r="F402" i="2"/>
  <c r="F390" i="2"/>
  <c r="F377" i="2"/>
  <c r="F376" i="2"/>
  <c r="A244" i="1"/>
  <c r="F387" i="2"/>
  <c r="F386" i="2"/>
  <c r="F398" i="2"/>
  <c r="F391" i="2"/>
  <c r="F399" i="2"/>
  <c r="A243" i="1"/>
  <c r="F388" i="2"/>
  <c r="F380" i="2"/>
  <c r="F379" i="2"/>
  <c r="F378" i="2"/>
  <c r="F373" i="2"/>
  <c r="F403" i="2"/>
  <c r="F374" i="2"/>
  <c r="B244" i="1" l="1"/>
  <c r="P344" i="2"/>
  <c r="O344" i="2"/>
  <c r="R344" i="2"/>
  <c r="J344" i="2"/>
  <c r="N344" i="2"/>
  <c r="L344" i="2"/>
  <c r="M344" i="2"/>
  <c r="K344" i="2"/>
  <c r="G344" i="2"/>
  <c r="Q344" i="2"/>
  <c r="I344" i="2"/>
  <c r="H344" i="2"/>
  <c r="N345" i="2"/>
  <c r="M345" i="2"/>
  <c r="H345" i="2"/>
  <c r="Q345" i="2"/>
  <c r="R345" i="2"/>
  <c r="O345" i="2"/>
  <c r="I345" i="2"/>
  <c r="L345" i="2"/>
  <c r="G345" i="2"/>
  <c r="P345" i="2"/>
  <c r="K345" i="2"/>
  <c r="J345" i="2"/>
  <c r="G346" i="2"/>
  <c r="L346" i="2"/>
  <c r="H346" i="2"/>
  <c r="K346" i="2"/>
  <c r="R346" i="2"/>
  <c r="P346" i="2"/>
  <c r="O346" i="2"/>
  <c r="Q346" i="2"/>
  <c r="N346" i="2"/>
  <c r="M346" i="2"/>
  <c r="I346" i="2"/>
  <c r="J346" i="2"/>
  <c r="J342" i="2"/>
  <c r="L342" i="2"/>
  <c r="N342" i="2"/>
  <c r="M342" i="2"/>
  <c r="O342" i="2"/>
  <c r="R342" i="2"/>
  <c r="K342" i="2"/>
  <c r="I342" i="2"/>
  <c r="Q342" i="2"/>
  <c r="G342" i="2"/>
  <c r="H342" i="2"/>
  <c r="P342" i="2"/>
  <c r="K343" i="2"/>
  <c r="J343" i="2"/>
  <c r="R343" i="2"/>
  <c r="G343" i="2"/>
  <c r="P343" i="2"/>
  <c r="N343" i="2"/>
  <c r="Q343" i="2"/>
  <c r="O343" i="2"/>
  <c r="M343" i="2"/>
  <c r="H343" i="2"/>
  <c r="L343" i="2"/>
  <c r="I343" i="2"/>
  <c r="J341" i="2"/>
  <c r="H341" i="2"/>
  <c r="L341" i="2"/>
  <c r="P341" i="2"/>
  <c r="O341" i="2"/>
  <c r="R341" i="2"/>
  <c r="I341" i="2"/>
  <c r="G341" i="2"/>
  <c r="K341" i="2"/>
  <c r="Q341" i="2"/>
  <c r="N341" i="2"/>
  <c r="M341" i="2"/>
  <c r="N340" i="2"/>
  <c r="M340" i="2"/>
  <c r="R340" i="2"/>
  <c r="K340" i="2"/>
  <c r="I340" i="2"/>
  <c r="Q340" i="2"/>
  <c r="H340" i="2"/>
  <c r="G340" i="2"/>
  <c r="J340" i="2"/>
  <c r="L340" i="2"/>
  <c r="O340" i="2"/>
  <c r="P340" i="2"/>
  <c r="O347" i="2"/>
  <c r="N347" i="2"/>
  <c r="P347" i="2"/>
  <c r="Q347" i="2"/>
  <c r="L347" i="2"/>
  <c r="K347" i="2"/>
  <c r="G347" i="2"/>
  <c r="R347" i="2"/>
  <c r="J347" i="2"/>
  <c r="I347" i="2"/>
  <c r="M347" i="2"/>
  <c r="H347" i="2"/>
  <c r="L416" i="2"/>
  <c r="H416" i="2"/>
  <c r="G416" i="2"/>
  <c r="O416" i="2"/>
  <c r="N416" i="2"/>
  <c r="Q416" i="2"/>
  <c r="J416" i="2"/>
  <c r="R416" i="2"/>
  <c r="K416" i="2"/>
  <c r="I416" i="2"/>
  <c r="P416" i="2"/>
  <c r="M416" i="2"/>
  <c r="Q348" i="2"/>
  <c r="G348" i="2"/>
  <c r="N348" i="2"/>
  <c r="M348" i="2"/>
  <c r="J348" i="2"/>
  <c r="I348" i="2"/>
  <c r="L348" i="2"/>
  <c r="K348" i="2"/>
  <c r="R348" i="2"/>
  <c r="O348" i="2"/>
  <c r="H348" i="2"/>
  <c r="P348" i="2"/>
  <c r="R404" i="2"/>
  <c r="Q404" i="2"/>
  <c r="N404" i="2"/>
  <c r="H404" i="2"/>
  <c r="K404" i="2"/>
  <c r="J404" i="2"/>
  <c r="I404" i="2"/>
  <c r="P404" i="2"/>
  <c r="O404" i="2"/>
  <c r="L404" i="2"/>
  <c r="G404" i="2"/>
  <c r="M404" i="2"/>
  <c r="D415" i="2"/>
  <c r="D427" i="2"/>
  <c r="D414" i="2"/>
  <c r="D407" i="2"/>
  <c r="D411" i="2"/>
  <c r="D409" i="2"/>
  <c r="D406" i="2"/>
  <c r="D410" i="2"/>
  <c r="D413" i="2"/>
  <c r="D408" i="2"/>
  <c r="D412" i="2"/>
  <c r="F361" i="2"/>
  <c r="A362" i="2"/>
  <c r="A363" i="2" s="1"/>
  <c r="A364" i="2" s="1"/>
  <c r="A365" i="2" s="1"/>
  <c r="A366" i="2" s="1"/>
  <c r="A367" i="2" s="1"/>
  <c r="A368" i="2" s="1"/>
  <c r="A369" i="2" s="1"/>
  <c r="A370" i="2" s="1"/>
  <c r="A371" i="2" s="1"/>
  <c r="A372" i="2" s="1"/>
  <c r="C352" i="2"/>
  <c r="C351" i="2"/>
  <c r="C359" i="2"/>
  <c r="C358" i="2"/>
  <c r="C353" i="2"/>
  <c r="C357" i="2"/>
  <c r="C356" i="2"/>
  <c r="C355" i="2"/>
  <c r="C354" i="2"/>
  <c r="F414" i="2"/>
  <c r="F407" i="2"/>
  <c r="F410" i="2"/>
  <c r="F412" i="2"/>
  <c r="F409" i="2"/>
  <c r="A245" i="1"/>
  <c r="F413" i="2"/>
  <c r="F411" i="2"/>
  <c r="F408" i="2"/>
  <c r="F406" i="2"/>
  <c r="B245" i="1" l="1"/>
  <c r="L351" i="2"/>
  <c r="H351" i="2"/>
  <c r="K351" i="2"/>
  <c r="N351" i="2"/>
  <c r="R351" i="2"/>
  <c r="G351" i="2"/>
  <c r="Q351" i="2"/>
  <c r="P351" i="2"/>
  <c r="J351" i="2"/>
  <c r="I351" i="2"/>
  <c r="O351" i="2"/>
  <c r="M351" i="2"/>
  <c r="P352" i="2"/>
  <c r="O352" i="2"/>
  <c r="L352" i="2"/>
  <c r="N352" i="2"/>
  <c r="M352" i="2"/>
  <c r="I352" i="2"/>
  <c r="H352" i="2"/>
  <c r="G352" i="2"/>
  <c r="R352" i="2"/>
  <c r="Q352" i="2"/>
  <c r="K352" i="2"/>
  <c r="J352" i="2"/>
  <c r="L359" i="2"/>
  <c r="K359" i="2"/>
  <c r="Q359" i="2"/>
  <c r="N359" i="2"/>
  <c r="O359" i="2"/>
  <c r="M359" i="2"/>
  <c r="P359" i="2"/>
  <c r="H359" i="2"/>
  <c r="J359" i="2"/>
  <c r="I359" i="2"/>
  <c r="R359" i="2"/>
  <c r="G359" i="2"/>
  <c r="O354" i="2"/>
  <c r="N354" i="2"/>
  <c r="J354" i="2"/>
  <c r="I354" i="2"/>
  <c r="Q354" i="2"/>
  <c r="P354" i="2"/>
  <c r="H354" i="2"/>
  <c r="G354" i="2"/>
  <c r="R354" i="2"/>
  <c r="L354" i="2"/>
  <c r="K354" i="2"/>
  <c r="M354" i="2"/>
  <c r="L355" i="2"/>
  <c r="K355" i="2"/>
  <c r="J355" i="2"/>
  <c r="N355" i="2"/>
  <c r="G355" i="2"/>
  <c r="I355" i="2"/>
  <c r="H355" i="2"/>
  <c r="Q355" i="2"/>
  <c r="P355" i="2"/>
  <c r="O355" i="2"/>
  <c r="M355" i="2"/>
  <c r="R355" i="2"/>
  <c r="J356" i="2"/>
  <c r="I356" i="2"/>
  <c r="N356" i="2"/>
  <c r="R356" i="2"/>
  <c r="P356" i="2"/>
  <c r="O356" i="2"/>
  <c r="L356" i="2"/>
  <c r="Q356" i="2"/>
  <c r="H356" i="2"/>
  <c r="K356" i="2"/>
  <c r="G356" i="2"/>
  <c r="M356" i="2"/>
  <c r="Q427" i="2"/>
  <c r="L427" i="2"/>
  <c r="H427" i="2"/>
  <c r="G427" i="2"/>
  <c r="M427" i="2"/>
  <c r="O427" i="2"/>
  <c r="J427" i="2"/>
  <c r="I427" i="2"/>
  <c r="R427" i="2"/>
  <c r="N427" i="2"/>
  <c r="K427" i="2"/>
  <c r="P427" i="2"/>
  <c r="N357" i="2"/>
  <c r="M357" i="2"/>
  <c r="G357" i="2"/>
  <c r="I357" i="2"/>
  <c r="Q357" i="2"/>
  <c r="J357" i="2"/>
  <c r="H357" i="2"/>
  <c r="R357" i="2"/>
  <c r="P357" i="2"/>
  <c r="O357" i="2"/>
  <c r="L357" i="2"/>
  <c r="K357" i="2"/>
  <c r="O353" i="2"/>
  <c r="N353" i="2"/>
  <c r="M353" i="2"/>
  <c r="K353" i="2"/>
  <c r="P353" i="2"/>
  <c r="H353" i="2"/>
  <c r="R353" i="2"/>
  <c r="L353" i="2"/>
  <c r="J353" i="2"/>
  <c r="I353" i="2"/>
  <c r="Q353" i="2"/>
  <c r="G353" i="2"/>
  <c r="P358" i="2"/>
  <c r="I358" i="2"/>
  <c r="K358" i="2"/>
  <c r="O358" i="2"/>
  <c r="L358" i="2"/>
  <c r="J358" i="2"/>
  <c r="N358" i="2"/>
  <c r="R358" i="2"/>
  <c r="Q358" i="2"/>
  <c r="H358" i="2"/>
  <c r="M358" i="2"/>
  <c r="G358" i="2"/>
  <c r="H415" i="2"/>
  <c r="G415" i="2"/>
  <c r="N415" i="2"/>
  <c r="M415" i="2"/>
  <c r="L415" i="2"/>
  <c r="R415" i="2"/>
  <c r="Q415" i="2"/>
  <c r="P415" i="2"/>
  <c r="O415" i="2"/>
  <c r="K415" i="2"/>
  <c r="J415" i="2"/>
  <c r="I415" i="2"/>
  <c r="D438" i="2"/>
  <c r="D426" i="2"/>
  <c r="D417" i="2"/>
  <c r="D422" i="2"/>
  <c r="D425" i="2"/>
  <c r="D419" i="2"/>
  <c r="D421" i="2"/>
  <c r="D418" i="2"/>
  <c r="D423" i="2"/>
  <c r="D420" i="2"/>
  <c r="D424" i="2"/>
  <c r="F372" i="2"/>
  <c r="A373" i="2"/>
  <c r="A374" i="2" s="1"/>
  <c r="A375" i="2" s="1"/>
  <c r="A376" i="2" s="1"/>
  <c r="A377" i="2" s="1"/>
  <c r="A378" i="2" s="1"/>
  <c r="A379" i="2" s="1"/>
  <c r="A380" i="2" s="1"/>
  <c r="A381" i="2" s="1"/>
  <c r="A382" i="2" s="1"/>
  <c r="A383" i="2" s="1"/>
  <c r="C370" i="2"/>
  <c r="C369" i="2"/>
  <c r="C366" i="2"/>
  <c r="C368" i="2"/>
  <c r="C367" i="2"/>
  <c r="C365" i="2"/>
  <c r="C364" i="2"/>
  <c r="C363" i="2"/>
  <c r="C362" i="2"/>
  <c r="F419" i="2"/>
  <c r="A246" i="1"/>
  <c r="F424" i="2"/>
  <c r="F423" i="2"/>
  <c r="F422" i="2"/>
  <c r="F418" i="2"/>
  <c r="F420" i="2"/>
  <c r="F425" i="2"/>
  <c r="F417" i="2"/>
  <c r="F421" i="2"/>
  <c r="AK117" i="2" l="1"/>
  <c r="AK115" i="2"/>
  <c r="AK109" i="2"/>
  <c r="B246" i="1"/>
  <c r="H370" i="2"/>
  <c r="G370" i="2"/>
  <c r="P370" i="2"/>
  <c r="J370" i="2"/>
  <c r="L370" i="2"/>
  <c r="O370" i="2"/>
  <c r="K370" i="2"/>
  <c r="I370" i="2"/>
  <c r="R370" i="2"/>
  <c r="Q370" i="2"/>
  <c r="N370" i="2"/>
  <c r="M370" i="2"/>
  <c r="G362" i="2"/>
  <c r="L362" i="2"/>
  <c r="H362" i="2"/>
  <c r="N362" i="2"/>
  <c r="R362" i="2"/>
  <c r="Q362" i="2"/>
  <c r="K362" i="2"/>
  <c r="J362" i="2"/>
  <c r="P362" i="2"/>
  <c r="I362" i="2"/>
  <c r="M362" i="2"/>
  <c r="O362" i="2"/>
  <c r="M366" i="2"/>
  <c r="O366" i="2"/>
  <c r="K366" i="2"/>
  <c r="L366" i="2"/>
  <c r="R366" i="2"/>
  <c r="I366" i="2"/>
  <c r="Q366" i="2"/>
  <c r="P366" i="2"/>
  <c r="N366" i="2"/>
  <c r="H366" i="2"/>
  <c r="G366" i="2"/>
  <c r="J366" i="2"/>
  <c r="P369" i="2"/>
  <c r="O369" i="2"/>
  <c r="N369" i="2"/>
  <c r="M369" i="2"/>
  <c r="H369" i="2"/>
  <c r="J369" i="2"/>
  <c r="G369" i="2"/>
  <c r="R369" i="2"/>
  <c r="L369" i="2"/>
  <c r="Q369" i="2"/>
  <c r="I369" i="2"/>
  <c r="K369" i="2"/>
  <c r="K363" i="2"/>
  <c r="N363" i="2"/>
  <c r="L363" i="2"/>
  <c r="H363" i="2"/>
  <c r="P363" i="2"/>
  <c r="I363" i="2"/>
  <c r="G363" i="2"/>
  <c r="R363" i="2"/>
  <c r="Q363" i="2"/>
  <c r="O363" i="2"/>
  <c r="M363" i="2"/>
  <c r="J363" i="2"/>
  <c r="R364" i="2"/>
  <c r="Q364" i="2"/>
  <c r="L364" i="2"/>
  <c r="M364" i="2"/>
  <c r="J364" i="2"/>
  <c r="K364" i="2"/>
  <c r="I364" i="2"/>
  <c r="G364" i="2"/>
  <c r="H364" i="2"/>
  <c r="P364" i="2"/>
  <c r="N364" i="2"/>
  <c r="O364" i="2"/>
  <c r="N365" i="2"/>
  <c r="L365" i="2"/>
  <c r="Q365" i="2"/>
  <c r="R365" i="2"/>
  <c r="I365" i="2"/>
  <c r="P365" i="2"/>
  <c r="O365" i="2"/>
  <c r="M365" i="2"/>
  <c r="K365" i="2"/>
  <c r="J365" i="2"/>
  <c r="H365" i="2"/>
  <c r="G365" i="2"/>
  <c r="K367" i="2"/>
  <c r="M367" i="2"/>
  <c r="L367" i="2"/>
  <c r="P367" i="2"/>
  <c r="J367" i="2"/>
  <c r="H367" i="2"/>
  <c r="I367" i="2"/>
  <c r="G367" i="2"/>
  <c r="R367" i="2"/>
  <c r="N367" i="2"/>
  <c r="O367" i="2"/>
  <c r="Q367" i="2"/>
  <c r="M426" i="2"/>
  <c r="N426" i="2"/>
  <c r="G426" i="2"/>
  <c r="P426" i="2"/>
  <c r="O426" i="2"/>
  <c r="L426" i="2"/>
  <c r="Q426" i="2"/>
  <c r="K426" i="2"/>
  <c r="R426" i="2"/>
  <c r="J426" i="2"/>
  <c r="I426" i="2"/>
  <c r="H426" i="2"/>
  <c r="O368" i="2"/>
  <c r="P368" i="2"/>
  <c r="N368" i="2"/>
  <c r="J368" i="2"/>
  <c r="I368" i="2"/>
  <c r="Q368" i="2"/>
  <c r="H368" i="2"/>
  <c r="G368" i="2"/>
  <c r="K368" i="2"/>
  <c r="R368" i="2"/>
  <c r="M368" i="2"/>
  <c r="L368" i="2"/>
  <c r="P438" i="2"/>
  <c r="J438" i="2"/>
  <c r="O438" i="2"/>
  <c r="H438" i="2"/>
  <c r="R438" i="2"/>
  <c r="Q438" i="2"/>
  <c r="N438" i="2"/>
  <c r="G438" i="2"/>
  <c r="I438" i="2"/>
  <c r="L438" i="2"/>
  <c r="M438" i="2"/>
  <c r="K438" i="2"/>
  <c r="D437" i="2"/>
  <c r="D449" i="2"/>
  <c r="D436" i="2"/>
  <c r="D428" i="2"/>
  <c r="D432" i="2"/>
  <c r="D431" i="2"/>
  <c r="D434" i="2"/>
  <c r="D433" i="2"/>
  <c r="D435" i="2"/>
  <c r="D429" i="2"/>
  <c r="D430" i="2"/>
  <c r="F383" i="2"/>
  <c r="A384" i="2"/>
  <c r="A385" i="2" s="1"/>
  <c r="A386" i="2" s="1"/>
  <c r="A387" i="2" s="1"/>
  <c r="A388" i="2" s="1"/>
  <c r="A389" i="2" s="1"/>
  <c r="A390" i="2" s="1"/>
  <c r="A391" i="2" s="1"/>
  <c r="A392" i="2" s="1"/>
  <c r="A393" i="2" s="1"/>
  <c r="A394" i="2" s="1"/>
  <c r="C379" i="2"/>
  <c r="C377" i="2"/>
  <c r="C378" i="2"/>
  <c r="C381" i="2"/>
  <c r="C380" i="2"/>
  <c r="C376" i="2"/>
  <c r="C373" i="2"/>
  <c r="C375" i="2"/>
  <c r="C374" i="2"/>
  <c r="AK114" i="2" l="1"/>
  <c r="AK112" i="2"/>
  <c r="B247" i="1"/>
  <c r="M379" i="2"/>
  <c r="Q379" i="2"/>
  <c r="G379" i="2"/>
  <c r="N379" i="2"/>
  <c r="O379" i="2"/>
  <c r="I379" i="2"/>
  <c r="H379" i="2"/>
  <c r="L379" i="2"/>
  <c r="J379" i="2"/>
  <c r="P379" i="2"/>
  <c r="R379" i="2"/>
  <c r="K379" i="2"/>
  <c r="N375" i="2"/>
  <c r="M375" i="2"/>
  <c r="O375" i="2"/>
  <c r="P375" i="2"/>
  <c r="I375" i="2"/>
  <c r="L375" i="2"/>
  <c r="K375" i="2"/>
  <c r="G375" i="2"/>
  <c r="J375" i="2"/>
  <c r="Q375" i="2"/>
  <c r="R375" i="2"/>
  <c r="H375" i="2"/>
  <c r="M377" i="2"/>
  <c r="Q377" i="2"/>
  <c r="O377" i="2"/>
  <c r="K377" i="2"/>
  <c r="J377" i="2"/>
  <c r="G377" i="2"/>
  <c r="I377" i="2"/>
  <c r="P377" i="2"/>
  <c r="R377" i="2"/>
  <c r="L377" i="2"/>
  <c r="H377" i="2"/>
  <c r="N377" i="2"/>
  <c r="M378" i="2"/>
  <c r="J378" i="2"/>
  <c r="K378" i="2"/>
  <c r="I378" i="2"/>
  <c r="O378" i="2"/>
  <c r="H378" i="2"/>
  <c r="G378" i="2"/>
  <c r="N378" i="2"/>
  <c r="L378" i="2"/>
  <c r="Q378" i="2"/>
  <c r="P378" i="2"/>
  <c r="R378" i="2"/>
  <c r="H374" i="2"/>
  <c r="G374" i="2"/>
  <c r="J374" i="2"/>
  <c r="P374" i="2"/>
  <c r="M374" i="2"/>
  <c r="L374" i="2"/>
  <c r="R374" i="2"/>
  <c r="Q374" i="2"/>
  <c r="O374" i="2"/>
  <c r="K374" i="2"/>
  <c r="N374" i="2"/>
  <c r="I374" i="2"/>
  <c r="J373" i="2"/>
  <c r="M373" i="2"/>
  <c r="R373" i="2"/>
  <c r="L373" i="2"/>
  <c r="O373" i="2"/>
  <c r="H373" i="2"/>
  <c r="N373" i="2"/>
  <c r="Q373" i="2"/>
  <c r="K373" i="2"/>
  <c r="I373" i="2"/>
  <c r="G373" i="2"/>
  <c r="P373" i="2"/>
  <c r="P376" i="2"/>
  <c r="O376" i="2"/>
  <c r="J376" i="2"/>
  <c r="R376" i="2"/>
  <c r="M376" i="2"/>
  <c r="L376" i="2"/>
  <c r="Q376" i="2"/>
  <c r="K376" i="2"/>
  <c r="I376" i="2"/>
  <c r="H376" i="2"/>
  <c r="N376" i="2"/>
  <c r="G376" i="2"/>
  <c r="O380" i="2"/>
  <c r="R380" i="2"/>
  <c r="L380" i="2"/>
  <c r="K380" i="2"/>
  <c r="G380" i="2"/>
  <c r="Q380" i="2"/>
  <c r="M380" i="2"/>
  <c r="H380" i="2"/>
  <c r="I380" i="2"/>
  <c r="P380" i="2"/>
  <c r="N380" i="2"/>
  <c r="J380" i="2"/>
  <c r="J449" i="2"/>
  <c r="R449" i="2"/>
  <c r="P449" i="2"/>
  <c r="N449" i="2"/>
  <c r="O449" i="2"/>
  <c r="M449" i="2"/>
  <c r="I449" i="2"/>
  <c r="K449" i="2"/>
  <c r="H449" i="2"/>
  <c r="G449" i="2"/>
  <c r="Q449" i="2"/>
  <c r="L449" i="2"/>
  <c r="I381" i="2"/>
  <c r="H381" i="2"/>
  <c r="G381" i="2"/>
  <c r="N381" i="2"/>
  <c r="M381" i="2"/>
  <c r="P381" i="2"/>
  <c r="Q381" i="2"/>
  <c r="K381" i="2"/>
  <c r="L381" i="2"/>
  <c r="J381" i="2"/>
  <c r="R381" i="2"/>
  <c r="O381" i="2"/>
  <c r="R437" i="2"/>
  <c r="K437" i="2"/>
  <c r="H437" i="2"/>
  <c r="G437" i="2"/>
  <c r="Q437" i="2"/>
  <c r="J437" i="2"/>
  <c r="I437" i="2"/>
  <c r="P437" i="2"/>
  <c r="O437" i="2"/>
  <c r="N437" i="2"/>
  <c r="M437" i="2"/>
  <c r="L437" i="2"/>
  <c r="D460" i="2"/>
  <c r="D448" i="2"/>
  <c r="D447" i="2"/>
  <c r="D443" i="2"/>
  <c r="D440" i="2"/>
  <c r="D445" i="2"/>
  <c r="D439" i="2"/>
  <c r="D444" i="2"/>
  <c r="D442" i="2"/>
  <c r="D441" i="2"/>
  <c r="D446" i="2"/>
  <c r="F394" i="2"/>
  <c r="A395" i="2"/>
  <c r="A396" i="2" s="1"/>
  <c r="A397" i="2" s="1"/>
  <c r="A398" i="2" s="1"/>
  <c r="A399" i="2" s="1"/>
  <c r="A400" i="2" s="1"/>
  <c r="A401" i="2" s="1"/>
  <c r="A402" i="2" s="1"/>
  <c r="A403" i="2" s="1"/>
  <c r="A404" i="2" s="1"/>
  <c r="A405" i="2" s="1"/>
  <c r="C390" i="2"/>
  <c r="C385" i="2"/>
  <c r="C389" i="2"/>
  <c r="C386" i="2"/>
  <c r="C388" i="2"/>
  <c r="C387" i="2"/>
  <c r="C384" i="2"/>
  <c r="C392" i="2"/>
  <c r="C391" i="2"/>
  <c r="F447" i="2"/>
  <c r="F443" i="2"/>
  <c r="F436" i="2"/>
  <c r="F440" i="2"/>
  <c r="F428" i="2"/>
  <c r="F432" i="2"/>
  <c r="F445" i="2"/>
  <c r="F439" i="2"/>
  <c r="F431" i="2"/>
  <c r="F444" i="2"/>
  <c r="F434" i="2"/>
  <c r="A248" i="1"/>
  <c r="F429" i="2"/>
  <c r="F433" i="2"/>
  <c r="F442" i="2"/>
  <c r="A247" i="1"/>
  <c r="F435" i="2"/>
  <c r="F441" i="2"/>
  <c r="F446" i="2"/>
  <c r="F430" i="2"/>
  <c r="O188" i="143" l="1"/>
  <c r="O191" i="143" s="1"/>
  <c r="P188" i="143"/>
  <c r="P191" i="143" s="1"/>
  <c r="L188" i="143"/>
  <c r="L191" i="143" s="1"/>
  <c r="H188" i="143"/>
  <c r="H191" i="143" s="1"/>
  <c r="G188" i="143"/>
  <c r="G191" i="143" s="1"/>
  <c r="K188" i="143"/>
  <c r="K191" i="143" s="1"/>
  <c r="M188" i="143"/>
  <c r="M191" i="143" s="1"/>
  <c r="I188" i="143"/>
  <c r="I191" i="143" s="1"/>
  <c r="J188" i="143"/>
  <c r="J191" i="143" s="1"/>
  <c r="N188" i="143"/>
  <c r="N191" i="143" s="1"/>
  <c r="AK116" i="2"/>
  <c r="B248" i="1"/>
  <c r="H389" i="2"/>
  <c r="G389" i="2"/>
  <c r="N389" i="2"/>
  <c r="M389" i="2"/>
  <c r="L389" i="2"/>
  <c r="R389" i="2"/>
  <c r="Q389" i="2"/>
  <c r="P389" i="2"/>
  <c r="O389" i="2"/>
  <c r="K389" i="2"/>
  <c r="J389" i="2"/>
  <c r="I389" i="2"/>
  <c r="M390" i="2"/>
  <c r="L390" i="2"/>
  <c r="K390" i="2"/>
  <c r="H390" i="2"/>
  <c r="R390" i="2"/>
  <c r="G390" i="2"/>
  <c r="P390" i="2"/>
  <c r="O390" i="2"/>
  <c r="Q390" i="2"/>
  <c r="I390" i="2"/>
  <c r="N390" i="2"/>
  <c r="J390" i="2"/>
  <c r="R385" i="2"/>
  <c r="Q385" i="2"/>
  <c r="L385" i="2"/>
  <c r="N385" i="2"/>
  <c r="M385" i="2"/>
  <c r="P385" i="2"/>
  <c r="G385" i="2"/>
  <c r="O385" i="2"/>
  <c r="K385" i="2"/>
  <c r="J385" i="2"/>
  <c r="H385" i="2"/>
  <c r="I385" i="2"/>
  <c r="O391" i="2"/>
  <c r="M391" i="2"/>
  <c r="L391" i="2"/>
  <c r="H391" i="2"/>
  <c r="N391" i="2"/>
  <c r="R391" i="2"/>
  <c r="P391" i="2"/>
  <c r="Q391" i="2"/>
  <c r="G391" i="2"/>
  <c r="I391" i="2"/>
  <c r="K391" i="2"/>
  <c r="J391" i="2"/>
  <c r="K392" i="2"/>
  <c r="J392" i="2"/>
  <c r="G392" i="2"/>
  <c r="P392" i="2"/>
  <c r="M392" i="2"/>
  <c r="L392" i="2"/>
  <c r="Q392" i="2"/>
  <c r="H392" i="2"/>
  <c r="I392" i="2"/>
  <c r="R392" i="2"/>
  <c r="N392" i="2"/>
  <c r="O392" i="2"/>
  <c r="N384" i="2"/>
  <c r="G384" i="2"/>
  <c r="Q384" i="2"/>
  <c r="M384" i="2"/>
  <c r="K384" i="2"/>
  <c r="J384" i="2"/>
  <c r="I384" i="2"/>
  <c r="H384" i="2"/>
  <c r="L384" i="2"/>
  <c r="R384" i="2"/>
  <c r="O384" i="2"/>
  <c r="P384" i="2"/>
  <c r="O387" i="2"/>
  <c r="M387" i="2"/>
  <c r="Q387" i="2"/>
  <c r="H387" i="2"/>
  <c r="P387" i="2"/>
  <c r="G387" i="2"/>
  <c r="L387" i="2"/>
  <c r="R387" i="2"/>
  <c r="K387" i="2"/>
  <c r="I387" i="2"/>
  <c r="J387" i="2"/>
  <c r="N387" i="2"/>
  <c r="R388" i="2"/>
  <c r="P388" i="2"/>
  <c r="K388" i="2"/>
  <c r="N388" i="2"/>
  <c r="M388" i="2"/>
  <c r="L388" i="2"/>
  <c r="H388" i="2"/>
  <c r="O388" i="2"/>
  <c r="Q388" i="2"/>
  <c r="G388" i="2"/>
  <c r="J388" i="2"/>
  <c r="I388" i="2"/>
  <c r="N448" i="2"/>
  <c r="Q448" i="2"/>
  <c r="J448" i="2"/>
  <c r="M448" i="2"/>
  <c r="I448" i="2"/>
  <c r="H448" i="2"/>
  <c r="P448" i="2"/>
  <c r="K448" i="2"/>
  <c r="G448" i="2"/>
  <c r="O448" i="2"/>
  <c r="L448" i="2"/>
  <c r="R448" i="2"/>
  <c r="I386" i="2"/>
  <c r="H386" i="2"/>
  <c r="G386" i="2"/>
  <c r="N386" i="2"/>
  <c r="P386" i="2"/>
  <c r="O386" i="2"/>
  <c r="M386" i="2"/>
  <c r="R386" i="2"/>
  <c r="L386" i="2"/>
  <c r="Q386" i="2"/>
  <c r="K386" i="2"/>
  <c r="J386" i="2"/>
  <c r="N460" i="2"/>
  <c r="L460" i="2"/>
  <c r="P460" i="2"/>
  <c r="H460" i="2"/>
  <c r="I460" i="2"/>
  <c r="G460" i="2"/>
  <c r="O460" i="2"/>
  <c r="R460" i="2"/>
  <c r="Q460" i="2"/>
  <c r="M460" i="2"/>
  <c r="K460" i="2"/>
  <c r="J460" i="2"/>
  <c r="D471" i="2"/>
  <c r="D459" i="2"/>
  <c r="D454" i="2"/>
  <c r="D453" i="2"/>
  <c r="D450" i="2"/>
  <c r="D451" i="2"/>
  <c r="D452" i="2"/>
  <c r="D456" i="2"/>
  <c r="D455" i="2"/>
  <c r="D458" i="2"/>
  <c r="D457" i="2"/>
  <c r="F405" i="2"/>
  <c r="A406" i="2"/>
  <c r="A407" i="2" s="1"/>
  <c r="A408" i="2" s="1"/>
  <c r="A409" i="2" s="1"/>
  <c r="A410" i="2" s="1"/>
  <c r="A411" i="2" s="1"/>
  <c r="A412" i="2" s="1"/>
  <c r="A413" i="2" s="1"/>
  <c r="A414" i="2" s="1"/>
  <c r="A415" i="2" s="1"/>
  <c r="A416" i="2" s="1"/>
  <c r="C397" i="2"/>
  <c r="C403" i="2"/>
  <c r="C399" i="2"/>
  <c r="C402" i="2"/>
  <c r="C401" i="2"/>
  <c r="C398" i="2"/>
  <c r="C400" i="2"/>
  <c r="C396" i="2"/>
  <c r="C395" i="2"/>
  <c r="B249" i="1" l="1"/>
  <c r="K399" i="2"/>
  <c r="H399" i="2"/>
  <c r="P399" i="2"/>
  <c r="Q399" i="2"/>
  <c r="L399" i="2"/>
  <c r="N399" i="2"/>
  <c r="G399" i="2"/>
  <c r="M399" i="2"/>
  <c r="J399" i="2"/>
  <c r="I399" i="2"/>
  <c r="O399" i="2"/>
  <c r="R399" i="2"/>
  <c r="P397" i="2"/>
  <c r="R397" i="2"/>
  <c r="O397" i="2"/>
  <c r="N397" i="2"/>
  <c r="H397" i="2"/>
  <c r="I397" i="2"/>
  <c r="G397" i="2"/>
  <c r="M397" i="2"/>
  <c r="L397" i="2"/>
  <c r="K397" i="2"/>
  <c r="J397" i="2"/>
  <c r="Q397" i="2"/>
  <c r="M396" i="2"/>
  <c r="L396" i="2"/>
  <c r="H396" i="2"/>
  <c r="K396" i="2"/>
  <c r="R396" i="2"/>
  <c r="Q396" i="2"/>
  <c r="J396" i="2"/>
  <c r="N396" i="2"/>
  <c r="I396" i="2"/>
  <c r="P396" i="2"/>
  <c r="G396" i="2"/>
  <c r="O396" i="2"/>
  <c r="N403" i="2"/>
  <c r="M403" i="2"/>
  <c r="O403" i="2"/>
  <c r="R403" i="2"/>
  <c r="Q403" i="2"/>
  <c r="P403" i="2"/>
  <c r="K403" i="2"/>
  <c r="H403" i="2"/>
  <c r="G403" i="2"/>
  <c r="I403" i="2"/>
  <c r="J403" i="2"/>
  <c r="L403" i="2"/>
  <c r="N395" i="2"/>
  <c r="M395" i="2"/>
  <c r="J395" i="2"/>
  <c r="Q395" i="2"/>
  <c r="R395" i="2"/>
  <c r="H395" i="2"/>
  <c r="G395" i="2"/>
  <c r="P395" i="2"/>
  <c r="O395" i="2"/>
  <c r="L395" i="2"/>
  <c r="K395" i="2"/>
  <c r="I395" i="2"/>
  <c r="R400" i="2"/>
  <c r="Q400" i="2"/>
  <c r="J400" i="2"/>
  <c r="P400" i="2"/>
  <c r="O400" i="2"/>
  <c r="L400" i="2"/>
  <c r="H400" i="2"/>
  <c r="N400" i="2"/>
  <c r="M400" i="2"/>
  <c r="G400" i="2"/>
  <c r="K400" i="2"/>
  <c r="I400" i="2"/>
  <c r="R459" i="2"/>
  <c r="J459" i="2"/>
  <c r="M459" i="2"/>
  <c r="G459" i="2"/>
  <c r="I459" i="2"/>
  <c r="Q459" i="2"/>
  <c r="P459" i="2"/>
  <c r="L459" i="2"/>
  <c r="K459" i="2"/>
  <c r="H459" i="2"/>
  <c r="O459" i="2"/>
  <c r="N459" i="2"/>
  <c r="J398" i="2"/>
  <c r="I398" i="2"/>
  <c r="R398" i="2"/>
  <c r="L398" i="2"/>
  <c r="P398" i="2"/>
  <c r="Q398" i="2"/>
  <c r="O398" i="2"/>
  <c r="N398" i="2"/>
  <c r="M398" i="2"/>
  <c r="K398" i="2"/>
  <c r="G398" i="2"/>
  <c r="H398" i="2"/>
  <c r="Q401" i="2"/>
  <c r="M401" i="2"/>
  <c r="O401" i="2"/>
  <c r="R401" i="2"/>
  <c r="H401" i="2"/>
  <c r="N401" i="2"/>
  <c r="L401" i="2"/>
  <c r="I401" i="2"/>
  <c r="K401" i="2"/>
  <c r="G401" i="2"/>
  <c r="J401" i="2"/>
  <c r="P401" i="2"/>
  <c r="R402" i="2"/>
  <c r="H402" i="2"/>
  <c r="M402" i="2"/>
  <c r="G402" i="2"/>
  <c r="N402" i="2"/>
  <c r="Q402" i="2"/>
  <c r="J402" i="2"/>
  <c r="P402" i="2"/>
  <c r="O402" i="2"/>
  <c r="L402" i="2"/>
  <c r="K402" i="2"/>
  <c r="I402" i="2"/>
  <c r="R471" i="2"/>
  <c r="J471" i="2"/>
  <c r="O471" i="2"/>
  <c r="H471" i="2"/>
  <c r="I471" i="2"/>
  <c r="Q471" i="2"/>
  <c r="G471" i="2"/>
  <c r="P471" i="2"/>
  <c r="N471" i="2"/>
  <c r="K471" i="2"/>
  <c r="M471" i="2"/>
  <c r="L471" i="2"/>
  <c r="D470" i="2"/>
  <c r="D482" i="2"/>
  <c r="D468" i="2"/>
  <c r="D463" i="2"/>
  <c r="D462" i="2"/>
  <c r="D464" i="2"/>
  <c r="D466" i="2"/>
  <c r="D465" i="2"/>
  <c r="D461" i="2"/>
  <c r="D467" i="2"/>
  <c r="D469" i="2"/>
  <c r="F416" i="2"/>
  <c r="A417" i="2"/>
  <c r="A418" i="2" s="1"/>
  <c r="A419" i="2" s="1"/>
  <c r="A420" i="2" s="1"/>
  <c r="A421" i="2" s="1"/>
  <c r="A422" i="2" s="1"/>
  <c r="A423" i="2" s="1"/>
  <c r="A424" i="2" s="1"/>
  <c r="A425" i="2" s="1"/>
  <c r="A426" i="2" s="1"/>
  <c r="A427" i="2" s="1"/>
  <c r="C410" i="2"/>
  <c r="C411" i="2"/>
  <c r="C409" i="2"/>
  <c r="C406" i="2"/>
  <c r="C408" i="2"/>
  <c r="C407" i="2"/>
  <c r="C414" i="2"/>
  <c r="C413" i="2"/>
  <c r="C412" i="2"/>
  <c r="AJ117" i="2" l="1"/>
  <c r="AJ115" i="2"/>
  <c r="B250" i="1"/>
  <c r="H411" i="2"/>
  <c r="K411" i="2"/>
  <c r="Q411" i="2"/>
  <c r="P411" i="2"/>
  <c r="O411" i="2"/>
  <c r="N411" i="2"/>
  <c r="R411" i="2"/>
  <c r="L411" i="2"/>
  <c r="I411" i="2"/>
  <c r="J411" i="2"/>
  <c r="G411" i="2"/>
  <c r="M411" i="2"/>
  <c r="L410" i="2"/>
  <c r="K410" i="2"/>
  <c r="R410" i="2"/>
  <c r="H410" i="2"/>
  <c r="Q410" i="2"/>
  <c r="G410" i="2"/>
  <c r="P410" i="2"/>
  <c r="O410" i="2"/>
  <c r="N410" i="2"/>
  <c r="J410" i="2"/>
  <c r="M410" i="2"/>
  <c r="I410" i="2"/>
  <c r="K406" i="2"/>
  <c r="H406" i="2"/>
  <c r="P406" i="2"/>
  <c r="M406" i="2"/>
  <c r="G406" i="2"/>
  <c r="N406" i="2"/>
  <c r="J406" i="2"/>
  <c r="I406" i="2"/>
  <c r="R406" i="2"/>
  <c r="L406" i="2"/>
  <c r="Q406" i="2"/>
  <c r="O406" i="2"/>
  <c r="N470" i="2"/>
  <c r="I470" i="2"/>
  <c r="M470" i="2"/>
  <c r="H470" i="2"/>
  <c r="G470" i="2"/>
  <c r="K470" i="2"/>
  <c r="J470" i="2"/>
  <c r="O470" i="2"/>
  <c r="L470" i="2"/>
  <c r="R470" i="2"/>
  <c r="Q470" i="2"/>
  <c r="P470" i="2"/>
  <c r="Q409" i="2"/>
  <c r="J409" i="2"/>
  <c r="I409" i="2"/>
  <c r="H409" i="2"/>
  <c r="L409" i="2"/>
  <c r="O409" i="2"/>
  <c r="R409" i="2"/>
  <c r="N409" i="2"/>
  <c r="M409" i="2"/>
  <c r="P409" i="2"/>
  <c r="K409" i="2"/>
  <c r="G409" i="2"/>
  <c r="P413" i="2"/>
  <c r="L413" i="2"/>
  <c r="J413" i="2"/>
  <c r="I413" i="2"/>
  <c r="K413" i="2"/>
  <c r="Q413" i="2"/>
  <c r="M413" i="2"/>
  <c r="H413" i="2"/>
  <c r="N413" i="2"/>
  <c r="G413" i="2"/>
  <c r="R413" i="2"/>
  <c r="O413" i="2"/>
  <c r="L412" i="2"/>
  <c r="G412" i="2"/>
  <c r="R412" i="2"/>
  <c r="I412" i="2"/>
  <c r="H412" i="2"/>
  <c r="N412" i="2"/>
  <c r="M412" i="2"/>
  <c r="K412" i="2"/>
  <c r="J412" i="2"/>
  <c r="Q412" i="2"/>
  <c r="P412" i="2"/>
  <c r="O412" i="2"/>
  <c r="O414" i="2"/>
  <c r="N414" i="2"/>
  <c r="I414" i="2"/>
  <c r="R414" i="2"/>
  <c r="Q414" i="2"/>
  <c r="L414" i="2"/>
  <c r="K414" i="2"/>
  <c r="J414" i="2"/>
  <c r="P414" i="2"/>
  <c r="M414" i="2"/>
  <c r="H414" i="2"/>
  <c r="G414" i="2"/>
  <c r="H407" i="2"/>
  <c r="G407" i="2"/>
  <c r="I407" i="2"/>
  <c r="P407" i="2"/>
  <c r="O407" i="2"/>
  <c r="K407" i="2"/>
  <c r="J407" i="2"/>
  <c r="R407" i="2"/>
  <c r="N407" i="2"/>
  <c r="L407" i="2"/>
  <c r="Q407" i="2"/>
  <c r="M407" i="2"/>
  <c r="O408" i="2"/>
  <c r="G408" i="2"/>
  <c r="P408" i="2"/>
  <c r="N408" i="2"/>
  <c r="J408" i="2"/>
  <c r="L408" i="2"/>
  <c r="R408" i="2"/>
  <c r="M408" i="2"/>
  <c r="H408" i="2"/>
  <c r="K408" i="2"/>
  <c r="Q408" i="2"/>
  <c r="I408" i="2"/>
  <c r="N482" i="2"/>
  <c r="K482" i="2"/>
  <c r="P482" i="2"/>
  <c r="H482" i="2"/>
  <c r="G482" i="2"/>
  <c r="M482" i="2"/>
  <c r="I482" i="2"/>
  <c r="R482" i="2"/>
  <c r="Q482" i="2"/>
  <c r="O482" i="2"/>
  <c r="L482" i="2"/>
  <c r="J482" i="2"/>
  <c r="D493" i="2"/>
  <c r="D481" i="2"/>
  <c r="D474" i="2"/>
  <c r="D475" i="2"/>
  <c r="D477" i="2"/>
  <c r="D478" i="2"/>
  <c r="D476" i="2"/>
  <c r="D479" i="2"/>
  <c r="D480" i="2"/>
  <c r="D472" i="2"/>
  <c r="D473" i="2"/>
  <c r="F427" i="2"/>
  <c r="A428" i="2"/>
  <c r="A429" i="2" s="1"/>
  <c r="A430" i="2" s="1"/>
  <c r="A431" i="2" s="1"/>
  <c r="A432" i="2" s="1"/>
  <c r="A433" i="2" s="1"/>
  <c r="A434" i="2" s="1"/>
  <c r="A435" i="2" s="1"/>
  <c r="A436" i="2" s="1"/>
  <c r="A437" i="2" s="1"/>
  <c r="A438" i="2" s="1"/>
  <c r="C419" i="2"/>
  <c r="C417" i="2"/>
  <c r="C425" i="2"/>
  <c r="C424" i="2"/>
  <c r="C423" i="2"/>
  <c r="C418" i="2"/>
  <c r="C422" i="2"/>
  <c r="C421" i="2"/>
  <c r="C420" i="2"/>
  <c r="A249" i="1"/>
  <c r="F467" i="2"/>
  <c r="F465" i="2"/>
  <c r="F469" i="2"/>
  <c r="F473" i="2"/>
  <c r="F458" i="2"/>
  <c r="F472" i="2"/>
  <c r="F451" i="2"/>
  <c r="F478" i="2"/>
  <c r="A251" i="1"/>
  <c r="F464" i="2"/>
  <c r="F455" i="2"/>
  <c r="F454" i="2"/>
  <c r="F453" i="2"/>
  <c r="F466" i="2"/>
  <c r="F476" i="2"/>
  <c r="F477" i="2"/>
  <c r="F450" i="2"/>
  <c r="F474" i="2"/>
  <c r="F475" i="2"/>
  <c r="F463" i="2"/>
  <c r="F452" i="2"/>
  <c r="F480" i="2"/>
  <c r="F457" i="2"/>
  <c r="F462" i="2"/>
  <c r="F461" i="2"/>
  <c r="F468" i="2"/>
  <c r="F456" i="2"/>
  <c r="F479" i="2"/>
  <c r="A250" i="1"/>
  <c r="E180" i="143" l="1"/>
  <c r="E179" i="143"/>
  <c r="E184" i="143"/>
  <c r="E181" i="143"/>
  <c r="E183" i="143"/>
  <c r="E178" i="143"/>
  <c r="E185" i="143"/>
  <c r="E182" i="143"/>
  <c r="E186" i="143"/>
  <c r="AJ112" i="2"/>
  <c r="AJ114" i="2"/>
  <c r="B251" i="1"/>
  <c r="I425" i="2"/>
  <c r="H425" i="2"/>
  <c r="P425" i="2"/>
  <c r="G425" i="2"/>
  <c r="K425" i="2"/>
  <c r="J425" i="2"/>
  <c r="M425" i="2"/>
  <c r="L425" i="2"/>
  <c r="N425" i="2"/>
  <c r="O425" i="2"/>
  <c r="Q425" i="2"/>
  <c r="R425" i="2"/>
  <c r="H419" i="2"/>
  <c r="Q419" i="2"/>
  <c r="N419" i="2"/>
  <c r="P419" i="2"/>
  <c r="K419" i="2"/>
  <c r="G419" i="2"/>
  <c r="O419" i="2"/>
  <c r="R419" i="2"/>
  <c r="L419" i="2"/>
  <c r="M419" i="2"/>
  <c r="J419" i="2"/>
  <c r="I419" i="2"/>
  <c r="P417" i="2"/>
  <c r="M417" i="2"/>
  <c r="L417" i="2"/>
  <c r="I417" i="2"/>
  <c r="K417" i="2"/>
  <c r="O417" i="2"/>
  <c r="N417" i="2"/>
  <c r="H417" i="2"/>
  <c r="G417" i="2"/>
  <c r="J417" i="2"/>
  <c r="R417" i="2"/>
  <c r="Q417" i="2"/>
  <c r="G420" i="2"/>
  <c r="R420" i="2"/>
  <c r="Q420" i="2"/>
  <c r="P420" i="2"/>
  <c r="H420" i="2"/>
  <c r="L420" i="2"/>
  <c r="K420" i="2"/>
  <c r="J420" i="2"/>
  <c r="N420" i="2"/>
  <c r="O420" i="2"/>
  <c r="M420" i="2"/>
  <c r="I420" i="2"/>
  <c r="K421" i="2"/>
  <c r="H421" i="2"/>
  <c r="I421" i="2"/>
  <c r="R421" i="2"/>
  <c r="G421" i="2"/>
  <c r="N421" i="2"/>
  <c r="M421" i="2"/>
  <c r="J421" i="2"/>
  <c r="L421" i="2"/>
  <c r="P421" i="2"/>
  <c r="Q421" i="2"/>
  <c r="O421" i="2"/>
  <c r="G422" i="2"/>
  <c r="N422" i="2"/>
  <c r="K422" i="2"/>
  <c r="I422" i="2"/>
  <c r="R422" i="2"/>
  <c r="Q422" i="2"/>
  <c r="O422" i="2"/>
  <c r="P422" i="2"/>
  <c r="H422" i="2"/>
  <c r="M422" i="2"/>
  <c r="J422" i="2"/>
  <c r="L422" i="2"/>
  <c r="R418" i="2"/>
  <c r="I418" i="2"/>
  <c r="Q418" i="2"/>
  <c r="J418" i="2"/>
  <c r="N418" i="2"/>
  <c r="L418" i="2"/>
  <c r="O418" i="2"/>
  <c r="P418" i="2"/>
  <c r="M418" i="2"/>
  <c r="K418" i="2"/>
  <c r="H418" i="2"/>
  <c r="G418" i="2"/>
  <c r="Q423" i="2"/>
  <c r="O423" i="2"/>
  <c r="I423" i="2"/>
  <c r="L423" i="2"/>
  <c r="N423" i="2"/>
  <c r="K423" i="2"/>
  <c r="J423" i="2"/>
  <c r="H423" i="2"/>
  <c r="G423" i="2"/>
  <c r="M423" i="2"/>
  <c r="R423" i="2"/>
  <c r="P423" i="2"/>
  <c r="J481" i="2"/>
  <c r="R481" i="2"/>
  <c r="P481" i="2"/>
  <c r="N481" i="2"/>
  <c r="G481" i="2"/>
  <c r="M481" i="2"/>
  <c r="L481" i="2"/>
  <c r="K481" i="2"/>
  <c r="I481" i="2"/>
  <c r="H481" i="2"/>
  <c r="Q481" i="2"/>
  <c r="O481" i="2"/>
  <c r="I424" i="2"/>
  <c r="P424" i="2"/>
  <c r="Q424" i="2"/>
  <c r="H424" i="2"/>
  <c r="O424" i="2"/>
  <c r="M424" i="2"/>
  <c r="K424" i="2"/>
  <c r="G424" i="2"/>
  <c r="J424" i="2"/>
  <c r="N424" i="2"/>
  <c r="R424" i="2"/>
  <c r="L424" i="2"/>
  <c r="J493" i="2"/>
  <c r="R493" i="2"/>
  <c r="G493" i="2"/>
  <c r="P493" i="2"/>
  <c r="I493" i="2"/>
  <c r="Q493" i="2"/>
  <c r="O493" i="2"/>
  <c r="L493" i="2"/>
  <c r="K493" i="2"/>
  <c r="H493" i="2"/>
  <c r="N493" i="2"/>
  <c r="M493" i="2"/>
  <c r="D504" i="2"/>
  <c r="D492" i="2"/>
  <c r="D486" i="2"/>
  <c r="D483" i="2"/>
  <c r="D487" i="2"/>
  <c r="D488" i="2"/>
  <c r="D490" i="2"/>
  <c r="D489" i="2"/>
  <c r="D491" i="2"/>
  <c r="D484" i="2"/>
  <c r="D485" i="2"/>
  <c r="F438" i="2"/>
  <c r="A439" i="2"/>
  <c r="A440" i="2" s="1"/>
  <c r="A441" i="2" s="1"/>
  <c r="A442" i="2" s="1"/>
  <c r="A443" i="2" s="1"/>
  <c r="A444" i="2" s="1"/>
  <c r="A445" i="2" s="1"/>
  <c r="A446" i="2" s="1"/>
  <c r="A447" i="2" s="1"/>
  <c r="A448" i="2" s="1"/>
  <c r="A449" i="2" s="1"/>
  <c r="C430" i="2"/>
  <c r="C429" i="2"/>
  <c r="C428" i="2"/>
  <c r="C435" i="2"/>
  <c r="C431" i="2"/>
  <c r="C436" i="2"/>
  <c r="C434" i="2"/>
  <c r="C433" i="2"/>
  <c r="C432" i="2"/>
  <c r="F484" i="2"/>
  <c r="A252" i="1"/>
  <c r="F490" i="2"/>
  <c r="F489" i="2"/>
  <c r="F485" i="2"/>
  <c r="F491" i="2"/>
  <c r="F486" i="2"/>
  <c r="F488" i="2"/>
  <c r="F483" i="2"/>
  <c r="F487" i="2"/>
  <c r="E188" i="143" l="1"/>
  <c r="E191" i="143" s="1"/>
  <c r="AJ116" i="2"/>
  <c r="B252" i="1"/>
  <c r="N430" i="2"/>
  <c r="G430" i="2"/>
  <c r="L430" i="2"/>
  <c r="K430" i="2"/>
  <c r="I430" i="2"/>
  <c r="M430" i="2"/>
  <c r="Q430" i="2"/>
  <c r="J430" i="2"/>
  <c r="P430" i="2"/>
  <c r="O430" i="2"/>
  <c r="R430" i="2"/>
  <c r="H430" i="2"/>
  <c r="H435" i="2"/>
  <c r="G435" i="2"/>
  <c r="K435" i="2"/>
  <c r="P435" i="2"/>
  <c r="O435" i="2"/>
  <c r="N435" i="2"/>
  <c r="L435" i="2"/>
  <c r="I435" i="2"/>
  <c r="Q435" i="2"/>
  <c r="J435" i="2"/>
  <c r="M435" i="2"/>
  <c r="R435" i="2"/>
  <c r="N504" i="2"/>
  <c r="O504" i="2"/>
  <c r="J504" i="2"/>
  <c r="G504" i="2"/>
  <c r="L504" i="2"/>
  <c r="K504" i="2"/>
  <c r="R504" i="2"/>
  <c r="P504" i="2"/>
  <c r="M504" i="2"/>
  <c r="Q504" i="2"/>
  <c r="I504" i="2"/>
  <c r="H504" i="2"/>
  <c r="R428" i="2"/>
  <c r="I428" i="2"/>
  <c r="J428" i="2"/>
  <c r="P428" i="2"/>
  <c r="L428" i="2"/>
  <c r="O428" i="2"/>
  <c r="H428" i="2"/>
  <c r="N428" i="2"/>
  <c r="M428" i="2"/>
  <c r="G428" i="2"/>
  <c r="Q428" i="2"/>
  <c r="K428" i="2"/>
  <c r="P433" i="2"/>
  <c r="R433" i="2"/>
  <c r="G433" i="2"/>
  <c r="N433" i="2"/>
  <c r="O433" i="2"/>
  <c r="I433" i="2"/>
  <c r="Q433" i="2"/>
  <c r="K433" i="2"/>
  <c r="J433" i="2"/>
  <c r="L433" i="2"/>
  <c r="H433" i="2"/>
  <c r="M433" i="2"/>
  <c r="I429" i="2"/>
  <c r="L429" i="2"/>
  <c r="R429" i="2"/>
  <c r="Q429" i="2"/>
  <c r="K429" i="2"/>
  <c r="N429" i="2"/>
  <c r="J429" i="2"/>
  <c r="H429" i="2"/>
  <c r="O429" i="2"/>
  <c r="P429" i="2"/>
  <c r="G429" i="2"/>
  <c r="M429" i="2"/>
  <c r="O432" i="2"/>
  <c r="K432" i="2"/>
  <c r="P432" i="2"/>
  <c r="N432" i="2"/>
  <c r="M432" i="2"/>
  <c r="J432" i="2"/>
  <c r="I432" i="2"/>
  <c r="H432" i="2"/>
  <c r="G432" i="2"/>
  <c r="R432" i="2"/>
  <c r="Q432" i="2"/>
  <c r="L432" i="2"/>
  <c r="N434" i="2"/>
  <c r="P434" i="2"/>
  <c r="H434" i="2"/>
  <c r="J434" i="2"/>
  <c r="I434" i="2"/>
  <c r="L434" i="2"/>
  <c r="Q434" i="2"/>
  <c r="K434" i="2"/>
  <c r="R434" i="2"/>
  <c r="O434" i="2"/>
  <c r="M434" i="2"/>
  <c r="G434" i="2"/>
  <c r="N436" i="2"/>
  <c r="Q436" i="2"/>
  <c r="L436" i="2"/>
  <c r="O436" i="2"/>
  <c r="R436" i="2"/>
  <c r="P436" i="2"/>
  <c r="M436" i="2"/>
  <c r="J436" i="2"/>
  <c r="K436" i="2"/>
  <c r="I436" i="2"/>
  <c r="H436" i="2"/>
  <c r="G436" i="2"/>
  <c r="Q431" i="2"/>
  <c r="K431" i="2"/>
  <c r="P431" i="2"/>
  <c r="N431" i="2"/>
  <c r="R431" i="2"/>
  <c r="I431" i="2"/>
  <c r="H431" i="2"/>
  <c r="M431" i="2"/>
  <c r="G431" i="2"/>
  <c r="L431" i="2"/>
  <c r="O431" i="2"/>
  <c r="J431" i="2"/>
  <c r="N492" i="2"/>
  <c r="L492" i="2"/>
  <c r="H492" i="2"/>
  <c r="G492" i="2"/>
  <c r="R492" i="2"/>
  <c r="Q492" i="2"/>
  <c r="P492" i="2"/>
  <c r="O492" i="2"/>
  <c r="M492" i="2"/>
  <c r="J492" i="2"/>
  <c r="I492" i="2"/>
  <c r="K492" i="2"/>
  <c r="D515" i="2"/>
  <c r="D503" i="2"/>
  <c r="D494" i="2"/>
  <c r="D502" i="2"/>
  <c r="D501" i="2"/>
  <c r="D498" i="2"/>
  <c r="D497" i="2"/>
  <c r="D500" i="2"/>
  <c r="D495" i="2"/>
  <c r="D499" i="2"/>
  <c r="D496" i="2"/>
  <c r="F449" i="2"/>
  <c r="A450" i="2"/>
  <c r="A451" i="2" s="1"/>
  <c r="A452" i="2" s="1"/>
  <c r="A453" i="2" s="1"/>
  <c r="A454" i="2" s="1"/>
  <c r="A455" i="2" s="1"/>
  <c r="A456" i="2" s="1"/>
  <c r="A457" i="2" s="1"/>
  <c r="A458" i="2" s="1"/>
  <c r="A459" i="2" s="1"/>
  <c r="A460" i="2" s="1"/>
  <c r="C442" i="2"/>
  <c r="C439" i="2"/>
  <c r="C447" i="2"/>
  <c r="C444" i="2"/>
  <c r="C446" i="2"/>
  <c r="C445" i="2"/>
  <c r="C443" i="2"/>
  <c r="C441" i="2"/>
  <c r="C440" i="2"/>
  <c r="B253" i="1" l="1"/>
  <c r="J439" i="2"/>
  <c r="O439" i="2"/>
  <c r="P439" i="2"/>
  <c r="M439" i="2"/>
  <c r="H439" i="2"/>
  <c r="K439" i="2"/>
  <c r="G439" i="2"/>
  <c r="Q439" i="2"/>
  <c r="N439" i="2"/>
  <c r="R439" i="2"/>
  <c r="I439" i="2"/>
  <c r="L439" i="2"/>
  <c r="M442" i="2"/>
  <c r="N442" i="2"/>
  <c r="L442" i="2"/>
  <c r="G442" i="2"/>
  <c r="R442" i="2"/>
  <c r="P442" i="2"/>
  <c r="K442" i="2"/>
  <c r="J442" i="2"/>
  <c r="I442" i="2"/>
  <c r="H442" i="2"/>
  <c r="Q442" i="2"/>
  <c r="O442" i="2"/>
  <c r="R447" i="2"/>
  <c r="J447" i="2"/>
  <c r="L447" i="2"/>
  <c r="K447" i="2"/>
  <c r="M447" i="2"/>
  <c r="Q447" i="2"/>
  <c r="O447" i="2"/>
  <c r="N447" i="2"/>
  <c r="H447" i="2"/>
  <c r="P447" i="2"/>
  <c r="G447" i="2"/>
  <c r="I447" i="2"/>
  <c r="N440" i="2"/>
  <c r="I440" i="2"/>
  <c r="K440" i="2"/>
  <c r="J440" i="2"/>
  <c r="L440" i="2"/>
  <c r="P440" i="2"/>
  <c r="O440" i="2"/>
  <c r="R440" i="2"/>
  <c r="Q440" i="2"/>
  <c r="G440" i="2"/>
  <c r="H440" i="2"/>
  <c r="M440" i="2"/>
  <c r="M441" i="2"/>
  <c r="P441" i="2"/>
  <c r="J441" i="2"/>
  <c r="Q441" i="2"/>
  <c r="L441" i="2"/>
  <c r="R441" i="2"/>
  <c r="I441" i="2"/>
  <c r="O441" i="2"/>
  <c r="N441" i="2"/>
  <c r="H441" i="2"/>
  <c r="K441" i="2"/>
  <c r="G441" i="2"/>
  <c r="L445" i="2"/>
  <c r="G445" i="2"/>
  <c r="J445" i="2"/>
  <c r="H445" i="2"/>
  <c r="M445" i="2"/>
  <c r="P445" i="2"/>
  <c r="O445" i="2"/>
  <c r="N445" i="2"/>
  <c r="I445" i="2"/>
  <c r="R445" i="2"/>
  <c r="K445" i="2"/>
  <c r="Q445" i="2"/>
  <c r="K443" i="2"/>
  <c r="O443" i="2"/>
  <c r="I443" i="2"/>
  <c r="M443" i="2"/>
  <c r="P443" i="2"/>
  <c r="Q443" i="2"/>
  <c r="L443" i="2"/>
  <c r="H443" i="2"/>
  <c r="R443" i="2"/>
  <c r="N443" i="2"/>
  <c r="J443" i="2"/>
  <c r="G443" i="2"/>
  <c r="I446" i="2"/>
  <c r="R446" i="2"/>
  <c r="H446" i="2"/>
  <c r="O446" i="2"/>
  <c r="M446" i="2"/>
  <c r="N446" i="2"/>
  <c r="L446" i="2"/>
  <c r="J446" i="2"/>
  <c r="K446" i="2"/>
  <c r="G446" i="2"/>
  <c r="P446" i="2"/>
  <c r="Q446" i="2"/>
  <c r="R503" i="2"/>
  <c r="J503" i="2"/>
  <c r="O503" i="2"/>
  <c r="H503" i="2"/>
  <c r="N503" i="2"/>
  <c r="Q503" i="2"/>
  <c r="I503" i="2"/>
  <c r="K503" i="2"/>
  <c r="G503" i="2"/>
  <c r="M503" i="2"/>
  <c r="L503" i="2"/>
  <c r="P503" i="2"/>
  <c r="J444" i="2"/>
  <c r="M444" i="2"/>
  <c r="I444" i="2"/>
  <c r="Q444" i="2"/>
  <c r="P444" i="2"/>
  <c r="H444" i="2"/>
  <c r="O444" i="2"/>
  <c r="G444" i="2"/>
  <c r="N444" i="2"/>
  <c r="R444" i="2"/>
  <c r="K444" i="2"/>
  <c r="L444" i="2"/>
  <c r="R515" i="2"/>
  <c r="J515" i="2"/>
  <c r="Q515" i="2"/>
  <c r="K515" i="2"/>
  <c r="P515" i="2"/>
  <c r="O515" i="2"/>
  <c r="N515" i="2"/>
  <c r="M515" i="2"/>
  <c r="H515" i="2"/>
  <c r="L515" i="2"/>
  <c r="I515" i="2"/>
  <c r="G515" i="2"/>
  <c r="D514" i="2"/>
  <c r="D526" i="2"/>
  <c r="D505" i="2"/>
  <c r="D506" i="2"/>
  <c r="D507" i="2"/>
  <c r="D512" i="2"/>
  <c r="D513" i="2"/>
  <c r="D511" i="2"/>
  <c r="D510" i="2"/>
  <c r="D508" i="2"/>
  <c r="D509" i="2"/>
  <c r="F460" i="2"/>
  <c r="A461" i="2"/>
  <c r="A462" i="2" s="1"/>
  <c r="A463" i="2" s="1"/>
  <c r="A464" i="2" s="1"/>
  <c r="A465" i="2" s="1"/>
  <c r="A466" i="2" s="1"/>
  <c r="A467" i="2" s="1"/>
  <c r="A468" i="2" s="1"/>
  <c r="A469" i="2" s="1"/>
  <c r="A470" i="2" s="1"/>
  <c r="A471" i="2" s="1"/>
  <c r="C450" i="2"/>
  <c r="C457" i="2"/>
  <c r="C456" i="2"/>
  <c r="C451" i="2"/>
  <c r="C458" i="2"/>
  <c r="C455" i="2"/>
  <c r="C454" i="2"/>
  <c r="C453" i="2"/>
  <c r="C452" i="2"/>
  <c r="F502" i="2"/>
  <c r="F498" i="2"/>
  <c r="F511" i="2"/>
  <c r="F505" i="2"/>
  <c r="F512" i="2"/>
  <c r="F506" i="2"/>
  <c r="F507" i="2"/>
  <c r="F499" i="2"/>
  <c r="F501" i="2"/>
  <c r="F494" i="2"/>
  <c r="F510" i="2"/>
  <c r="F497" i="2"/>
  <c r="F500" i="2"/>
  <c r="F508" i="2"/>
  <c r="A254" i="1"/>
  <c r="F509" i="2"/>
  <c r="A253" i="1"/>
  <c r="F496" i="2"/>
  <c r="F495" i="2"/>
  <c r="F513" i="2"/>
  <c r="B254" i="1" l="1"/>
  <c r="H450" i="2"/>
  <c r="M450" i="2"/>
  <c r="O450" i="2"/>
  <c r="R450" i="2"/>
  <c r="P450" i="2"/>
  <c r="L450" i="2"/>
  <c r="J450" i="2"/>
  <c r="I450" i="2"/>
  <c r="Q450" i="2"/>
  <c r="G450" i="2"/>
  <c r="N450" i="2"/>
  <c r="K450" i="2"/>
  <c r="N456" i="2"/>
  <c r="L456" i="2"/>
  <c r="O456" i="2"/>
  <c r="I456" i="2"/>
  <c r="P456" i="2"/>
  <c r="M456" i="2"/>
  <c r="H456" i="2"/>
  <c r="K456" i="2"/>
  <c r="R456" i="2"/>
  <c r="Q456" i="2"/>
  <c r="J456" i="2"/>
  <c r="G456" i="2"/>
  <c r="H453" i="2"/>
  <c r="O453" i="2"/>
  <c r="Q453" i="2"/>
  <c r="N453" i="2"/>
  <c r="K453" i="2"/>
  <c r="J453" i="2"/>
  <c r="I453" i="2"/>
  <c r="G453" i="2"/>
  <c r="L453" i="2"/>
  <c r="P453" i="2"/>
  <c r="R453" i="2"/>
  <c r="M453" i="2"/>
  <c r="P457" i="2"/>
  <c r="N457" i="2"/>
  <c r="K457" i="2"/>
  <c r="M457" i="2"/>
  <c r="O457" i="2"/>
  <c r="J457" i="2"/>
  <c r="Q457" i="2"/>
  <c r="R457" i="2"/>
  <c r="L457" i="2"/>
  <c r="I457" i="2"/>
  <c r="G457" i="2"/>
  <c r="H457" i="2"/>
  <c r="I452" i="2"/>
  <c r="G452" i="2"/>
  <c r="R452" i="2"/>
  <c r="L452" i="2"/>
  <c r="P452" i="2"/>
  <c r="O452" i="2"/>
  <c r="H452" i="2"/>
  <c r="K452" i="2"/>
  <c r="M452" i="2"/>
  <c r="N452" i="2"/>
  <c r="J452" i="2"/>
  <c r="Q452" i="2"/>
  <c r="R455" i="2"/>
  <c r="J455" i="2"/>
  <c r="Q455" i="2"/>
  <c r="P455" i="2"/>
  <c r="M455" i="2"/>
  <c r="G455" i="2"/>
  <c r="L455" i="2"/>
  <c r="K455" i="2"/>
  <c r="I455" i="2"/>
  <c r="O455" i="2"/>
  <c r="N455" i="2"/>
  <c r="H455" i="2"/>
  <c r="N454" i="2"/>
  <c r="R454" i="2"/>
  <c r="Q454" i="2"/>
  <c r="K454" i="2"/>
  <c r="H454" i="2"/>
  <c r="P454" i="2"/>
  <c r="L454" i="2"/>
  <c r="J454" i="2"/>
  <c r="G454" i="2"/>
  <c r="M454" i="2"/>
  <c r="O454" i="2"/>
  <c r="I454" i="2"/>
  <c r="G458" i="2"/>
  <c r="R458" i="2"/>
  <c r="K458" i="2"/>
  <c r="J458" i="2"/>
  <c r="L458" i="2"/>
  <c r="I458" i="2"/>
  <c r="H458" i="2"/>
  <c r="M458" i="2"/>
  <c r="Q458" i="2"/>
  <c r="P458" i="2"/>
  <c r="O458" i="2"/>
  <c r="N458" i="2"/>
  <c r="N526" i="2"/>
  <c r="M526" i="2"/>
  <c r="G526" i="2"/>
  <c r="R526" i="2"/>
  <c r="J526" i="2"/>
  <c r="O526" i="2"/>
  <c r="L526" i="2"/>
  <c r="Q526" i="2"/>
  <c r="P526" i="2"/>
  <c r="K526" i="2"/>
  <c r="I526" i="2"/>
  <c r="H526" i="2"/>
  <c r="J451" i="2"/>
  <c r="O451" i="2"/>
  <c r="Q451" i="2"/>
  <c r="R451" i="2"/>
  <c r="K451" i="2"/>
  <c r="P451" i="2"/>
  <c r="L451" i="2"/>
  <c r="H451" i="2"/>
  <c r="G451" i="2"/>
  <c r="I451" i="2"/>
  <c r="N451" i="2"/>
  <c r="M451" i="2"/>
  <c r="N514" i="2"/>
  <c r="K514" i="2"/>
  <c r="P514" i="2"/>
  <c r="H514" i="2"/>
  <c r="O514" i="2"/>
  <c r="L514" i="2"/>
  <c r="J514" i="2"/>
  <c r="I514" i="2"/>
  <c r="G514" i="2"/>
  <c r="Q514" i="2"/>
  <c r="M514" i="2"/>
  <c r="R514" i="2"/>
  <c r="D537" i="2"/>
  <c r="D525" i="2"/>
  <c r="D524" i="2"/>
  <c r="D522" i="2"/>
  <c r="D523" i="2"/>
  <c r="D518" i="2"/>
  <c r="D519" i="2"/>
  <c r="D520" i="2"/>
  <c r="D517" i="2"/>
  <c r="D516" i="2"/>
  <c r="D521" i="2"/>
  <c r="F471" i="2"/>
  <c r="A472" i="2"/>
  <c r="A473" i="2" s="1"/>
  <c r="A474" i="2" s="1"/>
  <c r="A475" i="2" s="1"/>
  <c r="A476" i="2" s="1"/>
  <c r="A477" i="2" s="1"/>
  <c r="A478" i="2" s="1"/>
  <c r="A479" i="2" s="1"/>
  <c r="A480" i="2" s="1"/>
  <c r="A481" i="2" s="1"/>
  <c r="A482" i="2" s="1"/>
  <c r="C468" i="2"/>
  <c r="C467" i="2"/>
  <c r="C466" i="2"/>
  <c r="C469" i="2"/>
  <c r="C465" i="2"/>
  <c r="C464" i="2"/>
  <c r="C462" i="2"/>
  <c r="C463" i="2"/>
  <c r="C461" i="2"/>
  <c r="B255" i="1" l="1"/>
  <c r="I468" i="2"/>
  <c r="R468" i="2"/>
  <c r="Q468" i="2"/>
  <c r="G468" i="2"/>
  <c r="M468" i="2"/>
  <c r="P468" i="2"/>
  <c r="L468" i="2"/>
  <c r="K468" i="2"/>
  <c r="O468" i="2"/>
  <c r="J468" i="2"/>
  <c r="H468" i="2"/>
  <c r="N468" i="2"/>
  <c r="O466" i="2"/>
  <c r="K466" i="2"/>
  <c r="L466" i="2"/>
  <c r="R466" i="2"/>
  <c r="H466" i="2"/>
  <c r="Q466" i="2"/>
  <c r="N466" i="2"/>
  <c r="J466" i="2"/>
  <c r="M466" i="2"/>
  <c r="G466" i="2"/>
  <c r="I466" i="2"/>
  <c r="P466" i="2"/>
  <c r="L463" i="2"/>
  <c r="R463" i="2"/>
  <c r="J463" i="2"/>
  <c r="M463" i="2"/>
  <c r="N463" i="2"/>
  <c r="K463" i="2"/>
  <c r="I463" i="2"/>
  <c r="Q463" i="2"/>
  <c r="H463" i="2"/>
  <c r="O463" i="2"/>
  <c r="G463" i="2"/>
  <c r="P463" i="2"/>
  <c r="R467" i="2"/>
  <c r="O467" i="2"/>
  <c r="J467" i="2"/>
  <c r="H467" i="2"/>
  <c r="G467" i="2"/>
  <c r="Q467" i="2"/>
  <c r="P467" i="2"/>
  <c r="I467" i="2"/>
  <c r="N467" i="2"/>
  <c r="M467" i="2"/>
  <c r="L467" i="2"/>
  <c r="K467" i="2"/>
  <c r="I461" i="2"/>
  <c r="K461" i="2"/>
  <c r="G461" i="2"/>
  <c r="H461" i="2"/>
  <c r="R461" i="2"/>
  <c r="N461" i="2"/>
  <c r="P461" i="2"/>
  <c r="M461" i="2"/>
  <c r="L461" i="2"/>
  <c r="Q461" i="2"/>
  <c r="J461" i="2"/>
  <c r="O461" i="2"/>
  <c r="G464" i="2"/>
  <c r="L464" i="2"/>
  <c r="R464" i="2"/>
  <c r="H464" i="2"/>
  <c r="K464" i="2"/>
  <c r="O464" i="2"/>
  <c r="Q464" i="2"/>
  <c r="P464" i="2"/>
  <c r="M464" i="2"/>
  <c r="I464" i="2"/>
  <c r="J464" i="2"/>
  <c r="N464" i="2"/>
  <c r="P465" i="2"/>
  <c r="H465" i="2"/>
  <c r="M465" i="2"/>
  <c r="L465" i="2"/>
  <c r="I465" i="2"/>
  <c r="Q465" i="2"/>
  <c r="J465" i="2"/>
  <c r="R465" i="2"/>
  <c r="N465" i="2"/>
  <c r="G465" i="2"/>
  <c r="K465" i="2"/>
  <c r="O465" i="2"/>
  <c r="J525" i="2"/>
  <c r="R525" i="2"/>
  <c r="G525" i="2"/>
  <c r="I525" i="2"/>
  <c r="P525" i="2"/>
  <c r="O525" i="2"/>
  <c r="N525" i="2"/>
  <c r="L525" i="2"/>
  <c r="K525" i="2"/>
  <c r="H525" i="2"/>
  <c r="Q525" i="2"/>
  <c r="M525" i="2"/>
  <c r="N462" i="2"/>
  <c r="M462" i="2"/>
  <c r="G462" i="2"/>
  <c r="L462" i="2"/>
  <c r="I462" i="2"/>
  <c r="H462" i="2"/>
  <c r="R462" i="2"/>
  <c r="Q462" i="2"/>
  <c r="P462" i="2"/>
  <c r="O462" i="2"/>
  <c r="J462" i="2"/>
  <c r="K462" i="2"/>
  <c r="I469" i="2"/>
  <c r="J469" i="2"/>
  <c r="O469" i="2"/>
  <c r="M469" i="2"/>
  <c r="R469" i="2"/>
  <c r="N469" i="2"/>
  <c r="H469" i="2"/>
  <c r="L469" i="2"/>
  <c r="K469" i="2"/>
  <c r="Q469" i="2"/>
  <c r="G469" i="2"/>
  <c r="P469" i="2"/>
  <c r="J537" i="2"/>
  <c r="R537" i="2"/>
  <c r="I537" i="2"/>
  <c r="L537" i="2"/>
  <c r="P537" i="2"/>
  <c r="O537" i="2"/>
  <c r="G537" i="2"/>
  <c r="K537" i="2"/>
  <c r="H537" i="2"/>
  <c r="Q537" i="2"/>
  <c r="N537" i="2"/>
  <c r="M537" i="2"/>
  <c r="D536" i="2"/>
  <c r="D530" i="2"/>
  <c r="D527" i="2"/>
  <c r="D535" i="2"/>
  <c r="D531" i="2"/>
  <c r="D533" i="2"/>
  <c r="D534" i="2"/>
  <c r="D528" i="2"/>
  <c r="D529" i="2"/>
  <c r="D532" i="2"/>
  <c r="F482" i="2"/>
  <c r="A483" i="2"/>
  <c r="A484" i="2" s="1"/>
  <c r="A485" i="2" s="1"/>
  <c r="A486" i="2" s="1"/>
  <c r="A487" i="2" s="1"/>
  <c r="A488" i="2" s="1"/>
  <c r="A489" i="2" s="1"/>
  <c r="A490" i="2" s="1"/>
  <c r="A491" i="2" s="1"/>
  <c r="A492" i="2" s="1"/>
  <c r="A493" i="2" s="1"/>
  <c r="C476" i="2"/>
  <c r="C477" i="2"/>
  <c r="C480" i="2"/>
  <c r="C479" i="2"/>
  <c r="C475" i="2"/>
  <c r="C478" i="2"/>
  <c r="C474" i="2"/>
  <c r="C472" i="2"/>
  <c r="C473" i="2"/>
  <c r="B256" i="1" l="1"/>
  <c r="R477" i="2"/>
  <c r="P477" i="2"/>
  <c r="L477" i="2"/>
  <c r="I477" i="2"/>
  <c r="M477" i="2"/>
  <c r="H477" i="2"/>
  <c r="G477" i="2"/>
  <c r="O477" i="2"/>
  <c r="K477" i="2"/>
  <c r="J477" i="2"/>
  <c r="Q477" i="2"/>
  <c r="N477" i="2"/>
  <c r="G480" i="2"/>
  <c r="P480" i="2"/>
  <c r="R480" i="2"/>
  <c r="M480" i="2"/>
  <c r="O480" i="2"/>
  <c r="L480" i="2"/>
  <c r="K480" i="2"/>
  <c r="I480" i="2"/>
  <c r="N480" i="2"/>
  <c r="H480" i="2"/>
  <c r="Q480" i="2"/>
  <c r="J480" i="2"/>
  <c r="J476" i="2"/>
  <c r="L476" i="2"/>
  <c r="H476" i="2"/>
  <c r="Q476" i="2"/>
  <c r="G476" i="2"/>
  <c r="M476" i="2"/>
  <c r="R476" i="2"/>
  <c r="K476" i="2"/>
  <c r="N476" i="2"/>
  <c r="I476" i="2"/>
  <c r="P476" i="2"/>
  <c r="O476" i="2"/>
  <c r="J473" i="2"/>
  <c r="R473" i="2"/>
  <c r="I473" i="2"/>
  <c r="Q473" i="2"/>
  <c r="N473" i="2"/>
  <c r="H473" i="2"/>
  <c r="P473" i="2"/>
  <c r="O473" i="2"/>
  <c r="M473" i="2"/>
  <c r="L473" i="2"/>
  <c r="K473" i="2"/>
  <c r="G473" i="2"/>
  <c r="G478" i="2"/>
  <c r="Q478" i="2"/>
  <c r="M478" i="2"/>
  <c r="L478" i="2"/>
  <c r="R478" i="2"/>
  <c r="K478" i="2"/>
  <c r="J478" i="2"/>
  <c r="O478" i="2"/>
  <c r="H478" i="2"/>
  <c r="N478" i="2"/>
  <c r="P478" i="2"/>
  <c r="I478" i="2"/>
  <c r="O479" i="2"/>
  <c r="N479" i="2"/>
  <c r="M479" i="2"/>
  <c r="G479" i="2"/>
  <c r="I479" i="2"/>
  <c r="R479" i="2"/>
  <c r="J479" i="2"/>
  <c r="K479" i="2"/>
  <c r="Q479" i="2"/>
  <c r="L479" i="2"/>
  <c r="H479" i="2"/>
  <c r="P479" i="2"/>
  <c r="G474" i="2"/>
  <c r="H474" i="2"/>
  <c r="R474" i="2"/>
  <c r="Q474" i="2"/>
  <c r="L474" i="2"/>
  <c r="K474" i="2"/>
  <c r="I474" i="2"/>
  <c r="J474" i="2"/>
  <c r="N474" i="2"/>
  <c r="O474" i="2"/>
  <c r="P474" i="2"/>
  <c r="M474" i="2"/>
  <c r="H472" i="2"/>
  <c r="G472" i="2"/>
  <c r="P472" i="2"/>
  <c r="M472" i="2"/>
  <c r="L472" i="2"/>
  <c r="Q472" i="2"/>
  <c r="K472" i="2"/>
  <c r="I472" i="2"/>
  <c r="J472" i="2"/>
  <c r="N472" i="2"/>
  <c r="O472" i="2"/>
  <c r="R472" i="2"/>
  <c r="Q475" i="2"/>
  <c r="H475" i="2"/>
  <c r="I475" i="2"/>
  <c r="L475" i="2"/>
  <c r="G475" i="2"/>
  <c r="N475" i="2"/>
  <c r="M475" i="2"/>
  <c r="K475" i="2"/>
  <c r="P475" i="2"/>
  <c r="R475" i="2"/>
  <c r="O475" i="2"/>
  <c r="J475" i="2"/>
  <c r="N536" i="2"/>
  <c r="O536" i="2"/>
  <c r="P536" i="2"/>
  <c r="J536" i="2"/>
  <c r="I536" i="2"/>
  <c r="H536" i="2"/>
  <c r="K536" i="2"/>
  <c r="G536" i="2"/>
  <c r="R536" i="2"/>
  <c r="Q536" i="2"/>
  <c r="M536" i="2"/>
  <c r="L536" i="2"/>
  <c r="D547" i="2"/>
  <c r="D541" i="2"/>
  <c r="D540" i="2"/>
  <c r="D544" i="2"/>
  <c r="D539" i="2"/>
  <c r="D545" i="2"/>
  <c r="D542" i="2"/>
  <c r="D538" i="2"/>
  <c r="D543" i="2"/>
  <c r="D546" i="2"/>
  <c r="F493" i="2"/>
  <c r="A494" i="2"/>
  <c r="A495" i="2" s="1"/>
  <c r="A496" i="2" s="1"/>
  <c r="A497" i="2" s="1"/>
  <c r="A498" i="2" s="1"/>
  <c r="A499" i="2" s="1"/>
  <c r="A500" i="2" s="1"/>
  <c r="A501" i="2" s="1"/>
  <c r="A502" i="2" s="1"/>
  <c r="A503" i="2" s="1"/>
  <c r="A504" i="2" s="1"/>
  <c r="C488" i="2"/>
  <c r="C487" i="2"/>
  <c r="C484" i="2"/>
  <c r="C486" i="2"/>
  <c r="C485" i="2"/>
  <c r="C489" i="2"/>
  <c r="C483" i="2"/>
  <c r="C491" i="2"/>
  <c r="C490" i="2"/>
  <c r="F532" i="2"/>
  <c r="F543" i="2"/>
  <c r="F530" i="2"/>
  <c r="A255" i="1"/>
  <c r="F546" i="2"/>
  <c r="F540" i="2"/>
  <c r="A256" i="1"/>
  <c r="F544" i="2"/>
  <c r="F527" i="2"/>
  <c r="F523" i="2"/>
  <c r="F528" i="2"/>
  <c r="F538" i="2"/>
  <c r="F524" i="2"/>
  <c r="F534" i="2"/>
  <c r="F521" i="2"/>
  <c r="F520" i="2"/>
  <c r="F542" i="2"/>
  <c r="A257" i="1"/>
  <c r="F516" i="2"/>
  <c r="F519" i="2"/>
  <c r="F535" i="2"/>
  <c r="F539" i="2"/>
  <c r="F533" i="2"/>
  <c r="F522" i="2"/>
  <c r="F545" i="2"/>
  <c r="F529" i="2"/>
  <c r="F517" i="2"/>
  <c r="F541" i="2"/>
  <c r="F531" i="2"/>
  <c r="F518" i="2"/>
  <c r="B257" i="1" l="1"/>
  <c r="Q485" i="2"/>
  <c r="G485" i="2"/>
  <c r="I485" i="2"/>
  <c r="H485" i="2"/>
  <c r="P485" i="2"/>
  <c r="O485" i="2"/>
  <c r="N485" i="2"/>
  <c r="K485" i="2"/>
  <c r="M485" i="2"/>
  <c r="R485" i="2"/>
  <c r="L485" i="2"/>
  <c r="J485" i="2"/>
  <c r="N491" i="2"/>
  <c r="K491" i="2"/>
  <c r="I491" i="2"/>
  <c r="H491" i="2"/>
  <c r="J491" i="2"/>
  <c r="O491" i="2"/>
  <c r="R491" i="2"/>
  <c r="M491" i="2"/>
  <c r="P491" i="2"/>
  <c r="L491" i="2"/>
  <c r="G491" i="2"/>
  <c r="Q491" i="2"/>
  <c r="L490" i="2"/>
  <c r="N490" i="2"/>
  <c r="G490" i="2"/>
  <c r="K490" i="2"/>
  <c r="P490" i="2"/>
  <c r="R490" i="2"/>
  <c r="H490" i="2"/>
  <c r="O490" i="2"/>
  <c r="I490" i="2"/>
  <c r="M490" i="2"/>
  <c r="J490" i="2"/>
  <c r="Q490" i="2"/>
  <c r="R483" i="2"/>
  <c r="J483" i="2"/>
  <c r="K483" i="2"/>
  <c r="I483" i="2"/>
  <c r="P483" i="2"/>
  <c r="Q483" i="2"/>
  <c r="L483" i="2"/>
  <c r="O483" i="2"/>
  <c r="G483" i="2"/>
  <c r="N483" i="2"/>
  <c r="H483" i="2"/>
  <c r="M483" i="2"/>
  <c r="J489" i="2"/>
  <c r="R489" i="2"/>
  <c r="L489" i="2"/>
  <c r="O489" i="2"/>
  <c r="K489" i="2"/>
  <c r="Q489" i="2"/>
  <c r="M489" i="2"/>
  <c r="I489" i="2"/>
  <c r="N489" i="2"/>
  <c r="P489" i="2"/>
  <c r="G489" i="2"/>
  <c r="H489" i="2"/>
  <c r="I486" i="2"/>
  <c r="H486" i="2"/>
  <c r="G486" i="2"/>
  <c r="J486" i="2"/>
  <c r="P486" i="2"/>
  <c r="O486" i="2"/>
  <c r="M486" i="2"/>
  <c r="L486" i="2"/>
  <c r="Q486" i="2"/>
  <c r="K486" i="2"/>
  <c r="N486" i="2"/>
  <c r="R486" i="2"/>
  <c r="R487" i="2"/>
  <c r="J487" i="2"/>
  <c r="Q487" i="2"/>
  <c r="P487" i="2"/>
  <c r="M487" i="2"/>
  <c r="O487" i="2"/>
  <c r="G487" i="2"/>
  <c r="L487" i="2"/>
  <c r="I487" i="2"/>
  <c r="N487" i="2"/>
  <c r="K487" i="2"/>
  <c r="H487" i="2"/>
  <c r="R547" i="2"/>
  <c r="J547" i="2"/>
  <c r="Q547" i="2"/>
  <c r="K547" i="2"/>
  <c r="P547" i="2"/>
  <c r="H547" i="2"/>
  <c r="O547" i="2"/>
  <c r="N547" i="2"/>
  <c r="M547" i="2"/>
  <c r="L547" i="2"/>
  <c r="I547" i="2"/>
  <c r="G547" i="2"/>
  <c r="G484" i="2"/>
  <c r="H484" i="2"/>
  <c r="J484" i="2"/>
  <c r="R484" i="2"/>
  <c r="P484" i="2"/>
  <c r="O484" i="2"/>
  <c r="M484" i="2"/>
  <c r="K484" i="2"/>
  <c r="I484" i="2"/>
  <c r="L484" i="2"/>
  <c r="N484" i="2"/>
  <c r="Q484" i="2"/>
  <c r="H488" i="2"/>
  <c r="M488" i="2"/>
  <c r="K488" i="2"/>
  <c r="Q488" i="2"/>
  <c r="P488" i="2"/>
  <c r="J488" i="2"/>
  <c r="R488" i="2"/>
  <c r="G488" i="2"/>
  <c r="I488" i="2"/>
  <c r="L488" i="2"/>
  <c r="O488" i="2"/>
  <c r="N488" i="2"/>
  <c r="D559" i="2"/>
  <c r="D553" i="2"/>
  <c r="D556" i="2"/>
  <c r="D551" i="2"/>
  <c r="D555" i="2"/>
  <c r="D552" i="2"/>
  <c r="D550" i="2"/>
  <c r="D558" i="2"/>
  <c r="D557" i="2"/>
  <c r="D554" i="2"/>
  <c r="F504" i="2"/>
  <c r="A505" i="2"/>
  <c r="A506" i="2" s="1"/>
  <c r="A507" i="2" s="1"/>
  <c r="A508" i="2" s="1"/>
  <c r="A509" i="2" s="1"/>
  <c r="A510" i="2" s="1"/>
  <c r="A511" i="2" s="1"/>
  <c r="A512" i="2" s="1"/>
  <c r="A513" i="2" s="1"/>
  <c r="A514" i="2" s="1"/>
  <c r="A515" i="2" s="1"/>
  <c r="C495" i="2"/>
  <c r="C497" i="2"/>
  <c r="C496" i="2"/>
  <c r="C502" i="2"/>
  <c r="C501" i="2"/>
  <c r="C500" i="2"/>
  <c r="C499" i="2"/>
  <c r="C498" i="2"/>
  <c r="C494" i="2"/>
  <c r="F557" i="2"/>
  <c r="A258" i="1"/>
  <c r="F558" i="2"/>
  <c r="F551" i="2"/>
  <c r="F552" i="2"/>
  <c r="F550" i="2"/>
  <c r="F555" i="2"/>
  <c r="F553" i="2"/>
  <c r="F556" i="2"/>
  <c r="F554" i="2"/>
  <c r="B258" i="1" l="1"/>
  <c r="I494" i="2"/>
  <c r="O494" i="2"/>
  <c r="Q494" i="2"/>
  <c r="P494" i="2"/>
  <c r="H494" i="2"/>
  <c r="K494" i="2"/>
  <c r="M494" i="2"/>
  <c r="N494" i="2"/>
  <c r="J494" i="2"/>
  <c r="G494" i="2"/>
  <c r="R494" i="2"/>
  <c r="L494" i="2"/>
  <c r="J501" i="2"/>
  <c r="R501" i="2"/>
  <c r="N501" i="2"/>
  <c r="L501" i="2"/>
  <c r="I501" i="2"/>
  <c r="Q501" i="2"/>
  <c r="P501" i="2"/>
  <c r="O501" i="2"/>
  <c r="H501" i="2"/>
  <c r="K501" i="2"/>
  <c r="M501" i="2"/>
  <c r="G501" i="2"/>
  <c r="N498" i="2"/>
  <c r="M498" i="2"/>
  <c r="G498" i="2"/>
  <c r="I498" i="2"/>
  <c r="K498" i="2"/>
  <c r="P498" i="2"/>
  <c r="O498" i="2"/>
  <c r="H498" i="2"/>
  <c r="R498" i="2"/>
  <c r="Q498" i="2"/>
  <c r="L498" i="2"/>
  <c r="J498" i="2"/>
  <c r="J499" i="2"/>
  <c r="H499" i="2"/>
  <c r="G499" i="2"/>
  <c r="Q499" i="2"/>
  <c r="P499" i="2"/>
  <c r="M499" i="2"/>
  <c r="R499" i="2"/>
  <c r="O499" i="2"/>
  <c r="N499" i="2"/>
  <c r="I499" i="2"/>
  <c r="L499" i="2"/>
  <c r="K499" i="2"/>
  <c r="L500" i="2"/>
  <c r="K500" i="2"/>
  <c r="R500" i="2"/>
  <c r="J500" i="2"/>
  <c r="N500" i="2"/>
  <c r="O500" i="2"/>
  <c r="H500" i="2"/>
  <c r="Q500" i="2"/>
  <c r="I500" i="2"/>
  <c r="M500" i="2"/>
  <c r="P500" i="2"/>
  <c r="G500" i="2"/>
  <c r="R496" i="2"/>
  <c r="P496" i="2"/>
  <c r="Q496" i="2"/>
  <c r="J496" i="2"/>
  <c r="I496" i="2"/>
  <c r="M496" i="2"/>
  <c r="L496" i="2"/>
  <c r="K496" i="2"/>
  <c r="G496" i="2"/>
  <c r="N496" i="2"/>
  <c r="H496" i="2"/>
  <c r="O496" i="2"/>
  <c r="N502" i="2"/>
  <c r="I502" i="2"/>
  <c r="G502" i="2"/>
  <c r="M502" i="2"/>
  <c r="H502" i="2"/>
  <c r="L502" i="2"/>
  <c r="Q502" i="2"/>
  <c r="P502" i="2"/>
  <c r="R502" i="2"/>
  <c r="O502" i="2"/>
  <c r="K502" i="2"/>
  <c r="J502" i="2"/>
  <c r="R497" i="2"/>
  <c r="N497" i="2"/>
  <c r="G497" i="2"/>
  <c r="K497" i="2"/>
  <c r="Q497" i="2"/>
  <c r="P497" i="2"/>
  <c r="J497" i="2"/>
  <c r="M497" i="2"/>
  <c r="L497" i="2"/>
  <c r="H497" i="2"/>
  <c r="O497" i="2"/>
  <c r="I497" i="2"/>
  <c r="Q495" i="2"/>
  <c r="I495" i="2"/>
  <c r="L495" i="2"/>
  <c r="H495" i="2"/>
  <c r="O495" i="2"/>
  <c r="K495" i="2"/>
  <c r="G495" i="2"/>
  <c r="N495" i="2"/>
  <c r="R495" i="2"/>
  <c r="P495" i="2"/>
  <c r="J495" i="2"/>
  <c r="M495" i="2"/>
  <c r="F515" i="2"/>
  <c r="A516" i="2"/>
  <c r="A517" i="2" s="1"/>
  <c r="A518" i="2" s="1"/>
  <c r="A519" i="2" s="1"/>
  <c r="A520" i="2" s="1"/>
  <c r="A521" i="2" s="1"/>
  <c r="A522" i="2" s="1"/>
  <c r="A523" i="2" s="1"/>
  <c r="A524" i="2" s="1"/>
  <c r="A525" i="2" s="1"/>
  <c r="A526" i="2" s="1"/>
  <c r="C508" i="2"/>
  <c r="C507" i="2"/>
  <c r="C506" i="2"/>
  <c r="C505" i="2"/>
  <c r="C513" i="2"/>
  <c r="C509" i="2"/>
  <c r="C512" i="2"/>
  <c r="C511" i="2"/>
  <c r="C510" i="2"/>
  <c r="B259" i="1" l="1"/>
  <c r="N508" i="2"/>
  <c r="J508" i="2"/>
  <c r="P508" i="2"/>
  <c r="Q508" i="2"/>
  <c r="G508" i="2"/>
  <c r="R508" i="2"/>
  <c r="L508" i="2"/>
  <c r="O508" i="2"/>
  <c r="H508" i="2"/>
  <c r="I508" i="2"/>
  <c r="M508" i="2"/>
  <c r="K508" i="2"/>
  <c r="O511" i="2"/>
  <c r="N511" i="2"/>
  <c r="L511" i="2"/>
  <c r="M511" i="2"/>
  <c r="J511" i="2"/>
  <c r="R511" i="2"/>
  <c r="K511" i="2"/>
  <c r="I511" i="2"/>
  <c r="Q511" i="2"/>
  <c r="G511" i="2"/>
  <c r="P511" i="2"/>
  <c r="H511" i="2"/>
  <c r="Q512" i="2"/>
  <c r="P512" i="2"/>
  <c r="N512" i="2"/>
  <c r="J512" i="2"/>
  <c r="K512" i="2"/>
  <c r="O512" i="2"/>
  <c r="M512" i="2"/>
  <c r="L512" i="2"/>
  <c r="R512" i="2"/>
  <c r="I512" i="2"/>
  <c r="H512" i="2"/>
  <c r="G512" i="2"/>
  <c r="R510" i="2"/>
  <c r="I510" i="2"/>
  <c r="K510" i="2"/>
  <c r="L510" i="2"/>
  <c r="J510" i="2"/>
  <c r="H510" i="2"/>
  <c r="Q510" i="2"/>
  <c r="G510" i="2"/>
  <c r="N510" i="2"/>
  <c r="O510" i="2"/>
  <c r="P510" i="2"/>
  <c r="M510" i="2"/>
  <c r="R513" i="2"/>
  <c r="P513" i="2"/>
  <c r="G513" i="2"/>
  <c r="Q513" i="2"/>
  <c r="O513" i="2"/>
  <c r="H513" i="2"/>
  <c r="L513" i="2"/>
  <c r="K513" i="2"/>
  <c r="N513" i="2"/>
  <c r="J513" i="2"/>
  <c r="M513" i="2"/>
  <c r="I513" i="2"/>
  <c r="N509" i="2"/>
  <c r="L509" i="2"/>
  <c r="K509" i="2"/>
  <c r="G509" i="2"/>
  <c r="J509" i="2"/>
  <c r="R509" i="2"/>
  <c r="O509" i="2"/>
  <c r="P509" i="2"/>
  <c r="I509" i="2"/>
  <c r="M509" i="2"/>
  <c r="Q509" i="2"/>
  <c r="H509" i="2"/>
  <c r="K505" i="2"/>
  <c r="M505" i="2"/>
  <c r="G505" i="2"/>
  <c r="H505" i="2"/>
  <c r="J505" i="2"/>
  <c r="R505" i="2"/>
  <c r="I505" i="2"/>
  <c r="Q505" i="2"/>
  <c r="O505" i="2"/>
  <c r="N505" i="2"/>
  <c r="L505" i="2"/>
  <c r="P505" i="2"/>
  <c r="N506" i="2"/>
  <c r="P506" i="2"/>
  <c r="I506" i="2"/>
  <c r="G506" i="2"/>
  <c r="M506" i="2"/>
  <c r="O506" i="2"/>
  <c r="R506" i="2"/>
  <c r="Q506" i="2"/>
  <c r="L506" i="2"/>
  <c r="K506" i="2"/>
  <c r="J506" i="2"/>
  <c r="H506" i="2"/>
  <c r="R507" i="2"/>
  <c r="J507" i="2"/>
  <c r="P507" i="2"/>
  <c r="O507" i="2"/>
  <c r="Q507" i="2"/>
  <c r="N507" i="2"/>
  <c r="H507" i="2"/>
  <c r="L507" i="2"/>
  <c r="M507" i="2"/>
  <c r="K507" i="2"/>
  <c r="I507" i="2"/>
  <c r="G507" i="2"/>
  <c r="F526" i="2"/>
  <c r="A527" i="2"/>
  <c r="A528" i="2" s="1"/>
  <c r="A529" i="2" s="1"/>
  <c r="A530" i="2" s="1"/>
  <c r="A531" i="2" s="1"/>
  <c r="A532" i="2" s="1"/>
  <c r="A533" i="2" s="1"/>
  <c r="A534" i="2" s="1"/>
  <c r="A535" i="2" s="1"/>
  <c r="A536" i="2" s="1"/>
  <c r="A537" i="2" s="1"/>
  <c r="C517" i="2"/>
  <c r="C524" i="2"/>
  <c r="C516" i="2"/>
  <c r="C523" i="2"/>
  <c r="C522" i="2"/>
  <c r="C521" i="2"/>
  <c r="C520" i="2"/>
  <c r="C519" i="2"/>
  <c r="C518" i="2"/>
  <c r="A259" i="1"/>
  <c r="A260" i="1"/>
  <c r="B260" i="1" l="1"/>
  <c r="M517" i="2"/>
  <c r="I517" i="2"/>
  <c r="H517" i="2"/>
  <c r="G517" i="2"/>
  <c r="K517" i="2"/>
  <c r="J517" i="2"/>
  <c r="Q517" i="2"/>
  <c r="R517" i="2"/>
  <c r="L517" i="2"/>
  <c r="N517" i="2"/>
  <c r="O517" i="2"/>
  <c r="P517" i="2"/>
  <c r="L520" i="2"/>
  <c r="G520" i="2"/>
  <c r="N520" i="2"/>
  <c r="K520" i="2"/>
  <c r="I520" i="2"/>
  <c r="J520" i="2"/>
  <c r="O520" i="2"/>
  <c r="P520" i="2"/>
  <c r="H520" i="2"/>
  <c r="R520" i="2"/>
  <c r="M520" i="2"/>
  <c r="Q520" i="2"/>
  <c r="N524" i="2"/>
  <c r="L524" i="2"/>
  <c r="M524" i="2"/>
  <c r="Q524" i="2"/>
  <c r="H524" i="2"/>
  <c r="R524" i="2"/>
  <c r="O524" i="2"/>
  <c r="K524" i="2"/>
  <c r="J524" i="2"/>
  <c r="I524" i="2"/>
  <c r="G524" i="2"/>
  <c r="P524" i="2"/>
  <c r="P518" i="2"/>
  <c r="O518" i="2"/>
  <c r="M518" i="2"/>
  <c r="L518" i="2"/>
  <c r="Q518" i="2"/>
  <c r="N518" i="2"/>
  <c r="R518" i="2"/>
  <c r="K518" i="2"/>
  <c r="I518" i="2"/>
  <c r="H518" i="2"/>
  <c r="G518" i="2"/>
  <c r="J518" i="2"/>
  <c r="R519" i="2"/>
  <c r="J519" i="2"/>
  <c r="Q519" i="2"/>
  <c r="K519" i="2"/>
  <c r="O519" i="2"/>
  <c r="L519" i="2"/>
  <c r="P519" i="2"/>
  <c r="I519" i="2"/>
  <c r="N519" i="2"/>
  <c r="M519" i="2"/>
  <c r="H519" i="2"/>
  <c r="G519" i="2"/>
  <c r="M521" i="2"/>
  <c r="I521" i="2"/>
  <c r="H521" i="2"/>
  <c r="N521" i="2"/>
  <c r="J521" i="2"/>
  <c r="R521" i="2"/>
  <c r="L521" i="2"/>
  <c r="K521" i="2"/>
  <c r="O521" i="2"/>
  <c r="G521" i="2"/>
  <c r="Q521" i="2"/>
  <c r="P521" i="2"/>
  <c r="M522" i="2"/>
  <c r="L522" i="2"/>
  <c r="K522" i="2"/>
  <c r="I522" i="2"/>
  <c r="H522" i="2"/>
  <c r="J522" i="2"/>
  <c r="Q522" i="2"/>
  <c r="N522" i="2"/>
  <c r="P522" i="2"/>
  <c r="O522" i="2"/>
  <c r="G522" i="2"/>
  <c r="R522" i="2"/>
  <c r="J523" i="2"/>
  <c r="M523" i="2"/>
  <c r="L523" i="2"/>
  <c r="Q523" i="2"/>
  <c r="P523" i="2"/>
  <c r="O523" i="2"/>
  <c r="I523" i="2"/>
  <c r="G523" i="2"/>
  <c r="R523" i="2"/>
  <c r="H523" i="2"/>
  <c r="N523" i="2"/>
  <c r="K523" i="2"/>
  <c r="K516" i="2"/>
  <c r="O516" i="2"/>
  <c r="M516" i="2"/>
  <c r="J516" i="2"/>
  <c r="P516" i="2"/>
  <c r="I516" i="2"/>
  <c r="R516" i="2"/>
  <c r="H516" i="2"/>
  <c r="N516" i="2"/>
  <c r="G516" i="2"/>
  <c r="L516" i="2"/>
  <c r="Q516" i="2"/>
  <c r="F537" i="2"/>
  <c r="A538" i="2"/>
  <c r="A539" i="2" s="1"/>
  <c r="A540" i="2" s="1"/>
  <c r="A541" i="2" s="1"/>
  <c r="A542" i="2" s="1"/>
  <c r="A543" i="2" s="1"/>
  <c r="A544" i="2" s="1"/>
  <c r="A545" i="2" s="1"/>
  <c r="A546" i="2" s="1"/>
  <c r="A547" i="2" s="1"/>
  <c r="C528" i="2"/>
  <c r="C535" i="2"/>
  <c r="C534" i="2"/>
  <c r="C527" i="2"/>
  <c r="C533" i="2"/>
  <c r="C529" i="2"/>
  <c r="C532" i="2"/>
  <c r="C531" i="2"/>
  <c r="C530" i="2"/>
  <c r="B261" i="1" l="1"/>
  <c r="K528" i="2"/>
  <c r="Q528" i="2"/>
  <c r="P528" i="2"/>
  <c r="L528" i="2"/>
  <c r="J528" i="2"/>
  <c r="M528" i="2"/>
  <c r="R528" i="2"/>
  <c r="N528" i="2"/>
  <c r="O528" i="2"/>
  <c r="I528" i="2"/>
  <c r="G528" i="2"/>
  <c r="H528" i="2"/>
  <c r="P531" i="2"/>
  <c r="I531" i="2"/>
  <c r="O531" i="2"/>
  <c r="L531" i="2"/>
  <c r="N531" i="2"/>
  <c r="G531" i="2"/>
  <c r="Q531" i="2"/>
  <c r="R531" i="2"/>
  <c r="H531" i="2"/>
  <c r="K531" i="2"/>
  <c r="M531" i="2"/>
  <c r="J531" i="2"/>
  <c r="J530" i="2"/>
  <c r="H530" i="2"/>
  <c r="I530" i="2"/>
  <c r="G530" i="2"/>
  <c r="P530" i="2"/>
  <c r="O530" i="2"/>
  <c r="L530" i="2"/>
  <c r="N530" i="2"/>
  <c r="M530" i="2"/>
  <c r="K530" i="2"/>
  <c r="Q530" i="2"/>
  <c r="R530" i="2"/>
  <c r="N532" i="2"/>
  <c r="O532" i="2"/>
  <c r="H532" i="2"/>
  <c r="K532" i="2"/>
  <c r="I532" i="2"/>
  <c r="G532" i="2"/>
  <c r="M532" i="2"/>
  <c r="P532" i="2"/>
  <c r="L532" i="2"/>
  <c r="Q532" i="2"/>
  <c r="J532" i="2"/>
  <c r="R532" i="2"/>
  <c r="I533" i="2"/>
  <c r="K533" i="2"/>
  <c r="P533" i="2"/>
  <c r="O533" i="2"/>
  <c r="H533" i="2"/>
  <c r="G533" i="2"/>
  <c r="M533" i="2"/>
  <c r="N533" i="2"/>
  <c r="L533" i="2"/>
  <c r="J533" i="2"/>
  <c r="R533" i="2"/>
  <c r="Q533" i="2"/>
  <c r="J529" i="2"/>
  <c r="G529" i="2"/>
  <c r="P529" i="2"/>
  <c r="R529" i="2"/>
  <c r="N529" i="2"/>
  <c r="Q529" i="2"/>
  <c r="O529" i="2"/>
  <c r="K529" i="2"/>
  <c r="I529" i="2"/>
  <c r="H529" i="2"/>
  <c r="M529" i="2"/>
  <c r="L529" i="2"/>
  <c r="R527" i="2"/>
  <c r="J527" i="2"/>
  <c r="L527" i="2"/>
  <c r="Q527" i="2"/>
  <c r="M527" i="2"/>
  <c r="P527" i="2"/>
  <c r="O527" i="2"/>
  <c r="H527" i="2"/>
  <c r="I527" i="2"/>
  <c r="G527" i="2"/>
  <c r="K527" i="2"/>
  <c r="N527" i="2"/>
  <c r="N534" i="2"/>
  <c r="H534" i="2"/>
  <c r="I534" i="2"/>
  <c r="R534" i="2"/>
  <c r="G534" i="2"/>
  <c r="M534" i="2"/>
  <c r="L534" i="2"/>
  <c r="K534" i="2"/>
  <c r="P534" i="2"/>
  <c r="O534" i="2"/>
  <c r="J534" i="2"/>
  <c r="Q534" i="2"/>
  <c r="R535" i="2"/>
  <c r="J535" i="2"/>
  <c r="O535" i="2"/>
  <c r="H535" i="2"/>
  <c r="N535" i="2"/>
  <c r="Q535" i="2"/>
  <c r="P535" i="2"/>
  <c r="K535" i="2"/>
  <c r="M535" i="2"/>
  <c r="L535" i="2"/>
  <c r="I535" i="2"/>
  <c r="G535" i="2"/>
  <c r="C546" i="2"/>
  <c r="C545" i="2"/>
  <c r="C544" i="2"/>
  <c r="C543" i="2"/>
  <c r="C542" i="2"/>
  <c r="C541" i="2"/>
  <c r="C540" i="2"/>
  <c r="C539" i="2"/>
  <c r="C538" i="2"/>
  <c r="B262" i="1" l="1"/>
  <c r="K542" i="2"/>
  <c r="O542" i="2"/>
  <c r="L542" i="2"/>
  <c r="I542" i="2"/>
  <c r="N542" i="2"/>
  <c r="P542" i="2"/>
  <c r="M542" i="2"/>
  <c r="J542" i="2"/>
  <c r="G542" i="2"/>
  <c r="R542" i="2"/>
  <c r="Q542" i="2"/>
  <c r="H542" i="2"/>
  <c r="R543" i="2"/>
  <c r="J543" i="2"/>
  <c r="K543" i="2"/>
  <c r="O543" i="2"/>
  <c r="P543" i="2"/>
  <c r="N543" i="2"/>
  <c r="G543" i="2"/>
  <c r="I543" i="2"/>
  <c r="H543" i="2"/>
  <c r="M543" i="2"/>
  <c r="L543" i="2"/>
  <c r="Q543" i="2"/>
  <c r="O541" i="2"/>
  <c r="N541" i="2"/>
  <c r="Q541" i="2"/>
  <c r="K541" i="2"/>
  <c r="L541" i="2"/>
  <c r="M541" i="2"/>
  <c r="H541" i="2"/>
  <c r="G541" i="2"/>
  <c r="R541" i="2"/>
  <c r="I541" i="2"/>
  <c r="P541" i="2"/>
  <c r="J541" i="2"/>
  <c r="O544" i="2"/>
  <c r="H544" i="2"/>
  <c r="M544" i="2"/>
  <c r="I544" i="2"/>
  <c r="R544" i="2"/>
  <c r="N544" i="2"/>
  <c r="Q544" i="2"/>
  <c r="J544" i="2"/>
  <c r="G544" i="2"/>
  <c r="K544" i="2"/>
  <c r="P544" i="2"/>
  <c r="L544" i="2"/>
  <c r="J545" i="2"/>
  <c r="R545" i="2"/>
  <c r="P545" i="2"/>
  <c r="L545" i="2"/>
  <c r="O545" i="2"/>
  <c r="Q545" i="2"/>
  <c r="N545" i="2"/>
  <c r="G545" i="2"/>
  <c r="I545" i="2"/>
  <c r="H545" i="2"/>
  <c r="K545" i="2"/>
  <c r="M545" i="2"/>
  <c r="N546" i="2"/>
  <c r="K546" i="2"/>
  <c r="H546" i="2"/>
  <c r="M546" i="2"/>
  <c r="G546" i="2"/>
  <c r="J546" i="2"/>
  <c r="I546" i="2"/>
  <c r="L546" i="2"/>
  <c r="R546" i="2"/>
  <c r="O546" i="2"/>
  <c r="Q546" i="2"/>
  <c r="P546" i="2"/>
  <c r="R540" i="2"/>
  <c r="L540" i="2"/>
  <c r="G540" i="2"/>
  <c r="M540" i="2"/>
  <c r="N540" i="2"/>
  <c r="O540" i="2"/>
  <c r="J540" i="2"/>
  <c r="H540" i="2"/>
  <c r="Q540" i="2"/>
  <c r="I540" i="2"/>
  <c r="K540" i="2"/>
  <c r="P540" i="2"/>
  <c r="M538" i="2"/>
  <c r="K538" i="2"/>
  <c r="Q538" i="2"/>
  <c r="J538" i="2"/>
  <c r="H538" i="2"/>
  <c r="R538" i="2"/>
  <c r="O538" i="2"/>
  <c r="G538" i="2"/>
  <c r="I538" i="2"/>
  <c r="P538" i="2"/>
  <c r="N538" i="2"/>
  <c r="L538" i="2"/>
  <c r="R539" i="2"/>
  <c r="H539" i="2"/>
  <c r="J539" i="2"/>
  <c r="O539" i="2"/>
  <c r="P539" i="2"/>
  <c r="N539" i="2"/>
  <c r="M539" i="2"/>
  <c r="Q539" i="2"/>
  <c r="L539" i="2"/>
  <c r="K539" i="2"/>
  <c r="I539" i="2"/>
  <c r="G539" i="2"/>
  <c r="AT175" i="2" l="1"/>
  <c r="AJ10" i="2"/>
  <c r="AS214" i="2"/>
  <c r="I550" i="2"/>
  <c r="N552" i="2"/>
  <c r="AQ552" i="2" s="1"/>
  <c r="L550" i="2"/>
  <c r="P550" i="2"/>
  <c r="O552" i="2"/>
  <c r="AR552" i="2" s="1"/>
  <c r="K558" i="2"/>
  <c r="B263" i="1"/>
  <c r="N558" i="2"/>
  <c r="J551" i="2"/>
  <c r="R551" i="2"/>
  <c r="R561" i="2" s="1"/>
  <c r="G556" i="2"/>
  <c r="H552" i="2"/>
  <c r="K556" i="2"/>
  <c r="M553" i="2"/>
  <c r="J555" i="2"/>
  <c r="R555" i="2"/>
  <c r="R565" i="2" s="1"/>
  <c r="L553" i="2"/>
  <c r="Q551" i="2"/>
  <c r="N551" i="2"/>
  <c r="I558" i="2"/>
  <c r="K552" i="2"/>
  <c r="AN552" i="2" s="1"/>
  <c r="Q552" i="2"/>
  <c r="AT552" i="2" s="1"/>
  <c r="L556" i="2"/>
  <c r="G553" i="2"/>
  <c r="O555" i="2"/>
  <c r="M558" i="2"/>
  <c r="N550" i="2"/>
  <c r="J552" i="2"/>
  <c r="AM552" i="2" s="1"/>
  <c r="H558" i="2"/>
  <c r="P556" i="2"/>
  <c r="H553" i="2"/>
  <c r="K555" i="2"/>
  <c r="G551" i="2"/>
  <c r="M552" i="2"/>
  <c r="M557" i="2"/>
  <c r="J556" i="2"/>
  <c r="K553" i="2"/>
  <c r="H554" i="2"/>
  <c r="I551" i="2"/>
  <c r="O550" i="2"/>
  <c r="G552" i="2"/>
  <c r="K557" i="2"/>
  <c r="Q556" i="2"/>
  <c r="Q553" i="2"/>
  <c r="Q554" i="2"/>
  <c r="K551" i="2"/>
  <c r="R550" i="2"/>
  <c r="R560" i="2" s="1"/>
  <c r="L552" i="2"/>
  <c r="AO552" i="2" s="1"/>
  <c r="H557" i="2"/>
  <c r="N556" i="2"/>
  <c r="N553" i="2"/>
  <c r="R554" i="2"/>
  <c r="R564" i="2" s="1"/>
  <c r="L551" i="2"/>
  <c r="H550" i="2"/>
  <c r="R552" i="2"/>
  <c r="I557" i="2"/>
  <c r="R556" i="2"/>
  <c r="R566" i="2" s="1"/>
  <c r="O553" i="2"/>
  <c r="G554" i="2"/>
  <c r="J550" i="2"/>
  <c r="P558" i="2"/>
  <c r="G557" i="2"/>
  <c r="I556" i="2"/>
  <c r="Q555" i="2"/>
  <c r="J554" i="2"/>
  <c r="M551" i="2"/>
  <c r="Q550" i="2"/>
  <c r="Q558" i="2"/>
  <c r="N557" i="2"/>
  <c r="M556" i="2"/>
  <c r="L555" i="2"/>
  <c r="M554" i="2"/>
  <c r="K550" i="2"/>
  <c r="O558" i="2"/>
  <c r="Q557" i="2"/>
  <c r="H556" i="2"/>
  <c r="M555" i="2"/>
  <c r="P554" i="2"/>
  <c r="P551" i="2"/>
  <c r="M550" i="2"/>
  <c r="R558" i="2"/>
  <c r="R568" i="2" s="1"/>
  <c r="O557" i="2"/>
  <c r="O556" i="2"/>
  <c r="H555" i="2"/>
  <c r="N554" i="2"/>
  <c r="O551" i="2"/>
  <c r="P552" i="2"/>
  <c r="AS552" i="2" s="1"/>
  <c r="L558" i="2"/>
  <c r="L557" i="2"/>
  <c r="J553" i="2"/>
  <c r="I555" i="2"/>
  <c r="I554" i="2"/>
  <c r="P557" i="2"/>
  <c r="P553" i="2"/>
  <c r="G555" i="2"/>
  <c r="L554" i="2"/>
  <c r="H551" i="2"/>
  <c r="I552" i="2"/>
  <c r="J558" i="2"/>
  <c r="R557" i="2"/>
  <c r="R567" i="2" s="1"/>
  <c r="I553" i="2"/>
  <c r="N555" i="2"/>
  <c r="O554" i="2"/>
  <c r="G558" i="2"/>
  <c r="J557" i="2"/>
  <c r="R553" i="2"/>
  <c r="R563" i="2" s="1"/>
  <c r="P555" i="2"/>
  <c r="K554" i="2"/>
  <c r="G550" i="2"/>
  <c r="Q13" i="143"/>
  <c r="L301" i="143"/>
  <c r="Q108" i="143"/>
  <c r="K47" i="143"/>
  <c r="H319" i="143"/>
  <c r="M318" i="143"/>
  <c r="W126" i="2"/>
  <c r="Q12" i="143"/>
  <c r="T67" i="142"/>
  <c r="L224" i="143"/>
  <c r="O257" i="143"/>
  <c r="M127" i="143"/>
  <c r="M353" i="143"/>
  <c r="F31" i="143"/>
  <c r="J296" i="143"/>
  <c r="M27" i="143"/>
  <c r="P127" i="143"/>
  <c r="S151" i="142"/>
  <c r="O102" i="143"/>
  <c r="AD40" i="2"/>
  <c r="M179" i="142"/>
  <c r="P204" i="143"/>
  <c r="I177" i="142"/>
  <c r="P204" i="142"/>
  <c r="P46" i="143"/>
  <c r="K316" i="143"/>
  <c r="S249" i="142"/>
  <c r="I38" i="142"/>
  <c r="H7" i="143"/>
  <c r="M53" i="143"/>
  <c r="AE49" i="2"/>
  <c r="AA137" i="2"/>
  <c r="M107" i="142"/>
  <c r="Q163" i="142"/>
  <c r="G202" i="143"/>
  <c r="Y109" i="2"/>
  <c r="Q147" i="142"/>
  <c r="M39" i="142"/>
  <c r="K161" i="142"/>
  <c r="J200" i="143"/>
  <c r="O282" i="143"/>
  <c r="AC18" i="2"/>
  <c r="K119" i="142"/>
  <c r="AD49" i="2"/>
  <c r="P47" i="143"/>
  <c r="I299" i="143"/>
  <c r="Q15" i="143"/>
  <c r="R220" i="142"/>
  <c r="F107" i="143"/>
  <c r="Z16" i="2"/>
  <c r="M10" i="143"/>
  <c r="K109" i="143"/>
  <c r="F200" i="143"/>
  <c r="I29" i="143"/>
  <c r="Q87" i="143"/>
  <c r="G161" i="143"/>
  <c r="N125" i="143"/>
  <c r="H148" i="143"/>
  <c r="O128" i="143"/>
  <c r="J356" i="143"/>
  <c r="I357" i="143"/>
  <c r="J300" i="143"/>
  <c r="O8" i="143"/>
  <c r="M88" i="143"/>
  <c r="J66" i="143"/>
  <c r="R205" i="142"/>
  <c r="L334" i="143"/>
  <c r="N219" i="143"/>
  <c r="F25" i="143"/>
  <c r="Q45" i="143"/>
  <c r="J106" i="143"/>
  <c r="I106" i="142"/>
  <c r="F123" i="143"/>
  <c r="M282" i="143"/>
  <c r="J69" i="143"/>
  <c r="S165" i="142"/>
  <c r="P65" i="143"/>
  <c r="W142" i="2"/>
  <c r="J243" i="143"/>
  <c r="P275" i="143"/>
  <c r="K262" i="143"/>
  <c r="X95" i="2"/>
  <c r="H49" i="143"/>
  <c r="Q224" i="143"/>
  <c r="O24" i="142"/>
  <c r="I123" i="143"/>
  <c r="Q145" i="143"/>
  <c r="G31" i="143"/>
  <c r="L159" i="143"/>
  <c r="AG104" i="2"/>
  <c r="K261" i="143"/>
  <c r="I242" i="143"/>
  <c r="P262" i="143"/>
  <c r="T163" i="142"/>
  <c r="Y106" i="2"/>
  <c r="I90" i="143"/>
  <c r="N126" i="143"/>
  <c r="Q106" i="142"/>
  <c r="AE170" i="2"/>
  <c r="P281" i="143"/>
  <c r="Q220" i="143"/>
  <c r="N204" i="142"/>
  <c r="I178" i="142"/>
  <c r="AH161" i="2"/>
  <c r="L8" i="143"/>
  <c r="AE10" i="2"/>
  <c r="I106" i="143"/>
  <c r="L37" i="142"/>
  <c r="F104" i="143"/>
  <c r="R178" i="142"/>
  <c r="N201" i="143"/>
  <c r="P179" i="142"/>
  <c r="K64" i="142"/>
  <c r="P32" i="143"/>
  <c r="R79" i="142"/>
  <c r="W60" i="2"/>
  <c r="I313" i="143"/>
  <c r="S122" i="142"/>
  <c r="AE38" i="2"/>
  <c r="S246" i="142"/>
  <c r="T220" i="142"/>
  <c r="O105" i="142"/>
  <c r="K334" i="143"/>
  <c r="P336" i="143"/>
  <c r="G143" i="143"/>
  <c r="O47" i="143"/>
  <c r="AH159" i="2"/>
  <c r="K256" i="143"/>
  <c r="N148" i="143"/>
  <c r="J28" i="143"/>
  <c r="Q197" i="143"/>
  <c r="F393" i="143"/>
  <c r="L275" i="143"/>
  <c r="N64" i="142"/>
  <c r="I256" i="143"/>
  <c r="AC159" i="2"/>
  <c r="P191" i="142"/>
  <c r="AC60" i="2"/>
  <c r="O89" i="143"/>
  <c r="I332" i="143"/>
  <c r="Y76" i="2"/>
  <c r="H351" i="143"/>
  <c r="AH137" i="2"/>
  <c r="Z214" i="2"/>
  <c r="O165" i="143"/>
  <c r="AE139" i="2"/>
  <c r="M66" i="143"/>
  <c r="G52" i="143"/>
  <c r="O93" i="142"/>
  <c r="AB93" i="2"/>
  <c r="K278" i="143"/>
  <c r="P312" i="143"/>
  <c r="K120" i="142"/>
  <c r="R151" i="142"/>
  <c r="P234" i="142"/>
  <c r="L14" i="143"/>
  <c r="P332" i="143"/>
  <c r="AE21" i="2"/>
  <c r="Q353" i="143"/>
  <c r="S259" i="142"/>
  <c r="T162" i="142"/>
  <c r="L350" i="143"/>
  <c r="AB104" i="2"/>
  <c r="J282" i="143"/>
  <c r="AC131" i="2"/>
  <c r="S175" i="142"/>
  <c r="AA38" i="2"/>
  <c r="L22" i="142"/>
  <c r="H204" i="143"/>
  <c r="S50" i="142"/>
  <c r="R123" i="142"/>
  <c r="J39" i="142"/>
  <c r="W87" i="2"/>
  <c r="G107" i="143"/>
  <c r="O66" i="143"/>
  <c r="L120" i="142"/>
  <c r="G106" i="143"/>
  <c r="H106" i="143"/>
  <c r="K94" i="142"/>
  <c r="M124" i="143"/>
  <c r="J53" i="142"/>
  <c r="H84" i="143"/>
  <c r="W29" i="2"/>
  <c r="N51" i="143"/>
  <c r="K8" i="142"/>
  <c r="I11" i="143"/>
  <c r="I140" i="143"/>
  <c r="N163" i="143"/>
  <c r="M121" i="142"/>
  <c r="Q35" i="142"/>
  <c r="G104" i="143"/>
  <c r="N84" i="143"/>
  <c r="J146" i="143"/>
  <c r="N190" i="142"/>
  <c r="I316" i="143"/>
  <c r="J21" i="142"/>
  <c r="G237" i="143"/>
  <c r="AF208" i="2"/>
  <c r="Q147" i="143"/>
  <c r="M46" i="143"/>
  <c r="J257" i="143"/>
  <c r="M35" i="142"/>
  <c r="F160" i="143"/>
  <c r="G110" i="143"/>
  <c r="AC109" i="2"/>
  <c r="P23" i="142"/>
  <c r="O23" i="142"/>
  <c r="J205" i="143"/>
  <c r="P294" i="143"/>
  <c r="L109" i="143"/>
  <c r="K202" i="143"/>
  <c r="AB109" i="2"/>
  <c r="J218" i="143"/>
  <c r="L223" i="143"/>
  <c r="J64" i="142"/>
  <c r="T66" i="142"/>
  <c r="M274" i="143"/>
  <c r="O77" i="142"/>
  <c r="L8" i="142"/>
  <c r="AE40" i="2"/>
  <c r="H160" i="143"/>
  <c r="X10" i="2"/>
  <c r="N110" i="143"/>
  <c r="L274" i="143"/>
  <c r="H281" i="143"/>
  <c r="T105" i="142"/>
  <c r="Y139" i="2"/>
  <c r="S220" i="142"/>
  <c r="L87" i="143"/>
  <c r="O299" i="143"/>
  <c r="O200" i="143"/>
  <c r="Y203" i="2"/>
  <c r="H243" i="143"/>
  <c r="K93" i="142"/>
  <c r="Q14" i="143"/>
  <c r="R67" i="142"/>
  <c r="M234" i="142"/>
  <c r="I25" i="142"/>
  <c r="R260" i="142"/>
  <c r="L78" i="142"/>
  <c r="I31" i="143"/>
  <c r="K108" i="142"/>
  <c r="L237" i="143"/>
  <c r="AH131" i="2"/>
  <c r="M235" i="142"/>
  <c r="H239" i="143"/>
  <c r="K219" i="143"/>
  <c r="M296" i="143"/>
  <c r="K35" i="142"/>
  <c r="O301" i="143"/>
  <c r="Q206" i="142"/>
  <c r="Z93" i="2"/>
  <c r="G236" i="143"/>
  <c r="K258" i="143"/>
  <c r="K261" i="142"/>
  <c r="H163" i="143"/>
  <c r="AC186" i="2"/>
  <c r="I161" i="143"/>
  <c r="AB38" i="2"/>
  <c r="AH65" i="2"/>
  <c r="O30" i="143"/>
  <c r="I33" i="143"/>
  <c r="AC192" i="2"/>
  <c r="Z43" i="2"/>
  <c r="J9" i="143"/>
  <c r="AD73" i="2"/>
  <c r="Z128" i="2"/>
  <c r="M241" i="143"/>
  <c r="M12" i="143"/>
  <c r="P358" i="143"/>
  <c r="R233" i="142"/>
  <c r="N123" i="143"/>
  <c r="J261" i="143"/>
  <c r="I109" i="142"/>
  <c r="Q84" i="143"/>
  <c r="J107" i="143"/>
  <c r="F11" i="143"/>
  <c r="L298" i="143"/>
  <c r="I280" i="143"/>
  <c r="Q193" i="142"/>
  <c r="N258" i="143"/>
  <c r="S22" i="142"/>
  <c r="Q69" i="143"/>
  <c r="P83" i="143"/>
  <c r="M50" i="142"/>
  <c r="P9" i="142"/>
  <c r="T50" i="142"/>
  <c r="N47" i="143"/>
  <c r="K28" i="143"/>
  <c r="H108" i="143"/>
  <c r="J142" i="143"/>
  <c r="T52" i="142"/>
  <c r="R64" i="142"/>
  <c r="N179" i="142"/>
  <c r="I72" i="143"/>
  <c r="M207" i="142"/>
  <c r="P276" i="143"/>
  <c r="AA84" i="2"/>
  <c r="L147" i="143"/>
  <c r="K274" i="143"/>
  <c r="M51" i="142"/>
  <c r="Q354" i="143"/>
  <c r="H353" i="143"/>
  <c r="AB126" i="2"/>
  <c r="K315" i="143"/>
  <c r="I86" i="143"/>
  <c r="L294" i="143"/>
  <c r="J338" i="143"/>
  <c r="I23" i="142"/>
  <c r="R78" i="142"/>
  <c r="H88" i="143"/>
  <c r="X142" i="2"/>
  <c r="N11" i="142"/>
  <c r="K203" i="143"/>
  <c r="G28" i="143"/>
  <c r="AB137" i="2"/>
  <c r="AF60" i="2"/>
  <c r="AC73" i="2"/>
  <c r="G66" i="143"/>
  <c r="Q51" i="143"/>
  <c r="J14" i="143"/>
  <c r="K353" i="143"/>
  <c r="J77" i="142"/>
  <c r="G53" i="143"/>
  <c r="I108" i="143"/>
  <c r="Q31" i="143"/>
  <c r="M190" i="142"/>
  <c r="T247" i="142"/>
  <c r="Q53" i="142"/>
  <c r="I7" i="143"/>
  <c r="AE104" i="2"/>
  <c r="J51" i="143"/>
  <c r="T193" i="142"/>
  <c r="M83" i="143"/>
  <c r="P39" i="142"/>
  <c r="G224" i="143"/>
  <c r="AF73" i="2"/>
  <c r="S205" i="142"/>
  <c r="R217" i="142"/>
  <c r="K255" i="143"/>
  <c r="AG73" i="2"/>
  <c r="I179" i="142"/>
  <c r="L352" i="143"/>
  <c r="F110" i="143"/>
  <c r="X21" i="2"/>
  <c r="O296" i="143"/>
  <c r="I91" i="143"/>
  <c r="P238" i="143"/>
  <c r="K166" i="143"/>
  <c r="K219" i="142"/>
  <c r="J105" i="143"/>
  <c r="O353" i="143"/>
  <c r="Q110" i="143"/>
  <c r="M203" i="142"/>
  <c r="F15" i="143"/>
  <c r="G29" i="143"/>
  <c r="L124" i="143"/>
  <c r="Q295" i="143"/>
  <c r="K83" i="143"/>
  <c r="Q338" i="143"/>
  <c r="AB161" i="2"/>
  <c r="AB208" i="2"/>
  <c r="J29" i="143"/>
  <c r="AF54" i="2"/>
  <c r="J295" i="143"/>
  <c r="O355" i="143"/>
  <c r="L47" i="143"/>
  <c r="F142" i="143"/>
  <c r="AG150" i="2"/>
  <c r="P335" i="143"/>
  <c r="H141" i="143"/>
  <c r="S93" i="142"/>
  <c r="N206" i="142"/>
  <c r="AF95" i="2"/>
  <c r="Z148" i="2"/>
  <c r="H145" i="143"/>
  <c r="AG40" i="2"/>
  <c r="S192" i="142"/>
  <c r="AE51" i="2"/>
  <c r="O261" i="142"/>
  <c r="K110" i="143"/>
  <c r="L193" i="142"/>
  <c r="AC214" i="2"/>
  <c r="F28" i="143"/>
  <c r="K11" i="142"/>
  <c r="AD51" i="2"/>
  <c r="M142" i="143"/>
  <c r="J162" i="142"/>
  <c r="AA183" i="2"/>
  <c r="O223" i="143"/>
  <c r="L319" i="143"/>
  <c r="M95" i="142"/>
  <c r="F399" i="143"/>
  <c r="Q149" i="142"/>
  <c r="AE62" i="2"/>
  <c r="H354" i="143"/>
  <c r="F125" i="143"/>
  <c r="M232" i="142"/>
  <c r="AH29" i="2"/>
  <c r="AG216" i="2"/>
  <c r="Q334" i="143"/>
  <c r="M32" i="143"/>
  <c r="N263" i="142"/>
  <c r="I197" i="143"/>
  <c r="K247" i="142"/>
  <c r="S163" i="142"/>
  <c r="H296" i="143"/>
  <c r="G85" i="143"/>
  <c r="J35" i="142"/>
  <c r="J103" i="143"/>
  <c r="K179" i="142"/>
  <c r="Y153" i="2"/>
  <c r="F235" i="143"/>
  <c r="P355" i="143"/>
  <c r="L95" i="142"/>
  <c r="J201" i="143"/>
  <c r="K26" i="143"/>
  <c r="L89" i="143"/>
  <c r="N109" i="142"/>
  <c r="G15" i="143"/>
  <c r="AF84" i="2"/>
  <c r="I77" i="142"/>
  <c r="R165" i="142"/>
  <c r="N255" i="143"/>
  <c r="M81" i="142"/>
  <c r="AF106" i="2"/>
  <c r="T219" i="142"/>
  <c r="Q298" i="143"/>
  <c r="F223" i="143"/>
  <c r="AC153" i="2"/>
  <c r="P38" i="142"/>
  <c r="J256" i="143"/>
  <c r="H146" i="143"/>
  <c r="M198" i="143"/>
  <c r="R204" i="142"/>
  <c r="M109" i="142"/>
  <c r="N23" i="142"/>
  <c r="L90" i="143"/>
  <c r="M25" i="143"/>
  <c r="M339" i="143"/>
  <c r="M233" i="142"/>
  <c r="H262" i="143"/>
  <c r="P164" i="143"/>
  <c r="G26" i="143"/>
  <c r="H68" i="143"/>
  <c r="M192" i="142"/>
  <c r="H85" i="143"/>
  <c r="H218" i="143"/>
  <c r="N193" i="142"/>
  <c r="N338" i="143"/>
  <c r="K126" i="143"/>
  <c r="P248" i="142"/>
  <c r="F9" i="143"/>
  <c r="J241" i="143"/>
  <c r="AA104" i="2"/>
  <c r="K279" i="143"/>
  <c r="Q219" i="142"/>
  <c r="L296" i="143"/>
  <c r="T234" i="142"/>
  <c r="H277" i="143"/>
  <c r="G165" i="143"/>
  <c r="P162" i="143"/>
  <c r="O66" i="142"/>
  <c r="F238" i="143"/>
  <c r="AG126" i="2"/>
  <c r="L25" i="142"/>
  <c r="N122" i="142"/>
  <c r="J242" i="143"/>
  <c r="O106" i="143"/>
  <c r="AH60" i="2"/>
  <c r="H298" i="143"/>
  <c r="Q320" i="143"/>
  <c r="AA153" i="2"/>
  <c r="O263" i="142"/>
  <c r="L143" i="143"/>
  <c r="AC95" i="2"/>
  <c r="Q161" i="143"/>
  <c r="O242" i="143"/>
  <c r="K314" i="143"/>
  <c r="F147" i="143"/>
  <c r="O206" i="142"/>
  <c r="K333" i="143"/>
  <c r="P22" i="142"/>
  <c r="Q238" i="143"/>
  <c r="AA29" i="2"/>
  <c r="N242" i="143"/>
  <c r="AB214" i="2"/>
  <c r="P123" i="143"/>
  <c r="N313" i="143"/>
  <c r="Q203" i="143"/>
  <c r="J274" i="143"/>
  <c r="AB216" i="2"/>
  <c r="AC93" i="2"/>
  <c r="P48" i="143"/>
  <c r="N108" i="142"/>
  <c r="K91" i="142"/>
  <c r="L255" i="143"/>
  <c r="K107" i="143"/>
  <c r="R51" i="142"/>
  <c r="AF175" i="2"/>
  <c r="M312" i="143"/>
  <c r="P159" i="143"/>
  <c r="Q167" i="143"/>
  <c r="G128" i="143"/>
  <c r="AG164" i="2"/>
  <c r="G144" i="143"/>
  <c r="M11" i="142"/>
  <c r="Q25" i="142"/>
  <c r="M295" i="143"/>
  <c r="J107" i="142"/>
  <c r="M316" i="143"/>
  <c r="I279" i="143"/>
  <c r="J259" i="143"/>
  <c r="Q122" i="142"/>
  <c r="Q312" i="143"/>
  <c r="O204" i="143"/>
  <c r="H15" i="143"/>
  <c r="L245" i="142"/>
  <c r="P95" i="142"/>
  <c r="Q104" i="143"/>
  <c r="O319" i="143"/>
  <c r="N64" i="143"/>
  <c r="L262" i="142"/>
  <c r="I148" i="143"/>
  <c r="H357" i="143"/>
  <c r="G90" i="143"/>
  <c r="Q350" i="143"/>
  <c r="N149" i="142"/>
  <c r="S150" i="142"/>
  <c r="AC150" i="2"/>
  <c r="L336" i="143"/>
  <c r="AB197" i="2"/>
  <c r="Q260" i="143"/>
  <c r="AE150" i="2"/>
  <c r="R93" i="142"/>
  <c r="L53" i="142"/>
  <c r="M128" i="143"/>
  <c r="H104" i="143"/>
  <c r="Q236" i="143"/>
  <c r="I163" i="142"/>
  <c r="H102" i="143"/>
  <c r="F50" i="143"/>
  <c r="L66" i="143"/>
  <c r="T106" i="142"/>
  <c r="AE84" i="2"/>
  <c r="R234" i="142"/>
  <c r="Q222" i="143"/>
  <c r="N10" i="143"/>
  <c r="S21" i="142"/>
  <c r="N49" i="142"/>
  <c r="M49" i="143"/>
  <c r="O92" i="142"/>
  <c r="N50" i="143"/>
  <c r="I161" i="142"/>
  <c r="Q70" i="143"/>
  <c r="O339" i="143"/>
  <c r="O316" i="143"/>
  <c r="O123" i="142"/>
  <c r="I354" i="143"/>
  <c r="I339" i="143"/>
  <c r="AA98" i="2"/>
  <c r="T233" i="142"/>
  <c r="Y104" i="2"/>
  <c r="Q39" i="142"/>
  <c r="S123" i="142"/>
  <c r="O109" i="143"/>
  <c r="Y205" i="2"/>
  <c r="P203" i="142"/>
  <c r="AC40" i="2"/>
  <c r="L64" i="142"/>
  <c r="M275" i="143"/>
  <c r="Y172" i="2"/>
  <c r="O126" i="143"/>
  <c r="G68" i="143"/>
  <c r="M160" i="143"/>
  <c r="I164" i="142"/>
  <c r="Q273" i="143"/>
  <c r="K25" i="143"/>
  <c r="J176" i="142"/>
  <c r="AB203" i="2"/>
  <c r="AB76" i="2"/>
  <c r="AG95" i="2"/>
  <c r="AB40" i="2"/>
  <c r="AH148" i="2"/>
  <c r="F165" i="143"/>
  <c r="N350" i="143"/>
  <c r="J104" i="143"/>
  <c r="Z21" i="2"/>
  <c r="AB175" i="2"/>
  <c r="H274" i="143"/>
  <c r="O127" i="143"/>
  <c r="S232" i="142"/>
  <c r="Q148" i="143"/>
  <c r="O162" i="142"/>
  <c r="K236" i="143"/>
  <c r="I13" i="143"/>
  <c r="L161" i="142"/>
  <c r="K51" i="143"/>
  <c r="T179" i="142"/>
  <c r="H140" i="143"/>
  <c r="AE82" i="2"/>
  <c r="P165" i="143"/>
  <c r="M240" i="143"/>
  <c r="O204" i="142"/>
  <c r="K66" i="142"/>
  <c r="Q233" i="142"/>
  <c r="AF172" i="2"/>
  <c r="L246" i="142"/>
  <c r="M260" i="142"/>
  <c r="K358" i="143"/>
  <c r="W148" i="2"/>
  <c r="N319" i="143"/>
  <c r="I94" i="142"/>
  <c r="O262" i="143"/>
  <c r="O84" i="143"/>
  <c r="M165" i="142"/>
  <c r="G239" i="143"/>
  <c r="P162" i="142"/>
  <c r="O276" i="143"/>
  <c r="O144" i="143"/>
  <c r="E393" i="143"/>
  <c r="AC38" i="2"/>
  <c r="J222" i="143"/>
  <c r="Q66" i="143"/>
  <c r="M238" i="143"/>
  <c r="AG186" i="2"/>
  <c r="Q335" i="143"/>
  <c r="M256" i="143"/>
  <c r="K190" i="142"/>
  <c r="R203" i="142"/>
  <c r="T93" i="142"/>
  <c r="Q142" i="143"/>
  <c r="P105" i="142"/>
  <c r="N278" i="143"/>
  <c r="AC139" i="2"/>
  <c r="AB54" i="2"/>
  <c r="J204" i="143"/>
  <c r="F14" i="143"/>
  <c r="AB128" i="2"/>
  <c r="I65" i="143"/>
  <c r="Y27" i="2"/>
  <c r="S121" i="142"/>
  <c r="P260" i="142"/>
  <c r="G218" i="143"/>
  <c r="J27" i="143"/>
  <c r="M36" i="142"/>
  <c r="F49" i="143"/>
  <c r="I107" i="142"/>
  <c r="N256" i="143"/>
  <c r="P21" i="142"/>
  <c r="M178" i="142"/>
  <c r="P66" i="143"/>
  <c r="Q315" i="143"/>
  <c r="L199" i="143"/>
  <c r="O21" i="142"/>
  <c r="Q26" i="143"/>
  <c r="F397" i="143"/>
  <c r="F167" i="143"/>
  <c r="K104" i="143"/>
  <c r="AB73" i="2"/>
  <c r="H161" i="143"/>
  <c r="K71" i="143"/>
  <c r="N104" i="143"/>
  <c r="AE43" i="2"/>
  <c r="I51" i="142"/>
  <c r="J105" i="142"/>
  <c r="AC120" i="2"/>
  <c r="J240" i="143"/>
  <c r="G51" i="143"/>
  <c r="H257" i="143"/>
  <c r="Y16" i="2"/>
  <c r="Q299" i="143"/>
  <c r="N219" i="142"/>
  <c r="Q355" i="143"/>
  <c r="AE32" i="2"/>
  <c r="AC208" i="2"/>
  <c r="K36" i="142"/>
  <c r="J124" i="143"/>
  <c r="K29" i="143"/>
  <c r="O95" i="142"/>
  <c r="T191" i="142"/>
  <c r="AA126" i="2"/>
  <c r="L128" i="143"/>
  <c r="AD142" i="2"/>
  <c r="M177" i="142"/>
  <c r="Y87" i="2"/>
  <c r="Y186" i="2"/>
  <c r="H237" i="143"/>
  <c r="J313" i="143"/>
  <c r="P296" i="143"/>
  <c r="L222" i="143"/>
  <c r="F220" i="143"/>
  <c r="L204" i="142"/>
  <c r="O237" i="143"/>
  <c r="AF183" i="2"/>
  <c r="M48" i="143"/>
  <c r="H242" i="143"/>
  <c r="P320" i="143"/>
  <c r="H199" i="143"/>
  <c r="P319" i="143"/>
  <c r="L261" i="143"/>
  <c r="AE181" i="2"/>
  <c r="F239" i="143"/>
  <c r="F161" i="143"/>
  <c r="AC76" i="2"/>
  <c r="G91" i="143"/>
  <c r="P50" i="142"/>
  <c r="N21" i="142"/>
  <c r="N357" i="143"/>
  <c r="I317" i="143"/>
  <c r="S92" i="142"/>
  <c r="P315" i="143"/>
  <c r="J319" i="143"/>
  <c r="K218" i="142"/>
  <c r="L263" i="142"/>
  <c r="F10" i="143"/>
  <c r="P262" i="142"/>
  <c r="L207" i="142"/>
  <c r="L249" i="142"/>
  <c r="L150" i="142"/>
  <c r="Q65" i="143"/>
  <c r="O52" i="143"/>
  <c r="O50" i="143"/>
  <c r="O205" i="142"/>
  <c r="L106" i="143"/>
  <c r="N161" i="142"/>
  <c r="H358" i="143"/>
  <c r="F103" i="143"/>
  <c r="AC183" i="2"/>
  <c r="Q223" i="143"/>
  <c r="F70" i="143"/>
  <c r="Q123" i="142"/>
  <c r="Q91" i="142"/>
  <c r="AC29" i="2"/>
  <c r="G12" i="143"/>
  <c r="F121" i="143"/>
  <c r="P217" i="143"/>
  <c r="P190" i="142"/>
  <c r="O9" i="142"/>
  <c r="AA186" i="2"/>
  <c r="I141" i="143"/>
  <c r="T259" i="142"/>
  <c r="I205" i="143"/>
  <c r="Q280" i="143"/>
  <c r="I295" i="143"/>
  <c r="R261" i="142"/>
  <c r="N143" i="143"/>
  <c r="L69" i="143"/>
  <c r="N65" i="142"/>
  <c r="W49" i="2"/>
  <c r="AF49" i="2"/>
  <c r="H109" i="143"/>
  <c r="P106" i="142"/>
  <c r="F26" i="143"/>
  <c r="Q37" i="142"/>
  <c r="M8" i="143"/>
  <c r="AB183" i="2"/>
  <c r="Q165" i="142"/>
  <c r="O164" i="142"/>
  <c r="M26" i="143"/>
  <c r="O317" i="143"/>
  <c r="I297" i="143"/>
  <c r="M148" i="142"/>
  <c r="N66" i="142"/>
  <c r="H293" i="143"/>
  <c r="E401" i="143"/>
  <c r="M294" i="143"/>
  <c r="P221" i="142"/>
  <c r="Q27" i="143"/>
  <c r="P33" i="143"/>
  <c r="K80" i="142"/>
  <c r="AG142" i="2"/>
  <c r="F391" i="143"/>
  <c r="M122" i="143"/>
  <c r="AD186" i="2"/>
  <c r="O248" i="142"/>
  <c r="O177" i="142"/>
  <c r="AD161" i="2"/>
  <c r="AD216" i="2"/>
  <c r="AE120" i="2"/>
  <c r="K66" i="143"/>
  <c r="P295" i="143"/>
  <c r="G11" i="143"/>
  <c r="Y216" i="2"/>
  <c r="P280" i="143"/>
  <c r="J66" i="142"/>
  <c r="N77" i="142"/>
  <c r="O234" i="142"/>
  <c r="N275" i="143"/>
  <c r="L119" i="142"/>
  <c r="G160" i="143"/>
  <c r="I336" i="143"/>
  <c r="N297" i="143"/>
  <c r="AF21" i="2"/>
  <c r="J7" i="142"/>
  <c r="I235" i="143"/>
  <c r="R36" i="142"/>
  <c r="J123" i="143"/>
  <c r="Q105" i="143"/>
  <c r="M147" i="143"/>
  <c r="J260" i="143"/>
  <c r="S95" i="142"/>
  <c r="I45" i="143"/>
  <c r="Q148" i="142"/>
  <c r="Y38" i="2"/>
  <c r="M355" i="143"/>
  <c r="K204" i="142"/>
  <c r="AF10" i="2"/>
  <c r="P316" i="143"/>
  <c r="T65" i="142"/>
  <c r="T64" i="142"/>
  <c r="S231" i="142"/>
  <c r="K242" i="143"/>
  <c r="N274" i="143"/>
  <c r="S164" i="142"/>
  <c r="T25" i="142"/>
  <c r="I12" i="143"/>
  <c r="L12" i="143"/>
  <c r="P241" i="143"/>
  <c r="Y32" i="2"/>
  <c r="K92" i="142"/>
  <c r="L91" i="142"/>
  <c r="L256" i="143"/>
  <c r="K87" i="143"/>
  <c r="Q33" i="143"/>
  <c r="N86" i="143"/>
  <c r="K222" i="143"/>
  <c r="X139" i="2"/>
  <c r="L93" i="142"/>
  <c r="AF38" i="2"/>
  <c r="H87" i="143"/>
  <c r="O336" i="143"/>
  <c r="P148" i="143"/>
  <c r="F27" i="143"/>
  <c r="G46" i="143"/>
  <c r="AA106" i="2"/>
  <c r="O105" i="143"/>
  <c r="I278" i="143"/>
  <c r="M201" i="143"/>
  <c r="P249" i="142"/>
  <c r="I11" i="142"/>
  <c r="O261" i="143"/>
  <c r="L107" i="142"/>
  <c r="M122" i="142"/>
  <c r="Y40" i="2"/>
  <c r="Q275" i="143"/>
  <c r="H9" i="143"/>
  <c r="L107" i="143"/>
  <c r="F198" i="143"/>
  <c r="G70" i="143"/>
  <c r="AE18" i="2"/>
  <c r="P223" i="143"/>
  <c r="M336" i="143"/>
  <c r="AH172" i="2"/>
  <c r="J8" i="143"/>
  <c r="N119" i="142"/>
  <c r="AD27" i="2"/>
  <c r="AH21" i="2"/>
  <c r="J120" i="142"/>
  <c r="I298" i="143"/>
  <c r="J147" i="142"/>
  <c r="AE131" i="2"/>
  <c r="N164" i="142"/>
  <c r="O293" i="143"/>
  <c r="W38" i="2"/>
  <c r="N260" i="142"/>
  <c r="K301" i="143"/>
  <c r="L332" i="143"/>
  <c r="O164" i="143"/>
  <c r="R148" i="142"/>
  <c r="H240" i="143"/>
  <c r="AG93" i="2"/>
  <c r="Q300" i="143"/>
  <c r="Q336" i="143"/>
  <c r="L104" i="143"/>
  <c r="N147" i="142"/>
  <c r="M261" i="142"/>
  <c r="N129" i="143"/>
  <c r="Q143" i="143"/>
  <c r="O262" i="142"/>
  <c r="L167" i="143"/>
  <c r="O52" i="142"/>
  <c r="P53" i="142"/>
  <c r="Q337" i="143"/>
  <c r="Y120" i="2"/>
  <c r="J11" i="142"/>
  <c r="Q90" i="143"/>
  <c r="Q332" i="143"/>
  <c r="K45" i="143"/>
  <c r="AD131" i="2"/>
  <c r="M64" i="143"/>
  <c r="O120" i="142"/>
  <c r="H334" i="143"/>
  <c r="L51" i="143"/>
  <c r="K300" i="143"/>
  <c r="M219" i="143"/>
  <c r="M24" i="142"/>
  <c r="F237" i="143"/>
  <c r="T245" i="142"/>
  <c r="L21" i="142"/>
  <c r="N203" i="142"/>
  <c r="N221" i="143"/>
  <c r="P354" i="143"/>
  <c r="P140" i="143"/>
  <c r="J86" i="143"/>
  <c r="Q239" i="143"/>
  <c r="I331" i="143"/>
  <c r="J315" i="143"/>
  <c r="J355" i="143"/>
  <c r="W82" i="2"/>
  <c r="Q278" i="143"/>
  <c r="O357" i="143"/>
  <c r="O218" i="142"/>
  <c r="T176" i="142"/>
  <c r="P11" i="143"/>
  <c r="I318" i="143"/>
  <c r="J47" i="143"/>
  <c r="I319" i="143"/>
  <c r="P167" i="143"/>
  <c r="O203" i="143"/>
  <c r="Q146" i="143"/>
  <c r="J127" i="143"/>
  <c r="H282" i="143"/>
  <c r="S108" i="142"/>
  <c r="AB82" i="2"/>
  <c r="AE93" i="2"/>
  <c r="K52" i="143"/>
  <c r="G238" i="143"/>
  <c r="M67" i="143"/>
  <c r="H355" i="143"/>
  <c r="P123" i="142"/>
  <c r="N106" i="143"/>
  <c r="O121" i="143"/>
  <c r="AD205" i="2"/>
  <c r="J358" i="143"/>
  <c r="P192" i="142"/>
  <c r="L29" i="143"/>
  <c r="Q276" i="143"/>
  <c r="T36" i="142"/>
  <c r="G13" i="143"/>
  <c r="L123" i="142"/>
  <c r="L235" i="142"/>
  <c r="M163" i="142"/>
  <c r="O335" i="143"/>
  <c r="L52" i="142"/>
  <c r="AH153" i="2"/>
  <c r="J357" i="143"/>
  <c r="Q293" i="143"/>
  <c r="O358" i="143"/>
  <c r="AE29" i="2"/>
  <c r="J102" i="143"/>
  <c r="I277" i="143"/>
  <c r="R53" i="142"/>
  <c r="R7" i="142"/>
  <c r="AF164" i="2"/>
  <c r="F140" i="143"/>
  <c r="I93" i="142"/>
  <c r="R120" i="142"/>
  <c r="H238" i="143"/>
  <c r="S193" i="142"/>
  <c r="K198" i="143"/>
  <c r="L231" i="142"/>
  <c r="R245" i="142"/>
  <c r="S149" i="142"/>
  <c r="M220" i="143"/>
  <c r="Q49" i="142"/>
  <c r="J52" i="142"/>
  <c r="F241" i="143"/>
  <c r="M51" i="143"/>
  <c r="P282" i="143"/>
  <c r="M176" i="142"/>
  <c r="AG153" i="2"/>
  <c r="K218" i="143"/>
  <c r="O7" i="142"/>
  <c r="AF192" i="2"/>
  <c r="P197" i="143"/>
  <c r="H64" i="143"/>
  <c r="G125" i="143"/>
  <c r="S190" i="142"/>
  <c r="G163" i="143"/>
  <c r="Q10" i="142"/>
  <c r="M15" i="143"/>
  <c r="AE87" i="2"/>
  <c r="N79" i="142"/>
  <c r="J148" i="142"/>
  <c r="Q255" i="143"/>
  <c r="K143" i="143"/>
  <c r="J221" i="143"/>
  <c r="P145" i="143"/>
  <c r="I66" i="142"/>
  <c r="P45" i="143"/>
  <c r="L236" i="143"/>
  <c r="N232" i="142"/>
  <c r="M261" i="143"/>
  <c r="H335" i="143"/>
  <c r="J48" i="143"/>
  <c r="N124" i="143"/>
  <c r="AH95" i="2"/>
  <c r="Q319" i="143"/>
  <c r="M141" i="143"/>
  <c r="J108" i="142"/>
  <c r="P273" i="143"/>
  <c r="L92" i="142"/>
  <c r="L85" i="143"/>
  <c r="M281" i="143"/>
  <c r="K129" i="143"/>
  <c r="Y49" i="2"/>
  <c r="R95" i="142"/>
  <c r="K332" i="143"/>
  <c r="Y128" i="2"/>
  <c r="I282" i="143"/>
  <c r="R246" i="142"/>
  <c r="J223" i="143"/>
  <c r="H65" i="143"/>
  <c r="K106" i="142"/>
  <c r="S24" i="142"/>
  <c r="AH186" i="2"/>
  <c r="K319" i="143"/>
  <c r="J129" i="143"/>
  <c r="H66" i="143"/>
  <c r="O279" i="143"/>
  <c r="F218" i="143"/>
  <c r="I10" i="143"/>
  <c r="K102" i="143"/>
  <c r="AG98" i="2"/>
  <c r="X49" i="2"/>
  <c r="AH128" i="2"/>
  <c r="I70" i="143"/>
  <c r="H48" i="143"/>
  <c r="F197" i="143"/>
  <c r="W62" i="2"/>
  <c r="N13" i="143"/>
  <c r="P165" i="142"/>
  <c r="AA10" i="2"/>
  <c r="J281" i="143"/>
  <c r="P200" i="143"/>
  <c r="N192" i="142"/>
  <c r="K313" i="143"/>
  <c r="P110" i="143"/>
  <c r="N27" i="143"/>
  <c r="T231" i="142"/>
  <c r="L234" i="142"/>
  <c r="S235" i="142"/>
  <c r="Z150" i="2"/>
  <c r="K203" i="142"/>
  <c r="AG76" i="2"/>
  <c r="O49" i="143"/>
  <c r="P108" i="143"/>
  <c r="J71" i="143"/>
  <c r="Q64" i="142"/>
  <c r="K150" i="142"/>
  <c r="Q50" i="143"/>
  <c r="N33" i="143"/>
  <c r="K48" i="143"/>
  <c r="K14" i="143"/>
  <c r="AG54" i="2"/>
  <c r="X16" i="2"/>
  <c r="N203" i="143"/>
  <c r="N8" i="143"/>
  <c r="N354" i="143"/>
  <c r="AE106" i="2"/>
  <c r="L316" i="143"/>
  <c r="X87" i="2"/>
  <c r="K151" i="142"/>
  <c r="W95" i="2"/>
  <c r="Q151" i="142"/>
  <c r="AF71" i="2"/>
  <c r="J167" i="143"/>
  <c r="W51" i="2"/>
  <c r="Q103" i="143"/>
  <c r="K232" i="142"/>
  <c r="T150" i="142"/>
  <c r="M79" i="142"/>
  <c r="Z10" i="2"/>
  <c r="N94" i="142"/>
  <c r="M205" i="142"/>
  <c r="Q217" i="143"/>
  <c r="O122" i="142"/>
  <c r="M66" i="142"/>
  <c r="R38" i="142"/>
  <c r="J53" i="143"/>
  <c r="H12" i="143"/>
  <c r="X43" i="2"/>
  <c r="N7" i="142"/>
  <c r="P121" i="142"/>
  <c r="AA208" i="2"/>
  <c r="L142" i="143"/>
  <c r="M331" i="143"/>
  <c r="AG29" i="2"/>
  <c r="I121" i="143"/>
  <c r="A262" i="1"/>
  <c r="P121" i="143"/>
  <c r="L51" i="142"/>
  <c r="AC203" i="2"/>
  <c r="J199" i="143"/>
  <c r="AC49" i="2"/>
  <c r="K107" i="142"/>
  <c r="I204" i="143"/>
  <c r="N246" i="142"/>
  <c r="J93" i="142"/>
  <c r="I281" i="143"/>
  <c r="K193" i="142"/>
  <c r="Y18" i="2"/>
  <c r="N259" i="142"/>
  <c r="T149" i="142"/>
  <c r="G240" i="143"/>
  <c r="O351" i="143"/>
  <c r="H235" i="143"/>
  <c r="T205" i="142"/>
  <c r="Q318" i="143"/>
  <c r="H332" i="143"/>
  <c r="N70" i="143"/>
  <c r="I67" i="142"/>
  <c r="N127" i="143"/>
  <c r="J318" i="143"/>
  <c r="R232" i="142"/>
  <c r="O231" i="142"/>
  <c r="M315" i="143"/>
  <c r="S23" i="142"/>
  <c r="N282" i="143"/>
  <c r="I87" i="143"/>
  <c r="L88" i="143"/>
  <c r="AH139" i="2"/>
  <c r="R119" i="142"/>
  <c r="M254" i="143"/>
  <c r="Z208" i="2"/>
  <c r="I24" i="142"/>
  <c r="K8" i="143"/>
  <c r="T9" i="142"/>
  <c r="AB131" i="2"/>
  <c r="O255" i="143"/>
  <c r="N160" i="143"/>
  <c r="L259" i="143"/>
  <c r="Q166" i="143"/>
  <c r="Q79" i="142"/>
  <c r="X84" i="2"/>
  <c r="G49" i="143"/>
  <c r="M277" i="143"/>
  <c r="AH98" i="2"/>
  <c r="T8" i="142"/>
  <c r="N92" i="142"/>
  <c r="F216" i="143"/>
  <c r="X104" i="2"/>
  <c r="Q144" i="143"/>
  <c r="N316" i="143"/>
  <c r="Q49" i="143"/>
  <c r="O220" i="142"/>
  <c r="L242" i="143"/>
  <c r="M248" i="142"/>
  <c r="T78" i="142"/>
  <c r="P122" i="143"/>
  <c r="N356" i="143"/>
  <c r="K200" i="143"/>
  <c r="S218" i="142"/>
  <c r="S80" i="142"/>
  <c r="I36" i="142"/>
  <c r="K248" i="142"/>
  <c r="X38" i="2"/>
  <c r="L335" i="143"/>
  <c r="E396" i="143"/>
  <c r="Q190" i="142"/>
  <c r="Q64" i="143"/>
  <c r="AB194" i="2"/>
  <c r="M351" i="143"/>
  <c r="R221" i="142"/>
  <c r="T120" i="142"/>
  <c r="Q107" i="142"/>
  <c r="L299" i="143"/>
  <c r="K243" i="143"/>
  <c r="AE159" i="2"/>
  <c r="H103" i="143"/>
  <c r="Q249" i="142"/>
  <c r="J217" i="143"/>
  <c r="M278" i="143"/>
  <c r="N46" i="143"/>
  <c r="W109" i="2"/>
  <c r="Y194" i="2"/>
  <c r="J37" i="142"/>
  <c r="K37" i="142"/>
  <c r="X82" i="2"/>
  <c r="P144" i="143"/>
  <c r="P129" i="143"/>
  <c r="O107" i="143"/>
  <c r="AB60" i="2"/>
  <c r="Q52" i="142"/>
  <c r="S247" i="142"/>
  <c r="F146" i="143"/>
  <c r="I123" i="142"/>
  <c r="AF62" i="2"/>
  <c r="N254" i="143"/>
  <c r="G32" i="143"/>
  <c r="P88" i="143"/>
  <c r="Q245" i="142"/>
  <c r="O9" i="143"/>
  <c r="T39" i="142"/>
  <c r="W73" i="2"/>
  <c r="T22" i="142"/>
  <c r="Q163" i="143"/>
  <c r="O64" i="143"/>
  <c r="H297" i="143"/>
  <c r="P81" i="142"/>
  <c r="T11" i="142"/>
  <c r="M219" i="142"/>
  <c r="H25" i="143"/>
  <c r="AA40" i="2"/>
  <c r="K197" i="143"/>
  <c r="Q259" i="142"/>
  <c r="T92" i="142"/>
  <c r="G122" i="143"/>
  <c r="M216" i="143"/>
  <c r="K206" i="142"/>
  <c r="M358" i="143"/>
  <c r="N162" i="142"/>
  <c r="Y159" i="2"/>
  <c r="J91" i="142"/>
  <c r="P176" i="142"/>
  <c r="J140" i="143"/>
  <c r="L254" i="143"/>
  <c r="G162" i="143"/>
  <c r="I144" i="143"/>
  <c r="G235" i="143"/>
  <c r="I262" i="143"/>
  <c r="Q162" i="142"/>
  <c r="I163" i="143"/>
  <c r="J220" i="143"/>
  <c r="M220" i="142"/>
  <c r="AF93" i="2"/>
  <c r="N238" i="143"/>
  <c r="AD164" i="2"/>
  <c r="P85" i="143"/>
  <c r="S38" i="142"/>
  <c r="K123" i="143"/>
  <c r="K352" i="143"/>
  <c r="AE183" i="2"/>
  <c r="P298" i="143"/>
  <c r="AF51" i="2"/>
  <c r="AF126" i="2"/>
  <c r="K234" i="142"/>
  <c r="H14" i="143"/>
  <c r="N72" i="143"/>
  <c r="P175" i="142"/>
  <c r="L295" i="143"/>
  <c r="K105" i="142"/>
  <c r="J63" i="142"/>
  <c r="N296" i="143"/>
  <c r="I89" i="143"/>
  <c r="M217" i="143"/>
  <c r="M314" i="143"/>
  <c r="O202" i="143"/>
  <c r="Q352" i="143"/>
  <c r="K7" i="142"/>
  <c r="H205" i="143"/>
  <c r="H8" i="143"/>
  <c r="Q234" i="142"/>
  <c r="H164" i="143"/>
  <c r="O163" i="143"/>
  <c r="N121" i="142"/>
  <c r="G65" i="143"/>
  <c r="K106" i="143"/>
  <c r="J353" i="143"/>
  <c r="I53" i="142"/>
  <c r="J126" i="143"/>
  <c r="Q86" i="143"/>
  <c r="H276" i="143"/>
  <c r="N334" i="143"/>
  <c r="AD32" i="2"/>
  <c r="O220" i="143"/>
  <c r="Q77" i="142"/>
  <c r="AG84" i="2"/>
  <c r="O80" i="142"/>
  <c r="T91" i="142"/>
  <c r="H254" i="143"/>
  <c r="N166" i="143"/>
  <c r="AA65" i="2"/>
  <c r="S79" i="142"/>
  <c r="Q164" i="142"/>
  <c r="I32" i="143"/>
  <c r="O88" i="143"/>
  <c r="I222" i="143"/>
  <c r="P217" i="142"/>
  <c r="O91" i="143"/>
  <c r="J84" i="143"/>
  <c r="M145" i="143"/>
  <c r="K85" i="143"/>
  <c r="O87" i="143"/>
  <c r="K201" i="143"/>
  <c r="L260" i="142"/>
  <c r="L190" i="142"/>
  <c r="J238" i="143"/>
  <c r="Q218" i="142"/>
  <c r="G124" i="143"/>
  <c r="M29" i="143"/>
  <c r="J178" i="142"/>
  <c r="Q314" i="143"/>
  <c r="L203" i="142"/>
  <c r="X131" i="2"/>
  <c r="L65" i="143"/>
  <c r="K231" i="142"/>
  <c r="I85" i="143"/>
  <c r="F64" i="143"/>
  <c r="N91" i="143"/>
  <c r="O320" i="143"/>
  <c r="K67" i="142"/>
  <c r="P126" i="143"/>
  <c r="L81" i="142"/>
  <c r="K13" i="143"/>
  <c r="AG38" i="2"/>
  <c r="L320" i="143"/>
  <c r="I221" i="143"/>
  <c r="L220" i="142"/>
  <c r="AG51" i="2"/>
  <c r="AH16" i="2"/>
  <c r="S263" i="142"/>
  <c r="K164" i="142"/>
  <c r="I176" i="142"/>
  <c r="P90" i="143"/>
  <c r="P259" i="142"/>
  <c r="R50" i="142"/>
  <c r="J239" i="143"/>
  <c r="K9" i="143"/>
  <c r="M94" i="142"/>
  <c r="I63" i="142"/>
  <c r="L25" i="143"/>
  <c r="O28" i="143"/>
  <c r="I120" i="142"/>
  <c r="O48" i="143"/>
  <c r="Q119" i="142"/>
  <c r="N220" i="143"/>
  <c r="K161" i="143"/>
  <c r="W54" i="2"/>
  <c r="S261" i="142"/>
  <c r="N178" i="142"/>
  <c r="K318" i="143"/>
  <c r="P103" i="143"/>
  <c r="Y84" i="2"/>
  <c r="T207" i="142"/>
  <c r="J128" i="143"/>
  <c r="R81" i="142"/>
  <c r="N273" i="143"/>
  <c r="AE73" i="2"/>
  <c r="M33" i="143"/>
  <c r="AC32" i="2"/>
  <c r="L257" i="143"/>
  <c r="K86" i="143"/>
  <c r="J23" i="142"/>
  <c r="L11" i="142"/>
  <c r="N331" i="143"/>
  <c r="G222" i="143"/>
  <c r="Q237" i="143"/>
  <c r="J331" i="143"/>
  <c r="I64" i="143"/>
  <c r="I352" i="143"/>
  <c r="J312" i="143"/>
  <c r="N161" i="143"/>
  <c r="H50" i="143"/>
  <c r="I65" i="142"/>
  <c r="K103" i="143"/>
  <c r="Q127" i="143"/>
  <c r="F53" i="143"/>
  <c r="L129" i="143"/>
  <c r="S221" i="142"/>
  <c r="AF16" i="2"/>
  <c r="AA216" i="2"/>
  <c r="M121" i="143"/>
  <c r="J254" i="143"/>
  <c r="F203" i="143"/>
  <c r="M28" i="143"/>
  <c r="O205" i="143"/>
  <c r="Z181" i="2"/>
  <c r="L279" i="143"/>
  <c r="P150" i="142"/>
  <c r="N222" i="143"/>
  <c r="P11" i="142"/>
  <c r="F68" i="143"/>
  <c r="AF29" i="2"/>
  <c r="X148" i="2"/>
  <c r="K33" i="143"/>
  <c r="F8" i="143"/>
  <c r="Q68" i="143"/>
  <c r="L141" i="143"/>
  <c r="Q94" i="142"/>
  <c r="Y183" i="2"/>
  <c r="J78" i="142"/>
  <c r="R161" i="142"/>
  <c r="X93" i="2"/>
  <c r="K38" i="142"/>
  <c r="P299" i="143"/>
  <c r="I95" i="142"/>
  <c r="I102" i="143"/>
  <c r="K128" i="143"/>
  <c r="J94" i="142"/>
  <c r="F199" i="143"/>
  <c r="L337" i="143"/>
  <c r="O63" i="142"/>
  <c r="K260" i="143"/>
  <c r="AC43" i="2"/>
  <c r="M14" i="143"/>
  <c r="K90" i="143"/>
  <c r="X18" i="2"/>
  <c r="P27" i="143"/>
  <c r="L258" i="143"/>
  <c r="N355" i="143"/>
  <c r="K122" i="143"/>
  <c r="P247" i="142"/>
  <c r="G159" i="143"/>
  <c r="H72" i="143"/>
  <c r="P67" i="142"/>
  <c r="N239" i="143"/>
  <c r="R105" i="142"/>
  <c r="AD208" i="2"/>
  <c r="N25" i="142"/>
  <c r="F67" i="143"/>
  <c r="K355" i="143"/>
  <c r="Z106" i="2"/>
  <c r="M149" i="142"/>
  <c r="Q199" i="143"/>
  <c r="H261" i="143"/>
  <c r="I21" i="142"/>
  <c r="AF159" i="2"/>
  <c r="L13" i="143"/>
  <c r="M50" i="143"/>
  <c r="L206" i="142"/>
  <c r="P80" i="142"/>
  <c r="K12" i="143"/>
  <c r="Z203" i="2"/>
  <c r="AB148" i="2"/>
  <c r="J320" i="143"/>
  <c r="Q48" i="143"/>
  <c r="N30" i="143"/>
  <c r="N236" i="143"/>
  <c r="E394" i="143"/>
  <c r="K11" i="143"/>
  <c r="K320" i="143"/>
  <c r="K259" i="142"/>
  <c r="AF150" i="2"/>
  <c r="N15" i="143"/>
  <c r="O178" i="142"/>
  <c r="AC172" i="2"/>
  <c r="L220" i="143"/>
  <c r="AG137" i="2"/>
  <c r="N335" i="143"/>
  <c r="O258" i="143"/>
  <c r="H83" i="143"/>
  <c r="P89" i="143"/>
  <c r="L148" i="143"/>
  <c r="M7" i="142"/>
  <c r="AF197" i="2"/>
  <c r="I69" i="143"/>
  <c r="AG117" i="2"/>
  <c r="I92" i="142"/>
  <c r="R175" i="142"/>
  <c r="F242" i="143"/>
  <c r="L197" i="143"/>
  <c r="X150" i="2"/>
  <c r="K164" i="143"/>
  <c r="M222" i="143"/>
  <c r="Q32" i="143"/>
  <c r="Q202" i="143"/>
  <c r="Y43" i="2"/>
  <c r="J122" i="143"/>
  <c r="K67" i="143"/>
  <c r="AG43" i="2"/>
  <c r="K293" i="143"/>
  <c r="AD170" i="2"/>
  <c r="AH170" i="2"/>
  <c r="J12" i="143"/>
  <c r="AH32" i="2"/>
  <c r="J121" i="142"/>
  <c r="Q85" i="143"/>
  <c r="Y29" i="2"/>
  <c r="N88" i="143"/>
  <c r="AB21" i="2"/>
  <c r="I334" i="143"/>
  <c r="I80" i="142"/>
  <c r="J179" i="142"/>
  <c r="AG159" i="2"/>
  <c r="L83" i="143"/>
  <c r="W27" i="2"/>
  <c r="P78" i="142"/>
  <c r="L239" i="143"/>
  <c r="AA164" i="2"/>
  <c r="X40" i="2"/>
  <c r="AE153" i="2"/>
  <c r="AC21" i="2"/>
  <c r="AH40" i="2"/>
  <c r="L357" i="143"/>
  <c r="L353" i="143"/>
  <c r="Z49" i="2"/>
  <c r="M120" i="142"/>
  <c r="Q107" i="143"/>
  <c r="Q50" i="142"/>
  <c r="M224" i="143"/>
  <c r="G204" i="143"/>
  <c r="P8" i="143"/>
  <c r="L49" i="143"/>
  <c r="H197" i="143"/>
  <c r="M350" i="143"/>
  <c r="P14" i="143"/>
  <c r="N48" i="143"/>
  <c r="N28" i="143"/>
  <c r="I294" i="143"/>
  <c r="L273" i="143"/>
  <c r="AA21" i="2"/>
  <c r="O64" i="142"/>
  <c r="H198" i="143"/>
  <c r="T35" i="142"/>
  <c r="R35" i="142"/>
  <c r="N145" i="143"/>
  <c r="M297" i="143"/>
  <c r="Q124" i="143"/>
  <c r="O83" i="143"/>
  <c r="K22" i="142"/>
  <c r="Z76" i="2"/>
  <c r="P166" i="143"/>
  <c r="I300" i="143"/>
  <c r="M293" i="143"/>
  <c r="N339" i="143"/>
  <c r="S35" i="142"/>
  <c r="H258" i="143"/>
  <c r="L300" i="143"/>
  <c r="I296" i="143"/>
  <c r="J7" i="143"/>
  <c r="S67" i="142"/>
  <c r="Q263" i="142"/>
  <c r="M151" i="142"/>
  <c r="AB150" i="2"/>
  <c r="G33" i="143"/>
  <c r="R231" i="142"/>
  <c r="M200" i="143"/>
  <c r="L261" i="142"/>
  <c r="AG170" i="2"/>
  <c r="O275" i="143"/>
  <c r="AH18" i="2"/>
  <c r="K339" i="143"/>
  <c r="H336" i="143"/>
  <c r="F83" i="143"/>
  <c r="Y150" i="2"/>
  <c r="AF148" i="2"/>
  <c r="R192" i="142"/>
  <c r="K105" i="143"/>
  <c r="AH43" i="2"/>
  <c r="K127" i="143"/>
  <c r="M202" i="143"/>
  <c r="H27" i="143"/>
  <c r="E392" i="143"/>
  <c r="N353" i="143"/>
  <c r="N163" i="142"/>
  <c r="N314" i="143"/>
  <c r="AA93" i="2"/>
  <c r="J350" i="143"/>
  <c r="N197" i="143"/>
  <c r="P147" i="142"/>
  <c r="O165" i="142"/>
  <c r="H333" i="143"/>
  <c r="K260" i="142"/>
  <c r="N165" i="142"/>
  <c r="Z65" i="2"/>
  <c r="Q9" i="143"/>
  <c r="AD175" i="2"/>
  <c r="AH54" i="2"/>
  <c r="AG139" i="2"/>
  <c r="T7" i="142"/>
  <c r="Z142" i="2"/>
  <c r="P221" i="143"/>
  <c r="AH71" i="2"/>
  <c r="AG148" i="2"/>
  <c r="K178" i="142"/>
  <c r="J89" i="143"/>
  <c r="A263" i="1"/>
  <c r="I239" i="143"/>
  <c r="M257" i="143"/>
  <c r="H71" i="143"/>
  <c r="F124" i="143"/>
  <c r="AH49" i="2"/>
  <c r="P233" i="142"/>
  <c r="AA73" i="2"/>
  <c r="I275" i="143"/>
  <c r="I66" i="143"/>
  <c r="M45" i="143"/>
  <c r="AD10" i="2"/>
  <c r="I129" i="143"/>
  <c r="N281" i="143"/>
  <c r="N200" i="143"/>
  <c r="O122" i="143"/>
  <c r="F164" i="143"/>
  <c r="Q201" i="143"/>
  <c r="AG120" i="2"/>
  <c r="L108" i="142"/>
  <c r="R218" i="142"/>
  <c r="AD71" i="2"/>
  <c r="N177" i="142"/>
  <c r="AF65" i="2"/>
  <c r="X76" i="2"/>
  <c r="F141" i="143"/>
  <c r="AF128" i="2"/>
  <c r="I243" i="143"/>
  <c r="K354" i="143"/>
  <c r="H166" i="143"/>
  <c r="J10" i="143"/>
  <c r="P161" i="143"/>
  <c r="L71" i="143"/>
  <c r="J336" i="143"/>
  <c r="O312" i="143"/>
  <c r="M165" i="143"/>
  <c r="O45" i="143"/>
  <c r="AB27" i="2"/>
  <c r="AG60" i="2"/>
  <c r="G67" i="143"/>
  <c r="O14" i="143"/>
  <c r="P37" i="142"/>
  <c r="F144" i="143"/>
  <c r="P297" i="143"/>
  <c r="K77" i="142"/>
  <c r="P202" i="143"/>
  <c r="J141" i="143"/>
  <c r="O219" i="142"/>
  <c r="N204" i="143"/>
  <c r="Q235" i="142"/>
  <c r="AD95" i="2"/>
  <c r="AB139" i="2"/>
  <c r="K338" i="143"/>
  <c r="AA87" i="2"/>
  <c r="T49" i="142"/>
  <c r="M21" i="142"/>
  <c r="L66" i="142"/>
  <c r="P124" i="143"/>
  <c r="J68" i="143"/>
  <c r="AA27" i="2"/>
  <c r="L50" i="143"/>
  <c r="R91" i="142"/>
  <c r="R63" i="142"/>
  <c r="K9" i="142"/>
  <c r="P25" i="142"/>
  <c r="P146" i="143"/>
  <c r="AD181" i="2"/>
  <c r="AC164" i="2"/>
  <c r="R163" i="142"/>
  <c r="Q80" i="142"/>
  <c r="AD137" i="2"/>
  <c r="O33" i="143"/>
  <c r="S53" i="142"/>
  <c r="O151" i="142"/>
  <c r="AB186" i="2"/>
  <c r="R106" i="142"/>
  <c r="N78" i="142"/>
  <c r="AF203" i="2"/>
  <c r="I165" i="142"/>
  <c r="I124" i="143"/>
  <c r="O334" i="143"/>
  <c r="H70" i="143"/>
  <c r="M106" i="142"/>
  <c r="G242" i="143"/>
  <c r="G217" i="143"/>
  <c r="K262" i="142"/>
  <c r="AD38" i="2"/>
  <c r="M9" i="142"/>
  <c r="AG10" i="2"/>
  <c r="K49" i="143"/>
  <c r="X62" i="2"/>
  <c r="N122" i="143"/>
  <c r="O217" i="143"/>
  <c r="Q52" i="143"/>
  <c r="I320" i="143"/>
  <c r="J49" i="143"/>
  <c r="P216" i="143"/>
  <c r="I143" i="143"/>
  <c r="M249" i="142"/>
  <c r="L67" i="143"/>
  <c r="AD54" i="2"/>
  <c r="P293" i="143"/>
  <c r="N128" i="143"/>
  <c r="L355" i="143"/>
  <c r="P9" i="143"/>
  <c r="H241" i="143"/>
  <c r="Q279" i="143"/>
  <c r="J85" i="143"/>
  <c r="H52" i="143"/>
  <c r="AF194" i="2"/>
  <c r="I52" i="142"/>
  <c r="S233" i="142"/>
  <c r="AE203" i="2"/>
  <c r="K108" i="143"/>
  <c r="AC216" i="2"/>
  <c r="I167" i="143"/>
  <c r="O166" i="143"/>
  <c r="K121" i="142"/>
  <c r="H338" i="143"/>
  <c r="M259" i="143"/>
  <c r="O81" i="142"/>
  <c r="N25" i="143"/>
  <c r="Z87" i="2"/>
  <c r="L176" i="142"/>
  <c r="J123" i="142"/>
  <c r="O356" i="143"/>
  <c r="O143" i="143"/>
  <c r="I145" i="143"/>
  <c r="AB62" i="2"/>
  <c r="AF181" i="2"/>
  <c r="N220" i="142"/>
  <c r="F145" i="143"/>
  <c r="AC10" i="2"/>
  <c r="E400" i="143"/>
  <c r="Q8" i="142"/>
  <c r="N218" i="142"/>
  <c r="M199" i="143"/>
  <c r="L102" i="143"/>
  <c r="P205" i="143"/>
  <c r="E402" i="143"/>
  <c r="Q89" i="143"/>
  <c r="J166" i="143"/>
  <c r="H260" i="143"/>
  <c r="J13" i="143"/>
  <c r="M221" i="142"/>
  <c r="I241" i="143"/>
  <c r="N231" i="142"/>
  <c r="P12" i="143"/>
  <c r="H259" i="143"/>
  <c r="G123" i="143"/>
  <c r="N301" i="143"/>
  <c r="K78" i="142"/>
  <c r="N261" i="143"/>
  <c r="AA18" i="2"/>
  <c r="I149" i="142"/>
  <c r="J9" i="142"/>
  <c r="P68" i="143"/>
  <c r="N53" i="143"/>
  <c r="AA60" i="2"/>
  <c r="Y71" i="2"/>
  <c r="H124" i="143"/>
  <c r="AF104" i="2"/>
  <c r="T109" i="142"/>
  <c r="N277" i="143"/>
  <c r="J332" i="143"/>
  <c r="T10" i="142"/>
  <c r="I358" i="143"/>
  <c r="AH106" i="2"/>
  <c r="I258" i="143"/>
  <c r="L68" i="143"/>
  <c r="R23" i="142"/>
  <c r="H315" i="143"/>
  <c r="O148" i="142"/>
  <c r="J280" i="143"/>
  <c r="I254" i="143"/>
  <c r="AB192" i="2"/>
  <c r="J161" i="143"/>
  <c r="Q106" i="143"/>
  <c r="T260" i="142"/>
  <c r="N176" i="142"/>
  <c r="H162" i="143"/>
  <c r="I105" i="142"/>
  <c r="AD214" i="2"/>
  <c r="Q46" i="143"/>
  <c r="J351" i="143"/>
  <c r="P147" i="143"/>
  <c r="I127" i="143"/>
  <c r="N224" i="143"/>
  <c r="P313" i="143"/>
  <c r="G45" i="143"/>
  <c r="P24" i="142"/>
  <c r="K276" i="143"/>
  <c r="O191" i="142"/>
  <c r="T147" i="142"/>
  <c r="I273" i="143"/>
  <c r="AD87" i="2"/>
  <c r="F129" i="143"/>
  <c r="I274" i="143"/>
  <c r="M52" i="142"/>
  <c r="H331" i="143"/>
  <c r="I238" i="143"/>
  <c r="H69" i="143"/>
  <c r="O71" i="143"/>
  <c r="H142" i="143"/>
  <c r="M22" i="142"/>
  <c r="L32" i="143"/>
  <c r="M108" i="143"/>
  <c r="Q356" i="143"/>
  <c r="N107" i="143"/>
  <c r="I224" i="143"/>
  <c r="G164" i="143"/>
  <c r="H46" i="143"/>
  <c r="I151" i="142"/>
  <c r="W65" i="2"/>
  <c r="N148" i="142"/>
  <c r="O273" i="143"/>
  <c r="AF40" i="2"/>
  <c r="N298" i="143"/>
  <c r="M255" i="143"/>
  <c r="L338" i="143"/>
  <c r="F52" i="143"/>
  <c r="Z126" i="2"/>
  <c r="I52" i="143"/>
  <c r="F166" i="143"/>
  <c r="I91" i="142"/>
  <c r="F30" i="143"/>
  <c r="AG208" i="2"/>
  <c r="Z18" i="2"/>
  <c r="W43" i="2"/>
  <c r="G243" i="143"/>
  <c r="S179" i="142"/>
  <c r="L217" i="142"/>
  <c r="I84" i="143"/>
  <c r="Y181" i="2"/>
  <c r="J38" i="142"/>
  <c r="L10" i="142"/>
  <c r="J317" i="143"/>
  <c r="X32" i="2"/>
  <c r="N332" i="143"/>
  <c r="G102" i="143"/>
  <c r="P350" i="143"/>
  <c r="K122" i="142"/>
  <c r="I51" i="143"/>
  <c r="K275" i="143"/>
  <c r="I81" i="142"/>
  <c r="M223" i="143"/>
  <c r="AE172" i="2"/>
  <c r="M193" i="142"/>
  <c r="T53" i="142"/>
  <c r="N35" i="142"/>
  <c r="AD84" i="2"/>
  <c r="N140" i="143"/>
  <c r="AD106" i="2"/>
  <c r="R147" i="142"/>
  <c r="AG106" i="2"/>
  <c r="AE142" i="2"/>
  <c r="J198" i="143"/>
  <c r="I199" i="143"/>
  <c r="M320" i="143"/>
  <c r="M126" i="143"/>
  <c r="W120" i="2"/>
  <c r="M167" i="143"/>
  <c r="L144" i="143"/>
  <c r="N89" i="143"/>
  <c r="O147" i="143"/>
  <c r="M123" i="143"/>
  <c r="N318" i="143"/>
  <c r="Y65" i="2"/>
  <c r="M71" i="143"/>
  <c r="L36" i="142"/>
  <c r="P257" i="143"/>
  <c r="J224" i="143"/>
  <c r="P160" i="143"/>
  <c r="J25" i="142"/>
  <c r="O149" i="142"/>
  <c r="I103" i="143"/>
  <c r="I223" i="143"/>
  <c r="P107" i="142"/>
  <c r="N142" i="143"/>
  <c r="J339" i="143"/>
  <c r="M67" i="142"/>
  <c r="N12" i="143"/>
  <c r="Q121" i="143"/>
  <c r="Q221" i="143"/>
  <c r="O175" i="142"/>
  <c r="O278" i="143"/>
  <c r="AG18" i="2"/>
  <c r="AC84" i="2"/>
  <c r="Q83" i="143"/>
  <c r="N237" i="143"/>
  <c r="L259" i="142"/>
  <c r="L86" i="143"/>
  <c r="K280" i="143"/>
  <c r="T108" i="142"/>
  <c r="M9" i="143"/>
  <c r="Q254" i="143"/>
  <c r="N14" i="143"/>
  <c r="M13" i="143"/>
  <c r="L293" i="143"/>
  <c r="Z159" i="2"/>
  <c r="H278" i="143"/>
  <c r="L333" i="143"/>
  <c r="L146" i="143"/>
  <c r="R249" i="142"/>
  <c r="I68" i="143"/>
  <c r="I110" i="143"/>
  <c r="J108" i="143"/>
  <c r="I237" i="143"/>
  <c r="G72" i="143"/>
  <c r="K205" i="143"/>
  <c r="J65" i="143"/>
  <c r="G25" i="143"/>
  <c r="S78" i="142"/>
  <c r="Z175" i="2"/>
  <c r="T263" i="142"/>
  <c r="T217" i="142"/>
  <c r="AG214" i="2"/>
  <c r="I122" i="143"/>
  <c r="J119" i="142"/>
  <c r="P243" i="143"/>
  <c r="F162" i="143"/>
  <c r="O233" i="142"/>
  <c r="M245" i="142"/>
  <c r="AF76" i="2"/>
  <c r="N351" i="143"/>
  <c r="N147" i="143"/>
  <c r="O72" i="143"/>
  <c r="M107" i="143"/>
  <c r="K273" i="143"/>
  <c r="W76" i="2"/>
  <c r="I220" i="143"/>
  <c r="L109" i="142"/>
  <c r="P119" i="142"/>
  <c r="O331" i="143"/>
  <c r="AA181" i="2"/>
  <c r="L33" i="143"/>
  <c r="N205" i="142"/>
  <c r="AA82" i="2"/>
  <c r="K335" i="143"/>
  <c r="J125" i="143"/>
  <c r="AE214" i="2"/>
  <c r="K165" i="143"/>
  <c r="T249" i="142"/>
  <c r="K49" i="142"/>
  <c r="P63" i="142"/>
  <c r="R22" i="142"/>
  <c r="H220" i="143"/>
  <c r="O129" i="143"/>
  <c r="K282" i="143"/>
  <c r="L164" i="142"/>
  <c r="M273" i="143"/>
  <c r="I218" i="143"/>
  <c r="H219" i="143"/>
  <c r="I147" i="143"/>
  <c r="F128" i="143"/>
  <c r="G197" i="143"/>
  <c r="T122" i="142"/>
  <c r="AC128" i="2"/>
  <c r="O32" i="143"/>
  <c r="O222" i="143"/>
  <c r="Y192" i="2"/>
  <c r="P259" i="143"/>
  <c r="O199" i="143"/>
  <c r="J161" i="142"/>
  <c r="X29" i="2"/>
  <c r="I119" i="142"/>
  <c r="N205" i="143"/>
  <c r="I109" i="143"/>
  <c r="L27" i="143"/>
  <c r="R191" i="142"/>
  <c r="M108" i="142"/>
  <c r="R8" i="142"/>
  <c r="Y93" i="2"/>
  <c r="I166" i="143"/>
  <c r="AD172" i="2"/>
  <c r="I46" i="143"/>
  <c r="AE175" i="2"/>
  <c r="P256" i="143"/>
  <c r="S234" i="142"/>
  <c r="F240" i="143"/>
  <c r="S10" i="142"/>
  <c r="I150" i="142"/>
  <c r="AA16" i="2"/>
  <c r="AH194" i="2"/>
  <c r="Q141" i="143"/>
  <c r="G108" i="143"/>
  <c r="I108" i="142"/>
  <c r="H147" i="143"/>
  <c r="J164" i="142"/>
  <c r="Y170" i="2"/>
  <c r="I48" i="143"/>
  <c r="F72" i="143"/>
  <c r="N10" i="142"/>
  <c r="F127" i="143"/>
  <c r="M246" i="142"/>
  <c r="O26" i="143"/>
  <c r="AG192" i="2"/>
  <c r="N67" i="142"/>
  <c r="M105" i="142"/>
  <c r="M259" i="142"/>
  <c r="O10" i="143"/>
  <c r="P7" i="142"/>
  <c r="J109" i="142"/>
  <c r="Z84" i="2"/>
  <c r="G223" i="143"/>
  <c r="F396" i="143"/>
  <c r="K15" i="143"/>
  <c r="J314" i="143"/>
  <c r="Q242" i="143"/>
  <c r="I128" i="143"/>
  <c r="P163" i="143"/>
  <c r="L103" i="143"/>
  <c r="AB43" i="2"/>
  <c r="P274" i="143"/>
  <c r="AE27" i="2"/>
  <c r="O238" i="143"/>
  <c r="T123" i="142"/>
  <c r="K146" i="143"/>
  <c r="AC82" i="2"/>
  <c r="W93" i="2"/>
  <c r="I50" i="142"/>
  <c r="AF161" i="2"/>
  <c r="N167" i="143"/>
  <c r="N221" i="142"/>
  <c r="P201" i="143"/>
  <c r="P218" i="143"/>
  <c r="G87" i="143"/>
  <c r="L165" i="143"/>
  <c r="L356" i="143"/>
  <c r="N240" i="143"/>
  <c r="H300" i="143"/>
  <c r="Q176" i="142"/>
  <c r="O254" i="143"/>
  <c r="X27" i="2"/>
  <c r="I350" i="143"/>
  <c r="AH87" i="2"/>
  <c r="T94" i="142"/>
  <c r="N295" i="143"/>
  <c r="P263" i="142"/>
  <c r="Q72" i="143"/>
  <c r="F90" i="143"/>
  <c r="G89" i="143"/>
  <c r="L202" i="143"/>
  <c r="I78" i="142"/>
  <c r="L91" i="143"/>
  <c r="M262" i="143"/>
  <c r="AF120" i="2"/>
  <c r="I201" i="143"/>
  <c r="E398" i="143"/>
  <c r="H53" i="143"/>
  <c r="O13" i="143"/>
  <c r="AC175" i="2"/>
  <c r="J10" i="142"/>
  <c r="N320" i="143"/>
  <c r="AD194" i="2"/>
  <c r="T77" i="142"/>
  <c r="AB205" i="2"/>
  <c r="I148" i="142"/>
  <c r="M354" i="143"/>
  <c r="N29" i="143"/>
  <c r="G199" i="143"/>
  <c r="K312" i="143"/>
  <c r="P338" i="143"/>
  <c r="P278" i="143"/>
  <c r="X54" i="2"/>
  <c r="X98" i="2"/>
  <c r="P51" i="143"/>
  <c r="Z82" i="2"/>
  <c r="S191" i="142"/>
  <c r="Q129" i="143"/>
  <c r="K32" i="143"/>
  <c r="R190" i="142"/>
  <c r="G166" i="143"/>
  <c r="W16" i="2"/>
  <c r="K10" i="143"/>
  <c r="AG203" i="2"/>
  <c r="Q30" i="143"/>
  <c r="AC71" i="2"/>
  <c r="S207" i="142"/>
  <c r="R108" i="142"/>
  <c r="AF18" i="2"/>
  <c r="L331" i="143"/>
  <c r="G88" i="143"/>
  <c r="AA142" i="2"/>
  <c r="J150" i="142"/>
  <c r="K259" i="143"/>
  <c r="S162" i="142"/>
  <c r="AC62" i="2"/>
  <c r="N11" i="143"/>
  <c r="AE194" i="2"/>
  <c r="I15" i="143"/>
  <c r="AA32" i="2"/>
  <c r="N66" i="143"/>
  <c r="K296" i="143"/>
  <c r="L297" i="143"/>
  <c r="M161" i="142"/>
  <c r="G14" i="143"/>
  <c r="H159" i="143"/>
  <c r="M161" i="143"/>
  <c r="G27" i="143"/>
  <c r="P64" i="142"/>
  <c r="Q123" i="143"/>
  <c r="I261" i="143"/>
  <c r="AA71" i="2"/>
  <c r="P356" i="143"/>
  <c r="H29" i="143"/>
  <c r="Q11" i="142"/>
  <c r="Q207" i="142"/>
  <c r="K25" i="142"/>
  <c r="J121" i="143"/>
  <c r="F394" i="143"/>
  <c r="L148" i="142"/>
  <c r="N299" i="143"/>
  <c r="O337" i="143"/>
  <c r="AD60" i="2"/>
  <c r="AE95" i="2"/>
  <c r="P219" i="143"/>
  <c r="R177" i="142"/>
  <c r="P7" i="143"/>
  <c r="N123" i="142"/>
  <c r="Q9" i="142"/>
  <c r="AH205" i="2"/>
  <c r="AA139" i="2"/>
  <c r="Q38" i="142"/>
  <c r="M70" i="143"/>
  <c r="K69" i="143"/>
  <c r="W32" i="2"/>
  <c r="Q274" i="143"/>
  <c r="F88" i="143"/>
  <c r="Q53" i="143"/>
  <c r="AF131" i="2"/>
  <c r="I216" i="143"/>
  <c r="L77" i="142"/>
  <c r="K241" i="143"/>
  <c r="O36" i="142"/>
  <c r="Q81" i="142"/>
  <c r="K246" i="142"/>
  <c r="H337" i="143"/>
  <c r="F401" i="143"/>
  <c r="I164" i="143"/>
  <c r="L277" i="143"/>
  <c r="Q102" i="143"/>
  <c r="F143" i="143"/>
  <c r="S176" i="142"/>
  <c r="T151" i="142"/>
  <c r="S109" i="142"/>
  <c r="P334" i="143"/>
  <c r="N67" i="143"/>
  <c r="M87" i="143"/>
  <c r="F32" i="143"/>
  <c r="AH27" i="2"/>
  <c r="K50" i="142"/>
  <c r="O121" i="142"/>
  <c r="Z139" i="2"/>
  <c r="N22" i="142"/>
  <c r="K141" i="143"/>
  <c r="AA95" i="2"/>
  <c r="N248" i="142"/>
  <c r="J258" i="143"/>
  <c r="K65" i="142"/>
  <c r="E397" i="143"/>
  <c r="O10" i="142"/>
  <c r="I27" i="143"/>
  <c r="F400" i="143"/>
  <c r="R49" i="142"/>
  <c r="J334" i="143"/>
  <c r="G219" i="143"/>
  <c r="K53" i="143"/>
  <c r="AG65" i="2"/>
  <c r="N333" i="143"/>
  <c r="Z197" i="2"/>
  <c r="O29" i="143"/>
  <c r="L121" i="143"/>
  <c r="F48" i="143"/>
  <c r="I107" i="143"/>
  <c r="H202" i="143"/>
  <c r="L23" i="142"/>
  <c r="Q159" i="143"/>
  <c r="K298" i="143"/>
  <c r="F86" i="143"/>
  <c r="K224" i="143"/>
  <c r="O8" i="142"/>
  <c r="P231" i="142"/>
  <c r="AD150" i="2"/>
  <c r="N312" i="143"/>
  <c r="M162" i="142"/>
  <c r="N300" i="143"/>
  <c r="H280" i="143"/>
  <c r="I159" i="143"/>
  <c r="K148" i="143"/>
  <c r="K89" i="143"/>
  <c r="Z161" i="2"/>
  <c r="AE161" i="2"/>
  <c r="P106" i="143"/>
  <c r="Y161" i="2"/>
  <c r="P67" i="143"/>
  <c r="G129" i="143"/>
  <c r="H224" i="143"/>
  <c r="M65" i="143"/>
  <c r="P8" i="142"/>
  <c r="AH192" i="2"/>
  <c r="M301" i="143"/>
  <c r="O12" i="143"/>
  <c r="N358" i="143"/>
  <c r="J49" i="142"/>
  <c r="T177" i="142"/>
  <c r="Q204" i="143"/>
  <c r="K145" i="143"/>
  <c r="N68" i="143"/>
  <c r="O125" i="143"/>
  <c r="P164" i="142"/>
  <c r="Q121" i="142"/>
  <c r="T203" i="142"/>
  <c r="O192" i="142"/>
  <c r="Y95" i="2"/>
  <c r="J235" i="143"/>
  <c r="M91" i="142"/>
  <c r="P222" i="143"/>
  <c r="P337" i="143"/>
  <c r="O216" i="143"/>
  <c r="I53" i="143"/>
  <c r="L192" i="142"/>
  <c r="Z27" i="2"/>
  <c r="T164" i="142"/>
  <c r="K51" i="142"/>
  <c r="Q231" i="142"/>
  <c r="AA214" i="2"/>
  <c r="Q67" i="142"/>
  <c r="Y98" i="2"/>
  <c r="H221" i="143"/>
  <c r="AD192" i="2"/>
  <c r="J219" i="143"/>
  <c r="N7" i="143"/>
  <c r="L204" i="143"/>
  <c r="AB71" i="2"/>
  <c r="I9" i="142"/>
  <c r="N233" i="142"/>
  <c r="AE208" i="2"/>
  <c r="J354" i="143"/>
  <c r="M218" i="143"/>
  <c r="M217" i="142"/>
  <c r="J163" i="142"/>
  <c r="J165" i="143"/>
  <c r="Q200" i="143"/>
  <c r="Q47" i="143"/>
  <c r="P31" i="143"/>
  <c r="O159" i="143"/>
  <c r="P261" i="143"/>
  <c r="P141" i="143"/>
  <c r="AF170" i="2"/>
  <c r="F159" i="143"/>
  <c r="J83" i="143"/>
  <c r="F65" i="143"/>
  <c r="G167" i="143"/>
  <c r="O85" i="143"/>
  <c r="S25" i="142"/>
  <c r="T79" i="142"/>
  <c r="M92" i="142"/>
  <c r="Q88" i="143"/>
  <c r="L281" i="143"/>
  <c r="O146" i="143"/>
  <c r="I9" i="143"/>
  <c r="K53" i="142"/>
  <c r="I37" i="142"/>
  <c r="K235" i="143"/>
  <c r="K350" i="143"/>
  <c r="S51" i="142"/>
  <c r="AE164" i="2"/>
  <c r="J175" i="142"/>
  <c r="I353" i="143"/>
  <c r="W21" i="2"/>
  <c r="O69" i="143"/>
  <c r="N217" i="143"/>
  <c r="N52" i="143"/>
  <c r="L48" i="143"/>
  <c r="S7" i="142"/>
  <c r="P65" i="142"/>
  <c r="I257" i="143"/>
  <c r="R263" i="142"/>
  <c r="L163" i="142"/>
  <c r="K123" i="142"/>
  <c r="N165" i="143"/>
  <c r="T178" i="142"/>
  <c r="O332" i="143"/>
  <c r="N223" i="143"/>
  <c r="M299" i="143"/>
  <c r="AF186" i="2"/>
  <c r="AA54" i="2"/>
  <c r="P352" i="143"/>
  <c r="K39" i="142"/>
  <c r="P300" i="143"/>
  <c r="O31" i="143"/>
  <c r="L280" i="143"/>
  <c r="L53" i="143"/>
  <c r="L219" i="143"/>
  <c r="T63" i="142"/>
  <c r="AD16" i="2"/>
  <c r="I64" i="142"/>
  <c r="M65" i="142"/>
  <c r="K30" i="143"/>
  <c r="L221" i="143"/>
  <c r="W84" i="2"/>
  <c r="P237" i="143"/>
  <c r="N83" i="143"/>
  <c r="AA148" i="2"/>
  <c r="S177" i="142"/>
  <c r="K7" i="143"/>
  <c r="N39" i="142"/>
  <c r="O236" i="143"/>
  <c r="S105" i="142"/>
  <c r="P242" i="143"/>
  <c r="AC137" i="2"/>
  <c r="K357" i="143"/>
  <c r="P71" i="143"/>
  <c r="K223" i="143"/>
  <c r="K95" i="142"/>
  <c r="P232" i="142"/>
  <c r="AA76" i="2"/>
  <c r="Y51" i="2"/>
  <c r="S65" i="142"/>
  <c r="X137" i="2"/>
  <c r="Z98" i="2"/>
  <c r="AH73" i="2"/>
  <c r="N81" i="142"/>
  <c r="G105" i="143"/>
  <c r="Q198" i="143"/>
  <c r="M262" i="142"/>
  <c r="P203" i="143"/>
  <c r="R10" i="142"/>
  <c r="N249" i="142"/>
  <c r="AD126" i="2"/>
  <c r="H127" i="143"/>
  <c r="L218" i="142"/>
  <c r="Y62" i="2"/>
  <c r="J24" i="142"/>
  <c r="AG21" i="2"/>
  <c r="I202" i="143"/>
  <c r="M143" i="143"/>
  <c r="O53" i="143"/>
  <c r="AB84" i="2"/>
  <c r="T262" i="142"/>
  <c r="K191" i="142"/>
  <c r="Z153" i="2"/>
  <c r="AA170" i="2"/>
  <c r="L175" i="142"/>
  <c r="AH51" i="2"/>
  <c r="N207" i="142"/>
  <c r="Q351" i="143"/>
  <c r="N9" i="143"/>
  <c r="H313" i="143"/>
  <c r="P218" i="142"/>
  <c r="N95" i="142"/>
  <c r="H126" i="143"/>
  <c r="Y175" i="2"/>
  <c r="F395" i="143"/>
  <c r="Y126" i="2"/>
  <c r="L200" i="143"/>
  <c r="P109" i="143"/>
  <c r="K27" i="143"/>
  <c r="O224" i="143"/>
  <c r="R9" i="142"/>
  <c r="L108" i="143"/>
  <c r="S49" i="142"/>
  <c r="K205" i="142"/>
  <c r="L315" i="143"/>
  <c r="Z170" i="2"/>
  <c r="Q23" i="142"/>
  <c r="O107" i="142"/>
  <c r="J110" i="143"/>
  <c r="O280" i="143"/>
  <c r="F221" i="143"/>
  <c r="N218" i="143"/>
  <c r="F12" i="143"/>
  <c r="AD197" i="2"/>
  <c r="M63" i="142"/>
  <c r="O65" i="143"/>
  <c r="L106" i="142"/>
  <c r="O176" i="142"/>
  <c r="J273" i="143"/>
  <c r="Q262" i="142"/>
  <c r="N91" i="142"/>
  <c r="F236" i="143"/>
  <c r="F66" i="143"/>
  <c r="I30" i="143"/>
  <c r="M77" i="142"/>
  <c r="K109" i="142"/>
  <c r="AG194" i="2"/>
  <c r="G84" i="143"/>
  <c r="P93" i="142"/>
  <c r="S147" i="142"/>
  <c r="L248" i="142"/>
  <c r="K220" i="142"/>
  <c r="AB18" i="2"/>
  <c r="Z40" i="2"/>
  <c r="F109" i="143"/>
  <c r="L358" i="143"/>
  <c r="F217" i="143"/>
  <c r="J52" i="143"/>
  <c r="I121" i="142"/>
  <c r="M25" i="142"/>
  <c r="J165" i="142"/>
  <c r="F201" i="143"/>
  <c r="I356" i="143"/>
  <c r="N235" i="142"/>
  <c r="S119" i="142"/>
  <c r="M300" i="143"/>
  <c r="O147" i="142"/>
  <c r="I25" i="143"/>
  <c r="P148" i="142"/>
  <c r="L28" i="143"/>
  <c r="AC98" i="2"/>
  <c r="S11" i="142"/>
  <c r="T235" i="142"/>
  <c r="X65" i="2"/>
  <c r="M47" i="143"/>
  <c r="AA109" i="2"/>
  <c r="L262" i="143"/>
  <c r="K88" i="143"/>
  <c r="Z54" i="2"/>
  <c r="O150" i="142"/>
  <c r="Q261" i="142"/>
  <c r="J275" i="143"/>
  <c r="Z51" i="2"/>
  <c r="H318" i="143"/>
  <c r="H10" i="143"/>
  <c r="P206" i="142"/>
  <c r="Y214" i="2"/>
  <c r="F392" i="143"/>
  <c r="AC16" i="2"/>
  <c r="J277" i="143"/>
  <c r="O352" i="143"/>
  <c r="G241" i="143"/>
  <c r="S8" i="142"/>
  <c r="AC65" i="2"/>
  <c r="AH104" i="2"/>
  <c r="H30" i="143"/>
  <c r="Q240" i="143"/>
  <c r="F126" i="143"/>
  <c r="M319" i="143"/>
  <c r="M147" i="142"/>
  <c r="H217" i="143"/>
  <c r="J79" i="142"/>
  <c r="J144" i="143"/>
  <c r="G148" i="143"/>
  <c r="Q282" i="143"/>
  <c r="H45" i="143"/>
  <c r="G30" i="143"/>
  <c r="H125" i="143"/>
  <c r="K216" i="143"/>
  <c r="N144" i="143"/>
  <c r="Q162" i="143"/>
  <c r="AG183" i="2"/>
  <c r="F13" i="143"/>
  <c r="I39" i="142"/>
  <c r="AE192" i="2"/>
  <c r="F122" i="143"/>
  <c r="T119" i="142"/>
  <c r="K317" i="143"/>
  <c r="H295" i="143"/>
  <c r="K144" i="143"/>
  <c r="Q7" i="143"/>
  <c r="AA161" i="2"/>
  <c r="O79" i="142"/>
  <c r="G127" i="143"/>
  <c r="K263" i="142"/>
  <c r="R77" i="142"/>
  <c r="N257" i="143"/>
  <c r="P26" i="143"/>
  <c r="L217" i="143"/>
  <c r="J143" i="143"/>
  <c r="I8" i="142"/>
  <c r="M105" i="143"/>
  <c r="K84" i="143"/>
  <c r="L198" i="143"/>
  <c r="L162" i="142"/>
  <c r="AA194" i="2"/>
  <c r="O201" i="143"/>
  <c r="L276" i="143"/>
  <c r="N217" i="142"/>
  <c r="P15" i="143"/>
  <c r="Q262" i="143"/>
  <c r="F402" i="143"/>
  <c r="N199" i="143"/>
  <c r="G221" i="143"/>
  <c r="I165" i="143"/>
  <c r="Q8" i="143"/>
  <c r="N317" i="143"/>
  <c r="AF87" i="2"/>
  <c r="M334" i="143"/>
  <c r="I49" i="142"/>
  <c r="P10" i="143"/>
  <c r="T248" i="142"/>
  <c r="M313" i="143"/>
  <c r="G83" i="143"/>
  <c r="F51" i="143"/>
  <c r="F108" i="143"/>
  <c r="L11" i="143"/>
  <c r="K148" i="142"/>
  <c r="S52" i="142"/>
  <c r="T21" i="142"/>
  <c r="N175" i="142"/>
  <c r="M163" i="143"/>
  <c r="AD104" i="2"/>
  <c r="S63" i="142"/>
  <c r="J203" i="143"/>
  <c r="P240" i="143"/>
  <c r="O103" i="143"/>
  <c r="J279" i="143"/>
  <c r="M69" i="143"/>
  <c r="N8" i="142"/>
  <c r="H121" i="143"/>
  <c r="AG181" i="2"/>
  <c r="O314" i="143"/>
  <c r="AE137" i="2"/>
  <c r="Q235" i="143"/>
  <c r="S161" i="142"/>
  <c r="AA120" i="2"/>
  <c r="L147" i="142"/>
  <c r="AH150" i="2"/>
  <c r="T175" i="142"/>
  <c r="Y54" i="2"/>
  <c r="O246" i="142"/>
  <c r="O148" i="143"/>
  <c r="P52" i="142"/>
  <c r="M205" i="143"/>
  <c r="M23" i="142"/>
  <c r="J151" i="142"/>
  <c r="Q11" i="143"/>
  <c r="Q120" i="142"/>
  <c r="AD76" i="2"/>
  <c r="AE186" i="2"/>
  <c r="N87" i="143"/>
  <c r="L70" i="143"/>
  <c r="N280" i="143"/>
  <c r="R206" i="142"/>
  <c r="Q297" i="143"/>
  <c r="R207" i="142"/>
  <c r="N52" i="142"/>
  <c r="N241" i="143"/>
  <c r="Z95" i="2"/>
  <c r="AC54" i="2"/>
  <c r="O217" i="142"/>
  <c r="M84" i="143"/>
  <c r="M337" i="143"/>
  <c r="K175" i="142"/>
  <c r="O198" i="143"/>
  <c r="O240" i="143"/>
  <c r="L145" i="143"/>
  <c r="K239" i="143"/>
  <c r="K221" i="142"/>
  <c r="L339" i="143"/>
  <c r="H256" i="143"/>
  <c r="AB170" i="2"/>
  <c r="Q10" i="143"/>
  <c r="G203" i="143"/>
  <c r="O35" i="142"/>
  <c r="AG16" i="2"/>
  <c r="P52" i="143"/>
  <c r="K24" i="142"/>
  <c r="M53" i="142"/>
  <c r="M279" i="143"/>
  <c r="Q67" i="143"/>
  <c r="Q191" i="142"/>
  <c r="P205" i="142"/>
  <c r="X128" i="2"/>
  <c r="T261" i="142"/>
  <c r="J90" i="143"/>
  <c r="K10" i="142"/>
  <c r="Q220" i="142"/>
  <c r="AA131" i="2"/>
  <c r="N49" i="143"/>
  <c r="O65" i="142"/>
  <c r="Q109" i="142"/>
  <c r="M148" i="143"/>
  <c r="Q246" i="142"/>
  <c r="M298" i="143"/>
  <c r="K149" i="142"/>
  <c r="F219" i="143"/>
  <c r="P122" i="142"/>
  <c r="L39" i="142"/>
  <c r="P30" i="143"/>
  <c r="H222" i="143"/>
  <c r="I162" i="142"/>
  <c r="O68" i="143"/>
  <c r="AD62" i="2"/>
  <c r="J106" i="142"/>
  <c r="I88" i="143"/>
  <c r="Q177" i="142"/>
  <c r="J160" i="143"/>
  <c r="T192" i="142"/>
  <c r="K65" i="143"/>
  <c r="J11" i="143"/>
  <c r="P220" i="143"/>
  <c r="AF109" i="2"/>
  <c r="T51" i="142"/>
  <c r="J64" i="143"/>
  <c r="Y197" i="2"/>
  <c r="M247" i="142"/>
  <c r="G71" i="143"/>
  <c r="N45" i="143"/>
  <c r="AB164" i="2"/>
  <c r="P102" i="143"/>
  <c r="Q331" i="143"/>
  <c r="K295" i="143"/>
  <c r="F87" i="143"/>
  <c r="O338" i="143"/>
  <c r="J337" i="143"/>
  <c r="S77" i="142"/>
  <c r="I35" i="142"/>
  <c r="R94" i="142"/>
  <c r="L219" i="142"/>
  <c r="L317" i="143"/>
  <c r="H107" i="143"/>
  <c r="O161" i="142"/>
  <c r="O239" i="143"/>
  <c r="R39" i="142"/>
  <c r="Q301" i="143"/>
  <c r="G69" i="143"/>
  <c r="P104" i="143"/>
  <c r="K297" i="143"/>
  <c r="M166" i="143"/>
  <c r="L125" i="143"/>
  <c r="K50" i="143"/>
  <c r="O318" i="143"/>
  <c r="G126" i="143"/>
  <c r="L94" i="142"/>
  <c r="AA62" i="2"/>
  <c r="M258" i="143"/>
  <c r="J255" i="143"/>
  <c r="P66" i="142"/>
  <c r="AH164" i="2"/>
  <c r="Q150" i="142"/>
  <c r="R247" i="142"/>
  <c r="K331" i="143"/>
  <c r="Q217" i="142"/>
  <c r="O22" i="142"/>
  <c r="N32" i="143"/>
  <c r="J15" i="143"/>
  <c r="I162" i="143"/>
  <c r="M78" i="142"/>
  <c r="N259" i="143"/>
  <c r="I79" i="142"/>
  <c r="P84" i="143"/>
  <c r="G103" i="143"/>
  <c r="M260" i="143"/>
  <c r="H200" i="143"/>
  <c r="M243" i="143"/>
  <c r="L166" i="143"/>
  <c r="M204" i="143"/>
  <c r="Q71" i="143"/>
  <c r="K245" i="142"/>
  <c r="P28" i="143"/>
  <c r="T221" i="142"/>
  <c r="K68" i="143"/>
  <c r="P10" i="142"/>
  <c r="L72" i="143"/>
  <c r="I293" i="143"/>
  <c r="J278" i="143"/>
  <c r="N37" i="142"/>
  <c r="R37" i="142"/>
  <c r="L161" i="143"/>
  <c r="H352" i="143"/>
  <c r="P29" i="143"/>
  <c r="R162" i="142"/>
  <c r="H167" i="143"/>
  <c r="J147" i="143"/>
  <c r="Q333" i="143"/>
  <c r="AB65" i="2"/>
  <c r="N53" i="142"/>
  <c r="N235" i="143"/>
  <c r="O38" i="142"/>
  <c r="H123" i="143"/>
  <c r="M206" i="142"/>
  <c r="L282" i="143"/>
  <c r="P339" i="143"/>
  <c r="L110" i="143"/>
  <c r="AA51" i="2"/>
  <c r="P72" i="143"/>
  <c r="H90" i="143"/>
  <c r="L313" i="143"/>
  <c r="M335" i="143"/>
  <c r="N90" i="143"/>
  <c r="AH203" i="2"/>
  <c r="AD109" i="2"/>
  <c r="AA197" i="2"/>
  <c r="AB87" i="2"/>
  <c r="J92" i="142"/>
  <c r="AB181" i="2"/>
  <c r="Q24" i="142"/>
  <c r="Y10" i="2"/>
  <c r="M49" i="142"/>
  <c r="L177" i="142"/>
  <c r="J298" i="143"/>
  <c r="AD153" i="2"/>
  <c r="M203" i="143"/>
  <c r="G220" i="143"/>
  <c r="M338" i="143"/>
  <c r="P333" i="143"/>
  <c r="Q179" i="142"/>
  <c r="N102" i="143"/>
  <c r="Q248" i="142"/>
  <c r="O235" i="143"/>
  <c r="P13" i="143"/>
  <c r="Q216" i="143"/>
  <c r="G142" i="143"/>
  <c r="M10" i="142"/>
  <c r="AD203" i="2"/>
  <c r="M30" i="143"/>
  <c r="AD29" i="2"/>
  <c r="Q281" i="143"/>
  <c r="O67" i="142"/>
  <c r="L122" i="142"/>
  <c r="AH62" i="2"/>
  <c r="M103" i="143"/>
  <c r="K64" i="143"/>
  <c r="I301" i="143"/>
  <c r="AE98" i="2"/>
  <c r="AB95" i="2"/>
  <c r="F163" i="143"/>
  <c r="AA43" i="2"/>
  <c r="Q126" i="143"/>
  <c r="I22" i="142"/>
  <c r="P49" i="143"/>
  <c r="W137" i="2"/>
  <c r="K351" i="143"/>
  <c r="J237" i="143"/>
  <c r="K46" i="143"/>
  <c r="I217" i="143"/>
  <c r="R235" i="142"/>
  <c r="O108" i="143"/>
  <c r="Q92" i="142"/>
  <c r="AC51" i="2"/>
  <c r="S64" i="142"/>
  <c r="AA175" i="2"/>
  <c r="AB142" i="2"/>
  <c r="Q128" i="143"/>
  <c r="AG87" i="2"/>
  <c r="T246" i="142"/>
  <c r="O70" i="143"/>
  <c r="M31" i="143"/>
  <c r="AG71" i="2"/>
  <c r="AF205" i="2"/>
  <c r="P49" i="142"/>
  <c r="M237" i="143"/>
  <c r="O313" i="143"/>
  <c r="K140" i="143"/>
  <c r="G86" i="143"/>
  <c r="K277" i="143"/>
  <c r="S107" i="142"/>
  <c r="K249" i="142"/>
  <c r="J294" i="143"/>
  <c r="M204" i="142"/>
  <c r="P261" i="142"/>
  <c r="N108" i="143"/>
  <c r="AC106" i="2"/>
  <c r="N50" i="142"/>
  <c r="AG62" i="2"/>
  <c r="N245" i="142"/>
  <c r="H165" i="143"/>
  <c r="P149" i="142"/>
  <c r="AE71" i="2"/>
  <c r="I315" i="143"/>
  <c r="F33" i="143"/>
  <c r="P91" i="142"/>
  <c r="S178" i="142"/>
  <c r="AA192" i="2"/>
  <c r="I200" i="143"/>
  <c r="P235" i="143"/>
  <c r="AC104" i="2"/>
  <c r="I49" i="143"/>
  <c r="S148" i="142"/>
  <c r="G10" i="143"/>
  <c r="K192" i="142"/>
  <c r="K294" i="143"/>
  <c r="AG109" i="2"/>
  <c r="G140" i="143"/>
  <c r="AE216" i="2"/>
  <c r="Q29" i="143"/>
  <c r="F148" i="143"/>
  <c r="H317" i="143"/>
  <c r="P255" i="143"/>
  <c r="P235" i="142"/>
  <c r="I146" i="143"/>
  <c r="K240" i="143"/>
  <c r="F243" i="143"/>
  <c r="N51" i="142"/>
  <c r="P301" i="143"/>
  <c r="O260" i="143"/>
  <c r="P53" i="143"/>
  <c r="M119" i="142"/>
  <c r="O15" i="143"/>
  <c r="H89" i="143"/>
  <c r="P224" i="143"/>
  <c r="L84" i="143"/>
  <c r="P331" i="143"/>
  <c r="AD93" i="2"/>
  <c r="Z104" i="2"/>
  <c r="J333" i="143"/>
  <c r="G200" i="143"/>
  <c r="Q161" i="142"/>
  <c r="O221" i="142"/>
  <c r="I28" i="143"/>
  <c r="R25" i="142"/>
  <c r="O91" i="142"/>
  <c r="I26" i="143"/>
  <c r="J122" i="142"/>
  <c r="H279" i="143"/>
  <c r="L164" i="143"/>
  <c r="Q261" i="143"/>
  <c r="Q7" i="142"/>
  <c r="N71" i="143"/>
  <c r="O260" i="142"/>
  <c r="AE126" i="2"/>
  <c r="G47" i="143"/>
  <c r="K165" i="142"/>
  <c r="H105" i="143"/>
  <c r="J26" i="143"/>
  <c r="AC87" i="2"/>
  <c r="L314" i="143"/>
  <c r="O221" i="143"/>
  <c r="J293" i="143"/>
  <c r="N294" i="143"/>
  <c r="K63" i="142"/>
  <c r="AG27" i="2"/>
  <c r="K217" i="143"/>
  <c r="Q175" i="142"/>
  <c r="G9" i="143"/>
  <c r="J36" i="142"/>
  <c r="S106" i="142"/>
  <c r="L162" i="143"/>
  <c r="N38" i="142"/>
  <c r="G109" i="143"/>
  <c r="L123" i="143"/>
  <c r="M317" i="143"/>
  <c r="O67" i="143"/>
  <c r="P254" i="143"/>
  <c r="P277" i="143"/>
  <c r="P50" i="143"/>
  <c r="N279" i="143"/>
  <c r="AE60" i="2"/>
  <c r="Q109" i="143"/>
  <c r="O203" i="142"/>
  <c r="AE148" i="2"/>
  <c r="AB98" i="2"/>
  <c r="N69" i="143"/>
  <c r="O110" i="143"/>
  <c r="P178" i="142"/>
  <c r="X60" i="2"/>
  <c r="K176" i="142"/>
  <c r="H128" i="143"/>
  <c r="O197" i="143"/>
  <c r="W150" i="2"/>
  <c r="R107" i="142"/>
  <c r="O106" i="142"/>
  <c r="AH126" i="2"/>
  <c r="Q192" i="142"/>
  <c r="M8" i="142"/>
  <c r="M333" i="143"/>
  <c r="AG49" i="2"/>
  <c r="Y208" i="2"/>
  <c r="L221" i="142"/>
  <c r="L52" i="143"/>
  <c r="I335" i="143"/>
  <c r="P318" i="143"/>
  <c r="G50" i="143"/>
  <c r="O46" i="143"/>
  <c r="M276" i="143"/>
  <c r="L122" i="143"/>
  <c r="R164" i="142"/>
  <c r="O123" i="143"/>
  <c r="AF137" i="2"/>
  <c r="T23" i="142"/>
  <c r="M263" i="142"/>
  <c r="I14" i="143"/>
  <c r="T80" i="142"/>
  <c r="AE54" i="2"/>
  <c r="L235" i="143"/>
  <c r="Q51" i="142"/>
  <c r="S248" i="142"/>
  <c r="N337" i="143"/>
  <c r="L127" i="143"/>
  <c r="I122" i="142"/>
  <c r="M164" i="143"/>
  <c r="J65" i="142"/>
  <c r="F390" i="143"/>
  <c r="L240" i="143"/>
  <c r="J197" i="143"/>
  <c r="L140" i="143"/>
  <c r="N261" i="142"/>
  <c r="J46" i="143"/>
  <c r="N151" i="142"/>
  <c r="M64" i="142"/>
  <c r="I125" i="143"/>
  <c r="Q219" i="143"/>
  <c r="O249" i="142"/>
  <c r="L67" i="142"/>
  <c r="K177" i="142"/>
  <c r="J262" i="143"/>
  <c r="L105" i="142"/>
  <c r="Q178" i="142"/>
  <c r="X106" i="2"/>
  <c r="Z29" i="2"/>
  <c r="O350" i="143"/>
  <c r="R262" i="142"/>
  <c r="W98" i="2"/>
  <c r="Q294" i="143"/>
  <c r="O277" i="143"/>
  <c r="AC197" i="2"/>
  <c r="P51" i="142"/>
  <c r="L149" i="142"/>
  <c r="H320" i="143"/>
  <c r="Q260" i="142"/>
  <c r="AE197" i="2"/>
  <c r="K121" i="143"/>
  <c r="AA203" i="2"/>
  <c r="T24" i="142"/>
  <c r="M85" i="143"/>
  <c r="L49" i="142"/>
  <c r="T232" i="142"/>
  <c r="O354" i="143"/>
  <c r="N164" i="143"/>
  <c r="J31" i="143"/>
  <c r="AF98" i="2"/>
  <c r="G48" i="143"/>
  <c r="L24" i="142"/>
  <c r="J72" i="143"/>
  <c r="P64" i="143"/>
  <c r="AF153" i="2"/>
  <c r="Y148" i="2"/>
  <c r="AC142" i="2"/>
  <c r="K91" i="143"/>
  <c r="I314" i="143"/>
  <c r="L105" i="143"/>
  <c r="X73" i="2"/>
  <c r="N80" i="142"/>
  <c r="H316" i="143"/>
  <c r="P35" i="142"/>
  <c r="O167" i="143"/>
  <c r="J162" i="143"/>
  <c r="L241" i="143"/>
  <c r="O109" i="142"/>
  <c r="P91" i="143"/>
  <c r="N262" i="143"/>
  <c r="I240" i="143"/>
  <c r="AB51" i="2"/>
  <c r="M80" i="142"/>
  <c r="F46" i="143"/>
  <c r="L205" i="142"/>
  <c r="Q358" i="143"/>
  <c r="Q93" i="142"/>
  <c r="AD139" i="2"/>
  <c r="AF82" i="2"/>
  <c r="S219" i="142"/>
  <c r="K281" i="143"/>
  <c r="O315" i="143"/>
  <c r="O7" i="143"/>
  <c r="F69" i="143"/>
  <c r="AE65" i="2"/>
  <c r="I71" i="143"/>
  <c r="G141" i="143"/>
  <c r="H33" i="143"/>
  <c r="AC181" i="2"/>
  <c r="R149" i="142"/>
  <c r="Q339" i="143"/>
  <c r="H275" i="143"/>
  <c r="J70" i="143"/>
  <c r="X71" i="2"/>
  <c r="P92" i="142"/>
  <c r="S203" i="142"/>
  <c r="O295" i="143"/>
  <c r="L238" i="143"/>
  <c r="P94" i="142"/>
  <c r="AH93" i="2"/>
  <c r="N150" i="142"/>
  <c r="N260" i="143"/>
  <c r="O86" i="143"/>
  <c r="AA205" i="2"/>
  <c r="F71" i="143"/>
  <c r="AG172" i="2"/>
  <c r="AD148" i="2"/>
  <c r="O94" i="142"/>
  <c r="N121" i="143"/>
  <c r="N352" i="143"/>
  <c r="Q241" i="143"/>
  <c r="T190" i="142"/>
  <c r="H51" i="143"/>
  <c r="H203" i="143"/>
  <c r="R121" i="142"/>
  <c r="AF27" i="2"/>
  <c r="Z120" i="2"/>
  <c r="N159" i="143"/>
  <c r="Y131" i="2"/>
  <c r="O25" i="142"/>
  <c r="O207" i="142"/>
  <c r="AC27" i="2"/>
  <c r="Z38" i="2"/>
  <c r="R24" i="142"/>
  <c r="H236" i="143"/>
  <c r="F204" i="143"/>
  <c r="AC148" i="2"/>
  <c r="Q28" i="143"/>
  <c r="G216" i="143"/>
  <c r="O259" i="142"/>
  <c r="O243" i="143"/>
  <c r="M104" i="143"/>
  <c r="AH120" i="2"/>
  <c r="H312" i="143"/>
  <c r="S204" i="142"/>
  <c r="P77" i="142"/>
  <c r="L247" i="142"/>
  <c r="R150" i="142"/>
  <c r="H294" i="143"/>
  <c r="L10" i="143"/>
  <c r="M7" i="143"/>
  <c r="T206" i="142"/>
  <c r="O256" i="143"/>
  <c r="K70" i="143"/>
  <c r="K163" i="143"/>
  <c r="M91" i="143"/>
  <c r="O190" i="142"/>
  <c r="M125" i="143"/>
  <c r="L7" i="143"/>
  <c r="J33" i="143"/>
  <c r="O50" i="142"/>
  <c r="G7" i="143"/>
  <c r="X51" i="2"/>
  <c r="G198" i="143"/>
  <c r="H223" i="143"/>
  <c r="AA159" i="2"/>
  <c r="W104" i="2"/>
  <c r="P70" i="143"/>
  <c r="M197" i="143"/>
  <c r="I260" i="143"/>
  <c r="M93" i="142"/>
  <c r="Z60" i="2"/>
  <c r="Q65" i="142"/>
  <c r="R122" i="142"/>
  <c r="P245" i="142"/>
  <c r="AB10" i="2"/>
  <c r="Q105" i="142"/>
  <c r="R259" i="142"/>
  <c r="T165" i="142"/>
  <c r="F205" i="143"/>
  <c r="AG205" i="2"/>
  <c r="I338" i="143"/>
  <c r="Y21" i="2"/>
  <c r="O232" i="142"/>
  <c r="H47" i="143"/>
  <c r="O160" i="143"/>
  <c r="I83" i="143"/>
  <c r="L50" i="142"/>
  <c r="I126" i="143"/>
  <c r="G146" i="143"/>
  <c r="O218" i="143"/>
  <c r="S37" i="142"/>
  <c r="N243" i="143"/>
  <c r="H144" i="143"/>
  <c r="T37" i="142"/>
  <c r="I175" i="142"/>
  <c r="M236" i="143"/>
  <c r="M110" i="143"/>
  <c r="AB153" i="2"/>
  <c r="Q205" i="142"/>
  <c r="Q257" i="143"/>
  <c r="K220" i="143"/>
  <c r="R66" i="142"/>
  <c r="O298" i="143"/>
  <c r="H11" i="143"/>
  <c r="AD65" i="2"/>
  <c r="J30" i="143"/>
  <c r="J164" i="143"/>
  <c r="O161" i="143"/>
  <c r="L64" i="143"/>
  <c r="N109" i="143"/>
  <c r="N191" i="142"/>
  <c r="J95" i="142"/>
  <c r="N105" i="142"/>
  <c r="N120" i="142"/>
  <c r="AF139" i="2"/>
  <c r="M231" i="142"/>
  <c r="AH197" i="2"/>
  <c r="AG32" i="2"/>
  <c r="L312" i="143"/>
  <c r="M102" i="143"/>
  <c r="K356" i="143"/>
  <c r="S66" i="142"/>
  <c r="O281" i="143"/>
  <c r="P193" i="142"/>
  <c r="F89" i="143"/>
  <c r="J87" i="143"/>
  <c r="S36" i="142"/>
  <c r="Q140" i="143"/>
  <c r="K221" i="143"/>
  <c r="L216" i="143"/>
  <c r="Z137" i="2"/>
  <c r="P120" i="142"/>
  <c r="P239" i="143"/>
  <c r="AF216" i="2"/>
  <c r="Q316" i="143"/>
  <c r="K167" i="143"/>
  <c r="P199" i="143"/>
  <c r="AB106" i="2"/>
  <c r="L179" i="142"/>
  <c r="Z71" i="2"/>
  <c r="S245" i="142"/>
  <c r="Q203" i="142"/>
  <c r="AD159" i="2"/>
  <c r="J149" i="142"/>
  <c r="G147" i="143"/>
  <c r="Q125" i="143"/>
  <c r="O333" i="143"/>
  <c r="P279" i="143"/>
  <c r="J316" i="143"/>
  <c r="K204" i="143"/>
  <c r="R52" i="142"/>
  <c r="O90" i="143"/>
  <c r="M146" i="143"/>
  <c r="N262" i="142"/>
  <c r="J202" i="143"/>
  <c r="P108" i="142"/>
  <c r="Z164" i="2"/>
  <c r="W71" i="2"/>
  <c r="H91" i="143"/>
  <c r="O104" i="143"/>
  <c r="L354" i="143"/>
  <c r="A261" i="1"/>
  <c r="N247" i="142"/>
  <c r="L351" i="143"/>
  <c r="L31" i="143"/>
  <c r="R80" i="142"/>
  <c r="E399" i="143"/>
  <c r="Y142" i="2"/>
  <c r="J177" i="142"/>
  <c r="K124" i="143"/>
  <c r="P317" i="143"/>
  <c r="Q317" i="143"/>
  <c r="R176" i="142"/>
  <c r="L278" i="143"/>
  <c r="O142" i="143"/>
  <c r="Q63" i="142"/>
  <c r="O39" i="142"/>
  <c r="W131" i="2"/>
  <c r="P87" i="143"/>
  <c r="AH142" i="2"/>
  <c r="P219" i="142"/>
  <c r="P25" i="143"/>
  <c r="H356" i="143"/>
  <c r="AD18" i="2"/>
  <c r="AB29" i="2"/>
  <c r="F106" i="143"/>
  <c r="O141" i="143"/>
  <c r="X120" i="2"/>
  <c r="J25" i="143"/>
  <c r="S120" i="142"/>
  <c r="H273" i="143"/>
  <c r="N85" i="143"/>
  <c r="M164" i="142"/>
  <c r="H28" i="143"/>
  <c r="T107" i="142"/>
  <c r="AG128" i="2"/>
  <c r="I351" i="143"/>
  <c r="F222" i="143"/>
  <c r="L201" i="143"/>
  <c r="I276" i="143"/>
  <c r="K254" i="143"/>
  <c r="I219" i="143"/>
  <c r="N106" i="142"/>
  <c r="AF32" i="2"/>
  <c r="Q25" i="143"/>
  <c r="H299" i="143"/>
  <c r="J145" i="143"/>
  <c r="O247" i="142"/>
  <c r="T161" i="142"/>
  <c r="Q91" i="143"/>
  <c r="L178" i="142"/>
  <c r="AE76" i="2"/>
  <c r="O25" i="143"/>
  <c r="M37" i="142"/>
  <c r="K237" i="143"/>
  <c r="H350" i="143"/>
  <c r="S260" i="142"/>
  <c r="T95" i="142"/>
  <c r="I67" i="143"/>
  <c r="M129" i="143"/>
  <c r="N315" i="143"/>
  <c r="AB32" i="2"/>
  <c r="G145" i="143"/>
  <c r="O297" i="143"/>
  <c r="Q36" i="142"/>
  <c r="O108" i="142"/>
  <c r="AB49" i="2"/>
  <c r="O11" i="143"/>
  <c r="O37" i="142"/>
  <c r="J50" i="142"/>
  <c r="J159" i="143"/>
  <c r="F84" i="143"/>
  <c r="S94" i="142"/>
  <c r="L233" i="142"/>
  <c r="F45" i="143"/>
  <c r="O51" i="142"/>
  <c r="S206" i="142"/>
  <c r="L232" i="142"/>
  <c r="O11" i="142"/>
  <c r="Q232" i="142"/>
  <c r="O300" i="143"/>
  <c r="Q122" i="143"/>
  <c r="I105" i="143"/>
  <c r="M191" i="142"/>
  <c r="P357" i="143"/>
  <c r="H216" i="143"/>
  <c r="Y82" i="2"/>
  <c r="W18" i="2"/>
  <c r="N234" i="142"/>
  <c r="H110" i="143"/>
  <c r="G64" i="143"/>
  <c r="K31" i="143"/>
  <c r="O163" i="142"/>
  <c r="J109" i="143"/>
  <c r="K147" i="143"/>
  <c r="M123" i="142"/>
  <c r="H129" i="143"/>
  <c r="K23" i="142"/>
  <c r="P125" i="143"/>
  <c r="P236" i="143"/>
  <c r="F105" i="143"/>
  <c r="N65" i="143"/>
  <c r="P128" i="143"/>
  <c r="Q277" i="143"/>
  <c r="N36" i="142"/>
  <c r="K162" i="142"/>
  <c r="N107" i="142"/>
  <c r="AE128" i="2"/>
  <c r="I203" i="143"/>
  <c r="N336" i="143"/>
  <c r="F202" i="143"/>
  <c r="L243" i="143"/>
  <c r="AC170" i="2"/>
  <c r="N202" i="143"/>
  <c r="A264" i="1"/>
  <c r="M11" i="143"/>
  <c r="N162" i="143"/>
  <c r="P69" i="143"/>
  <c r="J45" i="143"/>
  <c r="L9" i="142"/>
  <c r="N24" i="142"/>
  <c r="H32" i="143"/>
  <c r="O53" i="142"/>
  <c r="I160" i="143"/>
  <c r="AG82" i="2"/>
  <c r="P353" i="143"/>
  <c r="P86" i="143"/>
  <c r="N31" i="143"/>
  <c r="L80" i="142"/>
  <c r="K299" i="143"/>
  <c r="AE205" i="2"/>
  <c r="Q296" i="143"/>
  <c r="Q221" i="142"/>
  <c r="O241" i="143"/>
  <c r="I255" i="143"/>
  <c r="J301" i="143"/>
  <c r="R248" i="142"/>
  <c r="AF43" i="2"/>
  <c r="M242" i="143"/>
  <c r="K337" i="143"/>
  <c r="O294" i="143"/>
  <c r="L191" i="142"/>
  <c r="I104" i="143"/>
  <c r="P220" i="142"/>
  <c r="S9" i="142"/>
  <c r="F102" i="143"/>
  <c r="AD82" i="2"/>
  <c r="M218" i="142"/>
  <c r="AG197" i="2"/>
  <c r="Q313" i="143"/>
  <c r="Y137" i="2"/>
  <c r="J22" i="142"/>
  <c r="J88" i="143"/>
  <c r="N276" i="143"/>
  <c r="J236" i="143"/>
  <c r="F224" i="143"/>
  <c r="O51" i="143"/>
  <c r="P177" i="142"/>
  <c r="P161" i="142"/>
  <c r="O274" i="143"/>
  <c r="K233" i="142"/>
  <c r="J8" i="142"/>
  <c r="N103" i="143"/>
  <c r="M89" i="143"/>
  <c r="O219" i="143"/>
  <c r="Q164" i="143"/>
  <c r="O179" i="142"/>
  <c r="X126" i="2"/>
  <c r="F85" i="143"/>
  <c r="H122" i="143"/>
  <c r="J216" i="143"/>
  <c r="L203" i="143"/>
  <c r="R109" i="142"/>
  <c r="S81" i="142"/>
  <c r="Z192" i="2"/>
  <c r="Q205" i="143"/>
  <c r="L218" i="143"/>
  <c r="P351" i="143"/>
  <c r="Q66" i="142"/>
  <c r="O162" i="143"/>
  <c r="L9" i="143"/>
  <c r="K160" i="143"/>
  <c r="AB120" i="2"/>
  <c r="I8" i="143"/>
  <c r="P142" i="143"/>
  <c r="L165" i="142"/>
  <c r="I312" i="143"/>
  <c r="O78" i="142"/>
  <c r="N293" i="143"/>
  <c r="L160" i="143"/>
  <c r="G8" i="143"/>
  <c r="T121" i="142"/>
  <c r="J299" i="143"/>
  <c r="G121" i="143"/>
  <c r="P109" i="142"/>
  <c r="J80" i="142"/>
  <c r="M221" i="143"/>
  <c r="J276" i="143"/>
  <c r="H13" i="143"/>
  <c r="J163" i="143"/>
  <c r="N216" i="143"/>
  <c r="AE16" i="2"/>
  <c r="I198" i="143"/>
  <c r="K159" i="143"/>
  <c r="N63" i="142"/>
  <c r="M109" i="143"/>
  <c r="P207" i="142"/>
  <c r="H339" i="143"/>
  <c r="AH10" i="2"/>
  <c r="O27" i="143"/>
  <c r="W128" i="2"/>
  <c r="K207" i="142"/>
  <c r="F47" i="143"/>
  <c r="M38" i="142"/>
  <c r="Q165" i="143"/>
  <c r="K162" i="143"/>
  <c r="AD120" i="2"/>
  <c r="P143" i="143"/>
  <c r="AA150" i="2"/>
  <c r="J297" i="143"/>
  <c r="P36" i="142"/>
  <c r="AD98" i="2"/>
  <c r="M175" i="142"/>
  <c r="N9" i="142"/>
  <c r="J352" i="143"/>
  <c r="I337" i="143"/>
  <c r="M352" i="143"/>
  <c r="T148" i="142"/>
  <c r="T81" i="142"/>
  <c r="Q258" i="143"/>
  <c r="Z186" i="2"/>
  <c r="R219" i="142"/>
  <c r="Z62" i="2"/>
  <c r="M159" i="143"/>
  <c r="Q218" i="143"/>
  <c r="F91" i="143"/>
  <c r="P246" i="142"/>
  <c r="F29" i="143"/>
  <c r="P79" i="142"/>
  <c r="O49" i="142"/>
  <c r="H143" i="143"/>
  <c r="K81" i="142"/>
  <c r="Q357" i="143"/>
  <c r="N26" i="143"/>
  <c r="R21" i="142"/>
  <c r="N146" i="143"/>
  <c r="P105" i="143"/>
  <c r="K125" i="143"/>
  <c r="M68" i="143"/>
  <c r="Q256" i="143"/>
  <c r="K336" i="143"/>
  <c r="AD43" i="2"/>
  <c r="AF142" i="2"/>
  <c r="Y164" i="2"/>
  <c r="I50" i="143"/>
  <c r="AA128" i="2"/>
  <c r="I333" i="143"/>
  <c r="I259" i="143"/>
  <c r="M140" i="143"/>
  <c r="H26" i="143"/>
  <c r="J335" i="143"/>
  <c r="L163" i="143"/>
  <c r="AC205" i="2"/>
  <c r="M235" i="143"/>
  <c r="J51" i="142"/>
  <c r="J148" i="143"/>
  <c r="AB16" i="2"/>
  <c r="AC194" i="2"/>
  <c r="J67" i="142"/>
  <c r="H31" i="143"/>
  <c r="J67" i="143"/>
  <c r="R179" i="142"/>
  <c r="P151" i="142"/>
  <c r="O140" i="143"/>
  <c r="L26" i="143"/>
  <c r="L121" i="142"/>
  <c r="W40" i="2"/>
  <c r="M86" i="143"/>
  <c r="O193" i="142"/>
  <c r="R11" i="142"/>
  <c r="I355" i="143"/>
  <c r="L30" i="143"/>
  <c r="M106" i="143"/>
  <c r="Z109" i="2"/>
  <c r="I47" i="143"/>
  <c r="K21" i="142"/>
  <c r="L126" i="143"/>
  <c r="L15" i="143"/>
  <c r="Q204" i="142"/>
  <c r="P198" i="143"/>
  <c r="K217" i="142"/>
  <c r="K52" i="142"/>
  <c r="O145" i="143"/>
  <c r="N93" i="142"/>
  <c r="AC161" i="2"/>
  <c r="F398" i="143"/>
  <c r="M356" i="143"/>
  <c r="M357" i="143"/>
  <c r="Y60" i="2"/>
  <c r="AD183" i="2"/>
  <c r="H67" i="143"/>
  <c r="T218" i="142"/>
  <c r="S262" i="142"/>
  <c r="G201" i="143"/>
  <c r="P258" i="143"/>
  <c r="T204" i="142"/>
  <c r="M150" i="142"/>
  <c r="I236" i="143"/>
  <c r="M280" i="143"/>
  <c r="P107" i="143"/>
  <c r="H301" i="143"/>
  <c r="L35" i="142"/>
  <c r="Q259" i="143"/>
  <c r="AD128" i="2"/>
  <c r="L45" i="143"/>
  <c r="AD21" i="2"/>
  <c r="K163" i="142"/>
  <c r="E395" i="143"/>
  <c r="K142" i="143"/>
  <c r="S39" i="142"/>
  <c r="R193" i="142"/>
  <c r="L260" i="143"/>
  <c r="S217" i="142"/>
  <c r="L151" i="142"/>
  <c r="AB159" i="2"/>
  <c r="O245" i="142"/>
  <c r="J32" i="143"/>
  <c r="M162" i="143"/>
  <c r="H314" i="143"/>
  <c r="K72" i="143"/>
  <c r="Z73" i="2"/>
  <c r="Z131" i="2"/>
  <c r="L65" i="142"/>
  <c r="R65" i="142"/>
  <c r="J91" i="143"/>
  <c r="R92" i="142"/>
  <c r="K147" i="142"/>
  <c r="Y73" i="2"/>
  <c r="L38" i="142"/>
  <c r="K199" i="143"/>
  <c r="M239" i="143"/>
  <c r="P260" i="143"/>
  <c r="Q95" i="142"/>
  <c r="W106" i="2"/>
  <c r="Z32" i="2"/>
  <c r="T38" i="142"/>
  <c r="H255" i="143"/>
  <c r="M144" i="143"/>
  <c r="N198" i="143"/>
  <c r="L205" i="143"/>
  <c r="Q108" i="142"/>
  <c r="P314" i="143"/>
  <c r="I147" i="142"/>
  <c r="M332" i="143"/>
  <c r="I142" i="143"/>
  <c r="K257" i="143"/>
  <c r="J81" i="142"/>
  <c r="M72" i="143"/>
  <c r="L79" i="142"/>
  <c r="K235" i="142"/>
  <c r="L46" i="143"/>
  <c r="J50" i="143"/>
  <c r="O119" i="142"/>
  <c r="Q160" i="143"/>
  <c r="L63" i="142"/>
  <c r="O259" i="143"/>
  <c r="G205" i="143"/>
  <c r="M52" i="143"/>
  <c r="AG161" i="2"/>
  <c r="Q78" i="142"/>
  <c r="AC126" i="2"/>
  <c r="AA49" i="2"/>
  <c r="M90" i="143"/>
  <c r="K238" i="143"/>
  <c r="L318" i="143"/>
  <c r="H86" i="143"/>
  <c r="AG131" i="2"/>
  <c r="Q247" i="142"/>
  <c r="O235" i="142"/>
  <c r="N141" i="143"/>
  <c r="P163" i="142"/>
  <c r="Q21" i="142"/>
  <c r="K79" i="142"/>
  <c r="Q22" i="142"/>
  <c r="H201" i="143"/>
  <c r="AH38" i="2"/>
  <c r="N105" i="143"/>
  <c r="R562" i="2" l="1"/>
  <c r="AU552" i="2" s="1"/>
  <c r="S550" i="2"/>
  <c r="S558" i="2"/>
  <c r="S552" i="2"/>
  <c r="S553" i="2"/>
  <c r="S555" i="2"/>
  <c r="S554" i="2"/>
  <c r="S556" i="2"/>
  <c r="F13" i="141" s="1"/>
  <c r="S557" i="2"/>
  <c r="AH550" i="2"/>
  <c r="AU550" i="2" s="1"/>
  <c r="T84" i="2"/>
  <c r="U84" i="2" s="1"/>
  <c r="T82" i="2"/>
  <c r="U82" i="2" s="1"/>
  <c r="T76" i="2"/>
  <c r="T183" i="2"/>
  <c r="U183" i="2" s="1"/>
  <c r="T181" i="2"/>
  <c r="U181" i="2" s="1"/>
  <c r="T175" i="2"/>
  <c r="U175" i="2" s="1"/>
  <c r="T208" i="2"/>
  <c r="U208" i="2" s="1"/>
  <c r="T214" i="2"/>
  <c r="U214" i="2" s="1"/>
  <c r="T216" i="2"/>
  <c r="U216" i="2" s="1"/>
  <c r="AK137" i="2"/>
  <c r="M150" i="143"/>
  <c r="M153" i="143" s="1"/>
  <c r="AL51" i="2"/>
  <c r="AT87" i="2"/>
  <c r="AN76" i="2"/>
  <c r="E85" i="143"/>
  <c r="AP170" i="2"/>
  <c r="Q150" i="143"/>
  <c r="Q153" i="143" s="1"/>
  <c r="AO142" i="2"/>
  <c r="AK126" i="2"/>
  <c r="AN175" i="2"/>
  <c r="AQ65" i="2"/>
  <c r="E202" i="143"/>
  <c r="AP51" i="2"/>
  <c r="AP137" i="2"/>
  <c r="AU38" i="2"/>
  <c r="S110" i="142"/>
  <c r="S113" i="142" s="1"/>
  <c r="AR128" i="2"/>
  <c r="K16" i="143"/>
  <c r="K19" i="143" s="1"/>
  <c r="T137" i="2"/>
  <c r="U137" i="2" s="1"/>
  <c r="AJ137" i="2"/>
  <c r="AN148" i="2"/>
  <c r="N93" i="143"/>
  <c r="N96" i="143" s="1"/>
  <c r="U22" i="142"/>
  <c r="E89" i="143"/>
  <c r="AJ84" i="2"/>
  <c r="U233" i="142"/>
  <c r="AN43" i="2"/>
  <c r="AO153" i="2"/>
  <c r="AN128" i="2"/>
  <c r="E163" i="143"/>
  <c r="AO95" i="2"/>
  <c r="AR98" i="2"/>
  <c r="U64" i="142"/>
  <c r="P166" i="142"/>
  <c r="P169" i="142" s="1"/>
  <c r="AD556" i="2"/>
  <c r="AQ556" i="2" s="1"/>
  <c r="AQ16" i="2"/>
  <c r="K74" i="143"/>
  <c r="K77" i="143" s="1"/>
  <c r="T68" i="142"/>
  <c r="T71" i="142" s="1"/>
  <c r="U175" i="142"/>
  <c r="I180" i="142"/>
  <c r="I183" i="142" s="1"/>
  <c r="AU62" i="2"/>
  <c r="E105" i="143"/>
  <c r="E224" i="143"/>
  <c r="T164" i="2"/>
  <c r="U164" i="2" s="1"/>
  <c r="AL164" i="2"/>
  <c r="AQ29" i="2"/>
  <c r="AQ203" i="2"/>
  <c r="AN54" i="2"/>
  <c r="AS186" i="2"/>
  <c r="Q226" i="143"/>
  <c r="Q229" i="143" s="1"/>
  <c r="AS142" i="2"/>
  <c r="L74" i="143"/>
  <c r="L77" i="143" s="1"/>
  <c r="O245" i="143"/>
  <c r="O248" i="143" s="1"/>
  <c r="N112" i="143"/>
  <c r="N115" i="143" s="1"/>
  <c r="AQ43" i="2"/>
  <c r="M112" i="143"/>
  <c r="M115" i="143" s="1"/>
  <c r="AL137" i="2"/>
  <c r="I93" i="143"/>
  <c r="I96" i="143" s="1"/>
  <c r="S12" i="142"/>
  <c r="S15" i="142" s="1"/>
  <c r="AQ153" i="2"/>
  <c r="L322" i="143"/>
  <c r="L325" i="143" s="1"/>
  <c r="AT197" i="2"/>
  <c r="G74" i="143"/>
  <c r="G77" i="143" s="1"/>
  <c r="M54" i="142"/>
  <c r="M57" i="142" s="1"/>
  <c r="Y550" i="2"/>
  <c r="AL10" i="2"/>
  <c r="AJ21" i="2"/>
  <c r="T21" i="2"/>
  <c r="U21" i="2" s="1"/>
  <c r="AT32" i="2"/>
  <c r="AQ82" i="2"/>
  <c r="AO181" i="2"/>
  <c r="J180" i="142"/>
  <c r="J183" i="142" s="1"/>
  <c r="AL21" i="2"/>
  <c r="AR164" i="2"/>
  <c r="F112" i="143"/>
  <c r="F115" i="143" s="1"/>
  <c r="E102" i="143"/>
  <c r="AJ18" i="2"/>
  <c r="T18" i="2"/>
  <c r="U18" i="2" s="1"/>
  <c r="W558" i="2"/>
  <c r="AJ558" i="2" s="1"/>
  <c r="AO87" i="2"/>
  <c r="AU197" i="2"/>
  <c r="AN197" i="2"/>
  <c r="K360" i="143"/>
  <c r="K363" i="143" s="1"/>
  <c r="AL82" i="2"/>
  <c r="AQ109" i="2"/>
  <c r="K245" i="143"/>
  <c r="K248" i="143" s="1"/>
  <c r="AT205" i="2"/>
  <c r="AU203" i="2"/>
  <c r="U37" i="142"/>
  <c r="H226" i="143"/>
  <c r="H229" i="143" s="1"/>
  <c r="E205" i="143"/>
  <c r="M236" i="142"/>
  <c r="M239" i="142" s="1"/>
  <c r="R264" i="142"/>
  <c r="R267" i="142" s="1"/>
  <c r="Q26" i="142"/>
  <c r="Q29" i="142" s="1"/>
  <c r="AN51" i="2"/>
  <c r="Q110" i="142"/>
  <c r="Q113" i="142" s="1"/>
  <c r="AO10" i="2"/>
  <c r="AB550" i="2"/>
  <c r="AO550" i="2" s="1"/>
  <c r="AS139" i="2"/>
  <c r="E65" i="143"/>
  <c r="P250" i="142"/>
  <c r="P253" i="142" s="1"/>
  <c r="J93" i="143"/>
  <c r="J96" i="143" s="1"/>
  <c r="AS43" i="2"/>
  <c r="N245" i="143"/>
  <c r="N248" i="143" s="1"/>
  <c r="E159" i="143"/>
  <c r="F169" i="143"/>
  <c r="F172" i="143" s="1"/>
  <c r="R26" i="142"/>
  <c r="R29" i="142" s="1"/>
  <c r="AS170" i="2"/>
  <c r="AO65" i="2"/>
  <c r="O169" i="143"/>
  <c r="O172" i="143" s="1"/>
  <c r="AM60" i="2"/>
  <c r="E352" i="143"/>
  <c r="N110" i="142"/>
  <c r="N113" i="142" s="1"/>
  <c r="E45" i="143"/>
  <c r="F55" i="143"/>
  <c r="F58" i="143" s="1"/>
  <c r="M222" i="142"/>
  <c r="M225" i="142" s="1"/>
  <c r="M207" i="143"/>
  <c r="M210" i="143" s="1"/>
  <c r="I303" i="143"/>
  <c r="I306" i="143" s="1"/>
  <c r="AR208" i="2"/>
  <c r="AR205" i="2"/>
  <c r="AJ104" i="2"/>
  <c r="T104" i="2"/>
  <c r="U104" i="2" s="1"/>
  <c r="U9" i="142"/>
  <c r="E84" i="143"/>
  <c r="AO71" i="2"/>
  <c r="AN159" i="2"/>
  <c r="J169" i="143"/>
  <c r="J172" i="143" s="1"/>
  <c r="N16" i="143"/>
  <c r="N19" i="143" s="1"/>
  <c r="K250" i="142"/>
  <c r="K253" i="142" s="1"/>
  <c r="U245" i="142"/>
  <c r="AQ192" i="2"/>
  <c r="AT131" i="2"/>
  <c r="AL98" i="2"/>
  <c r="AK51" i="2"/>
  <c r="AN214" i="2"/>
  <c r="G16" i="143"/>
  <c r="G19" i="143" s="1"/>
  <c r="E7" i="143"/>
  <c r="Q236" i="142"/>
  <c r="Q239" i="142" s="1"/>
  <c r="AT82" i="2"/>
  <c r="AO49" i="2"/>
  <c r="U79" i="142"/>
  <c r="AM27" i="2"/>
  <c r="O54" i="142"/>
  <c r="O57" i="142" s="1"/>
  <c r="L16" i="143"/>
  <c r="L19" i="143" s="1"/>
  <c r="O226" i="143"/>
  <c r="O229" i="143" s="1"/>
  <c r="E409" i="143"/>
  <c r="M96" i="142"/>
  <c r="M99" i="142" s="1"/>
  <c r="O194" i="142"/>
  <c r="O197" i="142" s="1"/>
  <c r="AU43" i="2"/>
  <c r="Q222" i="142"/>
  <c r="Q225" i="142" s="1"/>
  <c r="J245" i="143"/>
  <c r="J248" i="143" s="1"/>
  <c r="AO32" i="2"/>
  <c r="K341" i="143"/>
  <c r="K344" i="143" s="1"/>
  <c r="AL95" i="2"/>
  <c r="E29" i="143"/>
  <c r="AS148" i="2"/>
  <c r="J55" i="143"/>
  <c r="J58" i="143" s="1"/>
  <c r="AL150" i="2"/>
  <c r="T208" i="142"/>
  <c r="T211" i="142" s="1"/>
  <c r="E83" i="143"/>
  <c r="F93" i="143"/>
  <c r="F96" i="143" s="1"/>
  <c r="AU164" i="2"/>
  <c r="E336" i="143"/>
  <c r="AH558" i="2"/>
  <c r="AU558" i="2" s="1"/>
  <c r="AU18" i="2"/>
  <c r="AT170" i="2"/>
  <c r="AN62" i="2"/>
  <c r="R236" i="142"/>
  <c r="R239" i="142" s="1"/>
  <c r="AN49" i="2"/>
  <c r="AO150" i="2"/>
  <c r="J54" i="142"/>
  <c r="J57" i="142" s="1"/>
  <c r="M16" i="143"/>
  <c r="M19" i="143" s="1"/>
  <c r="E91" i="143"/>
  <c r="E255" i="143"/>
  <c r="H360" i="143"/>
  <c r="H363" i="143" s="1"/>
  <c r="E350" i="143"/>
  <c r="J16" i="143"/>
  <c r="J19" i="143" s="1"/>
  <c r="AU192" i="2"/>
  <c r="E294" i="143"/>
  <c r="AP126" i="2"/>
  <c r="E258" i="143"/>
  <c r="AM32" i="2"/>
  <c r="S40" i="142"/>
  <c r="S43" i="142" s="1"/>
  <c r="M169" i="143"/>
  <c r="M172" i="143" s="1"/>
  <c r="T106" i="2"/>
  <c r="U106" i="2" s="1"/>
  <c r="AJ106" i="2"/>
  <c r="M303" i="143"/>
  <c r="M306" i="143" s="1"/>
  <c r="O35" i="143"/>
  <c r="O38" i="143" s="1"/>
  <c r="AR76" i="2"/>
  <c r="AM76" i="2"/>
  <c r="O166" i="142"/>
  <c r="O169" i="142" s="1"/>
  <c r="AL161" i="2"/>
  <c r="T161" i="2"/>
  <c r="U161" i="2" s="1"/>
  <c r="P82" i="142"/>
  <c r="P85" i="142" s="1"/>
  <c r="AM62" i="2"/>
  <c r="O93" i="143"/>
  <c r="O96" i="143" s="1"/>
  <c r="AR161" i="2"/>
  <c r="AT161" i="2"/>
  <c r="AM161" i="2"/>
  <c r="R40" i="142"/>
  <c r="R43" i="142" s="1"/>
  <c r="E312" i="143"/>
  <c r="H322" i="143"/>
  <c r="H325" i="143" s="1"/>
  <c r="I40" i="142"/>
  <c r="I43" i="142" s="1"/>
  <c r="U35" i="142"/>
  <c r="T40" i="142"/>
  <c r="T43" i="142" s="1"/>
  <c r="T166" i="142"/>
  <c r="T169" i="142" s="1"/>
  <c r="S82" i="142"/>
  <c r="S85" i="142" s="1"/>
  <c r="I169" i="143"/>
  <c r="I172" i="143" s="1"/>
  <c r="AU120" i="2"/>
  <c r="E280" i="143"/>
  <c r="AN21" i="2"/>
  <c r="L284" i="143"/>
  <c r="L287" i="143" s="1"/>
  <c r="AM186" i="2"/>
  <c r="E87" i="143"/>
  <c r="AL73" i="2"/>
  <c r="N322" i="143"/>
  <c r="N325" i="143" s="1"/>
  <c r="Q341" i="143"/>
  <c r="Q344" i="143" s="1"/>
  <c r="AQ150" i="2"/>
  <c r="K152" i="142"/>
  <c r="K155" i="142" s="1"/>
  <c r="E299" i="143"/>
  <c r="M360" i="143"/>
  <c r="M363" i="143" s="1"/>
  <c r="P112" i="143"/>
  <c r="P115" i="143" s="1"/>
  <c r="P236" i="142"/>
  <c r="P239" i="142" s="1"/>
  <c r="O264" i="142"/>
  <c r="O267" i="142" s="1"/>
  <c r="H207" i="143"/>
  <c r="H210" i="143" s="1"/>
  <c r="AO164" i="2"/>
  <c r="Q35" i="143"/>
  <c r="Q38" i="143" s="1"/>
  <c r="N55" i="143"/>
  <c r="N58" i="143" s="1"/>
  <c r="G226" i="143"/>
  <c r="G229" i="143" s="1"/>
  <c r="E86" i="143"/>
  <c r="AS32" i="2"/>
  <c r="T197" i="2"/>
  <c r="U197" i="2" s="1"/>
  <c r="AL197" i="2"/>
  <c r="Q169" i="143"/>
  <c r="Q172" i="143" s="1"/>
  <c r="J74" i="143"/>
  <c r="J77" i="143" s="1"/>
  <c r="AP148" i="2"/>
  <c r="AM49" i="2"/>
  <c r="L68" i="142"/>
  <c r="L71" i="142" s="1"/>
  <c r="AS109" i="2"/>
  <c r="E204" i="143"/>
  <c r="AU40" i="2"/>
  <c r="E48" i="143"/>
  <c r="AM131" i="2"/>
  <c r="AP21" i="2"/>
  <c r="K264" i="143"/>
  <c r="K267" i="143" s="1"/>
  <c r="L131" i="143"/>
  <c r="L134" i="143" s="1"/>
  <c r="AR153" i="2"/>
  <c r="AK40" i="2"/>
  <c r="AM73" i="2"/>
  <c r="AN164" i="2"/>
  <c r="AM197" i="2"/>
  <c r="AJ27" i="2"/>
  <c r="T27" i="2"/>
  <c r="U27" i="2" s="1"/>
  <c r="AT65" i="2"/>
  <c r="AM38" i="2"/>
  <c r="L93" i="143"/>
  <c r="L96" i="143" s="1"/>
  <c r="E314" i="143"/>
  <c r="AT159" i="2"/>
  <c r="E222" i="143"/>
  <c r="AP27" i="2"/>
  <c r="O124" i="142"/>
  <c r="O127" i="142" s="1"/>
  <c r="AQ62" i="2"/>
  <c r="U80" i="142"/>
  <c r="R54" i="142"/>
  <c r="R57" i="142" s="1"/>
  <c r="AO21" i="2"/>
  <c r="U162" i="142"/>
  <c r="AT128" i="2"/>
  <c r="AL29" i="2"/>
  <c r="O250" i="142"/>
  <c r="O253" i="142" s="1"/>
  <c r="AU32" i="2"/>
  <c r="AL131" i="2"/>
  <c r="AO159" i="2"/>
  <c r="AU170" i="2"/>
  <c r="E219" i="143"/>
  <c r="N169" i="143"/>
  <c r="N172" i="143" s="1"/>
  <c r="AQ170" i="2"/>
  <c r="K303" i="143"/>
  <c r="K306" i="143" s="1"/>
  <c r="AT43" i="2"/>
  <c r="AN95" i="2"/>
  <c r="AM120" i="2"/>
  <c r="U235" i="142"/>
  <c r="S222" i="142"/>
  <c r="S225" i="142" s="1"/>
  <c r="AL43" i="2"/>
  <c r="AS27" i="2"/>
  <c r="AM139" i="2"/>
  <c r="M180" i="142"/>
  <c r="M183" i="142" s="1"/>
  <c r="AS98" i="2"/>
  <c r="E273" i="143"/>
  <c r="H284" i="143"/>
  <c r="H287" i="143" s="1"/>
  <c r="AN131" i="2"/>
  <c r="AK150" i="2"/>
  <c r="AU27" i="2"/>
  <c r="L207" i="143"/>
  <c r="L210" i="143" s="1"/>
  <c r="E32" i="143"/>
  <c r="E242" i="143"/>
  <c r="R180" i="142"/>
  <c r="R183" i="142" s="1"/>
  <c r="U92" i="142"/>
  <c r="L54" i="142"/>
  <c r="L57" i="142" s="1"/>
  <c r="AT117" i="2"/>
  <c r="T117" i="2"/>
  <c r="U117" i="2" s="1"/>
  <c r="AK128" i="2"/>
  <c r="AS197" i="2"/>
  <c r="AQ98" i="2"/>
  <c r="M12" i="142"/>
  <c r="M15" i="142" s="1"/>
  <c r="AN203" i="2"/>
  <c r="J35" i="143"/>
  <c r="J38" i="143" s="1"/>
  <c r="K131" i="143"/>
  <c r="K134" i="143" s="1"/>
  <c r="E143" i="143"/>
  <c r="H93" i="143"/>
  <c r="H96" i="143" s="1"/>
  <c r="AR197" i="2"/>
  <c r="Q112" i="143"/>
  <c r="Q115" i="143" s="1"/>
  <c r="AT137" i="2"/>
  <c r="E320" i="143"/>
  <c r="AK120" i="2"/>
  <c r="AP172" i="2"/>
  <c r="T194" i="142"/>
  <c r="T197" i="142" s="1"/>
  <c r="AG556" i="2"/>
  <c r="AT16" i="2"/>
  <c r="E337" i="143"/>
  <c r="AP197" i="2"/>
  <c r="O40" i="142"/>
  <c r="O43" i="142" s="1"/>
  <c r="U246" i="142"/>
  <c r="AS150" i="2"/>
  <c r="U259" i="142"/>
  <c r="K264" i="142"/>
  <c r="K267" i="142" s="1"/>
  <c r="T98" i="2"/>
  <c r="U98" i="2" s="1"/>
  <c r="AJ98" i="2"/>
  <c r="AO170" i="2"/>
  <c r="E256" i="143"/>
  <c r="L82" i="142"/>
  <c r="L85" i="142" s="1"/>
  <c r="O360" i="143"/>
  <c r="O363" i="143" s="1"/>
  <c r="I226" i="143"/>
  <c r="I229" i="143" s="1"/>
  <c r="E106" i="143"/>
  <c r="AM29" i="2"/>
  <c r="U221" i="142"/>
  <c r="AS131" i="2"/>
  <c r="AK106" i="2"/>
  <c r="AO148" i="2"/>
  <c r="AM203" i="2"/>
  <c r="E88" i="143"/>
  <c r="AQ21" i="2"/>
  <c r="L110" i="142"/>
  <c r="L113" i="142" s="1"/>
  <c r="AO29" i="2"/>
  <c r="T32" i="2"/>
  <c r="U32" i="2" s="1"/>
  <c r="AJ32" i="2"/>
  <c r="N131" i="143"/>
  <c r="N134" i="143" s="1"/>
  <c r="K180" i="142"/>
  <c r="K183" i="142" s="1"/>
  <c r="AN150" i="2"/>
  <c r="AS159" i="2"/>
  <c r="L55" i="143"/>
  <c r="L58" i="143" s="1"/>
  <c r="I26" i="142"/>
  <c r="I29" i="142" s="1"/>
  <c r="U21" i="142"/>
  <c r="AD558" i="2"/>
  <c r="AQ18" i="2"/>
  <c r="E261" i="143"/>
  <c r="O222" i="142"/>
  <c r="O225" i="142" s="1"/>
  <c r="AN139" i="2"/>
  <c r="AP54" i="2"/>
  <c r="AU205" i="2"/>
  <c r="AM95" i="2"/>
  <c r="AM106" i="2"/>
  <c r="AQ128" i="2"/>
  <c r="E356" i="143"/>
  <c r="E67" i="143"/>
  <c r="P16" i="143"/>
  <c r="P19" i="143" s="1"/>
  <c r="AQ148" i="2"/>
  <c r="AQ208" i="2"/>
  <c r="L150" i="143"/>
  <c r="L153" i="143" s="1"/>
  <c r="R110" i="142"/>
  <c r="R113" i="142" s="1"/>
  <c r="J207" i="143"/>
  <c r="J210" i="143" s="1"/>
  <c r="AR95" i="2"/>
  <c r="P35" i="143"/>
  <c r="P38" i="143" s="1"/>
  <c r="AQ60" i="2"/>
  <c r="AT172" i="2"/>
  <c r="F409" i="143"/>
  <c r="G169" i="143"/>
  <c r="G172" i="143" s="1"/>
  <c r="L40" i="142"/>
  <c r="L43" i="142" s="1"/>
  <c r="AR186" i="2"/>
  <c r="U122" i="142"/>
  <c r="AQ76" i="2"/>
  <c r="E71" i="143"/>
  <c r="J131" i="143"/>
  <c r="J134" i="143" s="1"/>
  <c r="AK18" i="2"/>
  <c r="X558" i="2"/>
  <c r="AK558" i="2" s="1"/>
  <c r="AQ120" i="2"/>
  <c r="E301" i="143"/>
  <c r="AU142" i="2"/>
  <c r="AP43" i="2"/>
  <c r="AN205" i="2"/>
  <c r="L245" i="143"/>
  <c r="L248" i="143" s="1"/>
  <c r="O68" i="142"/>
  <c r="O71" i="142" s="1"/>
  <c r="AR54" i="2"/>
  <c r="E199" i="143"/>
  <c r="AN71" i="2"/>
  <c r="I112" i="143"/>
  <c r="I115" i="143" s="1"/>
  <c r="AL54" i="2"/>
  <c r="U95" i="142"/>
  <c r="T180" i="142"/>
  <c r="T183" i="142" s="1"/>
  <c r="AS137" i="2"/>
  <c r="AU150" i="2"/>
  <c r="T131" i="2"/>
  <c r="U131" i="2" s="1"/>
  <c r="AJ131" i="2"/>
  <c r="AK93" i="2"/>
  <c r="L152" i="142"/>
  <c r="L155" i="142" s="1"/>
  <c r="R166" i="142"/>
  <c r="R169" i="142" s="1"/>
  <c r="AN120" i="2"/>
  <c r="H169" i="143"/>
  <c r="H172" i="143" s="1"/>
  <c r="U147" i="142"/>
  <c r="I152" i="142"/>
  <c r="I155" i="142" s="1"/>
  <c r="S166" i="142"/>
  <c r="S169" i="142" s="1"/>
  <c r="AL183" i="2"/>
  <c r="Q245" i="143"/>
  <c r="Q248" i="143" s="1"/>
  <c r="M166" i="142"/>
  <c r="M169" i="142" s="1"/>
  <c r="AR137" i="2"/>
  <c r="E8" i="143"/>
  <c r="F16" i="143"/>
  <c r="F19" i="143" s="1"/>
  <c r="AT181" i="2"/>
  <c r="AK148" i="2"/>
  <c r="AL181" i="2"/>
  <c r="AS29" i="2"/>
  <c r="H131" i="143"/>
  <c r="H134" i="143" s="1"/>
  <c r="AN32" i="2"/>
  <c r="E68" i="143"/>
  <c r="Q68" i="142"/>
  <c r="Q71" i="142" s="1"/>
  <c r="L222" i="142"/>
  <c r="L225" i="142" s="1"/>
  <c r="AU93" i="2"/>
  <c r="AR194" i="2"/>
  <c r="AL208" i="2"/>
  <c r="T43" i="2"/>
  <c r="U43" i="2" s="1"/>
  <c r="AJ43" i="2"/>
  <c r="AM181" i="2"/>
  <c r="AT49" i="2"/>
  <c r="AM18" i="2"/>
  <c r="Z558" i="2"/>
  <c r="AP62" i="2"/>
  <c r="AT208" i="2"/>
  <c r="E203" i="143"/>
  <c r="E30" i="143"/>
  <c r="J264" i="143"/>
  <c r="J267" i="143" s="1"/>
  <c r="M131" i="143"/>
  <c r="M134" i="143" s="1"/>
  <c r="I96" i="142"/>
  <c r="I99" i="142" s="1"/>
  <c r="U91" i="142"/>
  <c r="AN216" i="2"/>
  <c r="E166" i="143"/>
  <c r="S68" i="142"/>
  <c r="S71" i="142" s="1"/>
  <c r="AF556" i="2"/>
  <c r="AS556" i="2" s="1"/>
  <c r="AS16" i="2"/>
  <c r="AU126" i="2"/>
  <c r="AQ104" i="2"/>
  <c r="AN142" i="2"/>
  <c r="AM126" i="2"/>
  <c r="E53" i="143"/>
  <c r="E52" i="143"/>
  <c r="N180" i="142"/>
  <c r="N183" i="142" s="1"/>
  <c r="L341" i="143"/>
  <c r="L344" i="143" s="1"/>
  <c r="E47" i="143"/>
  <c r="U65" i="142"/>
  <c r="T26" i="142"/>
  <c r="T29" i="142" s="1"/>
  <c r="AS18" i="2"/>
  <c r="AF558" i="2"/>
  <c r="AS558" i="2" s="1"/>
  <c r="E278" i="143"/>
  <c r="AS40" i="2"/>
  <c r="J322" i="143"/>
  <c r="J325" i="143" s="1"/>
  <c r="AJ150" i="2"/>
  <c r="T150" i="2"/>
  <c r="U150" i="2" s="1"/>
  <c r="E293" i="143"/>
  <c r="H303" i="143"/>
  <c r="H306" i="143" s="1"/>
  <c r="O284" i="143"/>
  <c r="O287" i="143" s="1"/>
  <c r="I74" i="143"/>
  <c r="I77" i="143" s="1"/>
  <c r="O207" i="143"/>
  <c r="O210" i="143" s="1"/>
  <c r="J341" i="143"/>
  <c r="J344" i="143" s="1"/>
  <c r="AP71" i="2"/>
  <c r="AJ65" i="2"/>
  <c r="T65" i="2"/>
  <c r="U65" i="2" s="1"/>
  <c r="U207" i="142"/>
  <c r="AM159" i="2"/>
  <c r="E108" i="143"/>
  <c r="U151" i="142"/>
  <c r="N341" i="143"/>
  <c r="N344" i="143" s="1"/>
  <c r="E51" i="143"/>
  <c r="AO183" i="2"/>
  <c r="AT203" i="2"/>
  <c r="L303" i="143"/>
  <c r="L306" i="143" s="1"/>
  <c r="G93" i="143"/>
  <c r="G96" i="143" s="1"/>
  <c r="E26" i="143"/>
  <c r="S208" i="142"/>
  <c r="S211" i="142" s="1"/>
  <c r="T16" i="2"/>
  <c r="U16" i="2" s="1"/>
  <c r="AJ16" i="2"/>
  <c r="W556" i="2"/>
  <c r="AJ556" i="2" s="1"/>
  <c r="AP32" i="2"/>
  <c r="AJ128" i="2"/>
  <c r="T128" i="2"/>
  <c r="U128" i="2" s="1"/>
  <c r="AS49" i="2"/>
  <c r="AJ49" i="2"/>
  <c r="T49" i="2"/>
  <c r="U49" i="2" s="1"/>
  <c r="AR73" i="2"/>
  <c r="AK60" i="2"/>
  <c r="N284" i="143"/>
  <c r="N287" i="143" s="1"/>
  <c r="R194" i="142"/>
  <c r="R197" i="142" s="1"/>
  <c r="I54" i="142"/>
  <c r="I57" i="142" s="1"/>
  <c r="U49" i="142"/>
  <c r="AL84" i="2"/>
  <c r="T264" i="142"/>
  <c r="T267" i="142" s="1"/>
  <c r="AS87" i="2"/>
  <c r="AN186" i="2"/>
  <c r="P194" i="142"/>
  <c r="P197" i="142" s="1"/>
  <c r="AM82" i="2"/>
  <c r="Q264" i="143"/>
  <c r="Q267" i="143" s="1"/>
  <c r="E331" i="143"/>
  <c r="H341" i="143"/>
  <c r="H344" i="143" s="1"/>
  <c r="E121" i="143"/>
  <c r="F131" i="143"/>
  <c r="F134" i="143" s="1"/>
  <c r="AJ54" i="2"/>
  <c r="T54" i="2"/>
  <c r="U54" i="2" s="1"/>
  <c r="AK71" i="2"/>
  <c r="AO98" i="2"/>
  <c r="AP29" i="2"/>
  <c r="AK98" i="2"/>
  <c r="Q96" i="142"/>
  <c r="Q99" i="142" s="1"/>
  <c r="Q124" i="142"/>
  <c r="Q127" i="142" s="1"/>
  <c r="E129" i="143"/>
  <c r="E70" i="143"/>
  <c r="AK54" i="2"/>
  <c r="AQ183" i="2"/>
  <c r="AR148" i="2"/>
  <c r="AQ87" i="2"/>
  <c r="U120" i="142"/>
  <c r="AP183" i="2"/>
  <c r="E103" i="143"/>
  <c r="I284" i="143"/>
  <c r="I287" i="143" s="1"/>
  <c r="E358" i="143"/>
  <c r="L35" i="143"/>
  <c r="L38" i="143" s="1"/>
  <c r="N166" i="142"/>
  <c r="N169" i="142" s="1"/>
  <c r="T152" i="142"/>
  <c r="T155" i="142" s="1"/>
  <c r="I68" i="142"/>
  <c r="I71" i="142" s="1"/>
  <c r="U63" i="142"/>
  <c r="O208" i="142"/>
  <c r="O211" i="142" s="1"/>
  <c r="K322" i="143"/>
  <c r="K325" i="143" s="1"/>
  <c r="AU10" i="2"/>
  <c r="AL60" i="2"/>
  <c r="N222" i="142"/>
  <c r="N225" i="142" s="1"/>
  <c r="G55" i="143"/>
  <c r="G58" i="143" s="1"/>
  <c r="P264" i="142"/>
  <c r="P267" i="142" s="1"/>
  <c r="AL142" i="2"/>
  <c r="AR60" i="2"/>
  <c r="E275" i="143"/>
  <c r="E10" i="143"/>
  <c r="U176" i="142"/>
  <c r="U148" i="142"/>
  <c r="U218" i="142"/>
  <c r="E339" i="143"/>
  <c r="AN194" i="2"/>
  <c r="AO205" i="2"/>
  <c r="AU16" i="2"/>
  <c r="AH556" i="2"/>
  <c r="AU556" i="2" s="1"/>
  <c r="S96" i="142"/>
  <c r="S99" i="142" s="1"/>
  <c r="AT51" i="2"/>
  <c r="T82" i="142"/>
  <c r="T85" i="142" s="1"/>
  <c r="L264" i="142"/>
  <c r="L267" i="142" s="1"/>
  <c r="N26" i="142"/>
  <c r="N29" i="142" s="1"/>
  <c r="AQ194" i="2"/>
  <c r="AQ214" i="2"/>
  <c r="AT38" i="2"/>
  <c r="AP76" i="2"/>
  <c r="U105" i="142"/>
  <c r="I110" i="142"/>
  <c r="I113" i="142" s="1"/>
  <c r="E161" i="143"/>
  <c r="P264" i="143"/>
  <c r="P267" i="143" s="1"/>
  <c r="E239" i="143"/>
  <c r="U10" i="142"/>
  <c r="AR181" i="2"/>
  <c r="U8" i="142"/>
  <c r="I12" i="142"/>
  <c r="I15" i="142" s="1"/>
  <c r="AP175" i="2"/>
  <c r="E64" i="143"/>
  <c r="F74" i="143"/>
  <c r="F77" i="143" s="1"/>
  <c r="AS183" i="2"/>
  <c r="AO192" i="2"/>
  <c r="U231" i="142"/>
  <c r="K236" i="142"/>
  <c r="K239" i="142" s="1"/>
  <c r="I264" i="143"/>
  <c r="I267" i="143" s="1"/>
  <c r="E220" i="143"/>
  <c r="Q93" i="143"/>
  <c r="Q96" i="143" s="1"/>
  <c r="AK131" i="2"/>
  <c r="L208" i="142"/>
  <c r="L211" i="142" s="1"/>
  <c r="R82" i="142"/>
  <c r="R85" i="142" s="1"/>
  <c r="AS120" i="2"/>
  <c r="AP181" i="2"/>
  <c r="T186" i="2"/>
  <c r="U186" i="2" s="1"/>
  <c r="AL186" i="2"/>
  <c r="E315" i="143"/>
  <c r="U263" i="142"/>
  <c r="AL87" i="2"/>
  <c r="N68" i="142"/>
  <c r="N71" i="142" s="1"/>
  <c r="AP84" i="2"/>
  <c r="AQ142" i="2"/>
  <c r="AP161" i="2"/>
  <c r="AN126" i="2"/>
  <c r="U78" i="142"/>
  <c r="L194" i="142"/>
  <c r="L197" i="142" s="1"/>
  <c r="AU106" i="2"/>
  <c r="AN161" i="2"/>
  <c r="AT18" i="2"/>
  <c r="AG558" i="2"/>
  <c r="AT558" i="2" s="1"/>
  <c r="Q16" i="143"/>
  <c r="Q19" i="143" s="1"/>
  <c r="AP208" i="2"/>
  <c r="K169" i="143"/>
  <c r="K172" i="143" s="1"/>
  <c r="AR32" i="2"/>
  <c r="E90" i="143"/>
  <c r="E295" i="143"/>
  <c r="Y556" i="2"/>
  <c r="AL556" i="2" s="1"/>
  <c r="AL16" i="2"/>
  <c r="E257" i="143"/>
  <c r="P222" i="142"/>
  <c r="P225" i="142" s="1"/>
  <c r="AS104" i="2"/>
  <c r="Q180" i="142"/>
  <c r="Q183" i="142" s="1"/>
  <c r="T124" i="142"/>
  <c r="T127" i="142" s="1"/>
  <c r="AP120" i="2"/>
  <c r="J110" i="142"/>
  <c r="J113" i="142" s="1"/>
  <c r="O180" i="142"/>
  <c r="O183" i="142" s="1"/>
  <c r="AL71" i="2"/>
  <c r="U51" i="142"/>
  <c r="E122" i="143"/>
  <c r="AR43" i="2"/>
  <c r="AN60" i="2"/>
  <c r="AR192" i="2"/>
  <c r="AU87" i="2"/>
  <c r="AN65" i="2"/>
  <c r="AT27" i="2"/>
  <c r="U39" i="142"/>
  <c r="AO73" i="2"/>
  <c r="I360" i="143"/>
  <c r="I363" i="143" s="1"/>
  <c r="H264" i="143"/>
  <c r="H267" i="143" s="1"/>
  <c r="E254" i="143"/>
  <c r="E167" i="143"/>
  <c r="E13" i="143"/>
  <c r="AK27" i="2"/>
  <c r="T96" i="142"/>
  <c r="T99" i="142" s="1"/>
  <c r="AE556" i="2"/>
  <c r="AR556" i="2" s="1"/>
  <c r="AR16" i="2"/>
  <c r="U149" i="142"/>
  <c r="K68" i="142"/>
  <c r="K71" i="142" s="1"/>
  <c r="AT183" i="2"/>
  <c r="O264" i="143"/>
  <c r="O267" i="143" s="1"/>
  <c r="O26" i="142"/>
  <c r="O29" i="142" s="1"/>
  <c r="AN18" i="2"/>
  <c r="AA558" i="2"/>
  <c r="AN558" i="2" s="1"/>
  <c r="AT84" i="2"/>
  <c r="Q131" i="143"/>
  <c r="Q134" i="143" s="1"/>
  <c r="Q82" i="142"/>
  <c r="Q85" i="142" s="1"/>
  <c r="AQ32" i="2"/>
  <c r="E300" i="143"/>
  <c r="P26" i="142"/>
  <c r="P29" i="142" s="1"/>
  <c r="AR65" i="2"/>
  <c r="J303" i="143"/>
  <c r="J306" i="143" s="1"/>
  <c r="K226" i="143"/>
  <c r="K229" i="143" s="1"/>
  <c r="U107" i="142"/>
  <c r="E276" i="143"/>
  <c r="N226" i="143"/>
  <c r="N229" i="143" s="1"/>
  <c r="E49" i="143"/>
  <c r="E259" i="143"/>
  <c r="K222" i="142"/>
  <c r="K225" i="142" s="1"/>
  <c r="U217" i="142"/>
  <c r="U53" i="142"/>
  <c r="N236" i="142"/>
  <c r="N239" i="142" s="1"/>
  <c r="H55" i="143"/>
  <c r="H58" i="143" s="1"/>
  <c r="AL27" i="2"/>
  <c r="E69" i="143"/>
  <c r="AO128" i="2"/>
  <c r="E14" i="143"/>
  <c r="AP87" i="2"/>
  <c r="AO54" i="2"/>
  <c r="E260" i="143"/>
  <c r="AP139" i="2"/>
  <c r="P110" i="142"/>
  <c r="P113" i="142" s="1"/>
  <c r="O16" i="143"/>
  <c r="O19" i="143" s="1"/>
  <c r="K12" i="142"/>
  <c r="K15" i="142" s="1"/>
  <c r="R208" i="142"/>
  <c r="R211" i="142" s="1"/>
  <c r="U190" i="142"/>
  <c r="K194" i="142"/>
  <c r="K197" i="142" s="1"/>
  <c r="AS161" i="2"/>
  <c r="M152" i="142"/>
  <c r="M155" i="142" s="1"/>
  <c r="U50" i="142"/>
  <c r="L112" i="143"/>
  <c r="L115" i="143" s="1"/>
  <c r="AT186" i="2"/>
  <c r="AJ93" i="2"/>
  <c r="T93" i="2"/>
  <c r="U93" i="2" s="1"/>
  <c r="AJ71" i="2"/>
  <c r="T71" i="2"/>
  <c r="U71" i="2" s="1"/>
  <c r="E126" i="143"/>
  <c r="AP38" i="2"/>
  <c r="AP82" i="2"/>
  <c r="J68" i="142"/>
  <c r="J71" i="142" s="1"/>
  <c r="K110" i="142"/>
  <c r="K113" i="142" s="1"/>
  <c r="AR126" i="2"/>
  <c r="AP10" i="2"/>
  <c r="AC550" i="2"/>
  <c r="AP550" i="2" s="1"/>
  <c r="P180" i="142"/>
  <c r="P183" i="142" s="1"/>
  <c r="E145" i="143"/>
  <c r="AU104" i="2"/>
  <c r="AM164" i="2"/>
  <c r="U234" i="142"/>
  <c r="U94" i="142"/>
  <c r="AP65" i="2"/>
  <c r="AR27" i="2"/>
  <c r="AS181" i="2"/>
  <c r="AS126" i="2"/>
  <c r="AJ148" i="2"/>
  <c r="T148" i="2"/>
  <c r="U148" i="2" s="1"/>
  <c r="AS51" i="2"/>
  <c r="AO62" i="2"/>
  <c r="Q12" i="142"/>
  <c r="Q15" i="142" s="1"/>
  <c r="AR183" i="2"/>
  <c r="AO43" i="2"/>
  <c r="AS172" i="2"/>
  <c r="AQ164" i="2"/>
  <c r="AR82" i="2"/>
  <c r="AP16" i="2"/>
  <c r="AC556" i="2"/>
  <c r="AP556" i="2" s="1"/>
  <c r="H150" i="143"/>
  <c r="H153" i="143" s="1"/>
  <c r="AM87" i="2"/>
  <c r="AS93" i="2"/>
  <c r="N35" i="143"/>
  <c r="N38" i="143" s="1"/>
  <c r="K26" i="142"/>
  <c r="K29" i="142" s="1"/>
  <c r="L166" i="142"/>
  <c r="L169" i="142" s="1"/>
  <c r="AL214" i="2"/>
  <c r="E279" i="143"/>
  <c r="AS82" i="2"/>
  <c r="E338" i="143"/>
  <c r="G245" i="143"/>
  <c r="G248" i="143" s="1"/>
  <c r="E274" i="143"/>
  <c r="E318" i="143"/>
  <c r="AO175" i="2"/>
  <c r="AM21" i="2"/>
  <c r="AM51" i="2"/>
  <c r="L264" i="143"/>
  <c r="L267" i="143" s="1"/>
  <c r="AM84" i="2"/>
  <c r="N360" i="143"/>
  <c r="N363" i="143" s="1"/>
  <c r="AP216" i="2"/>
  <c r="J150" i="143"/>
  <c r="J153" i="143" s="1"/>
  <c r="E165" i="143"/>
  <c r="O96" i="142"/>
  <c r="O99" i="142" s="1"/>
  <c r="AU148" i="2"/>
  <c r="AQ139" i="2"/>
  <c r="AO40" i="2"/>
  <c r="J96" i="142"/>
  <c r="J99" i="142" s="1"/>
  <c r="AT95" i="2"/>
  <c r="AR203" i="2"/>
  <c r="P12" i="142"/>
  <c r="P15" i="142" s="1"/>
  <c r="AL159" i="2"/>
  <c r="T159" i="2"/>
  <c r="U159" i="2" s="1"/>
  <c r="AO76" i="2"/>
  <c r="G131" i="143"/>
  <c r="G134" i="143" s="1"/>
  <c r="AO203" i="2"/>
  <c r="AM109" i="2"/>
  <c r="U52" i="142"/>
  <c r="K35" i="143"/>
  <c r="K38" i="143" s="1"/>
  <c r="AM54" i="2"/>
  <c r="U206" i="142"/>
  <c r="Q284" i="143"/>
  <c r="Q287" i="143" s="1"/>
  <c r="M264" i="142"/>
  <c r="M267" i="142" s="1"/>
  <c r="AS194" i="2"/>
  <c r="U164" i="142"/>
  <c r="M226" i="143"/>
  <c r="M229" i="143" s="1"/>
  <c r="M110" i="142"/>
  <c r="M113" i="142" s="1"/>
  <c r="T172" i="2"/>
  <c r="U172" i="2" s="1"/>
  <c r="AL172" i="2"/>
  <c r="Q264" i="142"/>
  <c r="Q267" i="142" s="1"/>
  <c r="Q166" i="142"/>
  <c r="Q169" i="142" s="1"/>
  <c r="K207" i="143"/>
  <c r="K210" i="143" s="1"/>
  <c r="AN109" i="2"/>
  <c r="AT192" i="2"/>
  <c r="AN40" i="2"/>
  <c r="AP40" i="2"/>
  <c r="P208" i="142"/>
  <c r="P211" i="142" s="1"/>
  <c r="H35" i="143"/>
  <c r="H38" i="143" s="1"/>
  <c r="T205" i="2"/>
  <c r="U205" i="2" s="1"/>
  <c r="AL205" i="2"/>
  <c r="AK65" i="2"/>
  <c r="AL104" i="2"/>
  <c r="E127" i="143"/>
  <c r="E297" i="143"/>
  <c r="P303" i="143"/>
  <c r="P306" i="143" s="1"/>
  <c r="O74" i="143"/>
  <c r="O77" i="143" s="1"/>
  <c r="AN98" i="2"/>
  <c r="AQ54" i="2"/>
  <c r="AM104" i="2"/>
  <c r="AP98" i="2"/>
  <c r="E72" i="143"/>
  <c r="AJ73" i="2"/>
  <c r="T73" i="2"/>
  <c r="U73" i="2" s="1"/>
  <c r="AQ93" i="2"/>
  <c r="AL65" i="2"/>
  <c r="I166" i="142"/>
  <c r="I169" i="142" s="1"/>
  <c r="U161" i="142"/>
  <c r="P226" i="143"/>
  <c r="P229" i="143" s="1"/>
  <c r="Q250" i="142"/>
  <c r="Q253" i="142" s="1"/>
  <c r="AL170" i="2"/>
  <c r="T170" i="2"/>
  <c r="U170" i="2" s="1"/>
  <c r="P341" i="143"/>
  <c r="P344" i="143" s="1"/>
  <c r="I35" i="143"/>
  <c r="I38" i="143" s="1"/>
  <c r="N54" i="142"/>
  <c r="N57" i="142" s="1"/>
  <c r="N264" i="143"/>
  <c r="N267" i="143" s="1"/>
  <c r="S26" i="142"/>
  <c r="S29" i="142" s="1"/>
  <c r="O152" i="142"/>
  <c r="O155" i="142" s="1"/>
  <c r="AS62" i="2"/>
  <c r="U123" i="142"/>
  <c r="U108" i="142"/>
  <c r="E46" i="143"/>
  <c r="E146" i="143"/>
  <c r="AR84" i="2"/>
  <c r="S124" i="142"/>
  <c r="S127" i="142" s="1"/>
  <c r="AK62" i="2"/>
  <c r="E50" i="143"/>
  <c r="AO60" i="2"/>
  <c r="H112" i="143"/>
  <c r="H115" i="143" s="1"/>
  <c r="U163" i="142"/>
  <c r="AG550" i="2"/>
  <c r="AT550" i="2" s="1"/>
  <c r="AT10" i="2"/>
  <c r="AU194" i="2"/>
  <c r="E201" i="143"/>
  <c r="AA556" i="2"/>
  <c r="AN556" i="2" s="1"/>
  <c r="AN16" i="2"/>
  <c r="AK82" i="2"/>
  <c r="AQ38" i="2"/>
  <c r="M124" i="142"/>
  <c r="M127" i="142" s="1"/>
  <c r="U150" i="142"/>
  <c r="AR150" i="2"/>
  <c r="U262" i="142"/>
  <c r="N303" i="143"/>
  <c r="N306" i="143" s="1"/>
  <c r="AO197" i="2"/>
  <c r="T194" i="2"/>
  <c r="U194" i="2" s="1"/>
  <c r="AL194" i="2"/>
  <c r="AJ109" i="2"/>
  <c r="T109" i="2"/>
  <c r="U109" i="2" s="1"/>
  <c r="AP150" i="2"/>
  <c r="U121" i="142"/>
  <c r="E240" i="143"/>
  <c r="Q360" i="143"/>
  <c r="Q363" i="143" s="1"/>
  <c r="AO51" i="2"/>
  <c r="E357" i="143"/>
  <c r="E217" i="143"/>
  <c r="AN10" i="2"/>
  <c r="AA550" i="2"/>
  <c r="AN550" i="2" s="1"/>
  <c r="N74" i="143"/>
  <c r="N77" i="143" s="1"/>
  <c r="AR159" i="2"/>
  <c r="T62" i="2"/>
  <c r="U62" i="2" s="1"/>
  <c r="AJ62" i="2"/>
  <c r="AR175" i="2"/>
  <c r="F207" i="143"/>
  <c r="F210" i="143" s="1"/>
  <c r="E197" i="143"/>
  <c r="U165" i="142"/>
  <c r="L250" i="142"/>
  <c r="L253" i="142" s="1"/>
  <c r="E109" i="143"/>
  <c r="AU128" i="2"/>
  <c r="AS203" i="2"/>
  <c r="AK49" i="2"/>
  <c r="Q322" i="143"/>
  <c r="Q325" i="143" s="1"/>
  <c r="E243" i="143"/>
  <c r="AT98" i="2"/>
  <c r="AM40" i="2"/>
  <c r="K112" i="143"/>
  <c r="K115" i="143" s="1"/>
  <c r="AQ172" i="2"/>
  <c r="E218" i="143"/>
  <c r="AO18" i="2"/>
  <c r="AB558" i="2"/>
  <c r="AO558" i="2" s="1"/>
  <c r="I322" i="143"/>
  <c r="I325" i="143" s="1"/>
  <c r="AO186" i="2"/>
  <c r="U220" i="142"/>
  <c r="AO194" i="2"/>
  <c r="AU186" i="2"/>
  <c r="AL93" i="2"/>
  <c r="AT164" i="2"/>
  <c r="T40" i="2"/>
  <c r="U40" i="2" s="1"/>
  <c r="AJ40" i="2"/>
  <c r="Q74" i="143"/>
  <c r="Q77" i="143" s="1"/>
  <c r="Q194" i="142"/>
  <c r="Q197" i="142" s="1"/>
  <c r="P169" i="143"/>
  <c r="P172" i="143" s="1"/>
  <c r="M322" i="143"/>
  <c r="M325" i="143" s="1"/>
  <c r="AS175" i="2"/>
  <c r="S152" i="142"/>
  <c r="S155" i="142" s="1"/>
  <c r="AL128" i="2"/>
  <c r="AQ137" i="2"/>
  <c r="AK38" i="2"/>
  <c r="AL49" i="2"/>
  <c r="K96" i="142"/>
  <c r="K99" i="142" s="1"/>
  <c r="U248" i="142"/>
  <c r="AP93" i="2"/>
  <c r="U36" i="142"/>
  <c r="AO216" i="2"/>
  <c r="P284" i="143"/>
  <c r="P287" i="143" s="1"/>
  <c r="T120" i="2"/>
  <c r="U120" i="2" s="1"/>
  <c r="AJ120" i="2"/>
  <c r="AP164" i="2"/>
  <c r="AT194" i="2"/>
  <c r="AU95" i="2"/>
  <c r="AO214" i="2"/>
  <c r="AQ181" i="2"/>
  <c r="E317" i="143"/>
  <c r="AN29" i="2"/>
  <c r="E335" i="143"/>
  <c r="E148" i="143"/>
  <c r="M82" i="142"/>
  <c r="M85" i="142" s="1"/>
  <c r="U119" i="142"/>
  <c r="I124" i="142"/>
  <c r="I127" i="142" s="1"/>
  <c r="P55" i="143"/>
  <c r="P58" i="143" s="1"/>
  <c r="E147" i="143"/>
  <c r="U66" i="142"/>
  <c r="AK29" i="2"/>
  <c r="AP95" i="2"/>
  <c r="R68" i="142"/>
  <c r="R71" i="142" s="1"/>
  <c r="E66" i="143"/>
  <c r="J166" i="142"/>
  <c r="J169" i="142" s="1"/>
  <c r="R96" i="142"/>
  <c r="R99" i="142" s="1"/>
  <c r="AN153" i="2"/>
  <c r="AR87" i="2"/>
  <c r="E236" i="143"/>
  <c r="E298" i="143"/>
  <c r="AU60" i="2"/>
  <c r="AR216" i="2"/>
  <c r="S194" i="142"/>
  <c r="S197" i="142" s="1"/>
  <c r="AN27" i="2"/>
  <c r="N96" i="142"/>
  <c r="N99" i="142" s="1"/>
  <c r="AK104" i="2"/>
  <c r="H74" i="143"/>
  <c r="H77" i="143" s="1"/>
  <c r="P207" i="143"/>
  <c r="P210" i="143" s="1"/>
  <c r="AT126" i="2"/>
  <c r="E216" i="143"/>
  <c r="F226" i="143"/>
  <c r="F229" i="143" s="1"/>
  <c r="AS192" i="2"/>
  <c r="E238" i="143"/>
  <c r="AL192" i="2"/>
  <c r="T192" i="2"/>
  <c r="U192" i="2" s="1"/>
  <c r="O12" i="142"/>
  <c r="O15" i="142" s="1"/>
  <c r="O150" i="143"/>
  <c r="O153" i="143" s="1"/>
  <c r="G150" i="143"/>
  <c r="G153" i="143" s="1"/>
  <c r="AT153" i="2"/>
  <c r="J284" i="143"/>
  <c r="J287" i="143" s="1"/>
  <c r="E277" i="143"/>
  <c r="AQ159" i="2"/>
  <c r="AU98" i="2"/>
  <c r="AT109" i="2"/>
  <c r="M26" i="142"/>
  <c r="M29" i="142" s="1"/>
  <c r="E241" i="143"/>
  <c r="Q54" i="142"/>
  <c r="Q57" i="142" s="1"/>
  <c r="AN104" i="2"/>
  <c r="T54" i="142"/>
  <c r="T57" i="142" s="1"/>
  <c r="E9" i="143"/>
  <c r="AP128" i="2"/>
  <c r="AK84" i="2"/>
  <c r="R250" i="142"/>
  <c r="R253" i="142" s="1"/>
  <c r="AN87" i="2"/>
  <c r="AO120" i="2"/>
  <c r="L236" i="142"/>
  <c r="L239" i="142" s="1"/>
  <c r="U192" i="142"/>
  <c r="AO139" i="2"/>
  <c r="U261" i="142"/>
  <c r="U93" i="142"/>
  <c r="M68" i="142"/>
  <c r="M71" i="142" s="1"/>
  <c r="G207" i="143"/>
  <c r="G210" i="143" s="1"/>
  <c r="E140" i="143"/>
  <c r="F150" i="143"/>
  <c r="F153" i="143" s="1"/>
  <c r="Q208" i="142"/>
  <c r="Q211" i="142" s="1"/>
  <c r="AM93" i="2"/>
  <c r="AS164" i="2"/>
  <c r="AQ95" i="2"/>
  <c r="AR142" i="2"/>
  <c r="R12" i="142"/>
  <c r="R15" i="142" s="1"/>
  <c r="AQ197" i="2"/>
  <c r="K40" i="142"/>
  <c r="K43" i="142" s="1"/>
  <c r="E262" i="143"/>
  <c r="E128" i="143"/>
  <c r="AO131" i="2"/>
  <c r="J112" i="143"/>
  <c r="J115" i="143" s="1"/>
  <c r="E12" i="143"/>
  <c r="AR29" i="2"/>
  <c r="M35" i="143"/>
  <c r="M38" i="143" s="1"/>
  <c r="AU131" i="2"/>
  <c r="Q303" i="143"/>
  <c r="Q306" i="143" s="1"/>
  <c r="AU153" i="2"/>
  <c r="U24" i="142"/>
  <c r="U25" i="142"/>
  <c r="AT106" i="2"/>
  <c r="AM208" i="2"/>
  <c r="E221" i="143"/>
  <c r="M264" i="143"/>
  <c r="M267" i="143" s="1"/>
  <c r="AP153" i="2"/>
  <c r="S250" i="142"/>
  <c r="S253" i="142" s="1"/>
  <c r="T203" i="2"/>
  <c r="U203" i="2" s="1"/>
  <c r="AL203" i="2"/>
  <c r="E223" i="143"/>
  <c r="R124" i="142"/>
  <c r="R127" i="142" s="1"/>
  <c r="K82" i="142"/>
  <c r="K85" i="142" s="1"/>
  <c r="M284" i="143"/>
  <c r="M287" i="143" s="1"/>
  <c r="AU139" i="2"/>
  <c r="AS106" i="2"/>
  <c r="AP104" i="2"/>
  <c r="AL139" i="2"/>
  <c r="T110" i="142"/>
  <c r="T113" i="142" s="1"/>
  <c r="E281" i="143"/>
  <c r="AQ205" i="2"/>
  <c r="E144" i="143"/>
  <c r="O131" i="143"/>
  <c r="O134" i="143" s="1"/>
  <c r="U77" i="142"/>
  <c r="I82" i="142"/>
  <c r="I85" i="142" s="1"/>
  <c r="X550" i="2"/>
  <c r="AK550" i="2" s="1"/>
  <c r="T10" i="2"/>
  <c r="U10" i="2" s="1"/>
  <c r="AK10" i="2"/>
  <c r="R152" i="142"/>
  <c r="R155" i="142" s="1"/>
  <c r="AS84" i="2"/>
  <c r="AR40" i="2"/>
  <c r="L12" i="142"/>
  <c r="L15" i="142" s="1"/>
  <c r="E355" i="143"/>
  <c r="O82" i="142"/>
  <c r="O85" i="142" s="1"/>
  <c r="P245" i="143"/>
  <c r="P248" i="143" s="1"/>
  <c r="AM71" i="2"/>
  <c r="AR93" i="2"/>
  <c r="O236" i="142"/>
  <c r="O239" i="142" s="1"/>
  <c r="AO109" i="2"/>
  <c r="AO82" i="2"/>
  <c r="AM170" i="2"/>
  <c r="F245" i="143"/>
  <c r="F248" i="143" s="1"/>
  <c r="E235" i="143"/>
  <c r="P40" i="142"/>
  <c r="P43" i="142" s="1"/>
  <c r="E282" i="143"/>
  <c r="AL153" i="2"/>
  <c r="T153" i="2"/>
  <c r="AT60" i="2"/>
  <c r="AQ106" i="2"/>
  <c r="AO27" i="2"/>
  <c r="AP109" i="2"/>
  <c r="J40" i="142"/>
  <c r="J43" i="142" s="1"/>
  <c r="AN192" i="2"/>
  <c r="E160" i="143"/>
  <c r="U205" i="142"/>
  <c r="E296" i="143"/>
  <c r="M40" i="142"/>
  <c r="M43" i="142" s="1"/>
  <c r="O55" i="143"/>
  <c r="O58" i="143" s="1"/>
  <c r="U67" i="142"/>
  <c r="P68" i="142"/>
  <c r="P71" i="142" s="1"/>
  <c r="U247" i="142"/>
  <c r="I207" i="143"/>
  <c r="I210" i="143" s="1"/>
  <c r="AS208" i="2"/>
  <c r="S54" i="142"/>
  <c r="S57" i="142" s="1"/>
  <c r="K54" i="142"/>
  <c r="K57" i="142" s="1"/>
  <c r="E332" i="143"/>
  <c r="J26" i="142"/>
  <c r="J29" i="142" s="1"/>
  <c r="O322" i="143"/>
  <c r="O325" i="143" s="1"/>
  <c r="N194" i="142"/>
  <c r="N197" i="142" s="1"/>
  <c r="P96" i="142"/>
  <c r="P99" i="142" s="1"/>
  <c r="AT216" i="2"/>
  <c r="AJ82" i="2"/>
  <c r="AU29" i="2"/>
  <c r="Q40" i="142"/>
  <c r="Q43" i="142" s="1"/>
  <c r="E316" i="143"/>
  <c r="N150" i="143"/>
  <c r="N153" i="143" s="1"/>
  <c r="E125" i="143"/>
  <c r="H245" i="143"/>
  <c r="H248" i="143" s="1"/>
  <c r="I341" i="143"/>
  <c r="I344" i="143" s="1"/>
  <c r="E354" i="143"/>
  <c r="I150" i="143"/>
  <c r="I153" i="143" s="1"/>
  <c r="AR62" i="2"/>
  <c r="E33" i="143"/>
  <c r="P150" i="143"/>
  <c r="P153" i="143" s="1"/>
  <c r="AJ29" i="2"/>
  <c r="T29" i="2"/>
  <c r="U29" i="2" s="1"/>
  <c r="AR214" i="2"/>
  <c r="N208" i="142"/>
  <c r="N211" i="142" s="1"/>
  <c r="L26" i="142"/>
  <c r="L29" i="142" s="1"/>
  <c r="AN183" i="2"/>
  <c r="N264" i="142"/>
  <c r="N267" i="142" s="1"/>
  <c r="T250" i="142"/>
  <c r="T253" i="142" s="1"/>
  <c r="AO106" i="2"/>
  <c r="E237" i="143"/>
  <c r="AQ84" i="2"/>
  <c r="AL18" i="2"/>
  <c r="Y558" i="2"/>
  <c r="AL558" i="2" s="1"/>
  <c r="AQ51" i="2"/>
  <c r="T87" i="2"/>
  <c r="U87" i="2" s="1"/>
  <c r="AJ87" i="2"/>
  <c r="U193" i="142"/>
  <c r="E28" i="143"/>
  <c r="AR71" i="2"/>
  <c r="AP214" i="2"/>
  <c r="E334" i="143"/>
  <c r="AN82" i="2"/>
  <c r="AN38" i="2"/>
  <c r="M74" i="143"/>
  <c r="M77" i="143" s="1"/>
  <c r="S180" i="142"/>
  <c r="S183" i="142" s="1"/>
  <c r="AS128" i="2"/>
  <c r="AQ131" i="2"/>
  <c r="AP131" i="2"/>
  <c r="AR51" i="2"/>
  <c r="AL126" i="2"/>
  <c r="K55" i="143"/>
  <c r="K58" i="143" s="1"/>
  <c r="AO104" i="2"/>
  <c r="E141" i="143"/>
  <c r="AT40" i="2"/>
  <c r="L360" i="143"/>
  <c r="L363" i="143" s="1"/>
  <c r="AP194" i="2"/>
  <c r="N40" i="142"/>
  <c r="N43" i="142" s="1"/>
  <c r="S264" i="142"/>
  <c r="S267" i="142" s="1"/>
  <c r="AM148" i="2"/>
  <c r="AK76" i="2"/>
  <c r="AL120" i="2"/>
  <c r="AS95" i="2"/>
  <c r="AR21" i="2"/>
  <c r="AP49" i="2"/>
  <c r="AS65" i="2"/>
  <c r="AL175" i="2"/>
  <c r="AN181" i="2"/>
  <c r="AK73" i="2"/>
  <c r="P322" i="143"/>
  <c r="P325" i="143" s="1"/>
  <c r="AT150" i="2"/>
  <c r="N250" i="142"/>
  <c r="N253" i="142" s="1"/>
  <c r="AP203" i="2"/>
  <c r="E142" i="143"/>
  <c r="AO93" i="2"/>
  <c r="O341" i="143"/>
  <c r="O344" i="143" s="1"/>
  <c r="AQ71" i="2"/>
  <c r="AT62" i="2"/>
  <c r="N152" i="142"/>
  <c r="N155" i="142" s="1"/>
  <c r="AR139" i="2"/>
  <c r="P131" i="143"/>
  <c r="P134" i="143" s="1"/>
  <c r="AS54" i="2"/>
  <c r="P124" i="142"/>
  <c r="P127" i="142" s="1"/>
  <c r="AM214" i="2"/>
  <c r="AO16" i="2"/>
  <c r="AB556" i="2"/>
  <c r="AO556" i="2" s="1"/>
  <c r="AU137" i="2"/>
  <c r="AO208" i="2"/>
  <c r="E351" i="143"/>
  <c r="AT93" i="2"/>
  <c r="AL76" i="2"/>
  <c r="AO161" i="2"/>
  <c r="I131" i="143"/>
  <c r="I134" i="143" s="1"/>
  <c r="K93" i="143"/>
  <c r="K96" i="143" s="1"/>
  <c r="AP60" i="2"/>
  <c r="AT120" i="2"/>
  <c r="AT29" i="2"/>
  <c r="E313" i="143"/>
  <c r="AP159" i="2"/>
  <c r="M341" i="143"/>
  <c r="M344" i="143" s="1"/>
  <c r="E15" i="143"/>
  <c r="AP106" i="2"/>
  <c r="AJ38" i="2"/>
  <c r="T38" i="2"/>
  <c r="U38" i="2" s="1"/>
  <c r="M208" i="142"/>
  <c r="M211" i="142" s="1"/>
  <c r="Q207" i="143"/>
  <c r="Q210" i="143" s="1"/>
  <c r="E164" i="143"/>
  <c r="O303" i="143"/>
  <c r="O306" i="143" s="1"/>
  <c r="AJ76" i="2"/>
  <c r="U76" i="2"/>
  <c r="AN208" i="2"/>
  <c r="AR131" i="2"/>
  <c r="AU159" i="2"/>
  <c r="J152" i="142"/>
  <c r="J155" i="142" s="1"/>
  <c r="U219" i="142"/>
  <c r="K284" i="143"/>
  <c r="K287" i="143" s="1"/>
  <c r="N12" i="142"/>
  <c r="N15" i="142" s="1"/>
  <c r="AU21" i="2"/>
  <c r="O110" i="142"/>
  <c r="O113" i="142" s="1"/>
  <c r="AK43" i="2"/>
  <c r="AQ27" i="2"/>
  <c r="N124" i="142"/>
  <c r="N127" i="142" s="1"/>
  <c r="AK21" i="2"/>
  <c r="AR38" i="2"/>
  <c r="E110" i="143"/>
  <c r="AU51" i="2"/>
  <c r="AU172" i="2"/>
  <c r="AJ60" i="2"/>
  <c r="T60" i="2"/>
  <c r="U60" i="2" s="1"/>
  <c r="U179" i="142"/>
  <c r="AT73" i="2"/>
  <c r="AR18" i="2"/>
  <c r="AE558" i="2"/>
  <c r="AR558" i="2" s="1"/>
  <c r="AQ10" i="2"/>
  <c r="AD550" i="2"/>
  <c r="AQ550" i="2" s="1"/>
  <c r="L180" i="142"/>
  <c r="L183" i="142" s="1"/>
  <c r="R222" i="142"/>
  <c r="R225" i="142" s="1"/>
  <c r="E198" i="143"/>
  <c r="AM192" i="2"/>
  <c r="M55" i="143"/>
  <c r="M58" i="143" s="1"/>
  <c r="E104" i="143"/>
  <c r="AS73" i="2"/>
  <c r="AR172" i="2"/>
  <c r="AN170" i="2"/>
  <c r="AE550" i="2"/>
  <c r="AR550" i="2" s="1"/>
  <c r="AR10" i="2"/>
  <c r="AL40" i="2"/>
  <c r="M93" i="143"/>
  <c r="M96" i="143" s="1"/>
  <c r="AU161" i="2"/>
  <c r="AM153" i="2"/>
  <c r="U178" i="142"/>
  <c r="AS76" i="2"/>
  <c r="AR104" i="2"/>
  <c r="AS216" i="2"/>
  <c r="U11" i="142"/>
  <c r="I16" i="143"/>
  <c r="I19" i="143" s="1"/>
  <c r="U249" i="142"/>
  <c r="AR170" i="2"/>
  <c r="AN73" i="2"/>
  <c r="U191" i="142"/>
  <c r="AM10" i="2"/>
  <c r="Z550" i="2"/>
  <c r="AM550" i="2" s="1"/>
  <c r="M250" i="142"/>
  <c r="M253" i="142" s="1"/>
  <c r="M194" i="142"/>
  <c r="M197" i="142" s="1"/>
  <c r="AL106" i="2"/>
  <c r="AN106" i="2"/>
  <c r="AU49" i="2"/>
  <c r="E27" i="143"/>
  <c r="J82" i="142"/>
  <c r="J85" i="142" s="1"/>
  <c r="AT104" i="2"/>
  <c r="U232" i="142"/>
  <c r="L169" i="143"/>
  <c r="L172" i="143" s="1"/>
  <c r="AO84" i="2"/>
  <c r="E124" i="143"/>
  <c r="E162" i="143"/>
  <c r="M245" i="143"/>
  <c r="M248" i="143" s="1"/>
  <c r="AS38" i="2"/>
  <c r="AJ51" i="2"/>
  <c r="T51" i="2"/>
  <c r="U51" i="2" s="1"/>
  <c r="AP73" i="2"/>
  <c r="T139" i="2"/>
  <c r="U139" i="2" s="1"/>
  <c r="AK139" i="2"/>
  <c r="AS60" i="2"/>
  <c r="AK95" i="2"/>
  <c r="AO137" i="2"/>
  <c r="AS71" i="2"/>
  <c r="T142" i="2"/>
  <c r="U142" i="2" s="1"/>
  <c r="AJ142" i="2"/>
  <c r="J124" i="142"/>
  <c r="J127" i="142" s="1"/>
  <c r="AP142" i="2"/>
  <c r="AK142" i="2"/>
  <c r="U81" i="142"/>
  <c r="L96" i="142"/>
  <c r="L99" i="142" s="1"/>
  <c r="AJ95" i="2"/>
  <c r="T95" i="2"/>
  <c r="U95" i="2" s="1"/>
  <c r="E123" i="143"/>
  <c r="U106" i="142"/>
  <c r="AL32" i="2"/>
  <c r="U23" i="142"/>
  <c r="K150" i="143"/>
  <c r="K153" i="143" s="1"/>
  <c r="Q55" i="143"/>
  <c r="Q58" i="143" s="1"/>
  <c r="AT21" i="2"/>
  <c r="E25" i="143"/>
  <c r="F35" i="143"/>
  <c r="F38" i="143" s="1"/>
  <c r="AT214" i="2"/>
  <c r="AK87" i="2"/>
  <c r="AP205" i="2"/>
  <c r="AO126" i="2"/>
  <c r="T222" i="142"/>
  <c r="T225" i="142" s="1"/>
  <c r="E353" i="143"/>
  <c r="AT148" i="2"/>
  <c r="AR106" i="2"/>
  <c r="S236" i="142"/>
  <c r="S239" i="142" s="1"/>
  <c r="AL62" i="2"/>
  <c r="AU71" i="2"/>
  <c r="AL148" i="2"/>
  <c r="AN84" i="2"/>
  <c r="AS10" i="2"/>
  <c r="AF550" i="2"/>
  <c r="AS550" i="2" s="1"/>
  <c r="U204" i="142"/>
  <c r="AM175" i="2"/>
  <c r="E200" i="143"/>
  <c r="AM142" i="2"/>
  <c r="X556" i="2"/>
  <c r="AK16" i="2"/>
  <c r="AL38" i="2"/>
  <c r="P54" i="142"/>
  <c r="P57" i="142" s="1"/>
  <c r="AM16" i="2"/>
  <c r="Z556" i="2"/>
  <c r="AM556" i="2" s="1"/>
  <c r="AT54" i="2"/>
  <c r="I55" i="143"/>
  <c r="I58" i="143" s="1"/>
  <c r="E107" i="143"/>
  <c r="T12" i="142"/>
  <c r="T15" i="142" s="1"/>
  <c r="AQ126" i="2"/>
  <c r="AT139" i="2"/>
  <c r="G35" i="143"/>
  <c r="G38" i="143" s="1"/>
  <c r="AQ49" i="2"/>
  <c r="AM137" i="2"/>
  <c r="K124" i="142"/>
  <c r="K127" i="142" s="1"/>
  <c r="AS205" i="2"/>
  <c r="AP18" i="2"/>
  <c r="AC558" i="2"/>
  <c r="AP558" i="2" s="1"/>
  <c r="AU54" i="2"/>
  <c r="I245" i="143"/>
  <c r="I248" i="143" s="1"/>
  <c r="AS153" i="2"/>
  <c r="K166" i="142"/>
  <c r="K169" i="142" s="1"/>
  <c r="U7" i="142"/>
  <c r="J12" i="142"/>
  <c r="J15" i="142" s="1"/>
  <c r="P93" i="143"/>
  <c r="P96" i="143" s="1"/>
  <c r="AQ175" i="2"/>
  <c r="AS21" i="2"/>
  <c r="Q152" i="142"/>
  <c r="Q155" i="142" s="1"/>
  <c r="AL109" i="2"/>
  <c r="J226" i="143"/>
  <c r="J229" i="143" s="1"/>
  <c r="P360" i="143"/>
  <c r="P363" i="143" s="1"/>
  <c r="AN137" i="2"/>
  <c r="L124" i="142"/>
  <c r="L127" i="142" s="1"/>
  <c r="AM65" i="2"/>
  <c r="AR49" i="2"/>
  <c r="H16" i="143"/>
  <c r="H19" i="143" s="1"/>
  <c r="E11" i="143"/>
  <c r="G112" i="143"/>
  <c r="G115" i="143" s="1"/>
  <c r="U38" i="142"/>
  <c r="N82" i="142"/>
  <c r="N85" i="142" s="1"/>
  <c r="U109" i="142"/>
  <c r="L226" i="143"/>
  <c r="L229" i="143" s="1"/>
  <c r="U260" i="142"/>
  <c r="AL216" i="2"/>
  <c r="U177" i="142"/>
  <c r="AT76" i="2"/>
  <c r="E333" i="143"/>
  <c r="K208" i="142"/>
  <c r="K211" i="142" s="1"/>
  <c r="U203" i="142"/>
  <c r="AQ40" i="2"/>
  <c r="P74" i="143"/>
  <c r="P77" i="143" s="1"/>
  <c r="O112" i="143"/>
  <c r="O115" i="143" s="1"/>
  <c r="AK32" i="2"/>
  <c r="AR120" i="2"/>
  <c r="AM150" i="2"/>
  <c r="AQ216" i="2"/>
  <c r="AQ161" i="2"/>
  <c r="AM128" i="2"/>
  <c r="AQ73" i="2"/>
  <c r="E31" i="143"/>
  <c r="P152" i="142"/>
  <c r="P155" i="142" s="1"/>
  <c r="AQ186" i="2"/>
  <c r="AM43" i="2"/>
  <c r="AP192" i="2"/>
  <c r="N207" i="143"/>
  <c r="N210" i="143" s="1"/>
  <c r="T236" i="142"/>
  <c r="T239" i="142" s="1"/>
  <c r="AU73" i="2"/>
  <c r="AT142" i="2"/>
  <c r="AJ126" i="2"/>
  <c r="T126" i="2"/>
  <c r="U126" i="2" s="1"/>
  <c r="AU65" i="2"/>
  <c r="J360" i="143"/>
  <c r="J363" i="143" s="1"/>
  <c r="E319" i="143"/>
  <c r="AO38" i="2"/>
  <c r="AT71" i="2"/>
  <c r="AM98" i="2"/>
  <c r="AN93" i="2"/>
  <c r="AP186" i="2"/>
  <c r="AM558" i="2"/>
  <c r="AQ558" i="2"/>
  <c r="AT556" i="2"/>
  <c r="F8" i="141"/>
  <c r="AJ552" i="2"/>
  <c r="AL552" i="2"/>
  <c r="AL550" i="2"/>
  <c r="S551" i="2"/>
  <c r="AP552" i="2"/>
  <c r="AK552" i="2"/>
  <c r="B264" i="1"/>
  <c r="K559" i="2"/>
  <c r="M559" i="2"/>
  <c r="H559" i="2"/>
  <c r="I559" i="2"/>
  <c r="P559" i="2"/>
  <c r="G559" i="2"/>
  <c r="N559" i="2"/>
  <c r="O559" i="2"/>
  <c r="J559" i="2"/>
  <c r="R559" i="2"/>
  <c r="R569" i="2" s="1"/>
  <c r="Q559" i="2"/>
  <c r="L559" i="2"/>
  <c r="AE123" i="2"/>
  <c r="AA46" i="2"/>
  <c r="Y156" i="2"/>
  <c r="Z200" i="2"/>
  <c r="AC156" i="2"/>
  <c r="AD134" i="2"/>
  <c r="Y189" i="2"/>
  <c r="AB13" i="2"/>
  <c r="X24" i="2"/>
  <c r="AF79" i="2"/>
  <c r="AC101" i="2"/>
  <c r="AA68" i="2"/>
  <c r="AE101" i="2"/>
  <c r="Z123" i="2"/>
  <c r="X145" i="2"/>
  <c r="AH200" i="2"/>
  <c r="Z178" i="2"/>
  <c r="AA189" i="2"/>
  <c r="AG79" i="2"/>
  <c r="AE79" i="2"/>
  <c r="AE24" i="2"/>
  <c r="AE35" i="2"/>
  <c r="AA178" i="2"/>
  <c r="AE46" i="2"/>
  <c r="AG24" i="2"/>
  <c r="AA101" i="2"/>
  <c r="AF200" i="2"/>
  <c r="W13" i="2"/>
  <c r="Z134" i="2"/>
  <c r="AF13" i="2"/>
  <c r="AC24" i="2"/>
  <c r="AB68" i="2"/>
  <c r="AB35" i="2"/>
  <c r="AE145" i="2"/>
  <c r="AG189" i="2"/>
  <c r="AG101" i="2"/>
  <c r="AH167" i="2"/>
  <c r="AD156" i="2"/>
  <c r="AC46" i="2"/>
  <c r="AE200" i="2"/>
  <c r="Z57" i="2"/>
  <c r="X35" i="2"/>
  <c r="AC167" i="2"/>
  <c r="AA200" i="2"/>
  <c r="AC57" i="2"/>
  <c r="AG46" i="2"/>
  <c r="Z46" i="2"/>
  <c r="AC123" i="2"/>
  <c r="Y13" i="2"/>
  <c r="AC68" i="2"/>
  <c r="AC13" i="2"/>
  <c r="W134" i="2"/>
  <c r="Y145" i="2"/>
  <c r="AG156" i="2"/>
  <c r="X13" i="2"/>
  <c r="AA13" i="2"/>
  <c r="Y167" i="2"/>
  <c r="AC145" i="2"/>
  <c r="W35" i="2"/>
  <c r="AE211" i="2"/>
  <c r="AG57" i="2"/>
  <c r="AH46" i="2"/>
  <c r="Y101" i="2"/>
  <c r="AA79" i="2"/>
  <c r="AF134" i="2"/>
  <c r="Z24" i="2"/>
  <c r="Z101" i="2"/>
  <c r="Z13" i="2"/>
  <c r="AD189" i="2"/>
  <c r="AF156" i="2"/>
  <c r="AH189" i="2"/>
  <c r="AH134" i="2"/>
  <c r="Z167" i="2"/>
  <c r="AB101" i="2"/>
  <c r="X68" i="2"/>
  <c r="AE13" i="2"/>
  <c r="AB79" i="2"/>
  <c r="Z145" i="2"/>
  <c r="X46" i="2"/>
  <c r="AB167" i="2"/>
  <c r="AB178" i="2"/>
  <c r="AD178" i="2"/>
  <c r="AC134" i="2"/>
  <c r="AG90" i="2"/>
  <c r="W57" i="2"/>
  <c r="AA24" i="2"/>
  <c r="AF101" i="2"/>
  <c r="Z189" i="2"/>
  <c r="AH68" i="2"/>
  <c r="W79" i="2"/>
  <c r="Y90" i="2"/>
  <c r="Y68" i="2"/>
  <c r="AD57" i="2"/>
  <c r="AA145" i="2"/>
  <c r="AH145" i="2"/>
  <c r="AE68" i="2"/>
  <c r="AA156" i="2"/>
  <c r="Z79" i="2"/>
  <c r="AE57" i="2"/>
  <c r="AG35" i="2"/>
  <c r="AC200" i="2"/>
  <c r="AD211" i="2"/>
  <c r="AB57" i="2"/>
  <c r="AB134" i="2"/>
  <c r="AH156" i="2"/>
  <c r="AD35" i="2"/>
  <c r="AB24" i="2"/>
  <c r="AG167" i="2"/>
  <c r="AH101" i="2"/>
  <c r="AH90" i="2"/>
  <c r="AH24" i="2"/>
  <c r="Z211" i="2"/>
  <c r="X90" i="2"/>
  <c r="Z156" i="2"/>
  <c r="Y79" i="2"/>
  <c r="AF167" i="2"/>
  <c r="AB189" i="2"/>
  <c r="AF90" i="2"/>
  <c r="Y46" i="2"/>
  <c r="AB145" i="2"/>
  <c r="AA90" i="2"/>
  <c r="AE189" i="2"/>
  <c r="AE178" i="2"/>
  <c r="AD79" i="2"/>
  <c r="AG134" i="2"/>
  <c r="AA123" i="2"/>
  <c r="AH13" i="2"/>
  <c r="X123" i="2"/>
  <c r="Y178" i="2"/>
  <c r="AB123" i="2"/>
  <c r="W68" i="2"/>
  <c r="AB46" i="2"/>
  <c r="Y123" i="2"/>
  <c r="X79" i="2"/>
  <c r="AE134" i="2"/>
  <c r="AG68" i="2"/>
  <c r="W46" i="2"/>
  <c r="Y211" i="2"/>
  <c r="Z68" i="2"/>
  <c r="X101" i="2"/>
  <c r="AE90" i="2"/>
  <c r="AF35" i="2"/>
  <c r="AC79" i="2"/>
  <c r="AC211" i="2"/>
  <c r="Z35" i="2"/>
  <c r="Y134" i="2"/>
  <c r="AG211" i="2"/>
  <c r="AD46" i="2"/>
  <c r="AG145" i="2"/>
  <c r="AF68" i="2"/>
  <c r="X134" i="2"/>
  <c r="AD68" i="2"/>
  <c r="AE156" i="2"/>
  <c r="AD13" i="2"/>
  <c r="W123" i="2"/>
  <c r="AF178" i="2"/>
  <c r="AF46" i="2"/>
  <c r="AF189" i="2"/>
  <c r="AH123" i="2"/>
  <c r="AC90" i="2"/>
  <c r="AD101" i="2"/>
  <c r="Y35" i="2"/>
  <c r="A265" i="1"/>
  <c r="AB90" i="2"/>
  <c r="AA57" i="2"/>
  <c r="AD145" i="2"/>
  <c r="Y24" i="2"/>
  <c r="Z90" i="2"/>
  <c r="AF24" i="2"/>
  <c r="AC178" i="2"/>
  <c r="AG178" i="2"/>
  <c r="AA35" i="2"/>
  <c r="W24" i="2"/>
  <c r="AC189" i="2"/>
  <c r="Y57" i="2"/>
  <c r="AD24" i="2"/>
  <c r="W101" i="2"/>
  <c r="AF145" i="2"/>
  <c r="AA211" i="2"/>
  <c r="X57" i="2"/>
  <c r="AD167" i="2"/>
  <c r="AB211" i="2"/>
  <c r="AB156" i="2"/>
  <c r="W90" i="2"/>
  <c r="AG123" i="2"/>
  <c r="W145" i="2"/>
  <c r="AC35" i="2"/>
  <c r="AD200" i="2"/>
  <c r="AF123" i="2"/>
  <c r="AA167" i="2"/>
  <c r="AH57" i="2"/>
  <c r="AA134" i="2"/>
  <c r="AG13" i="2"/>
  <c r="Y200" i="2"/>
  <c r="AD90" i="2"/>
  <c r="AF211" i="2"/>
  <c r="AG200" i="2"/>
  <c r="AH35" i="2"/>
  <c r="AD123" i="2"/>
  <c r="AB200" i="2"/>
  <c r="AF57" i="2"/>
  <c r="AE167" i="2"/>
  <c r="U236" i="142" l="1"/>
  <c r="U239" i="142" s="1"/>
  <c r="U194" i="142"/>
  <c r="U197" i="142" s="1"/>
  <c r="I270" i="142"/>
  <c r="I273" i="142" s="1"/>
  <c r="E169" i="143"/>
  <c r="E172" i="143" s="1"/>
  <c r="T79" i="2"/>
  <c r="T178" i="2"/>
  <c r="U152" i="142"/>
  <c r="U155" i="142" s="1"/>
  <c r="E264" i="143"/>
  <c r="E267" i="143" s="1"/>
  <c r="U54" i="142"/>
  <c r="U57" i="142" s="1"/>
  <c r="E303" i="143"/>
  <c r="E306" i="143" s="1"/>
  <c r="E284" i="143"/>
  <c r="E287" i="143" s="1"/>
  <c r="E93" i="143"/>
  <c r="E96" i="143" s="1"/>
  <c r="E411" i="143"/>
  <c r="T211" i="2"/>
  <c r="U40" i="142"/>
  <c r="U43" i="142" s="1"/>
  <c r="U12" i="142"/>
  <c r="U15" i="142" s="1"/>
  <c r="E112" i="143"/>
  <c r="E115" i="143" s="1"/>
  <c r="T556" i="2"/>
  <c r="C13" i="141" s="1"/>
  <c r="H13" i="141" s="1"/>
  <c r="E150" i="143"/>
  <c r="E153" i="143" s="1"/>
  <c r="E74" i="143"/>
  <c r="E77" i="143" s="1"/>
  <c r="U124" i="142"/>
  <c r="U127" i="142" s="1"/>
  <c r="E55" i="143"/>
  <c r="E58" i="143" s="1"/>
  <c r="U96" i="142"/>
  <c r="U99" i="142" s="1"/>
  <c r="U264" i="142"/>
  <c r="U267" i="142" s="1"/>
  <c r="U26" i="142"/>
  <c r="U29" i="142" s="1"/>
  <c r="N270" i="142"/>
  <c r="N273" i="142" s="1"/>
  <c r="S270" i="142"/>
  <c r="S273" i="142" s="1"/>
  <c r="Q366" i="143"/>
  <c r="Q369" i="143" s="1"/>
  <c r="M270" i="142"/>
  <c r="M273" i="142" s="1"/>
  <c r="M366" i="143"/>
  <c r="M369" i="143" s="1"/>
  <c r="E226" i="143"/>
  <c r="E229" i="143" s="1"/>
  <c r="U222" i="142"/>
  <c r="U225" i="142" s="1"/>
  <c r="U166" i="142"/>
  <c r="U169" i="142" s="1"/>
  <c r="E207" i="143"/>
  <c r="E210" i="143" s="1"/>
  <c r="U68" i="142"/>
  <c r="U71" i="142" s="1"/>
  <c r="H366" i="143"/>
  <c r="H369" i="143" s="1"/>
  <c r="Q270" i="142"/>
  <c r="Q273" i="142" s="1"/>
  <c r="E245" i="143"/>
  <c r="E248" i="143" s="1"/>
  <c r="L270" i="142"/>
  <c r="L273" i="142" s="1"/>
  <c r="R270" i="142"/>
  <c r="R273" i="142" s="1"/>
  <c r="U250" i="142"/>
  <c r="U253" i="142" s="1"/>
  <c r="E322" i="143"/>
  <c r="E325" i="143" s="1"/>
  <c r="U180" i="142"/>
  <c r="U183" i="142" s="1"/>
  <c r="E131" i="143"/>
  <c r="E134" i="143" s="1"/>
  <c r="U82" i="142"/>
  <c r="U85" i="142" s="1"/>
  <c r="AK556" i="2"/>
  <c r="O366" i="143"/>
  <c r="O369" i="143" s="1"/>
  <c r="O270" i="142"/>
  <c r="O273" i="142" s="1"/>
  <c r="U110" i="142"/>
  <c r="U113" i="142" s="1"/>
  <c r="E16" i="143"/>
  <c r="E19" i="143" s="1"/>
  <c r="E360" i="143"/>
  <c r="E363" i="143" s="1"/>
  <c r="J270" i="142"/>
  <c r="J273" i="142" s="1"/>
  <c r="K366" i="143"/>
  <c r="K369" i="143" s="1"/>
  <c r="J366" i="143"/>
  <c r="J369" i="143" s="1"/>
  <c r="P366" i="143"/>
  <c r="P369" i="143" s="1"/>
  <c r="T270" i="142"/>
  <c r="T273" i="142" s="1"/>
  <c r="L366" i="143"/>
  <c r="L369" i="143" s="1"/>
  <c r="E35" i="143"/>
  <c r="E38" i="143" s="1"/>
  <c r="F366" i="143"/>
  <c r="F369" i="143" s="1"/>
  <c r="E341" i="143"/>
  <c r="E344" i="143" s="1"/>
  <c r="U208" i="142"/>
  <c r="U211" i="142" s="1"/>
  <c r="I366" i="143"/>
  <c r="I369" i="143" s="1"/>
  <c r="N366" i="143"/>
  <c r="N369" i="143" s="1"/>
  <c r="K270" i="142"/>
  <c r="K273" i="142" s="1"/>
  <c r="T558" i="2"/>
  <c r="C16" i="141" s="1"/>
  <c r="AQ211" i="2"/>
  <c r="AD213" i="2"/>
  <c r="AQ213" i="2" s="1"/>
  <c r="AP13" i="2"/>
  <c r="AC15" i="2"/>
  <c r="AC17" i="2" s="1"/>
  <c r="AP17" i="2" s="1"/>
  <c r="AC553" i="2"/>
  <c r="AP553" i="2" s="1"/>
  <c r="AG136" i="2"/>
  <c r="AG138" i="2" s="1"/>
  <c r="AT138" i="2" s="1"/>
  <c r="AT134" i="2"/>
  <c r="Y59" i="2"/>
  <c r="AL59" i="2" s="1"/>
  <c r="AL57" i="2"/>
  <c r="AP200" i="2"/>
  <c r="AC202" i="2"/>
  <c r="AP202" i="2" s="1"/>
  <c r="AP68" i="2"/>
  <c r="AC70" i="2"/>
  <c r="AC72" i="2" s="1"/>
  <c r="AP72" i="2" s="1"/>
  <c r="AE169" i="2"/>
  <c r="AE171" i="2" s="1"/>
  <c r="AR171" i="2" s="1"/>
  <c r="AR167" i="2"/>
  <c r="AC191" i="2"/>
  <c r="AP191" i="2" s="1"/>
  <c r="AP189" i="2"/>
  <c r="AT35" i="2"/>
  <c r="AG37" i="2"/>
  <c r="AT37" i="2" s="1"/>
  <c r="Y553" i="2"/>
  <c r="AL553" i="2" s="1"/>
  <c r="AL13" i="2"/>
  <c r="Y15" i="2"/>
  <c r="Y17" i="2" s="1"/>
  <c r="AL17" i="2" s="1"/>
  <c r="AQ79" i="2"/>
  <c r="AD81" i="2"/>
  <c r="AQ81" i="2" s="1"/>
  <c r="W26" i="2"/>
  <c r="W28" i="2" s="1"/>
  <c r="AJ28" i="2" s="1"/>
  <c r="T24" i="2"/>
  <c r="U24" i="2" s="1"/>
  <c r="AJ24" i="2"/>
  <c r="AR57" i="2"/>
  <c r="AE59" i="2"/>
  <c r="AR59" i="2" s="1"/>
  <c r="AC125" i="2"/>
  <c r="AP125" i="2" s="1"/>
  <c r="AP123" i="2"/>
  <c r="AF59" i="2"/>
  <c r="AS59" i="2" s="1"/>
  <c r="AS57" i="2"/>
  <c r="AN35" i="2"/>
  <c r="AA37" i="2"/>
  <c r="AN37" i="2" s="1"/>
  <c r="AM79" i="2"/>
  <c r="Z81" i="2"/>
  <c r="AM81" i="2" s="1"/>
  <c r="Z48" i="2"/>
  <c r="Z50" i="2" s="1"/>
  <c r="AM50" i="2" s="1"/>
  <c r="AM46" i="2"/>
  <c r="AR178" i="2"/>
  <c r="AE180" i="2"/>
  <c r="AE182" i="2" s="1"/>
  <c r="AR182" i="2" s="1"/>
  <c r="AT178" i="2"/>
  <c r="AG180" i="2"/>
  <c r="AG182" i="2" s="1"/>
  <c r="AT182" i="2" s="1"/>
  <c r="AN156" i="2"/>
  <c r="AA158" i="2"/>
  <c r="AN158" i="2" s="1"/>
  <c r="AG48" i="2"/>
  <c r="AT48" i="2" s="1"/>
  <c r="AT46" i="2"/>
  <c r="AB202" i="2"/>
  <c r="AO202" i="2" s="1"/>
  <c r="AO200" i="2"/>
  <c r="AC180" i="2"/>
  <c r="AC182" i="2" s="1"/>
  <c r="AP182" i="2" s="1"/>
  <c r="AP178" i="2"/>
  <c r="AE70" i="2"/>
  <c r="AR70" i="2" s="1"/>
  <c r="AR68" i="2"/>
  <c r="AP57" i="2"/>
  <c r="AC59" i="2"/>
  <c r="AP59" i="2" s="1"/>
  <c r="AR189" i="2"/>
  <c r="AE191" i="2"/>
  <c r="AR191" i="2" s="1"/>
  <c r="AS24" i="2"/>
  <c r="AF26" i="2"/>
  <c r="AS26" i="2" s="1"/>
  <c r="AU145" i="2"/>
  <c r="AH147" i="2"/>
  <c r="AU147" i="2" s="1"/>
  <c r="AA202" i="2"/>
  <c r="AA204" i="2" s="1"/>
  <c r="AN204" i="2" s="1"/>
  <c r="AN200" i="2"/>
  <c r="AQ123" i="2"/>
  <c r="AD125" i="2"/>
  <c r="AQ125" i="2" s="1"/>
  <c r="Z92" i="2"/>
  <c r="Z94" i="2" s="1"/>
  <c r="AM94" i="2" s="1"/>
  <c r="AM90" i="2"/>
  <c r="AA147" i="2"/>
  <c r="AA149" i="2" s="1"/>
  <c r="AN149" i="2" s="1"/>
  <c r="AN145" i="2"/>
  <c r="AP167" i="2"/>
  <c r="AC169" i="2"/>
  <c r="AC171" i="2" s="1"/>
  <c r="AP171" i="2" s="1"/>
  <c r="AN90" i="2"/>
  <c r="AA92" i="2"/>
  <c r="AN92" i="2" s="1"/>
  <c r="AL24" i="2"/>
  <c r="Y26" i="2"/>
  <c r="AL26" i="2" s="1"/>
  <c r="AD59" i="2"/>
  <c r="AQ59" i="2" s="1"/>
  <c r="AQ57" i="2"/>
  <c r="X37" i="2"/>
  <c r="AK37" i="2" s="1"/>
  <c r="AK35" i="2"/>
  <c r="AH37" i="2"/>
  <c r="AH39" i="2" s="1"/>
  <c r="AU39" i="2" s="1"/>
  <c r="AU35" i="2"/>
  <c r="AQ145" i="2"/>
  <c r="AD147" i="2"/>
  <c r="AD149" i="2" s="1"/>
  <c r="AQ149" i="2" s="1"/>
  <c r="AL68" i="2"/>
  <c r="Y70" i="2"/>
  <c r="Y72" i="2" s="1"/>
  <c r="AL72" i="2" s="1"/>
  <c r="Z59" i="2"/>
  <c r="AM59" i="2" s="1"/>
  <c r="AM57" i="2"/>
  <c r="AO145" i="2"/>
  <c r="AB147" i="2"/>
  <c r="AB149" i="2" s="1"/>
  <c r="AO149" i="2" s="1"/>
  <c r="AN57" i="2"/>
  <c r="AA59" i="2"/>
  <c r="AA61" i="2" s="1"/>
  <c r="AN61" i="2" s="1"/>
  <c r="Y92" i="2"/>
  <c r="Y94" i="2" s="1"/>
  <c r="AL94" i="2" s="1"/>
  <c r="AL90" i="2"/>
  <c r="AE202" i="2"/>
  <c r="AR202" i="2" s="1"/>
  <c r="AR200" i="2"/>
  <c r="AG202" i="2"/>
  <c r="AG204" i="2" s="1"/>
  <c r="AT204" i="2" s="1"/>
  <c r="AT200" i="2"/>
  <c r="AO90" i="2"/>
  <c r="AB92" i="2"/>
  <c r="AO92" i="2" s="1"/>
  <c r="AJ79" i="2"/>
  <c r="W81" i="2"/>
  <c r="U79" i="2"/>
  <c r="AC48" i="2"/>
  <c r="AP48" i="2" s="1"/>
  <c r="AP46" i="2"/>
  <c r="AL46" i="2"/>
  <c r="Y48" i="2"/>
  <c r="AL48" i="2" s="1"/>
  <c r="AU68" i="2"/>
  <c r="AH70" i="2"/>
  <c r="AH72" i="2" s="1"/>
  <c r="AU72" i="2" s="1"/>
  <c r="AQ156" i="2"/>
  <c r="AD158" i="2"/>
  <c r="AD160" i="2" s="1"/>
  <c r="AQ160" i="2" s="1"/>
  <c r="AF213" i="2"/>
  <c r="AF215" i="2" s="1"/>
  <c r="AS215" i="2" s="1"/>
  <c r="AS211" i="2"/>
  <c r="Y37" i="2"/>
  <c r="Y39" i="2" s="1"/>
  <c r="AL39" i="2" s="1"/>
  <c r="AL35" i="2"/>
  <c r="AM189" i="2"/>
  <c r="Z191" i="2"/>
  <c r="Z193" i="2" s="1"/>
  <c r="AM193" i="2" s="1"/>
  <c r="AU167" i="2"/>
  <c r="AH169" i="2"/>
  <c r="AU169" i="2" s="1"/>
  <c r="AF92" i="2"/>
  <c r="AF94" i="2" s="1"/>
  <c r="AS94" i="2" s="1"/>
  <c r="AS90" i="2"/>
  <c r="AD103" i="2"/>
  <c r="AQ103" i="2" s="1"/>
  <c r="AQ101" i="2"/>
  <c r="AF103" i="2"/>
  <c r="AS103" i="2" s="1"/>
  <c r="AS101" i="2"/>
  <c r="AG103" i="2"/>
  <c r="AT103" i="2" s="1"/>
  <c r="AT101" i="2"/>
  <c r="AD92" i="2"/>
  <c r="AD94" i="2" s="1"/>
  <c r="AQ94" i="2" s="1"/>
  <c r="AQ90" i="2"/>
  <c r="AC92" i="2"/>
  <c r="AP92" i="2" s="1"/>
  <c r="AP90" i="2"/>
  <c r="AN24" i="2"/>
  <c r="AA26" i="2"/>
  <c r="AA28" i="2" s="1"/>
  <c r="AN28" i="2" s="1"/>
  <c r="AT189" i="2"/>
  <c r="AG191" i="2"/>
  <c r="AG193" i="2" s="1"/>
  <c r="AT193" i="2" s="1"/>
  <c r="AO189" i="2"/>
  <c r="AB191" i="2"/>
  <c r="AB193" i="2" s="1"/>
  <c r="AO193" i="2" s="1"/>
  <c r="AH125" i="2"/>
  <c r="AH127" i="2" s="1"/>
  <c r="AU127" i="2" s="1"/>
  <c r="AU123" i="2"/>
  <c r="T57" i="2"/>
  <c r="U57" i="2" s="1"/>
  <c r="AJ57" i="2"/>
  <c r="W59" i="2"/>
  <c r="AJ59" i="2" s="1"/>
  <c r="AE147" i="2"/>
  <c r="AR147" i="2" s="1"/>
  <c r="AR145" i="2"/>
  <c r="Y202" i="2"/>
  <c r="AL202" i="2" s="1"/>
  <c r="T200" i="2"/>
  <c r="U200" i="2" s="1"/>
  <c r="AL200" i="2"/>
  <c r="AF191" i="2"/>
  <c r="AS191" i="2" s="1"/>
  <c r="AS189" i="2"/>
  <c r="AG92" i="2"/>
  <c r="AT92" i="2" s="1"/>
  <c r="AT90" i="2"/>
  <c r="AO35" i="2"/>
  <c r="AB37" i="2"/>
  <c r="AO37" i="2" s="1"/>
  <c r="AS167" i="2"/>
  <c r="AF169" i="2"/>
  <c r="AS169" i="2" s="1"/>
  <c r="AF48" i="2"/>
  <c r="AF50" i="2" s="1"/>
  <c r="AS50" i="2" s="1"/>
  <c r="AS46" i="2"/>
  <c r="AC136" i="2"/>
  <c r="AC138" i="2" s="1"/>
  <c r="AP138" i="2" s="1"/>
  <c r="AP134" i="2"/>
  <c r="AO68" i="2"/>
  <c r="AB70" i="2"/>
  <c r="AB72" i="2" s="1"/>
  <c r="AO72" i="2" s="1"/>
  <c r="AG15" i="2"/>
  <c r="AT15" i="2" s="1"/>
  <c r="AT13" i="2"/>
  <c r="AG553" i="2"/>
  <c r="AT553" i="2" s="1"/>
  <c r="AS178" i="2"/>
  <c r="AF180" i="2"/>
  <c r="AF182" i="2" s="1"/>
  <c r="AS182" i="2" s="1"/>
  <c r="AD180" i="2"/>
  <c r="AQ180" i="2" s="1"/>
  <c r="AQ178" i="2"/>
  <c r="AC26" i="2"/>
  <c r="AP26" i="2" s="1"/>
  <c r="AP24" i="2"/>
  <c r="AL79" i="2"/>
  <c r="Y81" i="2"/>
  <c r="Y83" i="2" s="1"/>
  <c r="AL83" i="2" s="1"/>
  <c r="T123" i="2"/>
  <c r="U123" i="2" s="1"/>
  <c r="AJ123" i="2"/>
  <c r="W125" i="2"/>
  <c r="AJ125" i="2" s="1"/>
  <c r="AO178" i="2"/>
  <c r="AB180" i="2"/>
  <c r="AB182" i="2" s="1"/>
  <c r="AO182" i="2" s="1"/>
  <c r="AS13" i="2"/>
  <c r="AF553" i="2"/>
  <c r="AS553" i="2" s="1"/>
  <c r="AF15" i="2"/>
  <c r="AS15" i="2" s="1"/>
  <c r="AA136" i="2"/>
  <c r="AN136" i="2" s="1"/>
  <c r="AN134" i="2"/>
  <c r="AD553" i="2"/>
  <c r="AQ553" i="2" s="1"/>
  <c r="AD15" i="2"/>
  <c r="AD17" i="2" s="1"/>
  <c r="AQ17" i="2" s="1"/>
  <c r="AQ13" i="2"/>
  <c r="AO167" i="2"/>
  <c r="AB169" i="2"/>
  <c r="AB171" i="2" s="1"/>
  <c r="AO171" i="2" s="1"/>
  <c r="AM134" i="2"/>
  <c r="Z136" i="2"/>
  <c r="Z138" i="2" s="1"/>
  <c r="AM138" i="2" s="1"/>
  <c r="AM156" i="2"/>
  <c r="Z158" i="2"/>
  <c r="AM158" i="2" s="1"/>
  <c r="AE158" i="2"/>
  <c r="AR158" i="2" s="1"/>
  <c r="AR156" i="2"/>
  <c r="X48" i="2"/>
  <c r="AK48" i="2" s="1"/>
  <c r="AK46" i="2"/>
  <c r="W15" i="2"/>
  <c r="AJ15" i="2" s="1"/>
  <c r="W553" i="2"/>
  <c r="AJ553" i="2" s="1"/>
  <c r="AJ13" i="2"/>
  <c r="T13" i="2"/>
  <c r="U13" i="2" s="1"/>
  <c r="AU57" i="2"/>
  <c r="AH59" i="2"/>
  <c r="AH61" i="2" s="1"/>
  <c r="AU61" i="2" s="1"/>
  <c r="AD70" i="2"/>
  <c r="AD72" i="2" s="1"/>
  <c r="AQ72" i="2" s="1"/>
  <c r="AQ68" i="2"/>
  <c r="Z147" i="2"/>
  <c r="AM147" i="2" s="1"/>
  <c r="AM145" i="2"/>
  <c r="AF202" i="2"/>
  <c r="AS202" i="2" s="1"/>
  <c r="AS200" i="2"/>
  <c r="X92" i="2"/>
  <c r="AK92" i="2" s="1"/>
  <c r="AK90" i="2"/>
  <c r="AK134" i="2"/>
  <c r="X136" i="2"/>
  <c r="AK136" i="2" s="1"/>
  <c r="AO79" i="2"/>
  <c r="AB81" i="2"/>
  <c r="AO81" i="2" s="1"/>
  <c r="AN101" i="2"/>
  <c r="AA103" i="2"/>
  <c r="AA105" i="2" s="1"/>
  <c r="AN105" i="2" s="1"/>
  <c r="AA169" i="2"/>
  <c r="AA171" i="2" s="1"/>
  <c r="AN171" i="2" s="1"/>
  <c r="AN167" i="2"/>
  <c r="AS68" i="2"/>
  <c r="AF70" i="2"/>
  <c r="AS70" i="2" s="1"/>
  <c r="AE553" i="2"/>
  <c r="AR553" i="2" s="1"/>
  <c r="AR13" i="2"/>
  <c r="AE15" i="2"/>
  <c r="AR15" i="2" s="1"/>
  <c r="AG26" i="2"/>
  <c r="AT26" i="2" s="1"/>
  <c r="AT24" i="2"/>
  <c r="Z213" i="2"/>
  <c r="AM213" i="2" s="1"/>
  <c r="AM211" i="2"/>
  <c r="AG147" i="2"/>
  <c r="AT147" i="2" s="1"/>
  <c r="AT145" i="2"/>
  <c r="X70" i="2"/>
  <c r="AK70" i="2" s="1"/>
  <c r="AK68" i="2"/>
  <c r="AR46" i="2"/>
  <c r="AE48" i="2"/>
  <c r="AR48" i="2" s="1"/>
  <c r="AS123" i="2"/>
  <c r="AF125" i="2"/>
  <c r="AS125" i="2" s="1"/>
  <c r="AQ46" i="2"/>
  <c r="AD48" i="2"/>
  <c r="AQ48" i="2" s="1"/>
  <c r="AO101" i="2"/>
  <c r="AB103" i="2"/>
  <c r="AB105" i="2" s="1"/>
  <c r="AO105" i="2" s="1"/>
  <c r="AA180" i="2"/>
  <c r="AN180" i="2" s="1"/>
  <c r="AN178" i="2"/>
  <c r="AU24" i="2"/>
  <c r="AH26" i="2"/>
  <c r="AH28" i="2" s="1"/>
  <c r="AU28" i="2" s="1"/>
  <c r="AG213" i="2"/>
  <c r="AG215" i="2" s="1"/>
  <c r="AT215" i="2" s="1"/>
  <c r="AT211" i="2"/>
  <c r="Z169" i="2"/>
  <c r="AM169" i="2" s="1"/>
  <c r="AM167" i="2"/>
  <c r="AE37" i="2"/>
  <c r="AE39" i="2" s="1"/>
  <c r="AR39" i="2" s="1"/>
  <c r="AR35" i="2"/>
  <c r="AQ200" i="2"/>
  <c r="AD202" i="2"/>
  <c r="AD204" i="2" s="1"/>
  <c r="AQ204" i="2" s="1"/>
  <c r="AL134" i="2"/>
  <c r="Y136" i="2"/>
  <c r="AL136" i="2" s="1"/>
  <c r="AH136" i="2"/>
  <c r="AH138" i="2" s="1"/>
  <c r="AU138" i="2" s="1"/>
  <c r="AU134" i="2"/>
  <c r="AR24" i="2"/>
  <c r="AE26" i="2"/>
  <c r="AR26" i="2" s="1"/>
  <c r="AU90" i="2"/>
  <c r="AH92" i="2"/>
  <c r="AH94" i="2" s="1"/>
  <c r="AU94" i="2" s="1"/>
  <c r="AM35" i="2"/>
  <c r="Z37" i="2"/>
  <c r="AM37" i="2" s="1"/>
  <c r="AU189" i="2"/>
  <c r="AH191" i="2"/>
  <c r="AH193" i="2" s="1"/>
  <c r="AU193" i="2" s="1"/>
  <c r="AR79" i="2"/>
  <c r="AE81" i="2"/>
  <c r="AE83" i="2" s="1"/>
  <c r="AR83" i="2" s="1"/>
  <c r="AC37" i="2"/>
  <c r="AC39" i="2" s="1"/>
  <c r="AP39" i="2" s="1"/>
  <c r="AP35" i="2"/>
  <c r="AP211" i="2"/>
  <c r="AC213" i="2"/>
  <c r="AC215" i="2" s="1"/>
  <c r="AP215" i="2" s="1"/>
  <c r="AF158" i="2"/>
  <c r="AS158" i="2" s="1"/>
  <c r="AS156" i="2"/>
  <c r="AG81" i="2"/>
  <c r="AG83" i="2" s="1"/>
  <c r="AT83" i="2" s="1"/>
  <c r="AT79" i="2"/>
  <c r="AH103" i="2"/>
  <c r="AH105" i="2" s="1"/>
  <c r="AU105" i="2" s="1"/>
  <c r="AU101" i="2"/>
  <c r="AC81" i="2"/>
  <c r="AP81" i="2" s="1"/>
  <c r="AP79" i="2"/>
  <c r="AD191" i="2"/>
  <c r="AD193" i="2" s="1"/>
  <c r="AQ193" i="2" s="1"/>
  <c r="AQ189" i="2"/>
  <c r="AN189" i="2"/>
  <c r="AA191" i="2"/>
  <c r="AN191" i="2" s="1"/>
  <c r="W147" i="2"/>
  <c r="AJ147" i="2" s="1"/>
  <c r="T145" i="2"/>
  <c r="U145" i="2" s="1"/>
  <c r="AJ145" i="2"/>
  <c r="AS35" i="2"/>
  <c r="AF37" i="2"/>
  <c r="AF39" i="2" s="1"/>
  <c r="AS39" i="2" s="1"/>
  <c r="Z553" i="2"/>
  <c r="AM553" i="2" s="1"/>
  <c r="Z15" i="2"/>
  <c r="AM15" i="2" s="1"/>
  <c r="AM13" i="2"/>
  <c r="Z180" i="2"/>
  <c r="Z182" i="2" s="1"/>
  <c r="AM182" i="2" s="1"/>
  <c r="AM178" i="2"/>
  <c r="AT167" i="2"/>
  <c r="AG169" i="2"/>
  <c r="AG171" i="2" s="1"/>
  <c r="AT171" i="2" s="1"/>
  <c r="AE92" i="2"/>
  <c r="AR92" i="2" s="1"/>
  <c r="AR90" i="2"/>
  <c r="Z103" i="2"/>
  <c r="AM103" i="2" s="1"/>
  <c r="AM101" i="2"/>
  <c r="AH202" i="2"/>
  <c r="AH204" i="2" s="1"/>
  <c r="AU204" i="2" s="1"/>
  <c r="AU200" i="2"/>
  <c r="AO24" i="2"/>
  <c r="AB26" i="2"/>
  <c r="AB28" i="2" s="1"/>
  <c r="AO28" i="2" s="1"/>
  <c r="AK101" i="2"/>
  <c r="X103" i="2"/>
  <c r="AK103" i="2" s="1"/>
  <c r="AM24" i="2"/>
  <c r="Z26" i="2"/>
  <c r="AM26" i="2" s="1"/>
  <c r="X147" i="2"/>
  <c r="AK147" i="2" s="1"/>
  <c r="AK145" i="2"/>
  <c r="AT123" i="2"/>
  <c r="AG125" i="2"/>
  <c r="AT125" i="2" s="1"/>
  <c r="Z70" i="2"/>
  <c r="AM70" i="2" s="1"/>
  <c r="AM68" i="2"/>
  <c r="AS134" i="2"/>
  <c r="AF136" i="2"/>
  <c r="AF138" i="2" s="1"/>
  <c r="AS138" i="2" s="1"/>
  <c r="AM123" i="2"/>
  <c r="Z125" i="2"/>
  <c r="Z127" i="2" s="1"/>
  <c r="AM127" i="2" s="1"/>
  <c r="AQ35" i="2"/>
  <c r="AD37" i="2"/>
  <c r="AD39" i="2" s="1"/>
  <c r="AQ39" i="2" s="1"/>
  <c r="Y213" i="2"/>
  <c r="U211" i="2"/>
  <c r="AL211" i="2"/>
  <c r="AA81" i="2"/>
  <c r="AA83" i="2" s="1"/>
  <c r="AN83" i="2" s="1"/>
  <c r="AN79" i="2"/>
  <c r="AE103" i="2"/>
  <c r="AR103" i="2" s="1"/>
  <c r="AR101" i="2"/>
  <c r="AJ90" i="2"/>
  <c r="T90" i="2"/>
  <c r="U90" i="2" s="1"/>
  <c r="W92" i="2"/>
  <c r="W94" i="2" s="1"/>
  <c r="AJ94" i="2" s="1"/>
  <c r="AJ46" i="2"/>
  <c r="T46" i="2"/>
  <c r="U46" i="2" s="1"/>
  <c r="W48" i="2"/>
  <c r="W50" i="2" s="1"/>
  <c r="AJ50" i="2" s="1"/>
  <c r="Y103" i="2"/>
  <c r="Y105" i="2" s="1"/>
  <c r="AL105" i="2" s="1"/>
  <c r="AL101" i="2"/>
  <c r="AA70" i="2"/>
  <c r="AA72" i="2" s="1"/>
  <c r="AN72" i="2" s="1"/>
  <c r="AN68" i="2"/>
  <c r="AH158" i="2"/>
  <c r="AH160" i="2" s="1"/>
  <c r="AU160" i="2" s="1"/>
  <c r="AU156" i="2"/>
  <c r="AT68" i="2"/>
  <c r="AG70" i="2"/>
  <c r="AT70" i="2" s="1"/>
  <c r="AH48" i="2"/>
  <c r="AU48" i="2" s="1"/>
  <c r="AU46" i="2"/>
  <c r="AP101" i="2"/>
  <c r="AC103" i="2"/>
  <c r="AC105" i="2" s="1"/>
  <c r="AP105" i="2" s="1"/>
  <c r="AO156" i="2"/>
  <c r="AB158" i="2"/>
  <c r="AO158" i="2" s="1"/>
  <c r="AR134" i="2"/>
  <c r="AE136" i="2"/>
  <c r="AE138" i="2" s="1"/>
  <c r="AR138" i="2" s="1"/>
  <c r="AG59" i="2"/>
  <c r="AT59" i="2" s="1"/>
  <c r="AT57" i="2"/>
  <c r="AF81" i="2"/>
  <c r="AS81" i="2" s="1"/>
  <c r="AS79" i="2"/>
  <c r="AO134" i="2"/>
  <c r="AB136" i="2"/>
  <c r="AO136" i="2" s="1"/>
  <c r="X81" i="2"/>
  <c r="X83" i="2" s="1"/>
  <c r="AK83" i="2" s="1"/>
  <c r="AK79" i="2"/>
  <c r="AE213" i="2"/>
  <c r="AE215" i="2" s="1"/>
  <c r="AR215" i="2" s="1"/>
  <c r="AR211" i="2"/>
  <c r="X26" i="2"/>
  <c r="AK26" i="2" s="1"/>
  <c r="AK24" i="2"/>
  <c r="AO211" i="2"/>
  <c r="AB213" i="2"/>
  <c r="AB215" i="2" s="1"/>
  <c r="AO215" i="2" s="1"/>
  <c r="AL123" i="2"/>
  <c r="Y125" i="2"/>
  <c r="Y127" i="2" s="1"/>
  <c r="AL127" i="2" s="1"/>
  <c r="W37" i="2"/>
  <c r="AJ37" i="2" s="1"/>
  <c r="AJ35" i="2"/>
  <c r="T35" i="2"/>
  <c r="U35" i="2" s="1"/>
  <c r="AO13" i="2"/>
  <c r="AB553" i="2"/>
  <c r="AO553" i="2" s="1"/>
  <c r="AB15" i="2"/>
  <c r="AB17" i="2" s="1"/>
  <c r="AO17" i="2" s="1"/>
  <c r="AQ167" i="2"/>
  <c r="AD169" i="2"/>
  <c r="AD171" i="2" s="1"/>
  <c r="AQ171" i="2" s="1"/>
  <c r="AO46" i="2"/>
  <c r="AB48" i="2"/>
  <c r="AO48" i="2" s="1"/>
  <c r="AP145" i="2"/>
  <c r="AC147" i="2"/>
  <c r="AC149" i="2" s="1"/>
  <c r="AP149" i="2" s="1"/>
  <c r="Y191" i="2"/>
  <c r="AL191" i="2" s="1"/>
  <c r="T189" i="2"/>
  <c r="U189" i="2" s="1"/>
  <c r="AL189" i="2"/>
  <c r="AK57" i="2"/>
  <c r="X59" i="2"/>
  <c r="W70" i="2"/>
  <c r="AJ70" i="2" s="1"/>
  <c r="T68" i="2"/>
  <c r="U68" i="2" s="1"/>
  <c r="AJ68" i="2"/>
  <c r="AL167" i="2"/>
  <c r="T167" i="2"/>
  <c r="U167" i="2" s="1"/>
  <c r="Y169" i="2"/>
  <c r="Y171" i="2" s="1"/>
  <c r="AL171" i="2" s="1"/>
  <c r="AD136" i="2"/>
  <c r="AD138" i="2" s="1"/>
  <c r="AQ138" i="2" s="1"/>
  <c r="AQ134" i="2"/>
  <c r="AB59" i="2"/>
  <c r="AO59" i="2" s="1"/>
  <c r="AO57" i="2"/>
  <c r="AO123" i="2"/>
  <c r="AB125" i="2"/>
  <c r="AO125" i="2" s="1"/>
  <c r="AN13" i="2"/>
  <c r="AA15" i="2"/>
  <c r="AN15" i="2" s="1"/>
  <c r="AA553" i="2"/>
  <c r="AN553" i="2" s="1"/>
  <c r="AC158" i="2"/>
  <c r="AP158" i="2" s="1"/>
  <c r="AP156" i="2"/>
  <c r="AA213" i="2"/>
  <c r="AA215" i="2" s="1"/>
  <c r="AN215" i="2" s="1"/>
  <c r="AN211" i="2"/>
  <c r="AL178" i="2"/>
  <c r="U178" i="2"/>
  <c r="Y180" i="2"/>
  <c r="AK13" i="2"/>
  <c r="X15" i="2"/>
  <c r="X17" i="2" s="1"/>
  <c r="AK17" i="2" s="1"/>
  <c r="X553" i="2"/>
  <c r="AK553" i="2" s="1"/>
  <c r="AM200" i="2"/>
  <c r="Z202" i="2"/>
  <c r="AM202" i="2" s="1"/>
  <c r="AS145" i="2"/>
  <c r="AF147" i="2"/>
  <c r="AF149" i="2" s="1"/>
  <c r="AS149" i="2" s="1"/>
  <c r="AK123" i="2"/>
  <c r="X125" i="2"/>
  <c r="X127" i="2" s="1"/>
  <c r="AK127" i="2" s="1"/>
  <c r="AG158" i="2"/>
  <c r="AG160" i="2" s="1"/>
  <c r="AT160" i="2" s="1"/>
  <c r="AT156" i="2"/>
  <c r="Y158" i="2"/>
  <c r="AL158" i="2" s="1"/>
  <c r="AL156" i="2"/>
  <c r="T156" i="2"/>
  <c r="U156" i="2" s="1"/>
  <c r="W103" i="2"/>
  <c r="W105" i="2" s="1"/>
  <c r="AJ105" i="2" s="1"/>
  <c r="T101" i="2"/>
  <c r="U101" i="2" s="1"/>
  <c r="AJ101" i="2"/>
  <c r="AU13" i="2"/>
  <c r="AH553" i="2"/>
  <c r="AU553" i="2" s="1"/>
  <c r="AH15" i="2"/>
  <c r="AH17" i="2" s="1"/>
  <c r="AU17" i="2" s="1"/>
  <c r="Y147" i="2"/>
  <c r="AL147" i="2" s="1"/>
  <c r="AL145" i="2"/>
  <c r="AN46" i="2"/>
  <c r="AA48" i="2"/>
  <c r="AA50" i="2" s="1"/>
  <c r="AN50" i="2" s="1"/>
  <c r="AQ24" i="2"/>
  <c r="AD26" i="2"/>
  <c r="AD28" i="2" s="1"/>
  <c r="AQ28" i="2" s="1"/>
  <c r="AA125" i="2"/>
  <c r="AN125" i="2" s="1"/>
  <c r="AN123" i="2"/>
  <c r="AJ134" i="2"/>
  <c r="W136" i="2"/>
  <c r="W138" i="2" s="1"/>
  <c r="T134" i="2"/>
  <c r="U134" i="2" s="1"/>
  <c r="AE125" i="2"/>
  <c r="AR125" i="2" s="1"/>
  <c r="AR123" i="2"/>
  <c r="P270" i="142"/>
  <c r="P273" i="142" s="1"/>
  <c r="G366" i="143"/>
  <c r="G369" i="143" s="1"/>
  <c r="AA193" i="2"/>
  <c r="AN193" i="2" s="1"/>
  <c r="AF160" i="2"/>
  <c r="AS160" i="2" s="1"/>
  <c r="X50" i="2"/>
  <c r="AK50" i="2" s="1"/>
  <c r="AJ26" i="2"/>
  <c r="AB39" i="2"/>
  <c r="AO39" i="2" s="1"/>
  <c r="AE61" i="2"/>
  <c r="AR61" i="2" s="1"/>
  <c r="AD61" i="2"/>
  <c r="AQ61" i="2" s="1"/>
  <c r="AR180" i="2"/>
  <c r="AC127" i="2"/>
  <c r="AP127" i="2" s="1"/>
  <c r="AC193" i="2"/>
  <c r="AP193" i="2" s="1"/>
  <c r="AL92" i="2"/>
  <c r="AL70" i="2"/>
  <c r="AU70" i="2"/>
  <c r="AM191" i="2"/>
  <c r="AE72" i="2"/>
  <c r="AR72" i="2" s="1"/>
  <c r="AP180" i="2"/>
  <c r="F7" i="141"/>
  <c r="H7" i="141" s="1"/>
  <c r="B265" i="1"/>
  <c r="U558" i="2"/>
  <c r="F16" i="141"/>
  <c r="F11" i="141"/>
  <c r="U552" i="2"/>
  <c r="F10" i="141"/>
  <c r="A266" i="1"/>
  <c r="AP37" i="2" l="1"/>
  <c r="AM125" i="2"/>
  <c r="U556" i="2"/>
  <c r="Z83" i="2"/>
  <c r="AM83" i="2" s="1"/>
  <c r="AP70" i="2"/>
  <c r="AS180" i="2"/>
  <c r="W61" i="2"/>
  <c r="AJ61" i="2" s="1"/>
  <c r="AQ70" i="2"/>
  <c r="AU125" i="2"/>
  <c r="AP136" i="2"/>
  <c r="AG105" i="2"/>
  <c r="AT105" i="2" s="1"/>
  <c r="AU191" i="2"/>
  <c r="AF127" i="2"/>
  <c r="AS127" i="2" s="1"/>
  <c r="AG94" i="2"/>
  <c r="AT94" i="2" s="1"/>
  <c r="AE94" i="2"/>
  <c r="AR94" i="2" s="1"/>
  <c r="AP169" i="2"/>
  <c r="AN59" i="2"/>
  <c r="AC50" i="2"/>
  <c r="AP50" i="2" s="1"/>
  <c r="AF105" i="2"/>
  <c r="AS105" i="2" s="1"/>
  <c r="AS92" i="2"/>
  <c r="AF193" i="2"/>
  <c r="AS193" i="2" s="1"/>
  <c r="AB94" i="2"/>
  <c r="AO94" i="2" s="1"/>
  <c r="AQ15" i="2"/>
  <c r="AE50" i="2"/>
  <c r="AR50" i="2" s="1"/>
  <c r="AT169" i="2"/>
  <c r="AE17" i="2"/>
  <c r="AR17" i="2" s="1"/>
  <c r="AC61" i="2"/>
  <c r="AP61" i="2" s="1"/>
  <c r="AF28" i="2"/>
  <c r="AS28" i="2" s="1"/>
  <c r="AD50" i="2"/>
  <c r="AQ50" i="2" s="1"/>
  <c r="AG127" i="2"/>
  <c r="AT127" i="2" s="1"/>
  <c r="AT180" i="2"/>
  <c r="AQ147" i="2"/>
  <c r="AS136" i="2"/>
  <c r="AC94" i="2"/>
  <c r="AP94" i="2" s="1"/>
  <c r="AS213" i="2"/>
  <c r="AQ37" i="2"/>
  <c r="W17" i="2"/>
  <c r="AJ17" i="2" s="1"/>
  <c r="AN81" i="2"/>
  <c r="AO147" i="2"/>
  <c r="AF204" i="2"/>
  <c r="AS204" i="2" s="1"/>
  <c r="AE28" i="2"/>
  <c r="AR28" i="2" s="1"/>
  <c r="AP213" i="2"/>
  <c r="AO26" i="2"/>
  <c r="AG17" i="2"/>
  <c r="AT17" i="2" s="1"/>
  <c r="AR81" i="2"/>
  <c r="Z39" i="2"/>
  <c r="AM39" i="2" s="1"/>
  <c r="Y138" i="2"/>
  <c r="AL138" i="2" s="1"/>
  <c r="Y28" i="2"/>
  <c r="AL28" i="2" s="1"/>
  <c r="AA39" i="2"/>
  <c r="AN39" i="2" s="1"/>
  <c r="AR136" i="2"/>
  <c r="AM48" i="2"/>
  <c r="AD182" i="2"/>
  <c r="AQ182" i="2" s="1"/>
  <c r="AN202" i="2"/>
  <c r="U270" i="142"/>
  <c r="U273" i="142" s="1"/>
  <c r="AN70" i="2"/>
  <c r="Z28" i="2"/>
  <c r="AM28" i="2" s="1"/>
  <c r="Z61" i="2"/>
  <c r="AM61" i="2" s="1"/>
  <c r="AK81" i="2"/>
  <c r="AG149" i="2"/>
  <c r="AT149" i="2" s="1"/>
  <c r="X39" i="2"/>
  <c r="AK39" i="2" s="1"/>
  <c r="AL15" i="2"/>
  <c r="AF83" i="2"/>
  <c r="AS83" i="2" s="1"/>
  <c r="W83" i="2"/>
  <c r="T81" i="2"/>
  <c r="U81" i="2" s="1"/>
  <c r="AN213" i="2"/>
  <c r="AL169" i="2"/>
  <c r="X28" i="2"/>
  <c r="AK28" i="2" s="1"/>
  <c r="AB50" i="2"/>
  <c r="AO50" i="2" s="1"/>
  <c r="AL180" i="2"/>
  <c r="T180" i="2"/>
  <c r="U180" i="2" s="1"/>
  <c r="AE127" i="2"/>
  <c r="AR127" i="2" s="1"/>
  <c r="AN48" i="2"/>
  <c r="AL213" i="2"/>
  <c r="T213" i="2"/>
  <c r="U213" i="2" s="1"/>
  <c r="AA17" i="2"/>
  <c r="AN17" i="2" s="1"/>
  <c r="AD83" i="2"/>
  <c r="AQ83" i="2" s="1"/>
  <c r="AM136" i="2"/>
  <c r="AQ158" i="2"/>
  <c r="AO191" i="2"/>
  <c r="Y50" i="2"/>
  <c r="AL50" i="2" s="1"/>
  <c r="AF61" i="2"/>
  <c r="AS61" i="2" s="1"/>
  <c r="AE204" i="2"/>
  <c r="AR204" i="2" s="1"/>
  <c r="AP15" i="2"/>
  <c r="AN26" i="2"/>
  <c r="Y182" i="2"/>
  <c r="AG50" i="2"/>
  <c r="AT50" i="2" s="1"/>
  <c r="H16" i="141"/>
  <c r="AU59" i="2"/>
  <c r="AH171" i="2"/>
  <c r="AU171" i="2" s="1"/>
  <c r="Y160" i="2"/>
  <c r="AL160" i="2" s="1"/>
  <c r="T191" i="2"/>
  <c r="U191" i="2" s="1"/>
  <c r="AU15" i="2"/>
  <c r="AO180" i="2"/>
  <c r="AA138" i="2"/>
  <c r="AN138" i="2" s="1"/>
  <c r="AM92" i="2"/>
  <c r="Z17" i="2"/>
  <c r="AM17" i="2" s="1"/>
  <c r="AO70" i="2"/>
  <c r="Y204" i="2"/>
  <c r="AL204" i="2" s="1"/>
  <c r="Y61" i="2"/>
  <c r="AL61" i="2" s="1"/>
  <c r="AA182" i="2"/>
  <c r="AN182" i="2" s="1"/>
  <c r="AB61" i="2"/>
  <c r="AO61" i="2" s="1"/>
  <c r="AB138" i="2"/>
  <c r="AO138" i="2" s="1"/>
  <c r="AS147" i="2"/>
  <c r="AG555" i="2"/>
  <c r="AT555" i="2" s="1"/>
  <c r="AC83" i="2"/>
  <c r="AP83" i="2" s="1"/>
  <c r="AT213" i="2"/>
  <c r="AK125" i="2"/>
  <c r="T103" i="2"/>
  <c r="U103" i="2" s="1"/>
  <c r="X72" i="2"/>
  <c r="AK72" i="2" s="1"/>
  <c r="AJ103" i="2"/>
  <c r="AL125" i="2"/>
  <c r="AO213" i="2"/>
  <c r="AO15" i="2"/>
  <c r="W72" i="2"/>
  <c r="AJ72" i="2" s="1"/>
  <c r="AR169" i="2"/>
  <c r="T37" i="2"/>
  <c r="U37" i="2" s="1"/>
  <c r="AQ191" i="2"/>
  <c r="AF171" i="2"/>
  <c r="AS171" i="2" s="1"/>
  <c r="Z171" i="2"/>
  <c r="AM171" i="2" s="1"/>
  <c r="AT136" i="2"/>
  <c r="AC28" i="2"/>
  <c r="AP28" i="2" s="1"/>
  <c r="T48" i="2"/>
  <c r="U48" i="2" s="1"/>
  <c r="Z204" i="2"/>
  <c r="AM204" i="2" s="1"/>
  <c r="X149" i="2"/>
  <c r="AK149" i="2" s="1"/>
  <c r="AQ169" i="2"/>
  <c r="AT202" i="2"/>
  <c r="X138" i="2"/>
  <c r="AK138" i="2" s="1"/>
  <c r="W127" i="2"/>
  <c r="AJ127" i="2" s="1"/>
  <c r="AB160" i="2"/>
  <c r="AO160" i="2" s="1"/>
  <c r="Z105" i="2"/>
  <c r="AM105" i="2" s="1"/>
  <c r="AQ136" i="2"/>
  <c r="AT81" i="2"/>
  <c r="AT191" i="2"/>
  <c r="AR37" i="2"/>
  <c r="AB83" i="2"/>
  <c r="AO83" i="2" s="1"/>
  <c r="AD215" i="2"/>
  <c r="AQ215" i="2" s="1"/>
  <c r="AB204" i="2"/>
  <c r="AO204" i="2" s="1"/>
  <c r="AG28" i="2"/>
  <c r="AT28" i="2" s="1"/>
  <c r="T59" i="2"/>
  <c r="U59" i="2" s="1"/>
  <c r="AA127" i="2"/>
  <c r="AN127" i="2" s="1"/>
  <c r="T92" i="2"/>
  <c r="U92" i="2" s="1"/>
  <c r="E366" i="143"/>
  <c r="E369" i="143" s="1"/>
  <c r="AU26" i="2"/>
  <c r="T26" i="2"/>
  <c r="U26" i="2" s="1"/>
  <c r="AJ92" i="2"/>
  <c r="AD555" i="2"/>
  <c r="AQ555" i="2" s="1"/>
  <c r="AA160" i="2"/>
  <c r="AN160" i="2" s="1"/>
  <c r="Y193" i="2"/>
  <c r="AL193" i="2" s="1"/>
  <c r="AR213" i="2"/>
  <c r="X105" i="2"/>
  <c r="AK105" i="2" s="1"/>
  <c r="AL37" i="2"/>
  <c r="AJ136" i="2"/>
  <c r="AD127" i="2"/>
  <c r="AQ127" i="2" s="1"/>
  <c r="AB555" i="2"/>
  <c r="AO555" i="2" s="1"/>
  <c r="AE555" i="2"/>
  <c r="AR555" i="2" s="1"/>
  <c r="AK59" i="2"/>
  <c r="AE160" i="2"/>
  <c r="AR160" i="2" s="1"/>
  <c r="AQ26" i="2"/>
  <c r="AG72" i="2"/>
  <c r="AT72" i="2" s="1"/>
  <c r="T169" i="2"/>
  <c r="U169" i="2" s="1"/>
  <c r="T147" i="2"/>
  <c r="U147" i="2" s="1"/>
  <c r="AU92" i="2"/>
  <c r="AT158" i="2"/>
  <c r="Y555" i="2"/>
  <c r="AL555" i="2" s="1"/>
  <c r="W149" i="2"/>
  <c r="AJ149" i="2" s="1"/>
  <c r="AA555" i="2"/>
  <c r="AN555" i="2" s="1"/>
  <c r="AM180" i="2"/>
  <c r="AJ48" i="2"/>
  <c r="AL103" i="2"/>
  <c r="AG61" i="2"/>
  <c r="AT61" i="2" s="1"/>
  <c r="AO169" i="2"/>
  <c r="AF17" i="2"/>
  <c r="AS17" i="2" s="1"/>
  <c r="AG39" i="2"/>
  <c r="AT39" i="2" s="1"/>
  <c r="AS48" i="2"/>
  <c r="T202" i="2"/>
  <c r="U202" i="2" s="1"/>
  <c r="AB127" i="2"/>
  <c r="AO127" i="2" s="1"/>
  <c r="AF72" i="2"/>
  <c r="AS72" i="2" s="1"/>
  <c r="Y215" i="2"/>
  <c r="AP103" i="2"/>
  <c r="Z72" i="2"/>
  <c r="AM72" i="2" s="1"/>
  <c r="AN169" i="2"/>
  <c r="AU158" i="2"/>
  <c r="AP147" i="2"/>
  <c r="AU202" i="2"/>
  <c r="AK15" i="2"/>
  <c r="Z555" i="2"/>
  <c r="AM555" i="2" s="1"/>
  <c r="AF555" i="2"/>
  <c r="AS555" i="2" s="1"/>
  <c r="T15" i="2"/>
  <c r="X555" i="2"/>
  <c r="AK555" i="2" s="1"/>
  <c r="AO103" i="2"/>
  <c r="AQ202" i="2"/>
  <c r="AE193" i="2"/>
  <c r="AR193" i="2" s="1"/>
  <c r="T158" i="2"/>
  <c r="U158" i="2" s="1"/>
  <c r="AL81" i="2"/>
  <c r="AC160" i="2"/>
  <c r="AP160" i="2" s="1"/>
  <c r="W555" i="2"/>
  <c r="AJ555" i="2" s="1"/>
  <c r="T125" i="2"/>
  <c r="U125" i="2" s="1"/>
  <c r="X61" i="2"/>
  <c r="AK61" i="2" s="1"/>
  <c r="T136" i="2"/>
  <c r="U136" i="2" s="1"/>
  <c r="AC204" i="2"/>
  <c r="AP204" i="2" s="1"/>
  <c r="AA94" i="2"/>
  <c r="AN94" i="2" s="1"/>
  <c r="AH149" i="2"/>
  <c r="AU149" i="2" s="1"/>
  <c r="AH555" i="2"/>
  <c r="AU555" i="2" s="1"/>
  <c r="AC555" i="2"/>
  <c r="AP555" i="2" s="1"/>
  <c r="AJ81" i="2"/>
  <c r="T70" i="2"/>
  <c r="U70" i="2" s="1"/>
  <c r="Y149" i="2"/>
  <c r="AL149" i="2" s="1"/>
  <c r="AS37" i="2"/>
  <c r="AD105" i="2"/>
  <c r="AQ105" i="2" s="1"/>
  <c r="X94" i="2"/>
  <c r="AK94" i="2" s="1"/>
  <c r="W39" i="2"/>
  <c r="AJ39" i="2" s="1"/>
  <c r="T553" i="2"/>
  <c r="C11" i="141" s="1"/>
  <c r="H11" i="141" s="1"/>
  <c r="Z160" i="2"/>
  <c r="AM160" i="2" s="1"/>
  <c r="AU136" i="2"/>
  <c r="AN147" i="2"/>
  <c r="AE149" i="2"/>
  <c r="AR149" i="2" s="1"/>
  <c r="AH50" i="2"/>
  <c r="AU50" i="2" s="1"/>
  <c r="AU103" i="2"/>
  <c r="AQ92" i="2"/>
  <c r="AU37" i="2"/>
  <c r="Z215" i="2"/>
  <c r="AM215" i="2" s="1"/>
  <c r="Z149" i="2"/>
  <c r="AM149" i="2" s="1"/>
  <c r="AN103" i="2"/>
  <c r="AE105" i="2"/>
  <c r="AR105" i="2" s="1"/>
  <c r="B266" i="1"/>
  <c r="F12" i="141"/>
  <c r="H10" i="141"/>
  <c r="AJ138" i="2"/>
  <c r="A267" i="1"/>
  <c r="T28" i="2" l="1"/>
  <c r="U28" i="2" s="1"/>
  <c r="AJ83" i="2"/>
  <c r="T83" i="2"/>
  <c r="U83" i="2" s="1"/>
  <c r="AL182" i="2"/>
  <c r="T182" i="2"/>
  <c r="U182" i="2" s="1"/>
  <c r="T138" i="2"/>
  <c r="U138" i="2" s="1"/>
  <c r="AB557" i="2"/>
  <c r="AO557" i="2" s="1"/>
  <c r="T171" i="2"/>
  <c r="U171" i="2" s="1"/>
  <c r="X557" i="2"/>
  <c r="AK557" i="2" s="1"/>
  <c r="AL215" i="2"/>
  <c r="T215" i="2"/>
  <c r="T127" i="2"/>
  <c r="U127" i="2" s="1"/>
  <c r="W557" i="2"/>
  <c r="AJ557" i="2" s="1"/>
  <c r="T17" i="2"/>
  <c r="T193" i="2"/>
  <c r="U193" i="2" s="1"/>
  <c r="T204" i="2"/>
  <c r="U204" i="2" s="1"/>
  <c r="AD557" i="2"/>
  <c r="AQ557" i="2" s="1"/>
  <c r="T50" i="2"/>
  <c r="U50" i="2" s="1"/>
  <c r="T94" i="2"/>
  <c r="U94" i="2" s="1"/>
  <c r="T160" i="2"/>
  <c r="U160" i="2" s="1"/>
  <c r="AH557" i="2"/>
  <c r="AU557" i="2" s="1"/>
  <c r="T61" i="2"/>
  <c r="U61" i="2" s="1"/>
  <c r="U215" i="2"/>
  <c r="AG557" i="2"/>
  <c r="AT557" i="2" s="1"/>
  <c r="AA557" i="2"/>
  <c r="AN557" i="2" s="1"/>
  <c r="T39" i="2"/>
  <c r="U39" i="2" s="1"/>
  <c r="Y557" i="2"/>
  <c r="AL557" i="2" s="1"/>
  <c r="T72" i="2"/>
  <c r="U72" i="2" s="1"/>
  <c r="T105" i="2"/>
  <c r="U105" i="2" s="1"/>
  <c r="AE557" i="2"/>
  <c r="AR557" i="2" s="1"/>
  <c r="AF557" i="2"/>
  <c r="AS557" i="2" s="1"/>
  <c r="T555" i="2"/>
  <c r="U555" i="2" s="1"/>
  <c r="AC557" i="2"/>
  <c r="AP557" i="2" s="1"/>
  <c r="Z557" i="2"/>
  <c r="AM557" i="2" s="1"/>
  <c r="T149" i="2"/>
  <c r="U149" i="2" s="1"/>
  <c r="U553" i="2"/>
  <c r="B267" i="1"/>
  <c r="F14" i="141"/>
  <c r="F18" i="141"/>
  <c r="U12" i="2"/>
  <c r="A268" i="1"/>
  <c r="C12" i="141" l="1"/>
  <c r="H12" i="141" s="1"/>
  <c r="T557" i="2"/>
  <c r="U557" i="2" s="1"/>
  <c r="B268" i="1"/>
  <c r="F19" i="141"/>
  <c r="U15" i="2"/>
  <c r="A269" i="1"/>
  <c r="C14" i="141" l="1"/>
  <c r="C19" i="141" s="1"/>
  <c r="H19" i="141" s="1"/>
  <c r="C18" i="141"/>
  <c r="H18" i="141" s="1"/>
  <c r="B269" i="1"/>
  <c r="U17" i="2"/>
  <c r="A270" i="1"/>
  <c r="H14" i="141" l="1"/>
  <c r="B270" i="1"/>
  <c r="AJ153" i="2"/>
  <c r="W550" i="2"/>
  <c r="A271" i="1"/>
  <c r="AJ550" i="2" l="1"/>
  <c r="T550" i="2"/>
  <c r="U153" i="2"/>
  <c r="B271" i="1"/>
  <c r="A272" i="1"/>
  <c r="B272" i="1" l="1"/>
  <c r="U550" i="2"/>
  <c r="C8" i="141"/>
  <c r="H8" i="141" s="1"/>
  <c r="A273" i="1"/>
  <c r="B273" i="1" l="1"/>
  <c r="A274" i="1"/>
  <c r="B274" i="1" l="1"/>
  <c r="A275" i="1"/>
  <c r="B275" i="1" l="1"/>
  <c r="A276" i="1"/>
  <c r="B276" i="1" l="1"/>
  <c r="A277" i="1"/>
  <c r="B277" i="1" l="1"/>
  <c r="A278" i="1"/>
  <c r="B278" i="1" l="1"/>
  <c r="A279" i="1"/>
  <c r="B279" i="1" l="1"/>
  <c r="A280" i="1"/>
  <c r="B280" i="1" l="1"/>
  <c r="A281" i="1"/>
  <c r="B281" i="1" l="1"/>
  <c r="A282" i="1"/>
  <c r="B282" i="1" l="1"/>
  <c r="A283" i="1"/>
  <c r="B283" i="1" l="1"/>
  <c r="A284" i="1"/>
  <c r="B284" i="1" l="1"/>
  <c r="A285" i="1"/>
  <c r="B285" i="1" l="1"/>
  <c r="A286" i="1"/>
  <c r="B286" i="1" l="1"/>
  <c r="A287" i="1"/>
  <c r="B287" i="1" l="1"/>
  <c r="A288" i="1"/>
  <c r="B288" i="1" l="1"/>
  <c r="A289" i="1"/>
  <c r="B289" i="1" l="1"/>
  <c r="A290" i="1"/>
  <c r="B290" i="1" l="1"/>
  <c r="A291" i="1"/>
  <c r="B291" i="1" l="1"/>
  <c r="A292" i="1"/>
  <c r="B292" i="1" l="1"/>
  <c r="A293" i="1"/>
  <c r="B293" i="1" l="1"/>
  <c r="A294" i="1"/>
  <c r="B294" i="1" l="1"/>
  <c r="A295" i="1"/>
  <c r="B295" i="1" l="1"/>
  <c r="A296" i="1"/>
  <c r="B296" i="1" l="1"/>
  <c r="A297" i="1"/>
  <c r="B297" i="1" l="1"/>
  <c r="A298" i="1"/>
  <c r="B298" i="1" l="1"/>
  <c r="A299" i="1"/>
  <c r="B299" i="1" l="1"/>
  <c r="A300" i="1"/>
  <c r="B300" i="1" l="1"/>
  <c r="A301" i="1"/>
  <c r="B301" i="1" l="1"/>
  <c r="A302" i="1"/>
  <c r="B302" i="1" l="1"/>
  <c r="A303" i="1"/>
  <c r="B303" i="1" l="1"/>
  <c r="A304" i="1"/>
  <c r="B304" i="1" l="1"/>
  <c r="A305" i="1"/>
  <c r="B305" i="1" l="1"/>
  <c r="A306" i="1"/>
  <c r="B306" i="1" l="1"/>
  <c r="A307" i="1"/>
  <c r="B307" i="1" l="1"/>
  <c r="A308" i="1"/>
  <c r="B308" i="1" l="1"/>
  <c r="A309" i="1"/>
  <c r="B309" i="1" l="1"/>
  <c r="A310" i="1"/>
  <c r="B310" i="1" l="1"/>
  <c r="A311" i="1"/>
  <c r="B311" i="1" l="1"/>
  <c r="A312" i="1"/>
  <c r="B312" i="1" l="1"/>
  <c r="A313" i="1"/>
  <c r="B313" i="1" l="1"/>
  <c r="A314" i="1"/>
  <c r="B314" i="1" l="1"/>
  <c r="A315" i="1"/>
  <c r="B315" i="1" l="1"/>
  <c r="A316" i="1"/>
  <c r="B316" i="1" l="1"/>
  <c r="A317" i="1"/>
  <c r="B317" i="1" l="1"/>
  <c r="A318" i="1"/>
  <c r="B318" i="1" l="1"/>
  <c r="A319" i="1"/>
  <c r="B319" i="1" l="1"/>
  <c r="A320" i="1"/>
  <c r="B320" i="1" l="1"/>
  <c r="A321" i="1"/>
  <c r="B321" i="1" l="1"/>
  <c r="A322" i="1"/>
  <c r="B322" i="1" l="1"/>
  <c r="A323" i="1"/>
  <c r="B323" i="1" l="1"/>
  <c r="A324" i="1"/>
  <c r="B324" i="1" l="1"/>
  <c r="A325" i="1"/>
  <c r="B325" i="1" l="1"/>
  <c r="A326" i="1"/>
  <c r="B326" i="1" l="1"/>
  <c r="A327" i="1"/>
  <c r="B327" i="1" l="1"/>
  <c r="A328" i="1"/>
  <c r="B328" i="1" l="1"/>
  <c r="A329" i="1"/>
  <c r="B329" i="1" l="1"/>
  <c r="A330" i="1"/>
  <c r="B330" i="1" l="1"/>
  <c r="A331" i="1"/>
  <c r="B331" i="1" l="1"/>
  <c r="A332" i="1"/>
  <c r="B332" i="1" l="1"/>
  <c r="A333" i="1"/>
  <c r="B333" i="1" l="1"/>
  <c r="A334" i="1"/>
  <c r="B334" i="1" l="1"/>
  <c r="A335" i="1"/>
  <c r="B335" i="1" l="1"/>
  <c r="A336" i="1"/>
  <c r="B336" i="1" l="1"/>
</calcChain>
</file>

<file path=xl/sharedStrings.xml><?xml version="1.0" encoding="utf-8"?>
<sst xmlns="http://schemas.openxmlformats.org/spreadsheetml/2006/main" count="6571" uniqueCount="425">
  <si>
    <t>EBITDAR Coverage</t>
  </si>
  <si>
    <t>PAY_PAT_DAYS - Total Payor Patient Days</t>
  </si>
  <si>
    <t>T_BAD_DEBT - Tenant Bad Debt Expense</t>
  </si>
  <si>
    <t>x</t>
  </si>
  <si>
    <t>T_REVENUES - Total Tenant Revenues</t>
  </si>
  <si>
    <t>T_OPEX - Tenant Operating Expenses</t>
  </si>
  <si>
    <t>T_EBITDARM - EBITDARM</t>
  </si>
  <si>
    <t>T_MGMT_FEE - Tenant Management Fee - Actual</t>
  </si>
  <si>
    <t>T_EBITDAR - EBITDAR</t>
  </si>
  <si>
    <t>A_BEDS_TOTAL - Total Available Beds</t>
  </si>
  <si>
    <t>Days in Month</t>
  </si>
  <si>
    <t>EBITDAR</t>
  </si>
  <si>
    <t>EBITDARM</t>
  </si>
  <si>
    <t>Total Income</t>
  </si>
  <si>
    <t>Expenses</t>
  </si>
  <si>
    <t>Supplies</t>
  </si>
  <si>
    <t>Total Employee Benefits</t>
  </si>
  <si>
    <t>Ancillary Expenses</t>
  </si>
  <si>
    <t>Operating Beds</t>
  </si>
  <si>
    <t>Medicaid</t>
  </si>
  <si>
    <t>Hospice</t>
  </si>
  <si>
    <t>Operating Expenses</t>
  </si>
  <si>
    <t>Net Income</t>
  </si>
  <si>
    <t>TENANT FINANCIALS</t>
  </si>
  <si>
    <t>Revenues</t>
  </si>
  <si>
    <t xml:space="preserve">BPC Reconciliation </t>
  </si>
  <si>
    <t>Census</t>
  </si>
  <si>
    <t>EBITDARM Coverage</t>
  </si>
  <si>
    <t>BPC</t>
  </si>
  <si>
    <t>Variance</t>
  </si>
  <si>
    <t>Comments:</t>
  </si>
  <si>
    <t>Rent</t>
  </si>
  <si>
    <t>Management Fee</t>
  </si>
  <si>
    <t>Patient Days</t>
  </si>
  <si>
    <t xml:space="preserve">  Medicaid</t>
  </si>
  <si>
    <t xml:space="preserve">  Hospice</t>
  </si>
  <si>
    <t xml:space="preserve">  Medicare</t>
  </si>
  <si>
    <t xml:space="preserve">  Private Insurance</t>
  </si>
  <si>
    <t xml:space="preserve">  Private</t>
  </si>
  <si>
    <t>Total Patient Days</t>
  </si>
  <si>
    <t xml:space="preserve">Income </t>
  </si>
  <si>
    <t>Routine Service</t>
  </si>
  <si>
    <t>Total Routine Service</t>
  </si>
  <si>
    <t>Prior Period Adjustments</t>
  </si>
  <si>
    <t>Total Prior Period Adjustments</t>
  </si>
  <si>
    <t>Ancillary Income</t>
  </si>
  <si>
    <t xml:space="preserve">  Medicare B</t>
  </si>
  <si>
    <t>Total Ancillary Income</t>
  </si>
  <si>
    <t>Miscellaneous Income</t>
  </si>
  <si>
    <t xml:space="preserve">  Wages</t>
  </si>
  <si>
    <t xml:space="preserve">  Contract Staff</t>
  </si>
  <si>
    <t xml:space="preserve">  Employee Benefits</t>
  </si>
  <si>
    <t xml:space="preserve">  Ancillary Expenses</t>
  </si>
  <si>
    <t xml:space="preserve">  Contract Services</t>
  </si>
  <si>
    <t xml:space="preserve">  Supplies</t>
  </si>
  <si>
    <t xml:space="preserve">  Seminars and Travel</t>
  </si>
  <si>
    <t xml:space="preserve">  Taxes, Licenses, and Dues</t>
  </si>
  <si>
    <t xml:space="preserve">  Bad Debt Expense</t>
  </si>
  <si>
    <t xml:space="preserve">  Insurance</t>
  </si>
  <si>
    <t xml:space="preserve">  Depreciation and Amortization</t>
  </si>
  <si>
    <t xml:space="preserve">  Interest and Lease Expense</t>
  </si>
  <si>
    <t xml:space="preserve">  Other Expense</t>
  </si>
  <si>
    <t>Total Expenses</t>
  </si>
  <si>
    <t>Income Before OCL/MI/Extraordinary</t>
  </si>
  <si>
    <t>OCL/MI/Extraordinary</t>
  </si>
  <si>
    <t>Medicaid Income</t>
  </si>
  <si>
    <t xml:space="preserve">  Medicaid / Medicare Contracted Beds</t>
  </si>
  <si>
    <t>Total Medicaid Income</t>
  </si>
  <si>
    <t>Hospice Income</t>
  </si>
  <si>
    <t>Total Hospice Income</t>
  </si>
  <si>
    <t>Medicare Income</t>
  </si>
  <si>
    <t>Total Medicare Income</t>
  </si>
  <si>
    <t>Special Care Services Income</t>
  </si>
  <si>
    <t>Private Insurance Income</t>
  </si>
  <si>
    <t>Total Private Insurance Income</t>
  </si>
  <si>
    <t>Private Income</t>
  </si>
  <si>
    <t>Total Private Income</t>
  </si>
  <si>
    <t xml:space="preserve">  Medicaid - Legend Drugs</t>
  </si>
  <si>
    <t xml:space="preserve">  Medicaid - Physical Therapy</t>
  </si>
  <si>
    <t xml:space="preserve">  Medicaid - Radiology</t>
  </si>
  <si>
    <t xml:space="preserve">  Medicaid - Laboratory</t>
  </si>
  <si>
    <t xml:space="preserve">  Medicaid - Medical Supplies</t>
  </si>
  <si>
    <t xml:space="preserve">  Medicaid - Incontinent Supplies</t>
  </si>
  <si>
    <t xml:space="preserve">  Medicaid - DME Rental</t>
  </si>
  <si>
    <t xml:space="preserve">  Medicaid - Adjustments</t>
  </si>
  <si>
    <t>Total Medicaid</t>
  </si>
  <si>
    <t xml:space="preserve">  Hospice - Medical Supplies</t>
  </si>
  <si>
    <t xml:space="preserve">  Hospice - Adjustments</t>
  </si>
  <si>
    <t>Medicare A</t>
  </si>
  <si>
    <t xml:space="preserve">  Medicare A - Legend Drugs</t>
  </si>
  <si>
    <t xml:space="preserve">  Medicare A - Physical Therapy</t>
  </si>
  <si>
    <t xml:space="preserve">  Medicare A - Occupational Therapy</t>
  </si>
  <si>
    <t xml:space="preserve">  Medicare A - Speech Therapy</t>
  </si>
  <si>
    <t xml:space="preserve">  Medicare A - Respiratory Therapy</t>
  </si>
  <si>
    <t xml:space="preserve">  Medicare A - Radiology</t>
  </si>
  <si>
    <t xml:space="preserve">  Medicare A - Laboratory</t>
  </si>
  <si>
    <t xml:space="preserve">  Medicare A - Medical Supplies</t>
  </si>
  <si>
    <t xml:space="preserve">  Medicare A - DME Rental</t>
  </si>
  <si>
    <t xml:space="preserve">  Medicare A - Adjustments</t>
  </si>
  <si>
    <t>Medicare B</t>
  </si>
  <si>
    <t xml:space="preserve">  Medicare B - Physical Therapy</t>
  </si>
  <si>
    <t xml:space="preserve">  Medicare B - Occupational Therapy</t>
  </si>
  <si>
    <t xml:space="preserve">  Medicare B - Speech Therapy</t>
  </si>
  <si>
    <t xml:space="preserve">  Medicare B - Adjustments</t>
  </si>
  <si>
    <t>Total Medicare B</t>
  </si>
  <si>
    <t>Special Care Services</t>
  </si>
  <si>
    <t>Private Insurance</t>
  </si>
  <si>
    <t xml:space="preserve">  Private Insurance - Legend Drugs</t>
  </si>
  <si>
    <t xml:space="preserve">  Private Insurance - Physical Therapy</t>
  </si>
  <si>
    <t xml:space="preserve">  Private Insurance - Occupational Therapy</t>
  </si>
  <si>
    <t xml:space="preserve">  Private Insurance - Speech Therapy</t>
  </si>
  <si>
    <t xml:space="preserve">  Private Insurance - Radiology</t>
  </si>
  <si>
    <t xml:space="preserve">  Private Insurance - Laboratory</t>
  </si>
  <si>
    <t xml:space="preserve">  Private Insurance - Medical Supplies</t>
  </si>
  <si>
    <t xml:space="preserve">  Private Insurance - DME Rental</t>
  </si>
  <si>
    <t xml:space="preserve">  Private Insurance - Adjustments</t>
  </si>
  <si>
    <t>Total Private Insurance</t>
  </si>
  <si>
    <t>Private</t>
  </si>
  <si>
    <t xml:space="preserve">  Private - Legend Drugs</t>
  </si>
  <si>
    <t xml:space="preserve">  Private - Physical Therapy</t>
  </si>
  <si>
    <t xml:space="preserve">  Private - Occupational Therapy</t>
  </si>
  <si>
    <t xml:space="preserve">  Private - Speech Therapy</t>
  </si>
  <si>
    <t xml:space="preserve">  Private - Laboratory</t>
  </si>
  <si>
    <t xml:space="preserve">  Private - Medical Supplies</t>
  </si>
  <si>
    <t xml:space="preserve">  Private - Incontinent Supplies</t>
  </si>
  <si>
    <t xml:space="preserve">  Private - DME</t>
  </si>
  <si>
    <t xml:space="preserve">  Private - Adjustments</t>
  </si>
  <si>
    <t>Total Private</t>
  </si>
  <si>
    <t xml:space="preserve">  Meals - Guest / Employees</t>
  </si>
  <si>
    <t xml:space="preserve">  Barber and Beautician</t>
  </si>
  <si>
    <t xml:space="preserve">  Vending Machine</t>
  </si>
  <si>
    <t xml:space="preserve">  Carport Rental</t>
  </si>
  <si>
    <t xml:space="preserve">  Other Income</t>
  </si>
  <si>
    <t xml:space="preserve">  QIPP Revenue</t>
  </si>
  <si>
    <t xml:space="preserve">  Investment / Interest</t>
  </si>
  <si>
    <t>Total Miscellaneous Income</t>
  </si>
  <si>
    <t>Wages</t>
  </si>
  <si>
    <t xml:space="preserve">  Director of Nursing</t>
  </si>
  <si>
    <t xml:space="preserve">  Registered Nurses</t>
  </si>
  <si>
    <t xml:space="preserve">  Licensed Vocational Nurses</t>
  </si>
  <si>
    <t xml:space="preserve">  Respiratory Therapist</t>
  </si>
  <si>
    <t xml:space="preserve">  Medication Aides</t>
  </si>
  <si>
    <t xml:space="preserve">  Restorative Aides</t>
  </si>
  <si>
    <t xml:space="preserve">  Certified Nurse Assistants</t>
  </si>
  <si>
    <t xml:space="preserve">  Certified Social Workers</t>
  </si>
  <si>
    <t xml:space="preserve">  Activity Director</t>
  </si>
  <si>
    <t xml:space="preserve">  Activity Services Assistants</t>
  </si>
  <si>
    <t xml:space="preserve">  Medical Records Staff</t>
  </si>
  <si>
    <t xml:space="preserve">  Central Supply Staff</t>
  </si>
  <si>
    <t xml:space="preserve">  Laundry Staff</t>
  </si>
  <si>
    <t xml:space="preserve">  Housekeeping Staff</t>
  </si>
  <si>
    <t xml:space="preserve">  Food Service Supervisory</t>
  </si>
  <si>
    <t xml:space="preserve">  Other Food Service Staff</t>
  </si>
  <si>
    <t xml:space="preserve">  Maintenance Staff</t>
  </si>
  <si>
    <t xml:space="preserve">  Facility Administrator</t>
  </si>
  <si>
    <t xml:space="preserve">  Clerical and Secretarial Staff</t>
  </si>
  <si>
    <t>Total Wages</t>
  </si>
  <si>
    <t>Contract Staff</t>
  </si>
  <si>
    <t xml:space="preserve">  Contract - Registered Nurses</t>
  </si>
  <si>
    <t xml:space="preserve">  Contract - Licensed Vocational Nurses</t>
  </si>
  <si>
    <t xml:space="preserve">  Contract - Medication Aides</t>
  </si>
  <si>
    <t xml:space="preserve">  Contract - Certified Nurse Aides</t>
  </si>
  <si>
    <t>Total Contract Staff</t>
  </si>
  <si>
    <t>Employee Benefits</t>
  </si>
  <si>
    <t xml:space="preserve">  FICA and Medicare</t>
  </si>
  <si>
    <t xml:space="preserve">  State and Federal Unemployment</t>
  </si>
  <si>
    <t xml:space="preserve">  Employee Benefits - Insurance</t>
  </si>
  <si>
    <t xml:space="preserve">  Employee Benefits - Vacation</t>
  </si>
  <si>
    <t xml:space="preserve">  Employee Benefits - Holiday</t>
  </si>
  <si>
    <t xml:space="preserve">  Employee Benefits - Sick</t>
  </si>
  <si>
    <t xml:space="preserve">  Employee Benefits - Car Allowance</t>
  </si>
  <si>
    <t xml:space="preserve">  Employee Benefits - Other</t>
  </si>
  <si>
    <t xml:space="preserve">  Legend Drugs</t>
  </si>
  <si>
    <t xml:space="preserve">  Physical Therapy</t>
  </si>
  <si>
    <t xml:space="preserve">  Occupational Therapy</t>
  </si>
  <si>
    <t xml:space="preserve">  Speech Therapy</t>
  </si>
  <si>
    <t xml:space="preserve">  Intravenous Therapy</t>
  </si>
  <si>
    <t xml:space="preserve">  Respiratory Therapy</t>
  </si>
  <si>
    <t xml:space="preserve">  Radiology</t>
  </si>
  <si>
    <t xml:space="preserve">  Laboratory</t>
  </si>
  <si>
    <t xml:space="preserve">  Medical Supplies</t>
  </si>
  <si>
    <t xml:space="preserve">  Incontinent Supplies</t>
  </si>
  <si>
    <t xml:space="preserve">  Nutritional Therapy</t>
  </si>
  <si>
    <t xml:space="preserve">  DME</t>
  </si>
  <si>
    <t xml:space="preserve">  DME Rental</t>
  </si>
  <si>
    <t>Total Ancillary Expenses</t>
  </si>
  <si>
    <t>Contract Services</t>
  </si>
  <si>
    <t xml:space="preserve">  Medical Director</t>
  </si>
  <si>
    <t xml:space="preserve">  Pharmacist</t>
  </si>
  <si>
    <t xml:space="preserve">  Medical Records</t>
  </si>
  <si>
    <t xml:space="preserve">  Other Resident Care Consultants</t>
  </si>
  <si>
    <t xml:space="preserve">  Utilities - Electricity, Gas, Water and Waste Wate</t>
  </si>
  <si>
    <t xml:space="preserve">  Utilities - Cable</t>
  </si>
  <si>
    <t xml:space="preserve">  Utilities - Telecommunications</t>
  </si>
  <si>
    <t xml:space="preserve">  Maintenance and Repairs - Facility</t>
  </si>
  <si>
    <t xml:space="preserve">  Housekeeping</t>
  </si>
  <si>
    <t xml:space="preserve">  Laundry</t>
  </si>
  <si>
    <t xml:space="preserve">  Dietary Contract</t>
  </si>
  <si>
    <t xml:space="preserve">  Garbage Disposal</t>
  </si>
  <si>
    <t xml:space="preserve">  Bio Hazard Wast Disposal</t>
  </si>
  <si>
    <t xml:space="preserve">  Yard Work</t>
  </si>
  <si>
    <t xml:space="preserve">  Pest Control</t>
  </si>
  <si>
    <t xml:space="preserve">  Professional Fees</t>
  </si>
  <si>
    <t xml:space="preserve">  Administrative Services</t>
  </si>
  <si>
    <t xml:space="preserve">  Management Fee</t>
  </si>
  <si>
    <t xml:space="preserve">  Help Wanted Ads</t>
  </si>
  <si>
    <t xml:space="preserve">  Advertising</t>
  </si>
  <si>
    <t>Total Contract Services</t>
  </si>
  <si>
    <t xml:space="preserve">  Nursing</t>
  </si>
  <si>
    <t xml:space="preserve">  Non-Legend Drugs</t>
  </si>
  <si>
    <t xml:space="preserve">  Activities</t>
  </si>
  <si>
    <t xml:space="preserve">  Social Services</t>
  </si>
  <si>
    <t xml:space="preserve">  Linen</t>
  </si>
  <si>
    <t xml:space="preserve">  Food Cost</t>
  </si>
  <si>
    <t xml:space="preserve">  Dietary Supplements</t>
  </si>
  <si>
    <t xml:space="preserve">  Dietary Supplies &amp; Utensils</t>
  </si>
  <si>
    <t xml:space="preserve">  Maintenance Supplies</t>
  </si>
  <si>
    <t xml:space="preserve">  Minor Equipment</t>
  </si>
  <si>
    <t xml:space="preserve">  Equipment Rental</t>
  </si>
  <si>
    <t xml:space="preserve">  Administrative Supplies &amp; Forms</t>
  </si>
  <si>
    <t xml:space="preserve">  Postage &amp; Delivery</t>
  </si>
  <si>
    <t>Total Supplies</t>
  </si>
  <si>
    <t>Seminars and Travel</t>
  </si>
  <si>
    <t xml:space="preserve">  Training / Seminars Other</t>
  </si>
  <si>
    <t xml:space="preserve">  Travel Resident Care Staff</t>
  </si>
  <si>
    <t xml:space="preserve">  Company Vehicle Expense</t>
  </si>
  <si>
    <t xml:space="preserve">  Mileage and Travel</t>
  </si>
  <si>
    <t xml:space="preserve">  Meals Expense</t>
  </si>
  <si>
    <t xml:space="preserve">  Other</t>
  </si>
  <si>
    <t>Total Seminars and Travel</t>
  </si>
  <si>
    <t>Taxes, Licenses, and Dues</t>
  </si>
  <si>
    <t xml:space="preserve">  Real Property Taxes</t>
  </si>
  <si>
    <t xml:space="preserve">  Personal Property</t>
  </si>
  <si>
    <t xml:space="preserve">  Bed Tax</t>
  </si>
  <si>
    <t xml:space="preserve">  Fees - License &amp; Permits</t>
  </si>
  <si>
    <t xml:space="preserve">  Dues Subscriptions - Other</t>
  </si>
  <si>
    <t>Total Taxes, Licenses, and Dues</t>
  </si>
  <si>
    <t>Bad Debt Expense</t>
  </si>
  <si>
    <t>Total Bad Debt Expense</t>
  </si>
  <si>
    <t>Insurance</t>
  </si>
  <si>
    <t xml:space="preserve">  Insurance-Property</t>
  </si>
  <si>
    <t xml:space="preserve">  Insurance - Vehicle</t>
  </si>
  <si>
    <t xml:space="preserve">  Insurance-GLPL</t>
  </si>
  <si>
    <t xml:space="preserve">  Workers Comp Expense</t>
  </si>
  <si>
    <t>Total Insurance</t>
  </si>
  <si>
    <t>Depreciation and Amortization</t>
  </si>
  <si>
    <t xml:space="preserve">  Leashold Improvements</t>
  </si>
  <si>
    <t xml:space="preserve">  Furniture and Fixtures</t>
  </si>
  <si>
    <t xml:space="preserve">  Vehicles</t>
  </si>
  <si>
    <t xml:space="preserve">  Organizational &amp; Finance Cost</t>
  </si>
  <si>
    <t>Total Depreciation and Amortization</t>
  </si>
  <si>
    <t>Interest and Lease Expense</t>
  </si>
  <si>
    <t xml:space="preserve">  Lease</t>
  </si>
  <si>
    <t xml:space="preserve">  Interest Expense</t>
  </si>
  <si>
    <t xml:space="preserve">  Fees</t>
  </si>
  <si>
    <t>Total Interest and Lease Expense</t>
  </si>
  <si>
    <t>Other Expense</t>
  </si>
  <si>
    <t xml:space="preserve">  Prior Year Cost</t>
  </si>
  <si>
    <t>Total Other Expense</t>
  </si>
  <si>
    <t>Income Before OCL and MI</t>
  </si>
  <si>
    <t>Patient Day Information</t>
  </si>
  <si>
    <t xml:space="preserve">  Medicaid Contracted Beds</t>
  </si>
  <si>
    <t>Total Hospice</t>
  </si>
  <si>
    <t>Medicare</t>
  </si>
  <si>
    <t>Total Medicare</t>
  </si>
  <si>
    <t>V.A.</t>
  </si>
  <si>
    <t>Grand Total</t>
  </si>
  <si>
    <t>Current Period Only</t>
  </si>
  <si>
    <t>Park Manor of Conroe</t>
  </si>
  <si>
    <t>Park Manor of Cypress Station</t>
  </si>
  <si>
    <t>Park Manor of Humble</t>
  </si>
  <si>
    <t>Park Manor of Quail Valley</t>
  </si>
  <si>
    <t>Park Manor of Westchase</t>
  </si>
  <si>
    <t>Park Manor of CyFair</t>
  </si>
  <si>
    <t>Park Manor of McKinney</t>
  </si>
  <si>
    <t>Tanglewood Health and Rehabilitation</t>
  </si>
  <si>
    <t>Smoky Hill Health and Rehbilitation</t>
  </si>
  <si>
    <t>Belleville Health Center</t>
  </si>
  <si>
    <t>Arbor Court Retirement Community at Alvamar</t>
  </si>
  <si>
    <t>Arbor Court Retirement Community at Salina</t>
  </si>
  <si>
    <t>Arbor Court Retirement Community at Topeka</t>
  </si>
  <si>
    <t>YTD</t>
  </si>
  <si>
    <t xml:space="preserve">  ALF - Personal Services</t>
  </si>
  <si>
    <t xml:space="preserve">  Other Resident Care Staff - Nonprofessional</t>
  </si>
  <si>
    <t xml:space="preserve">  Liability Loss</t>
  </si>
  <si>
    <t xml:space="preserve">  Software</t>
  </si>
  <si>
    <t>Deferred Rent Expense</t>
  </si>
  <si>
    <t>Bedford Preferred Equity (HMG)</t>
  </si>
  <si>
    <t>Arbrook Plaza (HMG)</t>
  </si>
  <si>
    <t>Northgate Plaza (HMG)</t>
  </si>
  <si>
    <t>Gulf Pointe Plaza (HMG)</t>
  </si>
  <si>
    <t>Gulf Pointe Village (ALF) (HMG)</t>
  </si>
  <si>
    <t>Park Manor at Bee Cave (HMG)</t>
  </si>
  <si>
    <t>HMGCF-F</t>
  </si>
  <si>
    <t>HMGCR-F</t>
  </si>
  <si>
    <t>Delta</t>
  </si>
  <si>
    <t>HMGCS-F</t>
  </si>
  <si>
    <t>HMGHB-F</t>
  </si>
  <si>
    <t>HMGQV-F</t>
  </si>
  <si>
    <t>HMGWC-F</t>
  </si>
  <si>
    <t>HMGPM-F</t>
  </si>
  <si>
    <t>HMG WW-F</t>
  </si>
  <si>
    <t>HMGSN-F</t>
  </si>
  <si>
    <t>HMGBV-F</t>
  </si>
  <si>
    <t>HMGLW-F</t>
  </si>
  <si>
    <t>HMGSL-F</t>
  </si>
  <si>
    <t>HMGTP-F</t>
  </si>
  <si>
    <t>HMGFP-F</t>
  </si>
  <si>
    <t>HMGAP-F</t>
  </si>
  <si>
    <t>HMGNP-F</t>
  </si>
  <si>
    <t>HMGGPP-F</t>
  </si>
  <si>
    <t>HMGGPV-F</t>
  </si>
  <si>
    <t>HMGBC-F</t>
  </si>
  <si>
    <t>***Transferred effective 9/1/2018</t>
  </si>
  <si>
    <t>Total Special Care Services Income</t>
  </si>
  <si>
    <t xml:space="preserve">  Medicaid - Occupational Therapy</t>
  </si>
  <si>
    <t xml:space="preserve">  Medicaid - Speech Therapy</t>
  </si>
  <si>
    <t xml:space="preserve">  Hospice - Legend Drugs</t>
  </si>
  <si>
    <t xml:space="preserve">  Employee Benefits Other - Mad Genius</t>
  </si>
  <si>
    <t>Total V.A.</t>
  </si>
  <si>
    <t xml:space="preserve">  Hospice - Laboratory</t>
  </si>
  <si>
    <t xml:space="preserve">  Donations/Contributions</t>
  </si>
  <si>
    <t>Feb to July interest &amp; other income considered as Operating</t>
  </si>
  <si>
    <t>Feb to July Fees &amp; Prior Year Cost considered as Non Operating</t>
  </si>
  <si>
    <t xml:space="preserve">  Social Services Assistants</t>
  </si>
  <si>
    <t>P&amp;L</t>
  </si>
  <si>
    <t xml:space="preserve">  Room and Bed Hold</t>
  </si>
  <si>
    <t xml:space="preserve">  Gain of Sale of Investments</t>
  </si>
  <si>
    <t xml:space="preserve">  Pre-Aquisition Costs</t>
  </si>
  <si>
    <t>Revenue</t>
  </si>
  <si>
    <t>BPC Data</t>
  </si>
  <si>
    <t>TF</t>
  </si>
  <si>
    <t>Total Tenant Revenues</t>
  </si>
  <si>
    <t>Operating Expense</t>
  </si>
  <si>
    <t>Total TenantOperating Expense</t>
  </si>
  <si>
    <t>Total</t>
  </si>
  <si>
    <t>Total TF</t>
  </si>
  <si>
    <t>Total BPC</t>
  </si>
  <si>
    <t>Tanglewood</t>
  </si>
  <si>
    <t>Arbor Court at Alvamar</t>
  </si>
  <si>
    <t>Arbor Court at Salina</t>
  </si>
  <si>
    <t>Arbor Court at Topeka</t>
  </si>
  <si>
    <t>Smoky Hill Health and Rehabilitation</t>
  </si>
  <si>
    <t>Arbrook Plaza</t>
  </si>
  <si>
    <t>Northgate Plaza</t>
  </si>
  <si>
    <t>Gulf Pointe Plaza</t>
  </si>
  <si>
    <t>Gulf Pointe Village (ALF)</t>
  </si>
  <si>
    <t>Park Manor at Bee Cave</t>
  </si>
  <si>
    <t>Bedford</t>
  </si>
  <si>
    <t>Tenant Financials</t>
  </si>
  <si>
    <t>Reporting Template</t>
  </si>
  <si>
    <t>Extraordinary Expenses</t>
  </si>
  <si>
    <t xml:space="preserve">  Dues &amp; Subscriptions-Association</t>
  </si>
  <si>
    <t xml:space="preserve">  Hospice - Radiology</t>
  </si>
  <si>
    <t xml:space="preserve">  Medicaid - Transportation</t>
  </si>
  <si>
    <t xml:space="preserve">  Private - Radiology</t>
  </si>
  <si>
    <t>diff</t>
  </si>
  <si>
    <t>Total Medicare A</t>
  </si>
  <si>
    <t xml:space="preserve">  Medicare B - Telemedicine</t>
  </si>
  <si>
    <t xml:space="preserve">  Private Insurance - Telemedicine</t>
  </si>
  <si>
    <t xml:space="preserve">  Stimulus Revenue</t>
  </si>
  <si>
    <t xml:space="preserve">  Private - Telemedicine</t>
  </si>
  <si>
    <t xml:space="preserve">  Amortization Expense Intangible Assets</t>
  </si>
  <si>
    <t xml:space="preserve">  Lease Deprec Contra</t>
  </si>
  <si>
    <t>Minority Interest</t>
  </si>
  <si>
    <t>Variance Analysis</t>
  </si>
  <si>
    <t>Totals</t>
  </si>
  <si>
    <t>Total Tenant Operating Expense</t>
  </si>
  <si>
    <t>Total Tenant Non-Operating Expense</t>
  </si>
  <si>
    <t>Total Overall difference</t>
  </si>
  <si>
    <t>Dec'2020 data after restated</t>
  </si>
  <si>
    <t>Dec'2020 data Before restated</t>
  </si>
  <si>
    <t>Total Dec'2020 variance</t>
  </si>
  <si>
    <t>By line-item wise</t>
  </si>
  <si>
    <t>&gt;&gt;&gt;&gt; Properties</t>
  </si>
  <si>
    <t xml:space="preserve">  Part A Coinsurance</t>
  </si>
  <si>
    <t xml:space="preserve">  Private Insurance - Transportation</t>
  </si>
  <si>
    <t>8/31/2021</t>
  </si>
  <si>
    <t>9/30/2021</t>
  </si>
  <si>
    <t xml:space="preserve">  Private Insurance - Respiratory Therapy</t>
  </si>
  <si>
    <t>10/31/2021</t>
  </si>
  <si>
    <t>11/30/2021</t>
  </si>
  <si>
    <t xml:space="preserve">  Medicare B - COVID Vaccinations</t>
  </si>
  <si>
    <t xml:space="preserve">  Private Insurance - COVID Vaccinations</t>
  </si>
  <si>
    <t xml:space="preserve"> </t>
  </si>
  <si>
    <t>12/31/2021</t>
  </si>
  <si>
    <t xml:space="preserve">  Training / Seminars Resident Care Staff</t>
  </si>
  <si>
    <t xml:space="preserve">  MIP</t>
  </si>
  <si>
    <t xml:space="preserve">  Deferred Rent Expense</t>
  </si>
  <si>
    <t>1/31/2022</t>
  </si>
  <si>
    <t xml:space="preserve">  Private - COVID Vaccinations</t>
  </si>
  <si>
    <t>2/28/2022</t>
  </si>
  <si>
    <t>3/31/2022</t>
  </si>
  <si>
    <t>Bed Counts taken as per Operator Template since data not available in Tenant Financials</t>
  </si>
  <si>
    <t>4/30/2022</t>
  </si>
  <si>
    <t>5/31/2022</t>
  </si>
  <si>
    <t xml:space="preserve">  Management Fee Income</t>
  </si>
  <si>
    <t xml:space="preserve">  Management Fee Income Base</t>
  </si>
  <si>
    <t>6/30/2022</t>
  </si>
  <si>
    <t>Property</t>
  </si>
  <si>
    <t>Income</t>
  </si>
  <si>
    <t>Opex</t>
  </si>
  <si>
    <t>Tenant Other Income and Expense</t>
  </si>
  <si>
    <t>Tenant Depreciation and Amortization</t>
  </si>
  <si>
    <t>Tenant Interest Income and Expense</t>
  </si>
  <si>
    <t>Non- Opex</t>
  </si>
  <si>
    <t>Non - Opex</t>
  </si>
  <si>
    <t>Difference in Net Income</t>
  </si>
  <si>
    <t>Park Manor of McKinney
HMGPM-F</t>
  </si>
  <si>
    <t>Northgate Plaza
HMGNP-F</t>
  </si>
  <si>
    <t>Gulf Pointe Plaza
HMGGPP-F</t>
  </si>
  <si>
    <t>Park Manor at Bee Cave
HMGBC-F</t>
  </si>
  <si>
    <t>Healthmark</t>
  </si>
  <si>
    <t>7/31/2022</t>
  </si>
  <si>
    <t xml:space="preserve">  Private Insurance - DME</t>
  </si>
  <si>
    <t xml:space="preserve">  Utilities - Electricity</t>
  </si>
  <si>
    <t xml:space="preserve">  Utilities - Gas</t>
  </si>
  <si>
    <t xml:space="preserve">  Utilities - Water</t>
  </si>
  <si>
    <t>Discontinued Operations</t>
  </si>
  <si>
    <t>TTM ending 07/31/2022</t>
  </si>
  <si>
    <t>Variance of (11,765) days exists in "Northgate Plaza" and (14,827) days exists in "Park Manor at Bee Cave" properties in Jun 2022 due to Tenant Financials has been restated for 'Census Days' figures. Kindly advise.</t>
  </si>
  <si>
    <r>
      <rPr>
        <sz val="11"/>
        <color rgb="FFFF0000"/>
        <rFont val="Calibri"/>
        <family val="2"/>
        <scheme val="minor"/>
      </rPr>
      <t>i)</t>
    </r>
    <r>
      <rPr>
        <sz val="11"/>
        <rFont val="Calibri"/>
        <family val="2"/>
        <scheme val="minor"/>
      </rPr>
      <t xml:space="preserve"> </t>
    </r>
    <r>
      <rPr>
        <sz val="11"/>
        <color rgb="FFFF0000"/>
        <rFont val="Calibri"/>
        <family val="2"/>
        <scheme val="minor"/>
      </rPr>
      <t>Variance of $467,461 exists in Dec 2021 for some properties due to Tenant Financials has been restated for "Contract Services" &amp; "Bad Debt Expense" items. Kindly advise.</t>
    </r>
    <r>
      <rPr>
        <sz val="11"/>
        <rFont val="Calibri"/>
        <family val="2"/>
        <scheme val="minor"/>
      </rPr>
      <t xml:space="preserve">
ii) Variance of ($61,066) exists in Jun 2022 for some properties due to interclassified with the Non - Operating" Expenses item. Kindly advise.
iii) Variance of ($9,484.460) exists in Jun 22 for few properties due to Tenant Financials has been restated</t>
    </r>
  </si>
  <si>
    <r>
      <t xml:space="preserve">i) Variance of ($8,177,432) exists in Dec 2021 for some properties due to Tenant Financials has been restated for "Management Fee" item. Kindly advise.
Ii) </t>
    </r>
    <r>
      <rPr>
        <sz val="11"/>
        <color theme="1"/>
        <rFont val="Calibri"/>
        <family val="2"/>
        <scheme val="minor"/>
      </rPr>
      <t>Variance of ($510,667) exist in Jun 22 for some properties due to Tenant Financials has been restated.</t>
    </r>
  </si>
  <si>
    <r>
      <rPr>
        <sz val="11"/>
        <color rgb="FFFF0000"/>
        <rFont val="Calibri"/>
        <family val="2"/>
        <scheme val="minor"/>
      </rPr>
      <t>i) Variance of (128,979) exists in Dec 2021 for some properties due to Tenant Financials has been restated for "Lease" item. Kindly advise.</t>
    </r>
    <r>
      <rPr>
        <sz val="11"/>
        <color theme="1"/>
        <rFont val="Calibri"/>
        <family val="2"/>
        <scheme val="minor"/>
      </rPr>
      <t xml:space="preserve">
ii) Variance of ($1,780,589) exists in Jun 22 for some properties due to Tenant Financials has been restated for "Lease" item.</t>
    </r>
  </si>
  <si>
    <r>
      <rPr>
        <sz val="11"/>
        <color rgb="FFFF0000"/>
        <rFont val="Calibri"/>
        <family val="2"/>
        <scheme val="minor"/>
      </rPr>
      <t>i) Variance of ($7,428,963) exists in Dec 2021 for some properties due to Tenant Financials has been restated for "Miscellaneous Income" item. Kindly advise.</t>
    </r>
    <r>
      <rPr>
        <sz val="11"/>
        <color theme="1"/>
        <rFont val="Calibri"/>
        <family val="2"/>
        <scheme val="minor"/>
      </rPr>
      <t xml:space="preserve">
ii) Variance of $42,166 exists in Jun 2022 for some properties due to interclassified with the Non - Operating" Expenses item.
iii) Variance of ($11,364,027) exists in Jun 2022 for few properties due to Tenant Financials has been restated.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</si>
</sst>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0;\(#,###,##0\)"/>
    <numFmt numFmtId="166" formatCode="#,##0.00;\(#,##0.00\)"/>
    <numFmt numFmtId="167" formatCode="#,###,##0.00;\(#,###,##0.00\)"/>
    <numFmt numFmtId="168" formatCode="#,##0;\(#,##0\)"/>
    <numFmt numFmtId="169" formatCode="&quot;$&quot;#,##0.00;\(&quot;$&quot;#,##0.00\)"/>
    <numFmt numFmtId="170" formatCode="###0.0%;\(###0.0%\)"/>
    <numFmt numFmtId="171" formatCode="mmmm\ yyyy\ &quot;TTM&quot;"/>
    <numFmt numFmtId="172" formatCode="_(* #,##0_);_(* \(\ #,##0\ \);_(* &quot;-&quot;??_);_(\ @_ \)"/>
    <numFmt numFmtId="173" formatCode="&quot;$&quot;#,##0.00"/>
    <numFmt numFmtId="174" formatCode="_._.* #,##0.0_)_%;_._.* \(#,##0.0\)_%"/>
    <numFmt numFmtId="175" formatCode="_._.* #,##0.00_)_%;_._.* \(#,##0.00\)_%"/>
    <numFmt numFmtId="176" formatCode="_._.* #,##0.000_)_%;_._.* \(#,##0.000\)_%"/>
    <numFmt numFmtId="177" formatCode="_-* #,##0.00_-;\-* #,##0.00_-;_-* &quot;-&quot;??_-;_-@_-"/>
    <numFmt numFmtId="178" formatCode="_._.&quot;$&quot;* #,##0.0_)_%;_._.&quot;$&quot;* \(#,##0.0\)_%"/>
    <numFmt numFmtId="179" formatCode="_._.&quot;$&quot;* #,##0.00_)_%;_._.&quot;$&quot;* \(#,##0.00\)_%"/>
    <numFmt numFmtId="180" formatCode="_._.&quot;$&quot;* #,##0.000_)_%;_._.&quot;$&quot;* \(#,##0.000\)_%"/>
    <numFmt numFmtId="181" formatCode="mmmm\ d\,\ yyyy"/>
    <numFmt numFmtId="182" formatCode="_([$€-2]* #,##0.00_);_([$€-2]* \(#,##0.00\);_([$€-2]* &quot;-&quot;??_)"/>
    <numFmt numFmtId="183" formatCode="_(0_)%;\(0\)%"/>
    <numFmt numFmtId="184" formatCode="_._._(* 0_)%;_._.* \(0\)%"/>
    <numFmt numFmtId="185" formatCode="_(0.0_)%;\(0.0\)%"/>
    <numFmt numFmtId="186" formatCode="_._._(* 0.0_)%;_._.* \(0.0\)%"/>
    <numFmt numFmtId="187" formatCode="_(0.00_)%;\(0.00\)%"/>
    <numFmt numFmtId="188" formatCode="_._._(* 0.00_)%;_._.* \(0.00\)%"/>
    <numFmt numFmtId="189" formatCode="_(0.000_)%;\(0.000\)%"/>
    <numFmt numFmtId="190" formatCode="_._._(* 0.000_)%;_._.* \(0.000\)%"/>
    <numFmt numFmtId="191" formatCode="_(0.0000_)%;\(0.0000\)%"/>
    <numFmt numFmtId="192" formatCode="_._._(* 0.0000_)%;_._.* \(0.0000\)%"/>
    <numFmt numFmtId="193" formatCode="_(* #,##0_);_(* \(#,##0\);_(* 0_);_(@_)"/>
    <numFmt numFmtId="194" formatCode="_(* #,##0.0_);_(* \(#,##0.0\)"/>
    <numFmt numFmtId="195" formatCode="_(* #,##0.00_);_(* \(#,##0.00\)"/>
    <numFmt numFmtId="196" formatCode="_(* #,##0.000_);_(* \(#,##0.000\)"/>
    <numFmt numFmtId="197" formatCode="_(&quot;$&quot;* #,##0_);_(&quot;$&quot;* \(#,##0\);_(&quot;$&quot;* 0_);_(@_)"/>
    <numFmt numFmtId="198" formatCode="_(&quot;$&quot;* #,##0.0_);_(&quot;$&quot;* \(#,##0.0\)"/>
    <numFmt numFmtId="199" formatCode="_(&quot;$&quot;* #,##0.00_);_(&quot;$&quot;* \(#,##0.00\)"/>
    <numFmt numFmtId="200" formatCode="_(&quot;$&quot;* #,##0.000_);_(&quot;$&quot;* \(#,##0.000\)"/>
    <numFmt numFmtId="201" formatCode="[$$]#,##0.00_);[Red]\([$$]#,##0.00\)"/>
    <numFmt numFmtId="202" formatCode="_(&quot;$&quot;* #,##0_);_(&quot;$&quot;* \(#,##0\);_(&quot;$&quot;* &quot;-&quot;??_);_(@_)"/>
  </numFmts>
  <fonts count="108">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1"/>
      <color theme="1"/>
      <name val="Arial"/>
      <family val="2"/>
    </font>
    <font>
      <b/>
      <sz val="11"/>
      <color theme="3"/>
      <name val="Calibri"/>
      <family val="2"/>
      <scheme val="minor"/>
    </font>
    <font>
      <sz val="10"/>
      <color indexed="0"/>
      <name val="Arial"/>
      <family val="2"/>
    </font>
    <font>
      <sz val="10"/>
      <color indexed="8"/>
      <name val="Arial"/>
      <family val="2"/>
    </font>
    <font>
      <b/>
      <sz val="12"/>
      <color indexed="0"/>
      <name val="Microsoft Sans Serif"/>
      <family val="2"/>
    </font>
    <font>
      <sz val="10"/>
      <color indexed="0"/>
      <name val="Microsoft Sans Serif"/>
      <family val="2"/>
    </font>
    <font>
      <b/>
      <u/>
      <sz val="12"/>
      <color indexed="0"/>
      <name val="Microsoft Sans Serif"/>
      <family val="2"/>
    </font>
    <font>
      <b/>
      <sz val="10"/>
      <color indexed="0"/>
      <name val="Microsoft Sans Serif"/>
      <family val="2"/>
    </font>
    <font>
      <b/>
      <i/>
      <sz val="10"/>
      <color indexed="0"/>
      <name val="MS Reference Sans Serif"/>
      <family val="2"/>
    </font>
    <font>
      <b/>
      <sz val="10"/>
      <name val="Arial"/>
      <family val="2"/>
    </font>
    <font>
      <sz val="11"/>
      <name val="Calibri"/>
      <family val="2"/>
      <scheme val="minor"/>
    </font>
    <font>
      <sz val="8.25"/>
      <color rgb="FF000000"/>
      <name val="Microsoft Sans Serif"/>
      <family val="2"/>
    </font>
    <font>
      <b/>
      <sz val="10"/>
      <color theme="3" tint="0.39997558519241921"/>
      <name val="Arial"/>
      <family val="2"/>
    </font>
    <font>
      <b/>
      <sz val="10"/>
      <color theme="3" tint="-0.249977111117893"/>
      <name val="Arial"/>
      <family val="2"/>
    </font>
    <font>
      <b/>
      <sz val="10"/>
      <color theme="0"/>
      <name val="Arial"/>
      <family val="2"/>
    </font>
    <font>
      <b/>
      <sz val="10"/>
      <color indexed="9"/>
      <name val="Arial"/>
      <family val="2"/>
    </font>
    <font>
      <sz val="10"/>
      <color indexed="17"/>
      <name val="Arial"/>
      <family val="2"/>
    </font>
    <font>
      <u val="singleAccounting"/>
      <sz val="10"/>
      <color indexed="17"/>
      <name val="Arial"/>
      <family val="2"/>
    </font>
    <font>
      <sz val="8.85"/>
      <color rgb="FF000000"/>
      <name val="Arial"/>
      <family val="2"/>
    </font>
    <font>
      <sz val="9"/>
      <color theme="1"/>
      <name val="Calibri"/>
      <family val="2"/>
      <scheme val="minor"/>
    </font>
    <font>
      <sz val="11"/>
      <color indexed="8"/>
      <name val="Calibri"/>
      <family val="2"/>
    </font>
    <font>
      <sz val="9"/>
      <color theme="0"/>
      <name val="Calibri"/>
      <family val="2"/>
      <scheme val="minor"/>
    </font>
    <font>
      <sz val="11"/>
      <color indexed="9"/>
      <name val="Calibri"/>
      <family val="2"/>
    </font>
    <font>
      <sz val="9"/>
      <color rgb="FF9C0006"/>
      <name val="Calibri"/>
      <family val="2"/>
      <scheme val="minor"/>
    </font>
    <font>
      <sz val="11"/>
      <color indexed="20"/>
      <name val="Calibri"/>
      <family val="2"/>
    </font>
    <font>
      <sz val="10"/>
      <name val="Times New Roman"/>
      <family val="1"/>
    </font>
    <font>
      <sz val="8"/>
      <name val="Arial"/>
      <family val="2"/>
    </font>
    <font>
      <b/>
      <sz val="14"/>
      <name val="Arial"/>
      <family val="2"/>
    </font>
    <font>
      <b/>
      <i/>
      <sz val="14"/>
      <name val="Arial"/>
      <family val="2"/>
    </font>
    <font>
      <b/>
      <sz val="12"/>
      <name val="Arial"/>
      <family val="2"/>
    </font>
    <font>
      <b/>
      <sz val="11"/>
      <name val="Arial"/>
      <family val="2"/>
    </font>
    <font>
      <b/>
      <sz val="24"/>
      <name val="Arial Narrow"/>
      <family val="2"/>
    </font>
    <font>
      <b/>
      <i/>
      <sz val="12"/>
      <name val="Arial"/>
      <family val="2"/>
    </font>
    <font>
      <i/>
      <sz val="12"/>
      <name val="Arial"/>
      <family val="2"/>
    </font>
    <font>
      <sz val="12"/>
      <name val="Arial"/>
      <family val="2"/>
    </font>
    <font>
      <sz val="9"/>
      <name val="Arial"/>
      <family val="2"/>
    </font>
    <font>
      <i/>
      <sz val="10"/>
      <name val="Arial"/>
      <family val="2"/>
    </font>
    <font>
      <sz val="9"/>
      <color indexed="18"/>
      <name val="Arial"/>
      <family val="2"/>
    </font>
    <font>
      <i/>
      <sz val="10"/>
      <color indexed="18"/>
      <name val="Arial"/>
      <family val="2"/>
    </font>
    <font>
      <sz val="10"/>
      <color indexed="18"/>
      <name val="Arial"/>
      <family val="2"/>
    </font>
    <font>
      <sz val="8"/>
      <color indexed="18"/>
      <name val="Arial"/>
      <family val="2"/>
    </font>
    <font>
      <i/>
      <sz val="9"/>
      <color indexed="18"/>
      <name val="Arial"/>
      <family val="2"/>
    </font>
    <font>
      <b/>
      <sz val="9"/>
      <color rgb="FFFA7D00"/>
      <name val="Calibri"/>
      <family val="2"/>
      <scheme val="minor"/>
    </font>
    <font>
      <b/>
      <sz val="11"/>
      <color indexed="52"/>
      <name val="Calibri"/>
      <family val="2"/>
    </font>
    <font>
      <b/>
      <sz val="9"/>
      <name val="Arial"/>
      <family val="2"/>
    </font>
    <font>
      <b/>
      <sz val="9"/>
      <color theme="0"/>
      <name val="Calibri"/>
      <family val="2"/>
      <scheme val="minor"/>
    </font>
    <font>
      <b/>
      <sz val="11"/>
      <color indexed="9"/>
      <name val="Calibri"/>
      <family val="2"/>
    </font>
    <font>
      <sz val="11"/>
      <name val="Times New Roman"/>
      <family val="1"/>
    </font>
    <font>
      <u val="singleAccounting"/>
      <sz val="11"/>
      <name val="Times New Roman"/>
      <family val="1"/>
    </font>
    <font>
      <sz val="10"/>
      <color indexed="8"/>
      <name val="Times New Roman"/>
      <family val="2"/>
    </font>
    <font>
      <sz val="12"/>
      <name val="Times New Roman"/>
      <family val="1"/>
    </font>
    <font>
      <sz val="11"/>
      <name val="StoneSerif"/>
    </font>
    <font>
      <i/>
      <sz val="9"/>
      <color rgb="FF7F7F7F"/>
      <name val="Calibri"/>
      <family val="2"/>
      <scheme val="minor"/>
    </font>
    <font>
      <i/>
      <sz val="11"/>
      <color indexed="23"/>
      <name val="Calibri"/>
      <family val="2"/>
    </font>
    <font>
      <sz val="9"/>
      <color rgb="FF006100"/>
      <name val="Calibri"/>
      <family val="2"/>
      <scheme val="minor"/>
    </font>
    <font>
      <sz val="11"/>
      <color indexed="17"/>
      <name val="Calibri"/>
      <family val="2"/>
    </font>
    <font>
      <b/>
      <sz val="15"/>
      <color indexed="56"/>
      <name val="Calibri"/>
      <family val="2"/>
    </font>
    <font>
      <b/>
      <sz val="13"/>
      <color indexed="56"/>
      <name val="Calibri"/>
      <family val="2"/>
    </font>
    <font>
      <b/>
      <sz val="11"/>
      <color indexed="56"/>
      <name val="Calibri"/>
      <family val="2"/>
    </font>
    <font>
      <sz val="9"/>
      <color rgb="FF3F3F76"/>
      <name val="Calibri"/>
      <family val="2"/>
      <scheme val="minor"/>
    </font>
    <font>
      <sz val="11"/>
      <color indexed="62"/>
      <name val="Calibri"/>
      <family val="2"/>
    </font>
    <font>
      <sz val="9"/>
      <color rgb="FFFA7D00"/>
      <name val="Calibri"/>
      <family val="2"/>
      <scheme val="minor"/>
    </font>
    <font>
      <sz val="11"/>
      <color indexed="52"/>
      <name val="Calibri"/>
      <family val="2"/>
    </font>
    <font>
      <sz val="9"/>
      <color rgb="FF9C6500"/>
      <name val="Calibri"/>
      <family val="2"/>
      <scheme val="minor"/>
    </font>
    <font>
      <sz val="11"/>
      <color indexed="60"/>
      <name val="Calibri"/>
      <family val="2"/>
    </font>
    <font>
      <sz val="10"/>
      <color rgb="FF000000"/>
      <name val="Times New Roman"/>
      <family val="1"/>
    </font>
    <font>
      <sz val="10"/>
      <name val="MS Sans Serif"/>
      <family val="2"/>
    </font>
    <font>
      <sz val="9"/>
      <color indexed="8"/>
      <name val="Calibri"/>
      <family val="2"/>
    </font>
    <font>
      <b/>
      <sz val="9"/>
      <color rgb="FF3F3F3F"/>
      <name val="Calibri"/>
      <family val="2"/>
      <scheme val="minor"/>
    </font>
    <font>
      <b/>
      <sz val="11"/>
      <color indexed="63"/>
      <name val="Calibri"/>
      <family val="2"/>
    </font>
    <font>
      <sz val="8"/>
      <color indexed="38"/>
      <name val="Arial"/>
      <family val="2"/>
    </font>
    <font>
      <b/>
      <sz val="12"/>
      <color indexed="32"/>
      <name val="Arial"/>
      <family val="2"/>
    </font>
    <font>
      <i/>
      <sz val="11"/>
      <name val="Arial"/>
      <family val="2"/>
    </font>
    <font>
      <sz val="11"/>
      <name val="Arial"/>
      <family val="2"/>
    </font>
    <font>
      <sz val="10"/>
      <color rgb="FF000000"/>
      <name val="Arial"/>
      <family val="2"/>
    </font>
    <font>
      <b/>
      <sz val="14"/>
      <color indexed="8"/>
      <name val="Arial"/>
      <family val="2"/>
    </font>
    <font>
      <b/>
      <sz val="12"/>
      <color indexed="0"/>
      <name val="Arial"/>
      <family val="2"/>
    </font>
    <font>
      <b/>
      <sz val="10"/>
      <color indexed="8"/>
      <name val="Arial"/>
      <family val="2"/>
    </font>
    <font>
      <b/>
      <i/>
      <sz val="10"/>
      <color indexed="0"/>
      <name val="Times New Roman"/>
      <family val="1"/>
    </font>
    <font>
      <b/>
      <sz val="10"/>
      <color indexed="0"/>
      <name val="Times New Roman"/>
      <family val="1"/>
    </font>
    <font>
      <b/>
      <i/>
      <sz val="12"/>
      <color indexed="8"/>
      <name val="Arial"/>
      <family val="2"/>
    </font>
    <font>
      <sz val="10"/>
      <color indexed="0"/>
      <name val="Times New Roman"/>
      <family val="1"/>
    </font>
    <font>
      <b/>
      <i/>
      <sz val="10"/>
      <color indexed="0"/>
      <name val="Arial"/>
      <family val="2"/>
    </font>
    <font>
      <b/>
      <sz val="18"/>
      <color indexed="56"/>
      <name val="Cambria"/>
      <family val="2"/>
    </font>
    <font>
      <b/>
      <sz val="9"/>
      <color theme="1"/>
      <name val="Calibri"/>
      <family val="2"/>
      <scheme val="minor"/>
    </font>
    <font>
      <b/>
      <sz val="11"/>
      <color indexed="8"/>
      <name val="Calibri"/>
      <family val="2"/>
    </font>
    <font>
      <sz val="9"/>
      <color rgb="FFFF0000"/>
      <name val="Calibri"/>
      <family val="2"/>
      <scheme val="minor"/>
    </font>
    <font>
      <sz val="11"/>
      <color indexed="10"/>
      <name val="Calibri"/>
      <family val="2"/>
    </font>
    <font>
      <b/>
      <u/>
      <sz val="11"/>
      <color theme="1"/>
      <name val="Calibri"/>
      <family val="2"/>
      <scheme val="minor"/>
    </font>
    <font>
      <b/>
      <sz val="8.85"/>
      <color rgb="FF000000"/>
      <name val="Arial"/>
      <family val="2"/>
    </font>
    <font>
      <sz val="11"/>
      <color rgb="FFFF0000"/>
      <name val="Calibri"/>
      <family val="2"/>
      <scheme val="minor"/>
    </font>
    <font>
      <sz val="8.85"/>
      <color rgb="FFFF0000"/>
      <name val="Arial"/>
      <family val="2"/>
    </font>
    <font>
      <b/>
      <sz val="11"/>
      <color theme="1"/>
      <name val="Calibri"/>
      <family val="2"/>
    </font>
    <font>
      <b/>
      <sz val="11"/>
      <color indexed="12"/>
      <name val="Calibri"/>
      <family val="2"/>
    </font>
    <font>
      <b/>
      <sz val="11"/>
      <name val="Calibri"/>
      <family val="2"/>
      <scheme val="minor"/>
    </font>
    <font>
      <sz val="8.85"/>
      <color rgb="FF000000"/>
      <name val="Arial"/>
      <family val="2"/>
    </font>
    <font>
      <sz val="8.85"/>
      <color rgb="FF000000"/>
      <name val="Arial"/>
      <family val="2"/>
    </font>
    <font>
      <b/>
      <sz val="9"/>
      <color rgb="FF000000"/>
      <name val="Calibri"/>
      <family val="2"/>
      <scheme val="minor"/>
    </font>
    <font>
      <sz val="9"/>
      <color rgb="FF000000"/>
      <name val="Calibri"/>
      <family val="2"/>
      <scheme val="minor"/>
    </font>
    <font>
      <sz val="10"/>
      <color theme="1"/>
      <name val="Calibri"/>
      <family val="2"/>
      <scheme val="minor"/>
    </font>
    <font>
      <b/>
      <sz val="10"/>
      <color theme="1"/>
      <name val="Calibri"/>
      <family val="2"/>
      <scheme val="minor"/>
    </font>
    <font>
      <b/>
      <sz val="12"/>
      <color rgb="FFFF0000"/>
      <name val="Calibri"/>
      <family val="2"/>
      <scheme val="minor"/>
    </font>
    <font>
      <sz val="10"/>
      <color theme="0"/>
      <name val="Arial"/>
      <family val="2"/>
    </font>
    <font>
      <b/>
      <sz val="11"/>
      <color rgb="FFFF0000"/>
      <name val="Calibri"/>
      <family val="2"/>
      <scheme val="minor"/>
    </font>
  </fonts>
  <fills count="74">
    <fill>
      <patternFill patternType="none"/>
    </fill>
    <fill>
      <patternFill patternType="gray125"/>
    </fill>
    <fill>
      <patternFill patternType="solid">
        <fgColor theme="1"/>
        <bgColor indexed="64"/>
      </patternFill>
    </fill>
    <fill>
      <patternFill patternType="solid">
        <fgColor indexed="8"/>
      </patternFill>
    </fill>
    <fill>
      <patternFill patternType="solid">
        <fgColor theme="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theme="6"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9" tint="0.39997558519241921"/>
        <bgColor indexed="64"/>
      </patternFill>
    </fill>
  </fills>
  <borders count="54">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rgb="FF000000"/>
      </bottom>
      <diagonal/>
    </border>
    <border>
      <left/>
      <right/>
      <top/>
      <bottom style="double">
        <color rgb="FF000000"/>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double">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22"/>
      </bottom>
      <diagonal/>
    </border>
    <border>
      <left/>
      <right/>
      <top style="thin">
        <color indexed="62"/>
      </top>
      <bottom style="double">
        <color indexed="62"/>
      </bottom>
      <diagonal/>
    </border>
    <border>
      <left/>
      <right/>
      <top style="thin">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indexed="64"/>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36050">
    <xf numFmtId="0" fontId="0" fillId="0" borderId="0"/>
    <xf numFmtId="43" fontId="1" fillId="0" borderId="0" applyFont="0" applyFill="0" applyBorder="0" applyAlignment="0" applyProtection="0"/>
    <xf numFmtId="0" fontId="3"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6" fillId="0" borderId="0"/>
    <xf numFmtId="166" fontId="6" fillId="0" borderId="0"/>
    <xf numFmtId="43" fontId="6" fillId="0" borderId="0" applyFont="0" applyFill="0" applyBorder="0" applyAlignment="0" applyProtection="0"/>
    <xf numFmtId="166" fontId="6" fillId="0" borderId="0"/>
    <xf numFmtId="44" fontId="3" fillId="0" borderId="0" applyFont="0" applyFill="0" applyBorder="0" applyAlignment="0" applyProtection="0"/>
    <xf numFmtId="44" fontId="3" fillId="0" borderId="0" applyFont="0" applyFill="0" applyBorder="0" applyAlignment="0" applyProtection="0"/>
    <xf numFmtId="167" fontId="6" fillId="0" borderId="0"/>
    <xf numFmtId="165" fontId="6" fillId="0" borderId="0"/>
    <xf numFmtId="165" fontId="6" fillId="0" borderId="0"/>
    <xf numFmtId="167" fontId="6" fillId="0" borderId="0"/>
    <xf numFmtId="165" fontId="6" fillId="0" borderId="0"/>
    <xf numFmtId="167" fontId="6" fillId="0" borderId="0"/>
    <xf numFmtId="167" fontId="6" fillId="0" borderId="0"/>
    <xf numFmtId="165" fontId="6" fillId="0" borderId="0"/>
    <xf numFmtId="165" fontId="6" fillId="0" borderId="0"/>
    <xf numFmtId="167" fontId="6" fillId="0" borderId="0"/>
    <xf numFmtId="168" fontId="6" fillId="0" borderId="0"/>
    <xf numFmtId="165" fontId="6" fillId="0" borderId="0"/>
    <xf numFmtId="167" fontId="6" fillId="0" borderId="0"/>
    <xf numFmtId="165" fontId="6" fillId="0" borderId="0"/>
    <xf numFmtId="167" fontId="6" fillId="0" borderId="0"/>
    <xf numFmtId="165" fontId="6" fillId="0" borderId="0"/>
    <xf numFmtId="167" fontId="6" fillId="0" borderId="0"/>
    <xf numFmtId="165" fontId="6" fillId="0" borderId="0"/>
    <xf numFmtId="167" fontId="6" fillId="0" borderId="0"/>
    <xf numFmtId="166" fontId="6" fillId="0" borderId="0"/>
    <xf numFmtId="168" fontId="6" fillId="0" borderId="0"/>
    <xf numFmtId="166" fontId="6" fillId="0" borderId="0"/>
    <xf numFmtId="166" fontId="6" fillId="0" borderId="0"/>
    <xf numFmtId="168" fontId="6" fillId="0" borderId="0"/>
    <xf numFmtId="166" fontId="6" fillId="0" borderId="0"/>
    <xf numFmtId="168" fontId="6" fillId="0" borderId="0"/>
    <xf numFmtId="166" fontId="6" fillId="0" borderId="0"/>
    <xf numFmtId="168" fontId="6" fillId="0" borderId="0"/>
    <xf numFmtId="165" fontId="6" fillId="0" borderId="0"/>
    <xf numFmtId="167" fontId="6" fillId="0" borderId="0"/>
    <xf numFmtId="167" fontId="6" fillId="0" borderId="0"/>
    <xf numFmtId="165" fontId="6" fillId="0" borderId="0"/>
    <xf numFmtId="165" fontId="6" fillId="0" borderId="0"/>
    <xf numFmtId="167" fontId="6" fillId="0" borderId="0"/>
    <xf numFmtId="169" fontId="6" fillId="0" borderId="0"/>
    <xf numFmtId="170" fontId="6" fillId="0" borderId="0"/>
    <xf numFmtId="0" fontId="5" fillId="0" borderId="0" applyNumberFormat="0" applyFill="0" applyBorder="0" applyAlignment="0" applyProtection="0"/>
    <xf numFmtId="0" fontId="6" fillId="0" borderId="0"/>
    <xf numFmtId="0" fontId="6" fillId="0" borderId="0"/>
    <xf numFmtId="0" fontId="7" fillId="0" borderId="0">
      <alignment vertical="top"/>
    </xf>
    <xf numFmtId="0" fontId="6" fillId="0" borderId="0"/>
    <xf numFmtId="0" fontId="7" fillId="0" borderId="0">
      <alignment vertical="top"/>
    </xf>
    <xf numFmtId="0" fontId="3" fillId="0" borderId="0"/>
    <xf numFmtId="0" fontId="6" fillId="0" borderId="0"/>
    <xf numFmtId="0" fontId="6" fillId="0" borderId="0"/>
    <xf numFmtId="0" fontId="6" fillId="0" borderId="0"/>
    <xf numFmtId="0" fontId="7" fillId="0" borderId="0">
      <alignment vertical="top"/>
    </xf>
    <xf numFmtId="0" fontId="6" fillId="0" borderId="0"/>
    <xf numFmtId="0" fontId="6" fillId="0" borderId="0"/>
    <xf numFmtId="0" fontId="6" fillId="0" borderId="0"/>
    <xf numFmtId="0" fontId="6" fillId="0" borderId="0"/>
    <xf numFmtId="0" fontId="7" fillId="0" borderId="0">
      <alignment vertical="top"/>
    </xf>
    <xf numFmtId="0" fontId="6" fillId="0" borderId="0"/>
    <xf numFmtId="0" fontId="7" fillId="0" borderId="0">
      <alignment vertical="top"/>
    </xf>
    <xf numFmtId="0" fontId="3" fillId="0" borderId="0"/>
    <xf numFmtId="0" fontId="6" fillId="0" borderId="0"/>
    <xf numFmtId="0" fontId="3" fillId="0" borderId="0"/>
    <xf numFmtId="0" fontId="6" fillId="0" borderId="0"/>
    <xf numFmtId="0" fontId="3" fillId="0" borderId="0"/>
    <xf numFmtId="0" fontId="7" fillId="0" borderId="0">
      <alignment vertical="top"/>
    </xf>
    <xf numFmtId="0" fontId="6" fillId="0" borderId="0"/>
    <xf numFmtId="0" fontId="6" fillId="0" borderId="0"/>
    <xf numFmtId="0" fontId="7" fillId="0" borderId="0">
      <alignment vertical="top"/>
    </xf>
    <xf numFmtId="0" fontId="6" fillId="0" borderId="0"/>
    <xf numFmtId="0" fontId="6" fillId="0" borderId="0"/>
    <xf numFmtId="0" fontId="7" fillId="0" borderId="0">
      <alignment vertical="top"/>
    </xf>
    <xf numFmtId="0" fontId="6" fillId="0" borderId="0"/>
    <xf numFmtId="0" fontId="8" fillId="0" borderId="0"/>
    <xf numFmtId="0" fontId="9" fillId="0" borderId="0"/>
    <xf numFmtId="0" fontId="10" fillId="0" borderId="0"/>
    <xf numFmtId="0" fontId="11" fillId="0" borderId="0"/>
    <xf numFmtId="0" fontId="8" fillId="3" borderId="0"/>
    <xf numFmtId="0" fontId="12" fillId="0" borderId="0"/>
    <xf numFmtId="43" fontId="3" fillId="0" borderId="0" applyFont="0" applyFill="0" applyBorder="0" applyAlignment="0" applyProtection="0"/>
    <xf numFmtId="0" fontId="15" fillId="0" borderId="0" applyAlignment="0"/>
    <xf numFmtId="0" fontId="3" fillId="0" borderId="0"/>
    <xf numFmtId="0" fontId="22" fillId="0" borderId="0" applyAlignment="0"/>
    <xf numFmtId="0" fontId="6" fillId="0" borderId="0"/>
    <xf numFmtId="43" fontId="22" fillId="0" borderId="0" applyFont="0" applyFill="0" applyBorder="0" applyAlignment="0" applyProtection="0"/>
    <xf numFmtId="0" fontId="3" fillId="0" borderId="0" applyNumberFormat="0" applyFont="0" applyFill="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23" fillId="18" borderId="0" applyNumberFormat="0" applyBorder="0" applyAlignment="0" applyProtection="0"/>
    <xf numFmtId="0" fontId="24" fillId="41" borderId="0" applyNumberFormat="0" applyBorder="0" applyAlignment="0" applyProtection="0"/>
    <xf numFmtId="0" fontId="23"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23" fillId="22" borderId="0" applyNumberFormat="0" applyBorder="0" applyAlignment="0" applyProtection="0"/>
    <xf numFmtId="0" fontId="24" fillId="42" borderId="0" applyNumberFormat="0" applyBorder="0" applyAlignment="0" applyProtection="0"/>
    <xf numFmtId="0" fontId="23" fillId="4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23" fillId="26" borderId="0" applyNumberFormat="0" applyBorder="0" applyAlignment="0" applyProtection="0"/>
    <xf numFmtId="0" fontId="24" fillId="43" borderId="0" applyNumberFormat="0" applyBorder="0" applyAlignment="0" applyProtection="0"/>
    <xf numFmtId="0" fontId="23" fillId="4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3" fillId="30" borderId="0" applyNumberFormat="0" applyBorder="0" applyAlignment="0" applyProtection="0"/>
    <xf numFmtId="0" fontId="24" fillId="44" borderId="0" applyNumberFormat="0" applyBorder="0" applyAlignment="0" applyProtection="0"/>
    <xf numFmtId="0" fontId="23" fillId="44"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4" borderId="0" applyNumberFormat="0" applyBorder="0" applyAlignment="0" applyProtection="0"/>
    <xf numFmtId="0" fontId="24" fillId="4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4"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23" fillId="19" borderId="0" applyNumberFormat="0" applyBorder="0" applyAlignment="0" applyProtection="0"/>
    <xf numFmtId="0" fontId="24" fillId="47"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23" fillId="23" borderId="0" applyNumberFormat="0" applyBorder="0" applyAlignment="0" applyProtection="0"/>
    <xf numFmtId="0" fontId="24" fillId="48"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23" fillId="27" borderId="0" applyNumberFormat="0" applyBorder="0" applyAlignment="0" applyProtection="0"/>
    <xf numFmtId="0" fontId="24" fillId="49" borderId="0" applyNumberFormat="0" applyBorder="0" applyAlignment="0" applyProtection="0"/>
    <xf numFmtId="0" fontId="23" fillId="49"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3" fillId="31" borderId="0" applyNumberFormat="0" applyBorder="0" applyAlignment="0" applyProtection="0"/>
    <xf numFmtId="0" fontId="24" fillId="44"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23" fillId="35" borderId="0" applyNumberFormat="0" applyBorder="0" applyAlignment="0" applyProtection="0"/>
    <xf numFmtId="0" fontId="24" fillId="4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23" fillId="39" borderId="0" applyNumberFormat="0" applyBorder="0" applyAlignment="0" applyProtection="0"/>
    <xf numFmtId="0" fontId="24"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25" fillId="20" borderId="0" applyNumberFormat="0" applyBorder="0" applyAlignment="0" applyProtection="0"/>
    <xf numFmtId="0" fontId="26" fillId="51" borderId="0" applyNumberFormat="0" applyBorder="0" applyAlignment="0" applyProtection="0"/>
    <xf numFmtId="0" fontId="25" fillId="24" borderId="0" applyNumberFormat="0" applyBorder="0" applyAlignment="0" applyProtection="0"/>
    <xf numFmtId="0" fontId="26" fillId="48" borderId="0" applyNumberFormat="0" applyBorder="0" applyAlignment="0" applyProtection="0"/>
    <xf numFmtId="0" fontId="25" fillId="28" borderId="0" applyNumberFormat="0" applyBorder="0" applyAlignment="0" applyProtection="0"/>
    <xf numFmtId="0" fontId="26" fillId="49" borderId="0" applyNumberFormat="0" applyBorder="0" applyAlignment="0" applyProtection="0"/>
    <xf numFmtId="0" fontId="25" fillId="49" borderId="0" applyNumberFormat="0" applyBorder="0" applyAlignment="0" applyProtection="0"/>
    <xf numFmtId="0" fontId="25" fillId="32" borderId="0" applyNumberFormat="0" applyBorder="0" applyAlignment="0" applyProtection="0"/>
    <xf numFmtId="0" fontId="26" fillId="52" borderId="0" applyNumberFormat="0" applyBorder="0" applyAlignment="0" applyProtection="0"/>
    <xf numFmtId="0" fontId="25" fillId="52" borderId="0" applyNumberFormat="0" applyBorder="0" applyAlignment="0" applyProtection="0"/>
    <xf numFmtId="0" fontId="25" fillId="36" borderId="0" applyNumberFormat="0" applyBorder="0" applyAlignment="0" applyProtection="0"/>
    <xf numFmtId="0" fontId="26" fillId="53" borderId="0" applyNumberFormat="0" applyBorder="0" applyAlignment="0" applyProtection="0"/>
    <xf numFmtId="0" fontId="25" fillId="40" borderId="0" applyNumberFormat="0" applyBorder="0" applyAlignment="0" applyProtection="0"/>
    <xf numFmtId="0" fontId="26" fillId="54" borderId="0" applyNumberFormat="0" applyBorder="0" applyAlignment="0" applyProtection="0"/>
    <xf numFmtId="0" fontId="25" fillId="54" borderId="0" applyNumberFormat="0" applyBorder="0" applyAlignment="0" applyProtection="0"/>
    <xf numFmtId="0" fontId="25" fillId="17" borderId="0" applyNumberFormat="0" applyBorder="0" applyAlignment="0" applyProtection="0"/>
    <xf numFmtId="0" fontId="26" fillId="55" borderId="0" applyNumberFormat="0" applyBorder="0" applyAlignment="0" applyProtection="0"/>
    <xf numFmtId="0" fontId="25" fillId="21" borderId="0" applyNumberFormat="0" applyBorder="0" applyAlignment="0" applyProtection="0"/>
    <xf numFmtId="0" fontId="26" fillId="56" borderId="0" applyNumberFormat="0" applyBorder="0" applyAlignment="0" applyProtection="0"/>
    <xf numFmtId="0" fontId="25" fillId="25" borderId="0" applyNumberFormat="0" applyBorder="0" applyAlignment="0" applyProtection="0"/>
    <xf numFmtId="0" fontId="26" fillId="57" borderId="0" applyNumberFormat="0" applyBorder="0" applyAlignment="0" applyProtection="0"/>
    <xf numFmtId="0" fontId="25" fillId="29" borderId="0" applyNumberFormat="0" applyBorder="0" applyAlignment="0" applyProtection="0"/>
    <xf numFmtId="0" fontId="26" fillId="52" borderId="0" applyNumberFormat="0" applyBorder="0" applyAlignment="0" applyProtection="0"/>
    <xf numFmtId="0" fontId="25" fillId="33" borderId="0" applyNumberFormat="0" applyBorder="0" applyAlignment="0" applyProtection="0"/>
    <xf numFmtId="0" fontId="26" fillId="53" borderId="0" applyNumberFormat="0" applyBorder="0" applyAlignment="0" applyProtection="0"/>
    <xf numFmtId="0" fontId="25" fillId="37" borderId="0" applyNumberFormat="0" applyBorder="0" applyAlignment="0" applyProtection="0"/>
    <xf numFmtId="0" fontId="26" fillId="58" borderId="0" applyNumberFormat="0" applyBorder="0" applyAlignment="0" applyProtection="0"/>
    <xf numFmtId="0" fontId="27" fillId="11" borderId="0" applyNumberFormat="0" applyBorder="0" applyAlignment="0" applyProtection="0"/>
    <xf numFmtId="0" fontId="28" fillId="42" borderId="0" applyNumberFormat="0" applyBorder="0" applyAlignment="0" applyProtection="0"/>
    <xf numFmtId="38" fontId="29" fillId="0" borderId="1"/>
    <xf numFmtId="37" fontId="13" fillId="0" borderId="23"/>
    <xf numFmtId="173" fontId="30" fillId="0" borderId="0" applyFill="0"/>
    <xf numFmtId="173" fontId="30" fillId="0" borderId="0">
      <alignment horizontal="center"/>
    </xf>
    <xf numFmtId="0" fontId="30" fillId="0" borderId="0" applyFill="0">
      <alignment horizontal="center"/>
    </xf>
    <xf numFmtId="173" fontId="31" fillId="0" borderId="24" applyFill="0"/>
    <xf numFmtId="0" fontId="3" fillId="0" borderId="0" applyFont="0" applyAlignment="0"/>
    <xf numFmtId="0" fontId="32" fillId="0" borderId="0" applyFill="0">
      <alignment vertical="top"/>
    </xf>
    <xf numFmtId="0" fontId="31" fillId="0" borderId="0" applyFill="0">
      <alignment horizontal="left" vertical="top"/>
    </xf>
    <xf numFmtId="173" fontId="33" fillId="0" borderId="5" applyFill="0"/>
    <xf numFmtId="0" fontId="3" fillId="0" borderId="0" applyNumberFormat="0" applyFont="0" applyAlignment="0"/>
    <xf numFmtId="0" fontId="32" fillId="0" borderId="0" applyFill="0">
      <alignment wrapText="1"/>
    </xf>
    <xf numFmtId="0" fontId="31" fillId="0" borderId="0" applyFill="0">
      <alignment horizontal="left" vertical="top" wrapText="1"/>
    </xf>
    <xf numFmtId="173" fontId="34" fillId="0" borderId="0" applyFill="0"/>
    <xf numFmtId="0" fontId="35" fillId="0" borderId="0" applyNumberFormat="0" applyFont="0" applyAlignment="0">
      <alignment horizontal="center"/>
    </xf>
    <xf numFmtId="0" fontId="36" fillId="0" borderId="0" applyFill="0">
      <alignment vertical="top" wrapText="1"/>
    </xf>
    <xf numFmtId="0" fontId="33" fillId="0" borderId="0" applyFill="0">
      <alignment horizontal="left" vertical="top" wrapText="1"/>
    </xf>
    <xf numFmtId="173" fontId="3" fillId="0" borderId="0" applyFill="0"/>
    <xf numFmtId="0" fontId="35" fillId="0" borderId="0" applyNumberFormat="0" applyFont="0" applyAlignment="0">
      <alignment horizontal="center"/>
    </xf>
    <xf numFmtId="0" fontId="37" fillId="0" borderId="0" applyFill="0">
      <alignment vertical="center" wrapText="1"/>
    </xf>
    <xf numFmtId="0" fontId="38" fillId="0" borderId="0">
      <alignment horizontal="left" vertical="center" wrapText="1"/>
    </xf>
    <xf numFmtId="173" fontId="39" fillId="0" borderId="0" applyFill="0"/>
    <xf numFmtId="0" fontId="35" fillId="0" borderId="0" applyNumberFormat="0" applyFont="0" applyAlignment="0">
      <alignment horizontal="center"/>
    </xf>
    <xf numFmtId="0" fontId="40" fillId="0" borderId="0" applyFill="0">
      <alignment horizontal="center" vertical="center" wrapText="1"/>
    </xf>
    <xf numFmtId="0" fontId="3" fillId="0" borderId="0" applyFill="0">
      <alignment horizontal="center" vertical="center" wrapText="1"/>
    </xf>
    <xf numFmtId="173" fontId="41" fillId="0" borderId="0" applyFill="0"/>
    <xf numFmtId="0" fontId="35" fillId="0" borderId="0" applyNumberFormat="0" applyFont="0" applyAlignment="0">
      <alignment horizontal="center"/>
    </xf>
    <xf numFmtId="0" fontId="42" fillId="0" borderId="0" applyFill="0">
      <alignment horizontal="center" vertical="center" wrapText="1"/>
    </xf>
    <xf numFmtId="0" fontId="43" fillId="0" borderId="0" applyFill="0">
      <alignment horizontal="center" vertical="center" wrapText="1"/>
    </xf>
    <xf numFmtId="173" fontId="44" fillId="0" borderId="0" applyFill="0"/>
    <xf numFmtId="0" fontId="35" fillId="0" borderId="0" applyNumberFormat="0" applyFont="0" applyAlignment="0">
      <alignment horizontal="center"/>
    </xf>
    <xf numFmtId="0" fontId="45" fillId="0" borderId="0">
      <alignment horizontal="center" wrapText="1"/>
    </xf>
    <xf numFmtId="0" fontId="41" fillId="0" borderId="0" applyFill="0">
      <alignment horizontal="center" wrapText="1"/>
    </xf>
    <xf numFmtId="0" fontId="46" fillId="14" borderId="17" applyNumberFormat="0" applyAlignment="0" applyProtection="0"/>
    <xf numFmtId="0" fontId="47" fillId="59" borderId="25" applyNumberFormat="0" applyAlignment="0" applyProtection="0"/>
    <xf numFmtId="0" fontId="48" fillId="0" borderId="0" applyFill="0" applyBorder="0" applyProtection="0">
      <alignment horizontal="center"/>
      <protection locked="0"/>
    </xf>
    <xf numFmtId="0" fontId="49" fillId="15" borderId="20" applyNumberFormat="0" applyAlignment="0" applyProtection="0"/>
    <xf numFmtId="0" fontId="50" fillId="60" borderId="26" applyNumberFormat="0" applyAlignment="0" applyProtection="0"/>
    <xf numFmtId="0" fontId="13" fillId="0" borderId="27">
      <alignment horizontal="left" wrapText="1"/>
    </xf>
    <xf numFmtId="174" fontId="51" fillId="0" borderId="0" applyFont="0" applyFill="0" applyBorder="0" applyAlignment="0" applyProtection="0"/>
    <xf numFmtId="175" fontId="52" fillId="0" borderId="0" applyFont="0" applyFill="0" applyBorder="0" applyAlignment="0" applyProtection="0"/>
    <xf numFmtId="176" fontId="5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77" fontId="3" fillId="0" borderId="0" applyFont="0" applyFill="0" applyBorder="0" applyAlignment="0" applyProtection="0"/>
    <xf numFmtId="43" fontId="24"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53"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1" fillId="0" borderId="0" applyFill="0" applyBorder="0" applyAlignment="0" applyProtection="0">
      <protection locked="0"/>
    </xf>
    <xf numFmtId="178" fontId="52" fillId="0" borderId="0" applyFont="0" applyFill="0" applyBorder="0" applyAlignment="0" applyProtection="0"/>
    <xf numFmtId="179" fontId="52" fillId="0" borderId="0" applyFont="0" applyFill="0" applyBorder="0" applyAlignment="0" applyProtection="0"/>
    <xf numFmtId="180" fontId="52" fillId="0" borderId="0" applyFont="0" applyFill="0" applyBorder="0" applyAlignment="0" applyProtection="0"/>
    <xf numFmtId="44" fontId="54" fillId="0" borderId="0" applyFont="0" applyFill="0" applyBorder="0" applyAlignment="0" applyProtection="0"/>
    <xf numFmtId="44" fontId="1"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4" fillId="0" borderId="0" applyFont="0" applyFill="0" applyBorder="0" applyAlignment="0" applyProtection="0"/>
    <xf numFmtId="181" fontId="55" fillId="0" borderId="0" applyFont="0" applyFill="0" applyBorder="0" applyAlignment="0" applyProtection="0"/>
    <xf numFmtId="182" fontId="3" fillId="0" borderId="0" applyFon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1" fillId="0" borderId="0"/>
    <xf numFmtId="0" fontId="58" fillId="10" borderId="0" applyNumberFormat="0" applyBorder="0" applyAlignment="0" applyProtection="0"/>
    <xf numFmtId="0" fontId="59" fillId="43" borderId="0" applyNumberFormat="0" applyBorder="0" applyAlignment="0" applyProtection="0"/>
    <xf numFmtId="0" fontId="60" fillId="0" borderId="28" applyNumberFormat="0" applyFill="0" applyAlignment="0" applyProtection="0"/>
    <xf numFmtId="0" fontId="61" fillId="0" borderId="29" applyNumberFormat="0" applyFill="0" applyAlignment="0" applyProtection="0"/>
    <xf numFmtId="0" fontId="62" fillId="0" borderId="30" applyNumberFormat="0" applyFill="0" applyAlignment="0" applyProtection="0"/>
    <xf numFmtId="0" fontId="48" fillId="0" borderId="0" applyFill="0" applyAlignment="0" applyProtection="0">
      <protection locked="0"/>
    </xf>
    <xf numFmtId="0" fontId="48" fillId="0" borderId="1" applyFill="0" applyAlignment="0" applyProtection="0">
      <protection locked="0"/>
    </xf>
    <xf numFmtId="0" fontId="63" fillId="13" borderId="17" applyNumberFormat="0" applyAlignment="0" applyProtection="0"/>
    <xf numFmtId="0" fontId="64" fillId="46" borderId="25" applyNumberFormat="0" applyAlignment="0" applyProtection="0"/>
    <xf numFmtId="0" fontId="65" fillId="0" borderId="19" applyNumberFormat="0" applyFill="0" applyAlignment="0" applyProtection="0"/>
    <xf numFmtId="0" fontId="66" fillId="0" borderId="31" applyNumberFormat="0" applyFill="0" applyAlignment="0" applyProtection="0"/>
    <xf numFmtId="41" fontId="3" fillId="0" borderId="0" applyFont="0" applyFill="0" applyBorder="0" applyAlignment="0" applyProtection="0"/>
    <xf numFmtId="43" fontId="3" fillId="0" borderId="0" applyFont="0" applyFill="0" applyBorder="0" applyAlignment="0" applyProtection="0"/>
    <xf numFmtId="42" fontId="3" fillId="0" borderId="0" applyFont="0" applyFill="0" applyBorder="0" applyAlignment="0" applyProtection="0"/>
    <xf numFmtId="44" fontId="3" fillId="0" borderId="0" applyFont="0" applyFill="0" applyBorder="0" applyAlignment="0" applyProtection="0"/>
    <xf numFmtId="0" fontId="67" fillId="12" borderId="0" applyNumberFormat="0" applyBorder="0" applyAlignment="0" applyProtection="0"/>
    <xf numFmtId="0" fontId="68" fillId="6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9" fillId="0" borderId="0"/>
    <xf numFmtId="0" fontId="69" fillId="0" borderId="0"/>
    <xf numFmtId="0" fontId="24"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9" fillId="0" borderId="0"/>
    <xf numFmtId="0" fontId="1" fillId="0" borderId="0"/>
    <xf numFmtId="0" fontId="69" fillId="0" borderId="0"/>
    <xf numFmtId="0" fontId="24"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9" fillId="0" borderId="0"/>
    <xf numFmtId="0" fontId="29" fillId="0" borderId="0"/>
    <xf numFmtId="0" fontId="3" fillId="0" borderId="0"/>
    <xf numFmtId="0" fontId="3"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54" fillId="0" borderId="0"/>
    <xf numFmtId="0" fontId="7" fillId="0" borderId="0">
      <alignment vertical="top"/>
    </xf>
    <xf numFmtId="0" fontId="3" fillId="0" borderId="0"/>
    <xf numFmtId="0" fontId="3" fillId="0" borderId="0"/>
    <xf numFmtId="0" fontId="3" fillId="0" borderId="0"/>
    <xf numFmtId="0" fontId="70" fillId="0" borderId="0"/>
    <xf numFmtId="0" fontId="69" fillId="0" borderId="0"/>
    <xf numFmtId="0" fontId="69" fillId="0" borderId="0"/>
    <xf numFmtId="0" fontId="6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9" fillId="0" borderId="0"/>
    <xf numFmtId="0" fontId="5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0" borderId="0"/>
    <xf numFmtId="0" fontId="38" fillId="0" borderId="0"/>
    <xf numFmtId="0" fontId="3" fillId="0" borderId="0"/>
    <xf numFmtId="0" fontId="71" fillId="16" borderId="21" applyNumberFormat="0" applyFont="0" applyAlignment="0" applyProtection="0"/>
    <xf numFmtId="0" fontId="3" fillId="62" borderId="32" applyNumberFormat="0" applyFont="0" applyAlignment="0" applyProtection="0"/>
    <xf numFmtId="0" fontId="3" fillId="62" borderId="32"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1" fillId="16" borderId="21" applyNumberFormat="0" applyFont="0" applyAlignment="0" applyProtection="0"/>
    <xf numFmtId="0" fontId="72" fillId="14" borderId="18" applyNumberFormat="0" applyAlignment="0" applyProtection="0"/>
    <xf numFmtId="0" fontId="73" fillId="59" borderId="33" applyNumberFormat="0" applyAlignment="0" applyProtection="0"/>
    <xf numFmtId="183" fontId="52" fillId="0" borderId="0" applyFont="0" applyFill="0" applyBorder="0" applyAlignment="0" applyProtection="0"/>
    <xf numFmtId="184" fontId="51" fillId="0" borderId="0" applyFont="0" applyFill="0" applyBorder="0" applyAlignment="0" applyProtection="0"/>
    <xf numFmtId="185" fontId="52" fillId="0" borderId="0" applyFont="0" applyFill="0" applyBorder="0" applyAlignment="0" applyProtection="0"/>
    <xf numFmtId="186" fontId="51" fillId="0" borderId="0" applyFont="0" applyFill="0" applyBorder="0" applyAlignment="0" applyProtection="0"/>
    <xf numFmtId="187" fontId="52" fillId="0" borderId="0" applyFont="0" applyFill="0" applyBorder="0" applyAlignment="0" applyProtection="0"/>
    <xf numFmtId="188" fontId="51" fillId="0" borderId="0" applyFont="0" applyFill="0" applyBorder="0" applyAlignment="0" applyProtection="0"/>
    <xf numFmtId="189" fontId="52" fillId="0" borderId="0" applyFont="0" applyFill="0" applyBorder="0" applyAlignment="0" applyProtection="0"/>
    <xf numFmtId="190" fontId="51" fillId="0" borderId="0" applyFont="0" applyFill="0" applyBorder="0" applyAlignment="0" applyProtection="0"/>
    <xf numFmtId="191" fontId="51" fillId="0" borderId="0" applyFont="0" applyFill="0" applyBorder="0" applyAlignment="0" applyProtection="0"/>
    <xf numFmtId="192" fontId="5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4" fillId="0" borderId="0" applyFont="0" applyFill="0" applyBorder="0" applyAlignment="0" applyProtection="0"/>
    <xf numFmtId="0" fontId="70" fillId="0" borderId="0" applyNumberFormat="0" applyFont="0" applyFill="0" applyBorder="0" applyAlignment="0" applyProtection="0">
      <alignment horizontal="left"/>
    </xf>
    <xf numFmtId="37" fontId="3" fillId="63" borderId="0" applyFill="0"/>
    <xf numFmtId="39" fontId="30" fillId="63" borderId="0" applyFill="0"/>
    <xf numFmtId="0" fontId="74" fillId="0" borderId="0">
      <alignment horizontal="left" indent="7"/>
    </xf>
    <xf numFmtId="0" fontId="3" fillId="0" borderId="0" applyFill="0">
      <alignment horizontal="left" indent="2"/>
    </xf>
    <xf numFmtId="0" fontId="30" fillId="0" borderId="0" applyFill="0">
      <alignment horizontal="left" indent="3"/>
    </xf>
    <xf numFmtId="37" fontId="33" fillId="0" borderId="23" applyFill="0">
      <alignment horizontal="right"/>
    </xf>
    <xf numFmtId="0" fontId="13" fillId="0" borderId="27" applyNumberFormat="0" applyFont="0" applyBorder="0">
      <alignment horizontal="right"/>
    </xf>
    <xf numFmtId="0" fontId="36" fillId="0" borderId="0" applyFill="0"/>
    <xf numFmtId="0" fontId="33" fillId="0" borderId="0" applyFill="0"/>
    <xf numFmtId="37" fontId="33" fillId="0" borderId="34" applyFill="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 fillId="0" borderId="0" applyNumberFormat="0" applyFont="0" applyBorder="0" applyAlignment="0"/>
    <xf numFmtId="0" fontId="36" fillId="0" borderId="0" applyFill="0">
      <alignment horizontal="left" indent="1"/>
    </xf>
    <xf numFmtId="0" fontId="75" fillId="0" borderId="0" applyFill="0">
      <alignment horizontal="left" indent="1"/>
    </xf>
    <xf numFmtId="37" fontId="39" fillId="0" borderId="0" applyFill="0"/>
    <xf numFmtId="0" fontId="3" fillId="0" borderId="0" applyNumberFormat="0" applyFont="0" applyFill="0" applyBorder="0" applyAlignment="0"/>
    <xf numFmtId="0" fontId="3" fillId="0" borderId="0" applyNumberFormat="0" applyFont="0" applyFill="0" applyBorder="0" applyAlignment="0"/>
    <xf numFmtId="0" fontId="36" fillId="0" borderId="0" applyFill="0">
      <alignment horizontal="left" indent="2"/>
    </xf>
    <xf numFmtId="0" fontId="33" fillId="0" borderId="0" applyFill="0">
      <alignment horizontal="left" indent="2"/>
    </xf>
    <xf numFmtId="37" fontId="39" fillId="0" borderId="0" applyFill="0"/>
    <xf numFmtId="0" fontId="3" fillId="0" borderId="0" applyNumberFormat="0" applyFont="0" applyBorder="0" applyAlignment="0"/>
    <xf numFmtId="0" fontId="76" fillId="0" borderId="0">
      <alignment horizontal="left" indent="3"/>
    </xf>
    <xf numFmtId="0" fontId="77" fillId="0" borderId="0" applyFill="0">
      <alignment horizontal="left" indent="3"/>
    </xf>
    <xf numFmtId="37" fontId="39" fillId="0" borderId="0" applyFill="0"/>
    <xf numFmtId="0" fontId="3" fillId="0" borderId="0" applyNumberFormat="0" applyFont="0" applyBorder="0" applyAlignment="0"/>
    <xf numFmtId="0" fontId="40" fillId="0" borderId="0">
      <alignment horizontal="left" indent="4"/>
    </xf>
    <xf numFmtId="0" fontId="3" fillId="0" borderId="0" applyFill="0">
      <alignment horizontal="left" indent="4"/>
    </xf>
    <xf numFmtId="37" fontId="41" fillId="0" borderId="0" applyFill="0"/>
    <xf numFmtId="0" fontId="3" fillId="0" borderId="0" applyNumberFormat="0" applyFont="0" applyBorder="0" applyAlignment="0"/>
    <xf numFmtId="0" fontId="42" fillId="0" borderId="0">
      <alignment horizontal="left" indent="5"/>
    </xf>
    <xf numFmtId="0" fontId="43" fillId="0" borderId="0" applyFill="0">
      <alignment horizontal="left" indent="5"/>
    </xf>
    <xf numFmtId="37" fontId="44" fillId="0" borderId="0" applyFill="0"/>
    <xf numFmtId="0" fontId="3" fillId="0" borderId="0" applyNumberFormat="0" applyFont="0" applyFill="0" applyBorder="0" applyAlignment="0"/>
    <xf numFmtId="0" fontId="45" fillId="0" borderId="0" applyFill="0">
      <alignment horizontal="left" indent="6"/>
    </xf>
    <xf numFmtId="0" fontId="41" fillId="0" borderId="0" applyFill="0">
      <alignment horizontal="left" indent="6"/>
    </xf>
    <xf numFmtId="0" fontId="7" fillId="0" borderId="0"/>
    <xf numFmtId="0" fontId="78" fillId="0" borderId="0" applyNumberFormat="0" applyBorder="0" applyAlignment="0"/>
    <xf numFmtId="0" fontId="6" fillId="0" borderId="0"/>
    <xf numFmtId="0" fontId="79" fillId="0" borderId="0" applyNumberFormat="0" applyBorder="0" applyAlignment="0"/>
    <xf numFmtId="0" fontId="80" fillId="0" borderId="0"/>
    <xf numFmtId="0" fontId="81" fillId="0" borderId="0" applyNumberFormat="0" applyBorder="0" applyAlignment="0"/>
    <xf numFmtId="0" fontId="82" fillId="0" borderId="0"/>
    <xf numFmtId="0" fontId="7" fillId="64" borderId="0" applyNumberFormat="0" applyBorder="0" applyAlignment="0"/>
    <xf numFmtId="0" fontId="83" fillId="0" borderId="0"/>
    <xf numFmtId="0" fontId="84" fillId="0" borderId="0" applyNumberFormat="0" applyBorder="0" applyAlignment="0"/>
    <xf numFmtId="0" fontId="85" fillId="0" borderId="0"/>
    <xf numFmtId="0" fontId="86" fillId="0" borderId="0"/>
    <xf numFmtId="0" fontId="87" fillId="0" borderId="0" applyNumberFormat="0" applyFill="0" applyBorder="0" applyAlignment="0" applyProtection="0"/>
    <xf numFmtId="0" fontId="88" fillId="0" borderId="22" applyNumberFormat="0" applyFill="0" applyAlignment="0" applyProtection="0"/>
    <xf numFmtId="0" fontId="89" fillId="0" borderId="35" applyNumberFormat="0" applyFill="0" applyAlignment="0" applyProtection="0"/>
    <xf numFmtId="0" fontId="90" fillId="0" borderId="0" applyNumberFormat="0" applyFill="0" applyBorder="0" applyAlignment="0" applyProtection="0"/>
    <xf numFmtId="0" fontId="91" fillId="0" borderId="0" applyNumberFormat="0" applyFill="0" applyBorder="0" applyAlignment="0" applyProtection="0"/>
    <xf numFmtId="193" fontId="51" fillId="0" borderId="0" applyFont="0" applyFill="0" applyBorder="0" applyAlignment="0" applyProtection="0"/>
    <xf numFmtId="194" fontId="51" fillId="0" borderId="0" applyFont="0" applyFill="0" applyBorder="0" applyAlignment="0" applyProtection="0"/>
    <xf numFmtId="195" fontId="51" fillId="0" borderId="0" applyFont="0" applyFill="0" applyBorder="0" applyAlignment="0" applyProtection="0"/>
    <xf numFmtId="196" fontId="51" fillId="0" borderId="0" applyFont="0" applyFill="0" applyBorder="0" applyAlignment="0" applyProtection="0"/>
    <xf numFmtId="197" fontId="51" fillId="0" borderId="0" applyFont="0" applyFill="0" applyBorder="0" applyAlignment="0" applyProtection="0"/>
    <xf numFmtId="198" fontId="51" fillId="0" borderId="0" applyFont="0" applyFill="0" applyBorder="0" applyAlignment="0" applyProtection="0"/>
    <xf numFmtId="199" fontId="51" fillId="0" borderId="0" applyFont="0" applyFill="0" applyBorder="0" applyAlignment="0" applyProtection="0"/>
    <xf numFmtId="200" fontId="51" fillId="0" borderId="0" applyFont="0" applyFill="0" applyBorder="0" applyAlignment="0" applyProtection="0"/>
    <xf numFmtId="0" fontId="22" fillId="0" borderId="0" applyAlignment="0"/>
    <xf numFmtId="0" fontId="22" fillId="0" borderId="0" applyAlignment="0"/>
    <xf numFmtId="0" fontId="1" fillId="0" borderId="0"/>
    <xf numFmtId="0" fontId="1" fillId="0" borderId="0"/>
    <xf numFmtId="0" fontId="3" fillId="0" borderId="0"/>
    <xf numFmtId="0" fontId="3" fillId="0" borderId="0"/>
    <xf numFmtId="0" fontId="3" fillId="0" borderId="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0" fontId="99" fillId="0" borderId="0" applyAlignment="0"/>
    <xf numFmtId="44" fontId="1" fillId="0" borderId="0" applyFont="0" applyFill="0" applyBorder="0" applyAlignment="0" applyProtection="0"/>
    <xf numFmtId="0" fontId="100" fillId="0" borderId="0" applyAlignment="0"/>
    <xf numFmtId="0" fontId="22" fillId="0" borderId="0" applyAlignment="0"/>
    <xf numFmtId="43" fontId="22" fillId="0" borderId="0" applyFont="0" applyFill="0" applyBorder="0" applyAlignment="0" applyProtection="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xf numFmtId="0" fontId="100" fillId="0" borderId="0" applyAlignment="0"/>
  </cellStyleXfs>
  <cellXfs count="221">
    <xf numFmtId="0" fontId="0" fillId="0" borderId="0" xfId="0"/>
    <xf numFmtId="0" fontId="0" fillId="0" borderId="0" xfId="0" applyNumberFormat="1"/>
    <xf numFmtId="0" fontId="0" fillId="0" borderId="0" xfId="0" applyNumberFormat="1" applyAlignment="1">
      <alignment horizontal="left" indent="1"/>
    </xf>
    <xf numFmtId="0" fontId="0" fillId="0" borderId="0" xfId="0" applyNumberFormat="1" applyAlignment="1">
      <alignment horizontal="left" indent="2"/>
    </xf>
    <xf numFmtId="43" fontId="0" fillId="0" borderId="0" xfId="1" applyFont="1"/>
    <xf numFmtId="0" fontId="2" fillId="0" borderId="1" xfId="0" applyFont="1" applyBorder="1"/>
    <xf numFmtId="14" fontId="0" fillId="0" borderId="0" xfId="0" applyNumberFormat="1"/>
    <xf numFmtId="0" fontId="2" fillId="0" borderId="0" xfId="0" applyFont="1"/>
    <xf numFmtId="0" fontId="0" fillId="2" borderId="0" xfId="0" applyFill="1"/>
    <xf numFmtId="0" fontId="0" fillId="2" borderId="4" xfId="0" applyFill="1" applyBorder="1"/>
    <xf numFmtId="0" fontId="0" fillId="0" borderId="0" xfId="0" applyNumberFormat="1" applyAlignment="1">
      <alignment horizontal="left" indent="3"/>
    </xf>
    <xf numFmtId="0" fontId="0" fillId="0" borderId="0" xfId="0" applyNumberFormat="1" applyAlignment="1">
      <alignment horizontal="left" indent="5"/>
    </xf>
    <xf numFmtId="0" fontId="2" fillId="0" borderId="0" xfId="0" applyFont="1" applyBorder="1"/>
    <xf numFmtId="0" fontId="2" fillId="2" borderId="1" xfId="0" applyFont="1" applyFill="1" applyBorder="1"/>
    <xf numFmtId="164" fontId="0" fillId="0" borderId="0" xfId="1" applyNumberFormat="1" applyFont="1"/>
    <xf numFmtId="43" fontId="0" fillId="0" borderId="1" xfId="1" applyFont="1" applyBorder="1"/>
    <xf numFmtId="0" fontId="2" fillId="0" borderId="5" xfId="0" applyFont="1" applyBorder="1" applyAlignment="1">
      <alignment horizontal="center"/>
    </xf>
    <xf numFmtId="0" fontId="0" fillId="0" borderId="2" xfId="0" applyBorder="1"/>
    <xf numFmtId="0" fontId="2" fillId="0" borderId="3" xfId="0" applyFont="1" applyBorder="1"/>
    <xf numFmtId="0" fontId="0" fillId="0" borderId="4" xfId="0" applyBorder="1" applyAlignment="1">
      <alignment horizontal="left" indent="1"/>
    </xf>
    <xf numFmtId="0" fontId="0" fillId="0" borderId="3" xfId="0" applyBorder="1" applyAlignment="1">
      <alignment horizontal="left" indent="1"/>
    </xf>
    <xf numFmtId="1" fontId="0" fillId="0" borderId="0" xfId="0" applyNumberFormat="1"/>
    <xf numFmtId="0" fontId="0" fillId="0" borderId="0" xfId="0" applyAlignment="1">
      <alignment horizontal="right"/>
    </xf>
    <xf numFmtId="164" fontId="0" fillId="0" borderId="0" xfId="0" applyNumberFormat="1"/>
    <xf numFmtId="0" fontId="0" fillId="0" borderId="0" xfId="0" applyFill="1"/>
    <xf numFmtId="0" fontId="14" fillId="0" borderId="0" xfId="0" applyFont="1"/>
    <xf numFmtId="0" fontId="0" fillId="4" borderId="0" xfId="0" applyFill="1"/>
    <xf numFmtId="0" fontId="3" fillId="4" borderId="0" xfId="89" applyFont="1" applyFill="1" applyAlignment="1">
      <alignment wrapText="1"/>
    </xf>
    <xf numFmtId="0" fontId="6" fillId="4" borderId="0" xfId="0" applyFont="1" applyFill="1"/>
    <xf numFmtId="0" fontId="17" fillId="4" borderId="0" xfId="89" applyFont="1" applyFill="1"/>
    <xf numFmtId="0" fontId="18" fillId="5" borderId="8" xfId="89" applyFont="1" applyFill="1" applyBorder="1" applyAlignment="1">
      <alignment horizontal="centerContinuous" vertical="justify"/>
    </xf>
    <xf numFmtId="0" fontId="18" fillId="5" borderId="9" xfId="89" applyFont="1" applyFill="1" applyBorder="1" applyAlignment="1">
      <alignment horizontal="centerContinuous" vertical="justify"/>
    </xf>
    <xf numFmtId="171" fontId="13" fillId="4" borderId="10" xfId="89" applyNumberFormat="1" applyFont="1" applyFill="1" applyBorder="1" applyAlignment="1">
      <alignment horizontal="center" wrapText="1"/>
    </xf>
    <xf numFmtId="0" fontId="19" fillId="4" borderId="11" xfId="89" applyFont="1" applyFill="1" applyBorder="1" applyAlignment="1">
      <alignment horizontal="center" wrapText="1"/>
    </xf>
    <xf numFmtId="0" fontId="3" fillId="4" borderId="10" xfId="89" applyFont="1" applyFill="1" applyBorder="1" applyAlignment="1">
      <alignment wrapText="1"/>
    </xf>
    <xf numFmtId="0" fontId="0" fillId="4" borderId="0" xfId="0" applyFill="1" applyBorder="1"/>
    <xf numFmtId="172" fontId="20" fillId="4" borderId="11" xfId="1" applyNumberFormat="1" applyFont="1" applyFill="1" applyBorder="1"/>
    <xf numFmtId="0" fontId="0" fillId="4" borderId="10" xfId="0" applyFill="1" applyBorder="1"/>
    <xf numFmtId="0" fontId="0" fillId="4" borderId="11" xfId="0" applyFill="1" applyBorder="1"/>
    <xf numFmtId="0" fontId="0" fillId="4" borderId="13" xfId="0" applyFill="1" applyBorder="1"/>
    <xf numFmtId="0" fontId="18" fillId="5" borderId="15" xfId="89" applyFont="1" applyFill="1" applyBorder="1"/>
    <xf numFmtId="0" fontId="18" fillId="5" borderId="9" xfId="89" applyFont="1" applyFill="1" applyBorder="1"/>
    <xf numFmtId="0" fontId="0" fillId="4" borderId="14" xfId="0" applyFill="1" applyBorder="1"/>
    <xf numFmtId="172" fontId="3" fillId="6" borderId="11" xfId="1" applyNumberFormat="1" applyFont="1" applyFill="1" applyBorder="1"/>
    <xf numFmtId="43" fontId="0" fillId="8" borderId="11" xfId="1" applyFont="1" applyFill="1" applyBorder="1"/>
    <xf numFmtId="43" fontId="0" fillId="8" borderId="14" xfId="1" applyFont="1" applyFill="1" applyBorder="1"/>
    <xf numFmtId="43" fontId="0" fillId="4" borderId="0" xfId="1" applyFont="1" applyFill="1" applyBorder="1"/>
    <xf numFmtId="43" fontId="0" fillId="4" borderId="16" xfId="1" applyFont="1" applyFill="1" applyBorder="1"/>
    <xf numFmtId="164" fontId="2" fillId="0" borderId="0" xfId="0" applyNumberFormat="1" applyFont="1" applyBorder="1"/>
    <xf numFmtId="164" fontId="2" fillId="0" borderId="0" xfId="1" applyNumberFormat="1" applyFont="1" applyBorder="1"/>
    <xf numFmtId="43" fontId="0" fillId="0" borderId="0" xfId="0" applyNumberFormat="1"/>
    <xf numFmtId="0" fontId="0" fillId="0" borderId="0" xfId="0" applyNumberFormat="1" applyAlignment="1"/>
    <xf numFmtId="164" fontId="0" fillId="0" borderId="0" xfId="92" applyNumberFormat="1" applyFont="1" applyAlignment="1">
      <alignment horizontal="left"/>
    </xf>
    <xf numFmtId="43" fontId="2" fillId="0" borderId="0" xfId="0" applyNumberFormat="1" applyFont="1" applyBorder="1"/>
    <xf numFmtId="43" fontId="2" fillId="0" borderId="0" xfId="1" applyFont="1" applyBorder="1"/>
    <xf numFmtId="0" fontId="92" fillId="0" borderId="0" xfId="0" applyFont="1"/>
    <xf numFmtId="0" fontId="0" fillId="0" borderId="0" xfId="0" applyNumberFormat="1" applyAlignment="1">
      <alignment horizontal="left"/>
    </xf>
    <xf numFmtId="0" fontId="0" fillId="0" borderId="0" xfId="0" applyAlignment="1">
      <alignment horizontal="left" wrapText="1"/>
    </xf>
    <xf numFmtId="0" fontId="0" fillId="4" borderId="11" xfId="0" applyFill="1" applyBorder="1" applyAlignment="1">
      <alignment wrapText="1"/>
    </xf>
    <xf numFmtId="0" fontId="2" fillId="65" borderId="5" xfId="0" applyFont="1" applyFill="1" applyBorder="1" applyAlignment="1">
      <alignment horizontal="center"/>
    </xf>
    <xf numFmtId="0" fontId="2" fillId="65" borderId="1" xfId="0" applyFont="1" applyFill="1" applyBorder="1"/>
    <xf numFmtId="164" fontId="0" fillId="65" borderId="0" xfId="1" applyNumberFormat="1" applyFont="1" applyFill="1" applyBorder="1"/>
    <xf numFmtId="0" fontId="0" fillId="65" borderId="0" xfId="0" applyFill="1" applyBorder="1"/>
    <xf numFmtId="43" fontId="0" fillId="65" borderId="1" xfId="1" applyFont="1" applyFill="1" applyBorder="1"/>
    <xf numFmtId="0" fontId="0" fillId="0" borderId="0" xfId="0" applyAlignment="1">
      <alignment horizontal="left"/>
    </xf>
    <xf numFmtId="164" fontId="0" fillId="0" borderId="0" xfId="1" applyNumberFormat="1" applyFont="1" applyFill="1" applyBorder="1"/>
    <xf numFmtId="0" fontId="3" fillId="4" borderId="10" xfId="89" applyFont="1" applyFill="1" applyBorder="1" applyAlignment="1">
      <alignment vertical="center" wrapText="1"/>
    </xf>
    <xf numFmtId="164" fontId="19" fillId="9" borderId="12" xfId="1" applyNumberFormat="1" applyFont="1" applyFill="1" applyBorder="1" applyAlignment="1">
      <alignment horizontal="center" vertical="center" wrapText="1"/>
    </xf>
    <xf numFmtId="0" fontId="0" fillId="4" borderId="0" xfId="0" applyFill="1" applyAlignment="1">
      <alignment vertical="center"/>
    </xf>
    <xf numFmtId="172" fontId="20" fillId="6" borderId="11" xfId="1" applyNumberFormat="1" applyFont="1" applyFill="1" applyBorder="1" applyAlignment="1">
      <alignment vertical="center"/>
    </xf>
    <xf numFmtId="172" fontId="21" fillId="6" borderId="11" xfId="1" applyNumberFormat="1" applyFont="1" applyFill="1" applyBorder="1" applyAlignment="1">
      <alignment vertical="center"/>
    </xf>
    <xf numFmtId="0" fontId="2" fillId="0" borderId="0" xfId="0" applyFont="1" applyAlignment="1">
      <alignment horizontal="right"/>
    </xf>
    <xf numFmtId="0" fontId="0" fillId="0" borderId="0" xfId="0" applyFont="1"/>
    <xf numFmtId="0" fontId="0" fillId="0" borderId="1" xfId="0" applyFont="1" applyBorder="1"/>
    <xf numFmtId="43" fontId="1" fillId="0" borderId="0" xfId="1" applyFont="1" applyBorder="1"/>
    <xf numFmtId="43" fontId="1" fillId="0" borderId="0" xfId="1" applyFont="1"/>
    <xf numFmtId="0" fontId="0" fillId="0" borderId="0" xfId="0" applyFont="1" applyBorder="1"/>
    <xf numFmtId="164" fontId="1" fillId="0" borderId="0" xfId="1" applyNumberFormat="1" applyFont="1" applyBorder="1"/>
    <xf numFmtId="0" fontId="0" fillId="2" borderId="0" xfId="0" applyFont="1" applyFill="1"/>
    <xf numFmtId="39" fontId="22" fillId="0" borderId="0" xfId="35998" applyNumberFormat="1" applyAlignment="1">
      <alignment horizontal="right"/>
    </xf>
    <xf numFmtId="0" fontId="22" fillId="0" borderId="0" xfId="35999"/>
    <xf numFmtId="43" fontId="3" fillId="6" borderId="11" xfId="1" applyNumberFormat="1" applyFont="1" applyFill="1" applyBorder="1"/>
    <xf numFmtId="164" fontId="3" fillId="6" borderId="11" xfId="1" applyNumberFormat="1" applyFont="1" applyFill="1" applyBorder="1"/>
    <xf numFmtId="43" fontId="0" fillId="0" borderId="0" xfId="1" applyFont="1" applyFill="1"/>
    <xf numFmtId="43" fontId="2" fillId="0" borderId="0" xfId="1" applyFont="1" applyFill="1"/>
    <xf numFmtId="0" fontId="0" fillId="0" borderId="0" xfId="0" applyFill="1" applyAlignment="1">
      <alignment horizontal="left"/>
    </xf>
    <xf numFmtId="43" fontId="14" fillId="0" borderId="0" xfId="1" applyFont="1" applyFill="1"/>
    <xf numFmtId="43" fontId="94" fillId="0" borderId="0" xfId="1" applyFont="1" applyFill="1"/>
    <xf numFmtId="0" fontId="93" fillId="0" borderId="0" xfId="35999" applyFont="1" applyFill="1"/>
    <xf numFmtId="0" fontId="14" fillId="0" borderId="0" xfId="0" applyFont="1" applyFill="1"/>
    <xf numFmtId="43" fontId="0" fillId="0" borderId="0" xfId="0" applyNumberFormat="1" applyFill="1"/>
    <xf numFmtId="43" fontId="2" fillId="0" borderId="0" xfId="0" applyNumberFormat="1" applyFont="1" applyFill="1"/>
    <xf numFmtId="0" fontId="14" fillId="0" borderId="0" xfId="0" applyFont="1" applyFill="1" applyBorder="1"/>
    <xf numFmtId="164" fontId="97" fillId="0" borderId="0" xfId="1" applyNumberFormat="1" applyFont="1" applyFill="1" applyBorder="1" applyAlignment="1" applyProtection="1">
      <alignment horizontal="center" vertical="center"/>
    </xf>
    <xf numFmtId="0" fontId="22" fillId="0" borderId="0" xfId="35999" applyFill="1" applyBorder="1"/>
    <xf numFmtId="0" fontId="98" fillId="0" borderId="0" xfId="0" applyFont="1"/>
    <xf numFmtId="0" fontId="2" fillId="0" borderId="0" xfId="0" applyFont="1" applyFill="1"/>
    <xf numFmtId="0" fontId="93" fillId="0" borderId="6" xfId="90" applyFont="1" applyFill="1" applyBorder="1" applyAlignment="1">
      <alignment horizontal="center"/>
    </xf>
    <xf numFmtId="39" fontId="0" fillId="0" borderId="0" xfId="0" applyNumberFormat="1" applyFill="1"/>
    <xf numFmtId="0" fontId="94" fillId="0" borderId="0" xfId="0" applyFont="1" applyFill="1"/>
    <xf numFmtId="0" fontId="95" fillId="0" borderId="0" xfId="90" applyFont="1" applyFill="1" applyAlignment="1">
      <alignment horizontal="left"/>
    </xf>
    <xf numFmtId="0" fontId="96" fillId="0" borderId="0" xfId="0" applyFont="1" applyFill="1" applyAlignment="1">
      <alignment horizontal="center" vertical="center"/>
    </xf>
    <xf numFmtId="0" fontId="22" fillId="0" borderId="0" xfId="35999" applyFill="1"/>
    <xf numFmtId="0" fontId="0" fillId="0" borderId="0" xfId="0" applyFill="1" applyAlignment="1">
      <alignment horizontal="center" vertical="center"/>
    </xf>
    <xf numFmtId="43" fontId="96" fillId="0" borderId="0" xfId="1" applyFont="1" applyFill="1"/>
    <xf numFmtId="43" fontId="0" fillId="4" borderId="0" xfId="1" applyFont="1" applyFill="1"/>
    <xf numFmtId="171" fontId="13" fillId="4" borderId="10" xfId="89" applyNumberFormat="1" applyFont="1" applyFill="1" applyBorder="1" applyAlignment="1">
      <alignment horizontal="left" vertical="center" wrapText="1"/>
    </xf>
    <xf numFmtId="40" fontId="0" fillId="0" borderId="0" xfId="0" applyNumberFormat="1" applyAlignment="1">
      <alignment horizontal="right"/>
    </xf>
    <xf numFmtId="0" fontId="2" fillId="66" borderId="0" xfId="0" applyFont="1" applyFill="1"/>
    <xf numFmtId="0" fontId="0" fillId="0" borderId="6" xfId="0" applyBorder="1" applyAlignment="1">
      <alignment horizontal="center"/>
    </xf>
    <xf numFmtId="201" fontId="0" fillId="0" borderId="0" xfId="0" applyNumberFormat="1" applyAlignment="1">
      <alignment horizontal="right"/>
    </xf>
    <xf numFmtId="40" fontId="0" fillId="0" borderId="6" xfId="0" applyNumberFormat="1" applyBorder="1" applyAlignment="1">
      <alignment horizontal="right"/>
    </xf>
    <xf numFmtId="40" fontId="0" fillId="0" borderId="7" xfId="0" applyNumberFormat="1" applyBorder="1" applyAlignment="1">
      <alignment horizontal="right"/>
    </xf>
    <xf numFmtId="0" fontId="0" fillId="0" borderId="6" xfId="0" applyBorder="1" applyAlignment="1">
      <alignment horizontal="right"/>
    </xf>
    <xf numFmtId="201" fontId="0" fillId="0" borderId="6" xfId="0" applyNumberFormat="1" applyBorder="1" applyAlignment="1">
      <alignment horizontal="right"/>
    </xf>
    <xf numFmtId="0" fontId="23" fillId="0" borderId="0" xfId="0" applyFont="1"/>
    <xf numFmtId="164" fontId="23" fillId="0" borderId="0" xfId="1" applyNumberFormat="1" applyFont="1"/>
    <xf numFmtId="202" fontId="23" fillId="0" borderId="0" xfId="36025" applyNumberFormat="1" applyFont="1"/>
    <xf numFmtId="0" fontId="23" fillId="0" borderId="10" xfId="0" applyFont="1" applyBorder="1"/>
    <xf numFmtId="164" fontId="101" fillId="0" borderId="0" xfId="36028" applyNumberFormat="1" applyFont="1" applyBorder="1" applyAlignment="1">
      <alignment horizontal="left" wrapText="1"/>
    </xf>
    <xf numFmtId="164" fontId="23" fillId="0" borderId="0" xfId="1" applyNumberFormat="1" applyFont="1" applyBorder="1"/>
    <xf numFmtId="164" fontId="23" fillId="0" borderId="11" xfId="1" applyNumberFormat="1" applyFont="1" applyBorder="1"/>
    <xf numFmtId="164" fontId="102" fillId="0" borderId="0" xfId="36028" applyNumberFormat="1" applyFont="1" applyBorder="1" applyAlignment="1">
      <alignment horizontal="left" wrapText="1"/>
    </xf>
    <xf numFmtId="164" fontId="101" fillId="0" borderId="0" xfId="36028" applyNumberFormat="1" applyFont="1" applyBorder="1"/>
    <xf numFmtId="164" fontId="102" fillId="0" borderId="0" xfId="36028" applyNumberFormat="1" applyFont="1" applyBorder="1"/>
    <xf numFmtId="0" fontId="23" fillId="0" borderId="0" xfId="0" applyFont="1" applyBorder="1"/>
    <xf numFmtId="202" fontId="23" fillId="0" borderId="0" xfId="36025" applyNumberFormat="1" applyFont="1" applyBorder="1"/>
    <xf numFmtId="0" fontId="23" fillId="0" borderId="13" xfId="0" applyFont="1" applyBorder="1"/>
    <xf numFmtId="0" fontId="23" fillId="0" borderId="16" xfId="0" applyFont="1" applyBorder="1"/>
    <xf numFmtId="164" fontId="23" fillId="0" borderId="16" xfId="1" applyNumberFormat="1" applyFont="1" applyBorder="1"/>
    <xf numFmtId="164" fontId="23" fillId="0" borderId="14" xfId="1" applyNumberFormat="1" applyFont="1" applyBorder="1"/>
    <xf numFmtId="0" fontId="103" fillId="70" borderId="8" xfId="0" applyFont="1" applyFill="1" applyBorder="1"/>
    <xf numFmtId="0" fontId="103" fillId="70" borderId="15" xfId="0" applyFont="1" applyFill="1" applyBorder="1"/>
    <xf numFmtId="202" fontId="103" fillId="70" borderId="38" xfId="36025" applyNumberFormat="1" applyFont="1" applyFill="1" applyBorder="1"/>
    <xf numFmtId="202" fontId="101" fillId="68" borderId="4" xfId="36025" applyNumberFormat="1" applyFont="1" applyFill="1" applyBorder="1"/>
    <xf numFmtId="202" fontId="101" fillId="68" borderId="4" xfId="36025" applyNumberFormat="1" applyFont="1" applyFill="1" applyBorder="1" applyAlignment="1">
      <alignment horizontal="left" wrapText="1"/>
    </xf>
    <xf numFmtId="202" fontId="23" fillId="0" borderId="4" xfId="36025" applyNumberFormat="1" applyFont="1" applyBorder="1"/>
    <xf numFmtId="202" fontId="101" fillId="68" borderId="3" xfId="36025" applyNumberFormat="1" applyFont="1" applyFill="1" applyBorder="1" applyAlignment="1">
      <alignment horizontal="left" wrapText="1"/>
    </xf>
    <xf numFmtId="0" fontId="103" fillId="0" borderId="0" xfId="0" applyFont="1"/>
    <xf numFmtId="0" fontId="104" fillId="67" borderId="10" xfId="0" applyFont="1" applyFill="1" applyBorder="1"/>
    <xf numFmtId="0" fontId="103" fillId="67" borderId="0" xfId="0" applyFont="1" applyFill="1" applyBorder="1"/>
    <xf numFmtId="202" fontId="104" fillId="67" borderId="4" xfId="36025" applyNumberFormat="1" applyFont="1" applyFill="1" applyBorder="1"/>
    <xf numFmtId="164" fontId="103" fillId="67" borderId="0" xfId="1" applyNumberFormat="1" applyFont="1" applyFill="1" applyBorder="1"/>
    <xf numFmtId="164" fontId="103" fillId="67" borderId="11" xfId="1" applyNumberFormat="1" applyFont="1" applyFill="1" applyBorder="1"/>
    <xf numFmtId="164" fontId="103" fillId="0" borderId="0" xfId="1" applyNumberFormat="1" applyFont="1"/>
    <xf numFmtId="0" fontId="104" fillId="69" borderId="10" xfId="0" applyFont="1" applyFill="1" applyBorder="1"/>
    <xf numFmtId="0" fontId="103" fillId="69" borderId="0" xfId="0" applyFont="1" applyFill="1" applyBorder="1"/>
    <xf numFmtId="202" fontId="104" fillId="69" borderId="4" xfId="36025" applyNumberFormat="1" applyFont="1" applyFill="1" applyBorder="1"/>
    <xf numFmtId="164" fontId="103" fillId="69" borderId="0" xfId="1" applyNumberFormat="1" applyFont="1" applyFill="1" applyBorder="1"/>
    <xf numFmtId="164" fontId="103" fillId="69" borderId="11" xfId="1" applyNumberFormat="1" applyFont="1" applyFill="1" applyBorder="1"/>
    <xf numFmtId="0" fontId="104" fillId="69" borderId="37" xfId="0" applyFont="1" applyFill="1" applyBorder="1"/>
    <xf numFmtId="0" fontId="103" fillId="69" borderId="38" xfId="0" applyFont="1" applyFill="1" applyBorder="1"/>
    <xf numFmtId="202" fontId="104" fillId="69" borderId="2" xfId="36025" applyNumberFormat="1" applyFont="1" applyFill="1" applyBorder="1"/>
    <xf numFmtId="164" fontId="103" fillId="69" borderId="38" xfId="1" applyNumberFormat="1" applyFont="1" applyFill="1" applyBorder="1"/>
    <xf numFmtId="164" fontId="103" fillId="69" borderId="39" xfId="1" applyNumberFormat="1" applyFont="1" applyFill="1" applyBorder="1"/>
    <xf numFmtId="0" fontId="88" fillId="0" borderId="0" xfId="0" applyFont="1" applyBorder="1"/>
    <xf numFmtId="0" fontId="88" fillId="67" borderId="36" xfId="0" applyFont="1" applyFill="1" applyBorder="1"/>
    <xf numFmtId="202" fontId="101" fillId="67" borderId="36" xfId="36025" applyNumberFormat="1" applyFont="1" applyFill="1" applyBorder="1" applyAlignment="1">
      <alignment horizontal="left" wrapText="1"/>
    </xf>
    <xf numFmtId="164" fontId="23" fillId="67" borderId="36" xfId="1" applyNumberFormat="1" applyFont="1" applyFill="1" applyBorder="1"/>
    <xf numFmtId="164" fontId="23" fillId="67" borderId="40" xfId="1" applyNumberFormat="1" applyFont="1" applyFill="1" applyBorder="1"/>
    <xf numFmtId="0" fontId="88" fillId="66" borderId="36" xfId="0" applyFont="1" applyFill="1" applyBorder="1"/>
    <xf numFmtId="202" fontId="101" fillId="66" borderId="36" xfId="36025" applyNumberFormat="1" applyFont="1" applyFill="1" applyBorder="1" applyAlignment="1">
      <alignment horizontal="left" wrapText="1"/>
    </xf>
    <xf numFmtId="164" fontId="23" fillId="66" borderId="36" xfId="1" applyNumberFormat="1" applyFont="1" applyFill="1" applyBorder="1"/>
    <xf numFmtId="164" fontId="23" fillId="66" borderId="40" xfId="1" applyNumberFormat="1" applyFont="1" applyFill="1" applyBorder="1"/>
    <xf numFmtId="0" fontId="104" fillId="67" borderId="37" xfId="0" applyFont="1" applyFill="1" applyBorder="1"/>
    <xf numFmtId="0" fontId="88" fillId="0" borderId="0" xfId="0" applyFont="1" applyBorder="1" applyAlignment="1">
      <alignment horizontal="right" vertical="center"/>
    </xf>
    <xf numFmtId="0" fontId="88" fillId="0" borderId="0" xfId="0" applyFont="1" applyBorder="1" applyAlignment="1">
      <alignment wrapText="1"/>
    </xf>
    <xf numFmtId="0" fontId="88" fillId="0" borderId="11" xfId="0" applyFont="1" applyBorder="1" applyAlignment="1">
      <alignment wrapText="1"/>
    </xf>
    <xf numFmtId="0" fontId="88" fillId="71" borderId="27" xfId="0" applyFont="1" applyFill="1" applyBorder="1" applyAlignment="1">
      <alignment wrapText="1"/>
    </xf>
    <xf numFmtId="0" fontId="23" fillId="68" borderId="27" xfId="0" applyFont="1" applyFill="1" applyBorder="1"/>
    <xf numFmtId="172" fontId="20" fillId="7" borderId="12" xfId="1" applyNumberFormat="1" applyFont="1" applyFill="1" applyBorder="1" applyAlignment="1">
      <alignment vertical="center"/>
    </xf>
    <xf numFmtId="202" fontId="0" fillId="0" borderId="0" xfId="36025" applyNumberFormat="1" applyFont="1"/>
    <xf numFmtId="202" fontId="0" fillId="4" borderId="0" xfId="36025" applyNumberFormat="1" applyFont="1" applyFill="1"/>
    <xf numFmtId="164" fontId="2" fillId="0" borderId="0" xfId="1" applyNumberFormat="1" applyFont="1"/>
    <xf numFmtId="164" fontId="2" fillId="0" borderId="1" xfId="1" applyNumberFormat="1" applyFont="1" applyBorder="1"/>
    <xf numFmtId="164" fontId="0" fillId="2" borderId="0" xfId="1" applyNumberFormat="1" applyFont="1" applyFill="1"/>
    <xf numFmtId="164" fontId="6" fillId="4" borderId="0" xfId="1" applyNumberFormat="1" applyFont="1" applyFill="1"/>
    <xf numFmtId="164" fontId="1" fillId="4" borderId="0" xfId="1" applyNumberFormat="1" applyFont="1" applyFill="1"/>
    <xf numFmtId="164" fontId="106" fillId="5" borderId="8" xfId="1" applyNumberFormat="1" applyFont="1" applyFill="1" applyBorder="1"/>
    <xf numFmtId="164" fontId="1" fillId="4" borderId="10" xfId="1" applyNumberFormat="1" applyFont="1" applyFill="1" applyBorder="1"/>
    <xf numFmtId="164" fontId="1" fillId="4" borderId="10" xfId="1" applyNumberFormat="1" applyFont="1" applyFill="1" applyBorder="1" applyAlignment="1">
      <alignment vertical="center"/>
    </xf>
    <xf numFmtId="164" fontId="1" fillId="4" borderId="13" xfId="1" applyNumberFormat="1" applyFont="1" applyFill="1" applyBorder="1"/>
    <xf numFmtId="0" fontId="0" fillId="0" borderId="0" xfId="0" applyAlignment="1"/>
    <xf numFmtId="0" fontId="0" fillId="0" borderId="7" xfId="0" applyBorder="1" applyAlignment="1">
      <alignment horizontal="right"/>
    </xf>
    <xf numFmtId="44" fontId="0" fillId="0" borderId="27" xfId="36025" applyFont="1" applyBorder="1"/>
    <xf numFmtId="0" fontId="16" fillId="4" borderId="0" xfId="89" applyFont="1" applyFill="1"/>
    <xf numFmtId="0" fontId="0" fillId="0" borderId="43" xfId="0" applyBorder="1"/>
    <xf numFmtId="0" fontId="0" fillId="0" borderId="44" xfId="0" applyBorder="1"/>
    <xf numFmtId="0" fontId="0" fillId="0" borderId="45" xfId="0" applyBorder="1"/>
    <xf numFmtId="0" fontId="0" fillId="0" borderId="46" xfId="0" applyBorder="1"/>
    <xf numFmtId="0" fontId="2" fillId="0" borderId="46" xfId="0" applyFont="1" applyBorder="1"/>
    <xf numFmtId="0" fontId="0" fillId="0" borderId="47" xfId="0" applyBorder="1"/>
    <xf numFmtId="0" fontId="0" fillId="0" borderId="48" xfId="0" applyBorder="1"/>
    <xf numFmtId="0" fontId="0" fillId="0" borderId="49" xfId="0" applyBorder="1"/>
    <xf numFmtId="0" fontId="107" fillId="72" borderId="0" xfId="0" applyFont="1" applyFill="1"/>
    <xf numFmtId="44" fontId="0" fillId="0" borderId="12" xfId="36025" applyFont="1" applyBorder="1"/>
    <xf numFmtId="44" fontId="0" fillId="73" borderId="27" xfId="36025" applyFont="1" applyFill="1" applyBorder="1"/>
    <xf numFmtId="44" fontId="0" fillId="73" borderId="12" xfId="36025" applyFont="1" applyFill="1" applyBorder="1"/>
    <xf numFmtId="0" fontId="0" fillId="0" borderId="50" xfId="0" applyBorder="1"/>
    <xf numFmtId="44" fontId="0" fillId="0" borderId="3" xfId="36025" applyFont="1" applyBorder="1"/>
    <xf numFmtId="44" fontId="0" fillId="0" borderId="51" xfId="36025" applyFont="1" applyBorder="1"/>
    <xf numFmtId="44" fontId="0" fillId="0" borderId="48" xfId="36025" applyFont="1" applyBorder="1"/>
    <xf numFmtId="44" fontId="0" fillId="0" borderId="49" xfId="36025" applyFont="1" applyBorder="1"/>
    <xf numFmtId="44" fontId="0" fillId="0" borderId="44" xfId="36025" applyFont="1" applyBorder="1"/>
    <xf numFmtId="44" fontId="0" fillId="0" borderId="45" xfId="36025" applyFont="1" applyBorder="1"/>
    <xf numFmtId="0" fontId="2" fillId="73" borderId="46" xfId="0" applyFont="1" applyFill="1" applyBorder="1"/>
    <xf numFmtId="0" fontId="0" fillId="0" borderId="52" xfId="0" applyBorder="1"/>
    <xf numFmtId="44" fontId="0" fillId="0" borderId="2" xfId="36025" applyFont="1" applyBorder="1"/>
    <xf numFmtId="44" fontId="0" fillId="0" borderId="53" xfId="36025" applyFont="1" applyBorder="1"/>
    <xf numFmtId="0" fontId="2" fillId="0" borderId="52" xfId="0" applyFont="1" applyBorder="1"/>
    <xf numFmtId="0" fontId="94" fillId="4" borderId="11" xfId="0" applyFont="1" applyFill="1" applyBorder="1" applyAlignment="1">
      <alignment wrapText="1"/>
    </xf>
    <xf numFmtId="43" fontId="0" fillId="66" borderId="0" xfId="1" applyFont="1" applyFill="1"/>
    <xf numFmtId="0" fontId="0" fillId="66" borderId="0" xfId="0" applyFill="1" applyAlignment="1">
      <alignment horizontal="left"/>
    </xf>
    <xf numFmtId="0" fontId="14" fillId="4" borderId="11" xfId="0" applyFont="1" applyFill="1" applyBorder="1" applyAlignment="1">
      <alignment wrapText="1"/>
    </xf>
    <xf numFmtId="164" fontId="0" fillId="4" borderId="0" xfId="0" applyNumberFormat="1" applyFill="1"/>
    <xf numFmtId="0" fontId="104" fillId="70" borderId="15" xfId="0" applyFont="1" applyFill="1" applyBorder="1" applyAlignment="1">
      <alignment horizontal="center"/>
    </xf>
    <xf numFmtId="0" fontId="104" fillId="70" borderId="9" xfId="0" applyFont="1" applyFill="1" applyBorder="1" applyAlignment="1">
      <alignment horizontal="center"/>
    </xf>
    <xf numFmtId="0" fontId="105" fillId="71" borderId="27" xfId="0" applyFont="1" applyFill="1" applyBorder="1" applyAlignment="1">
      <alignment horizontal="center" vertical="center"/>
    </xf>
    <xf numFmtId="0" fontId="0" fillId="70" borderId="41" xfId="0" applyFill="1" applyBorder="1" applyAlignment="1">
      <alignment horizontal="center" vertical="center" wrapText="1"/>
    </xf>
    <xf numFmtId="0" fontId="0" fillId="70" borderId="42" xfId="0" applyFill="1" applyBorder="1" applyAlignment="1">
      <alignment horizontal="center" vertical="center"/>
    </xf>
    <xf numFmtId="0" fontId="0" fillId="70" borderId="41" xfId="0" applyFill="1" applyBorder="1" applyAlignment="1">
      <alignment horizontal="center" vertical="center"/>
    </xf>
  </cellXfs>
  <cellStyles count="36050">
    <cellStyle name="****************************************** 2" xfId="93" xr:uid="{00000000-0005-0000-0000-000000000000}"/>
    <cellStyle name="20% - Accent1 10" xfId="94" xr:uid="{00000000-0005-0000-0000-000001000000}"/>
    <cellStyle name="20% - Accent1 10 2" xfId="95" xr:uid="{00000000-0005-0000-0000-000002000000}"/>
    <cellStyle name="20% - Accent1 10 2 2" xfId="96" xr:uid="{00000000-0005-0000-0000-000003000000}"/>
    <cellStyle name="20% - Accent1 10 2 2 2" xfId="97" xr:uid="{00000000-0005-0000-0000-000004000000}"/>
    <cellStyle name="20% - Accent1 10 2 2 2 2" xfId="98" xr:uid="{00000000-0005-0000-0000-000005000000}"/>
    <cellStyle name="20% - Accent1 10 2 2 2 2 2" xfId="99" xr:uid="{00000000-0005-0000-0000-000006000000}"/>
    <cellStyle name="20% - Accent1 10 2 2 2 2 3" xfId="100" xr:uid="{00000000-0005-0000-0000-000007000000}"/>
    <cellStyle name="20% - Accent1 10 2 2 2 3" xfId="101" xr:uid="{00000000-0005-0000-0000-000008000000}"/>
    <cellStyle name="20% - Accent1 10 2 2 2 4" xfId="102" xr:uid="{00000000-0005-0000-0000-000009000000}"/>
    <cellStyle name="20% - Accent1 10 2 2 3" xfId="103" xr:uid="{00000000-0005-0000-0000-00000A000000}"/>
    <cellStyle name="20% - Accent1 10 2 2 3 2" xfId="104" xr:uid="{00000000-0005-0000-0000-00000B000000}"/>
    <cellStyle name="20% - Accent1 10 2 2 3 3" xfId="105" xr:uid="{00000000-0005-0000-0000-00000C000000}"/>
    <cellStyle name="20% - Accent1 10 2 2 4" xfId="106" xr:uid="{00000000-0005-0000-0000-00000D000000}"/>
    <cellStyle name="20% - Accent1 10 2 2 5" xfId="107" xr:uid="{00000000-0005-0000-0000-00000E000000}"/>
    <cellStyle name="20% - Accent1 10 2 2 6" xfId="108" xr:uid="{00000000-0005-0000-0000-00000F000000}"/>
    <cellStyle name="20% - Accent1 10 2 3" xfId="109" xr:uid="{00000000-0005-0000-0000-000010000000}"/>
    <cellStyle name="20% - Accent1 10 2 3 2" xfId="110" xr:uid="{00000000-0005-0000-0000-000011000000}"/>
    <cellStyle name="20% - Accent1 10 2 3 2 2" xfId="111" xr:uid="{00000000-0005-0000-0000-000012000000}"/>
    <cellStyle name="20% - Accent1 10 2 3 2 3" xfId="112" xr:uid="{00000000-0005-0000-0000-000013000000}"/>
    <cellStyle name="20% - Accent1 10 2 3 3" xfId="113" xr:uid="{00000000-0005-0000-0000-000014000000}"/>
    <cellStyle name="20% - Accent1 10 2 3 4" xfId="114" xr:uid="{00000000-0005-0000-0000-000015000000}"/>
    <cellStyle name="20% - Accent1 10 2 4" xfId="115" xr:uid="{00000000-0005-0000-0000-000016000000}"/>
    <cellStyle name="20% - Accent1 10 2 4 2" xfId="116" xr:uid="{00000000-0005-0000-0000-000017000000}"/>
    <cellStyle name="20% - Accent1 10 2 4 3" xfId="117" xr:uid="{00000000-0005-0000-0000-000018000000}"/>
    <cellStyle name="20% - Accent1 10 2 5" xfId="118" xr:uid="{00000000-0005-0000-0000-000019000000}"/>
    <cellStyle name="20% - Accent1 10 2 6" xfId="119" xr:uid="{00000000-0005-0000-0000-00001A000000}"/>
    <cellStyle name="20% - Accent1 10 2 7" xfId="120" xr:uid="{00000000-0005-0000-0000-00001B000000}"/>
    <cellStyle name="20% - Accent1 10 3" xfId="121" xr:uid="{00000000-0005-0000-0000-00001C000000}"/>
    <cellStyle name="20% - Accent1 10 3 2" xfId="122" xr:uid="{00000000-0005-0000-0000-00001D000000}"/>
    <cellStyle name="20% - Accent1 10 3 2 2" xfId="123" xr:uid="{00000000-0005-0000-0000-00001E000000}"/>
    <cellStyle name="20% - Accent1 10 3 2 2 2" xfId="124" xr:uid="{00000000-0005-0000-0000-00001F000000}"/>
    <cellStyle name="20% - Accent1 10 3 2 2 3" xfId="125" xr:uid="{00000000-0005-0000-0000-000020000000}"/>
    <cellStyle name="20% - Accent1 10 3 2 3" xfId="126" xr:uid="{00000000-0005-0000-0000-000021000000}"/>
    <cellStyle name="20% - Accent1 10 3 2 4" xfId="127" xr:uid="{00000000-0005-0000-0000-000022000000}"/>
    <cellStyle name="20% - Accent1 10 3 3" xfId="128" xr:uid="{00000000-0005-0000-0000-000023000000}"/>
    <cellStyle name="20% - Accent1 10 3 3 2" xfId="129" xr:uid="{00000000-0005-0000-0000-000024000000}"/>
    <cellStyle name="20% - Accent1 10 3 3 3" xfId="130" xr:uid="{00000000-0005-0000-0000-000025000000}"/>
    <cellStyle name="20% - Accent1 10 3 4" xfId="131" xr:uid="{00000000-0005-0000-0000-000026000000}"/>
    <cellStyle name="20% - Accent1 10 3 5" xfId="132" xr:uid="{00000000-0005-0000-0000-000027000000}"/>
    <cellStyle name="20% - Accent1 10 3 6" xfId="133" xr:uid="{00000000-0005-0000-0000-000028000000}"/>
    <cellStyle name="20% - Accent1 10 4" xfId="134" xr:uid="{00000000-0005-0000-0000-000029000000}"/>
    <cellStyle name="20% - Accent1 10 4 2" xfId="135" xr:uid="{00000000-0005-0000-0000-00002A000000}"/>
    <cellStyle name="20% - Accent1 10 4 2 2" xfId="136" xr:uid="{00000000-0005-0000-0000-00002B000000}"/>
    <cellStyle name="20% - Accent1 10 4 2 3" xfId="137" xr:uid="{00000000-0005-0000-0000-00002C000000}"/>
    <cellStyle name="20% - Accent1 10 4 3" xfId="138" xr:uid="{00000000-0005-0000-0000-00002D000000}"/>
    <cellStyle name="20% - Accent1 10 4 4" xfId="139" xr:uid="{00000000-0005-0000-0000-00002E000000}"/>
    <cellStyle name="20% - Accent1 10 5" xfId="140" xr:uid="{00000000-0005-0000-0000-00002F000000}"/>
    <cellStyle name="20% - Accent1 10 5 2" xfId="141" xr:uid="{00000000-0005-0000-0000-000030000000}"/>
    <cellStyle name="20% - Accent1 10 5 3" xfId="142" xr:uid="{00000000-0005-0000-0000-000031000000}"/>
    <cellStyle name="20% - Accent1 10 6" xfId="143" xr:uid="{00000000-0005-0000-0000-000032000000}"/>
    <cellStyle name="20% - Accent1 10 7" xfId="144" xr:uid="{00000000-0005-0000-0000-000033000000}"/>
    <cellStyle name="20% - Accent1 10 8" xfId="145" xr:uid="{00000000-0005-0000-0000-000034000000}"/>
    <cellStyle name="20% - Accent1 11" xfId="146" xr:uid="{00000000-0005-0000-0000-000035000000}"/>
    <cellStyle name="20% - Accent1 11 2" xfId="147" xr:uid="{00000000-0005-0000-0000-000036000000}"/>
    <cellStyle name="20% - Accent1 11 2 2" xfId="148" xr:uid="{00000000-0005-0000-0000-000037000000}"/>
    <cellStyle name="20% - Accent1 11 2 2 2" xfId="149" xr:uid="{00000000-0005-0000-0000-000038000000}"/>
    <cellStyle name="20% - Accent1 11 2 2 2 2" xfId="150" xr:uid="{00000000-0005-0000-0000-000039000000}"/>
    <cellStyle name="20% - Accent1 11 2 2 2 3" xfId="151" xr:uid="{00000000-0005-0000-0000-00003A000000}"/>
    <cellStyle name="20% - Accent1 11 2 2 3" xfId="152" xr:uid="{00000000-0005-0000-0000-00003B000000}"/>
    <cellStyle name="20% - Accent1 11 2 2 4" xfId="153" xr:uid="{00000000-0005-0000-0000-00003C000000}"/>
    <cellStyle name="20% - Accent1 11 2 3" xfId="154" xr:uid="{00000000-0005-0000-0000-00003D000000}"/>
    <cellStyle name="20% - Accent1 11 2 3 2" xfId="155" xr:uid="{00000000-0005-0000-0000-00003E000000}"/>
    <cellStyle name="20% - Accent1 11 2 3 3" xfId="156" xr:uid="{00000000-0005-0000-0000-00003F000000}"/>
    <cellStyle name="20% - Accent1 11 2 4" xfId="157" xr:uid="{00000000-0005-0000-0000-000040000000}"/>
    <cellStyle name="20% - Accent1 11 2 5" xfId="158" xr:uid="{00000000-0005-0000-0000-000041000000}"/>
    <cellStyle name="20% - Accent1 11 2 6" xfId="159" xr:uid="{00000000-0005-0000-0000-000042000000}"/>
    <cellStyle name="20% - Accent1 11 3" xfId="160" xr:uid="{00000000-0005-0000-0000-000043000000}"/>
    <cellStyle name="20% - Accent1 11 3 2" xfId="161" xr:uid="{00000000-0005-0000-0000-000044000000}"/>
    <cellStyle name="20% - Accent1 11 3 2 2" xfId="162" xr:uid="{00000000-0005-0000-0000-000045000000}"/>
    <cellStyle name="20% - Accent1 11 3 2 3" xfId="163" xr:uid="{00000000-0005-0000-0000-000046000000}"/>
    <cellStyle name="20% - Accent1 11 3 3" xfId="164" xr:uid="{00000000-0005-0000-0000-000047000000}"/>
    <cellStyle name="20% - Accent1 11 3 4" xfId="165" xr:uid="{00000000-0005-0000-0000-000048000000}"/>
    <cellStyle name="20% - Accent1 11 4" xfId="166" xr:uid="{00000000-0005-0000-0000-000049000000}"/>
    <cellStyle name="20% - Accent1 11 4 2" xfId="167" xr:uid="{00000000-0005-0000-0000-00004A000000}"/>
    <cellStyle name="20% - Accent1 11 4 3" xfId="168" xr:uid="{00000000-0005-0000-0000-00004B000000}"/>
    <cellStyle name="20% - Accent1 11 5" xfId="169" xr:uid="{00000000-0005-0000-0000-00004C000000}"/>
    <cellStyle name="20% - Accent1 11 6" xfId="170" xr:uid="{00000000-0005-0000-0000-00004D000000}"/>
    <cellStyle name="20% - Accent1 11 7" xfId="171" xr:uid="{00000000-0005-0000-0000-00004E000000}"/>
    <cellStyle name="20% - Accent1 12" xfId="172" xr:uid="{00000000-0005-0000-0000-00004F000000}"/>
    <cellStyle name="20% - Accent1 12 2" xfId="173" xr:uid="{00000000-0005-0000-0000-000050000000}"/>
    <cellStyle name="20% - Accent1 12 2 2" xfId="174" xr:uid="{00000000-0005-0000-0000-000051000000}"/>
    <cellStyle name="20% - Accent1 12 2 2 2" xfId="175" xr:uid="{00000000-0005-0000-0000-000052000000}"/>
    <cellStyle name="20% - Accent1 12 2 2 3" xfId="176" xr:uid="{00000000-0005-0000-0000-000053000000}"/>
    <cellStyle name="20% - Accent1 12 2 3" xfId="177" xr:uid="{00000000-0005-0000-0000-000054000000}"/>
    <cellStyle name="20% - Accent1 12 2 4" xfId="178" xr:uid="{00000000-0005-0000-0000-000055000000}"/>
    <cellStyle name="20% - Accent1 12 3" xfId="179" xr:uid="{00000000-0005-0000-0000-000056000000}"/>
    <cellStyle name="20% - Accent1 12 3 2" xfId="180" xr:uid="{00000000-0005-0000-0000-000057000000}"/>
    <cellStyle name="20% - Accent1 12 3 3" xfId="181" xr:uid="{00000000-0005-0000-0000-000058000000}"/>
    <cellStyle name="20% - Accent1 12 4" xfId="182" xr:uid="{00000000-0005-0000-0000-000059000000}"/>
    <cellStyle name="20% - Accent1 12 5" xfId="183" xr:uid="{00000000-0005-0000-0000-00005A000000}"/>
    <cellStyle name="20% - Accent1 12 6" xfId="184" xr:uid="{00000000-0005-0000-0000-00005B000000}"/>
    <cellStyle name="20% - Accent1 13" xfId="185" xr:uid="{00000000-0005-0000-0000-00005C000000}"/>
    <cellStyle name="20% - Accent1 13 2" xfId="186" xr:uid="{00000000-0005-0000-0000-00005D000000}"/>
    <cellStyle name="20% - Accent1 13 2 2" xfId="187" xr:uid="{00000000-0005-0000-0000-00005E000000}"/>
    <cellStyle name="20% - Accent1 13 2 2 2" xfId="188" xr:uid="{00000000-0005-0000-0000-00005F000000}"/>
    <cellStyle name="20% - Accent1 13 2 2 3" xfId="189" xr:uid="{00000000-0005-0000-0000-000060000000}"/>
    <cellStyle name="20% - Accent1 13 2 3" xfId="190" xr:uid="{00000000-0005-0000-0000-000061000000}"/>
    <cellStyle name="20% - Accent1 13 2 4" xfId="191" xr:uid="{00000000-0005-0000-0000-000062000000}"/>
    <cellStyle name="20% - Accent1 13 3" xfId="192" xr:uid="{00000000-0005-0000-0000-000063000000}"/>
    <cellStyle name="20% - Accent1 13 3 2" xfId="193" xr:uid="{00000000-0005-0000-0000-000064000000}"/>
    <cellStyle name="20% - Accent1 13 3 3" xfId="194" xr:uid="{00000000-0005-0000-0000-000065000000}"/>
    <cellStyle name="20% - Accent1 13 4" xfId="195" xr:uid="{00000000-0005-0000-0000-000066000000}"/>
    <cellStyle name="20% - Accent1 13 5" xfId="196" xr:uid="{00000000-0005-0000-0000-000067000000}"/>
    <cellStyle name="20% - Accent1 13 6" xfId="197" xr:uid="{00000000-0005-0000-0000-000068000000}"/>
    <cellStyle name="20% - Accent1 14" xfId="198" xr:uid="{00000000-0005-0000-0000-000069000000}"/>
    <cellStyle name="20% - Accent1 14 2" xfId="199" xr:uid="{00000000-0005-0000-0000-00006A000000}"/>
    <cellStyle name="20% - Accent1 14 2 2" xfId="200" xr:uid="{00000000-0005-0000-0000-00006B000000}"/>
    <cellStyle name="20% - Accent1 14 2 3" xfId="201" xr:uid="{00000000-0005-0000-0000-00006C000000}"/>
    <cellStyle name="20% - Accent1 14 3" xfId="202" xr:uid="{00000000-0005-0000-0000-00006D000000}"/>
    <cellStyle name="20% - Accent1 14 4" xfId="203" xr:uid="{00000000-0005-0000-0000-00006E000000}"/>
    <cellStyle name="20% - Accent1 15" xfId="204" xr:uid="{00000000-0005-0000-0000-00006F000000}"/>
    <cellStyle name="20% - Accent1 16" xfId="205" xr:uid="{00000000-0005-0000-0000-000070000000}"/>
    <cellStyle name="20% - Accent1 17" xfId="206" xr:uid="{00000000-0005-0000-0000-000071000000}"/>
    <cellStyle name="20% - Accent1 2" xfId="207" xr:uid="{00000000-0005-0000-0000-000072000000}"/>
    <cellStyle name="20% - Accent1 2 2" xfId="208" xr:uid="{00000000-0005-0000-0000-000073000000}"/>
    <cellStyle name="20% - Accent1 2 3" xfId="209" xr:uid="{00000000-0005-0000-0000-000074000000}"/>
    <cellStyle name="20% - Accent1 3" xfId="210" xr:uid="{00000000-0005-0000-0000-000075000000}"/>
    <cellStyle name="20% - Accent1 3 10" xfId="211" xr:uid="{00000000-0005-0000-0000-000076000000}"/>
    <cellStyle name="20% - Accent1 3 10 2" xfId="212" xr:uid="{00000000-0005-0000-0000-000077000000}"/>
    <cellStyle name="20% - Accent1 3 10 2 2" xfId="213" xr:uid="{00000000-0005-0000-0000-000078000000}"/>
    <cellStyle name="20% - Accent1 3 10 2 2 2" xfId="214" xr:uid="{00000000-0005-0000-0000-000079000000}"/>
    <cellStyle name="20% - Accent1 3 10 2 2 3" xfId="215" xr:uid="{00000000-0005-0000-0000-00007A000000}"/>
    <cellStyle name="20% - Accent1 3 10 2 3" xfId="216" xr:uid="{00000000-0005-0000-0000-00007B000000}"/>
    <cellStyle name="20% - Accent1 3 10 2 4" xfId="217" xr:uid="{00000000-0005-0000-0000-00007C000000}"/>
    <cellStyle name="20% - Accent1 3 10 3" xfId="218" xr:uid="{00000000-0005-0000-0000-00007D000000}"/>
    <cellStyle name="20% - Accent1 3 10 3 2" xfId="219" xr:uid="{00000000-0005-0000-0000-00007E000000}"/>
    <cellStyle name="20% - Accent1 3 10 3 3" xfId="220" xr:uid="{00000000-0005-0000-0000-00007F000000}"/>
    <cellStyle name="20% - Accent1 3 10 4" xfId="221" xr:uid="{00000000-0005-0000-0000-000080000000}"/>
    <cellStyle name="20% - Accent1 3 10 5" xfId="222" xr:uid="{00000000-0005-0000-0000-000081000000}"/>
    <cellStyle name="20% - Accent1 3 10 6" xfId="223" xr:uid="{00000000-0005-0000-0000-000082000000}"/>
    <cellStyle name="20% - Accent1 3 11" xfId="224" xr:uid="{00000000-0005-0000-0000-000083000000}"/>
    <cellStyle name="20% - Accent1 3 11 2" xfId="225" xr:uid="{00000000-0005-0000-0000-000084000000}"/>
    <cellStyle name="20% - Accent1 3 11 2 2" xfId="226" xr:uid="{00000000-0005-0000-0000-000085000000}"/>
    <cellStyle name="20% - Accent1 3 11 2 3" xfId="227" xr:uid="{00000000-0005-0000-0000-000086000000}"/>
    <cellStyle name="20% - Accent1 3 11 3" xfId="228" xr:uid="{00000000-0005-0000-0000-000087000000}"/>
    <cellStyle name="20% - Accent1 3 11 4" xfId="229" xr:uid="{00000000-0005-0000-0000-000088000000}"/>
    <cellStyle name="20% - Accent1 3 12" xfId="230" xr:uid="{00000000-0005-0000-0000-000089000000}"/>
    <cellStyle name="20% - Accent1 3 12 2" xfId="231" xr:uid="{00000000-0005-0000-0000-00008A000000}"/>
    <cellStyle name="20% - Accent1 3 12 3" xfId="232" xr:uid="{00000000-0005-0000-0000-00008B000000}"/>
    <cellStyle name="20% - Accent1 3 13" xfId="233" xr:uid="{00000000-0005-0000-0000-00008C000000}"/>
    <cellStyle name="20% - Accent1 3 14" xfId="234" xr:uid="{00000000-0005-0000-0000-00008D000000}"/>
    <cellStyle name="20% - Accent1 3 15" xfId="235" xr:uid="{00000000-0005-0000-0000-00008E000000}"/>
    <cellStyle name="20% - Accent1 3 2" xfId="236" xr:uid="{00000000-0005-0000-0000-00008F000000}"/>
    <cellStyle name="20% - Accent1 3 2 10" xfId="237" xr:uid="{00000000-0005-0000-0000-000090000000}"/>
    <cellStyle name="20% - Accent1 3 2 11" xfId="238" xr:uid="{00000000-0005-0000-0000-000091000000}"/>
    <cellStyle name="20% - Accent1 3 2 2" xfId="239" xr:uid="{00000000-0005-0000-0000-000092000000}"/>
    <cellStyle name="20% - Accent1 3 2 2 10" xfId="240" xr:uid="{00000000-0005-0000-0000-000093000000}"/>
    <cellStyle name="20% - Accent1 3 2 2 2" xfId="241" xr:uid="{00000000-0005-0000-0000-000094000000}"/>
    <cellStyle name="20% - Accent1 3 2 2 2 2" xfId="242" xr:uid="{00000000-0005-0000-0000-000095000000}"/>
    <cellStyle name="20% - Accent1 3 2 2 2 2 2" xfId="243" xr:uid="{00000000-0005-0000-0000-000096000000}"/>
    <cellStyle name="20% - Accent1 3 2 2 2 2 2 2" xfId="244" xr:uid="{00000000-0005-0000-0000-000097000000}"/>
    <cellStyle name="20% - Accent1 3 2 2 2 2 2 2 2" xfId="245" xr:uid="{00000000-0005-0000-0000-000098000000}"/>
    <cellStyle name="20% - Accent1 3 2 2 2 2 2 2 2 2" xfId="246" xr:uid="{00000000-0005-0000-0000-000099000000}"/>
    <cellStyle name="20% - Accent1 3 2 2 2 2 2 2 2 2 2" xfId="247" xr:uid="{00000000-0005-0000-0000-00009A000000}"/>
    <cellStyle name="20% - Accent1 3 2 2 2 2 2 2 2 2 3" xfId="248" xr:uid="{00000000-0005-0000-0000-00009B000000}"/>
    <cellStyle name="20% - Accent1 3 2 2 2 2 2 2 2 3" xfId="249" xr:uid="{00000000-0005-0000-0000-00009C000000}"/>
    <cellStyle name="20% - Accent1 3 2 2 2 2 2 2 2 4" xfId="250" xr:uid="{00000000-0005-0000-0000-00009D000000}"/>
    <cellStyle name="20% - Accent1 3 2 2 2 2 2 2 3" xfId="251" xr:uid="{00000000-0005-0000-0000-00009E000000}"/>
    <cellStyle name="20% - Accent1 3 2 2 2 2 2 2 3 2" xfId="252" xr:uid="{00000000-0005-0000-0000-00009F000000}"/>
    <cellStyle name="20% - Accent1 3 2 2 2 2 2 2 3 3" xfId="253" xr:uid="{00000000-0005-0000-0000-0000A0000000}"/>
    <cellStyle name="20% - Accent1 3 2 2 2 2 2 2 4" xfId="254" xr:uid="{00000000-0005-0000-0000-0000A1000000}"/>
    <cellStyle name="20% - Accent1 3 2 2 2 2 2 2 5" xfId="255" xr:uid="{00000000-0005-0000-0000-0000A2000000}"/>
    <cellStyle name="20% - Accent1 3 2 2 2 2 2 2 6" xfId="256" xr:uid="{00000000-0005-0000-0000-0000A3000000}"/>
    <cellStyle name="20% - Accent1 3 2 2 2 2 2 3" xfId="257" xr:uid="{00000000-0005-0000-0000-0000A4000000}"/>
    <cellStyle name="20% - Accent1 3 2 2 2 2 2 3 2" xfId="258" xr:uid="{00000000-0005-0000-0000-0000A5000000}"/>
    <cellStyle name="20% - Accent1 3 2 2 2 2 2 3 2 2" xfId="259" xr:uid="{00000000-0005-0000-0000-0000A6000000}"/>
    <cellStyle name="20% - Accent1 3 2 2 2 2 2 3 2 3" xfId="260" xr:uid="{00000000-0005-0000-0000-0000A7000000}"/>
    <cellStyle name="20% - Accent1 3 2 2 2 2 2 3 3" xfId="261" xr:uid="{00000000-0005-0000-0000-0000A8000000}"/>
    <cellStyle name="20% - Accent1 3 2 2 2 2 2 3 4" xfId="262" xr:uid="{00000000-0005-0000-0000-0000A9000000}"/>
    <cellStyle name="20% - Accent1 3 2 2 2 2 2 4" xfId="263" xr:uid="{00000000-0005-0000-0000-0000AA000000}"/>
    <cellStyle name="20% - Accent1 3 2 2 2 2 2 4 2" xfId="264" xr:uid="{00000000-0005-0000-0000-0000AB000000}"/>
    <cellStyle name="20% - Accent1 3 2 2 2 2 2 4 3" xfId="265" xr:uid="{00000000-0005-0000-0000-0000AC000000}"/>
    <cellStyle name="20% - Accent1 3 2 2 2 2 2 5" xfId="266" xr:uid="{00000000-0005-0000-0000-0000AD000000}"/>
    <cellStyle name="20% - Accent1 3 2 2 2 2 2 6" xfId="267" xr:uid="{00000000-0005-0000-0000-0000AE000000}"/>
    <cellStyle name="20% - Accent1 3 2 2 2 2 2 7" xfId="268" xr:uid="{00000000-0005-0000-0000-0000AF000000}"/>
    <cellStyle name="20% - Accent1 3 2 2 2 2 3" xfId="269" xr:uid="{00000000-0005-0000-0000-0000B0000000}"/>
    <cellStyle name="20% - Accent1 3 2 2 2 2 3 2" xfId="270" xr:uid="{00000000-0005-0000-0000-0000B1000000}"/>
    <cellStyle name="20% - Accent1 3 2 2 2 2 3 2 2" xfId="271" xr:uid="{00000000-0005-0000-0000-0000B2000000}"/>
    <cellStyle name="20% - Accent1 3 2 2 2 2 3 2 2 2" xfId="272" xr:uid="{00000000-0005-0000-0000-0000B3000000}"/>
    <cellStyle name="20% - Accent1 3 2 2 2 2 3 2 2 3" xfId="273" xr:uid="{00000000-0005-0000-0000-0000B4000000}"/>
    <cellStyle name="20% - Accent1 3 2 2 2 2 3 2 3" xfId="274" xr:uid="{00000000-0005-0000-0000-0000B5000000}"/>
    <cellStyle name="20% - Accent1 3 2 2 2 2 3 2 4" xfId="275" xr:uid="{00000000-0005-0000-0000-0000B6000000}"/>
    <cellStyle name="20% - Accent1 3 2 2 2 2 3 3" xfId="276" xr:uid="{00000000-0005-0000-0000-0000B7000000}"/>
    <cellStyle name="20% - Accent1 3 2 2 2 2 3 3 2" xfId="277" xr:uid="{00000000-0005-0000-0000-0000B8000000}"/>
    <cellStyle name="20% - Accent1 3 2 2 2 2 3 3 3" xfId="278" xr:uid="{00000000-0005-0000-0000-0000B9000000}"/>
    <cellStyle name="20% - Accent1 3 2 2 2 2 3 4" xfId="279" xr:uid="{00000000-0005-0000-0000-0000BA000000}"/>
    <cellStyle name="20% - Accent1 3 2 2 2 2 3 5" xfId="280" xr:uid="{00000000-0005-0000-0000-0000BB000000}"/>
    <cellStyle name="20% - Accent1 3 2 2 2 2 3 6" xfId="281" xr:uid="{00000000-0005-0000-0000-0000BC000000}"/>
    <cellStyle name="20% - Accent1 3 2 2 2 2 4" xfId="282" xr:uid="{00000000-0005-0000-0000-0000BD000000}"/>
    <cellStyle name="20% - Accent1 3 2 2 2 2 4 2" xfId="283" xr:uid="{00000000-0005-0000-0000-0000BE000000}"/>
    <cellStyle name="20% - Accent1 3 2 2 2 2 4 2 2" xfId="284" xr:uid="{00000000-0005-0000-0000-0000BF000000}"/>
    <cellStyle name="20% - Accent1 3 2 2 2 2 4 2 3" xfId="285" xr:uid="{00000000-0005-0000-0000-0000C0000000}"/>
    <cellStyle name="20% - Accent1 3 2 2 2 2 4 3" xfId="286" xr:uid="{00000000-0005-0000-0000-0000C1000000}"/>
    <cellStyle name="20% - Accent1 3 2 2 2 2 4 4" xfId="287" xr:uid="{00000000-0005-0000-0000-0000C2000000}"/>
    <cellStyle name="20% - Accent1 3 2 2 2 2 5" xfId="288" xr:uid="{00000000-0005-0000-0000-0000C3000000}"/>
    <cellStyle name="20% - Accent1 3 2 2 2 2 5 2" xfId="289" xr:uid="{00000000-0005-0000-0000-0000C4000000}"/>
    <cellStyle name="20% - Accent1 3 2 2 2 2 5 3" xfId="290" xr:uid="{00000000-0005-0000-0000-0000C5000000}"/>
    <cellStyle name="20% - Accent1 3 2 2 2 2 6" xfId="291" xr:uid="{00000000-0005-0000-0000-0000C6000000}"/>
    <cellStyle name="20% - Accent1 3 2 2 2 2 7" xfId="292" xr:uid="{00000000-0005-0000-0000-0000C7000000}"/>
    <cellStyle name="20% - Accent1 3 2 2 2 2 8" xfId="293" xr:uid="{00000000-0005-0000-0000-0000C8000000}"/>
    <cellStyle name="20% - Accent1 3 2 2 2 3" xfId="294" xr:uid="{00000000-0005-0000-0000-0000C9000000}"/>
    <cellStyle name="20% - Accent1 3 2 2 2 3 2" xfId="295" xr:uid="{00000000-0005-0000-0000-0000CA000000}"/>
    <cellStyle name="20% - Accent1 3 2 2 2 3 2 2" xfId="296" xr:uid="{00000000-0005-0000-0000-0000CB000000}"/>
    <cellStyle name="20% - Accent1 3 2 2 2 3 2 2 2" xfId="297" xr:uid="{00000000-0005-0000-0000-0000CC000000}"/>
    <cellStyle name="20% - Accent1 3 2 2 2 3 2 2 2 2" xfId="298" xr:uid="{00000000-0005-0000-0000-0000CD000000}"/>
    <cellStyle name="20% - Accent1 3 2 2 2 3 2 2 2 3" xfId="299" xr:uid="{00000000-0005-0000-0000-0000CE000000}"/>
    <cellStyle name="20% - Accent1 3 2 2 2 3 2 2 3" xfId="300" xr:uid="{00000000-0005-0000-0000-0000CF000000}"/>
    <cellStyle name="20% - Accent1 3 2 2 2 3 2 2 4" xfId="301" xr:uid="{00000000-0005-0000-0000-0000D0000000}"/>
    <cellStyle name="20% - Accent1 3 2 2 2 3 2 3" xfId="302" xr:uid="{00000000-0005-0000-0000-0000D1000000}"/>
    <cellStyle name="20% - Accent1 3 2 2 2 3 2 3 2" xfId="303" xr:uid="{00000000-0005-0000-0000-0000D2000000}"/>
    <cellStyle name="20% - Accent1 3 2 2 2 3 2 3 3" xfId="304" xr:uid="{00000000-0005-0000-0000-0000D3000000}"/>
    <cellStyle name="20% - Accent1 3 2 2 2 3 2 4" xfId="305" xr:uid="{00000000-0005-0000-0000-0000D4000000}"/>
    <cellStyle name="20% - Accent1 3 2 2 2 3 2 5" xfId="306" xr:uid="{00000000-0005-0000-0000-0000D5000000}"/>
    <cellStyle name="20% - Accent1 3 2 2 2 3 2 6" xfId="307" xr:uid="{00000000-0005-0000-0000-0000D6000000}"/>
    <cellStyle name="20% - Accent1 3 2 2 2 3 3" xfId="308" xr:uid="{00000000-0005-0000-0000-0000D7000000}"/>
    <cellStyle name="20% - Accent1 3 2 2 2 3 3 2" xfId="309" xr:uid="{00000000-0005-0000-0000-0000D8000000}"/>
    <cellStyle name="20% - Accent1 3 2 2 2 3 3 2 2" xfId="310" xr:uid="{00000000-0005-0000-0000-0000D9000000}"/>
    <cellStyle name="20% - Accent1 3 2 2 2 3 3 2 3" xfId="311" xr:uid="{00000000-0005-0000-0000-0000DA000000}"/>
    <cellStyle name="20% - Accent1 3 2 2 2 3 3 3" xfId="312" xr:uid="{00000000-0005-0000-0000-0000DB000000}"/>
    <cellStyle name="20% - Accent1 3 2 2 2 3 3 4" xfId="313" xr:uid="{00000000-0005-0000-0000-0000DC000000}"/>
    <cellStyle name="20% - Accent1 3 2 2 2 3 4" xfId="314" xr:uid="{00000000-0005-0000-0000-0000DD000000}"/>
    <cellStyle name="20% - Accent1 3 2 2 2 3 4 2" xfId="315" xr:uid="{00000000-0005-0000-0000-0000DE000000}"/>
    <cellStyle name="20% - Accent1 3 2 2 2 3 4 3" xfId="316" xr:uid="{00000000-0005-0000-0000-0000DF000000}"/>
    <cellStyle name="20% - Accent1 3 2 2 2 3 5" xfId="317" xr:uid="{00000000-0005-0000-0000-0000E0000000}"/>
    <cellStyle name="20% - Accent1 3 2 2 2 3 6" xfId="318" xr:uid="{00000000-0005-0000-0000-0000E1000000}"/>
    <cellStyle name="20% - Accent1 3 2 2 2 3 7" xfId="319" xr:uid="{00000000-0005-0000-0000-0000E2000000}"/>
    <cellStyle name="20% - Accent1 3 2 2 2 4" xfId="320" xr:uid="{00000000-0005-0000-0000-0000E3000000}"/>
    <cellStyle name="20% - Accent1 3 2 2 2 4 2" xfId="321" xr:uid="{00000000-0005-0000-0000-0000E4000000}"/>
    <cellStyle name="20% - Accent1 3 2 2 2 4 2 2" xfId="322" xr:uid="{00000000-0005-0000-0000-0000E5000000}"/>
    <cellStyle name="20% - Accent1 3 2 2 2 4 2 2 2" xfId="323" xr:uid="{00000000-0005-0000-0000-0000E6000000}"/>
    <cellStyle name="20% - Accent1 3 2 2 2 4 2 2 3" xfId="324" xr:uid="{00000000-0005-0000-0000-0000E7000000}"/>
    <cellStyle name="20% - Accent1 3 2 2 2 4 2 3" xfId="325" xr:uid="{00000000-0005-0000-0000-0000E8000000}"/>
    <cellStyle name="20% - Accent1 3 2 2 2 4 2 4" xfId="326" xr:uid="{00000000-0005-0000-0000-0000E9000000}"/>
    <cellStyle name="20% - Accent1 3 2 2 2 4 3" xfId="327" xr:uid="{00000000-0005-0000-0000-0000EA000000}"/>
    <cellStyle name="20% - Accent1 3 2 2 2 4 3 2" xfId="328" xr:uid="{00000000-0005-0000-0000-0000EB000000}"/>
    <cellStyle name="20% - Accent1 3 2 2 2 4 3 3" xfId="329" xr:uid="{00000000-0005-0000-0000-0000EC000000}"/>
    <cellStyle name="20% - Accent1 3 2 2 2 4 4" xfId="330" xr:uid="{00000000-0005-0000-0000-0000ED000000}"/>
    <cellStyle name="20% - Accent1 3 2 2 2 4 5" xfId="331" xr:uid="{00000000-0005-0000-0000-0000EE000000}"/>
    <cellStyle name="20% - Accent1 3 2 2 2 4 6" xfId="332" xr:uid="{00000000-0005-0000-0000-0000EF000000}"/>
    <cellStyle name="20% - Accent1 3 2 2 2 5" xfId="333" xr:uid="{00000000-0005-0000-0000-0000F0000000}"/>
    <cellStyle name="20% - Accent1 3 2 2 2 5 2" xfId="334" xr:uid="{00000000-0005-0000-0000-0000F1000000}"/>
    <cellStyle name="20% - Accent1 3 2 2 2 5 2 2" xfId="335" xr:uid="{00000000-0005-0000-0000-0000F2000000}"/>
    <cellStyle name="20% - Accent1 3 2 2 2 5 2 3" xfId="336" xr:uid="{00000000-0005-0000-0000-0000F3000000}"/>
    <cellStyle name="20% - Accent1 3 2 2 2 5 3" xfId="337" xr:uid="{00000000-0005-0000-0000-0000F4000000}"/>
    <cellStyle name="20% - Accent1 3 2 2 2 5 4" xfId="338" xr:uid="{00000000-0005-0000-0000-0000F5000000}"/>
    <cellStyle name="20% - Accent1 3 2 2 2 6" xfId="339" xr:uid="{00000000-0005-0000-0000-0000F6000000}"/>
    <cellStyle name="20% - Accent1 3 2 2 2 6 2" xfId="340" xr:uid="{00000000-0005-0000-0000-0000F7000000}"/>
    <cellStyle name="20% - Accent1 3 2 2 2 6 3" xfId="341" xr:uid="{00000000-0005-0000-0000-0000F8000000}"/>
    <cellStyle name="20% - Accent1 3 2 2 2 7" xfId="342" xr:uid="{00000000-0005-0000-0000-0000F9000000}"/>
    <cellStyle name="20% - Accent1 3 2 2 2 8" xfId="343" xr:uid="{00000000-0005-0000-0000-0000FA000000}"/>
    <cellStyle name="20% - Accent1 3 2 2 2 9" xfId="344" xr:uid="{00000000-0005-0000-0000-0000FB000000}"/>
    <cellStyle name="20% - Accent1 3 2 2 3" xfId="345" xr:uid="{00000000-0005-0000-0000-0000FC000000}"/>
    <cellStyle name="20% - Accent1 3 2 2 3 2" xfId="346" xr:uid="{00000000-0005-0000-0000-0000FD000000}"/>
    <cellStyle name="20% - Accent1 3 2 2 3 2 2" xfId="347" xr:uid="{00000000-0005-0000-0000-0000FE000000}"/>
    <cellStyle name="20% - Accent1 3 2 2 3 2 2 2" xfId="348" xr:uid="{00000000-0005-0000-0000-0000FF000000}"/>
    <cellStyle name="20% - Accent1 3 2 2 3 2 2 2 2" xfId="349" xr:uid="{00000000-0005-0000-0000-000000010000}"/>
    <cellStyle name="20% - Accent1 3 2 2 3 2 2 2 2 2" xfId="350" xr:uid="{00000000-0005-0000-0000-000001010000}"/>
    <cellStyle name="20% - Accent1 3 2 2 3 2 2 2 2 3" xfId="351" xr:uid="{00000000-0005-0000-0000-000002010000}"/>
    <cellStyle name="20% - Accent1 3 2 2 3 2 2 2 3" xfId="352" xr:uid="{00000000-0005-0000-0000-000003010000}"/>
    <cellStyle name="20% - Accent1 3 2 2 3 2 2 2 4" xfId="353" xr:uid="{00000000-0005-0000-0000-000004010000}"/>
    <cellStyle name="20% - Accent1 3 2 2 3 2 2 3" xfId="354" xr:uid="{00000000-0005-0000-0000-000005010000}"/>
    <cellStyle name="20% - Accent1 3 2 2 3 2 2 3 2" xfId="355" xr:uid="{00000000-0005-0000-0000-000006010000}"/>
    <cellStyle name="20% - Accent1 3 2 2 3 2 2 3 3" xfId="356" xr:uid="{00000000-0005-0000-0000-000007010000}"/>
    <cellStyle name="20% - Accent1 3 2 2 3 2 2 4" xfId="357" xr:uid="{00000000-0005-0000-0000-000008010000}"/>
    <cellStyle name="20% - Accent1 3 2 2 3 2 2 5" xfId="358" xr:uid="{00000000-0005-0000-0000-000009010000}"/>
    <cellStyle name="20% - Accent1 3 2 2 3 2 2 6" xfId="359" xr:uid="{00000000-0005-0000-0000-00000A010000}"/>
    <cellStyle name="20% - Accent1 3 2 2 3 2 3" xfId="360" xr:uid="{00000000-0005-0000-0000-00000B010000}"/>
    <cellStyle name="20% - Accent1 3 2 2 3 2 3 2" xfId="361" xr:uid="{00000000-0005-0000-0000-00000C010000}"/>
    <cellStyle name="20% - Accent1 3 2 2 3 2 3 2 2" xfId="362" xr:uid="{00000000-0005-0000-0000-00000D010000}"/>
    <cellStyle name="20% - Accent1 3 2 2 3 2 3 2 3" xfId="363" xr:uid="{00000000-0005-0000-0000-00000E010000}"/>
    <cellStyle name="20% - Accent1 3 2 2 3 2 3 3" xfId="364" xr:uid="{00000000-0005-0000-0000-00000F010000}"/>
    <cellStyle name="20% - Accent1 3 2 2 3 2 3 4" xfId="365" xr:uid="{00000000-0005-0000-0000-000010010000}"/>
    <cellStyle name="20% - Accent1 3 2 2 3 2 4" xfId="366" xr:uid="{00000000-0005-0000-0000-000011010000}"/>
    <cellStyle name="20% - Accent1 3 2 2 3 2 4 2" xfId="367" xr:uid="{00000000-0005-0000-0000-000012010000}"/>
    <cellStyle name="20% - Accent1 3 2 2 3 2 4 3" xfId="368" xr:uid="{00000000-0005-0000-0000-000013010000}"/>
    <cellStyle name="20% - Accent1 3 2 2 3 2 5" xfId="369" xr:uid="{00000000-0005-0000-0000-000014010000}"/>
    <cellStyle name="20% - Accent1 3 2 2 3 2 6" xfId="370" xr:uid="{00000000-0005-0000-0000-000015010000}"/>
    <cellStyle name="20% - Accent1 3 2 2 3 2 7" xfId="371" xr:uid="{00000000-0005-0000-0000-000016010000}"/>
    <cellStyle name="20% - Accent1 3 2 2 3 3" xfId="372" xr:uid="{00000000-0005-0000-0000-000017010000}"/>
    <cellStyle name="20% - Accent1 3 2 2 3 3 2" xfId="373" xr:uid="{00000000-0005-0000-0000-000018010000}"/>
    <cellStyle name="20% - Accent1 3 2 2 3 3 2 2" xfId="374" xr:uid="{00000000-0005-0000-0000-000019010000}"/>
    <cellStyle name="20% - Accent1 3 2 2 3 3 2 2 2" xfId="375" xr:uid="{00000000-0005-0000-0000-00001A010000}"/>
    <cellStyle name="20% - Accent1 3 2 2 3 3 2 2 3" xfId="376" xr:uid="{00000000-0005-0000-0000-00001B010000}"/>
    <cellStyle name="20% - Accent1 3 2 2 3 3 2 3" xfId="377" xr:uid="{00000000-0005-0000-0000-00001C010000}"/>
    <cellStyle name="20% - Accent1 3 2 2 3 3 2 4" xfId="378" xr:uid="{00000000-0005-0000-0000-00001D010000}"/>
    <cellStyle name="20% - Accent1 3 2 2 3 3 3" xfId="379" xr:uid="{00000000-0005-0000-0000-00001E010000}"/>
    <cellStyle name="20% - Accent1 3 2 2 3 3 3 2" xfId="380" xr:uid="{00000000-0005-0000-0000-00001F010000}"/>
    <cellStyle name="20% - Accent1 3 2 2 3 3 3 3" xfId="381" xr:uid="{00000000-0005-0000-0000-000020010000}"/>
    <cellStyle name="20% - Accent1 3 2 2 3 3 4" xfId="382" xr:uid="{00000000-0005-0000-0000-000021010000}"/>
    <cellStyle name="20% - Accent1 3 2 2 3 3 5" xfId="383" xr:uid="{00000000-0005-0000-0000-000022010000}"/>
    <cellStyle name="20% - Accent1 3 2 2 3 3 6" xfId="384" xr:uid="{00000000-0005-0000-0000-000023010000}"/>
    <cellStyle name="20% - Accent1 3 2 2 3 4" xfId="385" xr:uid="{00000000-0005-0000-0000-000024010000}"/>
    <cellStyle name="20% - Accent1 3 2 2 3 4 2" xfId="386" xr:uid="{00000000-0005-0000-0000-000025010000}"/>
    <cellStyle name="20% - Accent1 3 2 2 3 4 2 2" xfId="387" xr:uid="{00000000-0005-0000-0000-000026010000}"/>
    <cellStyle name="20% - Accent1 3 2 2 3 4 2 3" xfId="388" xr:uid="{00000000-0005-0000-0000-000027010000}"/>
    <cellStyle name="20% - Accent1 3 2 2 3 4 3" xfId="389" xr:uid="{00000000-0005-0000-0000-000028010000}"/>
    <cellStyle name="20% - Accent1 3 2 2 3 4 4" xfId="390" xr:uid="{00000000-0005-0000-0000-000029010000}"/>
    <cellStyle name="20% - Accent1 3 2 2 3 5" xfId="391" xr:uid="{00000000-0005-0000-0000-00002A010000}"/>
    <cellStyle name="20% - Accent1 3 2 2 3 5 2" xfId="392" xr:uid="{00000000-0005-0000-0000-00002B010000}"/>
    <cellStyle name="20% - Accent1 3 2 2 3 5 3" xfId="393" xr:uid="{00000000-0005-0000-0000-00002C010000}"/>
    <cellStyle name="20% - Accent1 3 2 2 3 6" xfId="394" xr:uid="{00000000-0005-0000-0000-00002D010000}"/>
    <cellStyle name="20% - Accent1 3 2 2 3 7" xfId="395" xr:uid="{00000000-0005-0000-0000-00002E010000}"/>
    <cellStyle name="20% - Accent1 3 2 2 3 8" xfId="396" xr:uid="{00000000-0005-0000-0000-00002F010000}"/>
    <cellStyle name="20% - Accent1 3 2 2 4" xfId="397" xr:uid="{00000000-0005-0000-0000-000030010000}"/>
    <cellStyle name="20% - Accent1 3 2 2 4 2" xfId="398" xr:uid="{00000000-0005-0000-0000-000031010000}"/>
    <cellStyle name="20% - Accent1 3 2 2 4 2 2" xfId="399" xr:uid="{00000000-0005-0000-0000-000032010000}"/>
    <cellStyle name="20% - Accent1 3 2 2 4 2 2 2" xfId="400" xr:uid="{00000000-0005-0000-0000-000033010000}"/>
    <cellStyle name="20% - Accent1 3 2 2 4 2 2 2 2" xfId="401" xr:uid="{00000000-0005-0000-0000-000034010000}"/>
    <cellStyle name="20% - Accent1 3 2 2 4 2 2 2 3" xfId="402" xr:uid="{00000000-0005-0000-0000-000035010000}"/>
    <cellStyle name="20% - Accent1 3 2 2 4 2 2 3" xfId="403" xr:uid="{00000000-0005-0000-0000-000036010000}"/>
    <cellStyle name="20% - Accent1 3 2 2 4 2 2 4" xfId="404" xr:uid="{00000000-0005-0000-0000-000037010000}"/>
    <cellStyle name="20% - Accent1 3 2 2 4 2 3" xfId="405" xr:uid="{00000000-0005-0000-0000-000038010000}"/>
    <cellStyle name="20% - Accent1 3 2 2 4 2 3 2" xfId="406" xr:uid="{00000000-0005-0000-0000-000039010000}"/>
    <cellStyle name="20% - Accent1 3 2 2 4 2 3 3" xfId="407" xr:uid="{00000000-0005-0000-0000-00003A010000}"/>
    <cellStyle name="20% - Accent1 3 2 2 4 2 4" xfId="408" xr:uid="{00000000-0005-0000-0000-00003B010000}"/>
    <cellStyle name="20% - Accent1 3 2 2 4 2 5" xfId="409" xr:uid="{00000000-0005-0000-0000-00003C010000}"/>
    <cellStyle name="20% - Accent1 3 2 2 4 2 6" xfId="410" xr:uid="{00000000-0005-0000-0000-00003D010000}"/>
    <cellStyle name="20% - Accent1 3 2 2 4 3" xfId="411" xr:uid="{00000000-0005-0000-0000-00003E010000}"/>
    <cellStyle name="20% - Accent1 3 2 2 4 3 2" xfId="412" xr:uid="{00000000-0005-0000-0000-00003F010000}"/>
    <cellStyle name="20% - Accent1 3 2 2 4 3 2 2" xfId="413" xr:uid="{00000000-0005-0000-0000-000040010000}"/>
    <cellStyle name="20% - Accent1 3 2 2 4 3 2 3" xfId="414" xr:uid="{00000000-0005-0000-0000-000041010000}"/>
    <cellStyle name="20% - Accent1 3 2 2 4 3 3" xfId="415" xr:uid="{00000000-0005-0000-0000-000042010000}"/>
    <cellStyle name="20% - Accent1 3 2 2 4 3 4" xfId="416" xr:uid="{00000000-0005-0000-0000-000043010000}"/>
    <cellStyle name="20% - Accent1 3 2 2 4 4" xfId="417" xr:uid="{00000000-0005-0000-0000-000044010000}"/>
    <cellStyle name="20% - Accent1 3 2 2 4 4 2" xfId="418" xr:uid="{00000000-0005-0000-0000-000045010000}"/>
    <cellStyle name="20% - Accent1 3 2 2 4 4 3" xfId="419" xr:uid="{00000000-0005-0000-0000-000046010000}"/>
    <cellStyle name="20% - Accent1 3 2 2 4 5" xfId="420" xr:uid="{00000000-0005-0000-0000-000047010000}"/>
    <cellStyle name="20% - Accent1 3 2 2 4 6" xfId="421" xr:uid="{00000000-0005-0000-0000-000048010000}"/>
    <cellStyle name="20% - Accent1 3 2 2 4 7" xfId="422" xr:uid="{00000000-0005-0000-0000-000049010000}"/>
    <cellStyle name="20% - Accent1 3 2 2 5" xfId="423" xr:uid="{00000000-0005-0000-0000-00004A010000}"/>
    <cellStyle name="20% - Accent1 3 2 2 5 2" xfId="424" xr:uid="{00000000-0005-0000-0000-00004B010000}"/>
    <cellStyle name="20% - Accent1 3 2 2 5 2 2" xfId="425" xr:uid="{00000000-0005-0000-0000-00004C010000}"/>
    <cellStyle name="20% - Accent1 3 2 2 5 2 2 2" xfId="426" xr:uid="{00000000-0005-0000-0000-00004D010000}"/>
    <cellStyle name="20% - Accent1 3 2 2 5 2 2 3" xfId="427" xr:uid="{00000000-0005-0000-0000-00004E010000}"/>
    <cellStyle name="20% - Accent1 3 2 2 5 2 3" xfId="428" xr:uid="{00000000-0005-0000-0000-00004F010000}"/>
    <cellStyle name="20% - Accent1 3 2 2 5 2 4" xfId="429" xr:uid="{00000000-0005-0000-0000-000050010000}"/>
    <cellStyle name="20% - Accent1 3 2 2 5 3" xfId="430" xr:uid="{00000000-0005-0000-0000-000051010000}"/>
    <cellStyle name="20% - Accent1 3 2 2 5 3 2" xfId="431" xr:uid="{00000000-0005-0000-0000-000052010000}"/>
    <cellStyle name="20% - Accent1 3 2 2 5 3 3" xfId="432" xr:uid="{00000000-0005-0000-0000-000053010000}"/>
    <cellStyle name="20% - Accent1 3 2 2 5 4" xfId="433" xr:uid="{00000000-0005-0000-0000-000054010000}"/>
    <cellStyle name="20% - Accent1 3 2 2 5 5" xfId="434" xr:uid="{00000000-0005-0000-0000-000055010000}"/>
    <cellStyle name="20% - Accent1 3 2 2 5 6" xfId="435" xr:uid="{00000000-0005-0000-0000-000056010000}"/>
    <cellStyle name="20% - Accent1 3 2 2 6" xfId="436" xr:uid="{00000000-0005-0000-0000-000057010000}"/>
    <cellStyle name="20% - Accent1 3 2 2 6 2" xfId="437" xr:uid="{00000000-0005-0000-0000-000058010000}"/>
    <cellStyle name="20% - Accent1 3 2 2 6 2 2" xfId="438" xr:uid="{00000000-0005-0000-0000-000059010000}"/>
    <cellStyle name="20% - Accent1 3 2 2 6 2 3" xfId="439" xr:uid="{00000000-0005-0000-0000-00005A010000}"/>
    <cellStyle name="20% - Accent1 3 2 2 6 3" xfId="440" xr:uid="{00000000-0005-0000-0000-00005B010000}"/>
    <cellStyle name="20% - Accent1 3 2 2 6 4" xfId="441" xr:uid="{00000000-0005-0000-0000-00005C010000}"/>
    <cellStyle name="20% - Accent1 3 2 2 7" xfId="442" xr:uid="{00000000-0005-0000-0000-00005D010000}"/>
    <cellStyle name="20% - Accent1 3 2 2 7 2" xfId="443" xr:uid="{00000000-0005-0000-0000-00005E010000}"/>
    <cellStyle name="20% - Accent1 3 2 2 7 3" xfId="444" xr:uid="{00000000-0005-0000-0000-00005F010000}"/>
    <cellStyle name="20% - Accent1 3 2 2 8" xfId="445" xr:uid="{00000000-0005-0000-0000-000060010000}"/>
    <cellStyle name="20% - Accent1 3 2 2 9" xfId="446" xr:uid="{00000000-0005-0000-0000-000061010000}"/>
    <cellStyle name="20% - Accent1 3 2 3" xfId="447" xr:uid="{00000000-0005-0000-0000-000062010000}"/>
    <cellStyle name="20% - Accent1 3 2 3 2" xfId="448" xr:uid="{00000000-0005-0000-0000-000063010000}"/>
    <cellStyle name="20% - Accent1 3 2 3 2 2" xfId="449" xr:uid="{00000000-0005-0000-0000-000064010000}"/>
    <cellStyle name="20% - Accent1 3 2 3 2 2 2" xfId="450" xr:uid="{00000000-0005-0000-0000-000065010000}"/>
    <cellStyle name="20% - Accent1 3 2 3 2 2 2 2" xfId="451" xr:uid="{00000000-0005-0000-0000-000066010000}"/>
    <cellStyle name="20% - Accent1 3 2 3 2 2 2 2 2" xfId="452" xr:uid="{00000000-0005-0000-0000-000067010000}"/>
    <cellStyle name="20% - Accent1 3 2 3 2 2 2 2 2 2" xfId="453" xr:uid="{00000000-0005-0000-0000-000068010000}"/>
    <cellStyle name="20% - Accent1 3 2 3 2 2 2 2 2 3" xfId="454" xr:uid="{00000000-0005-0000-0000-000069010000}"/>
    <cellStyle name="20% - Accent1 3 2 3 2 2 2 2 3" xfId="455" xr:uid="{00000000-0005-0000-0000-00006A010000}"/>
    <cellStyle name="20% - Accent1 3 2 3 2 2 2 2 4" xfId="456" xr:uid="{00000000-0005-0000-0000-00006B010000}"/>
    <cellStyle name="20% - Accent1 3 2 3 2 2 2 3" xfId="457" xr:uid="{00000000-0005-0000-0000-00006C010000}"/>
    <cellStyle name="20% - Accent1 3 2 3 2 2 2 3 2" xfId="458" xr:uid="{00000000-0005-0000-0000-00006D010000}"/>
    <cellStyle name="20% - Accent1 3 2 3 2 2 2 3 3" xfId="459" xr:uid="{00000000-0005-0000-0000-00006E010000}"/>
    <cellStyle name="20% - Accent1 3 2 3 2 2 2 4" xfId="460" xr:uid="{00000000-0005-0000-0000-00006F010000}"/>
    <cellStyle name="20% - Accent1 3 2 3 2 2 2 5" xfId="461" xr:uid="{00000000-0005-0000-0000-000070010000}"/>
    <cellStyle name="20% - Accent1 3 2 3 2 2 2 6" xfId="462" xr:uid="{00000000-0005-0000-0000-000071010000}"/>
    <cellStyle name="20% - Accent1 3 2 3 2 2 3" xfId="463" xr:uid="{00000000-0005-0000-0000-000072010000}"/>
    <cellStyle name="20% - Accent1 3 2 3 2 2 3 2" xfId="464" xr:uid="{00000000-0005-0000-0000-000073010000}"/>
    <cellStyle name="20% - Accent1 3 2 3 2 2 3 2 2" xfId="465" xr:uid="{00000000-0005-0000-0000-000074010000}"/>
    <cellStyle name="20% - Accent1 3 2 3 2 2 3 2 3" xfId="466" xr:uid="{00000000-0005-0000-0000-000075010000}"/>
    <cellStyle name="20% - Accent1 3 2 3 2 2 3 3" xfId="467" xr:uid="{00000000-0005-0000-0000-000076010000}"/>
    <cellStyle name="20% - Accent1 3 2 3 2 2 3 4" xfId="468" xr:uid="{00000000-0005-0000-0000-000077010000}"/>
    <cellStyle name="20% - Accent1 3 2 3 2 2 4" xfId="469" xr:uid="{00000000-0005-0000-0000-000078010000}"/>
    <cellStyle name="20% - Accent1 3 2 3 2 2 4 2" xfId="470" xr:uid="{00000000-0005-0000-0000-000079010000}"/>
    <cellStyle name="20% - Accent1 3 2 3 2 2 4 3" xfId="471" xr:uid="{00000000-0005-0000-0000-00007A010000}"/>
    <cellStyle name="20% - Accent1 3 2 3 2 2 5" xfId="472" xr:uid="{00000000-0005-0000-0000-00007B010000}"/>
    <cellStyle name="20% - Accent1 3 2 3 2 2 6" xfId="473" xr:uid="{00000000-0005-0000-0000-00007C010000}"/>
    <cellStyle name="20% - Accent1 3 2 3 2 2 7" xfId="474" xr:uid="{00000000-0005-0000-0000-00007D010000}"/>
    <cellStyle name="20% - Accent1 3 2 3 2 3" xfId="475" xr:uid="{00000000-0005-0000-0000-00007E010000}"/>
    <cellStyle name="20% - Accent1 3 2 3 2 3 2" xfId="476" xr:uid="{00000000-0005-0000-0000-00007F010000}"/>
    <cellStyle name="20% - Accent1 3 2 3 2 3 2 2" xfId="477" xr:uid="{00000000-0005-0000-0000-000080010000}"/>
    <cellStyle name="20% - Accent1 3 2 3 2 3 2 2 2" xfId="478" xr:uid="{00000000-0005-0000-0000-000081010000}"/>
    <cellStyle name="20% - Accent1 3 2 3 2 3 2 2 3" xfId="479" xr:uid="{00000000-0005-0000-0000-000082010000}"/>
    <cellStyle name="20% - Accent1 3 2 3 2 3 2 3" xfId="480" xr:uid="{00000000-0005-0000-0000-000083010000}"/>
    <cellStyle name="20% - Accent1 3 2 3 2 3 2 4" xfId="481" xr:uid="{00000000-0005-0000-0000-000084010000}"/>
    <cellStyle name="20% - Accent1 3 2 3 2 3 3" xfId="482" xr:uid="{00000000-0005-0000-0000-000085010000}"/>
    <cellStyle name="20% - Accent1 3 2 3 2 3 3 2" xfId="483" xr:uid="{00000000-0005-0000-0000-000086010000}"/>
    <cellStyle name="20% - Accent1 3 2 3 2 3 3 3" xfId="484" xr:uid="{00000000-0005-0000-0000-000087010000}"/>
    <cellStyle name="20% - Accent1 3 2 3 2 3 4" xfId="485" xr:uid="{00000000-0005-0000-0000-000088010000}"/>
    <cellStyle name="20% - Accent1 3 2 3 2 3 5" xfId="486" xr:uid="{00000000-0005-0000-0000-000089010000}"/>
    <cellStyle name="20% - Accent1 3 2 3 2 3 6" xfId="487" xr:uid="{00000000-0005-0000-0000-00008A010000}"/>
    <cellStyle name="20% - Accent1 3 2 3 2 4" xfId="488" xr:uid="{00000000-0005-0000-0000-00008B010000}"/>
    <cellStyle name="20% - Accent1 3 2 3 2 4 2" xfId="489" xr:uid="{00000000-0005-0000-0000-00008C010000}"/>
    <cellStyle name="20% - Accent1 3 2 3 2 4 2 2" xfId="490" xr:uid="{00000000-0005-0000-0000-00008D010000}"/>
    <cellStyle name="20% - Accent1 3 2 3 2 4 2 3" xfId="491" xr:uid="{00000000-0005-0000-0000-00008E010000}"/>
    <cellStyle name="20% - Accent1 3 2 3 2 4 3" xfId="492" xr:uid="{00000000-0005-0000-0000-00008F010000}"/>
    <cellStyle name="20% - Accent1 3 2 3 2 4 4" xfId="493" xr:uid="{00000000-0005-0000-0000-000090010000}"/>
    <cellStyle name="20% - Accent1 3 2 3 2 5" xfId="494" xr:uid="{00000000-0005-0000-0000-000091010000}"/>
    <cellStyle name="20% - Accent1 3 2 3 2 5 2" xfId="495" xr:uid="{00000000-0005-0000-0000-000092010000}"/>
    <cellStyle name="20% - Accent1 3 2 3 2 5 3" xfId="496" xr:uid="{00000000-0005-0000-0000-000093010000}"/>
    <cellStyle name="20% - Accent1 3 2 3 2 6" xfId="497" xr:uid="{00000000-0005-0000-0000-000094010000}"/>
    <cellStyle name="20% - Accent1 3 2 3 2 7" xfId="498" xr:uid="{00000000-0005-0000-0000-000095010000}"/>
    <cellStyle name="20% - Accent1 3 2 3 2 8" xfId="499" xr:uid="{00000000-0005-0000-0000-000096010000}"/>
    <cellStyle name="20% - Accent1 3 2 3 3" xfId="500" xr:uid="{00000000-0005-0000-0000-000097010000}"/>
    <cellStyle name="20% - Accent1 3 2 3 3 2" xfId="501" xr:uid="{00000000-0005-0000-0000-000098010000}"/>
    <cellStyle name="20% - Accent1 3 2 3 3 2 2" xfId="502" xr:uid="{00000000-0005-0000-0000-000099010000}"/>
    <cellStyle name="20% - Accent1 3 2 3 3 2 2 2" xfId="503" xr:uid="{00000000-0005-0000-0000-00009A010000}"/>
    <cellStyle name="20% - Accent1 3 2 3 3 2 2 2 2" xfId="504" xr:uid="{00000000-0005-0000-0000-00009B010000}"/>
    <cellStyle name="20% - Accent1 3 2 3 3 2 2 2 3" xfId="505" xr:uid="{00000000-0005-0000-0000-00009C010000}"/>
    <cellStyle name="20% - Accent1 3 2 3 3 2 2 3" xfId="506" xr:uid="{00000000-0005-0000-0000-00009D010000}"/>
    <cellStyle name="20% - Accent1 3 2 3 3 2 2 4" xfId="507" xr:uid="{00000000-0005-0000-0000-00009E010000}"/>
    <cellStyle name="20% - Accent1 3 2 3 3 2 3" xfId="508" xr:uid="{00000000-0005-0000-0000-00009F010000}"/>
    <cellStyle name="20% - Accent1 3 2 3 3 2 3 2" xfId="509" xr:uid="{00000000-0005-0000-0000-0000A0010000}"/>
    <cellStyle name="20% - Accent1 3 2 3 3 2 3 3" xfId="510" xr:uid="{00000000-0005-0000-0000-0000A1010000}"/>
    <cellStyle name="20% - Accent1 3 2 3 3 2 4" xfId="511" xr:uid="{00000000-0005-0000-0000-0000A2010000}"/>
    <cellStyle name="20% - Accent1 3 2 3 3 2 5" xfId="512" xr:uid="{00000000-0005-0000-0000-0000A3010000}"/>
    <cellStyle name="20% - Accent1 3 2 3 3 2 6" xfId="513" xr:uid="{00000000-0005-0000-0000-0000A4010000}"/>
    <cellStyle name="20% - Accent1 3 2 3 3 3" xfId="514" xr:uid="{00000000-0005-0000-0000-0000A5010000}"/>
    <cellStyle name="20% - Accent1 3 2 3 3 3 2" xfId="515" xr:uid="{00000000-0005-0000-0000-0000A6010000}"/>
    <cellStyle name="20% - Accent1 3 2 3 3 3 2 2" xfId="516" xr:uid="{00000000-0005-0000-0000-0000A7010000}"/>
    <cellStyle name="20% - Accent1 3 2 3 3 3 2 3" xfId="517" xr:uid="{00000000-0005-0000-0000-0000A8010000}"/>
    <cellStyle name="20% - Accent1 3 2 3 3 3 3" xfId="518" xr:uid="{00000000-0005-0000-0000-0000A9010000}"/>
    <cellStyle name="20% - Accent1 3 2 3 3 3 4" xfId="519" xr:uid="{00000000-0005-0000-0000-0000AA010000}"/>
    <cellStyle name="20% - Accent1 3 2 3 3 4" xfId="520" xr:uid="{00000000-0005-0000-0000-0000AB010000}"/>
    <cellStyle name="20% - Accent1 3 2 3 3 4 2" xfId="521" xr:uid="{00000000-0005-0000-0000-0000AC010000}"/>
    <cellStyle name="20% - Accent1 3 2 3 3 4 3" xfId="522" xr:uid="{00000000-0005-0000-0000-0000AD010000}"/>
    <cellStyle name="20% - Accent1 3 2 3 3 5" xfId="523" xr:uid="{00000000-0005-0000-0000-0000AE010000}"/>
    <cellStyle name="20% - Accent1 3 2 3 3 6" xfId="524" xr:uid="{00000000-0005-0000-0000-0000AF010000}"/>
    <cellStyle name="20% - Accent1 3 2 3 3 7" xfId="525" xr:uid="{00000000-0005-0000-0000-0000B0010000}"/>
    <cellStyle name="20% - Accent1 3 2 3 4" xfId="526" xr:uid="{00000000-0005-0000-0000-0000B1010000}"/>
    <cellStyle name="20% - Accent1 3 2 3 4 2" xfId="527" xr:uid="{00000000-0005-0000-0000-0000B2010000}"/>
    <cellStyle name="20% - Accent1 3 2 3 4 2 2" xfId="528" xr:uid="{00000000-0005-0000-0000-0000B3010000}"/>
    <cellStyle name="20% - Accent1 3 2 3 4 2 2 2" xfId="529" xr:uid="{00000000-0005-0000-0000-0000B4010000}"/>
    <cellStyle name="20% - Accent1 3 2 3 4 2 2 3" xfId="530" xr:uid="{00000000-0005-0000-0000-0000B5010000}"/>
    <cellStyle name="20% - Accent1 3 2 3 4 2 3" xfId="531" xr:uid="{00000000-0005-0000-0000-0000B6010000}"/>
    <cellStyle name="20% - Accent1 3 2 3 4 2 4" xfId="532" xr:uid="{00000000-0005-0000-0000-0000B7010000}"/>
    <cellStyle name="20% - Accent1 3 2 3 4 3" xfId="533" xr:uid="{00000000-0005-0000-0000-0000B8010000}"/>
    <cellStyle name="20% - Accent1 3 2 3 4 3 2" xfId="534" xr:uid="{00000000-0005-0000-0000-0000B9010000}"/>
    <cellStyle name="20% - Accent1 3 2 3 4 3 3" xfId="535" xr:uid="{00000000-0005-0000-0000-0000BA010000}"/>
    <cellStyle name="20% - Accent1 3 2 3 4 4" xfId="536" xr:uid="{00000000-0005-0000-0000-0000BB010000}"/>
    <cellStyle name="20% - Accent1 3 2 3 4 5" xfId="537" xr:uid="{00000000-0005-0000-0000-0000BC010000}"/>
    <cellStyle name="20% - Accent1 3 2 3 4 6" xfId="538" xr:uid="{00000000-0005-0000-0000-0000BD010000}"/>
    <cellStyle name="20% - Accent1 3 2 3 5" xfId="539" xr:uid="{00000000-0005-0000-0000-0000BE010000}"/>
    <cellStyle name="20% - Accent1 3 2 3 5 2" xfId="540" xr:uid="{00000000-0005-0000-0000-0000BF010000}"/>
    <cellStyle name="20% - Accent1 3 2 3 5 2 2" xfId="541" xr:uid="{00000000-0005-0000-0000-0000C0010000}"/>
    <cellStyle name="20% - Accent1 3 2 3 5 2 3" xfId="542" xr:uid="{00000000-0005-0000-0000-0000C1010000}"/>
    <cellStyle name="20% - Accent1 3 2 3 5 3" xfId="543" xr:uid="{00000000-0005-0000-0000-0000C2010000}"/>
    <cellStyle name="20% - Accent1 3 2 3 5 4" xfId="544" xr:uid="{00000000-0005-0000-0000-0000C3010000}"/>
    <cellStyle name="20% - Accent1 3 2 3 6" xfId="545" xr:uid="{00000000-0005-0000-0000-0000C4010000}"/>
    <cellStyle name="20% - Accent1 3 2 3 6 2" xfId="546" xr:uid="{00000000-0005-0000-0000-0000C5010000}"/>
    <cellStyle name="20% - Accent1 3 2 3 6 3" xfId="547" xr:uid="{00000000-0005-0000-0000-0000C6010000}"/>
    <cellStyle name="20% - Accent1 3 2 3 7" xfId="548" xr:uid="{00000000-0005-0000-0000-0000C7010000}"/>
    <cellStyle name="20% - Accent1 3 2 3 8" xfId="549" xr:uid="{00000000-0005-0000-0000-0000C8010000}"/>
    <cellStyle name="20% - Accent1 3 2 3 9" xfId="550" xr:uid="{00000000-0005-0000-0000-0000C9010000}"/>
    <cellStyle name="20% - Accent1 3 2 4" xfId="551" xr:uid="{00000000-0005-0000-0000-0000CA010000}"/>
    <cellStyle name="20% - Accent1 3 2 4 2" xfId="552" xr:uid="{00000000-0005-0000-0000-0000CB010000}"/>
    <cellStyle name="20% - Accent1 3 2 4 2 2" xfId="553" xr:uid="{00000000-0005-0000-0000-0000CC010000}"/>
    <cellStyle name="20% - Accent1 3 2 4 2 2 2" xfId="554" xr:uid="{00000000-0005-0000-0000-0000CD010000}"/>
    <cellStyle name="20% - Accent1 3 2 4 2 2 2 2" xfId="555" xr:uid="{00000000-0005-0000-0000-0000CE010000}"/>
    <cellStyle name="20% - Accent1 3 2 4 2 2 2 2 2" xfId="556" xr:uid="{00000000-0005-0000-0000-0000CF010000}"/>
    <cellStyle name="20% - Accent1 3 2 4 2 2 2 2 3" xfId="557" xr:uid="{00000000-0005-0000-0000-0000D0010000}"/>
    <cellStyle name="20% - Accent1 3 2 4 2 2 2 3" xfId="558" xr:uid="{00000000-0005-0000-0000-0000D1010000}"/>
    <cellStyle name="20% - Accent1 3 2 4 2 2 2 4" xfId="559" xr:uid="{00000000-0005-0000-0000-0000D2010000}"/>
    <cellStyle name="20% - Accent1 3 2 4 2 2 3" xfId="560" xr:uid="{00000000-0005-0000-0000-0000D3010000}"/>
    <cellStyle name="20% - Accent1 3 2 4 2 2 3 2" xfId="561" xr:uid="{00000000-0005-0000-0000-0000D4010000}"/>
    <cellStyle name="20% - Accent1 3 2 4 2 2 3 3" xfId="562" xr:uid="{00000000-0005-0000-0000-0000D5010000}"/>
    <cellStyle name="20% - Accent1 3 2 4 2 2 4" xfId="563" xr:uid="{00000000-0005-0000-0000-0000D6010000}"/>
    <cellStyle name="20% - Accent1 3 2 4 2 2 5" xfId="564" xr:uid="{00000000-0005-0000-0000-0000D7010000}"/>
    <cellStyle name="20% - Accent1 3 2 4 2 2 6" xfId="565" xr:uid="{00000000-0005-0000-0000-0000D8010000}"/>
    <cellStyle name="20% - Accent1 3 2 4 2 3" xfId="566" xr:uid="{00000000-0005-0000-0000-0000D9010000}"/>
    <cellStyle name="20% - Accent1 3 2 4 2 3 2" xfId="567" xr:uid="{00000000-0005-0000-0000-0000DA010000}"/>
    <cellStyle name="20% - Accent1 3 2 4 2 3 2 2" xfId="568" xr:uid="{00000000-0005-0000-0000-0000DB010000}"/>
    <cellStyle name="20% - Accent1 3 2 4 2 3 2 3" xfId="569" xr:uid="{00000000-0005-0000-0000-0000DC010000}"/>
    <cellStyle name="20% - Accent1 3 2 4 2 3 3" xfId="570" xr:uid="{00000000-0005-0000-0000-0000DD010000}"/>
    <cellStyle name="20% - Accent1 3 2 4 2 3 4" xfId="571" xr:uid="{00000000-0005-0000-0000-0000DE010000}"/>
    <cellStyle name="20% - Accent1 3 2 4 2 4" xfId="572" xr:uid="{00000000-0005-0000-0000-0000DF010000}"/>
    <cellStyle name="20% - Accent1 3 2 4 2 4 2" xfId="573" xr:uid="{00000000-0005-0000-0000-0000E0010000}"/>
    <cellStyle name="20% - Accent1 3 2 4 2 4 3" xfId="574" xr:uid="{00000000-0005-0000-0000-0000E1010000}"/>
    <cellStyle name="20% - Accent1 3 2 4 2 5" xfId="575" xr:uid="{00000000-0005-0000-0000-0000E2010000}"/>
    <cellStyle name="20% - Accent1 3 2 4 2 6" xfId="576" xr:uid="{00000000-0005-0000-0000-0000E3010000}"/>
    <cellStyle name="20% - Accent1 3 2 4 2 7" xfId="577" xr:uid="{00000000-0005-0000-0000-0000E4010000}"/>
    <cellStyle name="20% - Accent1 3 2 4 3" xfId="578" xr:uid="{00000000-0005-0000-0000-0000E5010000}"/>
    <cellStyle name="20% - Accent1 3 2 4 3 2" xfId="579" xr:uid="{00000000-0005-0000-0000-0000E6010000}"/>
    <cellStyle name="20% - Accent1 3 2 4 3 2 2" xfId="580" xr:uid="{00000000-0005-0000-0000-0000E7010000}"/>
    <cellStyle name="20% - Accent1 3 2 4 3 2 2 2" xfId="581" xr:uid="{00000000-0005-0000-0000-0000E8010000}"/>
    <cellStyle name="20% - Accent1 3 2 4 3 2 2 3" xfId="582" xr:uid="{00000000-0005-0000-0000-0000E9010000}"/>
    <cellStyle name="20% - Accent1 3 2 4 3 2 3" xfId="583" xr:uid="{00000000-0005-0000-0000-0000EA010000}"/>
    <cellStyle name="20% - Accent1 3 2 4 3 2 4" xfId="584" xr:uid="{00000000-0005-0000-0000-0000EB010000}"/>
    <cellStyle name="20% - Accent1 3 2 4 3 3" xfId="585" xr:uid="{00000000-0005-0000-0000-0000EC010000}"/>
    <cellStyle name="20% - Accent1 3 2 4 3 3 2" xfId="586" xr:uid="{00000000-0005-0000-0000-0000ED010000}"/>
    <cellStyle name="20% - Accent1 3 2 4 3 3 3" xfId="587" xr:uid="{00000000-0005-0000-0000-0000EE010000}"/>
    <cellStyle name="20% - Accent1 3 2 4 3 4" xfId="588" xr:uid="{00000000-0005-0000-0000-0000EF010000}"/>
    <cellStyle name="20% - Accent1 3 2 4 3 5" xfId="589" xr:uid="{00000000-0005-0000-0000-0000F0010000}"/>
    <cellStyle name="20% - Accent1 3 2 4 3 6" xfId="590" xr:uid="{00000000-0005-0000-0000-0000F1010000}"/>
    <cellStyle name="20% - Accent1 3 2 4 4" xfId="591" xr:uid="{00000000-0005-0000-0000-0000F2010000}"/>
    <cellStyle name="20% - Accent1 3 2 4 4 2" xfId="592" xr:uid="{00000000-0005-0000-0000-0000F3010000}"/>
    <cellStyle name="20% - Accent1 3 2 4 4 2 2" xfId="593" xr:uid="{00000000-0005-0000-0000-0000F4010000}"/>
    <cellStyle name="20% - Accent1 3 2 4 4 2 3" xfId="594" xr:uid="{00000000-0005-0000-0000-0000F5010000}"/>
    <cellStyle name="20% - Accent1 3 2 4 4 3" xfId="595" xr:uid="{00000000-0005-0000-0000-0000F6010000}"/>
    <cellStyle name="20% - Accent1 3 2 4 4 4" xfId="596" xr:uid="{00000000-0005-0000-0000-0000F7010000}"/>
    <cellStyle name="20% - Accent1 3 2 4 5" xfId="597" xr:uid="{00000000-0005-0000-0000-0000F8010000}"/>
    <cellStyle name="20% - Accent1 3 2 4 5 2" xfId="598" xr:uid="{00000000-0005-0000-0000-0000F9010000}"/>
    <cellStyle name="20% - Accent1 3 2 4 5 3" xfId="599" xr:uid="{00000000-0005-0000-0000-0000FA010000}"/>
    <cellStyle name="20% - Accent1 3 2 4 6" xfId="600" xr:uid="{00000000-0005-0000-0000-0000FB010000}"/>
    <cellStyle name="20% - Accent1 3 2 4 7" xfId="601" xr:uid="{00000000-0005-0000-0000-0000FC010000}"/>
    <cellStyle name="20% - Accent1 3 2 4 8" xfId="602" xr:uid="{00000000-0005-0000-0000-0000FD010000}"/>
    <cellStyle name="20% - Accent1 3 2 5" xfId="603" xr:uid="{00000000-0005-0000-0000-0000FE010000}"/>
    <cellStyle name="20% - Accent1 3 2 5 2" xfId="604" xr:uid="{00000000-0005-0000-0000-0000FF010000}"/>
    <cellStyle name="20% - Accent1 3 2 5 2 2" xfId="605" xr:uid="{00000000-0005-0000-0000-000000020000}"/>
    <cellStyle name="20% - Accent1 3 2 5 2 2 2" xfId="606" xr:uid="{00000000-0005-0000-0000-000001020000}"/>
    <cellStyle name="20% - Accent1 3 2 5 2 2 2 2" xfId="607" xr:uid="{00000000-0005-0000-0000-000002020000}"/>
    <cellStyle name="20% - Accent1 3 2 5 2 2 2 3" xfId="608" xr:uid="{00000000-0005-0000-0000-000003020000}"/>
    <cellStyle name="20% - Accent1 3 2 5 2 2 3" xfId="609" xr:uid="{00000000-0005-0000-0000-000004020000}"/>
    <cellStyle name="20% - Accent1 3 2 5 2 2 4" xfId="610" xr:uid="{00000000-0005-0000-0000-000005020000}"/>
    <cellStyle name="20% - Accent1 3 2 5 2 3" xfId="611" xr:uid="{00000000-0005-0000-0000-000006020000}"/>
    <cellStyle name="20% - Accent1 3 2 5 2 3 2" xfId="612" xr:uid="{00000000-0005-0000-0000-000007020000}"/>
    <cellStyle name="20% - Accent1 3 2 5 2 3 3" xfId="613" xr:uid="{00000000-0005-0000-0000-000008020000}"/>
    <cellStyle name="20% - Accent1 3 2 5 2 4" xfId="614" xr:uid="{00000000-0005-0000-0000-000009020000}"/>
    <cellStyle name="20% - Accent1 3 2 5 2 5" xfId="615" xr:uid="{00000000-0005-0000-0000-00000A020000}"/>
    <cellStyle name="20% - Accent1 3 2 5 2 6" xfId="616" xr:uid="{00000000-0005-0000-0000-00000B020000}"/>
    <cellStyle name="20% - Accent1 3 2 5 3" xfId="617" xr:uid="{00000000-0005-0000-0000-00000C020000}"/>
    <cellStyle name="20% - Accent1 3 2 5 3 2" xfId="618" xr:uid="{00000000-0005-0000-0000-00000D020000}"/>
    <cellStyle name="20% - Accent1 3 2 5 3 2 2" xfId="619" xr:uid="{00000000-0005-0000-0000-00000E020000}"/>
    <cellStyle name="20% - Accent1 3 2 5 3 2 3" xfId="620" xr:uid="{00000000-0005-0000-0000-00000F020000}"/>
    <cellStyle name="20% - Accent1 3 2 5 3 3" xfId="621" xr:uid="{00000000-0005-0000-0000-000010020000}"/>
    <cellStyle name="20% - Accent1 3 2 5 3 4" xfId="622" xr:uid="{00000000-0005-0000-0000-000011020000}"/>
    <cellStyle name="20% - Accent1 3 2 5 4" xfId="623" xr:uid="{00000000-0005-0000-0000-000012020000}"/>
    <cellStyle name="20% - Accent1 3 2 5 4 2" xfId="624" xr:uid="{00000000-0005-0000-0000-000013020000}"/>
    <cellStyle name="20% - Accent1 3 2 5 4 3" xfId="625" xr:uid="{00000000-0005-0000-0000-000014020000}"/>
    <cellStyle name="20% - Accent1 3 2 5 5" xfId="626" xr:uid="{00000000-0005-0000-0000-000015020000}"/>
    <cellStyle name="20% - Accent1 3 2 5 6" xfId="627" xr:uid="{00000000-0005-0000-0000-000016020000}"/>
    <cellStyle name="20% - Accent1 3 2 5 7" xfId="628" xr:uid="{00000000-0005-0000-0000-000017020000}"/>
    <cellStyle name="20% - Accent1 3 2 6" xfId="629" xr:uid="{00000000-0005-0000-0000-000018020000}"/>
    <cellStyle name="20% - Accent1 3 2 6 2" xfId="630" xr:uid="{00000000-0005-0000-0000-000019020000}"/>
    <cellStyle name="20% - Accent1 3 2 6 2 2" xfId="631" xr:uid="{00000000-0005-0000-0000-00001A020000}"/>
    <cellStyle name="20% - Accent1 3 2 6 2 2 2" xfId="632" xr:uid="{00000000-0005-0000-0000-00001B020000}"/>
    <cellStyle name="20% - Accent1 3 2 6 2 2 3" xfId="633" xr:uid="{00000000-0005-0000-0000-00001C020000}"/>
    <cellStyle name="20% - Accent1 3 2 6 2 3" xfId="634" xr:uid="{00000000-0005-0000-0000-00001D020000}"/>
    <cellStyle name="20% - Accent1 3 2 6 2 4" xfId="635" xr:uid="{00000000-0005-0000-0000-00001E020000}"/>
    <cellStyle name="20% - Accent1 3 2 6 3" xfId="636" xr:uid="{00000000-0005-0000-0000-00001F020000}"/>
    <cellStyle name="20% - Accent1 3 2 6 3 2" xfId="637" xr:uid="{00000000-0005-0000-0000-000020020000}"/>
    <cellStyle name="20% - Accent1 3 2 6 3 3" xfId="638" xr:uid="{00000000-0005-0000-0000-000021020000}"/>
    <cellStyle name="20% - Accent1 3 2 6 4" xfId="639" xr:uid="{00000000-0005-0000-0000-000022020000}"/>
    <cellStyle name="20% - Accent1 3 2 6 5" xfId="640" xr:uid="{00000000-0005-0000-0000-000023020000}"/>
    <cellStyle name="20% - Accent1 3 2 6 6" xfId="641" xr:uid="{00000000-0005-0000-0000-000024020000}"/>
    <cellStyle name="20% - Accent1 3 2 7" xfId="642" xr:uid="{00000000-0005-0000-0000-000025020000}"/>
    <cellStyle name="20% - Accent1 3 2 7 2" xfId="643" xr:uid="{00000000-0005-0000-0000-000026020000}"/>
    <cellStyle name="20% - Accent1 3 2 7 2 2" xfId="644" xr:uid="{00000000-0005-0000-0000-000027020000}"/>
    <cellStyle name="20% - Accent1 3 2 7 2 3" xfId="645" xr:uid="{00000000-0005-0000-0000-000028020000}"/>
    <cellStyle name="20% - Accent1 3 2 7 3" xfId="646" xr:uid="{00000000-0005-0000-0000-000029020000}"/>
    <cellStyle name="20% - Accent1 3 2 7 4" xfId="647" xr:uid="{00000000-0005-0000-0000-00002A020000}"/>
    <cellStyle name="20% - Accent1 3 2 8" xfId="648" xr:uid="{00000000-0005-0000-0000-00002B020000}"/>
    <cellStyle name="20% - Accent1 3 2 8 2" xfId="649" xr:uid="{00000000-0005-0000-0000-00002C020000}"/>
    <cellStyle name="20% - Accent1 3 2 8 3" xfId="650" xr:uid="{00000000-0005-0000-0000-00002D020000}"/>
    <cellStyle name="20% - Accent1 3 2 9" xfId="651" xr:uid="{00000000-0005-0000-0000-00002E020000}"/>
    <cellStyle name="20% - Accent1 3 3" xfId="652" xr:uid="{00000000-0005-0000-0000-00002F020000}"/>
    <cellStyle name="20% - Accent1 3 3 10" xfId="653" xr:uid="{00000000-0005-0000-0000-000030020000}"/>
    <cellStyle name="20% - Accent1 3 3 2" xfId="654" xr:uid="{00000000-0005-0000-0000-000031020000}"/>
    <cellStyle name="20% - Accent1 3 3 2 2" xfId="655" xr:uid="{00000000-0005-0000-0000-000032020000}"/>
    <cellStyle name="20% - Accent1 3 3 2 2 2" xfId="656" xr:uid="{00000000-0005-0000-0000-000033020000}"/>
    <cellStyle name="20% - Accent1 3 3 2 2 2 2" xfId="657" xr:uid="{00000000-0005-0000-0000-000034020000}"/>
    <cellStyle name="20% - Accent1 3 3 2 2 2 2 2" xfId="658" xr:uid="{00000000-0005-0000-0000-000035020000}"/>
    <cellStyle name="20% - Accent1 3 3 2 2 2 2 2 2" xfId="659" xr:uid="{00000000-0005-0000-0000-000036020000}"/>
    <cellStyle name="20% - Accent1 3 3 2 2 2 2 2 2 2" xfId="660" xr:uid="{00000000-0005-0000-0000-000037020000}"/>
    <cellStyle name="20% - Accent1 3 3 2 2 2 2 2 2 3" xfId="661" xr:uid="{00000000-0005-0000-0000-000038020000}"/>
    <cellStyle name="20% - Accent1 3 3 2 2 2 2 2 3" xfId="662" xr:uid="{00000000-0005-0000-0000-000039020000}"/>
    <cellStyle name="20% - Accent1 3 3 2 2 2 2 2 4" xfId="663" xr:uid="{00000000-0005-0000-0000-00003A020000}"/>
    <cellStyle name="20% - Accent1 3 3 2 2 2 2 3" xfId="664" xr:uid="{00000000-0005-0000-0000-00003B020000}"/>
    <cellStyle name="20% - Accent1 3 3 2 2 2 2 3 2" xfId="665" xr:uid="{00000000-0005-0000-0000-00003C020000}"/>
    <cellStyle name="20% - Accent1 3 3 2 2 2 2 3 3" xfId="666" xr:uid="{00000000-0005-0000-0000-00003D020000}"/>
    <cellStyle name="20% - Accent1 3 3 2 2 2 2 4" xfId="667" xr:uid="{00000000-0005-0000-0000-00003E020000}"/>
    <cellStyle name="20% - Accent1 3 3 2 2 2 2 5" xfId="668" xr:uid="{00000000-0005-0000-0000-00003F020000}"/>
    <cellStyle name="20% - Accent1 3 3 2 2 2 2 6" xfId="669" xr:uid="{00000000-0005-0000-0000-000040020000}"/>
    <cellStyle name="20% - Accent1 3 3 2 2 2 3" xfId="670" xr:uid="{00000000-0005-0000-0000-000041020000}"/>
    <cellStyle name="20% - Accent1 3 3 2 2 2 3 2" xfId="671" xr:uid="{00000000-0005-0000-0000-000042020000}"/>
    <cellStyle name="20% - Accent1 3 3 2 2 2 3 2 2" xfId="672" xr:uid="{00000000-0005-0000-0000-000043020000}"/>
    <cellStyle name="20% - Accent1 3 3 2 2 2 3 2 3" xfId="673" xr:uid="{00000000-0005-0000-0000-000044020000}"/>
    <cellStyle name="20% - Accent1 3 3 2 2 2 3 3" xfId="674" xr:uid="{00000000-0005-0000-0000-000045020000}"/>
    <cellStyle name="20% - Accent1 3 3 2 2 2 3 4" xfId="675" xr:uid="{00000000-0005-0000-0000-000046020000}"/>
    <cellStyle name="20% - Accent1 3 3 2 2 2 4" xfId="676" xr:uid="{00000000-0005-0000-0000-000047020000}"/>
    <cellStyle name="20% - Accent1 3 3 2 2 2 4 2" xfId="677" xr:uid="{00000000-0005-0000-0000-000048020000}"/>
    <cellStyle name="20% - Accent1 3 3 2 2 2 4 3" xfId="678" xr:uid="{00000000-0005-0000-0000-000049020000}"/>
    <cellStyle name="20% - Accent1 3 3 2 2 2 5" xfId="679" xr:uid="{00000000-0005-0000-0000-00004A020000}"/>
    <cellStyle name="20% - Accent1 3 3 2 2 2 6" xfId="680" xr:uid="{00000000-0005-0000-0000-00004B020000}"/>
    <cellStyle name="20% - Accent1 3 3 2 2 2 7" xfId="681" xr:uid="{00000000-0005-0000-0000-00004C020000}"/>
    <cellStyle name="20% - Accent1 3 3 2 2 3" xfId="682" xr:uid="{00000000-0005-0000-0000-00004D020000}"/>
    <cellStyle name="20% - Accent1 3 3 2 2 3 2" xfId="683" xr:uid="{00000000-0005-0000-0000-00004E020000}"/>
    <cellStyle name="20% - Accent1 3 3 2 2 3 2 2" xfId="684" xr:uid="{00000000-0005-0000-0000-00004F020000}"/>
    <cellStyle name="20% - Accent1 3 3 2 2 3 2 2 2" xfId="685" xr:uid="{00000000-0005-0000-0000-000050020000}"/>
    <cellStyle name="20% - Accent1 3 3 2 2 3 2 2 3" xfId="686" xr:uid="{00000000-0005-0000-0000-000051020000}"/>
    <cellStyle name="20% - Accent1 3 3 2 2 3 2 3" xfId="687" xr:uid="{00000000-0005-0000-0000-000052020000}"/>
    <cellStyle name="20% - Accent1 3 3 2 2 3 2 4" xfId="688" xr:uid="{00000000-0005-0000-0000-000053020000}"/>
    <cellStyle name="20% - Accent1 3 3 2 2 3 3" xfId="689" xr:uid="{00000000-0005-0000-0000-000054020000}"/>
    <cellStyle name="20% - Accent1 3 3 2 2 3 3 2" xfId="690" xr:uid="{00000000-0005-0000-0000-000055020000}"/>
    <cellStyle name="20% - Accent1 3 3 2 2 3 3 3" xfId="691" xr:uid="{00000000-0005-0000-0000-000056020000}"/>
    <cellStyle name="20% - Accent1 3 3 2 2 3 4" xfId="692" xr:uid="{00000000-0005-0000-0000-000057020000}"/>
    <cellStyle name="20% - Accent1 3 3 2 2 3 5" xfId="693" xr:uid="{00000000-0005-0000-0000-000058020000}"/>
    <cellStyle name="20% - Accent1 3 3 2 2 3 6" xfId="694" xr:uid="{00000000-0005-0000-0000-000059020000}"/>
    <cellStyle name="20% - Accent1 3 3 2 2 4" xfId="695" xr:uid="{00000000-0005-0000-0000-00005A020000}"/>
    <cellStyle name="20% - Accent1 3 3 2 2 4 2" xfId="696" xr:uid="{00000000-0005-0000-0000-00005B020000}"/>
    <cellStyle name="20% - Accent1 3 3 2 2 4 2 2" xfId="697" xr:uid="{00000000-0005-0000-0000-00005C020000}"/>
    <cellStyle name="20% - Accent1 3 3 2 2 4 2 3" xfId="698" xr:uid="{00000000-0005-0000-0000-00005D020000}"/>
    <cellStyle name="20% - Accent1 3 3 2 2 4 3" xfId="699" xr:uid="{00000000-0005-0000-0000-00005E020000}"/>
    <cellStyle name="20% - Accent1 3 3 2 2 4 4" xfId="700" xr:uid="{00000000-0005-0000-0000-00005F020000}"/>
    <cellStyle name="20% - Accent1 3 3 2 2 5" xfId="701" xr:uid="{00000000-0005-0000-0000-000060020000}"/>
    <cellStyle name="20% - Accent1 3 3 2 2 5 2" xfId="702" xr:uid="{00000000-0005-0000-0000-000061020000}"/>
    <cellStyle name="20% - Accent1 3 3 2 2 5 3" xfId="703" xr:uid="{00000000-0005-0000-0000-000062020000}"/>
    <cellStyle name="20% - Accent1 3 3 2 2 6" xfId="704" xr:uid="{00000000-0005-0000-0000-000063020000}"/>
    <cellStyle name="20% - Accent1 3 3 2 2 7" xfId="705" xr:uid="{00000000-0005-0000-0000-000064020000}"/>
    <cellStyle name="20% - Accent1 3 3 2 2 8" xfId="706" xr:uid="{00000000-0005-0000-0000-000065020000}"/>
    <cellStyle name="20% - Accent1 3 3 2 3" xfId="707" xr:uid="{00000000-0005-0000-0000-000066020000}"/>
    <cellStyle name="20% - Accent1 3 3 2 3 2" xfId="708" xr:uid="{00000000-0005-0000-0000-000067020000}"/>
    <cellStyle name="20% - Accent1 3 3 2 3 2 2" xfId="709" xr:uid="{00000000-0005-0000-0000-000068020000}"/>
    <cellStyle name="20% - Accent1 3 3 2 3 2 2 2" xfId="710" xr:uid="{00000000-0005-0000-0000-000069020000}"/>
    <cellStyle name="20% - Accent1 3 3 2 3 2 2 2 2" xfId="711" xr:uid="{00000000-0005-0000-0000-00006A020000}"/>
    <cellStyle name="20% - Accent1 3 3 2 3 2 2 2 3" xfId="712" xr:uid="{00000000-0005-0000-0000-00006B020000}"/>
    <cellStyle name="20% - Accent1 3 3 2 3 2 2 3" xfId="713" xr:uid="{00000000-0005-0000-0000-00006C020000}"/>
    <cellStyle name="20% - Accent1 3 3 2 3 2 2 4" xfId="714" xr:uid="{00000000-0005-0000-0000-00006D020000}"/>
    <cellStyle name="20% - Accent1 3 3 2 3 2 3" xfId="715" xr:uid="{00000000-0005-0000-0000-00006E020000}"/>
    <cellStyle name="20% - Accent1 3 3 2 3 2 3 2" xfId="716" xr:uid="{00000000-0005-0000-0000-00006F020000}"/>
    <cellStyle name="20% - Accent1 3 3 2 3 2 3 3" xfId="717" xr:uid="{00000000-0005-0000-0000-000070020000}"/>
    <cellStyle name="20% - Accent1 3 3 2 3 2 4" xfId="718" xr:uid="{00000000-0005-0000-0000-000071020000}"/>
    <cellStyle name="20% - Accent1 3 3 2 3 2 5" xfId="719" xr:uid="{00000000-0005-0000-0000-000072020000}"/>
    <cellStyle name="20% - Accent1 3 3 2 3 2 6" xfId="720" xr:uid="{00000000-0005-0000-0000-000073020000}"/>
    <cellStyle name="20% - Accent1 3 3 2 3 3" xfId="721" xr:uid="{00000000-0005-0000-0000-000074020000}"/>
    <cellStyle name="20% - Accent1 3 3 2 3 3 2" xfId="722" xr:uid="{00000000-0005-0000-0000-000075020000}"/>
    <cellStyle name="20% - Accent1 3 3 2 3 3 2 2" xfId="723" xr:uid="{00000000-0005-0000-0000-000076020000}"/>
    <cellStyle name="20% - Accent1 3 3 2 3 3 2 3" xfId="724" xr:uid="{00000000-0005-0000-0000-000077020000}"/>
    <cellStyle name="20% - Accent1 3 3 2 3 3 3" xfId="725" xr:uid="{00000000-0005-0000-0000-000078020000}"/>
    <cellStyle name="20% - Accent1 3 3 2 3 3 4" xfId="726" xr:uid="{00000000-0005-0000-0000-000079020000}"/>
    <cellStyle name="20% - Accent1 3 3 2 3 4" xfId="727" xr:uid="{00000000-0005-0000-0000-00007A020000}"/>
    <cellStyle name="20% - Accent1 3 3 2 3 4 2" xfId="728" xr:uid="{00000000-0005-0000-0000-00007B020000}"/>
    <cellStyle name="20% - Accent1 3 3 2 3 4 3" xfId="729" xr:uid="{00000000-0005-0000-0000-00007C020000}"/>
    <cellStyle name="20% - Accent1 3 3 2 3 5" xfId="730" xr:uid="{00000000-0005-0000-0000-00007D020000}"/>
    <cellStyle name="20% - Accent1 3 3 2 3 6" xfId="731" xr:uid="{00000000-0005-0000-0000-00007E020000}"/>
    <cellStyle name="20% - Accent1 3 3 2 3 7" xfId="732" xr:uid="{00000000-0005-0000-0000-00007F020000}"/>
    <cellStyle name="20% - Accent1 3 3 2 4" xfId="733" xr:uid="{00000000-0005-0000-0000-000080020000}"/>
    <cellStyle name="20% - Accent1 3 3 2 4 2" xfId="734" xr:uid="{00000000-0005-0000-0000-000081020000}"/>
    <cellStyle name="20% - Accent1 3 3 2 4 2 2" xfId="735" xr:uid="{00000000-0005-0000-0000-000082020000}"/>
    <cellStyle name="20% - Accent1 3 3 2 4 2 2 2" xfId="736" xr:uid="{00000000-0005-0000-0000-000083020000}"/>
    <cellStyle name="20% - Accent1 3 3 2 4 2 2 3" xfId="737" xr:uid="{00000000-0005-0000-0000-000084020000}"/>
    <cellStyle name="20% - Accent1 3 3 2 4 2 3" xfId="738" xr:uid="{00000000-0005-0000-0000-000085020000}"/>
    <cellStyle name="20% - Accent1 3 3 2 4 2 4" xfId="739" xr:uid="{00000000-0005-0000-0000-000086020000}"/>
    <cellStyle name="20% - Accent1 3 3 2 4 3" xfId="740" xr:uid="{00000000-0005-0000-0000-000087020000}"/>
    <cellStyle name="20% - Accent1 3 3 2 4 3 2" xfId="741" xr:uid="{00000000-0005-0000-0000-000088020000}"/>
    <cellStyle name="20% - Accent1 3 3 2 4 3 3" xfId="742" xr:uid="{00000000-0005-0000-0000-000089020000}"/>
    <cellStyle name="20% - Accent1 3 3 2 4 4" xfId="743" xr:uid="{00000000-0005-0000-0000-00008A020000}"/>
    <cellStyle name="20% - Accent1 3 3 2 4 5" xfId="744" xr:uid="{00000000-0005-0000-0000-00008B020000}"/>
    <cellStyle name="20% - Accent1 3 3 2 4 6" xfId="745" xr:uid="{00000000-0005-0000-0000-00008C020000}"/>
    <cellStyle name="20% - Accent1 3 3 2 5" xfId="746" xr:uid="{00000000-0005-0000-0000-00008D020000}"/>
    <cellStyle name="20% - Accent1 3 3 2 5 2" xfId="747" xr:uid="{00000000-0005-0000-0000-00008E020000}"/>
    <cellStyle name="20% - Accent1 3 3 2 5 2 2" xfId="748" xr:uid="{00000000-0005-0000-0000-00008F020000}"/>
    <cellStyle name="20% - Accent1 3 3 2 5 2 3" xfId="749" xr:uid="{00000000-0005-0000-0000-000090020000}"/>
    <cellStyle name="20% - Accent1 3 3 2 5 3" xfId="750" xr:uid="{00000000-0005-0000-0000-000091020000}"/>
    <cellStyle name="20% - Accent1 3 3 2 5 4" xfId="751" xr:uid="{00000000-0005-0000-0000-000092020000}"/>
    <cellStyle name="20% - Accent1 3 3 2 6" xfId="752" xr:uid="{00000000-0005-0000-0000-000093020000}"/>
    <cellStyle name="20% - Accent1 3 3 2 6 2" xfId="753" xr:uid="{00000000-0005-0000-0000-000094020000}"/>
    <cellStyle name="20% - Accent1 3 3 2 6 3" xfId="754" xr:uid="{00000000-0005-0000-0000-000095020000}"/>
    <cellStyle name="20% - Accent1 3 3 2 7" xfId="755" xr:uid="{00000000-0005-0000-0000-000096020000}"/>
    <cellStyle name="20% - Accent1 3 3 2 8" xfId="756" xr:uid="{00000000-0005-0000-0000-000097020000}"/>
    <cellStyle name="20% - Accent1 3 3 2 9" xfId="757" xr:uid="{00000000-0005-0000-0000-000098020000}"/>
    <cellStyle name="20% - Accent1 3 3 3" xfId="758" xr:uid="{00000000-0005-0000-0000-000099020000}"/>
    <cellStyle name="20% - Accent1 3 3 3 2" xfId="759" xr:uid="{00000000-0005-0000-0000-00009A020000}"/>
    <cellStyle name="20% - Accent1 3 3 3 2 2" xfId="760" xr:uid="{00000000-0005-0000-0000-00009B020000}"/>
    <cellStyle name="20% - Accent1 3 3 3 2 2 2" xfId="761" xr:uid="{00000000-0005-0000-0000-00009C020000}"/>
    <cellStyle name="20% - Accent1 3 3 3 2 2 2 2" xfId="762" xr:uid="{00000000-0005-0000-0000-00009D020000}"/>
    <cellStyle name="20% - Accent1 3 3 3 2 2 2 2 2" xfId="763" xr:uid="{00000000-0005-0000-0000-00009E020000}"/>
    <cellStyle name="20% - Accent1 3 3 3 2 2 2 2 3" xfId="764" xr:uid="{00000000-0005-0000-0000-00009F020000}"/>
    <cellStyle name="20% - Accent1 3 3 3 2 2 2 3" xfId="765" xr:uid="{00000000-0005-0000-0000-0000A0020000}"/>
    <cellStyle name="20% - Accent1 3 3 3 2 2 2 4" xfId="766" xr:uid="{00000000-0005-0000-0000-0000A1020000}"/>
    <cellStyle name="20% - Accent1 3 3 3 2 2 3" xfId="767" xr:uid="{00000000-0005-0000-0000-0000A2020000}"/>
    <cellStyle name="20% - Accent1 3 3 3 2 2 3 2" xfId="768" xr:uid="{00000000-0005-0000-0000-0000A3020000}"/>
    <cellStyle name="20% - Accent1 3 3 3 2 2 3 3" xfId="769" xr:uid="{00000000-0005-0000-0000-0000A4020000}"/>
    <cellStyle name="20% - Accent1 3 3 3 2 2 4" xfId="770" xr:uid="{00000000-0005-0000-0000-0000A5020000}"/>
    <cellStyle name="20% - Accent1 3 3 3 2 2 5" xfId="771" xr:uid="{00000000-0005-0000-0000-0000A6020000}"/>
    <cellStyle name="20% - Accent1 3 3 3 2 2 6" xfId="772" xr:uid="{00000000-0005-0000-0000-0000A7020000}"/>
    <cellStyle name="20% - Accent1 3 3 3 2 3" xfId="773" xr:uid="{00000000-0005-0000-0000-0000A8020000}"/>
    <cellStyle name="20% - Accent1 3 3 3 2 3 2" xfId="774" xr:uid="{00000000-0005-0000-0000-0000A9020000}"/>
    <cellStyle name="20% - Accent1 3 3 3 2 3 2 2" xfId="775" xr:uid="{00000000-0005-0000-0000-0000AA020000}"/>
    <cellStyle name="20% - Accent1 3 3 3 2 3 2 3" xfId="776" xr:uid="{00000000-0005-0000-0000-0000AB020000}"/>
    <cellStyle name="20% - Accent1 3 3 3 2 3 3" xfId="777" xr:uid="{00000000-0005-0000-0000-0000AC020000}"/>
    <cellStyle name="20% - Accent1 3 3 3 2 3 4" xfId="778" xr:uid="{00000000-0005-0000-0000-0000AD020000}"/>
    <cellStyle name="20% - Accent1 3 3 3 2 4" xfId="779" xr:uid="{00000000-0005-0000-0000-0000AE020000}"/>
    <cellStyle name="20% - Accent1 3 3 3 2 4 2" xfId="780" xr:uid="{00000000-0005-0000-0000-0000AF020000}"/>
    <cellStyle name="20% - Accent1 3 3 3 2 4 3" xfId="781" xr:uid="{00000000-0005-0000-0000-0000B0020000}"/>
    <cellStyle name="20% - Accent1 3 3 3 2 5" xfId="782" xr:uid="{00000000-0005-0000-0000-0000B1020000}"/>
    <cellStyle name="20% - Accent1 3 3 3 2 6" xfId="783" xr:uid="{00000000-0005-0000-0000-0000B2020000}"/>
    <cellStyle name="20% - Accent1 3 3 3 2 7" xfId="784" xr:uid="{00000000-0005-0000-0000-0000B3020000}"/>
    <cellStyle name="20% - Accent1 3 3 3 3" xfId="785" xr:uid="{00000000-0005-0000-0000-0000B4020000}"/>
    <cellStyle name="20% - Accent1 3 3 3 3 2" xfId="786" xr:uid="{00000000-0005-0000-0000-0000B5020000}"/>
    <cellStyle name="20% - Accent1 3 3 3 3 2 2" xfId="787" xr:uid="{00000000-0005-0000-0000-0000B6020000}"/>
    <cellStyle name="20% - Accent1 3 3 3 3 2 2 2" xfId="788" xr:uid="{00000000-0005-0000-0000-0000B7020000}"/>
    <cellStyle name="20% - Accent1 3 3 3 3 2 2 3" xfId="789" xr:uid="{00000000-0005-0000-0000-0000B8020000}"/>
    <cellStyle name="20% - Accent1 3 3 3 3 2 3" xfId="790" xr:uid="{00000000-0005-0000-0000-0000B9020000}"/>
    <cellStyle name="20% - Accent1 3 3 3 3 2 4" xfId="791" xr:uid="{00000000-0005-0000-0000-0000BA020000}"/>
    <cellStyle name="20% - Accent1 3 3 3 3 3" xfId="792" xr:uid="{00000000-0005-0000-0000-0000BB020000}"/>
    <cellStyle name="20% - Accent1 3 3 3 3 3 2" xfId="793" xr:uid="{00000000-0005-0000-0000-0000BC020000}"/>
    <cellStyle name="20% - Accent1 3 3 3 3 3 3" xfId="794" xr:uid="{00000000-0005-0000-0000-0000BD020000}"/>
    <cellStyle name="20% - Accent1 3 3 3 3 4" xfId="795" xr:uid="{00000000-0005-0000-0000-0000BE020000}"/>
    <cellStyle name="20% - Accent1 3 3 3 3 5" xfId="796" xr:uid="{00000000-0005-0000-0000-0000BF020000}"/>
    <cellStyle name="20% - Accent1 3 3 3 3 6" xfId="797" xr:uid="{00000000-0005-0000-0000-0000C0020000}"/>
    <cellStyle name="20% - Accent1 3 3 3 4" xfId="798" xr:uid="{00000000-0005-0000-0000-0000C1020000}"/>
    <cellStyle name="20% - Accent1 3 3 3 4 2" xfId="799" xr:uid="{00000000-0005-0000-0000-0000C2020000}"/>
    <cellStyle name="20% - Accent1 3 3 3 4 2 2" xfId="800" xr:uid="{00000000-0005-0000-0000-0000C3020000}"/>
    <cellStyle name="20% - Accent1 3 3 3 4 2 3" xfId="801" xr:uid="{00000000-0005-0000-0000-0000C4020000}"/>
    <cellStyle name="20% - Accent1 3 3 3 4 3" xfId="802" xr:uid="{00000000-0005-0000-0000-0000C5020000}"/>
    <cellStyle name="20% - Accent1 3 3 3 4 4" xfId="803" xr:uid="{00000000-0005-0000-0000-0000C6020000}"/>
    <cellStyle name="20% - Accent1 3 3 3 5" xfId="804" xr:uid="{00000000-0005-0000-0000-0000C7020000}"/>
    <cellStyle name="20% - Accent1 3 3 3 5 2" xfId="805" xr:uid="{00000000-0005-0000-0000-0000C8020000}"/>
    <cellStyle name="20% - Accent1 3 3 3 5 3" xfId="806" xr:uid="{00000000-0005-0000-0000-0000C9020000}"/>
    <cellStyle name="20% - Accent1 3 3 3 6" xfId="807" xr:uid="{00000000-0005-0000-0000-0000CA020000}"/>
    <cellStyle name="20% - Accent1 3 3 3 7" xfId="808" xr:uid="{00000000-0005-0000-0000-0000CB020000}"/>
    <cellStyle name="20% - Accent1 3 3 3 8" xfId="809" xr:uid="{00000000-0005-0000-0000-0000CC020000}"/>
    <cellStyle name="20% - Accent1 3 3 4" xfId="810" xr:uid="{00000000-0005-0000-0000-0000CD020000}"/>
    <cellStyle name="20% - Accent1 3 3 4 2" xfId="811" xr:uid="{00000000-0005-0000-0000-0000CE020000}"/>
    <cellStyle name="20% - Accent1 3 3 4 2 2" xfId="812" xr:uid="{00000000-0005-0000-0000-0000CF020000}"/>
    <cellStyle name="20% - Accent1 3 3 4 2 2 2" xfId="813" xr:uid="{00000000-0005-0000-0000-0000D0020000}"/>
    <cellStyle name="20% - Accent1 3 3 4 2 2 2 2" xfId="814" xr:uid="{00000000-0005-0000-0000-0000D1020000}"/>
    <cellStyle name="20% - Accent1 3 3 4 2 2 2 3" xfId="815" xr:uid="{00000000-0005-0000-0000-0000D2020000}"/>
    <cellStyle name="20% - Accent1 3 3 4 2 2 3" xfId="816" xr:uid="{00000000-0005-0000-0000-0000D3020000}"/>
    <cellStyle name="20% - Accent1 3 3 4 2 2 4" xfId="817" xr:uid="{00000000-0005-0000-0000-0000D4020000}"/>
    <cellStyle name="20% - Accent1 3 3 4 2 3" xfId="818" xr:uid="{00000000-0005-0000-0000-0000D5020000}"/>
    <cellStyle name="20% - Accent1 3 3 4 2 3 2" xfId="819" xr:uid="{00000000-0005-0000-0000-0000D6020000}"/>
    <cellStyle name="20% - Accent1 3 3 4 2 3 3" xfId="820" xr:uid="{00000000-0005-0000-0000-0000D7020000}"/>
    <cellStyle name="20% - Accent1 3 3 4 2 4" xfId="821" xr:uid="{00000000-0005-0000-0000-0000D8020000}"/>
    <cellStyle name="20% - Accent1 3 3 4 2 5" xfId="822" xr:uid="{00000000-0005-0000-0000-0000D9020000}"/>
    <cellStyle name="20% - Accent1 3 3 4 2 6" xfId="823" xr:uid="{00000000-0005-0000-0000-0000DA020000}"/>
    <cellStyle name="20% - Accent1 3 3 4 3" xfId="824" xr:uid="{00000000-0005-0000-0000-0000DB020000}"/>
    <cellStyle name="20% - Accent1 3 3 4 3 2" xfId="825" xr:uid="{00000000-0005-0000-0000-0000DC020000}"/>
    <cellStyle name="20% - Accent1 3 3 4 3 2 2" xfId="826" xr:uid="{00000000-0005-0000-0000-0000DD020000}"/>
    <cellStyle name="20% - Accent1 3 3 4 3 2 3" xfId="827" xr:uid="{00000000-0005-0000-0000-0000DE020000}"/>
    <cellStyle name="20% - Accent1 3 3 4 3 3" xfId="828" xr:uid="{00000000-0005-0000-0000-0000DF020000}"/>
    <cellStyle name="20% - Accent1 3 3 4 3 4" xfId="829" xr:uid="{00000000-0005-0000-0000-0000E0020000}"/>
    <cellStyle name="20% - Accent1 3 3 4 4" xfId="830" xr:uid="{00000000-0005-0000-0000-0000E1020000}"/>
    <cellStyle name="20% - Accent1 3 3 4 4 2" xfId="831" xr:uid="{00000000-0005-0000-0000-0000E2020000}"/>
    <cellStyle name="20% - Accent1 3 3 4 4 3" xfId="832" xr:uid="{00000000-0005-0000-0000-0000E3020000}"/>
    <cellStyle name="20% - Accent1 3 3 4 5" xfId="833" xr:uid="{00000000-0005-0000-0000-0000E4020000}"/>
    <cellStyle name="20% - Accent1 3 3 4 6" xfId="834" xr:uid="{00000000-0005-0000-0000-0000E5020000}"/>
    <cellStyle name="20% - Accent1 3 3 4 7" xfId="835" xr:uid="{00000000-0005-0000-0000-0000E6020000}"/>
    <cellStyle name="20% - Accent1 3 3 5" xfId="836" xr:uid="{00000000-0005-0000-0000-0000E7020000}"/>
    <cellStyle name="20% - Accent1 3 3 5 2" xfId="837" xr:uid="{00000000-0005-0000-0000-0000E8020000}"/>
    <cellStyle name="20% - Accent1 3 3 5 2 2" xfId="838" xr:uid="{00000000-0005-0000-0000-0000E9020000}"/>
    <cellStyle name="20% - Accent1 3 3 5 2 2 2" xfId="839" xr:uid="{00000000-0005-0000-0000-0000EA020000}"/>
    <cellStyle name="20% - Accent1 3 3 5 2 2 3" xfId="840" xr:uid="{00000000-0005-0000-0000-0000EB020000}"/>
    <cellStyle name="20% - Accent1 3 3 5 2 3" xfId="841" xr:uid="{00000000-0005-0000-0000-0000EC020000}"/>
    <cellStyle name="20% - Accent1 3 3 5 2 4" xfId="842" xr:uid="{00000000-0005-0000-0000-0000ED020000}"/>
    <cellStyle name="20% - Accent1 3 3 5 3" xfId="843" xr:uid="{00000000-0005-0000-0000-0000EE020000}"/>
    <cellStyle name="20% - Accent1 3 3 5 3 2" xfId="844" xr:uid="{00000000-0005-0000-0000-0000EF020000}"/>
    <cellStyle name="20% - Accent1 3 3 5 3 3" xfId="845" xr:uid="{00000000-0005-0000-0000-0000F0020000}"/>
    <cellStyle name="20% - Accent1 3 3 5 4" xfId="846" xr:uid="{00000000-0005-0000-0000-0000F1020000}"/>
    <cellStyle name="20% - Accent1 3 3 5 5" xfId="847" xr:uid="{00000000-0005-0000-0000-0000F2020000}"/>
    <cellStyle name="20% - Accent1 3 3 5 6" xfId="848" xr:uid="{00000000-0005-0000-0000-0000F3020000}"/>
    <cellStyle name="20% - Accent1 3 3 6" xfId="849" xr:uid="{00000000-0005-0000-0000-0000F4020000}"/>
    <cellStyle name="20% - Accent1 3 3 6 2" xfId="850" xr:uid="{00000000-0005-0000-0000-0000F5020000}"/>
    <cellStyle name="20% - Accent1 3 3 6 2 2" xfId="851" xr:uid="{00000000-0005-0000-0000-0000F6020000}"/>
    <cellStyle name="20% - Accent1 3 3 6 2 3" xfId="852" xr:uid="{00000000-0005-0000-0000-0000F7020000}"/>
    <cellStyle name="20% - Accent1 3 3 6 3" xfId="853" xr:uid="{00000000-0005-0000-0000-0000F8020000}"/>
    <cellStyle name="20% - Accent1 3 3 6 4" xfId="854" xr:uid="{00000000-0005-0000-0000-0000F9020000}"/>
    <cellStyle name="20% - Accent1 3 3 7" xfId="855" xr:uid="{00000000-0005-0000-0000-0000FA020000}"/>
    <cellStyle name="20% - Accent1 3 3 7 2" xfId="856" xr:uid="{00000000-0005-0000-0000-0000FB020000}"/>
    <cellStyle name="20% - Accent1 3 3 7 3" xfId="857" xr:uid="{00000000-0005-0000-0000-0000FC020000}"/>
    <cellStyle name="20% - Accent1 3 3 8" xfId="858" xr:uid="{00000000-0005-0000-0000-0000FD020000}"/>
    <cellStyle name="20% - Accent1 3 3 9" xfId="859" xr:uid="{00000000-0005-0000-0000-0000FE020000}"/>
    <cellStyle name="20% - Accent1 3 4" xfId="860" xr:uid="{00000000-0005-0000-0000-0000FF020000}"/>
    <cellStyle name="20% - Accent1 3 4 2" xfId="861" xr:uid="{00000000-0005-0000-0000-000000030000}"/>
    <cellStyle name="20% - Accent1 3 4 2 2" xfId="862" xr:uid="{00000000-0005-0000-0000-000001030000}"/>
    <cellStyle name="20% - Accent1 3 4 2 2 2" xfId="863" xr:uid="{00000000-0005-0000-0000-000002030000}"/>
    <cellStyle name="20% - Accent1 3 4 2 2 2 2" xfId="864" xr:uid="{00000000-0005-0000-0000-000003030000}"/>
    <cellStyle name="20% - Accent1 3 4 2 2 2 2 2" xfId="865" xr:uid="{00000000-0005-0000-0000-000004030000}"/>
    <cellStyle name="20% - Accent1 3 4 2 2 2 2 2 2" xfId="866" xr:uid="{00000000-0005-0000-0000-000005030000}"/>
    <cellStyle name="20% - Accent1 3 4 2 2 2 2 2 3" xfId="867" xr:uid="{00000000-0005-0000-0000-000006030000}"/>
    <cellStyle name="20% - Accent1 3 4 2 2 2 2 3" xfId="868" xr:uid="{00000000-0005-0000-0000-000007030000}"/>
    <cellStyle name="20% - Accent1 3 4 2 2 2 2 4" xfId="869" xr:uid="{00000000-0005-0000-0000-000008030000}"/>
    <cellStyle name="20% - Accent1 3 4 2 2 2 3" xfId="870" xr:uid="{00000000-0005-0000-0000-000009030000}"/>
    <cellStyle name="20% - Accent1 3 4 2 2 2 3 2" xfId="871" xr:uid="{00000000-0005-0000-0000-00000A030000}"/>
    <cellStyle name="20% - Accent1 3 4 2 2 2 3 3" xfId="872" xr:uid="{00000000-0005-0000-0000-00000B030000}"/>
    <cellStyle name="20% - Accent1 3 4 2 2 2 4" xfId="873" xr:uid="{00000000-0005-0000-0000-00000C030000}"/>
    <cellStyle name="20% - Accent1 3 4 2 2 2 5" xfId="874" xr:uid="{00000000-0005-0000-0000-00000D030000}"/>
    <cellStyle name="20% - Accent1 3 4 2 2 2 6" xfId="875" xr:uid="{00000000-0005-0000-0000-00000E030000}"/>
    <cellStyle name="20% - Accent1 3 4 2 2 3" xfId="876" xr:uid="{00000000-0005-0000-0000-00000F030000}"/>
    <cellStyle name="20% - Accent1 3 4 2 2 3 2" xfId="877" xr:uid="{00000000-0005-0000-0000-000010030000}"/>
    <cellStyle name="20% - Accent1 3 4 2 2 3 2 2" xfId="878" xr:uid="{00000000-0005-0000-0000-000011030000}"/>
    <cellStyle name="20% - Accent1 3 4 2 2 3 2 3" xfId="879" xr:uid="{00000000-0005-0000-0000-000012030000}"/>
    <cellStyle name="20% - Accent1 3 4 2 2 3 3" xfId="880" xr:uid="{00000000-0005-0000-0000-000013030000}"/>
    <cellStyle name="20% - Accent1 3 4 2 2 3 4" xfId="881" xr:uid="{00000000-0005-0000-0000-000014030000}"/>
    <cellStyle name="20% - Accent1 3 4 2 2 4" xfId="882" xr:uid="{00000000-0005-0000-0000-000015030000}"/>
    <cellStyle name="20% - Accent1 3 4 2 2 4 2" xfId="883" xr:uid="{00000000-0005-0000-0000-000016030000}"/>
    <cellStyle name="20% - Accent1 3 4 2 2 4 3" xfId="884" xr:uid="{00000000-0005-0000-0000-000017030000}"/>
    <cellStyle name="20% - Accent1 3 4 2 2 5" xfId="885" xr:uid="{00000000-0005-0000-0000-000018030000}"/>
    <cellStyle name="20% - Accent1 3 4 2 2 6" xfId="886" xr:uid="{00000000-0005-0000-0000-000019030000}"/>
    <cellStyle name="20% - Accent1 3 4 2 2 7" xfId="887" xr:uid="{00000000-0005-0000-0000-00001A030000}"/>
    <cellStyle name="20% - Accent1 3 4 2 3" xfId="888" xr:uid="{00000000-0005-0000-0000-00001B030000}"/>
    <cellStyle name="20% - Accent1 3 4 2 3 2" xfId="889" xr:uid="{00000000-0005-0000-0000-00001C030000}"/>
    <cellStyle name="20% - Accent1 3 4 2 3 2 2" xfId="890" xr:uid="{00000000-0005-0000-0000-00001D030000}"/>
    <cellStyle name="20% - Accent1 3 4 2 3 2 2 2" xfId="891" xr:uid="{00000000-0005-0000-0000-00001E030000}"/>
    <cellStyle name="20% - Accent1 3 4 2 3 2 2 3" xfId="892" xr:uid="{00000000-0005-0000-0000-00001F030000}"/>
    <cellStyle name="20% - Accent1 3 4 2 3 2 3" xfId="893" xr:uid="{00000000-0005-0000-0000-000020030000}"/>
    <cellStyle name="20% - Accent1 3 4 2 3 2 4" xfId="894" xr:uid="{00000000-0005-0000-0000-000021030000}"/>
    <cellStyle name="20% - Accent1 3 4 2 3 3" xfId="895" xr:uid="{00000000-0005-0000-0000-000022030000}"/>
    <cellStyle name="20% - Accent1 3 4 2 3 3 2" xfId="896" xr:uid="{00000000-0005-0000-0000-000023030000}"/>
    <cellStyle name="20% - Accent1 3 4 2 3 3 3" xfId="897" xr:uid="{00000000-0005-0000-0000-000024030000}"/>
    <cellStyle name="20% - Accent1 3 4 2 3 4" xfId="898" xr:uid="{00000000-0005-0000-0000-000025030000}"/>
    <cellStyle name="20% - Accent1 3 4 2 3 5" xfId="899" xr:uid="{00000000-0005-0000-0000-000026030000}"/>
    <cellStyle name="20% - Accent1 3 4 2 3 6" xfId="900" xr:uid="{00000000-0005-0000-0000-000027030000}"/>
    <cellStyle name="20% - Accent1 3 4 2 4" xfId="901" xr:uid="{00000000-0005-0000-0000-000028030000}"/>
    <cellStyle name="20% - Accent1 3 4 2 4 2" xfId="902" xr:uid="{00000000-0005-0000-0000-000029030000}"/>
    <cellStyle name="20% - Accent1 3 4 2 4 2 2" xfId="903" xr:uid="{00000000-0005-0000-0000-00002A030000}"/>
    <cellStyle name="20% - Accent1 3 4 2 4 2 3" xfId="904" xr:uid="{00000000-0005-0000-0000-00002B030000}"/>
    <cellStyle name="20% - Accent1 3 4 2 4 3" xfId="905" xr:uid="{00000000-0005-0000-0000-00002C030000}"/>
    <cellStyle name="20% - Accent1 3 4 2 4 4" xfId="906" xr:uid="{00000000-0005-0000-0000-00002D030000}"/>
    <cellStyle name="20% - Accent1 3 4 2 5" xfId="907" xr:uid="{00000000-0005-0000-0000-00002E030000}"/>
    <cellStyle name="20% - Accent1 3 4 2 5 2" xfId="908" xr:uid="{00000000-0005-0000-0000-00002F030000}"/>
    <cellStyle name="20% - Accent1 3 4 2 5 3" xfId="909" xr:uid="{00000000-0005-0000-0000-000030030000}"/>
    <cellStyle name="20% - Accent1 3 4 2 6" xfId="910" xr:uid="{00000000-0005-0000-0000-000031030000}"/>
    <cellStyle name="20% - Accent1 3 4 2 7" xfId="911" xr:uid="{00000000-0005-0000-0000-000032030000}"/>
    <cellStyle name="20% - Accent1 3 4 2 8" xfId="912" xr:uid="{00000000-0005-0000-0000-000033030000}"/>
    <cellStyle name="20% - Accent1 3 4 3" xfId="913" xr:uid="{00000000-0005-0000-0000-000034030000}"/>
    <cellStyle name="20% - Accent1 3 4 3 2" xfId="914" xr:uid="{00000000-0005-0000-0000-000035030000}"/>
    <cellStyle name="20% - Accent1 3 4 3 2 2" xfId="915" xr:uid="{00000000-0005-0000-0000-000036030000}"/>
    <cellStyle name="20% - Accent1 3 4 3 2 2 2" xfId="916" xr:uid="{00000000-0005-0000-0000-000037030000}"/>
    <cellStyle name="20% - Accent1 3 4 3 2 2 2 2" xfId="917" xr:uid="{00000000-0005-0000-0000-000038030000}"/>
    <cellStyle name="20% - Accent1 3 4 3 2 2 2 3" xfId="918" xr:uid="{00000000-0005-0000-0000-000039030000}"/>
    <cellStyle name="20% - Accent1 3 4 3 2 2 3" xfId="919" xr:uid="{00000000-0005-0000-0000-00003A030000}"/>
    <cellStyle name="20% - Accent1 3 4 3 2 2 4" xfId="920" xr:uid="{00000000-0005-0000-0000-00003B030000}"/>
    <cellStyle name="20% - Accent1 3 4 3 2 3" xfId="921" xr:uid="{00000000-0005-0000-0000-00003C030000}"/>
    <cellStyle name="20% - Accent1 3 4 3 2 3 2" xfId="922" xr:uid="{00000000-0005-0000-0000-00003D030000}"/>
    <cellStyle name="20% - Accent1 3 4 3 2 3 3" xfId="923" xr:uid="{00000000-0005-0000-0000-00003E030000}"/>
    <cellStyle name="20% - Accent1 3 4 3 2 4" xfId="924" xr:uid="{00000000-0005-0000-0000-00003F030000}"/>
    <cellStyle name="20% - Accent1 3 4 3 2 5" xfId="925" xr:uid="{00000000-0005-0000-0000-000040030000}"/>
    <cellStyle name="20% - Accent1 3 4 3 2 6" xfId="926" xr:uid="{00000000-0005-0000-0000-000041030000}"/>
    <cellStyle name="20% - Accent1 3 4 3 3" xfId="927" xr:uid="{00000000-0005-0000-0000-000042030000}"/>
    <cellStyle name="20% - Accent1 3 4 3 3 2" xfId="928" xr:uid="{00000000-0005-0000-0000-000043030000}"/>
    <cellStyle name="20% - Accent1 3 4 3 3 2 2" xfId="929" xr:uid="{00000000-0005-0000-0000-000044030000}"/>
    <cellStyle name="20% - Accent1 3 4 3 3 2 3" xfId="930" xr:uid="{00000000-0005-0000-0000-000045030000}"/>
    <cellStyle name="20% - Accent1 3 4 3 3 3" xfId="931" xr:uid="{00000000-0005-0000-0000-000046030000}"/>
    <cellStyle name="20% - Accent1 3 4 3 3 4" xfId="932" xr:uid="{00000000-0005-0000-0000-000047030000}"/>
    <cellStyle name="20% - Accent1 3 4 3 4" xfId="933" xr:uid="{00000000-0005-0000-0000-000048030000}"/>
    <cellStyle name="20% - Accent1 3 4 3 4 2" xfId="934" xr:uid="{00000000-0005-0000-0000-000049030000}"/>
    <cellStyle name="20% - Accent1 3 4 3 4 3" xfId="935" xr:uid="{00000000-0005-0000-0000-00004A030000}"/>
    <cellStyle name="20% - Accent1 3 4 3 5" xfId="936" xr:uid="{00000000-0005-0000-0000-00004B030000}"/>
    <cellStyle name="20% - Accent1 3 4 3 6" xfId="937" xr:uid="{00000000-0005-0000-0000-00004C030000}"/>
    <cellStyle name="20% - Accent1 3 4 3 7" xfId="938" xr:uid="{00000000-0005-0000-0000-00004D030000}"/>
    <cellStyle name="20% - Accent1 3 4 4" xfId="939" xr:uid="{00000000-0005-0000-0000-00004E030000}"/>
    <cellStyle name="20% - Accent1 3 4 4 2" xfId="940" xr:uid="{00000000-0005-0000-0000-00004F030000}"/>
    <cellStyle name="20% - Accent1 3 4 4 2 2" xfId="941" xr:uid="{00000000-0005-0000-0000-000050030000}"/>
    <cellStyle name="20% - Accent1 3 4 4 2 2 2" xfId="942" xr:uid="{00000000-0005-0000-0000-000051030000}"/>
    <cellStyle name="20% - Accent1 3 4 4 2 2 3" xfId="943" xr:uid="{00000000-0005-0000-0000-000052030000}"/>
    <cellStyle name="20% - Accent1 3 4 4 2 3" xfId="944" xr:uid="{00000000-0005-0000-0000-000053030000}"/>
    <cellStyle name="20% - Accent1 3 4 4 2 4" xfId="945" xr:uid="{00000000-0005-0000-0000-000054030000}"/>
    <cellStyle name="20% - Accent1 3 4 4 3" xfId="946" xr:uid="{00000000-0005-0000-0000-000055030000}"/>
    <cellStyle name="20% - Accent1 3 4 4 3 2" xfId="947" xr:uid="{00000000-0005-0000-0000-000056030000}"/>
    <cellStyle name="20% - Accent1 3 4 4 3 3" xfId="948" xr:uid="{00000000-0005-0000-0000-000057030000}"/>
    <cellStyle name="20% - Accent1 3 4 4 4" xfId="949" xr:uid="{00000000-0005-0000-0000-000058030000}"/>
    <cellStyle name="20% - Accent1 3 4 4 5" xfId="950" xr:uid="{00000000-0005-0000-0000-000059030000}"/>
    <cellStyle name="20% - Accent1 3 4 4 6" xfId="951" xr:uid="{00000000-0005-0000-0000-00005A030000}"/>
    <cellStyle name="20% - Accent1 3 4 5" xfId="952" xr:uid="{00000000-0005-0000-0000-00005B030000}"/>
    <cellStyle name="20% - Accent1 3 4 5 2" xfId="953" xr:uid="{00000000-0005-0000-0000-00005C030000}"/>
    <cellStyle name="20% - Accent1 3 4 5 2 2" xfId="954" xr:uid="{00000000-0005-0000-0000-00005D030000}"/>
    <cellStyle name="20% - Accent1 3 4 5 2 3" xfId="955" xr:uid="{00000000-0005-0000-0000-00005E030000}"/>
    <cellStyle name="20% - Accent1 3 4 5 3" xfId="956" xr:uid="{00000000-0005-0000-0000-00005F030000}"/>
    <cellStyle name="20% - Accent1 3 4 5 4" xfId="957" xr:uid="{00000000-0005-0000-0000-000060030000}"/>
    <cellStyle name="20% - Accent1 3 4 6" xfId="958" xr:uid="{00000000-0005-0000-0000-000061030000}"/>
    <cellStyle name="20% - Accent1 3 4 6 2" xfId="959" xr:uid="{00000000-0005-0000-0000-000062030000}"/>
    <cellStyle name="20% - Accent1 3 4 6 3" xfId="960" xr:uid="{00000000-0005-0000-0000-000063030000}"/>
    <cellStyle name="20% - Accent1 3 4 7" xfId="961" xr:uid="{00000000-0005-0000-0000-000064030000}"/>
    <cellStyle name="20% - Accent1 3 4 8" xfId="962" xr:uid="{00000000-0005-0000-0000-000065030000}"/>
    <cellStyle name="20% - Accent1 3 4 9" xfId="963" xr:uid="{00000000-0005-0000-0000-000066030000}"/>
    <cellStyle name="20% - Accent1 3 5" xfId="964" xr:uid="{00000000-0005-0000-0000-000067030000}"/>
    <cellStyle name="20% - Accent1 3 5 2" xfId="965" xr:uid="{00000000-0005-0000-0000-000068030000}"/>
    <cellStyle name="20% - Accent1 3 5 2 2" xfId="966" xr:uid="{00000000-0005-0000-0000-000069030000}"/>
    <cellStyle name="20% - Accent1 3 5 2 2 2" xfId="967" xr:uid="{00000000-0005-0000-0000-00006A030000}"/>
    <cellStyle name="20% - Accent1 3 5 2 2 2 2" xfId="968" xr:uid="{00000000-0005-0000-0000-00006B030000}"/>
    <cellStyle name="20% - Accent1 3 5 2 2 2 2 2" xfId="969" xr:uid="{00000000-0005-0000-0000-00006C030000}"/>
    <cellStyle name="20% - Accent1 3 5 2 2 2 2 2 2" xfId="970" xr:uid="{00000000-0005-0000-0000-00006D030000}"/>
    <cellStyle name="20% - Accent1 3 5 2 2 2 2 2 3" xfId="971" xr:uid="{00000000-0005-0000-0000-00006E030000}"/>
    <cellStyle name="20% - Accent1 3 5 2 2 2 2 3" xfId="972" xr:uid="{00000000-0005-0000-0000-00006F030000}"/>
    <cellStyle name="20% - Accent1 3 5 2 2 2 2 4" xfId="973" xr:uid="{00000000-0005-0000-0000-000070030000}"/>
    <cellStyle name="20% - Accent1 3 5 2 2 2 3" xfId="974" xr:uid="{00000000-0005-0000-0000-000071030000}"/>
    <cellStyle name="20% - Accent1 3 5 2 2 2 3 2" xfId="975" xr:uid="{00000000-0005-0000-0000-000072030000}"/>
    <cellStyle name="20% - Accent1 3 5 2 2 2 3 3" xfId="976" xr:uid="{00000000-0005-0000-0000-000073030000}"/>
    <cellStyle name="20% - Accent1 3 5 2 2 2 4" xfId="977" xr:uid="{00000000-0005-0000-0000-000074030000}"/>
    <cellStyle name="20% - Accent1 3 5 2 2 2 5" xfId="978" xr:uid="{00000000-0005-0000-0000-000075030000}"/>
    <cellStyle name="20% - Accent1 3 5 2 2 2 6" xfId="979" xr:uid="{00000000-0005-0000-0000-000076030000}"/>
    <cellStyle name="20% - Accent1 3 5 2 2 3" xfId="980" xr:uid="{00000000-0005-0000-0000-000077030000}"/>
    <cellStyle name="20% - Accent1 3 5 2 2 3 2" xfId="981" xr:uid="{00000000-0005-0000-0000-000078030000}"/>
    <cellStyle name="20% - Accent1 3 5 2 2 3 2 2" xfId="982" xr:uid="{00000000-0005-0000-0000-000079030000}"/>
    <cellStyle name="20% - Accent1 3 5 2 2 3 2 3" xfId="983" xr:uid="{00000000-0005-0000-0000-00007A030000}"/>
    <cellStyle name="20% - Accent1 3 5 2 2 3 3" xfId="984" xr:uid="{00000000-0005-0000-0000-00007B030000}"/>
    <cellStyle name="20% - Accent1 3 5 2 2 3 4" xfId="985" xr:uid="{00000000-0005-0000-0000-00007C030000}"/>
    <cellStyle name="20% - Accent1 3 5 2 2 4" xfId="986" xr:uid="{00000000-0005-0000-0000-00007D030000}"/>
    <cellStyle name="20% - Accent1 3 5 2 2 4 2" xfId="987" xr:uid="{00000000-0005-0000-0000-00007E030000}"/>
    <cellStyle name="20% - Accent1 3 5 2 2 4 3" xfId="988" xr:uid="{00000000-0005-0000-0000-00007F030000}"/>
    <cellStyle name="20% - Accent1 3 5 2 2 5" xfId="989" xr:uid="{00000000-0005-0000-0000-000080030000}"/>
    <cellStyle name="20% - Accent1 3 5 2 2 6" xfId="990" xr:uid="{00000000-0005-0000-0000-000081030000}"/>
    <cellStyle name="20% - Accent1 3 5 2 2 7" xfId="991" xr:uid="{00000000-0005-0000-0000-000082030000}"/>
    <cellStyle name="20% - Accent1 3 5 2 3" xfId="992" xr:uid="{00000000-0005-0000-0000-000083030000}"/>
    <cellStyle name="20% - Accent1 3 5 2 3 2" xfId="993" xr:uid="{00000000-0005-0000-0000-000084030000}"/>
    <cellStyle name="20% - Accent1 3 5 2 3 2 2" xfId="994" xr:uid="{00000000-0005-0000-0000-000085030000}"/>
    <cellStyle name="20% - Accent1 3 5 2 3 2 2 2" xfId="995" xr:uid="{00000000-0005-0000-0000-000086030000}"/>
    <cellStyle name="20% - Accent1 3 5 2 3 2 2 3" xfId="996" xr:uid="{00000000-0005-0000-0000-000087030000}"/>
    <cellStyle name="20% - Accent1 3 5 2 3 2 3" xfId="997" xr:uid="{00000000-0005-0000-0000-000088030000}"/>
    <cellStyle name="20% - Accent1 3 5 2 3 2 4" xfId="998" xr:uid="{00000000-0005-0000-0000-000089030000}"/>
    <cellStyle name="20% - Accent1 3 5 2 3 3" xfId="999" xr:uid="{00000000-0005-0000-0000-00008A030000}"/>
    <cellStyle name="20% - Accent1 3 5 2 3 3 2" xfId="1000" xr:uid="{00000000-0005-0000-0000-00008B030000}"/>
    <cellStyle name="20% - Accent1 3 5 2 3 3 3" xfId="1001" xr:uid="{00000000-0005-0000-0000-00008C030000}"/>
    <cellStyle name="20% - Accent1 3 5 2 3 4" xfId="1002" xr:uid="{00000000-0005-0000-0000-00008D030000}"/>
    <cellStyle name="20% - Accent1 3 5 2 3 5" xfId="1003" xr:uid="{00000000-0005-0000-0000-00008E030000}"/>
    <cellStyle name="20% - Accent1 3 5 2 3 6" xfId="1004" xr:uid="{00000000-0005-0000-0000-00008F030000}"/>
    <cellStyle name="20% - Accent1 3 5 2 4" xfId="1005" xr:uid="{00000000-0005-0000-0000-000090030000}"/>
    <cellStyle name="20% - Accent1 3 5 2 4 2" xfId="1006" xr:uid="{00000000-0005-0000-0000-000091030000}"/>
    <cellStyle name="20% - Accent1 3 5 2 4 2 2" xfId="1007" xr:uid="{00000000-0005-0000-0000-000092030000}"/>
    <cellStyle name="20% - Accent1 3 5 2 4 2 3" xfId="1008" xr:uid="{00000000-0005-0000-0000-000093030000}"/>
    <cellStyle name="20% - Accent1 3 5 2 4 3" xfId="1009" xr:uid="{00000000-0005-0000-0000-000094030000}"/>
    <cellStyle name="20% - Accent1 3 5 2 4 4" xfId="1010" xr:uid="{00000000-0005-0000-0000-000095030000}"/>
    <cellStyle name="20% - Accent1 3 5 2 5" xfId="1011" xr:uid="{00000000-0005-0000-0000-000096030000}"/>
    <cellStyle name="20% - Accent1 3 5 2 5 2" xfId="1012" xr:uid="{00000000-0005-0000-0000-000097030000}"/>
    <cellStyle name="20% - Accent1 3 5 2 5 3" xfId="1013" xr:uid="{00000000-0005-0000-0000-000098030000}"/>
    <cellStyle name="20% - Accent1 3 5 2 6" xfId="1014" xr:uid="{00000000-0005-0000-0000-000099030000}"/>
    <cellStyle name="20% - Accent1 3 5 2 7" xfId="1015" xr:uid="{00000000-0005-0000-0000-00009A030000}"/>
    <cellStyle name="20% - Accent1 3 5 2 8" xfId="1016" xr:uid="{00000000-0005-0000-0000-00009B030000}"/>
    <cellStyle name="20% - Accent1 3 5 3" xfId="1017" xr:uid="{00000000-0005-0000-0000-00009C030000}"/>
    <cellStyle name="20% - Accent1 3 5 3 2" xfId="1018" xr:uid="{00000000-0005-0000-0000-00009D030000}"/>
    <cellStyle name="20% - Accent1 3 5 3 2 2" xfId="1019" xr:uid="{00000000-0005-0000-0000-00009E030000}"/>
    <cellStyle name="20% - Accent1 3 5 3 2 2 2" xfId="1020" xr:uid="{00000000-0005-0000-0000-00009F030000}"/>
    <cellStyle name="20% - Accent1 3 5 3 2 2 2 2" xfId="1021" xr:uid="{00000000-0005-0000-0000-0000A0030000}"/>
    <cellStyle name="20% - Accent1 3 5 3 2 2 2 3" xfId="1022" xr:uid="{00000000-0005-0000-0000-0000A1030000}"/>
    <cellStyle name="20% - Accent1 3 5 3 2 2 3" xfId="1023" xr:uid="{00000000-0005-0000-0000-0000A2030000}"/>
    <cellStyle name="20% - Accent1 3 5 3 2 2 4" xfId="1024" xr:uid="{00000000-0005-0000-0000-0000A3030000}"/>
    <cellStyle name="20% - Accent1 3 5 3 2 3" xfId="1025" xr:uid="{00000000-0005-0000-0000-0000A4030000}"/>
    <cellStyle name="20% - Accent1 3 5 3 2 3 2" xfId="1026" xr:uid="{00000000-0005-0000-0000-0000A5030000}"/>
    <cellStyle name="20% - Accent1 3 5 3 2 3 3" xfId="1027" xr:uid="{00000000-0005-0000-0000-0000A6030000}"/>
    <cellStyle name="20% - Accent1 3 5 3 2 4" xfId="1028" xr:uid="{00000000-0005-0000-0000-0000A7030000}"/>
    <cellStyle name="20% - Accent1 3 5 3 2 5" xfId="1029" xr:uid="{00000000-0005-0000-0000-0000A8030000}"/>
    <cellStyle name="20% - Accent1 3 5 3 2 6" xfId="1030" xr:uid="{00000000-0005-0000-0000-0000A9030000}"/>
    <cellStyle name="20% - Accent1 3 5 3 3" xfId="1031" xr:uid="{00000000-0005-0000-0000-0000AA030000}"/>
    <cellStyle name="20% - Accent1 3 5 3 3 2" xfId="1032" xr:uid="{00000000-0005-0000-0000-0000AB030000}"/>
    <cellStyle name="20% - Accent1 3 5 3 3 2 2" xfId="1033" xr:uid="{00000000-0005-0000-0000-0000AC030000}"/>
    <cellStyle name="20% - Accent1 3 5 3 3 2 3" xfId="1034" xr:uid="{00000000-0005-0000-0000-0000AD030000}"/>
    <cellStyle name="20% - Accent1 3 5 3 3 3" xfId="1035" xr:uid="{00000000-0005-0000-0000-0000AE030000}"/>
    <cellStyle name="20% - Accent1 3 5 3 3 4" xfId="1036" xr:uid="{00000000-0005-0000-0000-0000AF030000}"/>
    <cellStyle name="20% - Accent1 3 5 3 4" xfId="1037" xr:uid="{00000000-0005-0000-0000-0000B0030000}"/>
    <cellStyle name="20% - Accent1 3 5 3 4 2" xfId="1038" xr:uid="{00000000-0005-0000-0000-0000B1030000}"/>
    <cellStyle name="20% - Accent1 3 5 3 4 3" xfId="1039" xr:uid="{00000000-0005-0000-0000-0000B2030000}"/>
    <cellStyle name="20% - Accent1 3 5 3 5" xfId="1040" xr:uid="{00000000-0005-0000-0000-0000B3030000}"/>
    <cellStyle name="20% - Accent1 3 5 3 6" xfId="1041" xr:uid="{00000000-0005-0000-0000-0000B4030000}"/>
    <cellStyle name="20% - Accent1 3 5 3 7" xfId="1042" xr:uid="{00000000-0005-0000-0000-0000B5030000}"/>
    <cellStyle name="20% - Accent1 3 5 4" xfId="1043" xr:uid="{00000000-0005-0000-0000-0000B6030000}"/>
    <cellStyle name="20% - Accent1 3 5 4 2" xfId="1044" xr:uid="{00000000-0005-0000-0000-0000B7030000}"/>
    <cellStyle name="20% - Accent1 3 5 4 2 2" xfId="1045" xr:uid="{00000000-0005-0000-0000-0000B8030000}"/>
    <cellStyle name="20% - Accent1 3 5 4 2 2 2" xfId="1046" xr:uid="{00000000-0005-0000-0000-0000B9030000}"/>
    <cellStyle name="20% - Accent1 3 5 4 2 2 3" xfId="1047" xr:uid="{00000000-0005-0000-0000-0000BA030000}"/>
    <cellStyle name="20% - Accent1 3 5 4 2 3" xfId="1048" xr:uid="{00000000-0005-0000-0000-0000BB030000}"/>
    <cellStyle name="20% - Accent1 3 5 4 2 4" xfId="1049" xr:uid="{00000000-0005-0000-0000-0000BC030000}"/>
    <cellStyle name="20% - Accent1 3 5 4 3" xfId="1050" xr:uid="{00000000-0005-0000-0000-0000BD030000}"/>
    <cellStyle name="20% - Accent1 3 5 4 3 2" xfId="1051" xr:uid="{00000000-0005-0000-0000-0000BE030000}"/>
    <cellStyle name="20% - Accent1 3 5 4 3 3" xfId="1052" xr:uid="{00000000-0005-0000-0000-0000BF030000}"/>
    <cellStyle name="20% - Accent1 3 5 4 4" xfId="1053" xr:uid="{00000000-0005-0000-0000-0000C0030000}"/>
    <cellStyle name="20% - Accent1 3 5 4 5" xfId="1054" xr:uid="{00000000-0005-0000-0000-0000C1030000}"/>
    <cellStyle name="20% - Accent1 3 5 4 6" xfId="1055" xr:uid="{00000000-0005-0000-0000-0000C2030000}"/>
    <cellStyle name="20% - Accent1 3 5 5" xfId="1056" xr:uid="{00000000-0005-0000-0000-0000C3030000}"/>
    <cellStyle name="20% - Accent1 3 5 5 2" xfId="1057" xr:uid="{00000000-0005-0000-0000-0000C4030000}"/>
    <cellStyle name="20% - Accent1 3 5 5 2 2" xfId="1058" xr:uid="{00000000-0005-0000-0000-0000C5030000}"/>
    <cellStyle name="20% - Accent1 3 5 5 2 3" xfId="1059" xr:uid="{00000000-0005-0000-0000-0000C6030000}"/>
    <cellStyle name="20% - Accent1 3 5 5 3" xfId="1060" xr:uid="{00000000-0005-0000-0000-0000C7030000}"/>
    <cellStyle name="20% - Accent1 3 5 5 4" xfId="1061" xr:uid="{00000000-0005-0000-0000-0000C8030000}"/>
    <cellStyle name="20% - Accent1 3 5 6" xfId="1062" xr:uid="{00000000-0005-0000-0000-0000C9030000}"/>
    <cellStyle name="20% - Accent1 3 5 6 2" xfId="1063" xr:uid="{00000000-0005-0000-0000-0000CA030000}"/>
    <cellStyle name="20% - Accent1 3 5 6 3" xfId="1064" xr:uid="{00000000-0005-0000-0000-0000CB030000}"/>
    <cellStyle name="20% - Accent1 3 5 7" xfId="1065" xr:uid="{00000000-0005-0000-0000-0000CC030000}"/>
    <cellStyle name="20% - Accent1 3 5 8" xfId="1066" xr:uid="{00000000-0005-0000-0000-0000CD030000}"/>
    <cellStyle name="20% - Accent1 3 5 9" xfId="1067" xr:uid="{00000000-0005-0000-0000-0000CE030000}"/>
    <cellStyle name="20% - Accent1 3 6" xfId="1068" xr:uid="{00000000-0005-0000-0000-0000CF030000}"/>
    <cellStyle name="20% - Accent1 3 6 2" xfId="1069" xr:uid="{00000000-0005-0000-0000-0000D0030000}"/>
    <cellStyle name="20% - Accent1 3 6 2 2" xfId="1070" xr:uid="{00000000-0005-0000-0000-0000D1030000}"/>
    <cellStyle name="20% - Accent1 3 6 2 2 2" xfId="1071" xr:uid="{00000000-0005-0000-0000-0000D2030000}"/>
    <cellStyle name="20% - Accent1 3 6 2 2 2 2" xfId="1072" xr:uid="{00000000-0005-0000-0000-0000D3030000}"/>
    <cellStyle name="20% - Accent1 3 6 2 2 2 2 2" xfId="1073" xr:uid="{00000000-0005-0000-0000-0000D4030000}"/>
    <cellStyle name="20% - Accent1 3 6 2 2 2 2 3" xfId="1074" xr:uid="{00000000-0005-0000-0000-0000D5030000}"/>
    <cellStyle name="20% - Accent1 3 6 2 2 2 3" xfId="1075" xr:uid="{00000000-0005-0000-0000-0000D6030000}"/>
    <cellStyle name="20% - Accent1 3 6 2 2 2 4" xfId="1076" xr:uid="{00000000-0005-0000-0000-0000D7030000}"/>
    <cellStyle name="20% - Accent1 3 6 2 2 3" xfId="1077" xr:uid="{00000000-0005-0000-0000-0000D8030000}"/>
    <cellStyle name="20% - Accent1 3 6 2 2 3 2" xfId="1078" xr:uid="{00000000-0005-0000-0000-0000D9030000}"/>
    <cellStyle name="20% - Accent1 3 6 2 2 3 3" xfId="1079" xr:uid="{00000000-0005-0000-0000-0000DA030000}"/>
    <cellStyle name="20% - Accent1 3 6 2 2 4" xfId="1080" xr:uid="{00000000-0005-0000-0000-0000DB030000}"/>
    <cellStyle name="20% - Accent1 3 6 2 2 5" xfId="1081" xr:uid="{00000000-0005-0000-0000-0000DC030000}"/>
    <cellStyle name="20% - Accent1 3 6 2 2 6" xfId="1082" xr:uid="{00000000-0005-0000-0000-0000DD030000}"/>
    <cellStyle name="20% - Accent1 3 6 2 3" xfId="1083" xr:uid="{00000000-0005-0000-0000-0000DE030000}"/>
    <cellStyle name="20% - Accent1 3 6 2 3 2" xfId="1084" xr:uid="{00000000-0005-0000-0000-0000DF030000}"/>
    <cellStyle name="20% - Accent1 3 6 2 3 2 2" xfId="1085" xr:uid="{00000000-0005-0000-0000-0000E0030000}"/>
    <cellStyle name="20% - Accent1 3 6 2 3 2 3" xfId="1086" xr:uid="{00000000-0005-0000-0000-0000E1030000}"/>
    <cellStyle name="20% - Accent1 3 6 2 3 3" xfId="1087" xr:uid="{00000000-0005-0000-0000-0000E2030000}"/>
    <cellStyle name="20% - Accent1 3 6 2 3 4" xfId="1088" xr:uid="{00000000-0005-0000-0000-0000E3030000}"/>
    <cellStyle name="20% - Accent1 3 6 2 4" xfId="1089" xr:uid="{00000000-0005-0000-0000-0000E4030000}"/>
    <cellStyle name="20% - Accent1 3 6 2 4 2" xfId="1090" xr:uid="{00000000-0005-0000-0000-0000E5030000}"/>
    <cellStyle name="20% - Accent1 3 6 2 4 3" xfId="1091" xr:uid="{00000000-0005-0000-0000-0000E6030000}"/>
    <cellStyle name="20% - Accent1 3 6 2 5" xfId="1092" xr:uid="{00000000-0005-0000-0000-0000E7030000}"/>
    <cellStyle name="20% - Accent1 3 6 2 6" xfId="1093" xr:uid="{00000000-0005-0000-0000-0000E8030000}"/>
    <cellStyle name="20% - Accent1 3 6 2 7" xfId="1094" xr:uid="{00000000-0005-0000-0000-0000E9030000}"/>
    <cellStyle name="20% - Accent1 3 6 3" xfId="1095" xr:uid="{00000000-0005-0000-0000-0000EA030000}"/>
    <cellStyle name="20% - Accent1 3 6 3 2" xfId="1096" xr:uid="{00000000-0005-0000-0000-0000EB030000}"/>
    <cellStyle name="20% - Accent1 3 6 3 2 2" xfId="1097" xr:uid="{00000000-0005-0000-0000-0000EC030000}"/>
    <cellStyle name="20% - Accent1 3 6 3 2 2 2" xfId="1098" xr:uid="{00000000-0005-0000-0000-0000ED030000}"/>
    <cellStyle name="20% - Accent1 3 6 3 2 2 3" xfId="1099" xr:uid="{00000000-0005-0000-0000-0000EE030000}"/>
    <cellStyle name="20% - Accent1 3 6 3 2 3" xfId="1100" xr:uid="{00000000-0005-0000-0000-0000EF030000}"/>
    <cellStyle name="20% - Accent1 3 6 3 2 4" xfId="1101" xr:uid="{00000000-0005-0000-0000-0000F0030000}"/>
    <cellStyle name="20% - Accent1 3 6 3 3" xfId="1102" xr:uid="{00000000-0005-0000-0000-0000F1030000}"/>
    <cellStyle name="20% - Accent1 3 6 3 3 2" xfId="1103" xr:uid="{00000000-0005-0000-0000-0000F2030000}"/>
    <cellStyle name="20% - Accent1 3 6 3 3 3" xfId="1104" xr:uid="{00000000-0005-0000-0000-0000F3030000}"/>
    <cellStyle name="20% - Accent1 3 6 3 4" xfId="1105" xr:uid="{00000000-0005-0000-0000-0000F4030000}"/>
    <cellStyle name="20% - Accent1 3 6 3 5" xfId="1106" xr:uid="{00000000-0005-0000-0000-0000F5030000}"/>
    <cellStyle name="20% - Accent1 3 6 3 6" xfId="1107" xr:uid="{00000000-0005-0000-0000-0000F6030000}"/>
    <cellStyle name="20% - Accent1 3 6 4" xfId="1108" xr:uid="{00000000-0005-0000-0000-0000F7030000}"/>
    <cellStyle name="20% - Accent1 3 6 4 2" xfId="1109" xr:uid="{00000000-0005-0000-0000-0000F8030000}"/>
    <cellStyle name="20% - Accent1 3 6 4 2 2" xfId="1110" xr:uid="{00000000-0005-0000-0000-0000F9030000}"/>
    <cellStyle name="20% - Accent1 3 6 4 2 3" xfId="1111" xr:uid="{00000000-0005-0000-0000-0000FA030000}"/>
    <cellStyle name="20% - Accent1 3 6 4 3" xfId="1112" xr:uid="{00000000-0005-0000-0000-0000FB030000}"/>
    <cellStyle name="20% - Accent1 3 6 4 4" xfId="1113" xr:uid="{00000000-0005-0000-0000-0000FC030000}"/>
    <cellStyle name="20% - Accent1 3 6 5" xfId="1114" xr:uid="{00000000-0005-0000-0000-0000FD030000}"/>
    <cellStyle name="20% - Accent1 3 6 5 2" xfId="1115" xr:uid="{00000000-0005-0000-0000-0000FE030000}"/>
    <cellStyle name="20% - Accent1 3 6 5 3" xfId="1116" xr:uid="{00000000-0005-0000-0000-0000FF030000}"/>
    <cellStyle name="20% - Accent1 3 6 6" xfId="1117" xr:uid="{00000000-0005-0000-0000-000000040000}"/>
    <cellStyle name="20% - Accent1 3 6 7" xfId="1118" xr:uid="{00000000-0005-0000-0000-000001040000}"/>
    <cellStyle name="20% - Accent1 3 6 8" xfId="1119" xr:uid="{00000000-0005-0000-0000-000002040000}"/>
    <cellStyle name="20% - Accent1 3 7" xfId="1120" xr:uid="{00000000-0005-0000-0000-000003040000}"/>
    <cellStyle name="20% - Accent1 3 7 2" xfId="1121" xr:uid="{00000000-0005-0000-0000-000004040000}"/>
    <cellStyle name="20% - Accent1 3 7 2 2" xfId="1122" xr:uid="{00000000-0005-0000-0000-000005040000}"/>
    <cellStyle name="20% - Accent1 3 7 2 2 2" xfId="1123" xr:uid="{00000000-0005-0000-0000-000006040000}"/>
    <cellStyle name="20% - Accent1 3 7 2 2 2 2" xfId="1124" xr:uid="{00000000-0005-0000-0000-000007040000}"/>
    <cellStyle name="20% - Accent1 3 7 2 2 2 2 2" xfId="1125" xr:uid="{00000000-0005-0000-0000-000008040000}"/>
    <cellStyle name="20% - Accent1 3 7 2 2 2 2 3" xfId="1126" xr:uid="{00000000-0005-0000-0000-000009040000}"/>
    <cellStyle name="20% - Accent1 3 7 2 2 2 3" xfId="1127" xr:uid="{00000000-0005-0000-0000-00000A040000}"/>
    <cellStyle name="20% - Accent1 3 7 2 2 2 4" xfId="1128" xr:uid="{00000000-0005-0000-0000-00000B040000}"/>
    <cellStyle name="20% - Accent1 3 7 2 2 3" xfId="1129" xr:uid="{00000000-0005-0000-0000-00000C040000}"/>
    <cellStyle name="20% - Accent1 3 7 2 2 3 2" xfId="1130" xr:uid="{00000000-0005-0000-0000-00000D040000}"/>
    <cellStyle name="20% - Accent1 3 7 2 2 3 3" xfId="1131" xr:uid="{00000000-0005-0000-0000-00000E040000}"/>
    <cellStyle name="20% - Accent1 3 7 2 2 4" xfId="1132" xr:uid="{00000000-0005-0000-0000-00000F040000}"/>
    <cellStyle name="20% - Accent1 3 7 2 2 5" xfId="1133" xr:uid="{00000000-0005-0000-0000-000010040000}"/>
    <cellStyle name="20% - Accent1 3 7 2 2 6" xfId="1134" xr:uid="{00000000-0005-0000-0000-000011040000}"/>
    <cellStyle name="20% - Accent1 3 7 2 3" xfId="1135" xr:uid="{00000000-0005-0000-0000-000012040000}"/>
    <cellStyle name="20% - Accent1 3 7 2 3 2" xfId="1136" xr:uid="{00000000-0005-0000-0000-000013040000}"/>
    <cellStyle name="20% - Accent1 3 7 2 3 2 2" xfId="1137" xr:uid="{00000000-0005-0000-0000-000014040000}"/>
    <cellStyle name="20% - Accent1 3 7 2 3 2 3" xfId="1138" xr:uid="{00000000-0005-0000-0000-000015040000}"/>
    <cellStyle name="20% - Accent1 3 7 2 3 3" xfId="1139" xr:uid="{00000000-0005-0000-0000-000016040000}"/>
    <cellStyle name="20% - Accent1 3 7 2 3 4" xfId="1140" xr:uid="{00000000-0005-0000-0000-000017040000}"/>
    <cellStyle name="20% - Accent1 3 7 2 4" xfId="1141" xr:uid="{00000000-0005-0000-0000-000018040000}"/>
    <cellStyle name="20% - Accent1 3 7 2 4 2" xfId="1142" xr:uid="{00000000-0005-0000-0000-000019040000}"/>
    <cellStyle name="20% - Accent1 3 7 2 4 3" xfId="1143" xr:uid="{00000000-0005-0000-0000-00001A040000}"/>
    <cellStyle name="20% - Accent1 3 7 2 5" xfId="1144" xr:uid="{00000000-0005-0000-0000-00001B040000}"/>
    <cellStyle name="20% - Accent1 3 7 2 6" xfId="1145" xr:uid="{00000000-0005-0000-0000-00001C040000}"/>
    <cellStyle name="20% - Accent1 3 7 2 7" xfId="1146" xr:uid="{00000000-0005-0000-0000-00001D040000}"/>
    <cellStyle name="20% - Accent1 3 7 3" xfId="1147" xr:uid="{00000000-0005-0000-0000-00001E040000}"/>
    <cellStyle name="20% - Accent1 3 7 3 2" xfId="1148" xr:uid="{00000000-0005-0000-0000-00001F040000}"/>
    <cellStyle name="20% - Accent1 3 7 3 2 2" xfId="1149" xr:uid="{00000000-0005-0000-0000-000020040000}"/>
    <cellStyle name="20% - Accent1 3 7 3 2 2 2" xfId="1150" xr:uid="{00000000-0005-0000-0000-000021040000}"/>
    <cellStyle name="20% - Accent1 3 7 3 2 2 3" xfId="1151" xr:uid="{00000000-0005-0000-0000-000022040000}"/>
    <cellStyle name="20% - Accent1 3 7 3 2 3" xfId="1152" xr:uid="{00000000-0005-0000-0000-000023040000}"/>
    <cellStyle name="20% - Accent1 3 7 3 2 4" xfId="1153" xr:uid="{00000000-0005-0000-0000-000024040000}"/>
    <cellStyle name="20% - Accent1 3 7 3 3" xfId="1154" xr:uid="{00000000-0005-0000-0000-000025040000}"/>
    <cellStyle name="20% - Accent1 3 7 3 3 2" xfId="1155" xr:uid="{00000000-0005-0000-0000-000026040000}"/>
    <cellStyle name="20% - Accent1 3 7 3 3 3" xfId="1156" xr:uid="{00000000-0005-0000-0000-000027040000}"/>
    <cellStyle name="20% - Accent1 3 7 3 4" xfId="1157" xr:uid="{00000000-0005-0000-0000-000028040000}"/>
    <cellStyle name="20% - Accent1 3 7 3 5" xfId="1158" xr:uid="{00000000-0005-0000-0000-000029040000}"/>
    <cellStyle name="20% - Accent1 3 7 3 6" xfId="1159" xr:uid="{00000000-0005-0000-0000-00002A040000}"/>
    <cellStyle name="20% - Accent1 3 7 4" xfId="1160" xr:uid="{00000000-0005-0000-0000-00002B040000}"/>
    <cellStyle name="20% - Accent1 3 7 4 2" xfId="1161" xr:uid="{00000000-0005-0000-0000-00002C040000}"/>
    <cellStyle name="20% - Accent1 3 7 4 2 2" xfId="1162" xr:uid="{00000000-0005-0000-0000-00002D040000}"/>
    <cellStyle name="20% - Accent1 3 7 4 2 3" xfId="1163" xr:uid="{00000000-0005-0000-0000-00002E040000}"/>
    <cellStyle name="20% - Accent1 3 7 4 3" xfId="1164" xr:uid="{00000000-0005-0000-0000-00002F040000}"/>
    <cellStyle name="20% - Accent1 3 7 4 4" xfId="1165" xr:uid="{00000000-0005-0000-0000-000030040000}"/>
    <cellStyle name="20% - Accent1 3 7 5" xfId="1166" xr:uid="{00000000-0005-0000-0000-000031040000}"/>
    <cellStyle name="20% - Accent1 3 7 5 2" xfId="1167" xr:uid="{00000000-0005-0000-0000-000032040000}"/>
    <cellStyle name="20% - Accent1 3 7 5 3" xfId="1168" xr:uid="{00000000-0005-0000-0000-000033040000}"/>
    <cellStyle name="20% - Accent1 3 7 6" xfId="1169" xr:uid="{00000000-0005-0000-0000-000034040000}"/>
    <cellStyle name="20% - Accent1 3 7 7" xfId="1170" xr:uid="{00000000-0005-0000-0000-000035040000}"/>
    <cellStyle name="20% - Accent1 3 7 8" xfId="1171" xr:uid="{00000000-0005-0000-0000-000036040000}"/>
    <cellStyle name="20% - Accent1 3 8" xfId="1172" xr:uid="{00000000-0005-0000-0000-000037040000}"/>
    <cellStyle name="20% - Accent1 3 8 2" xfId="1173" xr:uid="{00000000-0005-0000-0000-000038040000}"/>
    <cellStyle name="20% - Accent1 3 8 2 2" xfId="1174" xr:uid="{00000000-0005-0000-0000-000039040000}"/>
    <cellStyle name="20% - Accent1 3 8 2 2 2" xfId="1175" xr:uid="{00000000-0005-0000-0000-00003A040000}"/>
    <cellStyle name="20% - Accent1 3 8 2 2 2 2" xfId="1176" xr:uid="{00000000-0005-0000-0000-00003B040000}"/>
    <cellStyle name="20% - Accent1 3 8 2 2 2 3" xfId="1177" xr:uid="{00000000-0005-0000-0000-00003C040000}"/>
    <cellStyle name="20% - Accent1 3 8 2 2 3" xfId="1178" xr:uid="{00000000-0005-0000-0000-00003D040000}"/>
    <cellStyle name="20% - Accent1 3 8 2 2 4" xfId="1179" xr:uid="{00000000-0005-0000-0000-00003E040000}"/>
    <cellStyle name="20% - Accent1 3 8 2 3" xfId="1180" xr:uid="{00000000-0005-0000-0000-00003F040000}"/>
    <cellStyle name="20% - Accent1 3 8 2 3 2" xfId="1181" xr:uid="{00000000-0005-0000-0000-000040040000}"/>
    <cellStyle name="20% - Accent1 3 8 2 3 3" xfId="1182" xr:uid="{00000000-0005-0000-0000-000041040000}"/>
    <cellStyle name="20% - Accent1 3 8 2 4" xfId="1183" xr:uid="{00000000-0005-0000-0000-000042040000}"/>
    <cellStyle name="20% - Accent1 3 8 2 5" xfId="1184" xr:uid="{00000000-0005-0000-0000-000043040000}"/>
    <cellStyle name="20% - Accent1 3 8 2 6" xfId="1185" xr:uid="{00000000-0005-0000-0000-000044040000}"/>
    <cellStyle name="20% - Accent1 3 8 3" xfId="1186" xr:uid="{00000000-0005-0000-0000-000045040000}"/>
    <cellStyle name="20% - Accent1 3 8 3 2" xfId="1187" xr:uid="{00000000-0005-0000-0000-000046040000}"/>
    <cellStyle name="20% - Accent1 3 8 3 2 2" xfId="1188" xr:uid="{00000000-0005-0000-0000-000047040000}"/>
    <cellStyle name="20% - Accent1 3 8 3 2 3" xfId="1189" xr:uid="{00000000-0005-0000-0000-000048040000}"/>
    <cellStyle name="20% - Accent1 3 8 3 3" xfId="1190" xr:uid="{00000000-0005-0000-0000-000049040000}"/>
    <cellStyle name="20% - Accent1 3 8 3 4" xfId="1191" xr:uid="{00000000-0005-0000-0000-00004A040000}"/>
    <cellStyle name="20% - Accent1 3 8 4" xfId="1192" xr:uid="{00000000-0005-0000-0000-00004B040000}"/>
    <cellStyle name="20% - Accent1 3 8 4 2" xfId="1193" xr:uid="{00000000-0005-0000-0000-00004C040000}"/>
    <cellStyle name="20% - Accent1 3 8 4 3" xfId="1194" xr:uid="{00000000-0005-0000-0000-00004D040000}"/>
    <cellStyle name="20% - Accent1 3 8 5" xfId="1195" xr:uid="{00000000-0005-0000-0000-00004E040000}"/>
    <cellStyle name="20% - Accent1 3 8 6" xfId="1196" xr:uid="{00000000-0005-0000-0000-00004F040000}"/>
    <cellStyle name="20% - Accent1 3 8 7" xfId="1197" xr:uid="{00000000-0005-0000-0000-000050040000}"/>
    <cellStyle name="20% - Accent1 3 9" xfId="1198" xr:uid="{00000000-0005-0000-0000-000051040000}"/>
    <cellStyle name="20% - Accent1 3 9 2" xfId="1199" xr:uid="{00000000-0005-0000-0000-000052040000}"/>
    <cellStyle name="20% - Accent1 3 9 2 2" xfId="1200" xr:uid="{00000000-0005-0000-0000-000053040000}"/>
    <cellStyle name="20% - Accent1 3 9 2 2 2" xfId="1201" xr:uid="{00000000-0005-0000-0000-000054040000}"/>
    <cellStyle name="20% - Accent1 3 9 2 2 3" xfId="1202" xr:uid="{00000000-0005-0000-0000-000055040000}"/>
    <cellStyle name="20% - Accent1 3 9 2 3" xfId="1203" xr:uid="{00000000-0005-0000-0000-000056040000}"/>
    <cellStyle name="20% - Accent1 3 9 2 4" xfId="1204" xr:uid="{00000000-0005-0000-0000-000057040000}"/>
    <cellStyle name="20% - Accent1 3 9 3" xfId="1205" xr:uid="{00000000-0005-0000-0000-000058040000}"/>
    <cellStyle name="20% - Accent1 3 9 3 2" xfId="1206" xr:uid="{00000000-0005-0000-0000-000059040000}"/>
    <cellStyle name="20% - Accent1 3 9 3 3" xfId="1207" xr:uid="{00000000-0005-0000-0000-00005A040000}"/>
    <cellStyle name="20% - Accent1 3 9 4" xfId="1208" xr:uid="{00000000-0005-0000-0000-00005B040000}"/>
    <cellStyle name="20% - Accent1 3 9 5" xfId="1209" xr:uid="{00000000-0005-0000-0000-00005C040000}"/>
    <cellStyle name="20% - Accent1 3 9 6" xfId="1210" xr:uid="{00000000-0005-0000-0000-00005D040000}"/>
    <cellStyle name="20% - Accent1 4" xfId="1211" xr:uid="{00000000-0005-0000-0000-00005E040000}"/>
    <cellStyle name="20% - Accent1 4 10" xfId="1212" xr:uid="{00000000-0005-0000-0000-00005F040000}"/>
    <cellStyle name="20% - Accent1 4 11" xfId="1213" xr:uid="{00000000-0005-0000-0000-000060040000}"/>
    <cellStyle name="20% - Accent1 4 2" xfId="1214" xr:uid="{00000000-0005-0000-0000-000061040000}"/>
    <cellStyle name="20% - Accent1 4 2 10" xfId="1215" xr:uid="{00000000-0005-0000-0000-000062040000}"/>
    <cellStyle name="20% - Accent1 4 2 2" xfId="1216" xr:uid="{00000000-0005-0000-0000-000063040000}"/>
    <cellStyle name="20% - Accent1 4 2 2 2" xfId="1217" xr:uid="{00000000-0005-0000-0000-000064040000}"/>
    <cellStyle name="20% - Accent1 4 2 2 2 2" xfId="1218" xr:uid="{00000000-0005-0000-0000-000065040000}"/>
    <cellStyle name="20% - Accent1 4 2 2 2 2 2" xfId="1219" xr:uid="{00000000-0005-0000-0000-000066040000}"/>
    <cellStyle name="20% - Accent1 4 2 2 2 2 2 2" xfId="1220" xr:uid="{00000000-0005-0000-0000-000067040000}"/>
    <cellStyle name="20% - Accent1 4 2 2 2 2 2 2 2" xfId="1221" xr:uid="{00000000-0005-0000-0000-000068040000}"/>
    <cellStyle name="20% - Accent1 4 2 2 2 2 2 2 2 2" xfId="1222" xr:uid="{00000000-0005-0000-0000-000069040000}"/>
    <cellStyle name="20% - Accent1 4 2 2 2 2 2 2 2 3" xfId="1223" xr:uid="{00000000-0005-0000-0000-00006A040000}"/>
    <cellStyle name="20% - Accent1 4 2 2 2 2 2 2 3" xfId="1224" xr:uid="{00000000-0005-0000-0000-00006B040000}"/>
    <cellStyle name="20% - Accent1 4 2 2 2 2 2 2 4" xfId="1225" xr:uid="{00000000-0005-0000-0000-00006C040000}"/>
    <cellStyle name="20% - Accent1 4 2 2 2 2 2 3" xfId="1226" xr:uid="{00000000-0005-0000-0000-00006D040000}"/>
    <cellStyle name="20% - Accent1 4 2 2 2 2 2 3 2" xfId="1227" xr:uid="{00000000-0005-0000-0000-00006E040000}"/>
    <cellStyle name="20% - Accent1 4 2 2 2 2 2 3 3" xfId="1228" xr:uid="{00000000-0005-0000-0000-00006F040000}"/>
    <cellStyle name="20% - Accent1 4 2 2 2 2 2 4" xfId="1229" xr:uid="{00000000-0005-0000-0000-000070040000}"/>
    <cellStyle name="20% - Accent1 4 2 2 2 2 2 5" xfId="1230" xr:uid="{00000000-0005-0000-0000-000071040000}"/>
    <cellStyle name="20% - Accent1 4 2 2 2 2 2 6" xfId="1231" xr:uid="{00000000-0005-0000-0000-000072040000}"/>
    <cellStyle name="20% - Accent1 4 2 2 2 2 3" xfId="1232" xr:uid="{00000000-0005-0000-0000-000073040000}"/>
    <cellStyle name="20% - Accent1 4 2 2 2 2 3 2" xfId="1233" xr:uid="{00000000-0005-0000-0000-000074040000}"/>
    <cellStyle name="20% - Accent1 4 2 2 2 2 3 2 2" xfId="1234" xr:uid="{00000000-0005-0000-0000-000075040000}"/>
    <cellStyle name="20% - Accent1 4 2 2 2 2 3 2 3" xfId="1235" xr:uid="{00000000-0005-0000-0000-000076040000}"/>
    <cellStyle name="20% - Accent1 4 2 2 2 2 3 3" xfId="1236" xr:uid="{00000000-0005-0000-0000-000077040000}"/>
    <cellStyle name="20% - Accent1 4 2 2 2 2 3 4" xfId="1237" xr:uid="{00000000-0005-0000-0000-000078040000}"/>
    <cellStyle name="20% - Accent1 4 2 2 2 2 4" xfId="1238" xr:uid="{00000000-0005-0000-0000-000079040000}"/>
    <cellStyle name="20% - Accent1 4 2 2 2 2 4 2" xfId="1239" xr:uid="{00000000-0005-0000-0000-00007A040000}"/>
    <cellStyle name="20% - Accent1 4 2 2 2 2 4 3" xfId="1240" xr:uid="{00000000-0005-0000-0000-00007B040000}"/>
    <cellStyle name="20% - Accent1 4 2 2 2 2 5" xfId="1241" xr:uid="{00000000-0005-0000-0000-00007C040000}"/>
    <cellStyle name="20% - Accent1 4 2 2 2 2 6" xfId="1242" xr:uid="{00000000-0005-0000-0000-00007D040000}"/>
    <cellStyle name="20% - Accent1 4 2 2 2 2 7" xfId="1243" xr:uid="{00000000-0005-0000-0000-00007E040000}"/>
    <cellStyle name="20% - Accent1 4 2 2 2 3" xfId="1244" xr:uid="{00000000-0005-0000-0000-00007F040000}"/>
    <cellStyle name="20% - Accent1 4 2 2 2 3 2" xfId="1245" xr:uid="{00000000-0005-0000-0000-000080040000}"/>
    <cellStyle name="20% - Accent1 4 2 2 2 3 2 2" xfId="1246" xr:uid="{00000000-0005-0000-0000-000081040000}"/>
    <cellStyle name="20% - Accent1 4 2 2 2 3 2 2 2" xfId="1247" xr:uid="{00000000-0005-0000-0000-000082040000}"/>
    <cellStyle name="20% - Accent1 4 2 2 2 3 2 2 3" xfId="1248" xr:uid="{00000000-0005-0000-0000-000083040000}"/>
    <cellStyle name="20% - Accent1 4 2 2 2 3 2 3" xfId="1249" xr:uid="{00000000-0005-0000-0000-000084040000}"/>
    <cellStyle name="20% - Accent1 4 2 2 2 3 2 4" xfId="1250" xr:uid="{00000000-0005-0000-0000-000085040000}"/>
    <cellStyle name="20% - Accent1 4 2 2 2 3 3" xfId="1251" xr:uid="{00000000-0005-0000-0000-000086040000}"/>
    <cellStyle name="20% - Accent1 4 2 2 2 3 3 2" xfId="1252" xr:uid="{00000000-0005-0000-0000-000087040000}"/>
    <cellStyle name="20% - Accent1 4 2 2 2 3 3 3" xfId="1253" xr:uid="{00000000-0005-0000-0000-000088040000}"/>
    <cellStyle name="20% - Accent1 4 2 2 2 3 4" xfId="1254" xr:uid="{00000000-0005-0000-0000-000089040000}"/>
    <cellStyle name="20% - Accent1 4 2 2 2 3 5" xfId="1255" xr:uid="{00000000-0005-0000-0000-00008A040000}"/>
    <cellStyle name="20% - Accent1 4 2 2 2 3 6" xfId="1256" xr:uid="{00000000-0005-0000-0000-00008B040000}"/>
    <cellStyle name="20% - Accent1 4 2 2 2 4" xfId="1257" xr:uid="{00000000-0005-0000-0000-00008C040000}"/>
    <cellStyle name="20% - Accent1 4 2 2 2 4 2" xfId="1258" xr:uid="{00000000-0005-0000-0000-00008D040000}"/>
    <cellStyle name="20% - Accent1 4 2 2 2 4 2 2" xfId="1259" xr:uid="{00000000-0005-0000-0000-00008E040000}"/>
    <cellStyle name="20% - Accent1 4 2 2 2 4 2 3" xfId="1260" xr:uid="{00000000-0005-0000-0000-00008F040000}"/>
    <cellStyle name="20% - Accent1 4 2 2 2 4 3" xfId="1261" xr:uid="{00000000-0005-0000-0000-000090040000}"/>
    <cellStyle name="20% - Accent1 4 2 2 2 4 4" xfId="1262" xr:uid="{00000000-0005-0000-0000-000091040000}"/>
    <cellStyle name="20% - Accent1 4 2 2 2 5" xfId="1263" xr:uid="{00000000-0005-0000-0000-000092040000}"/>
    <cellStyle name="20% - Accent1 4 2 2 2 5 2" xfId="1264" xr:uid="{00000000-0005-0000-0000-000093040000}"/>
    <cellStyle name="20% - Accent1 4 2 2 2 5 3" xfId="1265" xr:uid="{00000000-0005-0000-0000-000094040000}"/>
    <cellStyle name="20% - Accent1 4 2 2 2 6" xfId="1266" xr:uid="{00000000-0005-0000-0000-000095040000}"/>
    <cellStyle name="20% - Accent1 4 2 2 2 7" xfId="1267" xr:uid="{00000000-0005-0000-0000-000096040000}"/>
    <cellStyle name="20% - Accent1 4 2 2 2 8" xfId="1268" xr:uid="{00000000-0005-0000-0000-000097040000}"/>
    <cellStyle name="20% - Accent1 4 2 2 3" xfId="1269" xr:uid="{00000000-0005-0000-0000-000098040000}"/>
    <cellStyle name="20% - Accent1 4 2 2 3 2" xfId="1270" xr:uid="{00000000-0005-0000-0000-000099040000}"/>
    <cellStyle name="20% - Accent1 4 2 2 3 2 2" xfId="1271" xr:uid="{00000000-0005-0000-0000-00009A040000}"/>
    <cellStyle name="20% - Accent1 4 2 2 3 2 2 2" xfId="1272" xr:uid="{00000000-0005-0000-0000-00009B040000}"/>
    <cellStyle name="20% - Accent1 4 2 2 3 2 2 2 2" xfId="1273" xr:uid="{00000000-0005-0000-0000-00009C040000}"/>
    <cellStyle name="20% - Accent1 4 2 2 3 2 2 2 3" xfId="1274" xr:uid="{00000000-0005-0000-0000-00009D040000}"/>
    <cellStyle name="20% - Accent1 4 2 2 3 2 2 3" xfId="1275" xr:uid="{00000000-0005-0000-0000-00009E040000}"/>
    <cellStyle name="20% - Accent1 4 2 2 3 2 2 4" xfId="1276" xr:uid="{00000000-0005-0000-0000-00009F040000}"/>
    <cellStyle name="20% - Accent1 4 2 2 3 2 3" xfId="1277" xr:uid="{00000000-0005-0000-0000-0000A0040000}"/>
    <cellStyle name="20% - Accent1 4 2 2 3 2 3 2" xfId="1278" xr:uid="{00000000-0005-0000-0000-0000A1040000}"/>
    <cellStyle name="20% - Accent1 4 2 2 3 2 3 3" xfId="1279" xr:uid="{00000000-0005-0000-0000-0000A2040000}"/>
    <cellStyle name="20% - Accent1 4 2 2 3 2 4" xfId="1280" xr:uid="{00000000-0005-0000-0000-0000A3040000}"/>
    <cellStyle name="20% - Accent1 4 2 2 3 2 5" xfId="1281" xr:uid="{00000000-0005-0000-0000-0000A4040000}"/>
    <cellStyle name="20% - Accent1 4 2 2 3 2 6" xfId="1282" xr:uid="{00000000-0005-0000-0000-0000A5040000}"/>
    <cellStyle name="20% - Accent1 4 2 2 3 3" xfId="1283" xr:uid="{00000000-0005-0000-0000-0000A6040000}"/>
    <cellStyle name="20% - Accent1 4 2 2 3 3 2" xfId="1284" xr:uid="{00000000-0005-0000-0000-0000A7040000}"/>
    <cellStyle name="20% - Accent1 4 2 2 3 3 2 2" xfId="1285" xr:uid="{00000000-0005-0000-0000-0000A8040000}"/>
    <cellStyle name="20% - Accent1 4 2 2 3 3 2 3" xfId="1286" xr:uid="{00000000-0005-0000-0000-0000A9040000}"/>
    <cellStyle name="20% - Accent1 4 2 2 3 3 3" xfId="1287" xr:uid="{00000000-0005-0000-0000-0000AA040000}"/>
    <cellStyle name="20% - Accent1 4 2 2 3 3 4" xfId="1288" xr:uid="{00000000-0005-0000-0000-0000AB040000}"/>
    <cellStyle name="20% - Accent1 4 2 2 3 4" xfId="1289" xr:uid="{00000000-0005-0000-0000-0000AC040000}"/>
    <cellStyle name="20% - Accent1 4 2 2 3 4 2" xfId="1290" xr:uid="{00000000-0005-0000-0000-0000AD040000}"/>
    <cellStyle name="20% - Accent1 4 2 2 3 4 3" xfId="1291" xr:uid="{00000000-0005-0000-0000-0000AE040000}"/>
    <cellStyle name="20% - Accent1 4 2 2 3 5" xfId="1292" xr:uid="{00000000-0005-0000-0000-0000AF040000}"/>
    <cellStyle name="20% - Accent1 4 2 2 3 6" xfId="1293" xr:uid="{00000000-0005-0000-0000-0000B0040000}"/>
    <cellStyle name="20% - Accent1 4 2 2 3 7" xfId="1294" xr:uid="{00000000-0005-0000-0000-0000B1040000}"/>
    <cellStyle name="20% - Accent1 4 2 2 4" xfId="1295" xr:uid="{00000000-0005-0000-0000-0000B2040000}"/>
    <cellStyle name="20% - Accent1 4 2 2 4 2" xfId="1296" xr:uid="{00000000-0005-0000-0000-0000B3040000}"/>
    <cellStyle name="20% - Accent1 4 2 2 4 2 2" xfId="1297" xr:uid="{00000000-0005-0000-0000-0000B4040000}"/>
    <cellStyle name="20% - Accent1 4 2 2 4 2 2 2" xfId="1298" xr:uid="{00000000-0005-0000-0000-0000B5040000}"/>
    <cellStyle name="20% - Accent1 4 2 2 4 2 2 3" xfId="1299" xr:uid="{00000000-0005-0000-0000-0000B6040000}"/>
    <cellStyle name="20% - Accent1 4 2 2 4 2 3" xfId="1300" xr:uid="{00000000-0005-0000-0000-0000B7040000}"/>
    <cellStyle name="20% - Accent1 4 2 2 4 2 4" xfId="1301" xr:uid="{00000000-0005-0000-0000-0000B8040000}"/>
    <cellStyle name="20% - Accent1 4 2 2 4 3" xfId="1302" xr:uid="{00000000-0005-0000-0000-0000B9040000}"/>
    <cellStyle name="20% - Accent1 4 2 2 4 3 2" xfId="1303" xr:uid="{00000000-0005-0000-0000-0000BA040000}"/>
    <cellStyle name="20% - Accent1 4 2 2 4 3 3" xfId="1304" xr:uid="{00000000-0005-0000-0000-0000BB040000}"/>
    <cellStyle name="20% - Accent1 4 2 2 4 4" xfId="1305" xr:uid="{00000000-0005-0000-0000-0000BC040000}"/>
    <cellStyle name="20% - Accent1 4 2 2 4 5" xfId="1306" xr:uid="{00000000-0005-0000-0000-0000BD040000}"/>
    <cellStyle name="20% - Accent1 4 2 2 4 6" xfId="1307" xr:uid="{00000000-0005-0000-0000-0000BE040000}"/>
    <cellStyle name="20% - Accent1 4 2 2 5" xfId="1308" xr:uid="{00000000-0005-0000-0000-0000BF040000}"/>
    <cellStyle name="20% - Accent1 4 2 2 5 2" xfId="1309" xr:uid="{00000000-0005-0000-0000-0000C0040000}"/>
    <cellStyle name="20% - Accent1 4 2 2 5 2 2" xfId="1310" xr:uid="{00000000-0005-0000-0000-0000C1040000}"/>
    <cellStyle name="20% - Accent1 4 2 2 5 2 3" xfId="1311" xr:uid="{00000000-0005-0000-0000-0000C2040000}"/>
    <cellStyle name="20% - Accent1 4 2 2 5 3" xfId="1312" xr:uid="{00000000-0005-0000-0000-0000C3040000}"/>
    <cellStyle name="20% - Accent1 4 2 2 5 4" xfId="1313" xr:uid="{00000000-0005-0000-0000-0000C4040000}"/>
    <cellStyle name="20% - Accent1 4 2 2 6" xfId="1314" xr:uid="{00000000-0005-0000-0000-0000C5040000}"/>
    <cellStyle name="20% - Accent1 4 2 2 6 2" xfId="1315" xr:uid="{00000000-0005-0000-0000-0000C6040000}"/>
    <cellStyle name="20% - Accent1 4 2 2 6 3" xfId="1316" xr:uid="{00000000-0005-0000-0000-0000C7040000}"/>
    <cellStyle name="20% - Accent1 4 2 2 7" xfId="1317" xr:uid="{00000000-0005-0000-0000-0000C8040000}"/>
    <cellStyle name="20% - Accent1 4 2 2 8" xfId="1318" xr:uid="{00000000-0005-0000-0000-0000C9040000}"/>
    <cellStyle name="20% - Accent1 4 2 2 9" xfId="1319" xr:uid="{00000000-0005-0000-0000-0000CA040000}"/>
    <cellStyle name="20% - Accent1 4 2 3" xfId="1320" xr:uid="{00000000-0005-0000-0000-0000CB040000}"/>
    <cellStyle name="20% - Accent1 4 2 3 2" xfId="1321" xr:uid="{00000000-0005-0000-0000-0000CC040000}"/>
    <cellStyle name="20% - Accent1 4 2 3 2 2" xfId="1322" xr:uid="{00000000-0005-0000-0000-0000CD040000}"/>
    <cellStyle name="20% - Accent1 4 2 3 2 2 2" xfId="1323" xr:uid="{00000000-0005-0000-0000-0000CE040000}"/>
    <cellStyle name="20% - Accent1 4 2 3 2 2 2 2" xfId="1324" xr:uid="{00000000-0005-0000-0000-0000CF040000}"/>
    <cellStyle name="20% - Accent1 4 2 3 2 2 2 2 2" xfId="1325" xr:uid="{00000000-0005-0000-0000-0000D0040000}"/>
    <cellStyle name="20% - Accent1 4 2 3 2 2 2 2 3" xfId="1326" xr:uid="{00000000-0005-0000-0000-0000D1040000}"/>
    <cellStyle name="20% - Accent1 4 2 3 2 2 2 3" xfId="1327" xr:uid="{00000000-0005-0000-0000-0000D2040000}"/>
    <cellStyle name="20% - Accent1 4 2 3 2 2 2 4" xfId="1328" xr:uid="{00000000-0005-0000-0000-0000D3040000}"/>
    <cellStyle name="20% - Accent1 4 2 3 2 2 3" xfId="1329" xr:uid="{00000000-0005-0000-0000-0000D4040000}"/>
    <cellStyle name="20% - Accent1 4 2 3 2 2 3 2" xfId="1330" xr:uid="{00000000-0005-0000-0000-0000D5040000}"/>
    <cellStyle name="20% - Accent1 4 2 3 2 2 3 3" xfId="1331" xr:uid="{00000000-0005-0000-0000-0000D6040000}"/>
    <cellStyle name="20% - Accent1 4 2 3 2 2 4" xfId="1332" xr:uid="{00000000-0005-0000-0000-0000D7040000}"/>
    <cellStyle name="20% - Accent1 4 2 3 2 2 5" xfId="1333" xr:uid="{00000000-0005-0000-0000-0000D8040000}"/>
    <cellStyle name="20% - Accent1 4 2 3 2 2 6" xfId="1334" xr:uid="{00000000-0005-0000-0000-0000D9040000}"/>
    <cellStyle name="20% - Accent1 4 2 3 2 3" xfId="1335" xr:uid="{00000000-0005-0000-0000-0000DA040000}"/>
    <cellStyle name="20% - Accent1 4 2 3 2 3 2" xfId="1336" xr:uid="{00000000-0005-0000-0000-0000DB040000}"/>
    <cellStyle name="20% - Accent1 4 2 3 2 3 2 2" xfId="1337" xr:uid="{00000000-0005-0000-0000-0000DC040000}"/>
    <cellStyle name="20% - Accent1 4 2 3 2 3 2 3" xfId="1338" xr:uid="{00000000-0005-0000-0000-0000DD040000}"/>
    <cellStyle name="20% - Accent1 4 2 3 2 3 3" xfId="1339" xr:uid="{00000000-0005-0000-0000-0000DE040000}"/>
    <cellStyle name="20% - Accent1 4 2 3 2 3 4" xfId="1340" xr:uid="{00000000-0005-0000-0000-0000DF040000}"/>
    <cellStyle name="20% - Accent1 4 2 3 2 4" xfId="1341" xr:uid="{00000000-0005-0000-0000-0000E0040000}"/>
    <cellStyle name="20% - Accent1 4 2 3 2 4 2" xfId="1342" xr:uid="{00000000-0005-0000-0000-0000E1040000}"/>
    <cellStyle name="20% - Accent1 4 2 3 2 4 3" xfId="1343" xr:uid="{00000000-0005-0000-0000-0000E2040000}"/>
    <cellStyle name="20% - Accent1 4 2 3 2 5" xfId="1344" xr:uid="{00000000-0005-0000-0000-0000E3040000}"/>
    <cellStyle name="20% - Accent1 4 2 3 2 6" xfId="1345" xr:uid="{00000000-0005-0000-0000-0000E4040000}"/>
    <cellStyle name="20% - Accent1 4 2 3 2 7" xfId="1346" xr:uid="{00000000-0005-0000-0000-0000E5040000}"/>
    <cellStyle name="20% - Accent1 4 2 3 3" xfId="1347" xr:uid="{00000000-0005-0000-0000-0000E6040000}"/>
    <cellStyle name="20% - Accent1 4 2 3 3 2" xfId="1348" xr:uid="{00000000-0005-0000-0000-0000E7040000}"/>
    <cellStyle name="20% - Accent1 4 2 3 3 2 2" xfId="1349" xr:uid="{00000000-0005-0000-0000-0000E8040000}"/>
    <cellStyle name="20% - Accent1 4 2 3 3 2 2 2" xfId="1350" xr:uid="{00000000-0005-0000-0000-0000E9040000}"/>
    <cellStyle name="20% - Accent1 4 2 3 3 2 2 3" xfId="1351" xr:uid="{00000000-0005-0000-0000-0000EA040000}"/>
    <cellStyle name="20% - Accent1 4 2 3 3 2 3" xfId="1352" xr:uid="{00000000-0005-0000-0000-0000EB040000}"/>
    <cellStyle name="20% - Accent1 4 2 3 3 2 4" xfId="1353" xr:uid="{00000000-0005-0000-0000-0000EC040000}"/>
    <cellStyle name="20% - Accent1 4 2 3 3 3" xfId="1354" xr:uid="{00000000-0005-0000-0000-0000ED040000}"/>
    <cellStyle name="20% - Accent1 4 2 3 3 3 2" xfId="1355" xr:uid="{00000000-0005-0000-0000-0000EE040000}"/>
    <cellStyle name="20% - Accent1 4 2 3 3 3 3" xfId="1356" xr:uid="{00000000-0005-0000-0000-0000EF040000}"/>
    <cellStyle name="20% - Accent1 4 2 3 3 4" xfId="1357" xr:uid="{00000000-0005-0000-0000-0000F0040000}"/>
    <cellStyle name="20% - Accent1 4 2 3 3 5" xfId="1358" xr:uid="{00000000-0005-0000-0000-0000F1040000}"/>
    <cellStyle name="20% - Accent1 4 2 3 3 6" xfId="1359" xr:uid="{00000000-0005-0000-0000-0000F2040000}"/>
    <cellStyle name="20% - Accent1 4 2 3 4" xfId="1360" xr:uid="{00000000-0005-0000-0000-0000F3040000}"/>
    <cellStyle name="20% - Accent1 4 2 3 4 2" xfId="1361" xr:uid="{00000000-0005-0000-0000-0000F4040000}"/>
    <cellStyle name="20% - Accent1 4 2 3 4 2 2" xfId="1362" xr:uid="{00000000-0005-0000-0000-0000F5040000}"/>
    <cellStyle name="20% - Accent1 4 2 3 4 2 3" xfId="1363" xr:uid="{00000000-0005-0000-0000-0000F6040000}"/>
    <cellStyle name="20% - Accent1 4 2 3 4 3" xfId="1364" xr:uid="{00000000-0005-0000-0000-0000F7040000}"/>
    <cellStyle name="20% - Accent1 4 2 3 4 4" xfId="1365" xr:uid="{00000000-0005-0000-0000-0000F8040000}"/>
    <cellStyle name="20% - Accent1 4 2 3 5" xfId="1366" xr:uid="{00000000-0005-0000-0000-0000F9040000}"/>
    <cellStyle name="20% - Accent1 4 2 3 5 2" xfId="1367" xr:uid="{00000000-0005-0000-0000-0000FA040000}"/>
    <cellStyle name="20% - Accent1 4 2 3 5 3" xfId="1368" xr:uid="{00000000-0005-0000-0000-0000FB040000}"/>
    <cellStyle name="20% - Accent1 4 2 3 6" xfId="1369" xr:uid="{00000000-0005-0000-0000-0000FC040000}"/>
    <cellStyle name="20% - Accent1 4 2 3 7" xfId="1370" xr:uid="{00000000-0005-0000-0000-0000FD040000}"/>
    <cellStyle name="20% - Accent1 4 2 3 8" xfId="1371" xr:uid="{00000000-0005-0000-0000-0000FE040000}"/>
    <cellStyle name="20% - Accent1 4 2 4" xfId="1372" xr:uid="{00000000-0005-0000-0000-0000FF040000}"/>
    <cellStyle name="20% - Accent1 4 2 4 2" xfId="1373" xr:uid="{00000000-0005-0000-0000-000000050000}"/>
    <cellStyle name="20% - Accent1 4 2 4 2 2" xfId="1374" xr:uid="{00000000-0005-0000-0000-000001050000}"/>
    <cellStyle name="20% - Accent1 4 2 4 2 2 2" xfId="1375" xr:uid="{00000000-0005-0000-0000-000002050000}"/>
    <cellStyle name="20% - Accent1 4 2 4 2 2 2 2" xfId="1376" xr:uid="{00000000-0005-0000-0000-000003050000}"/>
    <cellStyle name="20% - Accent1 4 2 4 2 2 2 3" xfId="1377" xr:uid="{00000000-0005-0000-0000-000004050000}"/>
    <cellStyle name="20% - Accent1 4 2 4 2 2 3" xfId="1378" xr:uid="{00000000-0005-0000-0000-000005050000}"/>
    <cellStyle name="20% - Accent1 4 2 4 2 2 4" xfId="1379" xr:uid="{00000000-0005-0000-0000-000006050000}"/>
    <cellStyle name="20% - Accent1 4 2 4 2 3" xfId="1380" xr:uid="{00000000-0005-0000-0000-000007050000}"/>
    <cellStyle name="20% - Accent1 4 2 4 2 3 2" xfId="1381" xr:uid="{00000000-0005-0000-0000-000008050000}"/>
    <cellStyle name="20% - Accent1 4 2 4 2 3 3" xfId="1382" xr:uid="{00000000-0005-0000-0000-000009050000}"/>
    <cellStyle name="20% - Accent1 4 2 4 2 4" xfId="1383" xr:uid="{00000000-0005-0000-0000-00000A050000}"/>
    <cellStyle name="20% - Accent1 4 2 4 2 5" xfId="1384" xr:uid="{00000000-0005-0000-0000-00000B050000}"/>
    <cellStyle name="20% - Accent1 4 2 4 2 6" xfId="1385" xr:uid="{00000000-0005-0000-0000-00000C050000}"/>
    <cellStyle name="20% - Accent1 4 2 4 3" xfId="1386" xr:uid="{00000000-0005-0000-0000-00000D050000}"/>
    <cellStyle name="20% - Accent1 4 2 4 3 2" xfId="1387" xr:uid="{00000000-0005-0000-0000-00000E050000}"/>
    <cellStyle name="20% - Accent1 4 2 4 3 2 2" xfId="1388" xr:uid="{00000000-0005-0000-0000-00000F050000}"/>
    <cellStyle name="20% - Accent1 4 2 4 3 2 3" xfId="1389" xr:uid="{00000000-0005-0000-0000-000010050000}"/>
    <cellStyle name="20% - Accent1 4 2 4 3 3" xfId="1390" xr:uid="{00000000-0005-0000-0000-000011050000}"/>
    <cellStyle name="20% - Accent1 4 2 4 3 4" xfId="1391" xr:uid="{00000000-0005-0000-0000-000012050000}"/>
    <cellStyle name="20% - Accent1 4 2 4 4" xfId="1392" xr:uid="{00000000-0005-0000-0000-000013050000}"/>
    <cellStyle name="20% - Accent1 4 2 4 4 2" xfId="1393" xr:uid="{00000000-0005-0000-0000-000014050000}"/>
    <cellStyle name="20% - Accent1 4 2 4 4 3" xfId="1394" xr:uid="{00000000-0005-0000-0000-000015050000}"/>
    <cellStyle name="20% - Accent1 4 2 4 5" xfId="1395" xr:uid="{00000000-0005-0000-0000-000016050000}"/>
    <cellStyle name="20% - Accent1 4 2 4 6" xfId="1396" xr:uid="{00000000-0005-0000-0000-000017050000}"/>
    <cellStyle name="20% - Accent1 4 2 4 7" xfId="1397" xr:uid="{00000000-0005-0000-0000-000018050000}"/>
    <cellStyle name="20% - Accent1 4 2 5" xfId="1398" xr:uid="{00000000-0005-0000-0000-000019050000}"/>
    <cellStyle name="20% - Accent1 4 2 5 2" xfId="1399" xr:uid="{00000000-0005-0000-0000-00001A050000}"/>
    <cellStyle name="20% - Accent1 4 2 5 2 2" xfId="1400" xr:uid="{00000000-0005-0000-0000-00001B050000}"/>
    <cellStyle name="20% - Accent1 4 2 5 2 2 2" xfId="1401" xr:uid="{00000000-0005-0000-0000-00001C050000}"/>
    <cellStyle name="20% - Accent1 4 2 5 2 2 3" xfId="1402" xr:uid="{00000000-0005-0000-0000-00001D050000}"/>
    <cellStyle name="20% - Accent1 4 2 5 2 3" xfId="1403" xr:uid="{00000000-0005-0000-0000-00001E050000}"/>
    <cellStyle name="20% - Accent1 4 2 5 2 4" xfId="1404" xr:uid="{00000000-0005-0000-0000-00001F050000}"/>
    <cellStyle name="20% - Accent1 4 2 5 3" xfId="1405" xr:uid="{00000000-0005-0000-0000-000020050000}"/>
    <cellStyle name="20% - Accent1 4 2 5 3 2" xfId="1406" xr:uid="{00000000-0005-0000-0000-000021050000}"/>
    <cellStyle name="20% - Accent1 4 2 5 3 3" xfId="1407" xr:uid="{00000000-0005-0000-0000-000022050000}"/>
    <cellStyle name="20% - Accent1 4 2 5 4" xfId="1408" xr:uid="{00000000-0005-0000-0000-000023050000}"/>
    <cellStyle name="20% - Accent1 4 2 5 5" xfId="1409" xr:uid="{00000000-0005-0000-0000-000024050000}"/>
    <cellStyle name="20% - Accent1 4 2 5 6" xfId="1410" xr:uid="{00000000-0005-0000-0000-000025050000}"/>
    <cellStyle name="20% - Accent1 4 2 6" xfId="1411" xr:uid="{00000000-0005-0000-0000-000026050000}"/>
    <cellStyle name="20% - Accent1 4 2 6 2" xfId="1412" xr:uid="{00000000-0005-0000-0000-000027050000}"/>
    <cellStyle name="20% - Accent1 4 2 6 2 2" xfId="1413" xr:uid="{00000000-0005-0000-0000-000028050000}"/>
    <cellStyle name="20% - Accent1 4 2 6 2 3" xfId="1414" xr:uid="{00000000-0005-0000-0000-000029050000}"/>
    <cellStyle name="20% - Accent1 4 2 6 3" xfId="1415" xr:uid="{00000000-0005-0000-0000-00002A050000}"/>
    <cellStyle name="20% - Accent1 4 2 6 4" xfId="1416" xr:uid="{00000000-0005-0000-0000-00002B050000}"/>
    <cellStyle name="20% - Accent1 4 2 7" xfId="1417" xr:uid="{00000000-0005-0000-0000-00002C050000}"/>
    <cellStyle name="20% - Accent1 4 2 7 2" xfId="1418" xr:uid="{00000000-0005-0000-0000-00002D050000}"/>
    <cellStyle name="20% - Accent1 4 2 7 3" xfId="1419" xr:uid="{00000000-0005-0000-0000-00002E050000}"/>
    <cellStyle name="20% - Accent1 4 2 8" xfId="1420" xr:uid="{00000000-0005-0000-0000-00002F050000}"/>
    <cellStyle name="20% - Accent1 4 2 9" xfId="1421" xr:uid="{00000000-0005-0000-0000-000030050000}"/>
    <cellStyle name="20% - Accent1 4 3" xfId="1422" xr:uid="{00000000-0005-0000-0000-000031050000}"/>
    <cellStyle name="20% - Accent1 4 3 2" xfId="1423" xr:uid="{00000000-0005-0000-0000-000032050000}"/>
    <cellStyle name="20% - Accent1 4 3 2 2" xfId="1424" xr:uid="{00000000-0005-0000-0000-000033050000}"/>
    <cellStyle name="20% - Accent1 4 3 2 2 2" xfId="1425" xr:uid="{00000000-0005-0000-0000-000034050000}"/>
    <cellStyle name="20% - Accent1 4 3 2 2 2 2" xfId="1426" xr:uid="{00000000-0005-0000-0000-000035050000}"/>
    <cellStyle name="20% - Accent1 4 3 2 2 2 2 2" xfId="1427" xr:uid="{00000000-0005-0000-0000-000036050000}"/>
    <cellStyle name="20% - Accent1 4 3 2 2 2 2 2 2" xfId="1428" xr:uid="{00000000-0005-0000-0000-000037050000}"/>
    <cellStyle name="20% - Accent1 4 3 2 2 2 2 2 3" xfId="1429" xr:uid="{00000000-0005-0000-0000-000038050000}"/>
    <cellStyle name="20% - Accent1 4 3 2 2 2 2 3" xfId="1430" xr:uid="{00000000-0005-0000-0000-000039050000}"/>
    <cellStyle name="20% - Accent1 4 3 2 2 2 2 4" xfId="1431" xr:uid="{00000000-0005-0000-0000-00003A050000}"/>
    <cellStyle name="20% - Accent1 4 3 2 2 2 3" xfId="1432" xr:uid="{00000000-0005-0000-0000-00003B050000}"/>
    <cellStyle name="20% - Accent1 4 3 2 2 2 3 2" xfId="1433" xr:uid="{00000000-0005-0000-0000-00003C050000}"/>
    <cellStyle name="20% - Accent1 4 3 2 2 2 3 3" xfId="1434" xr:uid="{00000000-0005-0000-0000-00003D050000}"/>
    <cellStyle name="20% - Accent1 4 3 2 2 2 4" xfId="1435" xr:uid="{00000000-0005-0000-0000-00003E050000}"/>
    <cellStyle name="20% - Accent1 4 3 2 2 2 5" xfId="1436" xr:uid="{00000000-0005-0000-0000-00003F050000}"/>
    <cellStyle name="20% - Accent1 4 3 2 2 2 6" xfId="1437" xr:uid="{00000000-0005-0000-0000-000040050000}"/>
    <cellStyle name="20% - Accent1 4 3 2 2 3" xfId="1438" xr:uid="{00000000-0005-0000-0000-000041050000}"/>
    <cellStyle name="20% - Accent1 4 3 2 2 3 2" xfId="1439" xr:uid="{00000000-0005-0000-0000-000042050000}"/>
    <cellStyle name="20% - Accent1 4 3 2 2 3 2 2" xfId="1440" xr:uid="{00000000-0005-0000-0000-000043050000}"/>
    <cellStyle name="20% - Accent1 4 3 2 2 3 2 3" xfId="1441" xr:uid="{00000000-0005-0000-0000-000044050000}"/>
    <cellStyle name="20% - Accent1 4 3 2 2 3 3" xfId="1442" xr:uid="{00000000-0005-0000-0000-000045050000}"/>
    <cellStyle name="20% - Accent1 4 3 2 2 3 4" xfId="1443" xr:uid="{00000000-0005-0000-0000-000046050000}"/>
    <cellStyle name="20% - Accent1 4 3 2 2 4" xfId="1444" xr:uid="{00000000-0005-0000-0000-000047050000}"/>
    <cellStyle name="20% - Accent1 4 3 2 2 4 2" xfId="1445" xr:uid="{00000000-0005-0000-0000-000048050000}"/>
    <cellStyle name="20% - Accent1 4 3 2 2 4 3" xfId="1446" xr:uid="{00000000-0005-0000-0000-000049050000}"/>
    <cellStyle name="20% - Accent1 4 3 2 2 5" xfId="1447" xr:uid="{00000000-0005-0000-0000-00004A050000}"/>
    <cellStyle name="20% - Accent1 4 3 2 2 6" xfId="1448" xr:uid="{00000000-0005-0000-0000-00004B050000}"/>
    <cellStyle name="20% - Accent1 4 3 2 2 7" xfId="1449" xr:uid="{00000000-0005-0000-0000-00004C050000}"/>
    <cellStyle name="20% - Accent1 4 3 2 3" xfId="1450" xr:uid="{00000000-0005-0000-0000-00004D050000}"/>
    <cellStyle name="20% - Accent1 4 3 2 3 2" xfId="1451" xr:uid="{00000000-0005-0000-0000-00004E050000}"/>
    <cellStyle name="20% - Accent1 4 3 2 3 2 2" xfId="1452" xr:uid="{00000000-0005-0000-0000-00004F050000}"/>
    <cellStyle name="20% - Accent1 4 3 2 3 2 2 2" xfId="1453" xr:uid="{00000000-0005-0000-0000-000050050000}"/>
    <cellStyle name="20% - Accent1 4 3 2 3 2 2 3" xfId="1454" xr:uid="{00000000-0005-0000-0000-000051050000}"/>
    <cellStyle name="20% - Accent1 4 3 2 3 2 3" xfId="1455" xr:uid="{00000000-0005-0000-0000-000052050000}"/>
    <cellStyle name="20% - Accent1 4 3 2 3 2 4" xfId="1456" xr:uid="{00000000-0005-0000-0000-000053050000}"/>
    <cellStyle name="20% - Accent1 4 3 2 3 3" xfId="1457" xr:uid="{00000000-0005-0000-0000-000054050000}"/>
    <cellStyle name="20% - Accent1 4 3 2 3 3 2" xfId="1458" xr:uid="{00000000-0005-0000-0000-000055050000}"/>
    <cellStyle name="20% - Accent1 4 3 2 3 3 3" xfId="1459" xr:uid="{00000000-0005-0000-0000-000056050000}"/>
    <cellStyle name="20% - Accent1 4 3 2 3 4" xfId="1460" xr:uid="{00000000-0005-0000-0000-000057050000}"/>
    <cellStyle name="20% - Accent1 4 3 2 3 5" xfId="1461" xr:uid="{00000000-0005-0000-0000-000058050000}"/>
    <cellStyle name="20% - Accent1 4 3 2 3 6" xfId="1462" xr:uid="{00000000-0005-0000-0000-000059050000}"/>
    <cellStyle name="20% - Accent1 4 3 2 4" xfId="1463" xr:uid="{00000000-0005-0000-0000-00005A050000}"/>
    <cellStyle name="20% - Accent1 4 3 2 4 2" xfId="1464" xr:uid="{00000000-0005-0000-0000-00005B050000}"/>
    <cellStyle name="20% - Accent1 4 3 2 4 2 2" xfId="1465" xr:uid="{00000000-0005-0000-0000-00005C050000}"/>
    <cellStyle name="20% - Accent1 4 3 2 4 2 3" xfId="1466" xr:uid="{00000000-0005-0000-0000-00005D050000}"/>
    <cellStyle name="20% - Accent1 4 3 2 4 3" xfId="1467" xr:uid="{00000000-0005-0000-0000-00005E050000}"/>
    <cellStyle name="20% - Accent1 4 3 2 4 4" xfId="1468" xr:uid="{00000000-0005-0000-0000-00005F050000}"/>
    <cellStyle name="20% - Accent1 4 3 2 5" xfId="1469" xr:uid="{00000000-0005-0000-0000-000060050000}"/>
    <cellStyle name="20% - Accent1 4 3 2 5 2" xfId="1470" xr:uid="{00000000-0005-0000-0000-000061050000}"/>
    <cellStyle name="20% - Accent1 4 3 2 5 3" xfId="1471" xr:uid="{00000000-0005-0000-0000-000062050000}"/>
    <cellStyle name="20% - Accent1 4 3 2 6" xfId="1472" xr:uid="{00000000-0005-0000-0000-000063050000}"/>
    <cellStyle name="20% - Accent1 4 3 2 7" xfId="1473" xr:uid="{00000000-0005-0000-0000-000064050000}"/>
    <cellStyle name="20% - Accent1 4 3 2 8" xfId="1474" xr:uid="{00000000-0005-0000-0000-000065050000}"/>
    <cellStyle name="20% - Accent1 4 3 3" xfId="1475" xr:uid="{00000000-0005-0000-0000-000066050000}"/>
    <cellStyle name="20% - Accent1 4 3 3 2" xfId="1476" xr:uid="{00000000-0005-0000-0000-000067050000}"/>
    <cellStyle name="20% - Accent1 4 3 3 2 2" xfId="1477" xr:uid="{00000000-0005-0000-0000-000068050000}"/>
    <cellStyle name="20% - Accent1 4 3 3 2 2 2" xfId="1478" xr:uid="{00000000-0005-0000-0000-000069050000}"/>
    <cellStyle name="20% - Accent1 4 3 3 2 2 2 2" xfId="1479" xr:uid="{00000000-0005-0000-0000-00006A050000}"/>
    <cellStyle name="20% - Accent1 4 3 3 2 2 2 3" xfId="1480" xr:uid="{00000000-0005-0000-0000-00006B050000}"/>
    <cellStyle name="20% - Accent1 4 3 3 2 2 3" xfId="1481" xr:uid="{00000000-0005-0000-0000-00006C050000}"/>
    <cellStyle name="20% - Accent1 4 3 3 2 2 4" xfId="1482" xr:uid="{00000000-0005-0000-0000-00006D050000}"/>
    <cellStyle name="20% - Accent1 4 3 3 2 3" xfId="1483" xr:uid="{00000000-0005-0000-0000-00006E050000}"/>
    <cellStyle name="20% - Accent1 4 3 3 2 3 2" xfId="1484" xr:uid="{00000000-0005-0000-0000-00006F050000}"/>
    <cellStyle name="20% - Accent1 4 3 3 2 3 3" xfId="1485" xr:uid="{00000000-0005-0000-0000-000070050000}"/>
    <cellStyle name="20% - Accent1 4 3 3 2 4" xfId="1486" xr:uid="{00000000-0005-0000-0000-000071050000}"/>
    <cellStyle name="20% - Accent1 4 3 3 2 5" xfId="1487" xr:uid="{00000000-0005-0000-0000-000072050000}"/>
    <cellStyle name="20% - Accent1 4 3 3 2 6" xfId="1488" xr:uid="{00000000-0005-0000-0000-000073050000}"/>
    <cellStyle name="20% - Accent1 4 3 3 3" xfId="1489" xr:uid="{00000000-0005-0000-0000-000074050000}"/>
    <cellStyle name="20% - Accent1 4 3 3 3 2" xfId="1490" xr:uid="{00000000-0005-0000-0000-000075050000}"/>
    <cellStyle name="20% - Accent1 4 3 3 3 2 2" xfId="1491" xr:uid="{00000000-0005-0000-0000-000076050000}"/>
    <cellStyle name="20% - Accent1 4 3 3 3 2 3" xfId="1492" xr:uid="{00000000-0005-0000-0000-000077050000}"/>
    <cellStyle name="20% - Accent1 4 3 3 3 3" xfId="1493" xr:uid="{00000000-0005-0000-0000-000078050000}"/>
    <cellStyle name="20% - Accent1 4 3 3 3 4" xfId="1494" xr:uid="{00000000-0005-0000-0000-000079050000}"/>
    <cellStyle name="20% - Accent1 4 3 3 4" xfId="1495" xr:uid="{00000000-0005-0000-0000-00007A050000}"/>
    <cellStyle name="20% - Accent1 4 3 3 4 2" xfId="1496" xr:uid="{00000000-0005-0000-0000-00007B050000}"/>
    <cellStyle name="20% - Accent1 4 3 3 4 3" xfId="1497" xr:uid="{00000000-0005-0000-0000-00007C050000}"/>
    <cellStyle name="20% - Accent1 4 3 3 5" xfId="1498" xr:uid="{00000000-0005-0000-0000-00007D050000}"/>
    <cellStyle name="20% - Accent1 4 3 3 6" xfId="1499" xr:uid="{00000000-0005-0000-0000-00007E050000}"/>
    <cellStyle name="20% - Accent1 4 3 3 7" xfId="1500" xr:uid="{00000000-0005-0000-0000-00007F050000}"/>
    <cellStyle name="20% - Accent1 4 3 4" xfId="1501" xr:uid="{00000000-0005-0000-0000-000080050000}"/>
    <cellStyle name="20% - Accent1 4 3 4 2" xfId="1502" xr:uid="{00000000-0005-0000-0000-000081050000}"/>
    <cellStyle name="20% - Accent1 4 3 4 2 2" xfId="1503" xr:uid="{00000000-0005-0000-0000-000082050000}"/>
    <cellStyle name="20% - Accent1 4 3 4 2 2 2" xfId="1504" xr:uid="{00000000-0005-0000-0000-000083050000}"/>
    <cellStyle name="20% - Accent1 4 3 4 2 2 3" xfId="1505" xr:uid="{00000000-0005-0000-0000-000084050000}"/>
    <cellStyle name="20% - Accent1 4 3 4 2 3" xfId="1506" xr:uid="{00000000-0005-0000-0000-000085050000}"/>
    <cellStyle name="20% - Accent1 4 3 4 2 4" xfId="1507" xr:uid="{00000000-0005-0000-0000-000086050000}"/>
    <cellStyle name="20% - Accent1 4 3 4 3" xfId="1508" xr:uid="{00000000-0005-0000-0000-000087050000}"/>
    <cellStyle name="20% - Accent1 4 3 4 3 2" xfId="1509" xr:uid="{00000000-0005-0000-0000-000088050000}"/>
    <cellStyle name="20% - Accent1 4 3 4 3 3" xfId="1510" xr:uid="{00000000-0005-0000-0000-000089050000}"/>
    <cellStyle name="20% - Accent1 4 3 4 4" xfId="1511" xr:uid="{00000000-0005-0000-0000-00008A050000}"/>
    <cellStyle name="20% - Accent1 4 3 4 5" xfId="1512" xr:uid="{00000000-0005-0000-0000-00008B050000}"/>
    <cellStyle name="20% - Accent1 4 3 4 6" xfId="1513" xr:uid="{00000000-0005-0000-0000-00008C050000}"/>
    <cellStyle name="20% - Accent1 4 3 5" xfId="1514" xr:uid="{00000000-0005-0000-0000-00008D050000}"/>
    <cellStyle name="20% - Accent1 4 3 5 2" xfId="1515" xr:uid="{00000000-0005-0000-0000-00008E050000}"/>
    <cellStyle name="20% - Accent1 4 3 5 2 2" xfId="1516" xr:uid="{00000000-0005-0000-0000-00008F050000}"/>
    <cellStyle name="20% - Accent1 4 3 5 2 3" xfId="1517" xr:uid="{00000000-0005-0000-0000-000090050000}"/>
    <cellStyle name="20% - Accent1 4 3 5 3" xfId="1518" xr:uid="{00000000-0005-0000-0000-000091050000}"/>
    <cellStyle name="20% - Accent1 4 3 5 4" xfId="1519" xr:uid="{00000000-0005-0000-0000-000092050000}"/>
    <cellStyle name="20% - Accent1 4 3 6" xfId="1520" xr:uid="{00000000-0005-0000-0000-000093050000}"/>
    <cellStyle name="20% - Accent1 4 3 6 2" xfId="1521" xr:uid="{00000000-0005-0000-0000-000094050000}"/>
    <cellStyle name="20% - Accent1 4 3 6 3" xfId="1522" xr:uid="{00000000-0005-0000-0000-000095050000}"/>
    <cellStyle name="20% - Accent1 4 3 7" xfId="1523" xr:uid="{00000000-0005-0000-0000-000096050000}"/>
    <cellStyle name="20% - Accent1 4 3 8" xfId="1524" xr:uid="{00000000-0005-0000-0000-000097050000}"/>
    <cellStyle name="20% - Accent1 4 3 9" xfId="1525" xr:uid="{00000000-0005-0000-0000-000098050000}"/>
    <cellStyle name="20% - Accent1 4 4" xfId="1526" xr:uid="{00000000-0005-0000-0000-000099050000}"/>
    <cellStyle name="20% - Accent1 4 4 2" xfId="1527" xr:uid="{00000000-0005-0000-0000-00009A050000}"/>
    <cellStyle name="20% - Accent1 4 4 2 2" xfId="1528" xr:uid="{00000000-0005-0000-0000-00009B050000}"/>
    <cellStyle name="20% - Accent1 4 4 2 2 2" xfId="1529" xr:uid="{00000000-0005-0000-0000-00009C050000}"/>
    <cellStyle name="20% - Accent1 4 4 2 2 2 2" xfId="1530" xr:uid="{00000000-0005-0000-0000-00009D050000}"/>
    <cellStyle name="20% - Accent1 4 4 2 2 2 2 2" xfId="1531" xr:uid="{00000000-0005-0000-0000-00009E050000}"/>
    <cellStyle name="20% - Accent1 4 4 2 2 2 2 3" xfId="1532" xr:uid="{00000000-0005-0000-0000-00009F050000}"/>
    <cellStyle name="20% - Accent1 4 4 2 2 2 3" xfId="1533" xr:uid="{00000000-0005-0000-0000-0000A0050000}"/>
    <cellStyle name="20% - Accent1 4 4 2 2 2 4" xfId="1534" xr:uid="{00000000-0005-0000-0000-0000A1050000}"/>
    <cellStyle name="20% - Accent1 4 4 2 2 3" xfId="1535" xr:uid="{00000000-0005-0000-0000-0000A2050000}"/>
    <cellStyle name="20% - Accent1 4 4 2 2 3 2" xfId="1536" xr:uid="{00000000-0005-0000-0000-0000A3050000}"/>
    <cellStyle name="20% - Accent1 4 4 2 2 3 3" xfId="1537" xr:uid="{00000000-0005-0000-0000-0000A4050000}"/>
    <cellStyle name="20% - Accent1 4 4 2 2 4" xfId="1538" xr:uid="{00000000-0005-0000-0000-0000A5050000}"/>
    <cellStyle name="20% - Accent1 4 4 2 2 5" xfId="1539" xr:uid="{00000000-0005-0000-0000-0000A6050000}"/>
    <cellStyle name="20% - Accent1 4 4 2 2 6" xfId="1540" xr:uid="{00000000-0005-0000-0000-0000A7050000}"/>
    <cellStyle name="20% - Accent1 4 4 2 3" xfId="1541" xr:uid="{00000000-0005-0000-0000-0000A8050000}"/>
    <cellStyle name="20% - Accent1 4 4 2 3 2" xfId="1542" xr:uid="{00000000-0005-0000-0000-0000A9050000}"/>
    <cellStyle name="20% - Accent1 4 4 2 3 2 2" xfId="1543" xr:uid="{00000000-0005-0000-0000-0000AA050000}"/>
    <cellStyle name="20% - Accent1 4 4 2 3 2 3" xfId="1544" xr:uid="{00000000-0005-0000-0000-0000AB050000}"/>
    <cellStyle name="20% - Accent1 4 4 2 3 3" xfId="1545" xr:uid="{00000000-0005-0000-0000-0000AC050000}"/>
    <cellStyle name="20% - Accent1 4 4 2 3 4" xfId="1546" xr:uid="{00000000-0005-0000-0000-0000AD050000}"/>
    <cellStyle name="20% - Accent1 4 4 2 4" xfId="1547" xr:uid="{00000000-0005-0000-0000-0000AE050000}"/>
    <cellStyle name="20% - Accent1 4 4 2 4 2" xfId="1548" xr:uid="{00000000-0005-0000-0000-0000AF050000}"/>
    <cellStyle name="20% - Accent1 4 4 2 4 3" xfId="1549" xr:uid="{00000000-0005-0000-0000-0000B0050000}"/>
    <cellStyle name="20% - Accent1 4 4 2 5" xfId="1550" xr:uid="{00000000-0005-0000-0000-0000B1050000}"/>
    <cellStyle name="20% - Accent1 4 4 2 6" xfId="1551" xr:uid="{00000000-0005-0000-0000-0000B2050000}"/>
    <cellStyle name="20% - Accent1 4 4 2 7" xfId="1552" xr:uid="{00000000-0005-0000-0000-0000B3050000}"/>
    <cellStyle name="20% - Accent1 4 4 3" xfId="1553" xr:uid="{00000000-0005-0000-0000-0000B4050000}"/>
    <cellStyle name="20% - Accent1 4 4 3 2" xfId="1554" xr:uid="{00000000-0005-0000-0000-0000B5050000}"/>
    <cellStyle name="20% - Accent1 4 4 3 2 2" xfId="1555" xr:uid="{00000000-0005-0000-0000-0000B6050000}"/>
    <cellStyle name="20% - Accent1 4 4 3 2 2 2" xfId="1556" xr:uid="{00000000-0005-0000-0000-0000B7050000}"/>
    <cellStyle name="20% - Accent1 4 4 3 2 2 3" xfId="1557" xr:uid="{00000000-0005-0000-0000-0000B8050000}"/>
    <cellStyle name="20% - Accent1 4 4 3 2 3" xfId="1558" xr:uid="{00000000-0005-0000-0000-0000B9050000}"/>
    <cellStyle name="20% - Accent1 4 4 3 2 4" xfId="1559" xr:uid="{00000000-0005-0000-0000-0000BA050000}"/>
    <cellStyle name="20% - Accent1 4 4 3 3" xfId="1560" xr:uid="{00000000-0005-0000-0000-0000BB050000}"/>
    <cellStyle name="20% - Accent1 4 4 3 3 2" xfId="1561" xr:uid="{00000000-0005-0000-0000-0000BC050000}"/>
    <cellStyle name="20% - Accent1 4 4 3 3 3" xfId="1562" xr:uid="{00000000-0005-0000-0000-0000BD050000}"/>
    <cellStyle name="20% - Accent1 4 4 3 4" xfId="1563" xr:uid="{00000000-0005-0000-0000-0000BE050000}"/>
    <cellStyle name="20% - Accent1 4 4 3 5" xfId="1564" xr:uid="{00000000-0005-0000-0000-0000BF050000}"/>
    <cellStyle name="20% - Accent1 4 4 3 6" xfId="1565" xr:uid="{00000000-0005-0000-0000-0000C0050000}"/>
    <cellStyle name="20% - Accent1 4 4 4" xfId="1566" xr:uid="{00000000-0005-0000-0000-0000C1050000}"/>
    <cellStyle name="20% - Accent1 4 4 4 2" xfId="1567" xr:uid="{00000000-0005-0000-0000-0000C2050000}"/>
    <cellStyle name="20% - Accent1 4 4 4 2 2" xfId="1568" xr:uid="{00000000-0005-0000-0000-0000C3050000}"/>
    <cellStyle name="20% - Accent1 4 4 4 2 3" xfId="1569" xr:uid="{00000000-0005-0000-0000-0000C4050000}"/>
    <cellStyle name="20% - Accent1 4 4 4 3" xfId="1570" xr:uid="{00000000-0005-0000-0000-0000C5050000}"/>
    <cellStyle name="20% - Accent1 4 4 4 4" xfId="1571" xr:uid="{00000000-0005-0000-0000-0000C6050000}"/>
    <cellStyle name="20% - Accent1 4 4 5" xfId="1572" xr:uid="{00000000-0005-0000-0000-0000C7050000}"/>
    <cellStyle name="20% - Accent1 4 4 5 2" xfId="1573" xr:uid="{00000000-0005-0000-0000-0000C8050000}"/>
    <cellStyle name="20% - Accent1 4 4 5 3" xfId="1574" xr:uid="{00000000-0005-0000-0000-0000C9050000}"/>
    <cellStyle name="20% - Accent1 4 4 6" xfId="1575" xr:uid="{00000000-0005-0000-0000-0000CA050000}"/>
    <cellStyle name="20% - Accent1 4 4 7" xfId="1576" xr:uid="{00000000-0005-0000-0000-0000CB050000}"/>
    <cellStyle name="20% - Accent1 4 4 8" xfId="1577" xr:uid="{00000000-0005-0000-0000-0000CC050000}"/>
    <cellStyle name="20% - Accent1 4 5" xfId="1578" xr:uid="{00000000-0005-0000-0000-0000CD050000}"/>
    <cellStyle name="20% - Accent1 4 5 2" xfId="1579" xr:uid="{00000000-0005-0000-0000-0000CE050000}"/>
    <cellStyle name="20% - Accent1 4 5 2 2" xfId="1580" xr:uid="{00000000-0005-0000-0000-0000CF050000}"/>
    <cellStyle name="20% - Accent1 4 5 2 2 2" xfId="1581" xr:uid="{00000000-0005-0000-0000-0000D0050000}"/>
    <cellStyle name="20% - Accent1 4 5 2 2 2 2" xfId="1582" xr:uid="{00000000-0005-0000-0000-0000D1050000}"/>
    <cellStyle name="20% - Accent1 4 5 2 2 2 3" xfId="1583" xr:uid="{00000000-0005-0000-0000-0000D2050000}"/>
    <cellStyle name="20% - Accent1 4 5 2 2 3" xfId="1584" xr:uid="{00000000-0005-0000-0000-0000D3050000}"/>
    <cellStyle name="20% - Accent1 4 5 2 2 4" xfId="1585" xr:uid="{00000000-0005-0000-0000-0000D4050000}"/>
    <cellStyle name="20% - Accent1 4 5 2 3" xfId="1586" xr:uid="{00000000-0005-0000-0000-0000D5050000}"/>
    <cellStyle name="20% - Accent1 4 5 2 3 2" xfId="1587" xr:uid="{00000000-0005-0000-0000-0000D6050000}"/>
    <cellStyle name="20% - Accent1 4 5 2 3 3" xfId="1588" xr:uid="{00000000-0005-0000-0000-0000D7050000}"/>
    <cellStyle name="20% - Accent1 4 5 2 4" xfId="1589" xr:uid="{00000000-0005-0000-0000-0000D8050000}"/>
    <cellStyle name="20% - Accent1 4 5 2 5" xfId="1590" xr:uid="{00000000-0005-0000-0000-0000D9050000}"/>
    <cellStyle name="20% - Accent1 4 5 2 6" xfId="1591" xr:uid="{00000000-0005-0000-0000-0000DA050000}"/>
    <cellStyle name="20% - Accent1 4 5 3" xfId="1592" xr:uid="{00000000-0005-0000-0000-0000DB050000}"/>
    <cellStyle name="20% - Accent1 4 5 3 2" xfId="1593" xr:uid="{00000000-0005-0000-0000-0000DC050000}"/>
    <cellStyle name="20% - Accent1 4 5 3 2 2" xfId="1594" xr:uid="{00000000-0005-0000-0000-0000DD050000}"/>
    <cellStyle name="20% - Accent1 4 5 3 2 3" xfId="1595" xr:uid="{00000000-0005-0000-0000-0000DE050000}"/>
    <cellStyle name="20% - Accent1 4 5 3 3" xfId="1596" xr:uid="{00000000-0005-0000-0000-0000DF050000}"/>
    <cellStyle name="20% - Accent1 4 5 3 4" xfId="1597" xr:uid="{00000000-0005-0000-0000-0000E0050000}"/>
    <cellStyle name="20% - Accent1 4 5 4" xfId="1598" xr:uid="{00000000-0005-0000-0000-0000E1050000}"/>
    <cellStyle name="20% - Accent1 4 5 4 2" xfId="1599" xr:uid="{00000000-0005-0000-0000-0000E2050000}"/>
    <cellStyle name="20% - Accent1 4 5 4 3" xfId="1600" xr:uid="{00000000-0005-0000-0000-0000E3050000}"/>
    <cellStyle name="20% - Accent1 4 5 5" xfId="1601" xr:uid="{00000000-0005-0000-0000-0000E4050000}"/>
    <cellStyle name="20% - Accent1 4 5 6" xfId="1602" xr:uid="{00000000-0005-0000-0000-0000E5050000}"/>
    <cellStyle name="20% - Accent1 4 5 7" xfId="1603" xr:uid="{00000000-0005-0000-0000-0000E6050000}"/>
    <cellStyle name="20% - Accent1 4 6" xfId="1604" xr:uid="{00000000-0005-0000-0000-0000E7050000}"/>
    <cellStyle name="20% - Accent1 4 6 2" xfId="1605" xr:uid="{00000000-0005-0000-0000-0000E8050000}"/>
    <cellStyle name="20% - Accent1 4 6 2 2" xfId="1606" xr:uid="{00000000-0005-0000-0000-0000E9050000}"/>
    <cellStyle name="20% - Accent1 4 6 2 2 2" xfId="1607" xr:uid="{00000000-0005-0000-0000-0000EA050000}"/>
    <cellStyle name="20% - Accent1 4 6 2 2 3" xfId="1608" xr:uid="{00000000-0005-0000-0000-0000EB050000}"/>
    <cellStyle name="20% - Accent1 4 6 2 3" xfId="1609" xr:uid="{00000000-0005-0000-0000-0000EC050000}"/>
    <cellStyle name="20% - Accent1 4 6 2 4" xfId="1610" xr:uid="{00000000-0005-0000-0000-0000ED050000}"/>
    <cellStyle name="20% - Accent1 4 6 3" xfId="1611" xr:uid="{00000000-0005-0000-0000-0000EE050000}"/>
    <cellStyle name="20% - Accent1 4 6 3 2" xfId="1612" xr:uid="{00000000-0005-0000-0000-0000EF050000}"/>
    <cellStyle name="20% - Accent1 4 6 3 3" xfId="1613" xr:uid="{00000000-0005-0000-0000-0000F0050000}"/>
    <cellStyle name="20% - Accent1 4 6 4" xfId="1614" xr:uid="{00000000-0005-0000-0000-0000F1050000}"/>
    <cellStyle name="20% - Accent1 4 6 5" xfId="1615" xr:uid="{00000000-0005-0000-0000-0000F2050000}"/>
    <cellStyle name="20% - Accent1 4 6 6" xfId="1616" xr:uid="{00000000-0005-0000-0000-0000F3050000}"/>
    <cellStyle name="20% - Accent1 4 7" xfId="1617" xr:uid="{00000000-0005-0000-0000-0000F4050000}"/>
    <cellStyle name="20% - Accent1 4 7 2" xfId="1618" xr:uid="{00000000-0005-0000-0000-0000F5050000}"/>
    <cellStyle name="20% - Accent1 4 7 2 2" xfId="1619" xr:uid="{00000000-0005-0000-0000-0000F6050000}"/>
    <cellStyle name="20% - Accent1 4 7 2 3" xfId="1620" xr:uid="{00000000-0005-0000-0000-0000F7050000}"/>
    <cellStyle name="20% - Accent1 4 7 3" xfId="1621" xr:uid="{00000000-0005-0000-0000-0000F8050000}"/>
    <cellStyle name="20% - Accent1 4 7 4" xfId="1622" xr:uid="{00000000-0005-0000-0000-0000F9050000}"/>
    <cellStyle name="20% - Accent1 4 8" xfId="1623" xr:uid="{00000000-0005-0000-0000-0000FA050000}"/>
    <cellStyle name="20% - Accent1 4 8 2" xfId="1624" xr:uid="{00000000-0005-0000-0000-0000FB050000}"/>
    <cellStyle name="20% - Accent1 4 8 3" xfId="1625" xr:uid="{00000000-0005-0000-0000-0000FC050000}"/>
    <cellStyle name="20% - Accent1 4 9" xfId="1626" xr:uid="{00000000-0005-0000-0000-0000FD050000}"/>
    <cellStyle name="20% - Accent1 5" xfId="1627" xr:uid="{00000000-0005-0000-0000-0000FE050000}"/>
    <cellStyle name="20% - Accent1 5 10" xfId="1628" xr:uid="{00000000-0005-0000-0000-0000FF050000}"/>
    <cellStyle name="20% - Accent1 5 2" xfId="1629" xr:uid="{00000000-0005-0000-0000-000000060000}"/>
    <cellStyle name="20% - Accent1 5 2 2" xfId="1630" xr:uid="{00000000-0005-0000-0000-000001060000}"/>
    <cellStyle name="20% - Accent1 5 2 2 2" xfId="1631" xr:uid="{00000000-0005-0000-0000-000002060000}"/>
    <cellStyle name="20% - Accent1 5 2 2 2 2" xfId="1632" xr:uid="{00000000-0005-0000-0000-000003060000}"/>
    <cellStyle name="20% - Accent1 5 2 2 2 2 2" xfId="1633" xr:uid="{00000000-0005-0000-0000-000004060000}"/>
    <cellStyle name="20% - Accent1 5 2 2 2 2 2 2" xfId="1634" xr:uid="{00000000-0005-0000-0000-000005060000}"/>
    <cellStyle name="20% - Accent1 5 2 2 2 2 2 2 2" xfId="1635" xr:uid="{00000000-0005-0000-0000-000006060000}"/>
    <cellStyle name="20% - Accent1 5 2 2 2 2 2 2 3" xfId="1636" xr:uid="{00000000-0005-0000-0000-000007060000}"/>
    <cellStyle name="20% - Accent1 5 2 2 2 2 2 3" xfId="1637" xr:uid="{00000000-0005-0000-0000-000008060000}"/>
    <cellStyle name="20% - Accent1 5 2 2 2 2 2 4" xfId="1638" xr:uid="{00000000-0005-0000-0000-000009060000}"/>
    <cellStyle name="20% - Accent1 5 2 2 2 2 3" xfId="1639" xr:uid="{00000000-0005-0000-0000-00000A060000}"/>
    <cellStyle name="20% - Accent1 5 2 2 2 2 3 2" xfId="1640" xr:uid="{00000000-0005-0000-0000-00000B060000}"/>
    <cellStyle name="20% - Accent1 5 2 2 2 2 3 3" xfId="1641" xr:uid="{00000000-0005-0000-0000-00000C060000}"/>
    <cellStyle name="20% - Accent1 5 2 2 2 2 4" xfId="1642" xr:uid="{00000000-0005-0000-0000-00000D060000}"/>
    <cellStyle name="20% - Accent1 5 2 2 2 2 5" xfId="1643" xr:uid="{00000000-0005-0000-0000-00000E060000}"/>
    <cellStyle name="20% - Accent1 5 2 2 2 2 6" xfId="1644" xr:uid="{00000000-0005-0000-0000-00000F060000}"/>
    <cellStyle name="20% - Accent1 5 2 2 2 3" xfId="1645" xr:uid="{00000000-0005-0000-0000-000010060000}"/>
    <cellStyle name="20% - Accent1 5 2 2 2 3 2" xfId="1646" xr:uid="{00000000-0005-0000-0000-000011060000}"/>
    <cellStyle name="20% - Accent1 5 2 2 2 3 2 2" xfId="1647" xr:uid="{00000000-0005-0000-0000-000012060000}"/>
    <cellStyle name="20% - Accent1 5 2 2 2 3 2 3" xfId="1648" xr:uid="{00000000-0005-0000-0000-000013060000}"/>
    <cellStyle name="20% - Accent1 5 2 2 2 3 3" xfId="1649" xr:uid="{00000000-0005-0000-0000-000014060000}"/>
    <cellStyle name="20% - Accent1 5 2 2 2 3 4" xfId="1650" xr:uid="{00000000-0005-0000-0000-000015060000}"/>
    <cellStyle name="20% - Accent1 5 2 2 2 4" xfId="1651" xr:uid="{00000000-0005-0000-0000-000016060000}"/>
    <cellStyle name="20% - Accent1 5 2 2 2 4 2" xfId="1652" xr:uid="{00000000-0005-0000-0000-000017060000}"/>
    <cellStyle name="20% - Accent1 5 2 2 2 4 3" xfId="1653" xr:uid="{00000000-0005-0000-0000-000018060000}"/>
    <cellStyle name="20% - Accent1 5 2 2 2 5" xfId="1654" xr:uid="{00000000-0005-0000-0000-000019060000}"/>
    <cellStyle name="20% - Accent1 5 2 2 2 6" xfId="1655" xr:uid="{00000000-0005-0000-0000-00001A060000}"/>
    <cellStyle name="20% - Accent1 5 2 2 2 7" xfId="1656" xr:uid="{00000000-0005-0000-0000-00001B060000}"/>
    <cellStyle name="20% - Accent1 5 2 2 3" xfId="1657" xr:uid="{00000000-0005-0000-0000-00001C060000}"/>
    <cellStyle name="20% - Accent1 5 2 2 3 2" xfId="1658" xr:uid="{00000000-0005-0000-0000-00001D060000}"/>
    <cellStyle name="20% - Accent1 5 2 2 3 2 2" xfId="1659" xr:uid="{00000000-0005-0000-0000-00001E060000}"/>
    <cellStyle name="20% - Accent1 5 2 2 3 2 2 2" xfId="1660" xr:uid="{00000000-0005-0000-0000-00001F060000}"/>
    <cellStyle name="20% - Accent1 5 2 2 3 2 2 3" xfId="1661" xr:uid="{00000000-0005-0000-0000-000020060000}"/>
    <cellStyle name="20% - Accent1 5 2 2 3 2 3" xfId="1662" xr:uid="{00000000-0005-0000-0000-000021060000}"/>
    <cellStyle name="20% - Accent1 5 2 2 3 2 4" xfId="1663" xr:uid="{00000000-0005-0000-0000-000022060000}"/>
    <cellStyle name="20% - Accent1 5 2 2 3 3" xfId="1664" xr:uid="{00000000-0005-0000-0000-000023060000}"/>
    <cellStyle name="20% - Accent1 5 2 2 3 3 2" xfId="1665" xr:uid="{00000000-0005-0000-0000-000024060000}"/>
    <cellStyle name="20% - Accent1 5 2 2 3 3 3" xfId="1666" xr:uid="{00000000-0005-0000-0000-000025060000}"/>
    <cellStyle name="20% - Accent1 5 2 2 3 4" xfId="1667" xr:uid="{00000000-0005-0000-0000-000026060000}"/>
    <cellStyle name="20% - Accent1 5 2 2 3 5" xfId="1668" xr:uid="{00000000-0005-0000-0000-000027060000}"/>
    <cellStyle name="20% - Accent1 5 2 2 3 6" xfId="1669" xr:uid="{00000000-0005-0000-0000-000028060000}"/>
    <cellStyle name="20% - Accent1 5 2 2 4" xfId="1670" xr:uid="{00000000-0005-0000-0000-000029060000}"/>
    <cellStyle name="20% - Accent1 5 2 2 4 2" xfId="1671" xr:uid="{00000000-0005-0000-0000-00002A060000}"/>
    <cellStyle name="20% - Accent1 5 2 2 4 2 2" xfId="1672" xr:uid="{00000000-0005-0000-0000-00002B060000}"/>
    <cellStyle name="20% - Accent1 5 2 2 4 2 3" xfId="1673" xr:uid="{00000000-0005-0000-0000-00002C060000}"/>
    <cellStyle name="20% - Accent1 5 2 2 4 3" xfId="1674" xr:uid="{00000000-0005-0000-0000-00002D060000}"/>
    <cellStyle name="20% - Accent1 5 2 2 4 4" xfId="1675" xr:uid="{00000000-0005-0000-0000-00002E060000}"/>
    <cellStyle name="20% - Accent1 5 2 2 5" xfId="1676" xr:uid="{00000000-0005-0000-0000-00002F060000}"/>
    <cellStyle name="20% - Accent1 5 2 2 5 2" xfId="1677" xr:uid="{00000000-0005-0000-0000-000030060000}"/>
    <cellStyle name="20% - Accent1 5 2 2 5 3" xfId="1678" xr:uid="{00000000-0005-0000-0000-000031060000}"/>
    <cellStyle name="20% - Accent1 5 2 2 6" xfId="1679" xr:uid="{00000000-0005-0000-0000-000032060000}"/>
    <cellStyle name="20% - Accent1 5 2 2 7" xfId="1680" xr:uid="{00000000-0005-0000-0000-000033060000}"/>
    <cellStyle name="20% - Accent1 5 2 2 8" xfId="1681" xr:uid="{00000000-0005-0000-0000-000034060000}"/>
    <cellStyle name="20% - Accent1 5 2 3" xfId="1682" xr:uid="{00000000-0005-0000-0000-000035060000}"/>
    <cellStyle name="20% - Accent1 5 2 3 2" xfId="1683" xr:uid="{00000000-0005-0000-0000-000036060000}"/>
    <cellStyle name="20% - Accent1 5 2 3 2 2" xfId="1684" xr:uid="{00000000-0005-0000-0000-000037060000}"/>
    <cellStyle name="20% - Accent1 5 2 3 2 2 2" xfId="1685" xr:uid="{00000000-0005-0000-0000-000038060000}"/>
    <cellStyle name="20% - Accent1 5 2 3 2 2 2 2" xfId="1686" xr:uid="{00000000-0005-0000-0000-000039060000}"/>
    <cellStyle name="20% - Accent1 5 2 3 2 2 2 3" xfId="1687" xr:uid="{00000000-0005-0000-0000-00003A060000}"/>
    <cellStyle name="20% - Accent1 5 2 3 2 2 3" xfId="1688" xr:uid="{00000000-0005-0000-0000-00003B060000}"/>
    <cellStyle name="20% - Accent1 5 2 3 2 2 4" xfId="1689" xr:uid="{00000000-0005-0000-0000-00003C060000}"/>
    <cellStyle name="20% - Accent1 5 2 3 2 3" xfId="1690" xr:uid="{00000000-0005-0000-0000-00003D060000}"/>
    <cellStyle name="20% - Accent1 5 2 3 2 3 2" xfId="1691" xr:uid="{00000000-0005-0000-0000-00003E060000}"/>
    <cellStyle name="20% - Accent1 5 2 3 2 3 3" xfId="1692" xr:uid="{00000000-0005-0000-0000-00003F060000}"/>
    <cellStyle name="20% - Accent1 5 2 3 2 4" xfId="1693" xr:uid="{00000000-0005-0000-0000-000040060000}"/>
    <cellStyle name="20% - Accent1 5 2 3 2 5" xfId="1694" xr:uid="{00000000-0005-0000-0000-000041060000}"/>
    <cellStyle name="20% - Accent1 5 2 3 2 6" xfId="1695" xr:uid="{00000000-0005-0000-0000-000042060000}"/>
    <cellStyle name="20% - Accent1 5 2 3 3" xfId="1696" xr:uid="{00000000-0005-0000-0000-000043060000}"/>
    <cellStyle name="20% - Accent1 5 2 3 3 2" xfId="1697" xr:uid="{00000000-0005-0000-0000-000044060000}"/>
    <cellStyle name="20% - Accent1 5 2 3 3 2 2" xfId="1698" xr:uid="{00000000-0005-0000-0000-000045060000}"/>
    <cellStyle name="20% - Accent1 5 2 3 3 2 3" xfId="1699" xr:uid="{00000000-0005-0000-0000-000046060000}"/>
    <cellStyle name="20% - Accent1 5 2 3 3 3" xfId="1700" xr:uid="{00000000-0005-0000-0000-000047060000}"/>
    <cellStyle name="20% - Accent1 5 2 3 3 4" xfId="1701" xr:uid="{00000000-0005-0000-0000-000048060000}"/>
    <cellStyle name="20% - Accent1 5 2 3 4" xfId="1702" xr:uid="{00000000-0005-0000-0000-000049060000}"/>
    <cellStyle name="20% - Accent1 5 2 3 4 2" xfId="1703" xr:uid="{00000000-0005-0000-0000-00004A060000}"/>
    <cellStyle name="20% - Accent1 5 2 3 4 3" xfId="1704" xr:uid="{00000000-0005-0000-0000-00004B060000}"/>
    <cellStyle name="20% - Accent1 5 2 3 5" xfId="1705" xr:uid="{00000000-0005-0000-0000-00004C060000}"/>
    <cellStyle name="20% - Accent1 5 2 3 6" xfId="1706" xr:uid="{00000000-0005-0000-0000-00004D060000}"/>
    <cellStyle name="20% - Accent1 5 2 3 7" xfId="1707" xr:uid="{00000000-0005-0000-0000-00004E060000}"/>
    <cellStyle name="20% - Accent1 5 2 4" xfId="1708" xr:uid="{00000000-0005-0000-0000-00004F060000}"/>
    <cellStyle name="20% - Accent1 5 2 4 2" xfId="1709" xr:uid="{00000000-0005-0000-0000-000050060000}"/>
    <cellStyle name="20% - Accent1 5 2 4 2 2" xfId="1710" xr:uid="{00000000-0005-0000-0000-000051060000}"/>
    <cellStyle name="20% - Accent1 5 2 4 2 2 2" xfId="1711" xr:uid="{00000000-0005-0000-0000-000052060000}"/>
    <cellStyle name="20% - Accent1 5 2 4 2 2 3" xfId="1712" xr:uid="{00000000-0005-0000-0000-000053060000}"/>
    <cellStyle name="20% - Accent1 5 2 4 2 3" xfId="1713" xr:uid="{00000000-0005-0000-0000-000054060000}"/>
    <cellStyle name="20% - Accent1 5 2 4 2 4" xfId="1714" xr:uid="{00000000-0005-0000-0000-000055060000}"/>
    <cellStyle name="20% - Accent1 5 2 4 3" xfId="1715" xr:uid="{00000000-0005-0000-0000-000056060000}"/>
    <cellStyle name="20% - Accent1 5 2 4 3 2" xfId="1716" xr:uid="{00000000-0005-0000-0000-000057060000}"/>
    <cellStyle name="20% - Accent1 5 2 4 3 3" xfId="1717" xr:uid="{00000000-0005-0000-0000-000058060000}"/>
    <cellStyle name="20% - Accent1 5 2 4 4" xfId="1718" xr:uid="{00000000-0005-0000-0000-000059060000}"/>
    <cellStyle name="20% - Accent1 5 2 4 5" xfId="1719" xr:uid="{00000000-0005-0000-0000-00005A060000}"/>
    <cellStyle name="20% - Accent1 5 2 4 6" xfId="1720" xr:uid="{00000000-0005-0000-0000-00005B060000}"/>
    <cellStyle name="20% - Accent1 5 2 5" xfId="1721" xr:uid="{00000000-0005-0000-0000-00005C060000}"/>
    <cellStyle name="20% - Accent1 5 2 5 2" xfId="1722" xr:uid="{00000000-0005-0000-0000-00005D060000}"/>
    <cellStyle name="20% - Accent1 5 2 5 2 2" xfId="1723" xr:uid="{00000000-0005-0000-0000-00005E060000}"/>
    <cellStyle name="20% - Accent1 5 2 5 2 3" xfId="1724" xr:uid="{00000000-0005-0000-0000-00005F060000}"/>
    <cellStyle name="20% - Accent1 5 2 5 3" xfId="1725" xr:uid="{00000000-0005-0000-0000-000060060000}"/>
    <cellStyle name="20% - Accent1 5 2 5 4" xfId="1726" xr:uid="{00000000-0005-0000-0000-000061060000}"/>
    <cellStyle name="20% - Accent1 5 2 6" xfId="1727" xr:uid="{00000000-0005-0000-0000-000062060000}"/>
    <cellStyle name="20% - Accent1 5 2 6 2" xfId="1728" xr:uid="{00000000-0005-0000-0000-000063060000}"/>
    <cellStyle name="20% - Accent1 5 2 6 3" xfId="1729" xr:uid="{00000000-0005-0000-0000-000064060000}"/>
    <cellStyle name="20% - Accent1 5 2 7" xfId="1730" xr:uid="{00000000-0005-0000-0000-000065060000}"/>
    <cellStyle name="20% - Accent1 5 2 8" xfId="1731" xr:uid="{00000000-0005-0000-0000-000066060000}"/>
    <cellStyle name="20% - Accent1 5 2 9" xfId="1732" xr:uid="{00000000-0005-0000-0000-000067060000}"/>
    <cellStyle name="20% - Accent1 5 3" xfId="1733" xr:uid="{00000000-0005-0000-0000-000068060000}"/>
    <cellStyle name="20% - Accent1 5 3 2" xfId="1734" xr:uid="{00000000-0005-0000-0000-000069060000}"/>
    <cellStyle name="20% - Accent1 5 3 2 2" xfId="1735" xr:uid="{00000000-0005-0000-0000-00006A060000}"/>
    <cellStyle name="20% - Accent1 5 3 2 2 2" xfId="1736" xr:uid="{00000000-0005-0000-0000-00006B060000}"/>
    <cellStyle name="20% - Accent1 5 3 2 2 2 2" xfId="1737" xr:uid="{00000000-0005-0000-0000-00006C060000}"/>
    <cellStyle name="20% - Accent1 5 3 2 2 2 2 2" xfId="1738" xr:uid="{00000000-0005-0000-0000-00006D060000}"/>
    <cellStyle name="20% - Accent1 5 3 2 2 2 2 3" xfId="1739" xr:uid="{00000000-0005-0000-0000-00006E060000}"/>
    <cellStyle name="20% - Accent1 5 3 2 2 2 3" xfId="1740" xr:uid="{00000000-0005-0000-0000-00006F060000}"/>
    <cellStyle name="20% - Accent1 5 3 2 2 2 4" xfId="1741" xr:uid="{00000000-0005-0000-0000-000070060000}"/>
    <cellStyle name="20% - Accent1 5 3 2 2 3" xfId="1742" xr:uid="{00000000-0005-0000-0000-000071060000}"/>
    <cellStyle name="20% - Accent1 5 3 2 2 3 2" xfId="1743" xr:uid="{00000000-0005-0000-0000-000072060000}"/>
    <cellStyle name="20% - Accent1 5 3 2 2 3 3" xfId="1744" xr:uid="{00000000-0005-0000-0000-000073060000}"/>
    <cellStyle name="20% - Accent1 5 3 2 2 4" xfId="1745" xr:uid="{00000000-0005-0000-0000-000074060000}"/>
    <cellStyle name="20% - Accent1 5 3 2 2 5" xfId="1746" xr:uid="{00000000-0005-0000-0000-000075060000}"/>
    <cellStyle name="20% - Accent1 5 3 2 2 6" xfId="1747" xr:uid="{00000000-0005-0000-0000-000076060000}"/>
    <cellStyle name="20% - Accent1 5 3 2 3" xfId="1748" xr:uid="{00000000-0005-0000-0000-000077060000}"/>
    <cellStyle name="20% - Accent1 5 3 2 3 2" xfId="1749" xr:uid="{00000000-0005-0000-0000-000078060000}"/>
    <cellStyle name="20% - Accent1 5 3 2 3 2 2" xfId="1750" xr:uid="{00000000-0005-0000-0000-000079060000}"/>
    <cellStyle name="20% - Accent1 5 3 2 3 2 3" xfId="1751" xr:uid="{00000000-0005-0000-0000-00007A060000}"/>
    <cellStyle name="20% - Accent1 5 3 2 3 3" xfId="1752" xr:uid="{00000000-0005-0000-0000-00007B060000}"/>
    <cellStyle name="20% - Accent1 5 3 2 3 4" xfId="1753" xr:uid="{00000000-0005-0000-0000-00007C060000}"/>
    <cellStyle name="20% - Accent1 5 3 2 4" xfId="1754" xr:uid="{00000000-0005-0000-0000-00007D060000}"/>
    <cellStyle name="20% - Accent1 5 3 2 4 2" xfId="1755" xr:uid="{00000000-0005-0000-0000-00007E060000}"/>
    <cellStyle name="20% - Accent1 5 3 2 4 3" xfId="1756" xr:uid="{00000000-0005-0000-0000-00007F060000}"/>
    <cellStyle name="20% - Accent1 5 3 2 5" xfId="1757" xr:uid="{00000000-0005-0000-0000-000080060000}"/>
    <cellStyle name="20% - Accent1 5 3 2 6" xfId="1758" xr:uid="{00000000-0005-0000-0000-000081060000}"/>
    <cellStyle name="20% - Accent1 5 3 2 7" xfId="1759" xr:uid="{00000000-0005-0000-0000-000082060000}"/>
    <cellStyle name="20% - Accent1 5 3 3" xfId="1760" xr:uid="{00000000-0005-0000-0000-000083060000}"/>
    <cellStyle name="20% - Accent1 5 3 3 2" xfId="1761" xr:uid="{00000000-0005-0000-0000-000084060000}"/>
    <cellStyle name="20% - Accent1 5 3 3 2 2" xfId="1762" xr:uid="{00000000-0005-0000-0000-000085060000}"/>
    <cellStyle name="20% - Accent1 5 3 3 2 2 2" xfId="1763" xr:uid="{00000000-0005-0000-0000-000086060000}"/>
    <cellStyle name="20% - Accent1 5 3 3 2 2 3" xfId="1764" xr:uid="{00000000-0005-0000-0000-000087060000}"/>
    <cellStyle name="20% - Accent1 5 3 3 2 3" xfId="1765" xr:uid="{00000000-0005-0000-0000-000088060000}"/>
    <cellStyle name="20% - Accent1 5 3 3 2 4" xfId="1766" xr:uid="{00000000-0005-0000-0000-000089060000}"/>
    <cellStyle name="20% - Accent1 5 3 3 3" xfId="1767" xr:uid="{00000000-0005-0000-0000-00008A060000}"/>
    <cellStyle name="20% - Accent1 5 3 3 3 2" xfId="1768" xr:uid="{00000000-0005-0000-0000-00008B060000}"/>
    <cellStyle name="20% - Accent1 5 3 3 3 3" xfId="1769" xr:uid="{00000000-0005-0000-0000-00008C060000}"/>
    <cellStyle name="20% - Accent1 5 3 3 4" xfId="1770" xr:uid="{00000000-0005-0000-0000-00008D060000}"/>
    <cellStyle name="20% - Accent1 5 3 3 5" xfId="1771" xr:uid="{00000000-0005-0000-0000-00008E060000}"/>
    <cellStyle name="20% - Accent1 5 3 3 6" xfId="1772" xr:uid="{00000000-0005-0000-0000-00008F060000}"/>
    <cellStyle name="20% - Accent1 5 3 4" xfId="1773" xr:uid="{00000000-0005-0000-0000-000090060000}"/>
    <cellStyle name="20% - Accent1 5 3 4 2" xfId="1774" xr:uid="{00000000-0005-0000-0000-000091060000}"/>
    <cellStyle name="20% - Accent1 5 3 4 2 2" xfId="1775" xr:uid="{00000000-0005-0000-0000-000092060000}"/>
    <cellStyle name="20% - Accent1 5 3 4 2 3" xfId="1776" xr:uid="{00000000-0005-0000-0000-000093060000}"/>
    <cellStyle name="20% - Accent1 5 3 4 3" xfId="1777" xr:uid="{00000000-0005-0000-0000-000094060000}"/>
    <cellStyle name="20% - Accent1 5 3 4 4" xfId="1778" xr:uid="{00000000-0005-0000-0000-000095060000}"/>
    <cellStyle name="20% - Accent1 5 3 5" xfId="1779" xr:uid="{00000000-0005-0000-0000-000096060000}"/>
    <cellStyle name="20% - Accent1 5 3 5 2" xfId="1780" xr:uid="{00000000-0005-0000-0000-000097060000}"/>
    <cellStyle name="20% - Accent1 5 3 5 3" xfId="1781" xr:uid="{00000000-0005-0000-0000-000098060000}"/>
    <cellStyle name="20% - Accent1 5 3 6" xfId="1782" xr:uid="{00000000-0005-0000-0000-000099060000}"/>
    <cellStyle name="20% - Accent1 5 3 7" xfId="1783" xr:uid="{00000000-0005-0000-0000-00009A060000}"/>
    <cellStyle name="20% - Accent1 5 3 8" xfId="1784" xr:uid="{00000000-0005-0000-0000-00009B060000}"/>
    <cellStyle name="20% - Accent1 5 4" xfId="1785" xr:uid="{00000000-0005-0000-0000-00009C060000}"/>
    <cellStyle name="20% - Accent1 5 4 2" xfId="1786" xr:uid="{00000000-0005-0000-0000-00009D060000}"/>
    <cellStyle name="20% - Accent1 5 4 2 2" xfId="1787" xr:uid="{00000000-0005-0000-0000-00009E060000}"/>
    <cellStyle name="20% - Accent1 5 4 2 2 2" xfId="1788" xr:uid="{00000000-0005-0000-0000-00009F060000}"/>
    <cellStyle name="20% - Accent1 5 4 2 2 2 2" xfId="1789" xr:uid="{00000000-0005-0000-0000-0000A0060000}"/>
    <cellStyle name="20% - Accent1 5 4 2 2 2 3" xfId="1790" xr:uid="{00000000-0005-0000-0000-0000A1060000}"/>
    <cellStyle name="20% - Accent1 5 4 2 2 3" xfId="1791" xr:uid="{00000000-0005-0000-0000-0000A2060000}"/>
    <cellStyle name="20% - Accent1 5 4 2 2 4" xfId="1792" xr:uid="{00000000-0005-0000-0000-0000A3060000}"/>
    <cellStyle name="20% - Accent1 5 4 2 3" xfId="1793" xr:uid="{00000000-0005-0000-0000-0000A4060000}"/>
    <cellStyle name="20% - Accent1 5 4 2 3 2" xfId="1794" xr:uid="{00000000-0005-0000-0000-0000A5060000}"/>
    <cellStyle name="20% - Accent1 5 4 2 3 3" xfId="1795" xr:uid="{00000000-0005-0000-0000-0000A6060000}"/>
    <cellStyle name="20% - Accent1 5 4 2 4" xfId="1796" xr:uid="{00000000-0005-0000-0000-0000A7060000}"/>
    <cellStyle name="20% - Accent1 5 4 2 5" xfId="1797" xr:uid="{00000000-0005-0000-0000-0000A8060000}"/>
    <cellStyle name="20% - Accent1 5 4 2 6" xfId="1798" xr:uid="{00000000-0005-0000-0000-0000A9060000}"/>
    <cellStyle name="20% - Accent1 5 4 3" xfId="1799" xr:uid="{00000000-0005-0000-0000-0000AA060000}"/>
    <cellStyle name="20% - Accent1 5 4 3 2" xfId="1800" xr:uid="{00000000-0005-0000-0000-0000AB060000}"/>
    <cellStyle name="20% - Accent1 5 4 3 2 2" xfId="1801" xr:uid="{00000000-0005-0000-0000-0000AC060000}"/>
    <cellStyle name="20% - Accent1 5 4 3 2 3" xfId="1802" xr:uid="{00000000-0005-0000-0000-0000AD060000}"/>
    <cellStyle name="20% - Accent1 5 4 3 3" xfId="1803" xr:uid="{00000000-0005-0000-0000-0000AE060000}"/>
    <cellStyle name="20% - Accent1 5 4 3 4" xfId="1804" xr:uid="{00000000-0005-0000-0000-0000AF060000}"/>
    <cellStyle name="20% - Accent1 5 4 4" xfId="1805" xr:uid="{00000000-0005-0000-0000-0000B0060000}"/>
    <cellStyle name="20% - Accent1 5 4 4 2" xfId="1806" xr:uid="{00000000-0005-0000-0000-0000B1060000}"/>
    <cellStyle name="20% - Accent1 5 4 4 3" xfId="1807" xr:uid="{00000000-0005-0000-0000-0000B2060000}"/>
    <cellStyle name="20% - Accent1 5 4 5" xfId="1808" xr:uid="{00000000-0005-0000-0000-0000B3060000}"/>
    <cellStyle name="20% - Accent1 5 4 6" xfId="1809" xr:uid="{00000000-0005-0000-0000-0000B4060000}"/>
    <cellStyle name="20% - Accent1 5 4 7" xfId="1810" xr:uid="{00000000-0005-0000-0000-0000B5060000}"/>
    <cellStyle name="20% - Accent1 5 5" xfId="1811" xr:uid="{00000000-0005-0000-0000-0000B6060000}"/>
    <cellStyle name="20% - Accent1 5 5 2" xfId="1812" xr:uid="{00000000-0005-0000-0000-0000B7060000}"/>
    <cellStyle name="20% - Accent1 5 5 2 2" xfId="1813" xr:uid="{00000000-0005-0000-0000-0000B8060000}"/>
    <cellStyle name="20% - Accent1 5 5 2 2 2" xfId="1814" xr:uid="{00000000-0005-0000-0000-0000B9060000}"/>
    <cellStyle name="20% - Accent1 5 5 2 2 3" xfId="1815" xr:uid="{00000000-0005-0000-0000-0000BA060000}"/>
    <cellStyle name="20% - Accent1 5 5 2 3" xfId="1816" xr:uid="{00000000-0005-0000-0000-0000BB060000}"/>
    <cellStyle name="20% - Accent1 5 5 2 4" xfId="1817" xr:uid="{00000000-0005-0000-0000-0000BC060000}"/>
    <cellStyle name="20% - Accent1 5 5 3" xfId="1818" xr:uid="{00000000-0005-0000-0000-0000BD060000}"/>
    <cellStyle name="20% - Accent1 5 5 3 2" xfId="1819" xr:uid="{00000000-0005-0000-0000-0000BE060000}"/>
    <cellStyle name="20% - Accent1 5 5 3 3" xfId="1820" xr:uid="{00000000-0005-0000-0000-0000BF060000}"/>
    <cellStyle name="20% - Accent1 5 5 4" xfId="1821" xr:uid="{00000000-0005-0000-0000-0000C0060000}"/>
    <cellStyle name="20% - Accent1 5 5 5" xfId="1822" xr:uid="{00000000-0005-0000-0000-0000C1060000}"/>
    <cellStyle name="20% - Accent1 5 5 6" xfId="1823" xr:uid="{00000000-0005-0000-0000-0000C2060000}"/>
    <cellStyle name="20% - Accent1 5 6" xfId="1824" xr:uid="{00000000-0005-0000-0000-0000C3060000}"/>
    <cellStyle name="20% - Accent1 5 6 2" xfId="1825" xr:uid="{00000000-0005-0000-0000-0000C4060000}"/>
    <cellStyle name="20% - Accent1 5 6 2 2" xfId="1826" xr:uid="{00000000-0005-0000-0000-0000C5060000}"/>
    <cellStyle name="20% - Accent1 5 6 2 3" xfId="1827" xr:uid="{00000000-0005-0000-0000-0000C6060000}"/>
    <cellStyle name="20% - Accent1 5 6 3" xfId="1828" xr:uid="{00000000-0005-0000-0000-0000C7060000}"/>
    <cellStyle name="20% - Accent1 5 6 4" xfId="1829" xr:uid="{00000000-0005-0000-0000-0000C8060000}"/>
    <cellStyle name="20% - Accent1 5 7" xfId="1830" xr:uid="{00000000-0005-0000-0000-0000C9060000}"/>
    <cellStyle name="20% - Accent1 5 7 2" xfId="1831" xr:uid="{00000000-0005-0000-0000-0000CA060000}"/>
    <cellStyle name="20% - Accent1 5 7 3" xfId="1832" xr:uid="{00000000-0005-0000-0000-0000CB060000}"/>
    <cellStyle name="20% - Accent1 5 8" xfId="1833" xr:uid="{00000000-0005-0000-0000-0000CC060000}"/>
    <cellStyle name="20% - Accent1 5 9" xfId="1834" xr:uid="{00000000-0005-0000-0000-0000CD060000}"/>
    <cellStyle name="20% - Accent1 6" xfId="1835" xr:uid="{00000000-0005-0000-0000-0000CE060000}"/>
    <cellStyle name="20% - Accent1 6 2" xfId="1836" xr:uid="{00000000-0005-0000-0000-0000CF060000}"/>
    <cellStyle name="20% - Accent1 6 2 2" xfId="1837" xr:uid="{00000000-0005-0000-0000-0000D0060000}"/>
    <cellStyle name="20% - Accent1 6 2 2 2" xfId="1838" xr:uid="{00000000-0005-0000-0000-0000D1060000}"/>
    <cellStyle name="20% - Accent1 6 2 2 2 2" xfId="1839" xr:uid="{00000000-0005-0000-0000-0000D2060000}"/>
    <cellStyle name="20% - Accent1 6 2 2 2 2 2" xfId="1840" xr:uid="{00000000-0005-0000-0000-0000D3060000}"/>
    <cellStyle name="20% - Accent1 6 2 2 2 2 2 2" xfId="1841" xr:uid="{00000000-0005-0000-0000-0000D4060000}"/>
    <cellStyle name="20% - Accent1 6 2 2 2 2 2 3" xfId="1842" xr:uid="{00000000-0005-0000-0000-0000D5060000}"/>
    <cellStyle name="20% - Accent1 6 2 2 2 2 3" xfId="1843" xr:uid="{00000000-0005-0000-0000-0000D6060000}"/>
    <cellStyle name="20% - Accent1 6 2 2 2 2 4" xfId="1844" xr:uid="{00000000-0005-0000-0000-0000D7060000}"/>
    <cellStyle name="20% - Accent1 6 2 2 2 3" xfId="1845" xr:uid="{00000000-0005-0000-0000-0000D8060000}"/>
    <cellStyle name="20% - Accent1 6 2 2 2 3 2" xfId="1846" xr:uid="{00000000-0005-0000-0000-0000D9060000}"/>
    <cellStyle name="20% - Accent1 6 2 2 2 3 3" xfId="1847" xr:uid="{00000000-0005-0000-0000-0000DA060000}"/>
    <cellStyle name="20% - Accent1 6 2 2 2 4" xfId="1848" xr:uid="{00000000-0005-0000-0000-0000DB060000}"/>
    <cellStyle name="20% - Accent1 6 2 2 2 5" xfId="1849" xr:uid="{00000000-0005-0000-0000-0000DC060000}"/>
    <cellStyle name="20% - Accent1 6 2 2 2 6" xfId="1850" xr:uid="{00000000-0005-0000-0000-0000DD060000}"/>
    <cellStyle name="20% - Accent1 6 2 2 3" xfId="1851" xr:uid="{00000000-0005-0000-0000-0000DE060000}"/>
    <cellStyle name="20% - Accent1 6 2 2 3 2" xfId="1852" xr:uid="{00000000-0005-0000-0000-0000DF060000}"/>
    <cellStyle name="20% - Accent1 6 2 2 3 2 2" xfId="1853" xr:uid="{00000000-0005-0000-0000-0000E0060000}"/>
    <cellStyle name="20% - Accent1 6 2 2 3 2 3" xfId="1854" xr:uid="{00000000-0005-0000-0000-0000E1060000}"/>
    <cellStyle name="20% - Accent1 6 2 2 3 3" xfId="1855" xr:uid="{00000000-0005-0000-0000-0000E2060000}"/>
    <cellStyle name="20% - Accent1 6 2 2 3 4" xfId="1856" xr:uid="{00000000-0005-0000-0000-0000E3060000}"/>
    <cellStyle name="20% - Accent1 6 2 2 4" xfId="1857" xr:uid="{00000000-0005-0000-0000-0000E4060000}"/>
    <cellStyle name="20% - Accent1 6 2 2 4 2" xfId="1858" xr:uid="{00000000-0005-0000-0000-0000E5060000}"/>
    <cellStyle name="20% - Accent1 6 2 2 4 3" xfId="1859" xr:uid="{00000000-0005-0000-0000-0000E6060000}"/>
    <cellStyle name="20% - Accent1 6 2 2 5" xfId="1860" xr:uid="{00000000-0005-0000-0000-0000E7060000}"/>
    <cellStyle name="20% - Accent1 6 2 2 6" xfId="1861" xr:uid="{00000000-0005-0000-0000-0000E8060000}"/>
    <cellStyle name="20% - Accent1 6 2 2 7" xfId="1862" xr:uid="{00000000-0005-0000-0000-0000E9060000}"/>
    <cellStyle name="20% - Accent1 6 2 3" xfId="1863" xr:uid="{00000000-0005-0000-0000-0000EA060000}"/>
    <cellStyle name="20% - Accent1 6 2 3 2" xfId="1864" xr:uid="{00000000-0005-0000-0000-0000EB060000}"/>
    <cellStyle name="20% - Accent1 6 2 3 2 2" xfId="1865" xr:uid="{00000000-0005-0000-0000-0000EC060000}"/>
    <cellStyle name="20% - Accent1 6 2 3 2 2 2" xfId="1866" xr:uid="{00000000-0005-0000-0000-0000ED060000}"/>
    <cellStyle name="20% - Accent1 6 2 3 2 2 3" xfId="1867" xr:uid="{00000000-0005-0000-0000-0000EE060000}"/>
    <cellStyle name="20% - Accent1 6 2 3 2 3" xfId="1868" xr:uid="{00000000-0005-0000-0000-0000EF060000}"/>
    <cellStyle name="20% - Accent1 6 2 3 2 4" xfId="1869" xr:uid="{00000000-0005-0000-0000-0000F0060000}"/>
    <cellStyle name="20% - Accent1 6 2 3 3" xfId="1870" xr:uid="{00000000-0005-0000-0000-0000F1060000}"/>
    <cellStyle name="20% - Accent1 6 2 3 3 2" xfId="1871" xr:uid="{00000000-0005-0000-0000-0000F2060000}"/>
    <cellStyle name="20% - Accent1 6 2 3 3 3" xfId="1872" xr:uid="{00000000-0005-0000-0000-0000F3060000}"/>
    <cellStyle name="20% - Accent1 6 2 3 4" xfId="1873" xr:uid="{00000000-0005-0000-0000-0000F4060000}"/>
    <cellStyle name="20% - Accent1 6 2 3 5" xfId="1874" xr:uid="{00000000-0005-0000-0000-0000F5060000}"/>
    <cellStyle name="20% - Accent1 6 2 3 6" xfId="1875" xr:uid="{00000000-0005-0000-0000-0000F6060000}"/>
    <cellStyle name="20% - Accent1 6 2 4" xfId="1876" xr:uid="{00000000-0005-0000-0000-0000F7060000}"/>
    <cellStyle name="20% - Accent1 6 2 4 2" xfId="1877" xr:uid="{00000000-0005-0000-0000-0000F8060000}"/>
    <cellStyle name="20% - Accent1 6 2 4 2 2" xfId="1878" xr:uid="{00000000-0005-0000-0000-0000F9060000}"/>
    <cellStyle name="20% - Accent1 6 2 4 2 3" xfId="1879" xr:uid="{00000000-0005-0000-0000-0000FA060000}"/>
    <cellStyle name="20% - Accent1 6 2 4 3" xfId="1880" xr:uid="{00000000-0005-0000-0000-0000FB060000}"/>
    <cellStyle name="20% - Accent1 6 2 4 4" xfId="1881" xr:uid="{00000000-0005-0000-0000-0000FC060000}"/>
    <cellStyle name="20% - Accent1 6 2 5" xfId="1882" xr:uid="{00000000-0005-0000-0000-0000FD060000}"/>
    <cellStyle name="20% - Accent1 6 2 5 2" xfId="1883" xr:uid="{00000000-0005-0000-0000-0000FE060000}"/>
    <cellStyle name="20% - Accent1 6 2 5 3" xfId="1884" xr:uid="{00000000-0005-0000-0000-0000FF060000}"/>
    <cellStyle name="20% - Accent1 6 2 6" xfId="1885" xr:uid="{00000000-0005-0000-0000-000000070000}"/>
    <cellStyle name="20% - Accent1 6 2 7" xfId="1886" xr:uid="{00000000-0005-0000-0000-000001070000}"/>
    <cellStyle name="20% - Accent1 6 2 8" xfId="1887" xr:uid="{00000000-0005-0000-0000-000002070000}"/>
    <cellStyle name="20% - Accent1 6 3" xfId="1888" xr:uid="{00000000-0005-0000-0000-000003070000}"/>
    <cellStyle name="20% - Accent1 6 3 2" xfId="1889" xr:uid="{00000000-0005-0000-0000-000004070000}"/>
    <cellStyle name="20% - Accent1 6 3 2 2" xfId="1890" xr:uid="{00000000-0005-0000-0000-000005070000}"/>
    <cellStyle name="20% - Accent1 6 3 2 2 2" xfId="1891" xr:uid="{00000000-0005-0000-0000-000006070000}"/>
    <cellStyle name="20% - Accent1 6 3 2 2 2 2" xfId="1892" xr:uid="{00000000-0005-0000-0000-000007070000}"/>
    <cellStyle name="20% - Accent1 6 3 2 2 2 3" xfId="1893" xr:uid="{00000000-0005-0000-0000-000008070000}"/>
    <cellStyle name="20% - Accent1 6 3 2 2 3" xfId="1894" xr:uid="{00000000-0005-0000-0000-000009070000}"/>
    <cellStyle name="20% - Accent1 6 3 2 2 4" xfId="1895" xr:uid="{00000000-0005-0000-0000-00000A070000}"/>
    <cellStyle name="20% - Accent1 6 3 2 3" xfId="1896" xr:uid="{00000000-0005-0000-0000-00000B070000}"/>
    <cellStyle name="20% - Accent1 6 3 2 3 2" xfId="1897" xr:uid="{00000000-0005-0000-0000-00000C070000}"/>
    <cellStyle name="20% - Accent1 6 3 2 3 3" xfId="1898" xr:uid="{00000000-0005-0000-0000-00000D070000}"/>
    <cellStyle name="20% - Accent1 6 3 2 4" xfId="1899" xr:uid="{00000000-0005-0000-0000-00000E070000}"/>
    <cellStyle name="20% - Accent1 6 3 2 5" xfId="1900" xr:uid="{00000000-0005-0000-0000-00000F070000}"/>
    <cellStyle name="20% - Accent1 6 3 2 6" xfId="1901" xr:uid="{00000000-0005-0000-0000-000010070000}"/>
    <cellStyle name="20% - Accent1 6 3 3" xfId="1902" xr:uid="{00000000-0005-0000-0000-000011070000}"/>
    <cellStyle name="20% - Accent1 6 3 3 2" xfId="1903" xr:uid="{00000000-0005-0000-0000-000012070000}"/>
    <cellStyle name="20% - Accent1 6 3 3 2 2" xfId="1904" xr:uid="{00000000-0005-0000-0000-000013070000}"/>
    <cellStyle name="20% - Accent1 6 3 3 2 3" xfId="1905" xr:uid="{00000000-0005-0000-0000-000014070000}"/>
    <cellStyle name="20% - Accent1 6 3 3 3" xfId="1906" xr:uid="{00000000-0005-0000-0000-000015070000}"/>
    <cellStyle name="20% - Accent1 6 3 3 4" xfId="1907" xr:uid="{00000000-0005-0000-0000-000016070000}"/>
    <cellStyle name="20% - Accent1 6 3 4" xfId="1908" xr:uid="{00000000-0005-0000-0000-000017070000}"/>
    <cellStyle name="20% - Accent1 6 3 4 2" xfId="1909" xr:uid="{00000000-0005-0000-0000-000018070000}"/>
    <cellStyle name="20% - Accent1 6 3 4 3" xfId="1910" xr:uid="{00000000-0005-0000-0000-000019070000}"/>
    <cellStyle name="20% - Accent1 6 3 5" xfId="1911" xr:uid="{00000000-0005-0000-0000-00001A070000}"/>
    <cellStyle name="20% - Accent1 6 3 6" xfId="1912" xr:uid="{00000000-0005-0000-0000-00001B070000}"/>
    <cellStyle name="20% - Accent1 6 3 7" xfId="1913" xr:uid="{00000000-0005-0000-0000-00001C070000}"/>
    <cellStyle name="20% - Accent1 6 4" xfId="1914" xr:uid="{00000000-0005-0000-0000-00001D070000}"/>
    <cellStyle name="20% - Accent1 6 4 2" xfId="1915" xr:uid="{00000000-0005-0000-0000-00001E070000}"/>
    <cellStyle name="20% - Accent1 6 4 2 2" xfId="1916" xr:uid="{00000000-0005-0000-0000-00001F070000}"/>
    <cellStyle name="20% - Accent1 6 4 2 2 2" xfId="1917" xr:uid="{00000000-0005-0000-0000-000020070000}"/>
    <cellStyle name="20% - Accent1 6 4 2 2 3" xfId="1918" xr:uid="{00000000-0005-0000-0000-000021070000}"/>
    <cellStyle name="20% - Accent1 6 4 2 3" xfId="1919" xr:uid="{00000000-0005-0000-0000-000022070000}"/>
    <cellStyle name="20% - Accent1 6 4 2 4" xfId="1920" xr:uid="{00000000-0005-0000-0000-000023070000}"/>
    <cellStyle name="20% - Accent1 6 4 3" xfId="1921" xr:uid="{00000000-0005-0000-0000-000024070000}"/>
    <cellStyle name="20% - Accent1 6 4 3 2" xfId="1922" xr:uid="{00000000-0005-0000-0000-000025070000}"/>
    <cellStyle name="20% - Accent1 6 4 3 3" xfId="1923" xr:uid="{00000000-0005-0000-0000-000026070000}"/>
    <cellStyle name="20% - Accent1 6 4 4" xfId="1924" xr:uid="{00000000-0005-0000-0000-000027070000}"/>
    <cellStyle name="20% - Accent1 6 4 5" xfId="1925" xr:uid="{00000000-0005-0000-0000-000028070000}"/>
    <cellStyle name="20% - Accent1 6 4 6" xfId="1926" xr:uid="{00000000-0005-0000-0000-000029070000}"/>
    <cellStyle name="20% - Accent1 6 5" xfId="1927" xr:uid="{00000000-0005-0000-0000-00002A070000}"/>
    <cellStyle name="20% - Accent1 6 5 2" xfId="1928" xr:uid="{00000000-0005-0000-0000-00002B070000}"/>
    <cellStyle name="20% - Accent1 6 5 2 2" xfId="1929" xr:uid="{00000000-0005-0000-0000-00002C070000}"/>
    <cellStyle name="20% - Accent1 6 5 2 3" xfId="1930" xr:uid="{00000000-0005-0000-0000-00002D070000}"/>
    <cellStyle name="20% - Accent1 6 5 3" xfId="1931" xr:uid="{00000000-0005-0000-0000-00002E070000}"/>
    <cellStyle name="20% - Accent1 6 5 4" xfId="1932" xr:uid="{00000000-0005-0000-0000-00002F070000}"/>
    <cellStyle name="20% - Accent1 6 6" xfId="1933" xr:uid="{00000000-0005-0000-0000-000030070000}"/>
    <cellStyle name="20% - Accent1 6 6 2" xfId="1934" xr:uid="{00000000-0005-0000-0000-000031070000}"/>
    <cellStyle name="20% - Accent1 6 6 3" xfId="1935" xr:uid="{00000000-0005-0000-0000-000032070000}"/>
    <cellStyle name="20% - Accent1 6 7" xfId="1936" xr:uid="{00000000-0005-0000-0000-000033070000}"/>
    <cellStyle name="20% - Accent1 6 8" xfId="1937" xr:uid="{00000000-0005-0000-0000-000034070000}"/>
    <cellStyle name="20% - Accent1 6 9" xfId="1938" xr:uid="{00000000-0005-0000-0000-000035070000}"/>
    <cellStyle name="20% - Accent1 7" xfId="1939" xr:uid="{00000000-0005-0000-0000-000036070000}"/>
    <cellStyle name="20% - Accent1 7 2" xfId="1940" xr:uid="{00000000-0005-0000-0000-000037070000}"/>
    <cellStyle name="20% - Accent1 7 2 2" xfId="1941" xr:uid="{00000000-0005-0000-0000-000038070000}"/>
    <cellStyle name="20% - Accent1 7 2 2 2" xfId="1942" xr:uid="{00000000-0005-0000-0000-000039070000}"/>
    <cellStyle name="20% - Accent1 7 2 2 2 2" xfId="1943" xr:uid="{00000000-0005-0000-0000-00003A070000}"/>
    <cellStyle name="20% - Accent1 7 2 2 2 2 2" xfId="1944" xr:uid="{00000000-0005-0000-0000-00003B070000}"/>
    <cellStyle name="20% - Accent1 7 2 2 2 2 2 2" xfId="1945" xr:uid="{00000000-0005-0000-0000-00003C070000}"/>
    <cellStyle name="20% - Accent1 7 2 2 2 2 2 3" xfId="1946" xr:uid="{00000000-0005-0000-0000-00003D070000}"/>
    <cellStyle name="20% - Accent1 7 2 2 2 2 3" xfId="1947" xr:uid="{00000000-0005-0000-0000-00003E070000}"/>
    <cellStyle name="20% - Accent1 7 2 2 2 2 4" xfId="1948" xr:uid="{00000000-0005-0000-0000-00003F070000}"/>
    <cellStyle name="20% - Accent1 7 2 2 2 3" xfId="1949" xr:uid="{00000000-0005-0000-0000-000040070000}"/>
    <cellStyle name="20% - Accent1 7 2 2 2 3 2" xfId="1950" xr:uid="{00000000-0005-0000-0000-000041070000}"/>
    <cellStyle name="20% - Accent1 7 2 2 2 3 3" xfId="1951" xr:uid="{00000000-0005-0000-0000-000042070000}"/>
    <cellStyle name="20% - Accent1 7 2 2 2 4" xfId="1952" xr:uid="{00000000-0005-0000-0000-000043070000}"/>
    <cellStyle name="20% - Accent1 7 2 2 2 5" xfId="1953" xr:uid="{00000000-0005-0000-0000-000044070000}"/>
    <cellStyle name="20% - Accent1 7 2 2 2 6" xfId="1954" xr:uid="{00000000-0005-0000-0000-000045070000}"/>
    <cellStyle name="20% - Accent1 7 2 2 3" xfId="1955" xr:uid="{00000000-0005-0000-0000-000046070000}"/>
    <cellStyle name="20% - Accent1 7 2 2 3 2" xfId="1956" xr:uid="{00000000-0005-0000-0000-000047070000}"/>
    <cellStyle name="20% - Accent1 7 2 2 3 2 2" xfId="1957" xr:uid="{00000000-0005-0000-0000-000048070000}"/>
    <cellStyle name="20% - Accent1 7 2 2 3 2 3" xfId="1958" xr:uid="{00000000-0005-0000-0000-000049070000}"/>
    <cellStyle name="20% - Accent1 7 2 2 3 3" xfId="1959" xr:uid="{00000000-0005-0000-0000-00004A070000}"/>
    <cellStyle name="20% - Accent1 7 2 2 3 4" xfId="1960" xr:uid="{00000000-0005-0000-0000-00004B070000}"/>
    <cellStyle name="20% - Accent1 7 2 2 4" xfId="1961" xr:uid="{00000000-0005-0000-0000-00004C070000}"/>
    <cellStyle name="20% - Accent1 7 2 2 4 2" xfId="1962" xr:uid="{00000000-0005-0000-0000-00004D070000}"/>
    <cellStyle name="20% - Accent1 7 2 2 4 3" xfId="1963" xr:uid="{00000000-0005-0000-0000-00004E070000}"/>
    <cellStyle name="20% - Accent1 7 2 2 5" xfId="1964" xr:uid="{00000000-0005-0000-0000-00004F070000}"/>
    <cellStyle name="20% - Accent1 7 2 2 6" xfId="1965" xr:uid="{00000000-0005-0000-0000-000050070000}"/>
    <cellStyle name="20% - Accent1 7 2 2 7" xfId="1966" xr:uid="{00000000-0005-0000-0000-000051070000}"/>
    <cellStyle name="20% - Accent1 7 2 3" xfId="1967" xr:uid="{00000000-0005-0000-0000-000052070000}"/>
    <cellStyle name="20% - Accent1 7 2 3 2" xfId="1968" xr:uid="{00000000-0005-0000-0000-000053070000}"/>
    <cellStyle name="20% - Accent1 7 2 3 2 2" xfId="1969" xr:uid="{00000000-0005-0000-0000-000054070000}"/>
    <cellStyle name="20% - Accent1 7 2 3 2 2 2" xfId="1970" xr:uid="{00000000-0005-0000-0000-000055070000}"/>
    <cellStyle name="20% - Accent1 7 2 3 2 2 3" xfId="1971" xr:uid="{00000000-0005-0000-0000-000056070000}"/>
    <cellStyle name="20% - Accent1 7 2 3 2 3" xfId="1972" xr:uid="{00000000-0005-0000-0000-000057070000}"/>
    <cellStyle name="20% - Accent1 7 2 3 2 4" xfId="1973" xr:uid="{00000000-0005-0000-0000-000058070000}"/>
    <cellStyle name="20% - Accent1 7 2 3 3" xfId="1974" xr:uid="{00000000-0005-0000-0000-000059070000}"/>
    <cellStyle name="20% - Accent1 7 2 3 3 2" xfId="1975" xr:uid="{00000000-0005-0000-0000-00005A070000}"/>
    <cellStyle name="20% - Accent1 7 2 3 3 3" xfId="1976" xr:uid="{00000000-0005-0000-0000-00005B070000}"/>
    <cellStyle name="20% - Accent1 7 2 3 4" xfId="1977" xr:uid="{00000000-0005-0000-0000-00005C070000}"/>
    <cellStyle name="20% - Accent1 7 2 3 5" xfId="1978" xr:uid="{00000000-0005-0000-0000-00005D070000}"/>
    <cellStyle name="20% - Accent1 7 2 3 6" xfId="1979" xr:uid="{00000000-0005-0000-0000-00005E070000}"/>
    <cellStyle name="20% - Accent1 7 2 4" xfId="1980" xr:uid="{00000000-0005-0000-0000-00005F070000}"/>
    <cellStyle name="20% - Accent1 7 2 4 2" xfId="1981" xr:uid="{00000000-0005-0000-0000-000060070000}"/>
    <cellStyle name="20% - Accent1 7 2 4 2 2" xfId="1982" xr:uid="{00000000-0005-0000-0000-000061070000}"/>
    <cellStyle name="20% - Accent1 7 2 4 2 3" xfId="1983" xr:uid="{00000000-0005-0000-0000-000062070000}"/>
    <cellStyle name="20% - Accent1 7 2 4 3" xfId="1984" xr:uid="{00000000-0005-0000-0000-000063070000}"/>
    <cellStyle name="20% - Accent1 7 2 4 4" xfId="1985" xr:uid="{00000000-0005-0000-0000-000064070000}"/>
    <cellStyle name="20% - Accent1 7 2 5" xfId="1986" xr:uid="{00000000-0005-0000-0000-000065070000}"/>
    <cellStyle name="20% - Accent1 7 2 5 2" xfId="1987" xr:uid="{00000000-0005-0000-0000-000066070000}"/>
    <cellStyle name="20% - Accent1 7 2 5 3" xfId="1988" xr:uid="{00000000-0005-0000-0000-000067070000}"/>
    <cellStyle name="20% - Accent1 7 2 6" xfId="1989" xr:uid="{00000000-0005-0000-0000-000068070000}"/>
    <cellStyle name="20% - Accent1 7 2 7" xfId="1990" xr:uid="{00000000-0005-0000-0000-000069070000}"/>
    <cellStyle name="20% - Accent1 7 2 8" xfId="1991" xr:uid="{00000000-0005-0000-0000-00006A070000}"/>
    <cellStyle name="20% - Accent1 7 3" xfId="1992" xr:uid="{00000000-0005-0000-0000-00006B070000}"/>
    <cellStyle name="20% - Accent1 7 3 2" xfId="1993" xr:uid="{00000000-0005-0000-0000-00006C070000}"/>
    <cellStyle name="20% - Accent1 7 3 2 2" xfId="1994" xr:uid="{00000000-0005-0000-0000-00006D070000}"/>
    <cellStyle name="20% - Accent1 7 3 2 2 2" xfId="1995" xr:uid="{00000000-0005-0000-0000-00006E070000}"/>
    <cellStyle name="20% - Accent1 7 3 2 2 2 2" xfId="1996" xr:uid="{00000000-0005-0000-0000-00006F070000}"/>
    <cellStyle name="20% - Accent1 7 3 2 2 2 3" xfId="1997" xr:uid="{00000000-0005-0000-0000-000070070000}"/>
    <cellStyle name="20% - Accent1 7 3 2 2 3" xfId="1998" xr:uid="{00000000-0005-0000-0000-000071070000}"/>
    <cellStyle name="20% - Accent1 7 3 2 2 4" xfId="1999" xr:uid="{00000000-0005-0000-0000-000072070000}"/>
    <cellStyle name="20% - Accent1 7 3 2 3" xfId="2000" xr:uid="{00000000-0005-0000-0000-000073070000}"/>
    <cellStyle name="20% - Accent1 7 3 2 3 2" xfId="2001" xr:uid="{00000000-0005-0000-0000-000074070000}"/>
    <cellStyle name="20% - Accent1 7 3 2 3 3" xfId="2002" xr:uid="{00000000-0005-0000-0000-000075070000}"/>
    <cellStyle name="20% - Accent1 7 3 2 4" xfId="2003" xr:uid="{00000000-0005-0000-0000-000076070000}"/>
    <cellStyle name="20% - Accent1 7 3 2 5" xfId="2004" xr:uid="{00000000-0005-0000-0000-000077070000}"/>
    <cellStyle name="20% - Accent1 7 3 2 6" xfId="2005" xr:uid="{00000000-0005-0000-0000-000078070000}"/>
    <cellStyle name="20% - Accent1 7 3 3" xfId="2006" xr:uid="{00000000-0005-0000-0000-000079070000}"/>
    <cellStyle name="20% - Accent1 7 3 3 2" xfId="2007" xr:uid="{00000000-0005-0000-0000-00007A070000}"/>
    <cellStyle name="20% - Accent1 7 3 3 2 2" xfId="2008" xr:uid="{00000000-0005-0000-0000-00007B070000}"/>
    <cellStyle name="20% - Accent1 7 3 3 2 3" xfId="2009" xr:uid="{00000000-0005-0000-0000-00007C070000}"/>
    <cellStyle name="20% - Accent1 7 3 3 3" xfId="2010" xr:uid="{00000000-0005-0000-0000-00007D070000}"/>
    <cellStyle name="20% - Accent1 7 3 3 4" xfId="2011" xr:uid="{00000000-0005-0000-0000-00007E070000}"/>
    <cellStyle name="20% - Accent1 7 3 4" xfId="2012" xr:uid="{00000000-0005-0000-0000-00007F070000}"/>
    <cellStyle name="20% - Accent1 7 3 4 2" xfId="2013" xr:uid="{00000000-0005-0000-0000-000080070000}"/>
    <cellStyle name="20% - Accent1 7 3 4 3" xfId="2014" xr:uid="{00000000-0005-0000-0000-000081070000}"/>
    <cellStyle name="20% - Accent1 7 3 5" xfId="2015" xr:uid="{00000000-0005-0000-0000-000082070000}"/>
    <cellStyle name="20% - Accent1 7 3 6" xfId="2016" xr:uid="{00000000-0005-0000-0000-000083070000}"/>
    <cellStyle name="20% - Accent1 7 3 7" xfId="2017" xr:uid="{00000000-0005-0000-0000-000084070000}"/>
    <cellStyle name="20% - Accent1 7 4" xfId="2018" xr:uid="{00000000-0005-0000-0000-000085070000}"/>
    <cellStyle name="20% - Accent1 7 4 2" xfId="2019" xr:uid="{00000000-0005-0000-0000-000086070000}"/>
    <cellStyle name="20% - Accent1 7 4 2 2" xfId="2020" xr:uid="{00000000-0005-0000-0000-000087070000}"/>
    <cellStyle name="20% - Accent1 7 4 2 2 2" xfId="2021" xr:uid="{00000000-0005-0000-0000-000088070000}"/>
    <cellStyle name="20% - Accent1 7 4 2 2 3" xfId="2022" xr:uid="{00000000-0005-0000-0000-000089070000}"/>
    <cellStyle name="20% - Accent1 7 4 2 3" xfId="2023" xr:uid="{00000000-0005-0000-0000-00008A070000}"/>
    <cellStyle name="20% - Accent1 7 4 2 4" xfId="2024" xr:uid="{00000000-0005-0000-0000-00008B070000}"/>
    <cellStyle name="20% - Accent1 7 4 3" xfId="2025" xr:uid="{00000000-0005-0000-0000-00008C070000}"/>
    <cellStyle name="20% - Accent1 7 4 3 2" xfId="2026" xr:uid="{00000000-0005-0000-0000-00008D070000}"/>
    <cellStyle name="20% - Accent1 7 4 3 3" xfId="2027" xr:uid="{00000000-0005-0000-0000-00008E070000}"/>
    <cellStyle name="20% - Accent1 7 4 4" xfId="2028" xr:uid="{00000000-0005-0000-0000-00008F070000}"/>
    <cellStyle name="20% - Accent1 7 4 5" xfId="2029" xr:uid="{00000000-0005-0000-0000-000090070000}"/>
    <cellStyle name="20% - Accent1 7 4 6" xfId="2030" xr:uid="{00000000-0005-0000-0000-000091070000}"/>
    <cellStyle name="20% - Accent1 7 5" xfId="2031" xr:uid="{00000000-0005-0000-0000-000092070000}"/>
    <cellStyle name="20% - Accent1 7 5 2" xfId="2032" xr:uid="{00000000-0005-0000-0000-000093070000}"/>
    <cellStyle name="20% - Accent1 7 5 2 2" xfId="2033" xr:uid="{00000000-0005-0000-0000-000094070000}"/>
    <cellStyle name="20% - Accent1 7 5 2 3" xfId="2034" xr:uid="{00000000-0005-0000-0000-000095070000}"/>
    <cellStyle name="20% - Accent1 7 5 3" xfId="2035" xr:uid="{00000000-0005-0000-0000-000096070000}"/>
    <cellStyle name="20% - Accent1 7 5 4" xfId="2036" xr:uid="{00000000-0005-0000-0000-000097070000}"/>
    <cellStyle name="20% - Accent1 7 6" xfId="2037" xr:uid="{00000000-0005-0000-0000-000098070000}"/>
    <cellStyle name="20% - Accent1 7 6 2" xfId="2038" xr:uid="{00000000-0005-0000-0000-000099070000}"/>
    <cellStyle name="20% - Accent1 7 6 3" xfId="2039" xr:uid="{00000000-0005-0000-0000-00009A070000}"/>
    <cellStyle name="20% - Accent1 7 7" xfId="2040" xr:uid="{00000000-0005-0000-0000-00009B070000}"/>
    <cellStyle name="20% - Accent1 7 8" xfId="2041" xr:uid="{00000000-0005-0000-0000-00009C070000}"/>
    <cellStyle name="20% - Accent1 7 9" xfId="2042" xr:uid="{00000000-0005-0000-0000-00009D070000}"/>
    <cellStyle name="20% - Accent1 8" xfId="2043" xr:uid="{00000000-0005-0000-0000-00009E070000}"/>
    <cellStyle name="20% - Accent1 8 2" xfId="2044" xr:uid="{00000000-0005-0000-0000-00009F070000}"/>
    <cellStyle name="20% - Accent1 8 2 2" xfId="2045" xr:uid="{00000000-0005-0000-0000-0000A0070000}"/>
    <cellStyle name="20% - Accent1 8 2 2 2" xfId="2046" xr:uid="{00000000-0005-0000-0000-0000A1070000}"/>
    <cellStyle name="20% - Accent1 8 2 2 2 2" xfId="2047" xr:uid="{00000000-0005-0000-0000-0000A2070000}"/>
    <cellStyle name="20% - Accent1 8 2 2 2 2 2" xfId="2048" xr:uid="{00000000-0005-0000-0000-0000A3070000}"/>
    <cellStyle name="20% - Accent1 8 2 2 2 2 3" xfId="2049" xr:uid="{00000000-0005-0000-0000-0000A4070000}"/>
    <cellStyle name="20% - Accent1 8 2 2 2 3" xfId="2050" xr:uid="{00000000-0005-0000-0000-0000A5070000}"/>
    <cellStyle name="20% - Accent1 8 2 2 2 4" xfId="2051" xr:uid="{00000000-0005-0000-0000-0000A6070000}"/>
    <cellStyle name="20% - Accent1 8 2 2 3" xfId="2052" xr:uid="{00000000-0005-0000-0000-0000A7070000}"/>
    <cellStyle name="20% - Accent1 8 2 2 3 2" xfId="2053" xr:uid="{00000000-0005-0000-0000-0000A8070000}"/>
    <cellStyle name="20% - Accent1 8 2 2 3 3" xfId="2054" xr:uid="{00000000-0005-0000-0000-0000A9070000}"/>
    <cellStyle name="20% - Accent1 8 2 2 4" xfId="2055" xr:uid="{00000000-0005-0000-0000-0000AA070000}"/>
    <cellStyle name="20% - Accent1 8 2 2 5" xfId="2056" xr:uid="{00000000-0005-0000-0000-0000AB070000}"/>
    <cellStyle name="20% - Accent1 8 2 2 6" xfId="2057" xr:uid="{00000000-0005-0000-0000-0000AC070000}"/>
    <cellStyle name="20% - Accent1 8 2 3" xfId="2058" xr:uid="{00000000-0005-0000-0000-0000AD070000}"/>
    <cellStyle name="20% - Accent1 8 2 3 2" xfId="2059" xr:uid="{00000000-0005-0000-0000-0000AE070000}"/>
    <cellStyle name="20% - Accent1 8 2 3 2 2" xfId="2060" xr:uid="{00000000-0005-0000-0000-0000AF070000}"/>
    <cellStyle name="20% - Accent1 8 2 3 2 3" xfId="2061" xr:uid="{00000000-0005-0000-0000-0000B0070000}"/>
    <cellStyle name="20% - Accent1 8 2 3 3" xfId="2062" xr:uid="{00000000-0005-0000-0000-0000B1070000}"/>
    <cellStyle name="20% - Accent1 8 2 3 4" xfId="2063" xr:uid="{00000000-0005-0000-0000-0000B2070000}"/>
    <cellStyle name="20% - Accent1 8 2 4" xfId="2064" xr:uid="{00000000-0005-0000-0000-0000B3070000}"/>
    <cellStyle name="20% - Accent1 8 2 4 2" xfId="2065" xr:uid="{00000000-0005-0000-0000-0000B4070000}"/>
    <cellStyle name="20% - Accent1 8 2 4 3" xfId="2066" xr:uid="{00000000-0005-0000-0000-0000B5070000}"/>
    <cellStyle name="20% - Accent1 8 2 5" xfId="2067" xr:uid="{00000000-0005-0000-0000-0000B6070000}"/>
    <cellStyle name="20% - Accent1 8 2 6" xfId="2068" xr:uid="{00000000-0005-0000-0000-0000B7070000}"/>
    <cellStyle name="20% - Accent1 8 2 7" xfId="2069" xr:uid="{00000000-0005-0000-0000-0000B8070000}"/>
    <cellStyle name="20% - Accent1 8 3" xfId="2070" xr:uid="{00000000-0005-0000-0000-0000B9070000}"/>
    <cellStyle name="20% - Accent1 8 3 2" xfId="2071" xr:uid="{00000000-0005-0000-0000-0000BA070000}"/>
    <cellStyle name="20% - Accent1 8 3 2 2" xfId="2072" xr:uid="{00000000-0005-0000-0000-0000BB070000}"/>
    <cellStyle name="20% - Accent1 8 3 2 2 2" xfId="2073" xr:uid="{00000000-0005-0000-0000-0000BC070000}"/>
    <cellStyle name="20% - Accent1 8 3 2 2 3" xfId="2074" xr:uid="{00000000-0005-0000-0000-0000BD070000}"/>
    <cellStyle name="20% - Accent1 8 3 2 3" xfId="2075" xr:uid="{00000000-0005-0000-0000-0000BE070000}"/>
    <cellStyle name="20% - Accent1 8 3 2 4" xfId="2076" xr:uid="{00000000-0005-0000-0000-0000BF070000}"/>
    <cellStyle name="20% - Accent1 8 3 3" xfId="2077" xr:uid="{00000000-0005-0000-0000-0000C0070000}"/>
    <cellStyle name="20% - Accent1 8 3 3 2" xfId="2078" xr:uid="{00000000-0005-0000-0000-0000C1070000}"/>
    <cellStyle name="20% - Accent1 8 3 3 3" xfId="2079" xr:uid="{00000000-0005-0000-0000-0000C2070000}"/>
    <cellStyle name="20% - Accent1 8 3 4" xfId="2080" xr:uid="{00000000-0005-0000-0000-0000C3070000}"/>
    <cellStyle name="20% - Accent1 8 3 5" xfId="2081" xr:uid="{00000000-0005-0000-0000-0000C4070000}"/>
    <cellStyle name="20% - Accent1 8 3 6" xfId="2082" xr:uid="{00000000-0005-0000-0000-0000C5070000}"/>
    <cellStyle name="20% - Accent1 8 4" xfId="2083" xr:uid="{00000000-0005-0000-0000-0000C6070000}"/>
    <cellStyle name="20% - Accent1 8 4 2" xfId="2084" xr:uid="{00000000-0005-0000-0000-0000C7070000}"/>
    <cellStyle name="20% - Accent1 8 4 2 2" xfId="2085" xr:uid="{00000000-0005-0000-0000-0000C8070000}"/>
    <cellStyle name="20% - Accent1 8 4 2 3" xfId="2086" xr:uid="{00000000-0005-0000-0000-0000C9070000}"/>
    <cellStyle name="20% - Accent1 8 4 3" xfId="2087" xr:uid="{00000000-0005-0000-0000-0000CA070000}"/>
    <cellStyle name="20% - Accent1 8 4 4" xfId="2088" xr:uid="{00000000-0005-0000-0000-0000CB070000}"/>
    <cellStyle name="20% - Accent1 8 5" xfId="2089" xr:uid="{00000000-0005-0000-0000-0000CC070000}"/>
    <cellStyle name="20% - Accent1 8 5 2" xfId="2090" xr:uid="{00000000-0005-0000-0000-0000CD070000}"/>
    <cellStyle name="20% - Accent1 8 5 3" xfId="2091" xr:uid="{00000000-0005-0000-0000-0000CE070000}"/>
    <cellStyle name="20% - Accent1 8 6" xfId="2092" xr:uid="{00000000-0005-0000-0000-0000CF070000}"/>
    <cellStyle name="20% - Accent1 8 7" xfId="2093" xr:uid="{00000000-0005-0000-0000-0000D0070000}"/>
    <cellStyle name="20% - Accent1 8 8" xfId="2094" xr:uid="{00000000-0005-0000-0000-0000D1070000}"/>
    <cellStyle name="20% - Accent1 9" xfId="2095" xr:uid="{00000000-0005-0000-0000-0000D2070000}"/>
    <cellStyle name="20% - Accent1 9 2" xfId="2096" xr:uid="{00000000-0005-0000-0000-0000D3070000}"/>
    <cellStyle name="20% - Accent1 9 2 2" xfId="2097" xr:uid="{00000000-0005-0000-0000-0000D4070000}"/>
    <cellStyle name="20% - Accent1 9 2 2 2" xfId="2098" xr:uid="{00000000-0005-0000-0000-0000D5070000}"/>
    <cellStyle name="20% - Accent1 9 2 2 2 2" xfId="2099" xr:uid="{00000000-0005-0000-0000-0000D6070000}"/>
    <cellStyle name="20% - Accent1 9 2 2 2 2 2" xfId="2100" xr:uid="{00000000-0005-0000-0000-0000D7070000}"/>
    <cellStyle name="20% - Accent1 9 2 2 2 2 3" xfId="2101" xr:uid="{00000000-0005-0000-0000-0000D8070000}"/>
    <cellStyle name="20% - Accent1 9 2 2 2 3" xfId="2102" xr:uid="{00000000-0005-0000-0000-0000D9070000}"/>
    <cellStyle name="20% - Accent1 9 2 2 2 4" xfId="2103" xr:uid="{00000000-0005-0000-0000-0000DA070000}"/>
    <cellStyle name="20% - Accent1 9 2 2 3" xfId="2104" xr:uid="{00000000-0005-0000-0000-0000DB070000}"/>
    <cellStyle name="20% - Accent1 9 2 2 3 2" xfId="2105" xr:uid="{00000000-0005-0000-0000-0000DC070000}"/>
    <cellStyle name="20% - Accent1 9 2 2 3 3" xfId="2106" xr:uid="{00000000-0005-0000-0000-0000DD070000}"/>
    <cellStyle name="20% - Accent1 9 2 2 4" xfId="2107" xr:uid="{00000000-0005-0000-0000-0000DE070000}"/>
    <cellStyle name="20% - Accent1 9 2 2 5" xfId="2108" xr:uid="{00000000-0005-0000-0000-0000DF070000}"/>
    <cellStyle name="20% - Accent1 9 2 2 6" xfId="2109" xr:uid="{00000000-0005-0000-0000-0000E0070000}"/>
    <cellStyle name="20% - Accent1 9 2 3" xfId="2110" xr:uid="{00000000-0005-0000-0000-0000E1070000}"/>
    <cellStyle name="20% - Accent1 9 2 3 2" xfId="2111" xr:uid="{00000000-0005-0000-0000-0000E2070000}"/>
    <cellStyle name="20% - Accent1 9 2 3 2 2" xfId="2112" xr:uid="{00000000-0005-0000-0000-0000E3070000}"/>
    <cellStyle name="20% - Accent1 9 2 3 2 3" xfId="2113" xr:uid="{00000000-0005-0000-0000-0000E4070000}"/>
    <cellStyle name="20% - Accent1 9 2 3 3" xfId="2114" xr:uid="{00000000-0005-0000-0000-0000E5070000}"/>
    <cellStyle name="20% - Accent1 9 2 3 4" xfId="2115" xr:uid="{00000000-0005-0000-0000-0000E6070000}"/>
    <cellStyle name="20% - Accent1 9 2 4" xfId="2116" xr:uid="{00000000-0005-0000-0000-0000E7070000}"/>
    <cellStyle name="20% - Accent1 9 2 4 2" xfId="2117" xr:uid="{00000000-0005-0000-0000-0000E8070000}"/>
    <cellStyle name="20% - Accent1 9 2 4 3" xfId="2118" xr:uid="{00000000-0005-0000-0000-0000E9070000}"/>
    <cellStyle name="20% - Accent1 9 2 5" xfId="2119" xr:uid="{00000000-0005-0000-0000-0000EA070000}"/>
    <cellStyle name="20% - Accent1 9 2 6" xfId="2120" xr:uid="{00000000-0005-0000-0000-0000EB070000}"/>
    <cellStyle name="20% - Accent1 9 2 7" xfId="2121" xr:uid="{00000000-0005-0000-0000-0000EC070000}"/>
    <cellStyle name="20% - Accent1 9 3" xfId="2122" xr:uid="{00000000-0005-0000-0000-0000ED070000}"/>
    <cellStyle name="20% - Accent1 9 3 2" xfId="2123" xr:uid="{00000000-0005-0000-0000-0000EE070000}"/>
    <cellStyle name="20% - Accent1 9 3 2 2" xfId="2124" xr:uid="{00000000-0005-0000-0000-0000EF070000}"/>
    <cellStyle name="20% - Accent1 9 3 2 2 2" xfId="2125" xr:uid="{00000000-0005-0000-0000-0000F0070000}"/>
    <cellStyle name="20% - Accent1 9 3 2 2 3" xfId="2126" xr:uid="{00000000-0005-0000-0000-0000F1070000}"/>
    <cellStyle name="20% - Accent1 9 3 2 3" xfId="2127" xr:uid="{00000000-0005-0000-0000-0000F2070000}"/>
    <cellStyle name="20% - Accent1 9 3 2 4" xfId="2128" xr:uid="{00000000-0005-0000-0000-0000F3070000}"/>
    <cellStyle name="20% - Accent1 9 3 3" xfId="2129" xr:uid="{00000000-0005-0000-0000-0000F4070000}"/>
    <cellStyle name="20% - Accent1 9 3 3 2" xfId="2130" xr:uid="{00000000-0005-0000-0000-0000F5070000}"/>
    <cellStyle name="20% - Accent1 9 3 3 3" xfId="2131" xr:uid="{00000000-0005-0000-0000-0000F6070000}"/>
    <cellStyle name="20% - Accent1 9 3 4" xfId="2132" xr:uid="{00000000-0005-0000-0000-0000F7070000}"/>
    <cellStyle name="20% - Accent1 9 3 5" xfId="2133" xr:uid="{00000000-0005-0000-0000-0000F8070000}"/>
    <cellStyle name="20% - Accent1 9 3 6" xfId="2134" xr:uid="{00000000-0005-0000-0000-0000F9070000}"/>
    <cellStyle name="20% - Accent1 9 4" xfId="2135" xr:uid="{00000000-0005-0000-0000-0000FA070000}"/>
    <cellStyle name="20% - Accent1 9 4 2" xfId="2136" xr:uid="{00000000-0005-0000-0000-0000FB070000}"/>
    <cellStyle name="20% - Accent1 9 4 2 2" xfId="2137" xr:uid="{00000000-0005-0000-0000-0000FC070000}"/>
    <cellStyle name="20% - Accent1 9 4 2 3" xfId="2138" xr:uid="{00000000-0005-0000-0000-0000FD070000}"/>
    <cellStyle name="20% - Accent1 9 4 3" xfId="2139" xr:uid="{00000000-0005-0000-0000-0000FE070000}"/>
    <cellStyle name="20% - Accent1 9 4 4" xfId="2140" xr:uid="{00000000-0005-0000-0000-0000FF070000}"/>
    <cellStyle name="20% - Accent1 9 5" xfId="2141" xr:uid="{00000000-0005-0000-0000-000000080000}"/>
    <cellStyle name="20% - Accent1 9 5 2" xfId="2142" xr:uid="{00000000-0005-0000-0000-000001080000}"/>
    <cellStyle name="20% - Accent1 9 5 3" xfId="2143" xr:uid="{00000000-0005-0000-0000-000002080000}"/>
    <cellStyle name="20% - Accent1 9 6" xfId="2144" xr:uid="{00000000-0005-0000-0000-000003080000}"/>
    <cellStyle name="20% - Accent1 9 7" xfId="2145" xr:uid="{00000000-0005-0000-0000-000004080000}"/>
    <cellStyle name="20% - Accent1 9 8" xfId="2146" xr:uid="{00000000-0005-0000-0000-000005080000}"/>
    <cellStyle name="20% - Accent2 10" xfId="2147" xr:uid="{00000000-0005-0000-0000-000006080000}"/>
    <cellStyle name="20% - Accent2 10 2" xfId="2148" xr:uid="{00000000-0005-0000-0000-000007080000}"/>
    <cellStyle name="20% - Accent2 10 2 2" xfId="2149" xr:uid="{00000000-0005-0000-0000-000008080000}"/>
    <cellStyle name="20% - Accent2 10 2 2 2" xfId="2150" xr:uid="{00000000-0005-0000-0000-000009080000}"/>
    <cellStyle name="20% - Accent2 10 2 2 2 2" xfId="2151" xr:uid="{00000000-0005-0000-0000-00000A080000}"/>
    <cellStyle name="20% - Accent2 10 2 2 2 2 2" xfId="2152" xr:uid="{00000000-0005-0000-0000-00000B080000}"/>
    <cellStyle name="20% - Accent2 10 2 2 2 2 3" xfId="2153" xr:uid="{00000000-0005-0000-0000-00000C080000}"/>
    <cellStyle name="20% - Accent2 10 2 2 2 3" xfId="2154" xr:uid="{00000000-0005-0000-0000-00000D080000}"/>
    <cellStyle name="20% - Accent2 10 2 2 2 4" xfId="2155" xr:uid="{00000000-0005-0000-0000-00000E080000}"/>
    <cellStyle name="20% - Accent2 10 2 2 3" xfId="2156" xr:uid="{00000000-0005-0000-0000-00000F080000}"/>
    <cellStyle name="20% - Accent2 10 2 2 3 2" xfId="2157" xr:uid="{00000000-0005-0000-0000-000010080000}"/>
    <cellStyle name="20% - Accent2 10 2 2 3 3" xfId="2158" xr:uid="{00000000-0005-0000-0000-000011080000}"/>
    <cellStyle name="20% - Accent2 10 2 2 4" xfId="2159" xr:uid="{00000000-0005-0000-0000-000012080000}"/>
    <cellStyle name="20% - Accent2 10 2 2 5" xfId="2160" xr:uid="{00000000-0005-0000-0000-000013080000}"/>
    <cellStyle name="20% - Accent2 10 2 2 6" xfId="2161" xr:uid="{00000000-0005-0000-0000-000014080000}"/>
    <cellStyle name="20% - Accent2 10 2 3" xfId="2162" xr:uid="{00000000-0005-0000-0000-000015080000}"/>
    <cellStyle name="20% - Accent2 10 2 3 2" xfId="2163" xr:uid="{00000000-0005-0000-0000-000016080000}"/>
    <cellStyle name="20% - Accent2 10 2 3 2 2" xfId="2164" xr:uid="{00000000-0005-0000-0000-000017080000}"/>
    <cellStyle name="20% - Accent2 10 2 3 2 3" xfId="2165" xr:uid="{00000000-0005-0000-0000-000018080000}"/>
    <cellStyle name="20% - Accent2 10 2 3 3" xfId="2166" xr:uid="{00000000-0005-0000-0000-000019080000}"/>
    <cellStyle name="20% - Accent2 10 2 3 4" xfId="2167" xr:uid="{00000000-0005-0000-0000-00001A080000}"/>
    <cellStyle name="20% - Accent2 10 2 4" xfId="2168" xr:uid="{00000000-0005-0000-0000-00001B080000}"/>
    <cellStyle name="20% - Accent2 10 2 4 2" xfId="2169" xr:uid="{00000000-0005-0000-0000-00001C080000}"/>
    <cellStyle name="20% - Accent2 10 2 4 3" xfId="2170" xr:uid="{00000000-0005-0000-0000-00001D080000}"/>
    <cellStyle name="20% - Accent2 10 2 5" xfId="2171" xr:uid="{00000000-0005-0000-0000-00001E080000}"/>
    <cellStyle name="20% - Accent2 10 2 6" xfId="2172" xr:uid="{00000000-0005-0000-0000-00001F080000}"/>
    <cellStyle name="20% - Accent2 10 2 7" xfId="2173" xr:uid="{00000000-0005-0000-0000-000020080000}"/>
    <cellStyle name="20% - Accent2 10 3" xfId="2174" xr:uid="{00000000-0005-0000-0000-000021080000}"/>
    <cellStyle name="20% - Accent2 10 3 2" xfId="2175" xr:uid="{00000000-0005-0000-0000-000022080000}"/>
    <cellStyle name="20% - Accent2 10 3 2 2" xfId="2176" xr:uid="{00000000-0005-0000-0000-000023080000}"/>
    <cellStyle name="20% - Accent2 10 3 2 2 2" xfId="2177" xr:uid="{00000000-0005-0000-0000-000024080000}"/>
    <cellStyle name="20% - Accent2 10 3 2 2 3" xfId="2178" xr:uid="{00000000-0005-0000-0000-000025080000}"/>
    <cellStyle name="20% - Accent2 10 3 2 3" xfId="2179" xr:uid="{00000000-0005-0000-0000-000026080000}"/>
    <cellStyle name="20% - Accent2 10 3 2 4" xfId="2180" xr:uid="{00000000-0005-0000-0000-000027080000}"/>
    <cellStyle name="20% - Accent2 10 3 3" xfId="2181" xr:uid="{00000000-0005-0000-0000-000028080000}"/>
    <cellStyle name="20% - Accent2 10 3 3 2" xfId="2182" xr:uid="{00000000-0005-0000-0000-000029080000}"/>
    <cellStyle name="20% - Accent2 10 3 3 3" xfId="2183" xr:uid="{00000000-0005-0000-0000-00002A080000}"/>
    <cellStyle name="20% - Accent2 10 3 4" xfId="2184" xr:uid="{00000000-0005-0000-0000-00002B080000}"/>
    <cellStyle name="20% - Accent2 10 3 5" xfId="2185" xr:uid="{00000000-0005-0000-0000-00002C080000}"/>
    <cellStyle name="20% - Accent2 10 3 6" xfId="2186" xr:uid="{00000000-0005-0000-0000-00002D080000}"/>
    <cellStyle name="20% - Accent2 10 4" xfId="2187" xr:uid="{00000000-0005-0000-0000-00002E080000}"/>
    <cellStyle name="20% - Accent2 10 4 2" xfId="2188" xr:uid="{00000000-0005-0000-0000-00002F080000}"/>
    <cellStyle name="20% - Accent2 10 4 2 2" xfId="2189" xr:uid="{00000000-0005-0000-0000-000030080000}"/>
    <cellStyle name="20% - Accent2 10 4 2 3" xfId="2190" xr:uid="{00000000-0005-0000-0000-000031080000}"/>
    <cellStyle name="20% - Accent2 10 4 3" xfId="2191" xr:uid="{00000000-0005-0000-0000-000032080000}"/>
    <cellStyle name="20% - Accent2 10 4 4" xfId="2192" xr:uid="{00000000-0005-0000-0000-000033080000}"/>
    <cellStyle name="20% - Accent2 10 5" xfId="2193" xr:uid="{00000000-0005-0000-0000-000034080000}"/>
    <cellStyle name="20% - Accent2 10 5 2" xfId="2194" xr:uid="{00000000-0005-0000-0000-000035080000}"/>
    <cellStyle name="20% - Accent2 10 5 3" xfId="2195" xr:uid="{00000000-0005-0000-0000-000036080000}"/>
    <cellStyle name="20% - Accent2 10 6" xfId="2196" xr:uid="{00000000-0005-0000-0000-000037080000}"/>
    <cellStyle name="20% - Accent2 10 7" xfId="2197" xr:uid="{00000000-0005-0000-0000-000038080000}"/>
    <cellStyle name="20% - Accent2 10 8" xfId="2198" xr:uid="{00000000-0005-0000-0000-000039080000}"/>
    <cellStyle name="20% - Accent2 11" xfId="2199" xr:uid="{00000000-0005-0000-0000-00003A080000}"/>
    <cellStyle name="20% - Accent2 11 2" xfId="2200" xr:uid="{00000000-0005-0000-0000-00003B080000}"/>
    <cellStyle name="20% - Accent2 11 2 2" xfId="2201" xr:uid="{00000000-0005-0000-0000-00003C080000}"/>
    <cellStyle name="20% - Accent2 11 2 2 2" xfId="2202" xr:uid="{00000000-0005-0000-0000-00003D080000}"/>
    <cellStyle name="20% - Accent2 11 2 2 2 2" xfId="2203" xr:uid="{00000000-0005-0000-0000-00003E080000}"/>
    <cellStyle name="20% - Accent2 11 2 2 2 3" xfId="2204" xr:uid="{00000000-0005-0000-0000-00003F080000}"/>
    <cellStyle name="20% - Accent2 11 2 2 3" xfId="2205" xr:uid="{00000000-0005-0000-0000-000040080000}"/>
    <cellStyle name="20% - Accent2 11 2 2 4" xfId="2206" xr:uid="{00000000-0005-0000-0000-000041080000}"/>
    <cellStyle name="20% - Accent2 11 2 3" xfId="2207" xr:uid="{00000000-0005-0000-0000-000042080000}"/>
    <cellStyle name="20% - Accent2 11 2 3 2" xfId="2208" xr:uid="{00000000-0005-0000-0000-000043080000}"/>
    <cellStyle name="20% - Accent2 11 2 3 3" xfId="2209" xr:uid="{00000000-0005-0000-0000-000044080000}"/>
    <cellStyle name="20% - Accent2 11 2 4" xfId="2210" xr:uid="{00000000-0005-0000-0000-000045080000}"/>
    <cellStyle name="20% - Accent2 11 2 5" xfId="2211" xr:uid="{00000000-0005-0000-0000-000046080000}"/>
    <cellStyle name="20% - Accent2 11 2 6" xfId="2212" xr:uid="{00000000-0005-0000-0000-000047080000}"/>
    <cellStyle name="20% - Accent2 11 3" xfId="2213" xr:uid="{00000000-0005-0000-0000-000048080000}"/>
    <cellStyle name="20% - Accent2 11 3 2" xfId="2214" xr:uid="{00000000-0005-0000-0000-000049080000}"/>
    <cellStyle name="20% - Accent2 11 3 2 2" xfId="2215" xr:uid="{00000000-0005-0000-0000-00004A080000}"/>
    <cellStyle name="20% - Accent2 11 3 2 3" xfId="2216" xr:uid="{00000000-0005-0000-0000-00004B080000}"/>
    <cellStyle name="20% - Accent2 11 3 3" xfId="2217" xr:uid="{00000000-0005-0000-0000-00004C080000}"/>
    <cellStyle name="20% - Accent2 11 3 4" xfId="2218" xr:uid="{00000000-0005-0000-0000-00004D080000}"/>
    <cellStyle name="20% - Accent2 11 4" xfId="2219" xr:uid="{00000000-0005-0000-0000-00004E080000}"/>
    <cellStyle name="20% - Accent2 11 4 2" xfId="2220" xr:uid="{00000000-0005-0000-0000-00004F080000}"/>
    <cellStyle name="20% - Accent2 11 4 3" xfId="2221" xr:uid="{00000000-0005-0000-0000-000050080000}"/>
    <cellStyle name="20% - Accent2 11 5" xfId="2222" xr:uid="{00000000-0005-0000-0000-000051080000}"/>
    <cellStyle name="20% - Accent2 11 6" xfId="2223" xr:uid="{00000000-0005-0000-0000-000052080000}"/>
    <cellStyle name="20% - Accent2 11 7" xfId="2224" xr:uid="{00000000-0005-0000-0000-000053080000}"/>
    <cellStyle name="20% - Accent2 12" xfId="2225" xr:uid="{00000000-0005-0000-0000-000054080000}"/>
    <cellStyle name="20% - Accent2 12 2" xfId="2226" xr:uid="{00000000-0005-0000-0000-000055080000}"/>
    <cellStyle name="20% - Accent2 12 2 2" xfId="2227" xr:uid="{00000000-0005-0000-0000-000056080000}"/>
    <cellStyle name="20% - Accent2 12 2 2 2" xfId="2228" xr:uid="{00000000-0005-0000-0000-000057080000}"/>
    <cellStyle name="20% - Accent2 12 2 2 3" xfId="2229" xr:uid="{00000000-0005-0000-0000-000058080000}"/>
    <cellStyle name="20% - Accent2 12 2 3" xfId="2230" xr:uid="{00000000-0005-0000-0000-000059080000}"/>
    <cellStyle name="20% - Accent2 12 2 4" xfId="2231" xr:uid="{00000000-0005-0000-0000-00005A080000}"/>
    <cellStyle name="20% - Accent2 12 3" xfId="2232" xr:uid="{00000000-0005-0000-0000-00005B080000}"/>
    <cellStyle name="20% - Accent2 12 3 2" xfId="2233" xr:uid="{00000000-0005-0000-0000-00005C080000}"/>
    <cellStyle name="20% - Accent2 12 3 3" xfId="2234" xr:uid="{00000000-0005-0000-0000-00005D080000}"/>
    <cellStyle name="20% - Accent2 12 4" xfId="2235" xr:uid="{00000000-0005-0000-0000-00005E080000}"/>
    <cellStyle name="20% - Accent2 12 5" xfId="2236" xr:uid="{00000000-0005-0000-0000-00005F080000}"/>
    <cellStyle name="20% - Accent2 12 6" xfId="2237" xr:uid="{00000000-0005-0000-0000-000060080000}"/>
    <cellStyle name="20% - Accent2 13" xfId="2238" xr:uid="{00000000-0005-0000-0000-000061080000}"/>
    <cellStyle name="20% - Accent2 13 2" xfId="2239" xr:uid="{00000000-0005-0000-0000-000062080000}"/>
    <cellStyle name="20% - Accent2 13 2 2" xfId="2240" xr:uid="{00000000-0005-0000-0000-000063080000}"/>
    <cellStyle name="20% - Accent2 13 2 2 2" xfId="2241" xr:uid="{00000000-0005-0000-0000-000064080000}"/>
    <cellStyle name="20% - Accent2 13 2 2 3" xfId="2242" xr:uid="{00000000-0005-0000-0000-000065080000}"/>
    <cellStyle name="20% - Accent2 13 2 3" xfId="2243" xr:uid="{00000000-0005-0000-0000-000066080000}"/>
    <cellStyle name="20% - Accent2 13 2 4" xfId="2244" xr:uid="{00000000-0005-0000-0000-000067080000}"/>
    <cellStyle name="20% - Accent2 13 3" xfId="2245" xr:uid="{00000000-0005-0000-0000-000068080000}"/>
    <cellStyle name="20% - Accent2 13 3 2" xfId="2246" xr:uid="{00000000-0005-0000-0000-000069080000}"/>
    <cellStyle name="20% - Accent2 13 3 3" xfId="2247" xr:uid="{00000000-0005-0000-0000-00006A080000}"/>
    <cellStyle name="20% - Accent2 13 4" xfId="2248" xr:uid="{00000000-0005-0000-0000-00006B080000}"/>
    <cellStyle name="20% - Accent2 13 5" xfId="2249" xr:uid="{00000000-0005-0000-0000-00006C080000}"/>
    <cellStyle name="20% - Accent2 13 6" xfId="2250" xr:uid="{00000000-0005-0000-0000-00006D080000}"/>
    <cellStyle name="20% - Accent2 14" xfId="2251" xr:uid="{00000000-0005-0000-0000-00006E080000}"/>
    <cellStyle name="20% - Accent2 14 2" xfId="2252" xr:uid="{00000000-0005-0000-0000-00006F080000}"/>
    <cellStyle name="20% - Accent2 14 2 2" xfId="2253" xr:uid="{00000000-0005-0000-0000-000070080000}"/>
    <cellStyle name="20% - Accent2 14 2 3" xfId="2254" xr:uid="{00000000-0005-0000-0000-000071080000}"/>
    <cellStyle name="20% - Accent2 14 3" xfId="2255" xr:uid="{00000000-0005-0000-0000-000072080000}"/>
    <cellStyle name="20% - Accent2 14 4" xfId="2256" xr:uid="{00000000-0005-0000-0000-000073080000}"/>
    <cellStyle name="20% - Accent2 15" xfId="2257" xr:uid="{00000000-0005-0000-0000-000074080000}"/>
    <cellStyle name="20% - Accent2 16" xfId="2258" xr:uid="{00000000-0005-0000-0000-000075080000}"/>
    <cellStyle name="20% - Accent2 17" xfId="2259" xr:uid="{00000000-0005-0000-0000-000076080000}"/>
    <cellStyle name="20% - Accent2 2" xfId="2260" xr:uid="{00000000-0005-0000-0000-000077080000}"/>
    <cellStyle name="20% - Accent2 2 2" xfId="2261" xr:uid="{00000000-0005-0000-0000-000078080000}"/>
    <cellStyle name="20% - Accent2 2 3" xfId="2262" xr:uid="{00000000-0005-0000-0000-000079080000}"/>
    <cellStyle name="20% - Accent2 3" xfId="2263" xr:uid="{00000000-0005-0000-0000-00007A080000}"/>
    <cellStyle name="20% - Accent2 3 10" xfId="2264" xr:uid="{00000000-0005-0000-0000-00007B080000}"/>
    <cellStyle name="20% - Accent2 3 10 2" xfId="2265" xr:uid="{00000000-0005-0000-0000-00007C080000}"/>
    <cellStyle name="20% - Accent2 3 10 2 2" xfId="2266" xr:uid="{00000000-0005-0000-0000-00007D080000}"/>
    <cellStyle name="20% - Accent2 3 10 2 2 2" xfId="2267" xr:uid="{00000000-0005-0000-0000-00007E080000}"/>
    <cellStyle name="20% - Accent2 3 10 2 2 3" xfId="2268" xr:uid="{00000000-0005-0000-0000-00007F080000}"/>
    <cellStyle name="20% - Accent2 3 10 2 3" xfId="2269" xr:uid="{00000000-0005-0000-0000-000080080000}"/>
    <cellStyle name="20% - Accent2 3 10 2 4" xfId="2270" xr:uid="{00000000-0005-0000-0000-000081080000}"/>
    <cellStyle name="20% - Accent2 3 10 3" xfId="2271" xr:uid="{00000000-0005-0000-0000-000082080000}"/>
    <cellStyle name="20% - Accent2 3 10 3 2" xfId="2272" xr:uid="{00000000-0005-0000-0000-000083080000}"/>
    <cellStyle name="20% - Accent2 3 10 3 3" xfId="2273" xr:uid="{00000000-0005-0000-0000-000084080000}"/>
    <cellStyle name="20% - Accent2 3 10 4" xfId="2274" xr:uid="{00000000-0005-0000-0000-000085080000}"/>
    <cellStyle name="20% - Accent2 3 10 5" xfId="2275" xr:uid="{00000000-0005-0000-0000-000086080000}"/>
    <cellStyle name="20% - Accent2 3 10 6" xfId="2276" xr:uid="{00000000-0005-0000-0000-000087080000}"/>
    <cellStyle name="20% - Accent2 3 11" xfId="2277" xr:uid="{00000000-0005-0000-0000-000088080000}"/>
    <cellStyle name="20% - Accent2 3 11 2" xfId="2278" xr:uid="{00000000-0005-0000-0000-000089080000}"/>
    <cellStyle name="20% - Accent2 3 11 2 2" xfId="2279" xr:uid="{00000000-0005-0000-0000-00008A080000}"/>
    <cellStyle name="20% - Accent2 3 11 2 3" xfId="2280" xr:uid="{00000000-0005-0000-0000-00008B080000}"/>
    <cellStyle name="20% - Accent2 3 11 3" xfId="2281" xr:uid="{00000000-0005-0000-0000-00008C080000}"/>
    <cellStyle name="20% - Accent2 3 11 4" xfId="2282" xr:uid="{00000000-0005-0000-0000-00008D080000}"/>
    <cellStyle name="20% - Accent2 3 12" xfId="2283" xr:uid="{00000000-0005-0000-0000-00008E080000}"/>
    <cellStyle name="20% - Accent2 3 12 2" xfId="2284" xr:uid="{00000000-0005-0000-0000-00008F080000}"/>
    <cellStyle name="20% - Accent2 3 12 3" xfId="2285" xr:uid="{00000000-0005-0000-0000-000090080000}"/>
    <cellStyle name="20% - Accent2 3 13" xfId="2286" xr:uid="{00000000-0005-0000-0000-000091080000}"/>
    <cellStyle name="20% - Accent2 3 14" xfId="2287" xr:uid="{00000000-0005-0000-0000-000092080000}"/>
    <cellStyle name="20% - Accent2 3 15" xfId="2288" xr:uid="{00000000-0005-0000-0000-000093080000}"/>
    <cellStyle name="20% - Accent2 3 2" xfId="2289" xr:uid="{00000000-0005-0000-0000-000094080000}"/>
    <cellStyle name="20% - Accent2 3 2 10" xfId="2290" xr:uid="{00000000-0005-0000-0000-000095080000}"/>
    <cellStyle name="20% - Accent2 3 2 11" xfId="2291" xr:uid="{00000000-0005-0000-0000-000096080000}"/>
    <cellStyle name="20% - Accent2 3 2 2" xfId="2292" xr:uid="{00000000-0005-0000-0000-000097080000}"/>
    <cellStyle name="20% - Accent2 3 2 2 10" xfId="2293" xr:uid="{00000000-0005-0000-0000-000098080000}"/>
    <cellStyle name="20% - Accent2 3 2 2 2" xfId="2294" xr:uid="{00000000-0005-0000-0000-000099080000}"/>
    <cellStyle name="20% - Accent2 3 2 2 2 2" xfId="2295" xr:uid="{00000000-0005-0000-0000-00009A080000}"/>
    <cellStyle name="20% - Accent2 3 2 2 2 2 2" xfId="2296" xr:uid="{00000000-0005-0000-0000-00009B080000}"/>
    <cellStyle name="20% - Accent2 3 2 2 2 2 2 2" xfId="2297" xr:uid="{00000000-0005-0000-0000-00009C080000}"/>
    <cellStyle name="20% - Accent2 3 2 2 2 2 2 2 2" xfId="2298" xr:uid="{00000000-0005-0000-0000-00009D080000}"/>
    <cellStyle name="20% - Accent2 3 2 2 2 2 2 2 2 2" xfId="2299" xr:uid="{00000000-0005-0000-0000-00009E080000}"/>
    <cellStyle name="20% - Accent2 3 2 2 2 2 2 2 2 2 2" xfId="2300" xr:uid="{00000000-0005-0000-0000-00009F080000}"/>
    <cellStyle name="20% - Accent2 3 2 2 2 2 2 2 2 2 3" xfId="2301" xr:uid="{00000000-0005-0000-0000-0000A0080000}"/>
    <cellStyle name="20% - Accent2 3 2 2 2 2 2 2 2 3" xfId="2302" xr:uid="{00000000-0005-0000-0000-0000A1080000}"/>
    <cellStyle name="20% - Accent2 3 2 2 2 2 2 2 2 4" xfId="2303" xr:uid="{00000000-0005-0000-0000-0000A2080000}"/>
    <cellStyle name="20% - Accent2 3 2 2 2 2 2 2 3" xfId="2304" xr:uid="{00000000-0005-0000-0000-0000A3080000}"/>
    <cellStyle name="20% - Accent2 3 2 2 2 2 2 2 3 2" xfId="2305" xr:uid="{00000000-0005-0000-0000-0000A4080000}"/>
    <cellStyle name="20% - Accent2 3 2 2 2 2 2 2 3 3" xfId="2306" xr:uid="{00000000-0005-0000-0000-0000A5080000}"/>
    <cellStyle name="20% - Accent2 3 2 2 2 2 2 2 4" xfId="2307" xr:uid="{00000000-0005-0000-0000-0000A6080000}"/>
    <cellStyle name="20% - Accent2 3 2 2 2 2 2 2 5" xfId="2308" xr:uid="{00000000-0005-0000-0000-0000A7080000}"/>
    <cellStyle name="20% - Accent2 3 2 2 2 2 2 2 6" xfId="2309" xr:uid="{00000000-0005-0000-0000-0000A8080000}"/>
    <cellStyle name="20% - Accent2 3 2 2 2 2 2 3" xfId="2310" xr:uid="{00000000-0005-0000-0000-0000A9080000}"/>
    <cellStyle name="20% - Accent2 3 2 2 2 2 2 3 2" xfId="2311" xr:uid="{00000000-0005-0000-0000-0000AA080000}"/>
    <cellStyle name="20% - Accent2 3 2 2 2 2 2 3 2 2" xfId="2312" xr:uid="{00000000-0005-0000-0000-0000AB080000}"/>
    <cellStyle name="20% - Accent2 3 2 2 2 2 2 3 2 3" xfId="2313" xr:uid="{00000000-0005-0000-0000-0000AC080000}"/>
    <cellStyle name="20% - Accent2 3 2 2 2 2 2 3 3" xfId="2314" xr:uid="{00000000-0005-0000-0000-0000AD080000}"/>
    <cellStyle name="20% - Accent2 3 2 2 2 2 2 3 4" xfId="2315" xr:uid="{00000000-0005-0000-0000-0000AE080000}"/>
    <cellStyle name="20% - Accent2 3 2 2 2 2 2 4" xfId="2316" xr:uid="{00000000-0005-0000-0000-0000AF080000}"/>
    <cellStyle name="20% - Accent2 3 2 2 2 2 2 4 2" xfId="2317" xr:uid="{00000000-0005-0000-0000-0000B0080000}"/>
    <cellStyle name="20% - Accent2 3 2 2 2 2 2 4 3" xfId="2318" xr:uid="{00000000-0005-0000-0000-0000B1080000}"/>
    <cellStyle name="20% - Accent2 3 2 2 2 2 2 5" xfId="2319" xr:uid="{00000000-0005-0000-0000-0000B2080000}"/>
    <cellStyle name="20% - Accent2 3 2 2 2 2 2 6" xfId="2320" xr:uid="{00000000-0005-0000-0000-0000B3080000}"/>
    <cellStyle name="20% - Accent2 3 2 2 2 2 2 7" xfId="2321" xr:uid="{00000000-0005-0000-0000-0000B4080000}"/>
    <cellStyle name="20% - Accent2 3 2 2 2 2 3" xfId="2322" xr:uid="{00000000-0005-0000-0000-0000B5080000}"/>
    <cellStyle name="20% - Accent2 3 2 2 2 2 3 2" xfId="2323" xr:uid="{00000000-0005-0000-0000-0000B6080000}"/>
    <cellStyle name="20% - Accent2 3 2 2 2 2 3 2 2" xfId="2324" xr:uid="{00000000-0005-0000-0000-0000B7080000}"/>
    <cellStyle name="20% - Accent2 3 2 2 2 2 3 2 2 2" xfId="2325" xr:uid="{00000000-0005-0000-0000-0000B8080000}"/>
    <cellStyle name="20% - Accent2 3 2 2 2 2 3 2 2 3" xfId="2326" xr:uid="{00000000-0005-0000-0000-0000B9080000}"/>
    <cellStyle name="20% - Accent2 3 2 2 2 2 3 2 3" xfId="2327" xr:uid="{00000000-0005-0000-0000-0000BA080000}"/>
    <cellStyle name="20% - Accent2 3 2 2 2 2 3 2 4" xfId="2328" xr:uid="{00000000-0005-0000-0000-0000BB080000}"/>
    <cellStyle name="20% - Accent2 3 2 2 2 2 3 3" xfId="2329" xr:uid="{00000000-0005-0000-0000-0000BC080000}"/>
    <cellStyle name="20% - Accent2 3 2 2 2 2 3 3 2" xfId="2330" xr:uid="{00000000-0005-0000-0000-0000BD080000}"/>
    <cellStyle name="20% - Accent2 3 2 2 2 2 3 3 3" xfId="2331" xr:uid="{00000000-0005-0000-0000-0000BE080000}"/>
    <cellStyle name="20% - Accent2 3 2 2 2 2 3 4" xfId="2332" xr:uid="{00000000-0005-0000-0000-0000BF080000}"/>
    <cellStyle name="20% - Accent2 3 2 2 2 2 3 5" xfId="2333" xr:uid="{00000000-0005-0000-0000-0000C0080000}"/>
    <cellStyle name="20% - Accent2 3 2 2 2 2 3 6" xfId="2334" xr:uid="{00000000-0005-0000-0000-0000C1080000}"/>
    <cellStyle name="20% - Accent2 3 2 2 2 2 4" xfId="2335" xr:uid="{00000000-0005-0000-0000-0000C2080000}"/>
    <cellStyle name="20% - Accent2 3 2 2 2 2 4 2" xfId="2336" xr:uid="{00000000-0005-0000-0000-0000C3080000}"/>
    <cellStyle name="20% - Accent2 3 2 2 2 2 4 2 2" xfId="2337" xr:uid="{00000000-0005-0000-0000-0000C4080000}"/>
    <cellStyle name="20% - Accent2 3 2 2 2 2 4 2 3" xfId="2338" xr:uid="{00000000-0005-0000-0000-0000C5080000}"/>
    <cellStyle name="20% - Accent2 3 2 2 2 2 4 3" xfId="2339" xr:uid="{00000000-0005-0000-0000-0000C6080000}"/>
    <cellStyle name="20% - Accent2 3 2 2 2 2 4 4" xfId="2340" xr:uid="{00000000-0005-0000-0000-0000C7080000}"/>
    <cellStyle name="20% - Accent2 3 2 2 2 2 5" xfId="2341" xr:uid="{00000000-0005-0000-0000-0000C8080000}"/>
    <cellStyle name="20% - Accent2 3 2 2 2 2 5 2" xfId="2342" xr:uid="{00000000-0005-0000-0000-0000C9080000}"/>
    <cellStyle name="20% - Accent2 3 2 2 2 2 5 3" xfId="2343" xr:uid="{00000000-0005-0000-0000-0000CA080000}"/>
    <cellStyle name="20% - Accent2 3 2 2 2 2 6" xfId="2344" xr:uid="{00000000-0005-0000-0000-0000CB080000}"/>
    <cellStyle name="20% - Accent2 3 2 2 2 2 7" xfId="2345" xr:uid="{00000000-0005-0000-0000-0000CC080000}"/>
    <cellStyle name="20% - Accent2 3 2 2 2 2 8" xfId="2346" xr:uid="{00000000-0005-0000-0000-0000CD080000}"/>
    <cellStyle name="20% - Accent2 3 2 2 2 3" xfId="2347" xr:uid="{00000000-0005-0000-0000-0000CE080000}"/>
    <cellStyle name="20% - Accent2 3 2 2 2 3 2" xfId="2348" xr:uid="{00000000-0005-0000-0000-0000CF080000}"/>
    <cellStyle name="20% - Accent2 3 2 2 2 3 2 2" xfId="2349" xr:uid="{00000000-0005-0000-0000-0000D0080000}"/>
    <cellStyle name="20% - Accent2 3 2 2 2 3 2 2 2" xfId="2350" xr:uid="{00000000-0005-0000-0000-0000D1080000}"/>
    <cellStyle name="20% - Accent2 3 2 2 2 3 2 2 2 2" xfId="2351" xr:uid="{00000000-0005-0000-0000-0000D2080000}"/>
    <cellStyle name="20% - Accent2 3 2 2 2 3 2 2 2 3" xfId="2352" xr:uid="{00000000-0005-0000-0000-0000D3080000}"/>
    <cellStyle name="20% - Accent2 3 2 2 2 3 2 2 3" xfId="2353" xr:uid="{00000000-0005-0000-0000-0000D4080000}"/>
    <cellStyle name="20% - Accent2 3 2 2 2 3 2 2 4" xfId="2354" xr:uid="{00000000-0005-0000-0000-0000D5080000}"/>
    <cellStyle name="20% - Accent2 3 2 2 2 3 2 3" xfId="2355" xr:uid="{00000000-0005-0000-0000-0000D6080000}"/>
    <cellStyle name="20% - Accent2 3 2 2 2 3 2 3 2" xfId="2356" xr:uid="{00000000-0005-0000-0000-0000D7080000}"/>
    <cellStyle name="20% - Accent2 3 2 2 2 3 2 3 3" xfId="2357" xr:uid="{00000000-0005-0000-0000-0000D8080000}"/>
    <cellStyle name="20% - Accent2 3 2 2 2 3 2 4" xfId="2358" xr:uid="{00000000-0005-0000-0000-0000D9080000}"/>
    <cellStyle name="20% - Accent2 3 2 2 2 3 2 5" xfId="2359" xr:uid="{00000000-0005-0000-0000-0000DA080000}"/>
    <cellStyle name="20% - Accent2 3 2 2 2 3 2 6" xfId="2360" xr:uid="{00000000-0005-0000-0000-0000DB080000}"/>
    <cellStyle name="20% - Accent2 3 2 2 2 3 3" xfId="2361" xr:uid="{00000000-0005-0000-0000-0000DC080000}"/>
    <cellStyle name="20% - Accent2 3 2 2 2 3 3 2" xfId="2362" xr:uid="{00000000-0005-0000-0000-0000DD080000}"/>
    <cellStyle name="20% - Accent2 3 2 2 2 3 3 2 2" xfId="2363" xr:uid="{00000000-0005-0000-0000-0000DE080000}"/>
    <cellStyle name="20% - Accent2 3 2 2 2 3 3 2 3" xfId="2364" xr:uid="{00000000-0005-0000-0000-0000DF080000}"/>
    <cellStyle name="20% - Accent2 3 2 2 2 3 3 3" xfId="2365" xr:uid="{00000000-0005-0000-0000-0000E0080000}"/>
    <cellStyle name="20% - Accent2 3 2 2 2 3 3 4" xfId="2366" xr:uid="{00000000-0005-0000-0000-0000E1080000}"/>
    <cellStyle name="20% - Accent2 3 2 2 2 3 4" xfId="2367" xr:uid="{00000000-0005-0000-0000-0000E2080000}"/>
    <cellStyle name="20% - Accent2 3 2 2 2 3 4 2" xfId="2368" xr:uid="{00000000-0005-0000-0000-0000E3080000}"/>
    <cellStyle name="20% - Accent2 3 2 2 2 3 4 3" xfId="2369" xr:uid="{00000000-0005-0000-0000-0000E4080000}"/>
    <cellStyle name="20% - Accent2 3 2 2 2 3 5" xfId="2370" xr:uid="{00000000-0005-0000-0000-0000E5080000}"/>
    <cellStyle name="20% - Accent2 3 2 2 2 3 6" xfId="2371" xr:uid="{00000000-0005-0000-0000-0000E6080000}"/>
    <cellStyle name="20% - Accent2 3 2 2 2 3 7" xfId="2372" xr:uid="{00000000-0005-0000-0000-0000E7080000}"/>
    <cellStyle name="20% - Accent2 3 2 2 2 4" xfId="2373" xr:uid="{00000000-0005-0000-0000-0000E8080000}"/>
    <cellStyle name="20% - Accent2 3 2 2 2 4 2" xfId="2374" xr:uid="{00000000-0005-0000-0000-0000E9080000}"/>
    <cellStyle name="20% - Accent2 3 2 2 2 4 2 2" xfId="2375" xr:uid="{00000000-0005-0000-0000-0000EA080000}"/>
    <cellStyle name="20% - Accent2 3 2 2 2 4 2 2 2" xfId="2376" xr:uid="{00000000-0005-0000-0000-0000EB080000}"/>
    <cellStyle name="20% - Accent2 3 2 2 2 4 2 2 3" xfId="2377" xr:uid="{00000000-0005-0000-0000-0000EC080000}"/>
    <cellStyle name="20% - Accent2 3 2 2 2 4 2 3" xfId="2378" xr:uid="{00000000-0005-0000-0000-0000ED080000}"/>
    <cellStyle name="20% - Accent2 3 2 2 2 4 2 4" xfId="2379" xr:uid="{00000000-0005-0000-0000-0000EE080000}"/>
    <cellStyle name="20% - Accent2 3 2 2 2 4 3" xfId="2380" xr:uid="{00000000-0005-0000-0000-0000EF080000}"/>
    <cellStyle name="20% - Accent2 3 2 2 2 4 3 2" xfId="2381" xr:uid="{00000000-0005-0000-0000-0000F0080000}"/>
    <cellStyle name="20% - Accent2 3 2 2 2 4 3 3" xfId="2382" xr:uid="{00000000-0005-0000-0000-0000F1080000}"/>
    <cellStyle name="20% - Accent2 3 2 2 2 4 4" xfId="2383" xr:uid="{00000000-0005-0000-0000-0000F2080000}"/>
    <cellStyle name="20% - Accent2 3 2 2 2 4 5" xfId="2384" xr:uid="{00000000-0005-0000-0000-0000F3080000}"/>
    <cellStyle name="20% - Accent2 3 2 2 2 4 6" xfId="2385" xr:uid="{00000000-0005-0000-0000-0000F4080000}"/>
    <cellStyle name="20% - Accent2 3 2 2 2 5" xfId="2386" xr:uid="{00000000-0005-0000-0000-0000F5080000}"/>
    <cellStyle name="20% - Accent2 3 2 2 2 5 2" xfId="2387" xr:uid="{00000000-0005-0000-0000-0000F6080000}"/>
    <cellStyle name="20% - Accent2 3 2 2 2 5 2 2" xfId="2388" xr:uid="{00000000-0005-0000-0000-0000F7080000}"/>
    <cellStyle name="20% - Accent2 3 2 2 2 5 2 3" xfId="2389" xr:uid="{00000000-0005-0000-0000-0000F8080000}"/>
    <cellStyle name="20% - Accent2 3 2 2 2 5 3" xfId="2390" xr:uid="{00000000-0005-0000-0000-0000F9080000}"/>
    <cellStyle name="20% - Accent2 3 2 2 2 5 4" xfId="2391" xr:uid="{00000000-0005-0000-0000-0000FA080000}"/>
    <cellStyle name="20% - Accent2 3 2 2 2 6" xfId="2392" xr:uid="{00000000-0005-0000-0000-0000FB080000}"/>
    <cellStyle name="20% - Accent2 3 2 2 2 6 2" xfId="2393" xr:uid="{00000000-0005-0000-0000-0000FC080000}"/>
    <cellStyle name="20% - Accent2 3 2 2 2 6 3" xfId="2394" xr:uid="{00000000-0005-0000-0000-0000FD080000}"/>
    <cellStyle name="20% - Accent2 3 2 2 2 7" xfId="2395" xr:uid="{00000000-0005-0000-0000-0000FE080000}"/>
    <cellStyle name="20% - Accent2 3 2 2 2 8" xfId="2396" xr:uid="{00000000-0005-0000-0000-0000FF080000}"/>
    <cellStyle name="20% - Accent2 3 2 2 2 9" xfId="2397" xr:uid="{00000000-0005-0000-0000-000000090000}"/>
    <cellStyle name="20% - Accent2 3 2 2 3" xfId="2398" xr:uid="{00000000-0005-0000-0000-000001090000}"/>
    <cellStyle name="20% - Accent2 3 2 2 3 2" xfId="2399" xr:uid="{00000000-0005-0000-0000-000002090000}"/>
    <cellStyle name="20% - Accent2 3 2 2 3 2 2" xfId="2400" xr:uid="{00000000-0005-0000-0000-000003090000}"/>
    <cellStyle name="20% - Accent2 3 2 2 3 2 2 2" xfId="2401" xr:uid="{00000000-0005-0000-0000-000004090000}"/>
    <cellStyle name="20% - Accent2 3 2 2 3 2 2 2 2" xfId="2402" xr:uid="{00000000-0005-0000-0000-000005090000}"/>
    <cellStyle name="20% - Accent2 3 2 2 3 2 2 2 2 2" xfId="2403" xr:uid="{00000000-0005-0000-0000-000006090000}"/>
    <cellStyle name="20% - Accent2 3 2 2 3 2 2 2 2 3" xfId="2404" xr:uid="{00000000-0005-0000-0000-000007090000}"/>
    <cellStyle name="20% - Accent2 3 2 2 3 2 2 2 3" xfId="2405" xr:uid="{00000000-0005-0000-0000-000008090000}"/>
    <cellStyle name="20% - Accent2 3 2 2 3 2 2 2 4" xfId="2406" xr:uid="{00000000-0005-0000-0000-000009090000}"/>
    <cellStyle name="20% - Accent2 3 2 2 3 2 2 3" xfId="2407" xr:uid="{00000000-0005-0000-0000-00000A090000}"/>
    <cellStyle name="20% - Accent2 3 2 2 3 2 2 3 2" xfId="2408" xr:uid="{00000000-0005-0000-0000-00000B090000}"/>
    <cellStyle name="20% - Accent2 3 2 2 3 2 2 3 3" xfId="2409" xr:uid="{00000000-0005-0000-0000-00000C090000}"/>
    <cellStyle name="20% - Accent2 3 2 2 3 2 2 4" xfId="2410" xr:uid="{00000000-0005-0000-0000-00000D090000}"/>
    <cellStyle name="20% - Accent2 3 2 2 3 2 2 5" xfId="2411" xr:uid="{00000000-0005-0000-0000-00000E090000}"/>
    <cellStyle name="20% - Accent2 3 2 2 3 2 2 6" xfId="2412" xr:uid="{00000000-0005-0000-0000-00000F090000}"/>
    <cellStyle name="20% - Accent2 3 2 2 3 2 3" xfId="2413" xr:uid="{00000000-0005-0000-0000-000010090000}"/>
    <cellStyle name="20% - Accent2 3 2 2 3 2 3 2" xfId="2414" xr:uid="{00000000-0005-0000-0000-000011090000}"/>
    <cellStyle name="20% - Accent2 3 2 2 3 2 3 2 2" xfId="2415" xr:uid="{00000000-0005-0000-0000-000012090000}"/>
    <cellStyle name="20% - Accent2 3 2 2 3 2 3 2 3" xfId="2416" xr:uid="{00000000-0005-0000-0000-000013090000}"/>
    <cellStyle name="20% - Accent2 3 2 2 3 2 3 3" xfId="2417" xr:uid="{00000000-0005-0000-0000-000014090000}"/>
    <cellStyle name="20% - Accent2 3 2 2 3 2 3 4" xfId="2418" xr:uid="{00000000-0005-0000-0000-000015090000}"/>
    <cellStyle name="20% - Accent2 3 2 2 3 2 4" xfId="2419" xr:uid="{00000000-0005-0000-0000-000016090000}"/>
    <cellStyle name="20% - Accent2 3 2 2 3 2 4 2" xfId="2420" xr:uid="{00000000-0005-0000-0000-000017090000}"/>
    <cellStyle name="20% - Accent2 3 2 2 3 2 4 3" xfId="2421" xr:uid="{00000000-0005-0000-0000-000018090000}"/>
    <cellStyle name="20% - Accent2 3 2 2 3 2 5" xfId="2422" xr:uid="{00000000-0005-0000-0000-000019090000}"/>
    <cellStyle name="20% - Accent2 3 2 2 3 2 6" xfId="2423" xr:uid="{00000000-0005-0000-0000-00001A090000}"/>
    <cellStyle name="20% - Accent2 3 2 2 3 2 7" xfId="2424" xr:uid="{00000000-0005-0000-0000-00001B090000}"/>
    <cellStyle name="20% - Accent2 3 2 2 3 3" xfId="2425" xr:uid="{00000000-0005-0000-0000-00001C090000}"/>
    <cellStyle name="20% - Accent2 3 2 2 3 3 2" xfId="2426" xr:uid="{00000000-0005-0000-0000-00001D090000}"/>
    <cellStyle name="20% - Accent2 3 2 2 3 3 2 2" xfId="2427" xr:uid="{00000000-0005-0000-0000-00001E090000}"/>
    <cellStyle name="20% - Accent2 3 2 2 3 3 2 2 2" xfId="2428" xr:uid="{00000000-0005-0000-0000-00001F090000}"/>
    <cellStyle name="20% - Accent2 3 2 2 3 3 2 2 3" xfId="2429" xr:uid="{00000000-0005-0000-0000-000020090000}"/>
    <cellStyle name="20% - Accent2 3 2 2 3 3 2 3" xfId="2430" xr:uid="{00000000-0005-0000-0000-000021090000}"/>
    <cellStyle name="20% - Accent2 3 2 2 3 3 2 4" xfId="2431" xr:uid="{00000000-0005-0000-0000-000022090000}"/>
    <cellStyle name="20% - Accent2 3 2 2 3 3 3" xfId="2432" xr:uid="{00000000-0005-0000-0000-000023090000}"/>
    <cellStyle name="20% - Accent2 3 2 2 3 3 3 2" xfId="2433" xr:uid="{00000000-0005-0000-0000-000024090000}"/>
    <cellStyle name="20% - Accent2 3 2 2 3 3 3 3" xfId="2434" xr:uid="{00000000-0005-0000-0000-000025090000}"/>
    <cellStyle name="20% - Accent2 3 2 2 3 3 4" xfId="2435" xr:uid="{00000000-0005-0000-0000-000026090000}"/>
    <cellStyle name="20% - Accent2 3 2 2 3 3 5" xfId="2436" xr:uid="{00000000-0005-0000-0000-000027090000}"/>
    <cellStyle name="20% - Accent2 3 2 2 3 3 6" xfId="2437" xr:uid="{00000000-0005-0000-0000-000028090000}"/>
    <cellStyle name="20% - Accent2 3 2 2 3 4" xfId="2438" xr:uid="{00000000-0005-0000-0000-000029090000}"/>
    <cellStyle name="20% - Accent2 3 2 2 3 4 2" xfId="2439" xr:uid="{00000000-0005-0000-0000-00002A090000}"/>
    <cellStyle name="20% - Accent2 3 2 2 3 4 2 2" xfId="2440" xr:uid="{00000000-0005-0000-0000-00002B090000}"/>
    <cellStyle name="20% - Accent2 3 2 2 3 4 2 3" xfId="2441" xr:uid="{00000000-0005-0000-0000-00002C090000}"/>
    <cellStyle name="20% - Accent2 3 2 2 3 4 3" xfId="2442" xr:uid="{00000000-0005-0000-0000-00002D090000}"/>
    <cellStyle name="20% - Accent2 3 2 2 3 4 4" xfId="2443" xr:uid="{00000000-0005-0000-0000-00002E090000}"/>
    <cellStyle name="20% - Accent2 3 2 2 3 5" xfId="2444" xr:uid="{00000000-0005-0000-0000-00002F090000}"/>
    <cellStyle name="20% - Accent2 3 2 2 3 5 2" xfId="2445" xr:uid="{00000000-0005-0000-0000-000030090000}"/>
    <cellStyle name="20% - Accent2 3 2 2 3 5 3" xfId="2446" xr:uid="{00000000-0005-0000-0000-000031090000}"/>
    <cellStyle name="20% - Accent2 3 2 2 3 6" xfId="2447" xr:uid="{00000000-0005-0000-0000-000032090000}"/>
    <cellStyle name="20% - Accent2 3 2 2 3 7" xfId="2448" xr:uid="{00000000-0005-0000-0000-000033090000}"/>
    <cellStyle name="20% - Accent2 3 2 2 3 8" xfId="2449" xr:uid="{00000000-0005-0000-0000-000034090000}"/>
    <cellStyle name="20% - Accent2 3 2 2 4" xfId="2450" xr:uid="{00000000-0005-0000-0000-000035090000}"/>
    <cellStyle name="20% - Accent2 3 2 2 4 2" xfId="2451" xr:uid="{00000000-0005-0000-0000-000036090000}"/>
    <cellStyle name="20% - Accent2 3 2 2 4 2 2" xfId="2452" xr:uid="{00000000-0005-0000-0000-000037090000}"/>
    <cellStyle name="20% - Accent2 3 2 2 4 2 2 2" xfId="2453" xr:uid="{00000000-0005-0000-0000-000038090000}"/>
    <cellStyle name="20% - Accent2 3 2 2 4 2 2 2 2" xfId="2454" xr:uid="{00000000-0005-0000-0000-000039090000}"/>
    <cellStyle name="20% - Accent2 3 2 2 4 2 2 2 3" xfId="2455" xr:uid="{00000000-0005-0000-0000-00003A090000}"/>
    <cellStyle name="20% - Accent2 3 2 2 4 2 2 3" xfId="2456" xr:uid="{00000000-0005-0000-0000-00003B090000}"/>
    <cellStyle name="20% - Accent2 3 2 2 4 2 2 4" xfId="2457" xr:uid="{00000000-0005-0000-0000-00003C090000}"/>
    <cellStyle name="20% - Accent2 3 2 2 4 2 3" xfId="2458" xr:uid="{00000000-0005-0000-0000-00003D090000}"/>
    <cellStyle name="20% - Accent2 3 2 2 4 2 3 2" xfId="2459" xr:uid="{00000000-0005-0000-0000-00003E090000}"/>
    <cellStyle name="20% - Accent2 3 2 2 4 2 3 3" xfId="2460" xr:uid="{00000000-0005-0000-0000-00003F090000}"/>
    <cellStyle name="20% - Accent2 3 2 2 4 2 4" xfId="2461" xr:uid="{00000000-0005-0000-0000-000040090000}"/>
    <cellStyle name="20% - Accent2 3 2 2 4 2 5" xfId="2462" xr:uid="{00000000-0005-0000-0000-000041090000}"/>
    <cellStyle name="20% - Accent2 3 2 2 4 2 6" xfId="2463" xr:uid="{00000000-0005-0000-0000-000042090000}"/>
    <cellStyle name="20% - Accent2 3 2 2 4 3" xfId="2464" xr:uid="{00000000-0005-0000-0000-000043090000}"/>
    <cellStyle name="20% - Accent2 3 2 2 4 3 2" xfId="2465" xr:uid="{00000000-0005-0000-0000-000044090000}"/>
    <cellStyle name="20% - Accent2 3 2 2 4 3 2 2" xfId="2466" xr:uid="{00000000-0005-0000-0000-000045090000}"/>
    <cellStyle name="20% - Accent2 3 2 2 4 3 2 3" xfId="2467" xr:uid="{00000000-0005-0000-0000-000046090000}"/>
    <cellStyle name="20% - Accent2 3 2 2 4 3 3" xfId="2468" xr:uid="{00000000-0005-0000-0000-000047090000}"/>
    <cellStyle name="20% - Accent2 3 2 2 4 3 4" xfId="2469" xr:uid="{00000000-0005-0000-0000-000048090000}"/>
    <cellStyle name="20% - Accent2 3 2 2 4 4" xfId="2470" xr:uid="{00000000-0005-0000-0000-000049090000}"/>
    <cellStyle name="20% - Accent2 3 2 2 4 4 2" xfId="2471" xr:uid="{00000000-0005-0000-0000-00004A090000}"/>
    <cellStyle name="20% - Accent2 3 2 2 4 4 3" xfId="2472" xr:uid="{00000000-0005-0000-0000-00004B090000}"/>
    <cellStyle name="20% - Accent2 3 2 2 4 5" xfId="2473" xr:uid="{00000000-0005-0000-0000-00004C090000}"/>
    <cellStyle name="20% - Accent2 3 2 2 4 6" xfId="2474" xr:uid="{00000000-0005-0000-0000-00004D090000}"/>
    <cellStyle name="20% - Accent2 3 2 2 4 7" xfId="2475" xr:uid="{00000000-0005-0000-0000-00004E090000}"/>
    <cellStyle name="20% - Accent2 3 2 2 5" xfId="2476" xr:uid="{00000000-0005-0000-0000-00004F090000}"/>
    <cellStyle name="20% - Accent2 3 2 2 5 2" xfId="2477" xr:uid="{00000000-0005-0000-0000-000050090000}"/>
    <cellStyle name="20% - Accent2 3 2 2 5 2 2" xfId="2478" xr:uid="{00000000-0005-0000-0000-000051090000}"/>
    <cellStyle name="20% - Accent2 3 2 2 5 2 2 2" xfId="2479" xr:uid="{00000000-0005-0000-0000-000052090000}"/>
    <cellStyle name="20% - Accent2 3 2 2 5 2 2 3" xfId="2480" xr:uid="{00000000-0005-0000-0000-000053090000}"/>
    <cellStyle name="20% - Accent2 3 2 2 5 2 3" xfId="2481" xr:uid="{00000000-0005-0000-0000-000054090000}"/>
    <cellStyle name="20% - Accent2 3 2 2 5 2 4" xfId="2482" xr:uid="{00000000-0005-0000-0000-000055090000}"/>
    <cellStyle name="20% - Accent2 3 2 2 5 3" xfId="2483" xr:uid="{00000000-0005-0000-0000-000056090000}"/>
    <cellStyle name="20% - Accent2 3 2 2 5 3 2" xfId="2484" xr:uid="{00000000-0005-0000-0000-000057090000}"/>
    <cellStyle name="20% - Accent2 3 2 2 5 3 3" xfId="2485" xr:uid="{00000000-0005-0000-0000-000058090000}"/>
    <cellStyle name="20% - Accent2 3 2 2 5 4" xfId="2486" xr:uid="{00000000-0005-0000-0000-000059090000}"/>
    <cellStyle name="20% - Accent2 3 2 2 5 5" xfId="2487" xr:uid="{00000000-0005-0000-0000-00005A090000}"/>
    <cellStyle name="20% - Accent2 3 2 2 5 6" xfId="2488" xr:uid="{00000000-0005-0000-0000-00005B090000}"/>
    <cellStyle name="20% - Accent2 3 2 2 6" xfId="2489" xr:uid="{00000000-0005-0000-0000-00005C090000}"/>
    <cellStyle name="20% - Accent2 3 2 2 6 2" xfId="2490" xr:uid="{00000000-0005-0000-0000-00005D090000}"/>
    <cellStyle name="20% - Accent2 3 2 2 6 2 2" xfId="2491" xr:uid="{00000000-0005-0000-0000-00005E090000}"/>
    <cellStyle name="20% - Accent2 3 2 2 6 2 3" xfId="2492" xr:uid="{00000000-0005-0000-0000-00005F090000}"/>
    <cellStyle name="20% - Accent2 3 2 2 6 3" xfId="2493" xr:uid="{00000000-0005-0000-0000-000060090000}"/>
    <cellStyle name="20% - Accent2 3 2 2 6 4" xfId="2494" xr:uid="{00000000-0005-0000-0000-000061090000}"/>
    <cellStyle name="20% - Accent2 3 2 2 7" xfId="2495" xr:uid="{00000000-0005-0000-0000-000062090000}"/>
    <cellStyle name="20% - Accent2 3 2 2 7 2" xfId="2496" xr:uid="{00000000-0005-0000-0000-000063090000}"/>
    <cellStyle name="20% - Accent2 3 2 2 7 3" xfId="2497" xr:uid="{00000000-0005-0000-0000-000064090000}"/>
    <cellStyle name="20% - Accent2 3 2 2 8" xfId="2498" xr:uid="{00000000-0005-0000-0000-000065090000}"/>
    <cellStyle name="20% - Accent2 3 2 2 9" xfId="2499" xr:uid="{00000000-0005-0000-0000-000066090000}"/>
    <cellStyle name="20% - Accent2 3 2 3" xfId="2500" xr:uid="{00000000-0005-0000-0000-000067090000}"/>
    <cellStyle name="20% - Accent2 3 2 3 2" xfId="2501" xr:uid="{00000000-0005-0000-0000-000068090000}"/>
    <cellStyle name="20% - Accent2 3 2 3 2 2" xfId="2502" xr:uid="{00000000-0005-0000-0000-000069090000}"/>
    <cellStyle name="20% - Accent2 3 2 3 2 2 2" xfId="2503" xr:uid="{00000000-0005-0000-0000-00006A090000}"/>
    <cellStyle name="20% - Accent2 3 2 3 2 2 2 2" xfId="2504" xr:uid="{00000000-0005-0000-0000-00006B090000}"/>
    <cellStyle name="20% - Accent2 3 2 3 2 2 2 2 2" xfId="2505" xr:uid="{00000000-0005-0000-0000-00006C090000}"/>
    <cellStyle name="20% - Accent2 3 2 3 2 2 2 2 2 2" xfId="2506" xr:uid="{00000000-0005-0000-0000-00006D090000}"/>
    <cellStyle name="20% - Accent2 3 2 3 2 2 2 2 2 3" xfId="2507" xr:uid="{00000000-0005-0000-0000-00006E090000}"/>
    <cellStyle name="20% - Accent2 3 2 3 2 2 2 2 3" xfId="2508" xr:uid="{00000000-0005-0000-0000-00006F090000}"/>
    <cellStyle name="20% - Accent2 3 2 3 2 2 2 2 4" xfId="2509" xr:uid="{00000000-0005-0000-0000-000070090000}"/>
    <cellStyle name="20% - Accent2 3 2 3 2 2 2 3" xfId="2510" xr:uid="{00000000-0005-0000-0000-000071090000}"/>
    <cellStyle name="20% - Accent2 3 2 3 2 2 2 3 2" xfId="2511" xr:uid="{00000000-0005-0000-0000-000072090000}"/>
    <cellStyle name="20% - Accent2 3 2 3 2 2 2 3 3" xfId="2512" xr:uid="{00000000-0005-0000-0000-000073090000}"/>
    <cellStyle name="20% - Accent2 3 2 3 2 2 2 4" xfId="2513" xr:uid="{00000000-0005-0000-0000-000074090000}"/>
    <cellStyle name="20% - Accent2 3 2 3 2 2 2 5" xfId="2514" xr:uid="{00000000-0005-0000-0000-000075090000}"/>
    <cellStyle name="20% - Accent2 3 2 3 2 2 2 6" xfId="2515" xr:uid="{00000000-0005-0000-0000-000076090000}"/>
    <cellStyle name="20% - Accent2 3 2 3 2 2 3" xfId="2516" xr:uid="{00000000-0005-0000-0000-000077090000}"/>
    <cellStyle name="20% - Accent2 3 2 3 2 2 3 2" xfId="2517" xr:uid="{00000000-0005-0000-0000-000078090000}"/>
    <cellStyle name="20% - Accent2 3 2 3 2 2 3 2 2" xfId="2518" xr:uid="{00000000-0005-0000-0000-000079090000}"/>
    <cellStyle name="20% - Accent2 3 2 3 2 2 3 2 3" xfId="2519" xr:uid="{00000000-0005-0000-0000-00007A090000}"/>
    <cellStyle name="20% - Accent2 3 2 3 2 2 3 3" xfId="2520" xr:uid="{00000000-0005-0000-0000-00007B090000}"/>
    <cellStyle name="20% - Accent2 3 2 3 2 2 3 4" xfId="2521" xr:uid="{00000000-0005-0000-0000-00007C090000}"/>
    <cellStyle name="20% - Accent2 3 2 3 2 2 4" xfId="2522" xr:uid="{00000000-0005-0000-0000-00007D090000}"/>
    <cellStyle name="20% - Accent2 3 2 3 2 2 4 2" xfId="2523" xr:uid="{00000000-0005-0000-0000-00007E090000}"/>
    <cellStyle name="20% - Accent2 3 2 3 2 2 4 3" xfId="2524" xr:uid="{00000000-0005-0000-0000-00007F090000}"/>
    <cellStyle name="20% - Accent2 3 2 3 2 2 5" xfId="2525" xr:uid="{00000000-0005-0000-0000-000080090000}"/>
    <cellStyle name="20% - Accent2 3 2 3 2 2 6" xfId="2526" xr:uid="{00000000-0005-0000-0000-000081090000}"/>
    <cellStyle name="20% - Accent2 3 2 3 2 2 7" xfId="2527" xr:uid="{00000000-0005-0000-0000-000082090000}"/>
    <cellStyle name="20% - Accent2 3 2 3 2 3" xfId="2528" xr:uid="{00000000-0005-0000-0000-000083090000}"/>
    <cellStyle name="20% - Accent2 3 2 3 2 3 2" xfId="2529" xr:uid="{00000000-0005-0000-0000-000084090000}"/>
    <cellStyle name="20% - Accent2 3 2 3 2 3 2 2" xfId="2530" xr:uid="{00000000-0005-0000-0000-000085090000}"/>
    <cellStyle name="20% - Accent2 3 2 3 2 3 2 2 2" xfId="2531" xr:uid="{00000000-0005-0000-0000-000086090000}"/>
    <cellStyle name="20% - Accent2 3 2 3 2 3 2 2 3" xfId="2532" xr:uid="{00000000-0005-0000-0000-000087090000}"/>
    <cellStyle name="20% - Accent2 3 2 3 2 3 2 3" xfId="2533" xr:uid="{00000000-0005-0000-0000-000088090000}"/>
    <cellStyle name="20% - Accent2 3 2 3 2 3 2 4" xfId="2534" xr:uid="{00000000-0005-0000-0000-000089090000}"/>
    <cellStyle name="20% - Accent2 3 2 3 2 3 3" xfId="2535" xr:uid="{00000000-0005-0000-0000-00008A090000}"/>
    <cellStyle name="20% - Accent2 3 2 3 2 3 3 2" xfId="2536" xr:uid="{00000000-0005-0000-0000-00008B090000}"/>
    <cellStyle name="20% - Accent2 3 2 3 2 3 3 3" xfId="2537" xr:uid="{00000000-0005-0000-0000-00008C090000}"/>
    <cellStyle name="20% - Accent2 3 2 3 2 3 4" xfId="2538" xr:uid="{00000000-0005-0000-0000-00008D090000}"/>
    <cellStyle name="20% - Accent2 3 2 3 2 3 5" xfId="2539" xr:uid="{00000000-0005-0000-0000-00008E090000}"/>
    <cellStyle name="20% - Accent2 3 2 3 2 3 6" xfId="2540" xr:uid="{00000000-0005-0000-0000-00008F090000}"/>
    <cellStyle name="20% - Accent2 3 2 3 2 4" xfId="2541" xr:uid="{00000000-0005-0000-0000-000090090000}"/>
    <cellStyle name="20% - Accent2 3 2 3 2 4 2" xfId="2542" xr:uid="{00000000-0005-0000-0000-000091090000}"/>
    <cellStyle name="20% - Accent2 3 2 3 2 4 2 2" xfId="2543" xr:uid="{00000000-0005-0000-0000-000092090000}"/>
    <cellStyle name="20% - Accent2 3 2 3 2 4 2 3" xfId="2544" xr:uid="{00000000-0005-0000-0000-000093090000}"/>
    <cellStyle name="20% - Accent2 3 2 3 2 4 3" xfId="2545" xr:uid="{00000000-0005-0000-0000-000094090000}"/>
    <cellStyle name="20% - Accent2 3 2 3 2 4 4" xfId="2546" xr:uid="{00000000-0005-0000-0000-000095090000}"/>
    <cellStyle name="20% - Accent2 3 2 3 2 5" xfId="2547" xr:uid="{00000000-0005-0000-0000-000096090000}"/>
    <cellStyle name="20% - Accent2 3 2 3 2 5 2" xfId="2548" xr:uid="{00000000-0005-0000-0000-000097090000}"/>
    <cellStyle name="20% - Accent2 3 2 3 2 5 3" xfId="2549" xr:uid="{00000000-0005-0000-0000-000098090000}"/>
    <cellStyle name="20% - Accent2 3 2 3 2 6" xfId="2550" xr:uid="{00000000-0005-0000-0000-000099090000}"/>
    <cellStyle name="20% - Accent2 3 2 3 2 7" xfId="2551" xr:uid="{00000000-0005-0000-0000-00009A090000}"/>
    <cellStyle name="20% - Accent2 3 2 3 2 8" xfId="2552" xr:uid="{00000000-0005-0000-0000-00009B090000}"/>
    <cellStyle name="20% - Accent2 3 2 3 3" xfId="2553" xr:uid="{00000000-0005-0000-0000-00009C090000}"/>
    <cellStyle name="20% - Accent2 3 2 3 3 2" xfId="2554" xr:uid="{00000000-0005-0000-0000-00009D090000}"/>
    <cellStyle name="20% - Accent2 3 2 3 3 2 2" xfId="2555" xr:uid="{00000000-0005-0000-0000-00009E090000}"/>
    <cellStyle name="20% - Accent2 3 2 3 3 2 2 2" xfId="2556" xr:uid="{00000000-0005-0000-0000-00009F090000}"/>
    <cellStyle name="20% - Accent2 3 2 3 3 2 2 2 2" xfId="2557" xr:uid="{00000000-0005-0000-0000-0000A0090000}"/>
    <cellStyle name="20% - Accent2 3 2 3 3 2 2 2 3" xfId="2558" xr:uid="{00000000-0005-0000-0000-0000A1090000}"/>
    <cellStyle name="20% - Accent2 3 2 3 3 2 2 3" xfId="2559" xr:uid="{00000000-0005-0000-0000-0000A2090000}"/>
    <cellStyle name="20% - Accent2 3 2 3 3 2 2 4" xfId="2560" xr:uid="{00000000-0005-0000-0000-0000A3090000}"/>
    <cellStyle name="20% - Accent2 3 2 3 3 2 3" xfId="2561" xr:uid="{00000000-0005-0000-0000-0000A4090000}"/>
    <cellStyle name="20% - Accent2 3 2 3 3 2 3 2" xfId="2562" xr:uid="{00000000-0005-0000-0000-0000A5090000}"/>
    <cellStyle name="20% - Accent2 3 2 3 3 2 3 3" xfId="2563" xr:uid="{00000000-0005-0000-0000-0000A6090000}"/>
    <cellStyle name="20% - Accent2 3 2 3 3 2 4" xfId="2564" xr:uid="{00000000-0005-0000-0000-0000A7090000}"/>
    <cellStyle name="20% - Accent2 3 2 3 3 2 5" xfId="2565" xr:uid="{00000000-0005-0000-0000-0000A8090000}"/>
    <cellStyle name="20% - Accent2 3 2 3 3 2 6" xfId="2566" xr:uid="{00000000-0005-0000-0000-0000A9090000}"/>
    <cellStyle name="20% - Accent2 3 2 3 3 3" xfId="2567" xr:uid="{00000000-0005-0000-0000-0000AA090000}"/>
    <cellStyle name="20% - Accent2 3 2 3 3 3 2" xfId="2568" xr:uid="{00000000-0005-0000-0000-0000AB090000}"/>
    <cellStyle name="20% - Accent2 3 2 3 3 3 2 2" xfId="2569" xr:uid="{00000000-0005-0000-0000-0000AC090000}"/>
    <cellStyle name="20% - Accent2 3 2 3 3 3 2 3" xfId="2570" xr:uid="{00000000-0005-0000-0000-0000AD090000}"/>
    <cellStyle name="20% - Accent2 3 2 3 3 3 3" xfId="2571" xr:uid="{00000000-0005-0000-0000-0000AE090000}"/>
    <cellStyle name="20% - Accent2 3 2 3 3 3 4" xfId="2572" xr:uid="{00000000-0005-0000-0000-0000AF090000}"/>
    <cellStyle name="20% - Accent2 3 2 3 3 4" xfId="2573" xr:uid="{00000000-0005-0000-0000-0000B0090000}"/>
    <cellStyle name="20% - Accent2 3 2 3 3 4 2" xfId="2574" xr:uid="{00000000-0005-0000-0000-0000B1090000}"/>
    <cellStyle name="20% - Accent2 3 2 3 3 4 3" xfId="2575" xr:uid="{00000000-0005-0000-0000-0000B2090000}"/>
    <cellStyle name="20% - Accent2 3 2 3 3 5" xfId="2576" xr:uid="{00000000-0005-0000-0000-0000B3090000}"/>
    <cellStyle name="20% - Accent2 3 2 3 3 6" xfId="2577" xr:uid="{00000000-0005-0000-0000-0000B4090000}"/>
    <cellStyle name="20% - Accent2 3 2 3 3 7" xfId="2578" xr:uid="{00000000-0005-0000-0000-0000B5090000}"/>
    <cellStyle name="20% - Accent2 3 2 3 4" xfId="2579" xr:uid="{00000000-0005-0000-0000-0000B6090000}"/>
    <cellStyle name="20% - Accent2 3 2 3 4 2" xfId="2580" xr:uid="{00000000-0005-0000-0000-0000B7090000}"/>
    <cellStyle name="20% - Accent2 3 2 3 4 2 2" xfId="2581" xr:uid="{00000000-0005-0000-0000-0000B8090000}"/>
    <cellStyle name="20% - Accent2 3 2 3 4 2 2 2" xfId="2582" xr:uid="{00000000-0005-0000-0000-0000B9090000}"/>
    <cellStyle name="20% - Accent2 3 2 3 4 2 2 3" xfId="2583" xr:uid="{00000000-0005-0000-0000-0000BA090000}"/>
    <cellStyle name="20% - Accent2 3 2 3 4 2 3" xfId="2584" xr:uid="{00000000-0005-0000-0000-0000BB090000}"/>
    <cellStyle name="20% - Accent2 3 2 3 4 2 4" xfId="2585" xr:uid="{00000000-0005-0000-0000-0000BC090000}"/>
    <cellStyle name="20% - Accent2 3 2 3 4 3" xfId="2586" xr:uid="{00000000-0005-0000-0000-0000BD090000}"/>
    <cellStyle name="20% - Accent2 3 2 3 4 3 2" xfId="2587" xr:uid="{00000000-0005-0000-0000-0000BE090000}"/>
    <cellStyle name="20% - Accent2 3 2 3 4 3 3" xfId="2588" xr:uid="{00000000-0005-0000-0000-0000BF090000}"/>
    <cellStyle name="20% - Accent2 3 2 3 4 4" xfId="2589" xr:uid="{00000000-0005-0000-0000-0000C0090000}"/>
    <cellStyle name="20% - Accent2 3 2 3 4 5" xfId="2590" xr:uid="{00000000-0005-0000-0000-0000C1090000}"/>
    <cellStyle name="20% - Accent2 3 2 3 4 6" xfId="2591" xr:uid="{00000000-0005-0000-0000-0000C2090000}"/>
    <cellStyle name="20% - Accent2 3 2 3 5" xfId="2592" xr:uid="{00000000-0005-0000-0000-0000C3090000}"/>
    <cellStyle name="20% - Accent2 3 2 3 5 2" xfId="2593" xr:uid="{00000000-0005-0000-0000-0000C4090000}"/>
    <cellStyle name="20% - Accent2 3 2 3 5 2 2" xfId="2594" xr:uid="{00000000-0005-0000-0000-0000C5090000}"/>
    <cellStyle name="20% - Accent2 3 2 3 5 2 3" xfId="2595" xr:uid="{00000000-0005-0000-0000-0000C6090000}"/>
    <cellStyle name="20% - Accent2 3 2 3 5 3" xfId="2596" xr:uid="{00000000-0005-0000-0000-0000C7090000}"/>
    <cellStyle name="20% - Accent2 3 2 3 5 4" xfId="2597" xr:uid="{00000000-0005-0000-0000-0000C8090000}"/>
    <cellStyle name="20% - Accent2 3 2 3 6" xfId="2598" xr:uid="{00000000-0005-0000-0000-0000C9090000}"/>
    <cellStyle name="20% - Accent2 3 2 3 6 2" xfId="2599" xr:uid="{00000000-0005-0000-0000-0000CA090000}"/>
    <cellStyle name="20% - Accent2 3 2 3 6 3" xfId="2600" xr:uid="{00000000-0005-0000-0000-0000CB090000}"/>
    <cellStyle name="20% - Accent2 3 2 3 7" xfId="2601" xr:uid="{00000000-0005-0000-0000-0000CC090000}"/>
    <cellStyle name="20% - Accent2 3 2 3 8" xfId="2602" xr:uid="{00000000-0005-0000-0000-0000CD090000}"/>
    <cellStyle name="20% - Accent2 3 2 3 9" xfId="2603" xr:uid="{00000000-0005-0000-0000-0000CE090000}"/>
    <cellStyle name="20% - Accent2 3 2 4" xfId="2604" xr:uid="{00000000-0005-0000-0000-0000CF090000}"/>
    <cellStyle name="20% - Accent2 3 2 4 2" xfId="2605" xr:uid="{00000000-0005-0000-0000-0000D0090000}"/>
    <cellStyle name="20% - Accent2 3 2 4 2 2" xfId="2606" xr:uid="{00000000-0005-0000-0000-0000D1090000}"/>
    <cellStyle name="20% - Accent2 3 2 4 2 2 2" xfId="2607" xr:uid="{00000000-0005-0000-0000-0000D2090000}"/>
    <cellStyle name="20% - Accent2 3 2 4 2 2 2 2" xfId="2608" xr:uid="{00000000-0005-0000-0000-0000D3090000}"/>
    <cellStyle name="20% - Accent2 3 2 4 2 2 2 2 2" xfId="2609" xr:uid="{00000000-0005-0000-0000-0000D4090000}"/>
    <cellStyle name="20% - Accent2 3 2 4 2 2 2 2 3" xfId="2610" xr:uid="{00000000-0005-0000-0000-0000D5090000}"/>
    <cellStyle name="20% - Accent2 3 2 4 2 2 2 3" xfId="2611" xr:uid="{00000000-0005-0000-0000-0000D6090000}"/>
    <cellStyle name="20% - Accent2 3 2 4 2 2 2 4" xfId="2612" xr:uid="{00000000-0005-0000-0000-0000D7090000}"/>
    <cellStyle name="20% - Accent2 3 2 4 2 2 3" xfId="2613" xr:uid="{00000000-0005-0000-0000-0000D8090000}"/>
    <cellStyle name="20% - Accent2 3 2 4 2 2 3 2" xfId="2614" xr:uid="{00000000-0005-0000-0000-0000D9090000}"/>
    <cellStyle name="20% - Accent2 3 2 4 2 2 3 3" xfId="2615" xr:uid="{00000000-0005-0000-0000-0000DA090000}"/>
    <cellStyle name="20% - Accent2 3 2 4 2 2 4" xfId="2616" xr:uid="{00000000-0005-0000-0000-0000DB090000}"/>
    <cellStyle name="20% - Accent2 3 2 4 2 2 5" xfId="2617" xr:uid="{00000000-0005-0000-0000-0000DC090000}"/>
    <cellStyle name="20% - Accent2 3 2 4 2 2 6" xfId="2618" xr:uid="{00000000-0005-0000-0000-0000DD090000}"/>
    <cellStyle name="20% - Accent2 3 2 4 2 3" xfId="2619" xr:uid="{00000000-0005-0000-0000-0000DE090000}"/>
    <cellStyle name="20% - Accent2 3 2 4 2 3 2" xfId="2620" xr:uid="{00000000-0005-0000-0000-0000DF090000}"/>
    <cellStyle name="20% - Accent2 3 2 4 2 3 2 2" xfId="2621" xr:uid="{00000000-0005-0000-0000-0000E0090000}"/>
    <cellStyle name="20% - Accent2 3 2 4 2 3 2 3" xfId="2622" xr:uid="{00000000-0005-0000-0000-0000E1090000}"/>
    <cellStyle name="20% - Accent2 3 2 4 2 3 3" xfId="2623" xr:uid="{00000000-0005-0000-0000-0000E2090000}"/>
    <cellStyle name="20% - Accent2 3 2 4 2 3 4" xfId="2624" xr:uid="{00000000-0005-0000-0000-0000E3090000}"/>
    <cellStyle name="20% - Accent2 3 2 4 2 4" xfId="2625" xr:uid="{00000000-0005-0000-0000-0000E4090000}"/>
    <cellStyle name="20% - Accent2 3 2 4 2 4 2" xfId="2626" xr:uid="{00000000-0005-0000-0000-0000E5090000}"/>
    <cellStyle name="20% - Accent2 3 2 4 2 4 3" xfId="2627" xr:uid="{00000000-0005-0000-0000-0000E6090000}"/>
    <cellStyle name="20% - Accent2 3 2 4 2 5" xfId="2628" xr:uid="{00000000-0005-0000-0000-0000E7090000}"/>
    <cellStyle name="20% - Accent2 3 2 4 2 6" xfId="2629" xr:uid="{00000000-0005-0000-0000-0000E8090000}"/>
    <cellStyle name="20% - Accent2 3 2 4 2 7" xfId="2630" xr:uid="{00000000-0005-0000-0000-0000E9090000}"/>
    <cellStyle name="20% - Accent2 3 2 4 3" xfId="2631" xr:uid="{00000000-0005-0000-0000-0000EA090000}"/>
    <cellStyle name="20% - Accent2 3 2 4 3 2" xfId="2632" xr:uid="{00000000-0005-0000-0000-0000EB090000}"/>
    <cellStyle name="20% - Accent2 3 2 4 3 2 2" xfId="2633" xr:uid="{00000000-0005-0000-0000-0000EC090000}"/>
    <cellStyle name="20% - Accent2 3 2 4 3 2 2 2" xfId="2634" xr:uid="{00000000-0005-0000-0000-0000ED090000}"/>
    <cellStyle name="20% - Accent2 3 2 4 3 2 2 3" xfId="2635" xr:uid="{00000000-0005-0000-0000-0000EE090000}"/>
    <cellStyle name="20% - Accent2 3 2 4 3 2 3" xfId="2636" xr:uid="{00000000-0005-0000-0000-0000EF090000}"/>
    <cellStyle name="20% - Accent2 3 2 4 3 2 4" xfId="2637" xr:uid="{00000000-0005-0000-0000-0000F0090000}"/>
    <cellStyle name="20% - Accent2 3 2 4 3 3" xfId="2638" xr:uid="{00000000-0005-0000-0000-0000F1090000}"/>
    <cellStyle name="20% - Accent2 3 2 4 3 3 2" xfId="2639" xr:uid="{00000000-0005-0000-0000-0000F2090000}"/>
    <cellStyle name="20% - Accent2 3 2 4 3 3 3" xfId="2640" xr:uid="{00000000-0005-0000-0000-0000F3090000}"/>
    <cellStyle name="20% - Accent2 3 2 4 3 4" xfId="2641" xr:uid="{00000000-0005-0000-0000-0000F4090000}"/>
    <cellStyle name="20% - Accent2 3 2 4 3 5" xfId="2642" xr:uid="{00000000-0005-0000-0000-0000F5090000}"/>
    <cellStyle name="20% - Accent2 3 2 4 3 6" xfId="2643" xr:uid="{00000000-0005-0000-0000-0000F6090000}"/>
    <cellStyle name="20% - Accent2 3 2 4 4" xfId="2644" xr:uid="{00000000-0005-0000-0000-0000F7090000}"/>
    <cellStyle name="20% - Accent2 3 2 4 4 2" xfId="2645" xr:uid="{00000000-0005-0000-0000-0000F8090000}"/>
    <cellStyle name="20% - Accent2 3 2 4 4 2 2" xfId="2646" xr:uid="{00000000-0005-0000-0000-0000F9090000}"/>
    <cellStyle name="20% - Accent2 3 2 4 4 2 3" xfId="2647" xr:uid="{00000000-0005-0000-0000-0000FA090000}"/>
    <cellStyle name="20% - Accent2 3 2 4 4 3" xfId="2648" xr:uid="{00000000-0005-0000-0000-0000FB090000}"/>
    <cellStyle name="20% - Accent2 3 2 4 4 4" xfId="2649" xr:uid="{00000000-0005-0000-0000-0000FC090000}"/>
    <cellStyle name="20% - Accent2 3 2 4 5" xfId="2650" xr:uid="{00000000-0005-0000-0000-0000FD090000}"/>
    <cellStyle name="20% - Accent2 3 2 4 5 2" xfId="2651" xr:uid="{00000000-0005-0000-0000-0000FE090000}"/>
    <cellStyle name="20% - Accent2 3 2 4 5 3" xfId="2652" xr:uid="{00000000-0005-0000-0000-0000FF090000}"/>
    <cellStyle name="20% - Accent2 3 2 4 6" xfId="2653" xr:uid="{00000000-0005-0000-0000-0000000A0000}"/>
    <cellStyle name="20% - Accent2 3 2 4 7" xfId="2654" xr:uid="{00000000-0005-0000-0000-0000010A0000}"/>
    <cellStyle name="20% - Accent2 3 2 4 8" xfId="2655" xr:uid="{00000000-0005-0000-0000-0000020A0000}"/>
    <cellStyle name="20% - Accent2 3 2 5" xfId="2656" xr:uid="{00000000-0005-0000-0000-0000030A0000}"/>
    <cellStyle name="20% - Accent2 3 2 5 2" xfId="2657" xr:uid="{00000000-0005-0000-0000-0000040A0000}"/>
    <cellStyle name="20% - Accent2 3 2 5 2 2" xfId="2658" xr:uid="{00000000-0005-0000-0000-0000050A0000}"/>
    <cellStyle name="20% - Accent2 3 2 5 2 2 2" xfId="2659" xr:uid="{00000000-0005-0000-0000-0000060A0000}"/>
    <cellStyle name="20% - Accent2 3 2 5 2 2 2 2" xfId="2660" xr:uid="{00000000-0005-0000-0000-0000070A0000}"/>
    <cellStyle name="20% - Accent2 3 2 5 2 2 2 3" xfId="2661" xr:uid="{00000000-0005-0000-0000-0000080A0000}"/>
    <cellStyle name="20% - Accent2 3 2 5 2 2 3" xfId="2662" xr:uid="{00000000-0005-0000-0000-0000090A0000}"/>
    <cellStyle name="20% - Accent2 3 2 5 2 2 4" xfId="2663" xr:uid="{00000000-0005-0000-0000-00000A0A0000}"/>
    <cellStyle name="20% - Accent2 3 2 5 2 3" xfId="2664" xr:uid="{00000000-0005-0000-0000-00000B0A0000}"/>
    <cellStyle name="20% - Accent2 3 2 5 2 3 2" xfId="2665" xr:uid="{00000000-0005-0000-0000-00000C0A0000}"/>
    <cellStyle name="20% - Accent2 3 2 5 2 3 3" xfId="2666" xr:uid="{00000000-0005-0000-0000-00000D0A0000}"/>
    <cellStyle name="20% - Accent2 3 2 5 2 4" xfId="2667" xr:uid="{00000000-0005-0000-0000-00000E0A0000}"/>
    <cellStyle name="20% - Accent2 3 2 5 2 5" xfId="2668" xr:uid="{00000000-0005-0000-0000-00000F0A0000}"/>
    <cellStyle name="20% - Accent2 3 2 5 2 6" xfId="2669" xr:uid="{00000000-0005-0000-0000-0000100A0000}"/>
    <cellStyle name="20% - Accent2 3 2 5 3" xfId="2670" xr:uid="{00000000-0005-0000-0000-0000110A0000}"/>
    <cellStyle name="20% - Accent2 3 2 5 3 2" xfId="2671" xr:uid="{00000000-0005-0000-0000-0000120A0000}"/>
    <cellStyle name="20% - Accent2 3 2 5 3 2 2" xfId="2672" xr:uid="{00000000-0005-0000-0000-0000130A0000}"/>
    <cellStyle name="20% - Accent2 3 2 5 3 2 3" xfId="2673" xr:uid="{00000000-0005-0000-0000-0000140A0000}"/>
    <cellStyle name="20% - Accent2 3 2 5 3 3" xfId="2674" xr:uid="{00000000-0005-0000-0000-0000150A0000}"/>
    <cellStyle name="20% - Accent2 3 2 5 3 4" xfId="2675" xr:uid="{00000000-0005-0000-0000-0000160A0000}"/>
    <cellStyle name="20% - Accent2 3 2 5 4" xfId="2676" xr:uid="{00000000-0005-0000-0000-0000170A0000}"/>
    <cellStyle name="20% - Accent2 3 2 5 4 2" xfId="2677" xr:uid="{00000000-0005-0000-0000-0000180A0000}"/>
    <cellStyle name="20% - Accent2 3 2 5 4 3" xfId="2678" xr:uid="{00000000-0005-0000-0000-0000190A0000}"/>
    <cellStyle name="20% - Accent2 3 2 5 5" xfId="2679" xr:uid="{00000000-0005-0000-0000-00001A0A0000}"/>
    <cellStyle name="20% - Accent2 3 2 5 6" xfId="2680" xr:uid="{00000000-0005-0000-0000-00001B0A0000}"/>
    <cellStyle name="20% - Accent2 3 2 5 7" xfId="2681" xr:uid="{00000000-0005-0000-0000-00001C0A0000}"/>
    <cellStyle name="20% - Accent2 3 2 6" xfId="2682" xr:uid="{00000000-0005-0000-0000-00001D0A0000}"/>
    <cellStyle name="20% - Accent2 3 2 6 2" xfId="2683" xr:uid="{00000000-0005-0000-0000-00001E0A0000}"/>
    <cellStyle name="20% - Accent2 3 2 6 2 2" xfId="2684" xr:uid="{00000000-0005-0000-0000-00001F0A0000}"/>
    <cellStyle name="20% - Accent2 3 2 6 2 2 2" xfId="2685" xr:uid="{00000000-0005-0000-0000-0000200A0000}"/>
    <cellStyle name="20% - Accent2 3 2 6 2 2 3" xfId="2686" xr:uid="{00000000-0005-0000-0000-0000210A0000}"/>
    <cellStyle name="20% - Accent2 3 2 6 2 3" xfId="2687" xr:uid="{00000000-0005-0000-0000-0000220A0000}"/>
    <cellStyle name="20% - Accent2 3 2 6 2 4" xfId="2688" xr:uid="{00000000-0005-0000-0000-0000230A0000}"/>
    <cellStyle name="20% - Accent2 3 2 6 3" xfId="2689" xr:uid="{00000000-0005-0000-0000-0000240A0000}"/>
    <cellStyle name="20% - Accent2 3 2 6 3 2" xfId="2690" xr:uid="{00000000-0005-0000-0000-0000250A0000}"/>
    <cellStyle name="20% - Accent2 3 2 6 3 3" xfId="2691" xr:uid="{00000000-0005-0000-0000-0000260A0000}"/>
    <cellStyle name="20% - Accent2 3 2 6 4" xfId="2692" xr:uid="{00000000-0005-0000-0000-0000270A0000}"/>
    <cellStyle name="20% - Accent2 3 2 6 5" xfId="2693" xr:uid="{00000000-0005-0000-0000-0000280A0000}"/>
    <cellStyle name="20% - Accent2 3 2 6 6" xfId="2694" xr:uid="{00000000-0005-0000-0000-0000290A0000}"/>
    <cellStyle name="20% - Accent2 3 2 7" xfId="2695" xr:uid="{00000000-0005-0000-0000-00002A0A0000}"/>
    <cellStyle name="20% - Accent2 3 2 7 2" xfId="2696" xr:uid="{00000000-0005-0000-0000-00002B0A0000}"/>
    <cellStyle name="20% - Accent2 3 2 7 2 2" xfId="2697" xr:uid="{00000000-0005-0000-0000-00002C0A0000}"/>
    <cellStyle name="20% - Accent2 3 2 7 2 3" xfId="2698" xr:uid="{00000000-0005-0000-0000-00002D0A0000}"/>
    <cellStyle name="20% - Accent2 3 2 7 3" xfId="2699" xr:uid="{00000000-0005-0000-0000-00002E0A0000}"/>
    <cellStyle name="20% - Accent2 3 2 7 4" xfId="2700" xr:uid="{00000000-0005-0000-0000-00002F0A0000}"/>
    <cellStyle name="20% - Accent2 3 2 8" xfId="2701" xr:uid="{00000000-0005-0000-0000-0000300A0000}"/>
    <cellStyle name="20% - Accent2 3 2 8 2" xfId="2702" xr:uid="{00000000-0005-0000-0000-0000310A0000}"/>
    <cellStyle name="20% - Accent2 3 2 8 3" xfId="2703" xr:uid="{00000000-0005-0000-0000-0000320A0000}"/>
    <cellStyle name="20% - Accent2 3 2 9" xfId="2704" xr:uid="{00000000-0005-0000-0000-0000330A0000}"/>
    <cellStyle name="20% - Accent2 3 3" xfId="2705" xr:uid="{00000000-0005-0000-0000-0000340A0000}"/>
    <cellStyle name="20% - Accent2 3 3 10" xfId="2706" xr:uid="{00000000-0005-0000-0000-0000350A0000}"/>
    <cellStyle name="20% - Accent2 3 3 2" xfId="2707" xr:uid="{00000000-0005-0000-0000-0000360A0000}"/>
    <cellStyle name="20% - Accent2 3 3 2 2" xfId="2708" xr:uid="{00000000-0005-0000-0000-0000370A0000}"/>
    <cellStyle name="20% - Accent2 3 3 2 2 2" xfId="2709" xr:uid="{00000000-0005-0000-0000-0000380A0000}"/>
    <cellStyle name="20% - Accent2 3 3 2 2 2 2" xfId="2710" xr:uid="{00000000-0005-0000-0000-0000390A0000}"/>
    <cellStyle name="20% - Accent2 3 3 2 2 2 2 2" xfId="2711" xr:uid="{00000000-0005-0000-0000-00003A0A0000}"/>
    <cellStyle name="20% - Accent2 3 3 2 2 2 2 2 2" xfId="2712" xr:uid="{00000000-0005-0000-0000-00003B0A0000}"/>
    <cellStyle name="20% - Accent2 3 3 2 2 2 2 2 2 2" xfId="2713" xr:uid="{00000000-0005-0000-0000-00003C0A0000}"/>
    <cellStyle name="20% - Accent2 3 3 2 2 2 2 2 2 3" xfId="2714" xr:uid="{00000000-0005-0000-0000-00003D0A0000}"/>
    <cellStyle name="20% - Accent2 3 3 2 2 2 2 2 3" xfId="2715" xr:uid="{00000000-0005-0000-0000-00003E0A0000}"/>
    <cellStyle name="20% - Accent2 3 3 2 2 2 2 2 4" xfId="2716" xr:uid="{00000000-0005-0000-0000-00003F0A0000}"/>
    <cellStyle name="20% - Accent2 3 3 2 2 2 2 3" xfId="2717" xr:uid="{00000000-0005-0000-0000-0000400A0000}"/>
    <cellStyle name="20% - Accent2 3 3 2 2 2 2 3 2" xfId="2718" xr:uid="{00000000-0005-0000-0000-0000410A0000}"/>
    <cellStyle name="20% - Accent2 3 3 2 2 2 2 3 3" xfId="2719" xr:uid="{00000000-0005-0000-0000-0000420A0000}"/>
    <cellStyle name="20% - Accent2 3 3 2 2 2 2 4" xfId="2720" xr:uid="{00000000-0005-0000-0000-0000430A0000}"/>
    <cellStyle name="20% - Accent2 3 3 2 2 2 2 5" xfId="2721" xr:uid="{00000000-0005-0000-0000-0000440A0000}"/>
    <cellStyle name="20% - Accent2 3 3 2 2 2 2 6" xfId="2722" xr:uid="{00000000-0005-0000-0000-0000450A0000}"/>
    <cellStyle name="20% - Accent2 3 3 2 2 2 3" xfId="2723" xr:uid="{00000000-0005-0000-0000-0000460A0000}"/>
    <cellStyle name="20% - Accent2 3 3 2 2 2 3 2" xfId="2724" xr:uid="{00000000-0005-0000-0000-0000470A0000}"/>
    <cellStyle name="20% - Accent2 3 3 2 2 2 3 2 2" xfId="2725" xr:uid="{00000000-0005-0000-0000-0000480A0000}"/>
    <cellStyle name="20% - Accent2 3 3 2 2 2 3 2 3" xfId="2726" xr:uid="{00000000-0005-0000-0000-0000490A0000}"/>
    <cellStyle name="20% - Accent2 3 3 2 2 2 3 3" xfId="2727" xr:uid="{00000000-0005-0000-0000-00004A0A0000}"/>
    <cellStyle name="20% - Accent2 3 3 2 2 2 3 4" xfId="2728" xr:uid="{00000000-0005-0000-0000-00004B0A0000}"/>
    <cellStyle name="20% - Accent2 3 3 2 2 2 4" xfId="2729" xr:uid="{00000000-0005-0000-0000-00004C0A0000}"/>
    <cellStyle name="20% - Accent2 3 3 2 2 2 4 2" xfId="2730" xr:uid="{00000000-0005-0000-0000-00004D0A0000}"/>
    <cellStyle name="20% - Accent2 3 3 2 2 2 4 3" xfId="2731" xr:uid="{00000000-0005-0000-0000-00004E0A0000}"/>
    <cellStyle name="20% - Accent2 3 3 2 2 2 5" xfId="2732" xr:uid="{00000000-0005-0000-0000-00004F0A0000}"/>
    <cellStyle name="20% - Accent2 3 3 2 2 2 6" xfId="2733" xr:uid="{00000000-0005-0000-0000-0000500A0000}"/>
    <cellStyle name="20% - Accent2 3 3 2 2 2 7" xfId="2734" xr:uid="{00000000-0005-0000-0000-0000510A0000}"/>
    <cellStyle name="20% - Accent2 3 3 2 2 3" xfId="2735" xr:uid="{00000000-0005-0000-0000-0000520A0000}"/>
    <cellStyle name="20% - Accent2 3 3 2 2 3 2" xfId="2736" xr:uid="{00000000-0005-0000-0000-0000530A0000}"/>
    <cellStyle name="20% - Accent2 3 3 2 2 3 2 2" xfId="2737" xr:uid="{00000000-0005-0000-0000-0000540A0000}"/>
    <cellStyle name="20% - Accent2 3 3 2 2 3 2 2 2" xfId="2738" xr:uid="{00000000-0005-0000-0000-0000550A0000}"/>
    <cellStyle name="20% - Accent2 3 3 2 2 3 2 2 3" xfId="2739" xr:uid="{00000000-0005-0000-0000-0000560A0000}"/>
    <cellStyle name="20% - Accent2 3 3 2 2 3 2 3" xfId="2740" xr:uid="{00000000-0005-0000-0000-0000570A0000}"/>
    <cellStyle name="20% - Accent2 3 3 2 2 3 2 4" xfId="2741" xr:uid="{00000000-0005-0000-0000-0000580A0000}"/>
    <cellStyle name="20% - Accent2 3 3 2 2 3 3" xfId="2742" xr:uid="{00000000-0005-0000-0000-0000590A0000}"/>
    <cellStyle name="20% - Accent2 3 3 2 2 3 3 2" xfId="2743" xr:uid="{00000000-0005-0000-0000-00005A0A0000}"/>
    <cellStyle name="20% - Accent2 3 3 2 2 3 3 3" xfId="2744" xr:uid="{00000000-0005-0000-0000-00005B0A0000}"/>
    <cellStyle name="20% - Accent2 3 3 2 2 3 4" xfId="2745" xr:uid="{00000000-0005-0000-0000-00005C0A0000}"/>
    <cellStyle name="20% - Accent2 3 3 2 2 3 5" xfId="2746" xr:uid="{00000000-0005-0000-0000-00005D0A0000}"/>
    <cellStyle name="20% - Accent2 3 3 2 2 3 6" xfId="2747" xr:uid="{00000000-0005-0000-0000-00005E0A0000}"/>
    <cellStyle name="20% - Accent2 3 3 2 2 4" xfId="2748" xr:uid="{00000000-0005-0000-0000-00005F0A0000}"/>
    <cellStyle name="20% - Accent2 3 3 2 2 4 2" xfId="2749" xr:uid="{00000000-0005-0000-0000-0000600A0000}"/>
    <cellStyle name="20% - Accent2 3 3 2 2 4 2 2" xfId="2750" xr:uid="{00000000-0005-0000-0000-0000610A0000}"/>
    <cellStyle name="20% - Accent2 3 3 2 2 4 2 3" xfId="2751" xr:uid="{00000000-0005-0000-0000-0000620A0000}"/>
    <cellStyle name="20% - Accent2 3 3 2 2 4 3" xfId="2752" xr:uid="{00000000-0005-0000-0000-0000630A0000}"/>
    <cellStyle name="20% - Accent2 3 3 2 2 4 4" xfId="2753" xr:uid="{00000000-0005-0000-0000-0000640A0000}"/>
    <cellStyle name="20% - Accent2 3 3 2 2 5" xfId="2754" xr:uid="{00000000-0005-0000-0000-0000650A0000}"/>
    <cellStyle name="20% - Accent2 3 3 2 2 5 2" xfId="2755" xr:uid="{00000000-0005-0000-0000-0000660A0000}"/>
    <cellStyle name="20% - Accent2 3 3 2 2 5 3" xfId="2756" xr:uid="{00000000-0005-0000-0000-0000670A0000}"/>
    <cellStyle name="20% - Accent2 3 3 2 2 6" xfId="2757" xr:uid="{00000000-0005-0000-0000-0000680A0000}"/>
    <cellStyle name="20% - Accent2 3 3 2 2 7" xfId="2758" xr:uid="{00000000-0005-0000-0000-0000690A0000}"/>
    <cellStyle name="20% - Accent2 3 3 2 2 8" xfId="2759" xr:uid="{00000000-0005-0000-0000-00006A0A0000}"/>
    <cellStyle name="20% - Accent2 3 3 2 3" xfId="2760" xr:uid="{00000000-0005-0000-0000-00006B0A0000}"/>
    <cellStyle name="20% - Accent2 3 3 2 3 2" xfId="2761" xr:uid="{00000000-0005-0000-0000-00006C0A0000}"/>
    <cellStyle name="20% - Accent2 3 3 2 3 2 2" xfId="2762" xr:uid="{00000000-0005-0000-0000-00006D0A0000}"/>
    <cellStyle name="20% - Accent2 3 3 2 3 2 2 2" xfId="2763" xr:uid="{00000000-0005-0000-0000-00006E0A0000}"/>
    <cellStyle name="20% - Accent2 3 3 2 3 2 2 2 2" xfId="2764" xr:uid="{00000000-0005-0000-0000-00006F0A0000}"/>
    <cellStyle name="20% - Accent2 3 3 2 3 2 2 2 3" xfId="2765" xr:uid="{00000000-0005-0000-0000-0000700A0000}"/>
    <cellStyle name="20% - Accent2 3 3 2 3 2 2 3" xfId="2766" xr:uid="{00000000-0005-0000-0000-0000710A0000}"/>
    <cellStyle name="20% - Accent2 3 3 2 3 2 2 4" xfId="2767" xr:uid="{00000000-0005-0000-0000-0000720A0000}"/>
    <cellStyle name="20% - Accent2 3 3 2 3 2 3" xfId="2768" xr:uid="{00000000-0005-0000-0000-0000730A0000}"/>
    <cellStyle name="20% - Accent2 3 3 2 3 2 3 2" xfId="2769" xr:uid="{00000000-0005-0000-0000-0000740A0000}"/>
    <cellStyle name="20% - Accent2 3 3 2 3 2 3 3" xfId="2770" xr:uid="{00000000-0005-0000-0000-0000750A0000}"/>
    <cellStyle name="20% - Accent2 3 3 2 3 2 4" xfId="2771" xr:uid="{00000000-0005-0000-0000-0000760A0000}"/>
    <cellStyle name="20% - Accent2 3 3 2 3 2 5" xfId="2772" xr:uid="{00000000-0005-0000-0000-0000770A0000}"/>
    <cellStyle name="20% - Accent2 3 3 2 3 2 6" xfId="2773" xr:uid="{00000000-0005-0000-0000-0000780A0000}"/>
    <cellStyle name="20% - Accent2 3 3 2 3 3" xfId="2774" xr:uid="{00000000-0005-0000-0000-0000790A0000}"/>
    <cellStyle name="20% - Accent2 3 3 2 3 3 2" xfId="2775" xr:uid="{00000000-0005-0000-0000-00007A0A0000}"/>
    <cellStyle name="20% - Accent2 3 3 2 3 3 2 2" xfId="2776" xr:uid="{00000000-0005-0000-0000-00007B0A0000}"/>
    <cellStyle name="20% - Accent2 3 3 2 3 3 2 3" xfId="2777" xr:uid="{00000000-0005-0000-0000-00007C0A0000}"/>
    <cellStyle name="20% - Accent2 3 3 2 3 3 3" xfId="2778" xr:uid="{00000000-0005-0000-0000-00007D0A0000}"/>
    <cellStyle name="20% - Accent2 3 3 2 3 3 4" xfId="2779" xr:uid="{00000000-0005-0000-0000-00007E0A0000}"/>
    <cellStyle name="20% - Accent2 3 3 2 3 4" xfId="2780" xr:uid="{00000000-0005-0000-0000-00007F0A0000}"/>
    <cellStyle name="20% - Accent2 3 3 2 3 4 2" xfId="2781" xr:uid="{00000000-0005-0000-0000-0000800A0000}"/>
    <cellStyle name="20% - Accent2 3 3 2 3 4 3" xfId="2782" xr:uid="{00000000-0005-0000-0000-0000810A0000}"/>
    <cellStyle name="20% - Accent2 3 3 2 3 5" xfId="2783" xr:uid="{00000000-0005-0000-0000-0000820A0000}"/>
    <cellStyle name="20% - Accent2 3 3 2 3 6" xfId="2784" xr:uid="{00000000-0005-0000-0000-0000830A0000}"/>
    <cellStyle name="20% - Accent2 3 3 2 3 7" xfId="2785" xr:uid="{00000000-0005-0000-0000-0000840A0000}"/>
    <cellStyle name="20% - Accent2 3 3 2 4" xfId="2786" xr:uid="{00000000-0005-0000-0000-0000850A0000}"/>
    <cellStyle name="20% - Accent2 3 3 2 4 2" xfId="2787" xr:uid="{00000000-0005-0000-0000-0000860A0000}"/>
    <cellStyle name="20% - Accent2 3 3 2 4 2 2" xfId="2788" xr:uid="{00000000-0005-0000-0000-0000870A0000}"/>
    <cellStyle name="20% - Accent2 3 3 2 4 2 2 2" xfId="2789" xr:uid="{00000000-0005-0000-0000-0000880A0000}"/>
    <cellStyle name="20% - Accent2 3 3 2 4 2 2 3" xfId="2790" xr:uid="{00000000-0005-0000-0000-0000890A0000}"/>
    <cellStyle name="20% - Accent2 3 3 2 4 2 3" xfId="2791" xr:uid="{00000000-0005-0000-0000-00008A0A0000}"/>
    <cellStyle name="20% - Accent2 3 3 2 4 2 4" xfId="2792" xr:uid="{00000000-0005-0000-0000-00008B0A0000}"/>
    <cellStyle name="20% - Accent2 3 3 2 4 3" xfId="2793" xr:uid="{00000000-0005-0000-0000-00008C0A0000}"/>
    <cellStyle name="20% - Accent2 3 3 2 4 3 2" xfId="2794" xr:uid="{00000000-0005-0000-0000-00008D0A0000}"/>
    <cellStyle name="20% - Accent2 3 3 2 4 3 3" xfId="2795" xr:uid="{00000000-0005-0000-0000-00008E0A0000}"/>
    <cellStyle name="20% - Accent2 3 3 2 4 4" xfId="2796" xr:uid="{00000000-0005-0000-0000-00008F0A0000}"/>
    <cellStyle name="20% - Accent2 3 3 2 4 5" xfId="2797" xr:uid="{00000000-0005-0000-0000-0000900A0000}"/>
    <cellStyle name="20% - Accent2 3 3 2 4 6" xfId="2798" xr:uid="{00000000-0005-0000-0000-0000910A0000}"/>
    <cellStyle name="20% - Accent2 3 3 2 5" xfId="2799" xr:uid="{00000000-0005-0000-0000-0000920A0000}"/>
    <cellStyle name="20% - Accent2 3 3 2 5 2" xfId="2800" xr:uid="{00000000-0005-0000-0000-0000930A0000}"/>
    <cellStyle name="20% - Accent2 3 3 2 5 2 2" xfId="2801" xr:uid="{00000000-0005-0000-0000-0000940A0000}"/>
    <cellStyle name="20% - Accent2 3 3 2 5 2 3" xfId="2802" xr:uid="{00000000-0005-0000-0000-0000950A0000}"/>
    <cellStyle name="20% - Accent2 3 3 2 5 3" xfId="2803" xr:uid="{00000000-0005-0000-0000-0000960A0000}"/>
    <cellStyle name="20% - Accent2 3 3 2 5 4" xfId="2804" xr:uid="{00000000-0005-0000-0000-0000970A0000}"/>
    <cellStyle name="20% - Accent2 3 3 2 6" xfId="2805" xr:uid="{00000000-0005-0000-0000-0000980A0000}"/>
    <cellStyle name="20% - Accent2 3 3 2 6 2" xfId="2806" xr:uid="{00000000-0005-0000-0000-0000990A0000}"/>
    <cellStyle name="20% - Accent2 3 3 2 6 3" xfId="2807" xr:uid="{00000000-0005-0000-0000-00009A0A0000}"/>
    <cellStyle name="20% - Accent2 3 3 2 7" xfId="2808" xr:uid="{00000000-0005-0000-0000-00009B0A0000}"/>
    <cellStyle name="20% - Accent2 3 3 2 8" xfId="2809" xr:uid="{00000000-0005-0000-0000-00009C0A0000}"/>
    <cellStyle name="20% - Accent2 3 3 2 9" xfId="2810" xr:uid="{00000000-0005-0000-0000-00009D0A0000}"/>
    <cellStyle name="20% - Accent2 3 3 3" xfId="2811" xr:uid="{00000000-0005-0000-0000-00009E0A0000}"/>
    <cellStyle name="20% - Accent2 3 3 3 2" xfId="2812" xr:uid="{00000000-0005-0000-0000-00009F0A0000}"/>
    <cellStyle name="20% - Accent2 3 3 3 2 2" xfId="2813" xr:uid="{00000000-0005-0000-0000-0000A00A0000}"/>
    <cellStyle name="20% - Accent2 3 3 3 2 2 2" xfId="2814" xr:uid="{00000000-0005-0000-0000-0000A10A0000}"/>
    <cellStyle name="20% - Accent2 3 3 3 2 2 2 2" xfId="2815" xr:uid="{00000000-0005-0000-0000-0000A20A0000}"/>
    <cellStyle name="20% - Accent2 3 3 3 2 2 2 2 2" xfId="2816" xr:uid="{00000000-0005-0000-0000-0000A30A0000}"/>
    <cellStyle name="20% - Accent2 3 3 3 2 2 2 2 3" xfId="2817" xr:uid="{00000000-0005-0000-0000-0000A40A0000}"/>
    <cellStyle name="20% - Accent2 3 3 3 2 2 2 3" xfId="2818" xr:uid="{00000000-0005-0000-0000-0000A50A0000}"/>
    <cellStyle name="20% - Accent2 3 3 3 2 2 2 4" xfId="2819" xr:uid="{00000000-0005-0000-0000-0000A60A0000}"/>
    <cellStyle name="20% - Accent2 3 3 3 2 2 3" xfId="2820" xr:uid="{00000000-0005-0000-0000-0000A70A0000}"/>
    <cellStyle name="20% - Accent2 3 3 3 2 2 3 2" xfId="2821" xr:uid="{00000000-0005-0000-0000-0000A80A0000}"/>
    <cellStyle name="20% - Accent2 3 3 3 2 2 3 3" xfId="2822" xr:uid="{00000000-0005-0000-0000-0000A90A0000}"/>
    <cellStyle name="20% - Accent2 3 3 3 2 2 4" xfId="2823" xr:uid="{00000000-0005-0000-0000-0000AA0A0000}"/>
    <cellStyle name="20% - Accent2 3 3 3 2 2 5" xfId="2824" xr:uid="{00000000-0005-0000-0000-0000AB0A0000}"/>
    <cellStyle name="20% - Accent2 3 3 3 2 2 6" xfId="2825" xr:uid="{00000000-0005-0000-0000-0000AC0A0000}"/>
    <cellStyle name="20% - Accent2 3 3 3 2 3" xfId="2826" xr:uid="{00000000-0005-0000-0000-0000AD0A0000}"/>
    <cellStyle name="20% - Accent2 3 3 3 2 3 2" xfId="2827" xr:uid="{00000000-0005-0000-0000-0000AE0A0000}"/>
    <cellStyle name="20% - Accent2 3 3 3 2 3 2 2" xfId="2828" xr:uid="{00000000-0005-0000-0000-0000AF0A0000}"/>
    <cellStyle name="20% - Accent2 3 3 3 2 3 2 3" xfId="2829" xr:uid="{00000000-0005-0000-0000-0000B00A0000}"/>
    <cellStyle name="20% - Accent2 3 3 3 2 3 3" xfId="2830" xr:uid="{00000000-0005-0000-0000-0000B10A0000}"/>
    <cellStyle name="20% - Accent2 3 3 3 2 3 4" xfId="2831" xr:uid="{00000000-0005-0000-0000-0000B20A0000}"/>
    <cellStyle name="20% - Accent2 3 3 3 2 4" xfId="2832" xr:uid="{00000000-0005-0000-0000-0000B30A0000}"/>
    <cellStyle name="20% - Accent2 3 3 3 2 4 2" xfId="2833" xr:uid="{00000000-0005-0000-0000-0000B40A0000}"/>
    <cellStyle name="20% - Accent2 3 3 3 2 4 3" xfId="2834" xr:uid="{00000000-0005-0000-0000-0000B50A0000}"/>
    <cellStyle name="20% - Accent2 3 3 3 2 5" xfId="2835" xr:uid="{00000000-0005-0000-0000-0000B60A0000}"/>
    <cellStyle name="20% - Accent2 3 3 3 2 6" xfId="2836" xr:uid="{00000000-0005-0000-0000-0000B70A0000}"/>
    <cellStyle name="20% - Accent2 3 3 3 2 7" xfId="2837" xr:uid="{00000000-0005-0000-0000-0000B80A0000}"/>
    <cellStyle name="20% - Accent2 3 3 3 3" xfId="2838" xr:uid="{00000000-0005-0000-0000-0000B90A0000}"/>
    <cellStyle name="20% - Accent2 3 3 3 3 2" xfId="2839" xr:uid="{00000000-0005-0000-0000-0000BA0A0000}"/>
    <cellStyle name="20% - Accent2 3 3 3 3 2 2" xfId="2840" xr:uid="{00000000-0005-0000-0000-0000BB0A0000}"/>
    <cellStyle name="20% - Accent2 3 3 3 3 2 2 2" xfId="2841" xr:uid="{00000000-0005-0000-0000-0000BC0A0000}"/>
    <cellStyle name="20% - Accent2 3 3 3 3 2 2 3" xfId="2842" xr:uid="{00000000-0005-0000-0000-0000BD0A0000}"/>
    <cellStyle name="20% - Accent2 3 3 3 3 2 3" xfId="2843" xr:uid="{00000000-0005-0000-0000-0000BE0A0000}"/>
    <cellStyle name="20% - Accent2 3 3 3 3 2 4" xfId="2844" xr:uid="{00000000-0005-0000-0000-0000BF0A0000}"/>
    <cellStyle name="20% - Accent2 3 3 3 3 3" xfId="2845" xr:uid="{00000000-0005-0000-0000-0000C00A0000}"/>
    <cellStyle name="20% - Accent2 3 3 3 3 3 2" xfId="2846" xr:uid="{00000000-0005-0000-0000-0000C10A0000}"/>
    <cellStyle name="20% - Accent2 3 3 3 3 3 3" xfId="2847" xr:uid="{00000000-0005-0000-0000-0000C20A0000}"/>
    <cellStyle name="20% - Accent2 3 3 3 3 4" xfId="2848" xr:uid="{00000000-0005-0000-0000-0000C30A0000}"/>
    <cellStyle name="20% - Accent2 3 3 3 3 5" xfId="2849" xr:uid="{00000000-0005-0000-0000-0000C40A0000}"/>
    <cellStyle name="20% - Accent2 3 3 3 3 6" xfId="2850" xr:uid="{00000000-0005-0000-0000-0000C50A0000}"/>
    <cellStyle name="20% - Accent2 3 3 3 4" xfId="2851" xr:uid="{00000000-0005-0000-0000-0000C60A0000}"/>
    <cellStyle name="20% - Accent2 3 3 3 4 2" xfId="2852" xr:uid="{00000000-0005-0000-0000-0000C70A0000}"/>
    <cellStyle name="20% - Accent2 3 3 3 4 2 2" xfId="2853" xr:uid="{00000000-0005-0000-0000-0000C80A0000}"/>
    <cellStyle name="20% - Accent2 3 3 3 4 2 3" xfId="2854" xr:uid="{00000000-0005-0000-0000-0000C90A0000}"/>
    <cellStyle name="20% - Accent2 3 3 3 4 3" xfId="2855" xr:uid="{00000000-0005-0000-0000-0000CA0A0000}"/>
    <cellStyle name="20% - Accent2 3 3 3 4 4" xfId="2856" xr:uid="{00000000-0005-0000-0000-0000CB0A0000}"/>
    <cellStyle name="20% - Accent2 3 3 3 5" xfId="2857" xr:uid="{00000000-0005-0000-0000-0000CC0A0000}"/>
    <cellStyle name="20% - Accent2 3 3 3 5 2" xfId="2858" xr:uid="{00000000-0005-0000-0000-0000CD0A0000}"/>
    <cellStyle name="20% - Accent2 3 3 3 5 3" xfId="2859" xr:uid="{00000000-0005-0000-0000-0000CE0A0000}"/>
    <cellStyle name="20% - Accent2 3 3 3 6" xfId="2860" xr:uid="{00000000-0005-0000-0000-0000CF0A0000}"/>
    <cellStyle name="20% - Accent2 3 3 3 7" xfId="2861" xr:uid="{00000000-0005-0000-0000-0000D00A0000}"/>
    <cellStyle name="20% - Accent2 3 3 3 8" xfId="2862" xr:uid="{00000000-0005-0000-0000-0000D10A0000}"/>
    <cellStyle name="20% - Accent2 3 3 4" xfId="2863" xr:uid="{00000000-0005-0000-0000-0000D20A0000}"/>
    <cellStyle name="20% - Accent2 3 3 4 2" xfId="2864" xr:uid="{00000000-0005-0000-0000-0000D30A0000}"/>
    <cellStyle name="20% - Accent2 3 3 4 2 2" xfId="2865" xr:uid="{00000000-0005-0000-0000-0000D40A0000}"/>
    <cellStyle name="20% - Accent2 3 3 4 2 2 2" xfId="2866" xr:uid="{00000000-0005-0000-0000-0000D50A0000}"/>
    <cellStyle name="20% - Accent2 3 3 4 2 2 2 2" xfId="2867" xr:uid="{00000000-0005-0000-0000-0000D60A0000}"/>
    <cellStyle name="20% - Accent2 3 3 4 2 2 2 3" xfId="2868" xr:uid="{00000000-0005-0000-0000-0000D70A0000}"/>
    <cellStyle name="20% - Accent2 3 3 4 2 2 3" xfId="2869" xr:uid="{00000000-0005-0000-0000-0000D80A0000}"/>
    <cellStyle name="20% - Accent2 3 3 4 2 2 4" xfId="2870" xr:uid="{00000000-0005-0000-0000-0000D90A0000}"/>
    <cellStyle name="20% - Accent2 3 3 4 2 3" xfId="2871" xr:uid="{00000000-0005-0000-0000-0000DA0A0000}"/>
    <cellStyle name="20% - Accent2 3 3 4 2 3 2" xfId="2872" xr:uid="{00000000-0005-0000-0000-0000DB0A0000}"/>
    <cellStyle name="20% - Accent2 3 3 4 2 3 3" xfId="2873" xr:uid="{00000000-0005-0000-0000-0000DC0A0000}"/>
    <cellStyle name="20% - Accent2 3 3 4 2 4" xfId="2874" xr:uid="{00000000-0005-0000-0000-0000DD0A0000}"/>
    <cellStyle name="20% - Accent2 3 3 4 2 5" xfId="2875" xr:uid="{00000000-0005-0000-0000-0000DE0A0000}"/>
    <cellStyle name="20% - Accent2 3 3 4 2 6" xfId="2876" xr:uid="{00000000-0005-0000-0000-0000DF0A0000}"/>
    <cellStyle name="20% - Accent2 3 3 4 3" xfId="2877" xr:uid="{00000000-0005-0000-0000-0000E00A0000}"/>
    <cellStyle name="20% - Accent2 3 3 4 3 2" xfId="2878" xr:uid="{00000000-0005-0000-0000-0000E10A0000}"/>
    <cellStyle name="20% - Accent2 3 3 4 3 2 2" xfId="2879" xr:uid="{00000000-0005-0000-0000-0000E20A0000}"/>
    <cellStyle name="20% - Accent2 3 3 4 3 2 3" xfId="2880" xr:uid="{00000000-0005-0000-0000-0000E30A0000}"/>
    <cellStyle name="20% - Accent2 3 3 4 3 3" xfId="2881" xr:uid="{00000000-0005-0000-0000-0000E40A0000}"/>
    <cellStyle name="20% - Accent2 3 3 4 3 4" xfId="2882" xr:uid="{00000000-0005-0000-0000-0000E50A0000}"/>
    <cellStyle name="20% - Accent2 3 3 4 4" xfId="2883" xr:uid="{00000000-0005-0000-0000-0000E60A0000}"/>
    <cellStyle name="20% - Accent2 3 3 4 4 2" xfId="2884" xr:uid="{00000000-0005-0000-0000-0000E70A0000}"/>
    <cellStyle name="20% - Accent2 3 3 4 4 3" xfId="2885" xr:uid="{00000000-0005-0000-0000-0000E80A0000}"/>
    <cellStyle name="20% - Accent2 3 3 4 5" xfId="2886" xr:uid="{00000000-0005-0000-0000-0000E90A0000}"/>
    <cellStyle name="20% - Accent2 3 3 4 6" xfId="2887" xr:uid="{00000000-0005-0000-0000-0000EA0A0000}"/>
    <cellStyle name="20% - Accent2 3 3 4 7" xfId="2888" xr:uid="{00000000-0005-0000-0000-0000EB0A0000}"/>
    <cellStyle name="20% - Accent2 3 3 5" xfId="2889" xr:uid="{00000000-0005-0000-0000-0000EC0A0000}"/>
    <cellStyle name="20% - Accent2 3 3 5 2" xfId="2890" xr:uid="{00000000-0005-0000-0000-0000ED0A0000}"/>
    <cellStyle name="20% - Accent2 3 3 5 2 2" xfId="2891" xr:uid="{00000000-0005-0000-0000-0000EE0A0000}"/>
    <cellStyle name="20% - Accent2 3 3 5 2 2 2" xfId="2892" xr:uid="{00000000-0005-0000-0000-0000EF0A0000}"/>
    <cellStyle name="20% - Accent2 3 3 5 2 2 3" xfId="2893" xr:uid="{00000000-0005-0000-0000-0000F00A0000}"/>
    <cellStyle name="20% - Accent2 3 3 5 2 3" xfId="2894" xr:uid="{00000000-0005-0000-0000-0000F10A0000}"/>
    <cellStyle name="20% - Accent2 3 3 5 2 4" xfId="2895" xr:uid="{00000000-0005-0000-0000-0000F20A0000}"/>
    <cellStyle name="20% - Accent2 3 3 5 3" xfId="2896" xr:uid="{00000000-0005-0000-0000-0000F30A0000}"/>
    <cellStyle name="20% - Accent2 3 3 5 3 2" xfId="2897" xr:uid="{00000000-0005-0000-0000-0000F40A0000}"/>
    <cellStyle name="20% - Accent2 3 3 5 3 3" xfId="2898" xr:uid="{00000000-0005-0000-0000-0000F50A0000}"/>
    <cellStyle name="20% - Accent2 3 3 5 4" xfId="2899" xr:uid="{00000000-0005-0000-0000-0000F60A0000}"/>
    <cellStyle name="20% - Accent2 3 3 5 5" xfId="2900" xr:uid="{00000000-0005-0000-0000-0000F70A0000}"/>
    <cellStyle name="20% - Accent2 3 3 5 6" xfId="2901" xr:uid="{00000000-0005-0000-0000-0000F80A0000}"/>
    <cellStyle name="20% - Accent2 3 3 6" xfId="2902" xr:uid="{00000000-0005-0000-0000-0000F90A0000}"/>
    <cellStyle name="20% - Accent2 3 3 6 2" xfId="2903" xr:uid="{00000000-0005-0000-0000-0000FA0A0000}"/>
    <cellStyle name="20% - Accent2 3 3 6 2 2" xfId="2904" xr:uid="{00000000-0005-0000-0000-0000FB0A0000}"/>
    <cellStyle name="20% - Accent2 3 3 6 2 3" xfId="2905" xr:uid="{00000000-0005-0000-0000-0000FC0A0000}"/>
    <cellStyle name="20% - Accent2 3 3 6 3" xfId="2906" xr:uid="{00000000-0005-0000-0000-0000FD0A0000}"/>
    <cellStyle name="20% - Accent2 3 3 6 4" xfId="2907" xr:uid="{00000000-0005-0000-0000-0000FE0A0000}"/>
    <cellStyle name="20% - Accent2 3 3 7" xfId="2908" xr:uid="{00000000-0005-0000-0000-0000FF0A0000}"/>
    <cellStyle name="20% - Accent2 3 3 7 2" xfId="2909" xr:uid="{00000000-0005-0000-0000-0000000B0000}"/>
    <cellStyle name="20% - Accent2 3 3 7 3" xfId="2910" xr:uid="{00000000-0005-0000-0000-0000010B0000}"/>
    <cellStyle name="20% - Accent2 3 3 8" xfId="2911" xr:uid="{00000000-0005-0000-0000-0000020B0000}"/>
    <cellStyle name="20% - Accent2 3 3 9" xfId="2912" xr:uid="{00000000-0005-0000-0000-0000030B0000}"/>
    <cellStyle name="20% - Accent2 3 4" xfId="2913" xr:uid="{00000000-0005-0000-0000-0000040B0000}"/>
    <cellStyle name="20% - Accent2 3 4 2" xfId="2914" xr:uid="{00000000-0005-0000-0000-0000050B0000}"/>
    <cellStyle name="20% - Accent2 3 4 2 2" xfId="2915" xr:uid="{00000000-0005-0000-0000-0000060B0000}"/>
    <cellStyle name="20% - Accent2 3 4 2 2 2" xfId="2916" xr:uid="{00000000-0005-0000-0000-0000070B0000}"/>
    <cellStyle name="20% - Accent2 3 4 2 2 2 2" xfId="2917" xr:uid="{00000000-0005-0000-0000-0000080B0000}"/>
    <cellStyle name="20% - Accent2 3 4 2 2 2 2 2" xfId="2918" xr:uid="{00000000-0005-0000-0000-0000090B0000}"/>
    <cellStyle name="20% - Accent2 3 4 2 2 2 2 2 2" xfId="2919" xr:uid="{00000000-0005-0000-0000-00000A0B0000}"/>
    <cellStyle name="20% - Accent2 3 4 2 2 2 2 2 3" xfId="2920" xr:uid="{00000000-0005-0000-0000-00000B0B0000}"/>
    <cellStyle name="20% - Accent2 3 4 2 2 2 2 3" xfId="2921" xr:uid="{00000000-0005-0000-0000-00000C0B0000}"/>
    <cellStyle name="20% - Accent2 3 4 2 2 2 2 4" xfId="2922" xr:uid="{00000000-0005-0000-0000-00000D0B0000}"/>
    <cellStyle name="20% - Accent2 3 4 2 2 2 3" xfId="2923" xr:uid="{00000000-0005-0000-0000-00000E0B0000}"/>
    <cellStyle name="20% - Accent2 3 4 2 2 2 3 2" xfId="2924" xr:uid="{00000000-0005-0000-0000-00000F0B0000}"/>
    <cellStyle name="20% - Accent2 3 4 2 2 2 3 3" xfId="2925" xr:uid="{00000000-0005-0000-0000-0000100B0000}"/>
    <cellStyle name="20% - Accent2 3 4 2 2 2 4" xfId="2926" xr:uid="{00000000-0005-0000-0000-0000110B0000}"/>
    <cellStyle name="20% - Accent2 3 4 2 2 2 5" xfId="2927" xr:uid="{00000000-0005-0000-0000-0000120B0000}"/>
    <cellStyle name="20% - Accent2 3 4 2 2 2 6" xfId="2928" xr:uid="{00000000-0005-0000-0000-0000130B0000}"/>
    <cellStyle name="20% - Accent2 3 4 2 2 3" xfId="2929" xr:uid="{00000000-0005-0000-0000-0000140B0000}"/>
    <cellStyle name="20% - Accent2 3 4 2 2 3 2" xfId="2930" xr:uid="{00000000-0005-0000-0000-0000150B0000}"/>
    <cellStyle name="20% - Accent2 3 4 2 2 3 2 2" xfId="2931" xr:uid="{00000000-0005-0000-0000-0000160B0000}"/>
    <cellStyle name="20% - Accent2 3 4 2 2 3 2 3" xfId="2932" xr:uid="{00000000-0005-0000-0000-0000170B0000}"/>
    <cellStyle name="20% - Accent2 3 4 2 2 3 3" xfId="2933" xr:uid="{00000000-0005-0000-0000-0000180B0000}"/>
    <cellStyle name="20% - Accent2 3 4 2 2 3 4" xfId="2934" xr:uid="{00000000-0005-0000-0000-0000190B0000}"/>
    <cellStyle name="20% - Accent2 3 4 2 2 4" xfId="2935" xr:uid="{00000000-0005-0000-0000-00001A0B0000}"/>
    <cellStyle name="20% - Accent2 3 4 2 2 4 2" xfId="2936" xr:uid="{00000000-0005-0000-0000-00001B0B0000}"/>
    <cellStyle name="20% - Accent2 3 4 2 2 4 3" xfId="2937" xr:uid="{00000000-0005-0000-0000-00001C0B0000}"/>
    <cellStyle name="20% - Accent2 3 4 2 2 5" xfId="2938" xr:uid="{00000000-0005-0000-0000-00001D0B0000}"/>
    <cellStyle name="20% - Accent2 3 4 2 2 6" xfId="2939" xr:uid="{00000000-0005-0000-0000-00001E0B0000}"/>
    <cellStyle name="20% - Accent2 3 4 2 2 7" xfId="2940" xr:uid="{00000000-0005-0000-0000-00001F0B0000}"/>
    <cellStyle name="20% - Accent2 3 4 2 3" xfId="2941" xr:uid="{00000000-0005-0000-0000-0000200B0000}"/>
    <cellStyle name="20% - Accent2 3 4 2 3 2" xfId="2942" xr:uid="{00000000-0005-0000-0000-0000210B0000}"/>
    <cellStyle name="20% - Accent2 3 4 2 3 2 2" xfId="2943" xr:uid="{00000000-0005-0000-0000-0000220B0000}"/>
    <cellStyle name="20% - Accent2 3 4 2 3 2 2 2" xfId="2944" xr:uid="{00000000-0005-0000-0000-0000230B0000}"/>
    <cellStyle name="20% - Accent2 3 4 2 3 2 2 3" xfId="2945" xr:uid="{00000000-0005-0000-0000-0000240B0000}"/>
    <cellStyle name="20% - Accent2 3 4 2 3 2 3" xfId="2946" xr:uid="{00000000-0005-0000-0000-0000250B0000}"/>
    <cellStyle name="20% - Accent2 3 4 2 3 2 4" xfId="2947" xr:uid="{00000000-0005-0000-0000-0000260B0000}"/>
    <cellStyle name="20% - Accent2 3 4 2 3 3" xfId="2948" xr:uid="{00000000-0005-0000-0000-0000270B0000}"/>
    <cellStyle name="20% - Accent2 3 4 2 3 3 2" xfId="2949" xr:uid="{00000000-0005-0000-0000-0000280B0000}"/>
    <cellStyle name="20% - Accent2 3 4 2 3 3 3" xfId="2950" xr:uid="{00000000-0005-0000-0000-0000290B0000}"/>
    <cellStyle name="20% - Accent2 3 4 2 3 4" xfId="2951" xr:uid="{00000000-0005-0000-0000-00002A0B0000}"/>
    <cellStyle name="20% - Accent2 3 4 2 3 5" xfId="2952" xr:uid="{00000000-0005-0000-0000-00002B0B0000}"/>
    <cellStyle name="20% - Accent2 3 4 2 3 6" xfId="2953" xr:uid="{00000000-0005-0000-0000-00002C0B0000}"/>
    <cellStyle name="20% - Accent2 3 4 2 4" xfId="2954" xr:uid="{00000000-0005-0000-0000-00002D0B0000}"/>
    <cellStyle name="20% - Accent2 3 4 2 4 2" xfId="2955" xr:uid="{00000000-0005-0000-0000-00002E0B0000}"/>
    <cellStyle name="20% - Accent2 3 4 2 4 2 2" xfId="2956" xr:uid="{00000000-0005-0000-0000-00002F0B0000}"/>
    <cellStyle name="20% - Accent2 3 4 2 4 2 3" xfId="2957" xr:uid="{00000000-0005-0000-0000-0000300B0000}"/>
    <cellStyle name="20% - Accent2 3 4 2 4 3" xfId="2958" xr:uid="{00000000-0005-0000-0000-0000310B0000}"/>
    <cellStyle name="20% - Accent2 3 4 2 4 4" xfId="2959" xr:uid="{00000000-0005-0000-0000-0000320B0000}"/>
    <cellStyle name="20% - Accent2 3 4 2 5" xfId="2960" xr:uid="{00000000-0005-0000-0000-0000330B0000}"/>
    <cellStyle name="20% - Accent2 3 4 2 5 2" xfId="2961" xr:uid="{00000000-0005-0000-0000-0000340B0000}"/>
    <cellStyle name="20% - Accent2 3 4 2 5 3" xfId="2962" xr:uid="{00000000-0005-0000-0000-0000350B0000}"/>
    <cellStyle name="20% - Accent2 3 4 2 6" xfId="2963" xr:uid="{00000000-0005-0000-0000-0000360B0000}"/>
    <cellStyle name="20% - Accent2 3 4 2 7" xfId="2964" xr:uid="{00000000-0005-0000-0000-0000370B0000}"/>
    <cellStyle name="20% - Accent2 3 4 2 8" xfId="2965" xr:uid="{00000000-0005-0000-0000-0000380B0000}"/>
    <cellStyle name="20% - Accent2 3 4 3" xfId="2966" xr:uid="{00000000-0005-0000-0000-0000390B0000}"/>
    <cellStyle name="20% - Accent2 3 4 3 2" xfId="2967" xr:uid="{00000000-0005-0000-0000-00003A0B0000}"/>
    <cellStyle name="20% - Accent2 3 4 3 2 2" xfId="2968" xr:uid="{00000000-0005-0000-0000-00003B0B0000}"/>
    <cellStyle name="20% - Accent2 3 4 3 2 2 2" xfId="2969" xr:uid="{00000000-0005-0000-0000-00003C0B0000}"/>
    <cellStyle name="20% - Accent2 3 4 3 2 2 2 2" xfId="2970" xr:uid="{00000000-0005-0000-0000-00003D0B0000}"/>
    <cellStyle name="20% - Accent2 3 4 3 2 2 2 3" xfId="2971" xr:uid="{00000000-0005-0000-0000-00003E0B0000}"/>
    <cellStyle name="20% - Accent2 3 4 3 2 2 3" xfId="2972" xr:uid="{00000000-0005-0000-0000-00003F0B0000}"/>
    <cellStyle name="20% - Accent2 3 4 3 2 2 4" xfId="2973" xr:uid="{00000000-0005-0000-0000-0000400B0000}"/>
    <cellStyle name="20% - Accent2 3 4 3 2 3" xfId="2974" xr:uid="{00000000-0005-0000-0000-0000410B0000}"/>
    <cellStyle name="20% - Accent2 3 4 3 2 3 2" xfId="2975" xr:uid="{00000000-0005-0000-0000-0000420B0000}"/>
    <cellStyle name="20% - Accent2 3 4 3 2 3 3" xfId="2976" xr:uid="{00000000-0005-0000-0000-0000430B0000}"/>
    <cellStyle name="20% - Accent2 3 4 3 2 4" xfId="2977" xr:uid="{00000000-0005-0000-0000-0000440B0000}"/>
    <cellStyle name="20% - Accent2 3 4 3 2 5" xfId="2978" xr:uid="{00000000-0005-0000-0000-0000450B0000}"/>
    <cellStyle name="20% - Accent2 3 4 3 2 6" xfId="2979" xr:uid="{00000000-0005-0000-0000-0000460B0000}"/>
    <cellStyle name="20% - Accent2 3 4 3 3" xfId="2980" xr:uid="{00000000-0005-0000-0000-0000470B0000}"/>
    <cellStyle name="20% - Accent2 3 4 3 3 2" xfId="2981" xr:uid="{00000000-0005-0000-0000-0000480B0000}"/>
    <cellStyle name="20% - Accent2 3 4 3 3 2 2" xfId="2982" xr:uid="{00000000-0005-0000-0000-0000490B0000}"/>
    <cellStyle name="20% - Accent2 3 4 3 3 2 3" xfId="2983" xr:uid="{00000000-0005-0000-0000-00004A0B0000}"/>
    <cellStyle name="20% - Accent2 3 4 3 3 3" xfId="2984" xr:uid="{00000000-0005-0000-0000-00004B0B0000}"/>
    <cellStyle name="20% - Accent2 3 4 3 3 4" xfId="2985" xr:uid="{00000000-0005-0000-0000-00004C0B0000}"/>
    <cellStyle name="20% - Accent2 3 4 3 4" xfId="2986" xr:uid="{00000000-0005-0000-0000-00004D0B0000}"/>
    <cellStyle name="20% - Accent2 3 4 3 4 2" xfId="2987" xr:uid="{00000000-0005-0000-0000-00004E0B0000}"/>
    <cellStyle name="20% - Accent2 3 4 3 4 3" xfId="2988" xr:uid="{00000000-0005-0000-0000-00004F0B0000}"/>
    <cellStyle name="20% - Accent2 3 4 3 5" xfId="2989" xr:uid="{00000000-0005-0000-0000-0000500B0000}"/>
    <cellStyle name="20% - Accent2 3 4 3 6" xfId="2990" xr:uid="{00000000-0005-0000-0000-0000510B0000}"/>
    <cellStyle name="20% - Accent2 3 4 3 7" xfId="2991" xr:uid="{00000000-0005-0000-0000-0000520B0000}"/>
    <cellStyle name="20% - Accent2 3 4 4" xfId="2992" xr:uid="{00000000-0005-0000-0000-0000530B0000}"/>
    <cellStyle name="20% - Accent2 3 4 4 2" xfId="2993" xr:uid="{00000000-0005-0000-0000-0000540B0000}"/>
    <cellStyle name="20% - Accent2 3 4 4 2 2" xfId="2994" xr:uid="{00000000-0005-0000-0000-0000550B0000}"/>
    <cellStyle name="20% - Accent2 3 4 4 2 2 2" xfId="2995" xr:uid="{00000000-0005-0000-0000-0000560B0000}"/>
    <cellStyle name="20% - Accent2 3 4 4 2 2 3" xfId="2996" xr:uid="{00000000-0005-0000-0000-0000570B0000}"/>
    <cellStyle name="20% - Accent2 3 4 4 2 3" xfId="2997" xr:uid="{00000000-0005-0000-0000-0000580B0000}"/>
    <cellStyle name="20% - Accent2 3 4 4 2 4" xfId="2998" xr:uid="{00000000-0005-0000-0000-0000590B0000}"/>
    <cellStyle name="20% - Accent2 3 4 4 3" xfId="2999" xr:uid="{00000000-0005-0000-0000-00005A0B0000}"/>
    <cellStyle name="20% - Accent2 3 4 4 3 2" xfId="3000" xr:uid="{00000000-0005-0000-0000-00005B0B0000}"/>
    <cellStyle name="20% - Accent2 3 4 4 3 3" xfId="3001" xr:uid="{00000000-0005-0000-0000-00005C0B0000}"/>
    <cellStyle name="20% - Accent2 3 4 4 4" xfId="3002" xr:uid="{00000000-0005-0000-0000-00005D0B0000}"/>
    <cellStyle name="20% - Accent2 3 4 4 5" xfId="3003" xr:uid="{00000000-0005-0000-0000-00005E0B0000}"/>
    <cellStyle name="20% - Accent2 3 4 4 6" xfId="3004" xr:uid="{00000000-0005-0000-0000-00005F0B0000}"/>
    <cellStyle name="20% - Accent2 3 4 5" xfId="3005" xr:uid="{00000000-0005-0000-0000-0000600B0000}"/>
    <cellStyle name="20% - Accent2 3 4 5 2" xfId="3006" xr:uid="{00000000-0005-0000-0000-0000610B0000}"/>
    <cellStyle name="20% - Accent2 3 4 5 2 2" xfId="3007" xr:uid="{00000000-0005-0000-0000-0000620B0000}"/>
    <cellStyle name="20% - Accent2 3 4 5 2 3" xfId="3008" xr:uid="{00000000-0005-0000-0000-0000630B0000}"/>
    <cellStyle name="20% - Accent2 3 4 5 3" xfId="3009" xr:uid="{00000000-0005-0000-0000-0000640B0000}"/>
    <cellStyle name="20% - Accent2 3 4 5 4" xfId="3010" xr:uid="{00000000-0005-0000-0000-0000650B0000}"/>
    <cellStyle name="20% - Accent2 3 4 6" xfId="3011" xr:uid="{00000000-0005-0000-0000-0000660B0000}"/>
    <cellStyle name="20% - Accent2 3 4 6 2" xfId="3012" xr:uid="{00000000-0005-0000-0000-0000670B0000}"/>
    <cellStyle name="20% - Accent2 3 4 6 3" xfId="3013" xr:uid="{00000000-0005-0000-0000-0000680B0000}"/>
    <cellStyle name="20% - Accent2 3 4 7" xfId="3014" xr:uid="{00000000-0005-0000-0000-0000690B0000}"/>
    <cellStyle name="20% - Accent2 3 4 8" xfId="3015" xr:uid="{00000000-0005-0000-0000-00006A0B0000}"/>
    <cellStyle name="20% - Accent2 3 4 9" xfId="3016" xr:uid="{00000000-0005-0000-0000-00006B0B0000}"/>
    <cellStyle name="20% - Accent2 3 5" xfId="3017" xr:uid="{00000000-0005-0000-0000-00006C0B0000}"/>
    <cellStyle name="20% - Accent2 3 5 2" xfId="3018" xr:uid="{00000000-0005-0000-0000-00006D0B0000}"/>
    <cellStyle name="20% - Accent2 3 5 2 2" xfId="3019" xr:uid="{00000000-0005-0000-0000-00006E0B0000}"/>
    <cellStyle name="20% - Accent2 3 5 2 2 2" xfId="3020" xr:uid="{00000000-0005-0000-0000-00006F0B0000}"/>
    <cellStyle name="20% - Accent2 3 5 2 2 2 2" xfId="3021" xr:uid="{00000000-0005-0000-0000-0000700B0000}"/>
    <cellStyle name="20% - Accent2 3 5 2 2 2 2 2" xfId="3022" xr:uid="{00000000-0005-0000-0000-0000710B0000}"/>
    <cellStyle name="20% - Accent2 3 5 2 2 2 2 2 2" xfId="3023" xr:uid="{00000000-0005-0000-0000-0000720B0000}"/>
    <cellStyle name="20% - Accent2 3 5 2 2 2 2 2 3" xfId="3024" xr:uid="{00000000-0005-0000-0000-0000730B0000}"/>
    <cellStyle name="20% - Accent2 3 5 2 2 2 2 3" xfId="3025" xr:uid="{00000000-0005-0000-0000-0000740B0000}"/>
    <cellStyle name="20% - Accent2 3 5 2 2 2 2 4" xfId="3026" xr:uid="{00000000-0005-0000-0000-0000750B0000}"/>
    <cellStyle name="20% - Accent2 3 5 2 2 2 3" xfId="3027" xr:uid="{00000000-0005-0000-0000-0000760B0000}"/>
    <cellStyle name="20% - Accent2 3 5 2 2 2 3 2" xfId="3028" xr:uid="{00000000-0005-0000-0000-0000770B0000}"/>
    <cellStyle name="20% - Accent2 3 5 2 2 2 3 3" xfId="3029" xr:uid="{00000000-0005-0000-0000-0000780B0000}"/>
    <cellStyle name="20% - Accent2 3 5 2 2 2 4" xfId="3030" xr:uid="{00000000-0005-0000-0000-0000790B0000}"/>
    <cellStyle name="20% - Accent2 3 5 2 2 2 5" xfId="3031" xr:uid="{00000000-0005-0000-0000-00007A0B0000}"/>
    <cellStyle name="20% - Accent2 3 5 2 2 2 6" xfId="3032" xr:uid="{00000000-0005-0000-0000-00007B0B0000}"/>
    <cellStyle name="20% - Accent2 3 5 2 2 3" xfId="3033" xr:uid="{00000000-0005-0000-0000-00007C0B0000}"/>
    <cellStyle name="20% - Accent2 3 5 2 2 3 2" xfId="3034" xr:uid="{00000000-0005-0000-0000-00007D0B0000}"/>
    <cellStyle name="20% - Accent2 3 5 2 2 3 2 2" xfId="3035" xr:uid="{00000000-0005-0000-0000-00007E0B0000}"/>
    <cellStyle name="20% - Accent2 3 5 2 2 3 2 3" xfId="3036" xr:uid="{00000000-0005-0000-0000-00007F0B0000}"/>
    <cellStyle name="20% - Accent2 3 5 2 2 3 3" xfId="3037" xr:uid="{00000000-0005-0000-0000-0000800B0000}"/>
    <cellStyle name="20% - Accent2 3 5 2 2 3 4" xfId="3038" xr:uid="{00000000-0005-0000-0000-0000810B0000}"/>
    <cellStyle name="20% - Accent2 3 5 2 2 4" xfId="3039" xr:uid="{00000000-0005-0000-0000-0000820B0000}"/>
    <cellStyle name="20% - Accent2 3 5 2 2 4 2" xfId="3040" xr:uid="{00000000-0005-0000-0000-0000830B0000}"/>
    <cellStyle name="20% - Accent2 3 5 2 2 4 3" xfId="3041" xr:uid="{00000000-0005-0000-0000-0000840B0000}"/>
    <cellStyle name="20% - Accent2 3 5 2 2 5" xfId="3042" xr:uid="{00000000-0005-0000-0000-0000850B0000}"/>
    <cellStyle name="20% - Accent2 3 5 2 2 6" xfId="3043" xr:uid="{00000000-0005-0000-0000-0000860B0000}"/>
    <cellStyle name="20% - Accent2 3 5 2 2 7" xfId="3044" xr:uid="{00000000-0005-0000-0000-0000870B0000}"/>
    <cellStyle name="20% - Accent2 3 5 2 3" xfId="3045" xr:uid="{00000000-0005-0000-0000-0000880B0000}"/>
    <cellStyle name="20% - Accent2 3 5 2 3 2" xfId="3046" xr:uid="{00000000-0005-0000-0000-0000890B0000}"/>
    <cellStyle name="20% - Accent2 3 5 2 3 2 2" xfId="3047" xr:uid="{00000000-0005-0000-0000-00008A0B0000}"/>
    <cellStyle name="20% - Accent2 3 5 2 3 2 2 2" xfId="3048" xr:uid="{00000000-0005-0000-0000-00008B0B0000}"/>
    <cellStyle name="20% - Accent2 3 5 2 3 2 2 3" xfId="3049" xr:uid="{00000000-0005-0000-0000-00008C0B0000}"/>
    <cellStyle name="20% - Accent2 3 5 2 3 2 3" xfId="3050" xr:uid="{00000000-0005-0000-0000-00008D0B0000}"/>
    <cellStyle name="20% - Accent2 3 5 2 3 2 4" xfId="3051" xr:uid="{00000000-0005-0000-0000-00008E0B0000}"/>
    <cellStyle name="20% - Accent2 3 5 2 3 3" xfId="3052" xr:uid="{00000000-0005-0000-0000-00008F0B0000}"/>
    <cellStyle name="20% - Accent2 3 5 2 3 3 2" xfId="3053" xr:uid="{00000000-0005-0000-0000-0000900B0000}"/>
    <cellStyle name="20% - Accent2 3 5 2 3 3 3" xfId="3054" xr:uid="{00000000-0005-0000-0000-0000910B0000}"/>
    <cellStyle name="20% - Accent2 3 5 2 3 4" xfId="3055" xr:uid="{00000000-0005-0000-0000-0000920B0000}"/>
    <cellStyle name="20% - Accent2 3 5 2 3 5" xfId="3056" xr:uid="{00000000-0005-0000-0000-0000930B0000}"/>
    <cellStyle name="20% - Accent2 3 5 2 3 6" xfId="3057" xr:uid="{00000000-0005-0000-0000-0000940B0000}"/>
    <cellStyle name="20% - Accent2 3 5 2 4" xfId="3058" xr:uid="{00000000-0005-0000-0000-0000950B0000}"/>
    <cellStyle name="20% - Accent2 3 5 2 4 2" xfId="3059" xr:uid="{00000000-0005-0000-0000-0000960B0000}"/>
    <cellStyle name="20% - Accent2 3 5 2 4 2 2" xfId="3060" xr:uid="{00000000-0005-0000-0000-0000970B0000}"/>
    <cellStyle name="20% - Accent2 3 5 2 4 2 3" xfId="3061" xr:uid="{00000000-0005-0000-0000-0000980B0000}"/>
    <cellStyle name="20% - Accent2 3 5 2 4 3" xfId="3062" xr:uid="{00000000-0005-0000-0000-0000990B0000}"/>
    <cellStyle name="20% - Accent2 3 5 2 4 4" xfId="3063" xr:uid="{00000000-0005-0000-0000-00009A0B0000}"/>
    <cellStyle name="20% - Accent2 3 5 2 5" xfId="3064" xr:uid="{00000000-0005-0000-0000-00009B0B0000}"/>
    <cellStyle name="20% - Accent2 3 5 2 5 2" xfId="3065" xr:uid="{00000000-0005-0000-0000-00009C0B0000}"/>
    <cellStyle name="20% - Accent2 3 5 2 5 3" xfId="3066" xr:uid="{00000000-0005-0000-0000-00009D0B0000}"/>
    <cellStyle name="20% - Accent2 3 5 2 6" xfId="3067" xr:uid="{00000000-0005-0000-0000-00009E0B0000}"/>
    <cellStyle name="20% - Accent2 3 5 2 7" xfId="3068" xr:uid="{00000000-0005-0000-0000-00009F0B0000}"/>
    <cellStyle name="20% - Accent2 3 5 2 8" xfId="3069" xr:uid="{00000000-0005-0000-0000-0000A00B0000}"/>
    <cellStyle name="20% - Accent2 3 5 3" xfId="3070" xr:uid="{00000000-0005-0000-0000-0000A10B0000}"/>
    <cellStyle name="20% - Accent2 3 5 3 2" xfId="3071" xr:uid="{00000000-0005-0000-0000-0000A20B0000}"/>
    <cellStyle name="20% - Accent2 3 5 3 2 2" xfId="3072" xr:uid="{00000000-0005-0000-0000-0000A30B0000}"/>
    <cellStyle name="20% - Accent2 3 5 3 2 2 2" xfId="3073" xr:uid="{00000000-0005-0000-0000-0000A40B0000}"/>
    <cellStyle name="20% - Accent2 3 5 3 2 2 2 2" xfId="3074" xr:uid="{00000000-0005-0000-0000-0000A50B0000}"/>
    <cellStyle name="20% - Accent2 3 5 3 2 2 2 3" xfId="3075" xr:uid="{00000000-0005-0000-0000-0000A60B0000}"/>
    <cellStyle name="20% - Accent2 3 5 3 2 2 3" xfId="3076" xr:uid="{00000000-0005-0000-0000-0000A70B0000}"/>
    <cellStyle name="20% - Accent2 3 5 3 2 2 4" xfId="3077" xr:uid="{00000000-0005-0000-0000-0000A80B0000}"/>
    <cellStyle name="20% - Accent2 3 5 3 2 3" xfId="3078" xr:uid="{00000000-0005-0000-0000-0000A90B0000}"/>
    <cellStyle name="20% - Accent2 3 5 3 2 3 2" xfId="3079" xr:uid="{00000000-0005-0000-0000-0000AA0B0000}"/>
    <cellStyle name="20% - Accent2 3 5 3 2 3 3" xfId="3080" xr:uid="{00000000-0005-0000-0000-0000AB0B0000}"/>
    <cellStyle name="20% - Accent2 3 5 3 2 4" xfId="3081" xr:uid="{00000000-0005-0000-0000-0000AC0B0000}"/>
    <cellStyle name="20% - Accent2 3 5 3 2 5" xfId="3082" xr:uid="{00000000-0005-0000-0000-0000AD0B0000}"/>
    <cellStyle name="20% - Accent2 3 5 3 2 6" xfId="3083" xr:uid="{00000000-0005-0000-0000-0000AE0B0000}"/>
    <cellStyle name="20% - Accent2 3 5 3 3" xfId="3084" xr:uid="{00000000-0005-0000-0000-0000AF0B0000}"/>
    <cellStyle name="20% - Accent2 3 5 3 3 2" xfId="3085" xr:uid="{00000000-0005-0000-0000-0000B00B0000}"/>
    <cellStyle name="20% - Accent2 3 5 3 3 2 2" xfId="3086" xr:uid="{00000000-0005-0000-0000-0000B10B0000}"/>
    <cellStyle name="20% - Accent2 3 5 3 3 2 3" xfId="3087" xr:uid="{00000000-0005-0000-0000-0000B20B0000}"/>
    <cellStyle name="20% - Accent2 3 5 3 3 3" xfId="3088" xr:uid="{00000000-0005-0000-0000-0000B30B0000}"/>
    <cellStyle name="20% - Accent2 3 5 3 3 4" xfId="3089" xr:uid="{00000000-0005-0000-0000-0000B40B0000}"/>
    <cellStyle name="20% - Accent2 3 5 3 4" xfId="3090" xr:uid="{00000000-0005-0000-0000-0000B50B0000}"/>
    <cellStyle name="20% - Accent2 3 5 3 4 2" xfId="3091" xr:uid="{00000000-0005-0000-0000-0000B60B0000}"/>
    <cellStyle name="20% - Accent2 3 5 3 4 3" xfId="3092" xr:uid="{00000000-0005-0000-0000-0000B70B0000}"/>
    <cellStyle name="20% - Accent2 3 5 3 5" xfId="3093" xr:uid="{00000000-0005-0000-0000-0000B80B0000}"/>
    <cellStyle name="20% - Accent2 3 5 3 6" xfId="3094" xr:uid="{00000000-0005-0000-0000-0000B90B0000}"/>
    <cellStyle name="20% - Accent2 3 5 3 7" xfId="3095" xr:uid="{00000000-0005-0000-0000-0000BA0B0000}"/>
    <cellStyle name="20% - Accent2 3 5 4" xfId="3096" xr:uid="{00000000-0005-0000-0000-0000BB0B0000}"/>
    <cellStyle name="20% - Accent2 3 5 4 2" xfId="3097" xr:uid="{00000000-0005-0000-0000-0000BC0B0000}"/>
    <cellStyle name="20% - Accent2 3 5 4 2 2" xfId="3098" xr:uid="{00000000-0005-0000-0000-0000BD0B0000}"/>
    <cellStyle name="20% - Accent2 3 5 4 2 2 2" xfId="3099" xr:uid="{00000000-0005-0000-0000-0000BE0B0000}"/>
    <cellStyle name="20% - Accent2 3 5 4 2 2 3" xfId="3100" xr:uid="{00000000-0005-0000-0000-0000BF0B0000}"/>
    <cellStyle name="20% - Accent2 3 5 4 2 3" xfId="3101" xr:uid="{00000000-0005-0000-0000-0000C00B0000}"/>
    <cellStyle name="20% - Accent2 3 5 4 2 4" xfId="3102" xr:uid="{00000000-0005-0000-0000-0000C10B0000}"/>
    <cellStyle name="20% - Accent2 3 5 4 3" xfId="3103" xr:uid="{00000000-0005-0000-0000-0000C20B0000}"/>
    <cellStyle name="20% - Accent2 3 5 4 3 2" xfId="3104" xr:uid="{00000000-0005-0000-0000-0000C30B0000}"/>
    <cellStyle name="20% - Accent2 3 5 4 3 3" xfId="3105" xr:uid="{00000000-0005-0000-0000-0000C40B0000}"/>
    <cellStyle name="20% - Accent2 3 5 4 4" xfId="3106" xr:uid="{00000000-0005-0000-0000-0000C50B0000}"/>
    <cellStyle name="20% - Accent2 3 5 4 5" xfId="3107" xr:uid="{00000000-0005-0000-0000-0000C60B0000}"/>
    <cellStyle name="20% - Accent2 3 5 4 6" xfId="3108" xr:uid="{00000000-0005-0000-0000-0000C70B0000}"/>
    <cellStyle name="20% - Accent2 3 5 5" xfId="3109" xr:uid="{00000000-0005-0000-0000-0000C80B0000}"/>
    <cellStyle name="20% - Accent2 3 5 5 2" xfId="3110" xr:uid="{00000000-0005-0000-0000-0000C90B0000}"/>
    <cellStyle name="20% - Accent2 3 5 5 2 2" xfId="3111" xr:uid="{00000000-0005-0000-0000-0000CA0B0000}"/>
    <cellStyle name="20% - Accent2 3 5 5 2 3" xfId="3112" xr:uid="{00000000-0005-0000-0000-0000CB0B0000}"/>
    <cellStyle name="20% - Accent2 3 5 5 3" xfId="3113" xr:uid="{00000000-0005-0000-0000-0000CC0B0000}"/>
    <cellStyle name="20% - Accent2 3 5 5 4" xfId="3114" xr:uid="{00000000-0005-0000-0000-0000CD0B0000}"/>
    <cellStyle name="20% - Accent2 3 5 6" xfId="3115" xr:uid="{00000000-0005-0000-0000-0000CE0B0000}"/>
    <cellStyle name="20% - Accent2 3 5 6 2" xfId="3116" xr:uid="{00000000-0005-0000-0000-0000CF0B0000}"/>
    <cellStyle name="20% - Accent2 3 5 6 3" xfId="3117" xr:uid="{00000000-0005-0000-0000-0000D00B0000}"/>
    <cellStyle name="20% - Accent2 3 5 7" xfId="3118" xr:uid="{00000000-0005-0000-0000-0000D10B0000}"/>
    <cellStyle name="20% - Accent2 3 5 8" xfId="3119" xr:uid="{00000000-0005-0000-0000-0000D20B0000}"/>
    <cellStyle name="20% - Accent2 3 5 9" xfId="3120" xr:uid="{00000000-0005-0000-0000-0000D30B0000}"/>
    <cellStyle name="20% - Accent2 3 6" xfId="3121" xr:uid="{00000000-0005-0000-0000-0000D40B0000}"/>
    <cellStyle name="20% - Accent2 3 6 2" xfId="3122" xr:uid="{00000000-0005-0000-0000-0000D50B0000}"/>
    <cellStyle name="20% - Accent2 3 6 2 2" xfId="3123" xr:uid="{00000000-0005-0000-0000-0000D60B0000}"/>
    <cellStyle name="20% - Accent2 3 6 2 2 2" xfId="3124" xr:uid="{00000000-0005-0000-0000-0000D70B0000}"/>
    <cellStyle name="20% - Accent2 3 6 2 2 2 2" xfId="3125" xr:uid="{00000000-0005-0000-0000-0000D80B0000}"/>
    <cellStyle name="20% - Accent2 3 6 2 2 2 2 2" xfId="3126" xr:uid="{00000000-0005-0000-0000-0000D90B0000}"/>
    <cellStyle name="20% - Accent2 3 6 2 2 2 2 3" xfId="3127" xr:uid="{00000000-0005-0000-0000-0000DA0B0000}"/>
    <cellStyle name="20% - Accent2 3 6 2 2 2 3" xfId="3128" xr:uid="{00000000-0005-0000-0000-0000DB0B0000}"/>
    <cellStyle name="20% - Accent2 3 6 2 2 2 4" xfId="3129" xr:uid="{00000000-0005-0000-0000-0000DC0B0000}"/>
    <cellStyle name="20% - Accent2 3 6 2 2 3" xfId="3130" xr:uid="{00000000-0005-0000-0000-0000DD0B0000}"/>
    <cellStyle name="20% - Accent2 3 6 2 2 3 2" xfId="3131" xr:uid="{00000000-0005-0000-0000-0000DE0B0000}"/>
    <cellStyle name="20% - Accent2 3 6 2 2 3 3" xfId="3132" xr:uid="{00000000-0005-0000-0000-0000DF0B0000}"/>
    <cellStyle name="20% - Accent2 3 6 2 2 4" xfId="3133" xr:uid="{00000000-0005-0000-0000-0000E00B0000}"/>
    <cellStyle name="20% - Accent2 3 6 2 2 5" xfId="3134" xr:uid="{00000000-0005-0000-0000-0000E10B0000}"/>
    <cellStyle name="20% - Accent2 3 6 2 2 6" xfId="3135" xr:uid="{00000000-0005-0000-0000-0000E20B0000}"/>
    <cellStyle name="20% - Accent2 3 6 2 3" xfId="3136" xr:uid="{00000000-0005-0000-0000-0000E30B0000}"/>
    <cellStyle name="20% - Accent2 3 6 2 3 2" xfId="3137" xr:uid="{00000000-0005-0000-0000-0000E40B0000}"/>
    <cellStyle name="20% - Accent2 3 6 2 3 2 2" xfId="3138" xr:uid="{00000000-0005-0000-0000-0000E50B0000}"/>
    <cellStyle name="20% - Accent2 3 6 2 3 2 3" xfId="3139" xr:uid="{00000000-0005-0000-0000-0000E60B0000}"/>
    <cellStyle name="20% - Accent2 3 6 2 3 3" xfId="3140" xr:uid="{00000000-0005-0000-0000-0000E70B0000}"/>
    <cellStyle name="20% - Accent2 3 6 2 3 4" xfId="3141" xr:uid="{00000000-0005-0000-0000-0000E80B0000}"/>
    <cellStyle name="20% - Accent2 3 6 2 4" xfId="3142" xr:uid="{00000000-0005-0000-0000-0000E90B0000}"/>
    <cellStyle name="20% - Accent2 3 6 2 4 2" xfId="3143" xr:uid="{00000000-0005-0000-0000-0000EA0B0000}"/>
    <cellStyle name="20% - Accent2 3 6 2 4 3" xfId="3144" xr:uid="{00000000-0005-0000-0000-0000EB0B0000}"/>
    <cellStyle name="20% - Accent2 3 6 2 5" xfId="3145" xr:uid="{00000000-0005-0000-0000-0000EC0B0000}"/>
    <cellStyle name="20% - Accent2 3 6 2 6" xfId="3146" xr:uid="{00000000-0005-0000-0000-0000ED0B0000}"/>
    <cellStyle name="20% - Accent2 3 6 2 7" xfId="3147" xr:uid="{00000000-0005-0000-0000-0000EE0B0000}"/>
    <cellStyle name="20% - Accent2 3 6 3" xfId="3148" xr:uid="{00000000-0005-0000-0000-0000EF0B0000}"/>
    <cellStyle name="20% - Accent2 3 6 3 2" xfId="3149" xr:uid="{00000000-0005-0000-0000-0000F00B0000}"/>
    <cellStyle name="20% - Accent2 3 6 3 2 2" xfId="3150" xr:uid="{00000000-0005-0000-0000-0000F10B0000}"/>
    <cellStyle name="20% - Accent2 3 6 3 2 2 2" xfId="3151" xr:uid="{00000000-0005-0000-0000-0000F20B0000}"/>
    <cellStyle name="20% - Accent2 3 6 3 2 2 3" xfId="3152" xr:uid="{00000000-0005-0000-0000-0000F30B0000}"/>
    <cellStyle name="20% - Accent2 3 6 3 2 3" xfId="3153" xr:uid="{00000000-0005-0000-0000-0000F40B0000}"/>
    <cellStyle name="20% - Accent2 3 6 3 2 4" xfId="3154" xr:uid="{00000000-0005-0000-0000-0000F50B0000}"/>
    <cellStyle name="20% - Accent2 3 6 3 3" xfId="3155" xr:uid="{00000000-0005-0000-0000-0000F60B0000}"/>
    <cellStyle name="20% - Accent2 3 6 3 3 2" xfId="3156" xr:uid="{00000000-0005-0000-0000-0000F70B0000}"/>
    <cellStyle name="20% - Accent2 3 6 3 3 3" xfId="3157" xr:uid="{00000000-0005-0000-0000-0000F80B0000}"/>
    <cellStyle name="20% - Accent2 3 6 3 4" xfId="3158" xr:uid="{00000000-0005-0000-0000-0000F90B0000}"/>
    <cellStyle name="20% - Accent2 3 6 3 5" xfId="3159" xr:uid="{00000000-0005-0000-0000-0000FA0B0000}"/>
    <cellStyle name="20% - Accent2 3 6 3 6" xfId="3160" xr:uid="{00000000-0005-0000-0000-0000FB0B0000}"/>
    <cellStyle name="20% - Accent2 3 6 4" xfId="3161" xr:uid="{00000000-0005-0000-0000-0000FC0B0000}"/>
    <cellStyle name="20% - Accent2 3 6 4 2" xfId="3162" xr:uid="{00000000-0005-0000-0000-0000FD0B0000}"/>
    <cellStyle name="20% - Accent2 3 6 4 2 2" xfId="3163" xr:uid="{00000000-0005-0000-0000-0000FE0B0000}"/>
    <cellStyle name="20% - Accent2 3 6 4 2 3" xfId="3164" xr:uid="{00000000-0005-0000-0000-0000FF0B0000}"/>
    <cellStyle name="20% - Accent2 3 6 4 3" xfId="3165" xr:uid="{00000000-0005-0000-0000-0000000C0000}"/>
    <cellStyle name="20% - Accent2 3 6 4 4" xfId="3166" xr:uid="{00000000-0005-0000-0000-0000010C0000}"/>
    <cellStyle name="20% - Accent2 3 6 5" xfId="3167" xr:uid="{00000000-0005-0000-0000-0000020C0000}"/>
    <cellStyle name="20% - Accent2 3 6 5 2" xfId="3168" xr:uid="{00000000-0005-0000-0000-0000030C0000}"/>
    <cellStyle name="20% - Accent2 3 6 5 3" xfId="3169" xr:uid="{00000000-0005-0000-0000-0000040C0000}"/>
    <cellStyle name="20% - Accent2 3 6 6" xfId="3170" xr:uid="{00000000-0005-0000-0000-0000050C0000}"/>
    <cellStyle name="20% - Accent2 3 6 7" xfId="3171" xr:uid="{00000000-0005-0000-0000-0000060C0000}"/>
    <cellStyle name="20% - Accent2 3 6 8" xfId="3172" xr:uid="{00000000-0005-0000-0000-0000070C0000}"/>
    <cellStyle name="20% - Accent2 3 7" xfId="3173" xr:uid="{00000000-0005-0000-0000-0000080C0000}"/>
    <cellStyle name="20% - Accent2 3 7 2" xfId="3174" xr:uid="{00000000-0005-0000-0000-0000090C0000}"/>
    <cellStyle name="20% - Accent2 3 7 2 2" xfId="3175" xr:uid="{00000000-0005-0000-0000-00000A0C0000}"/>
    <cellStyle name="20% - Accent2 3 7 2 2 2" xfId="3176" xr:uid="{00000000-0005-0000-0000-00000B0C0000}"/>
    <cellStyle name="20% - Accent2 3 7 2 2 2 2" xfId="3177" xr:uid="{00000000-0005-0000-0000-00000C0C0000}"/>
    <cellStyle name="20% - Accent2 3 7 2 2 2 2 2" xfId="3178" xr:uid="{00000000-0005-0000-0000-00000D0C0000}"/>
    <cellStyle name="20% - Accent2 3 7 2 2 2 2 3" xfId="3179" xr:uid="{00000000-0005-0000-0000-00000E0C0000}"/>
    <cellStyle name="20% - Accent2 3 7 2 2 2 3" xfId="3180" xr:uid="{00000000-0005-0000-0000-00000F0C0000}"/>
    <cellStyle name="20% - Accent2 3 7 2 2 2 4" xfId="3181" xr:uid="{00000000-0005-0000-0000-0000100C0000}"/>
    <cellStyle name="20% - Accent2 3 7 2 2 3" xfId="3182" xr:uid="{00000000-0005-0000-0000-0000110C0000}"/>
    <cellStyle name="20% - Accent2 3 7 2 2 3 2" xfId="3183" xr:uid="{00000000-0005-0000-0000-0000120C0000}"/>
    <cellStyle name="20% - Accent2 3 7 2 2 3 3" xfId="3184" xr:uid="{00000000-0005-0000-0000-0000130C0000}"/>
    <cellStyle name="20% - Accent2 3 7 2 2 4" xfId="3185" xr:uid="{00000000-0005-0000-0000-0000140C0000}"/>
    <cellStyle name="20% - Accent2 3 7 2 2 5" xfId="3186" xr:uid="{00000000-0005-0000-0000-0000150C0000}"/>
    <cellStyle name="20% - Accent2 3 7 2 2 6" xfId="3187" xr:uid="{00000000-0005-0000-0000-0000160C0000}"/>
    <cellStyle name="20% - Accent2 3 7 2 3" xfId="3188" xr:uid="{00000000-0005-0000-0000-0000170C0000}"/>
    <cellStyle name="20% - Accent2 3 7 2 3 2" xfId="3189" xr:uid="{00000000-0005-0000-0000-0000180C0000}"/>
    <cellStyle name="20% - Accent2 3 7 2 3 2 2" xfId="3190" xr:uid="{00000000-0005-0000-0000-0000190C0000}"/>
    <cellStyle name="20% - Accent2 3 7 2 3 2 3" xfId="3191" xr:uid="{00000000-0005-0000-0000-00001A0C0000}"/>
    <cellStyle name="20% - Accent2 3 7 2 3 3" xfId="3192" xr:uid="{00000000-0005-0000-0000-00001B0C0000}"/>
    <cellStyle name="20% - Accent2 3 7 2 3 4" xfId="3193" xr:uid="{00000000-0005-0000-0000-00001C0C0000}"/>
    <cellStyle name="20% - Accent2 3 7 2 4" xfId="3194" xr:uid="{00000000-0005-0000-0000-00001D0C0000}"/>
    <cellStyle name="20% - Accent2 3 7 2 4 2" xfId="3195" xr:uid="{00000000-0005-0000-0000-00001E0C0000}"/>
    <cellStyle name="20% - Accent2 3 7 2 4 3" xfId="3196" xr:uid="{00000000-0005-0000-0000-00001F0C0000}"/>
    <cellStyle name="20% - Accent2 3 7 2 5" xfId="3197" xr:uid="{00000000-0005-0000-0000-0000200C0000}"/>
    <cellStyle name="20% - Accent2 3 7 2 6" xfId="3198" xr:uid="{00000000-0005-0000-0000-0000210C0000}"/>
    <cellStyle name="20% - Accent2 3 7 2 7" xfId="3199" xr:uid="{00000000-0005-0000-0000-0000220C0000}"/>
    <cellStyle name="20% - Accent2 3 7 3" xfId="3200" xr:uid="{00000000-0005-0000-0000-0000230C0000}"/>
    <cellStyle name="20% - Accent2 3 7 3 2" xfId="3201" xr:uid="{00000000-0005-0000-0000-0000240C0000}"/>
    <cellStyle name="20% - Accent2 3 7 3 2 2" xfId="3202" xr:uid="{00000000-0005-0000-0000-0000250C0000}"/>
    <cellStyle name="20% - Accent2 3 7 3 2 2 2" xfId="3203" xr:uid="{00000000-0005-0000-0000-0000260C0000}"/>
    <cellStyle name="20% - Accent2 3 7 3 2 2 3" xfId="3204" xr:uid="{00000000-0005-0000-0000-0000270C0000}"/>
    <cellStyle name="20% - Accent2 3 7 3 2 3" xfId="3205" xr:uid="{00000000-0005-0000-0000-0000280C0000}"/>
    <cellStyle name="20% - Accent2 3 7 3 2 4" xfId="3206" xr:uid="{00000000-0005-0000-0000-0000290C0000}"/>
    <cellStyle name="20% - Accent2 3 7 3 3" xfId="3207" xr:uid="{00000000-0005-0000-0000-00002A0C0000}"/>
    <cellStyle name="20% - Accent2 3 7 3 3 2" xfId="3208" xr:uid="{00000000-0005-0000-0000-00002B0C0000}"/>
    <cellStyle name="20% - Accent2 3 7 3 3 3" xfId="3209" xr:uid="{00000000-0005-0000-0000-00002C0C0000}"/>
    <cellStyle name="20% - Accent2 3 7 3 4" xfId="3210" xr:uid="{00000000-0005-0000-0000-00002D0C0000}"/>
    <cellStyle name="20% - Accent2 3 7 3 5" xfId="3211" xr:uid="{00000000-0005-0000-0000-00002E0C0000}"/>
    <cellStyle name="20% - Accent2 3 7 3 6" xfId="3212" xr:uid="{00000000-0005-0000-0000-00002F0C0000}"/>
    <cellStyle name="20% - Accent2 3 7 4" xfId="3213" xr:uid="{00000000-0005-0000-0000-0000300C0000}"/>
    <cellStyle name="20% - Accent2 3 7 4 2" xfId="3214" xr:uid="{00000000-0005-0000-0000-0000310C0000}"/>
    <cellStyle name="20% - Accent2 3 7 4 2 2" xfId="3215" xr:uid="{00000000-0005-0000-0000-0000320C0000}"/>
    <cellStyle name="20% - Accent2 3 7 4 2 3" xfId="3216" xr:uid="{00000000-0005-0000-0000-0000330C0000}"/>
    <cellStyle name="20% - Accent2 3 7 4 3" xfId="3217" xr:uid="{00000000-0005-0000-0000-0000340C0000}"/>
    <cellStyle name="20% - Accent2 3 7 4 4" xfId="3218" xr:uid="{00000000-0005-0000-0000-0000350C0000}"/>
    <cellStyle name="20% - Accent2 3 7 5" xfId="3219" xr:uid="{00000000-0005-0000-0000-0000360C0000}"/>
    <cellStyle name="20% - Accent2 3 7 5 2" xfId="3220" xr:uid="{00000000-0005-0000-0000-0000370C0000}"/>
    <cellStyle name="20% - Accent2 3 7 5 3" xfId="3221" xr:uid="{00000000-0005-0000-0000-0000380C0000}"/>
    <cellStyle name="20% - Accent2 3 7 6" xfId="3222" xr:uid="{00000000-0005-0000-0000-0000390C0000}"/>
    <cellStyle name="20% - Accent2 3 7 7" xfId="3223" xr:uid="{00000000-0005-0000-0000-00003A0C0000}"/>
    <cellStyle name="20% - Accent2 3 7 8" xfId="3224" xr:uid="{00000000-0005-0000-0000-00003B0C0000}"/>
    <cellStyle name="20% - Accent2 3 8" xfId="3225" xr:uid="{00000000-0005-0000-0000-00003C0C0000}"/>
    <cellStyle name="20% - Accent2 3 8 2" xfId="3226" xr:uid="{00000000-0005-0000-0000-00003D0C0000}"/>
    <cellStyle name="20% - Accent2 3 8 2 2" xfId="3227" xr:uid="{00000000-0005-0000-0000-00003E0C0000}"/>
    <cellStyle name="20% - Accent2 3 8 2 2 2" xfId="3228" xr:uid="{00000000-0005-0000-0000-00003F0C0000}"/>
    <cellStyle name="20% - Accent2 3 8 2 2 2 2" xfId="3229" xr:uid="{00000000-0005-0000-0000-0000400C0000}"/>
    <cellStyle name="20% - Accent2 3 8 2 2 2 3" xfId="3230" xr:uid="{00000000-0005-0000-0000-0000410C0000}"/>
    <cellStyle name="20% - Accent2 3 8 2 2 3" xfId="3231" xr:uid="{00000000-0005-0000-0000-0000420C0000}"/>
    <cellStyle name="20% - Accent2 3 8 2 2 4" xfId="3232" xr:uid="{00000000-0005-0000-0000-0000430C0000}"/>
    <cellStyle name="20% - Accent2 3 8 2 3" xfId="3233" xr:uid="{00000000-0005-0000-0000-0000440C0000}"/>
    <cellStyle name="20% - Accent2 3 8 2 3 2" xfId="3234" xr:uid="{00000000-0005-0000-0000-0000450C0000}"/>
    <cellStyle name="20% - Accent2 3 8 2 3 3" xfId="3235" xr:uid="{00000000-0005-0000-0000-0000460C0000}"/>
    <cellStyle name="20% - Accent2 3 8 2 4" xfId="3236" xr:uid="{00000000-0005-0000-0000-0000470C0000}"/>
    <cellStyle name="20% - Accent2 3 8 2 5" xfId="3237" xr:uid="{00000000-0005-0000-0000-0000480C0000}"/>
    <cellStyle name="20% - Accent2 3 8 2 6" xfId="3238" xr:uid="{00000000-0005-0000-0000-0000490C0000}"/>
    <cellStyle name="20% - Accent2 3 8 3" xfId="3239" xr:uid="{00000000-0005-0000-0000-00004A0C0000}"/>
    <cellStyle name="20% - Accent2 3 8 3 2" xfId="3240" xr:uid="{00000000-0005-0000-0000-00004B0C0000}"/>
    <cellStyle name="20% - Accent2 3 8 3 2 2" xfId="3241" xr:uid="{00000000-0005-0000-0000-00004C0C0000}"/>
    <cellStyle name="20% - Accent2 3 8 3 2 3" xfId="3242" xr:uid="{00000000-0005-0000-0000-00004D0C0000}"/>
    <cellStyle name="20% - Accent2 3 8 3 3" xfId="3243" xr:uid="{00000000-0005-0000-0000-00004E0C0000}"/>
    <cellStyle name="20% - Accent2 3 8 3 4" xfId="3244" xr:uid="{00000000-0005-0000-0000-00004F0C0000}"/>
    <cellStyle name="20% - Accent2 3 8 4" xfId="3245" xr:uid="{00000000-0005-0000-0000-0000500C0000}"/>
    <cellStyle name="20% - Accent2 3 8 4 2" xfId="3246" xr:uid="{00000000-0005-0000-0000-0000510C0000}"/>
    <cellStyle name="20% - Accent2 3 8 4 3" xfId="3247" xr:uid="{00000000-0005-0000-0000-0000520C0000}"/>
    <cellStyle name="20% - Accent2 3 8 5" xfId="3248" xr:uid="{00000000-0005-0000-0000-0000530C0000}"/>
    <cellStyle name="20% - Accent2 3 8 6" xfId="3249" xr:uid="{00000000-0005-0000-0000-0000540C0000}"/>
    <cellStyle name="20% - Accent2 3 8 7" xfId="3250" xr:uid="{00000000-0005-0000-0000-0000550C0000}"/>
    <cellStyle name="20% - Accent2 3 9" xfId="3251" xr:uid="{00000000-0005-0000-0000-0000560C0000}"/>
    <cellStyle name="20% - Accent2 3 9 2" xfId="3252" xr:uid="{00000000-0005-0000-0000-0000570C0000}"/>
    <cellStyle name="20% - Accent2 3 9 2 2" xfId="3253" xr:uid="{00000000-0005-0000-0000-0000580C0000}"/>
    <cellStyle name="20% - Accent2 3 9 2 2 2" xfId="3254" xr:uid="{00000000-0005-0000-0000-0000590C0000}"/>
    <cellStyle name="20% - Accent2 3 9 2 2 3" xfId="3255" xr:uid="{00000000-0005-0000-0000-00005A0C0000}"/>
    <cellStyle name="20% - Accent2 3 9 2 3" xfId="3256" xr:uid="{00000000-0005-0000-0000-00005B0C0000}"/>
    <cellStyle name="20% - Accent2 3 9 2 4" xfId="3257" xr:uid="{00000000-0005-0000-0000-00005C0C0000}"/>
    <cellStyle name="20% - Accent2 3 9 3" xfId="3258" xr:uid="{00000000-0005-0000-0000-00005D0C0000}"/>
    <cellStyle name="20% - Accent2 3 9 3 2" xfId="3259" xr:uid="{00000000-0005-0000-0000-00005E0C0000}"/>
    <cellStyle name="20% - Accent2 3 9 3 3" xfId="3260" xr:uid="{00000000-0005-0000-0000-00005F0C0000}"/>
    <cellStyle name="20% - Accent2 3 9 4" xfId="3261" xr:uid="{00000000-0005-0000-0000-0000600C0000}"/>
    <cellStyle name="20% - Accent2 3 9 5" xfId="3262" xr:uid="{00000000-0005-0000-0000-0000610C0000}"/>
    <cellStyle name="20% - Accent2 3 9 6" xfId="3263" xr:uid="{00000000-0005-0000-0000-0000620C0000}"/>
    <cellStyle name="20% - Accent2 4" xfId="3264" xr:uid="{00000000-0005-0000-0000-0000630C0000}"/>
    <cellStyle name="20% - Accent2 4 10" xfId="3265" xr:uid="{00000000-0005-0000-0000-0000640C0000}"/>
    <cellStyle name="20% - Accent2 4 11" xfId="3266" xr:uid="{00000000-0005-0000-0000-0000650C0000}"/>
    <cellStyle name="20% - Accent2 4 2" xfId="3267" xr:uid="{00000000-0005-0000-0000-0000660C0000}"/>
    <cellStyle name="20% - Accent2 4 2 10" xfId="3268" xr:uid="{00000000-0005-0000-0000-0000670C0000}"/>
    <cellStyle name="20% - Accent2 4 2 2" xfId="3269" xr:uid="{00000000-0005-0000-0000-0000680C0000}"/>
    <cellStyle name="20% - Accent2 4 2 2 2" xfId="3270" xr:uid="{00000000-0005-0000-0000-0000690C0000}"/>
    <cellStyle name="20% - Accent2 4 2 2 2 2" xfId="3271" xr:uid="{00000000-0005-0000-0000-00006A0C0000}"/>
    <cellStyle name="20% - Accent2 4 2 2 2 2 2" xfId="3272" xr:uid="{00000000-0005-0000-0000-00006B0C0000}"/>
    <cellStyle name="20% - Accent2 4 2 2 2 2 2 2" xfId="3273" xr:uid="{00000000-0005-0000-0000-00006C0C0000}"/>
    <cellStyle name="20% - Accent2 4 2 2 2 2 2 2 2" xfId="3274" xr:uid="{00000000-0005-0000-0000-00006D0C0000}"/>
    <cellStyle name="20% - Accent2 4 2 2 2 2 2 2 2 2" xfId="3275" xr:uid="{00000000-0005-0000-0000-00006E0C0000}"/>
    <cellStyle name="20% - Accent2 4 2 2 2 2 2 2 2 3" xfId="3276" xr:uid="{00000000-0005-0000-0000-00006F0C0000}"/>
    <cellStyle name="20% - Accent2 4 2 2 2 2 2 2 3" xfId="3277" xr:uid="{00000000-0005-0000-0000-0000700C0000}"/>
    <cellStyle name="20% - Accent2 4 2 2 2 2 2 2 4" xfId="3278" xr:uid="{00000000-0005-0000-0000-0000710C0000}"/>
    <cellStyle name="20% - Accent2 4 2 2 2 2 2 3" xfId="3279" xr:uid="{00000000-0005-0000-0000-0000720C0000}"/>
    <cellStyle name="20% - Accent2 4 2 2 2 2 2 3 2" xfId="3280" xr:uid="{00000000-0005-0000-0000-0000730C0000}"/>
    <cellStyle name="20% - Accent2 4 2 2 2 2 2 3 3" xfId="3281" xr:uid="{00000000-0005-0000-0000-0000740C0000}"/>
    <cellStyle name="20% - Accent2 4 2 2 2 2 2 4" xfId="3282" xr:uid="{00000000-0005-0000-0000-0000750C0000}"/>
    <cellStyle name="20% - Accent2 4 2 2 2 2 2 5" xfId="3283" xr:uid="{00000000-0005-0000-0000-0000760C0000}"/>
    <cellStyle name="20% - Accent2 4 2 2 2 2 2 6" xfId="3284" xr:uid="{00000000-0005-0000-0000-0000770C0000}"/>
    <cellStyle name="20% - Accent2 4 2 2 2 2 3" xfId="3285" xr:uid="{00000000-0005-0000-0000-0000780C0000}"/>
    <cellStyle name="20% - Accent2 4 2 2 2 2 3 2" xfId="3286" xr:uid="{00000000-0005-0000-0000-0000790C0000}"/>
    <cellStyle name="20% - Accent2 4 2 2 2 2 3 2 2" xfId="3287" xr:uid="{00000000-0005-0000-0000-00007A0C0000}"/>
    <cellStyle name="20% - Accent2 4 2 2 2 2 3 2 3" xfId="3288" xr:uid="{00000000-0005-0000-0000-00007B0C0000}"/>
    <cellStyle name="20% - Accent2 4 2 2 2 2 3 3" xfId="3289" xr:uid="{00000000-0005-0000-0000-00007C0C0000}"/>
    <cellStyle name="20% - Accent2 4 2 2 2 2 3 4" xfId="3290" xr:uid="{00000000-0005-0000-0000-00007D0C0000}"/>
    <cellStyle name="20% - Accent2 4 2 2 2 2 4" xfId="3291" xr:uid="{00000000-0005-0000-0000-00007E0C0000}"/>
    <cellStyle name="20% - Accent2 4 2 2 2 2 4 2" xfId="3292" xr:uid="{00000000-0005-0000-0000-00007F0C0000}"/>
    <cellStyle name="20% - Accent2 4 2 2 2 2 4 3" xfId="3293" xr:uid="{00000000-0005-0000-0000-0000800C0000}"/>
    <cellStyle name="20% - Accent2 4 2 2 2 2 5" xfId="3294" xr:uid="{00000000-0005-0000-0000-0000810C0000}"/>
    <cellStyle name="20% - Accent2 4 2 2 2 2 6" xfId="3295" xr:uid="{00000000-0005-0000-0000-0000820C0000}"/>
    <cellStyle name="20% - Accent2 4 2 2 2 2 7" xfId="3296" xr:uid="{00000000-0005-0000-0000-0000830C0000}"/>
    <cellStyle name="20% - Accent2 4 2 2 2 3" xfId="3297" xr:uid="{00000000-0005-0000-0000-0000840C0000}"/>
    <cellStyle name="20% - Accent2 4 2 2 2 3 2" xfId="3298" xr:uid="{00000000-0005-0000-0000-0000850C0000}"/>
    <cellStyle name="20% - Accent2 4 2 2 2 3 2 2" xfId="3299" xr:uid="{00000000-0005-0000-0000-0000860C0000}"/>
    <cellStyle name="20% - Accent2 4 2 2 2 3 2 2 2" xfId="3300" xr:uid="{00000000-0005-0000-0000-0000870C0000}"/>
    <cellStyle name="20% - Accent2 4 2 2 2 3 2 2 3" xfId="3301" xr:uid="{00000000-0005-0000-0000-0000880C0000}"/>
    <cellStyle name="20% - Accent2 4 2 2 2 3 2 3" xfId="3302" xr:uid="{00000000-0005-0000-0000-0000890C0000}"/>
    <cellStyle name="20% - Accent2 4 2 2 2 3 2 4" xfId="3303" xr:uid="{00000000-0005-0000-0000-00008A0C0000}"/>
    <cellStyle name="20% - Accent2 4 2 2 2 3 3" xfId="3304" xr:uid="{00000000-0005-0000-0000-00008B0C0000}"/>
    <cellStyle name="20% - Accent2 4 2 2 2 3 3 2" xfId="3305" xr:uid="{00000000-0005-0000-0000-00008C0C0000}"/>
    <cellStyle name="20% - Accent2 4 2 2 2 3 3 3" xfId="3306" xr:uid="{00000000-0005-0000-0000-00008D0C0000}"/>
    <cellStyle name="20% - Accent2 4 2 2 2 3 4" xfId="3307" xr:uid="{00000000-0005-0000-0000-00008E0C0000}"/>
    <cellStyle name="20% - Accent2 4 2 2 2 3 5" xfId="3308" xr:uid="{00000000-0005-0000-0000-00008F0C0000}"/>
    <cellStyle name="20% - Accent2 4 2 2 2 3 6" xfId="3309" xr:uid="{00000000-0005-0000-0000-0000900C0000}"/>
    <cellStyle name="20% - Accent2 4 2 2 2 4" xfId="3310" xr:uid="{00000000-0005-0000-0000-0000910C0000}"/>
    <cellStyle name="20% - Accent2 4 2 2 2 4 2" xfId="3311" xr:uid="{00000000-0005-0000-0000-0000920C0000}"/>
    <cellStyle name="20% - Accent2 4 2 2 2 4 2 2" xfId="3312" xr:uid="{00000000-0005-0000-0000-0000930C0000}"/>
    <cellStyle name="20% - Accent2 4 2 2 2 4 2 3" xfId="3313" xr:uid="{00000000-0005-0000-0000-0000940C0000}"/>
    <cellStyle name="20% - Accent2 4 2 2 2 4 3" xfId="3314" xr:uid="{00000000-0005-0000-0000-0000950C0000}"/>
    <cellStyle name="20% - Accent2 4 2 2 2 4 4" xfId="3315" xr:uid="{00000000-0005-0000-0000-0000960C0000}"/>
    <cellStyle name="20% - Accent2 4 2 2 2 5" xfId="3316" xr:uid="{00000000-0005-0000-0000-0000970C0000}"/>
    <cellStyle name="20% - Accent2 4 2 2 2 5 2" xfId="3317" xr:uid="{00000000-0005-0000-0000-0000980C0000}"/>
    <cellStyle name="20% - Accent2 4 2 2 2 5 3" xfId="3318" xr:uid="{00000000-0005-0000-0000-0000990C0000}"/>
    <cellStyle name="20% - Accent2 4 2 2 2 6" xfId="3319" xr:uid="{00000000-0005-0000-0000-00009A0C0000}"/>
    <cellStyle name="20% - Accent2 4 2 2 2 7" xfId="3320" xr:uid="{00000000-0005-0000-0000-00009B0C0000}"/>
    <cellStyle name="20% - Accent2 4 2 2 2 8" xfId="3321" xr:uid="{00000000-0005-0000-0000-00009C0C0000}"/>
    <cellStyle name="20% - Accent2 4 2 2 3" xfId="3322" xr:uid="{00000000-0005-0000-0000-00009D0C0000}"/>
    <cellStyle name="20% - Accent2 4 2 2 3 2" xfId="3323" xr:uid="{00000000-0005-0000-0000-00009E0C0000}"/>
    <cellStyle name="20% - Accent2 4 2 2 3 2 2" xfId="3324" xr:uid="{00000000-0005-0000-0000-00009F0C0000}"/>
    <cellStyle name="20% - Accent2 4 2 2 3 2 2 2" xfId="3325" xr:uid="{00000000-0005-0000-0000-0000A00C0000}"/>
    <cellStyle name="20% - Accent2 4 2 2 3 2 2 2 2" xfId="3326" xr:uid="{00000000-0005-0000-0000-0000A10C0000}"/>
    <cellStyle name="20% - Accent2 4 2 2 3 2 2 2 3" xfId="3327" xr:uid="{00000000-0005-0000-0000-0000A20C0000}"/>
    <cellStyle name="20% - Accent2 4 2 2 3 2 2 3" xfId="3328" xr:uid="{00000000-0005-0000-0000-0000A30C0000}"/>
    <cellStyle name="20% - Accent2 4 2 2 3 2 2 4" xfId="3329" xr:uid="{00000000-0005-0000-0000-0000A40C0000}"/>
    <cellStyle name="20% - Accent2 4 2 2 3 2 3" xfId="3330" xr:uid="{00000000-0005-0000-0000-0000A50C0000}"/>
    <cellStyle name="20% - Accent2 4 2 2 3 2 3 2" xfId="3331" xr:uid="{00000000-0005-0000-0000-0000A60C0000}"/>
    <cellStyle name="20% - Accent2 4 2 2 3 2 3 3" xfId="3332" xr:uid="{00000000-0005-0000-0000-0000A70C0000}"/>
    <cellStyle name="20% - Accent2 4 2 2 3 2 4" xfId="3333" xr:uid="{00000000-0005-0000-0000-0000A80C0000}"/>
    <cellStyle name="20% - Accent2 4 2 2 3 2 5" xfId="3334" xr:uid="{00000000-0005-0000-0000-0000A90C0000}"/>
    <cellStyle name="20% - Accent2 4 2 2 3 2 6" xfId="3335" xr:uid="{00000000-0005-0000-0000-0000AA0C0000}"/>
    <cellStyle name="20% - Accent2 4 2 2 3 3" xfId="3336" xr:uid="{00000000-0005-0000-0000-0000AB0C0000}"/>
    <cellStyle name="20% - Accent2 4 2 2 3 3 2" xfId="3337" xr:uid="{00000000-0005-0000-0000-0000AC0C0000}"/>
    <cellStyle name="20% - Accent2 4 2 2 3 3 2 2" xfId="3338" xr:uid="{00000000-0005-0000-0000-0000AD0C0000}"/>
    <cellStyle name="20% - Accent2 4 2 2 3 3 2 3" xfId="3339" xr:uid="{00000000-0005-0000-0000-0000AE0C0000}"/>
    <cellStyle name="20% - Accent2 4 2 2 3 3 3" xfId="3340" xr:uid="{00000000-0005-0000-0000-0000AF0C0000}"/>
    <cellStyle name="20% - Accent2 4 2 2 3 3 4" xfId="3341" xr:uid="{00000000-0005-0000-0000-0000B00C0000}"/>
    <cellStyle name="20% - Accent2 4 2 2 3 4" xfId="3342" xr:uid="{00000000-0005-0000-0000-0000B10C0000}"/>
    <cellStyle name="20% - Accent2 4 2 2 3 4 2" xfId="3343" xr:uid="{00000000-0005-0000-0000-0000B20C0000}"/>
    <cellStyle name="20% - Accent2 4 2 2 3 4 3" xfId="3344" xr:uid="{00000000-0005-0000-0000-0000B30C0000}"/>
    <cellStyle name="20% - Accent2 4 2 2 3 5" xfId="3345" xr:uid="{00000000-0005-0000-0000-0000B40C0000}"/>
    <cellStyle name="20% - Accent2 4 2 2 3 6" xfId="3346" xr:uid="{00000000-0005-0000-0000-0000B50C0000}"/>
    <cellStyle name="20% - Accent2 4 2 2 3 7" xfId="3347" xr:uid="{00000000-0005-0000-0000-0000B60C0000}"/>
    <cellStyle name="20% - Accent2 4 2 2 4" xfId="3348" xr:uid="{00000000-0005-0000-0000-0000B70C0000}"/>
    <cellStyle name="20% - Accent2 4 2 2 4 2" xfId="3349" xr:uid="{00000000-0005-0000-0000-0000B80C0000}"/>
    <cellStyle name="20% - Accent2 4 2 2 4 2 2" xfId="3350" xr:uid="{00000000-0005-0000-0000-0000B90C0000}"/>
    <cellStyle name="20% - Accent2 4 2 2 4 2 2 2" xfId="3351" xr:uid="{00000000-0005-0000-0000-0000BA0C0000}"/>
    <cellStyle name="20% - Accent2 4 2 2 4 2 2 3" xfId="3352" xr:uid="{00000000-0005-0000-0000-0000BB0C0000}"/>
    <cellStyle name="20% - Accent2 4 2 2 4 2 3" xfId="3353" xr:uid="{00000000-0005-0000-0000-0000BC0C0000}"/>
    <cellStyle name="20% - Accent2 4 2 2 4 2 4" xfId="3354" xr:uid="{00000000-0005-0000-0000-0000BD0C0000}"/>
    <cellStyle name="20% - Accent2 4 2 2 4 3" xfId="3355" xr:uid="{00000000-0005-0000-0000-0000BE0C0000}"/>
    <cellStyle name="20% - Accent2 4 2 2 4 3 2" xfId="3356" xr:uid="{00000000-0005-0000-0000-0000BF0C0000}"/>
    <cellStyle name="20% - Accent2 4 2 2 4 3 3" xfId="3357" xr:uid="{00000000-0005-0000-0000-0000C00C0000}"/>
    <cellStyle name="20% - Accent2 4 2 2 4 4" xfId="3358" xr:uid="{00000000-0005-0000-0000-0000C10C0000}"/>
    <cellStyle name="20% - Accent2 4 2 2 4 5" xfId="3359" xr:uid="{00000000-0005-0000-0000-0000C20C0000}"/>
    <cellStyle name="20% - Accent2 4 2 2 4 6" xfId="3360" xr:uid="{00000000-0005-0000-0000-0000C30C0000}"/>
    <cellStyle name="20% - Accent2 4 2 2 5" xfId="3361" xr:uid="{00000000-0005-0000-0000-0000C40C0000}"/>
    <cellStyle name="20% - Accent2 4 2 2 5 2" xfId="3362" xr:uid="{00000000-0005-0000-0000-0000C50C0000}"/>
    <cellStyle name="20% - Accent2 4 2 2 5 2 2" xfId="3363" xr:uid="{00000000-0005-0000-0000-0000C60C0000}"/>
    <cellStyle name="20% - Accent2 4 2 2 5 2 3" xfId="3364" xr:uid="{00000000-0005-0000-0000-0000C70C0000}"/>
    <cellStyle name="20% - Accent2 4 2 2 5 3" xfId="3365" xr:uid="{00000000-0005-0000-0000-0000C80C0000}"/>
    <cellStyle name="20% - Accent2 4 2 2 5 4" xfId="3366" xr:uid="{00000000-0005-0000-0000-0000C90C0000}"/>
    <cellStyle name="20% - Accent2 4 2 2 6" xfId="3367" xr:uid="{00000000-0005-0000-0000-0000CA0C0000}"/>
    <cellStyle name="20% - Accent2 4 2 2 6 2" xfId="3368" xr:uid="{00000000-0005-0000-0000-0000CB0C0000}"/>
    <cellStyle name="20% - Accent2 4 2 2 6 3" xfId="3369" xr:uid="{00000000-0005-0000-0000-0000CC0C0000}"/>
    <cellStyle name="20% - Accent2 4 2 2 7" xfId="3370" xr:uid="{00000000-0005-0000-0000-0000CD0C0000}"/>
    <cellStyle name="20% - Accent2 4 2 2 8" xfId="3371" xr:uid="{00000000-0005-0000-0000-0000CE0C0000}"/>
    <cellStyle name="20% - Accent2 4 2 2 9" xfId="3372" xr:uid="{00000000-0005-0000-0000-0000CF0C0000}"/>
    <cellStyle name="20% - Accent2 4 2 3" xfId="3373" xr:uid="{00000000-0005-0000-0000-0000D00C0000}"/>
    <cellStyle name="20% - Accent2 4 2 3 2" xfId="3374" xr:uid="{00000000-0005-0000-0000-0000D10C0000}"/>
    <cellStyle name="20% - Accent2 4 2 3 2 2" xfId="3375" xr:uid="{00000000-0005-0000-0000-0000D20C0000}"/>
    <cellStyle name="20% - Accent2 4 2 3 2 2 2" xfId="3376" xr:uid="{00000000-0005-0000-0000-0000D30C0000}"/>
    <cellStyle name="20% - Accent2 4 2 3 2 2 2 2" xfId="3377" xr:uid="{00000000-0005-0000-0000-0000D40C0000}"/>
    <cellStyle name="20% - Accent2 4 2 3 2 2 2 2 2" xfId="3378" xr:uid="{00000000-0005-0000-0000-0000D50C0000}"/>
    <cellStyle name="20% - Accent2 4 2 3 2 2 2 2 3" xfId="3379" xr:uid="{00000000-0005-0000-0000-0000D60C0000}"/>
    <cellStyle name="20% - Accent2 4 2 3 2 2 2 3" xfId="3380" xr:uid="{00000000-0005-0000-0000-0000D70C0000}"/>
    <cellStyle name="20% - Accent2 4 2 3 2 2 2 4" xfId="3381" xr:uid="{00000000-0005-0000-0000-0000D80C0000}"/>
    <cellStyle name="20% - Accent2 4 2 3 2 2 3" xfId="3382" xr:uid="{00000000-0005-0000-0000-0000D90C0000}"/>
    <cellStyle name="20% - Accent2 4 2 3 2 2 3 2" xfId="3383" xr:uid="{00000000-0005-0000-0000-0000DA0C0000}"/>
    <cellStyle name="20% - Accent2 4 2 3 2 2 3 3" xfId="3384" xr:uid="{00000000-0005-0000-0000-0000DB0C0000}"/>
    <cellStyle name="20% - Accent2 4 2 3 2 2 4" xfId="3385" xr:uid="{00000000-0005-0000-0000-0000DC0C0000}"/>
    <cellStyle name="20% - Accent2 4 2 3 2 2 5" xfId="3386" xr:uid="{00000000-0005-0000-0000-0000DD0C0000}"/>
    <cellStyle name="20% - Accent2 4 2 3 2 2 6" xfId="3387" xr:uid="{00000000-0005-0000-0000-0000DE0C0000}"/>
    <cellStyle name="20% - Accent2 4 2 3 2 3" xfId="3388" xr:uid="{00000000-0005-0000-0000-0000DF0C0000}"/>
    <cellStyle name="20% - Accent2 4 2 3 2 3 2" xfId="3389" xr:uid="{00000000-0005-0000-0000-0000E00C0000}"/>
    <cellStyle name="20% - Accent2 4 2 3 2 3 2 2" xfId="3390" xr:uid="{00000000-0005-0000-0000-0000E10C0000}"/>
    <cellStyle name="20% - Accent2 4 2 3 2 3 2 3" xfId="3391" xr:uid="{00000000-0005-0000-0000-0000E20C0000}"/>
    <cellStyle name="20% - Accent2 4 2 3 2 3 3" xfId="3392" xr:uid="{00000000-0005-0000-0000-0000E30C0000}"/>
    <cellStyle name="20% - Accent2 4 2 3 2 3 4" xfId="3393" xr:uid="{00000000-0005-0000-0000-0000E40C0000}"/>
    <cellStyle name="20% - Accent2 4 2 3 2 4" xfId="3394" xr:uid="{00000000-0005-0000-0000-0000E50C0000}"/>
    <cellStyle name="20% - Accent2 4 2 3 2 4 2" xfId="3395" xr:uid="{00000000-0005-0000-0000-0000E60C0000}"/>
    <cellStyle name="20% - Accent2 4 2 3 2 4 3" xfId="3396" xr:uid="{00000000-0005-0000-0000-0000E70C0000}"/>
    <cellStyle name="20% - Accent2 4 2 3 2 5" xfId="3397" xr:uid="{00000000-0005-0000-0000-0000E80C0000}"/>
    <cellStyle name="20% - Accent2 4 2 3 2 6" xfId="3398" xr:uid="{00000000-0005-0000-0000-0000E90C0000}"/>
    <cellStyle name="20% - Accent2 4 2 3 2 7" xfId="3399" xr:uid="{00000000-0005-0000-0000-0000EA0C0000}"/>
    <cellStyle name="20% - Accent2 4 2 3 3" xfId="3400" xr:uid="{00000000-0005-0000-0000-0000EB0C0000}"/>
    <cellStyle name="20% - Accent2 4 2 3 3 2" xfId="3401" xr:uid="{00000000-0005-0000-0000-0000EC0C0000}"/>
    <cellStyle name="20% - Accent2 4 2 3 3 2 2" xfId="3402" xr:uid="{00000000-0005-0000-0000-0000ED0C0000}"/>
    <cellStyle name="20% - Accent2 4 2 3 3 2 2 2" xfId="3403" xr:uid="{00000000-0005-0000-0000-0000EE0C0000}"/>
    <cellStyle name="20% - Accent2 4 2 3 3 2 2 3" xfId="3404" xr:uid="{00000000-0005-0000-0000-0000EF0C0000}"/>
    <cellStyle name="20% - Accent2 4 2 3 3 2 3" xfId="3405" xr:uid="{00000000-0005-0000-0000-0000F00C0000}"/>
    <cellStyle name="20% - Accent2 4 2 3 3 2 4" xfId="3406" xr:uid="{00000000-0005-0000-0000-0000F10C0000}"/>
    <cellStyle name="20% - Accent2 4 2 3 3 3" xfId="3407" xr:uid="{00000000-0005-0000-0000-0000F20C0000}"/>
    <cellStyle name="20% - Accent2 4 2 3 3 3 2" xfId="3408" xr:uid="{00000000-0005-0000-0000-0000F30C0000}"/>
    <cellStyle name="20% - Accent2 4 2 3 3 3 3" xfId="3409" xr:uid="{00000000-0005-0000-0000-0000F40C0000}"/>
    <cellStyle name="20% - Accent2 4 2 3 3 4" xfId="3410" xr:uid="{00000000-0005-0000-0000-0000F50C0000}"/>
    <cellStyle name="20% - Accent2 4 2 3 3 5" xfId="3411" xr:uid="{00000000-0005-0000-0000-0000F60C0000}"/>
    <cellStyle name="20% - Accent2 4 2 3 3 6" xfId="3412" xr:uid="{00000000-0005-0000-0000-0000F70C0000}"/>
    <cellStyle name="20% - Accent2 4 2 3 4" xfId="3413" xr:uid="{00000000-0005-0000-0000-0000F80C0000}"/>
    <cellStyle name="20% - Accent2 4 2 3 4 2" xfId="3414" xr:uid="{00000000-0005-0000-0000-0000F90C0000}"/>
    <cellStyle name="20% - Accent2 4 2 3 4 2 2" xfId="3415" xr:uid="{00000000-0005-0000-0000-0000FA0C0000}"/>
    <cellStyle name="20% - Accent2 4 2 3 4 2 3" xfId="3416" xr:uid="{00000000-0005-0000-0000-0000FB0C0000}"/>
    <cellStyle name="20% - Accent2 4 2 3 4 3" xfId="3417" xr:uid="{00000000-0005-0000-0000-0000FC0C0000}"/>
    <cellStyle name="20% - Accent2 4 2 3 4 4" xfId="3418" xr:uid="{00000000-0005-0000-0000-0000FD0C0000}"/>
    <cellStyle name="20% - Accent2 4 2 3 5" xfId="3419" xr:uid="{00000000-0005-0000-0000-0000FE0C0000}"/>
    <cellStyle name="20% - Accent2 4 2 3 5 2" xfId="3420" xr:uid="{00000000-0005-0000-0000-0000FF0C0000}"/>
    <cellStyle name="20% - Accent2 4 2 3 5 3" xfId="3421" xr:uid="{00000000-0005-0000-0000-0000000D0000}"/>
    <cellStyle name="20% - Accent2 4 2 3 6" xfId="3422" xr:uid="{00000000-0005-0000-0000-0000010D0000}"/>
    <cellStyle name="20% - Accent2 4 2 3 7" xfId="3423" xr:uid="{00000000-0005-0000-0000-0000020D0000}"/>
    <cellStyle name="20% - Accent2 4 2 3 8" xfId="3424" xr:uid="{00000000-0005-0000-0000-0000030D0000}"/>
    <cellStyle name="20% - Accent2 4 2 4" xfId="3425" xr:uid="{00000000-0005-0000-0000-0000040D0000}"/>
    <cellStyle name="20% - Accent2 4 2 4 2" xfId="3426" xr:uid="{00000000-0005-0000-0000-0000050D0000}"/>
    <cellStyle name="20% - Accent2 4 2 4 2 2" xfId="3427" xr:uid="{00000000-0005-0000-0000-0000060D0000}"/>
    <cellStyle name="20% - Accent2 4 2 4 2 2 2" xfId="3428" xr:uid="{00000000-0005-0000-0000-0000070D0000}"/>
    <cellStyle name="20% - Accent2 4 2 4 2 2 2 2" xfId="3429" xr:uid="{00000000-0005-0000-0000-0000080D0000}"/>
    <cellStyle name="20% - Accent2 4 2 4 2 2 2 3" xfId="3430" xr:uid="{00000000-0005-0000-0000-0000090D0000}"/>
    <cellStyle name="20% - Accent2 4 2 4 2 2 3" xfId="3431" xr:uid="{00000000-0005-0000-0000-00000A0D0000}"/>
    <cellStyle name="20% - Accent2 4 2 4 2 2 4" xfId="3432" xr:uid="{00000000-0005-0000-0000-00000B0D0000}"/>
    <cellStyle name="20% - Accent2 4 2 4 2 3" xfId="3433" xr:uid="{00000000-0005-0000-0000-00000C0D0000}"/>
    <cellStyle name="20% - Accent2 4 2 4 2 3 2" xfId="3434" xr:uid="{00000000-0005-0000-0000-00000D0D0000}"/>
    <cellStyle name="20% - Accent2 4 2 4 2 3 3" xfId="3435" xr:uid="{00000000-0005-0000-0000-00000E0D0000}"/>
    <cellStyle name="20% - Accent2 4 2 4 2 4" xfId="3436" xr:uid="{00000000-0005-0000-0000-00000F0D0000}"/>
    <cellStyle name="20% - Accent2 4 2 4 2 5" xfId="3437" xr:uid="{00000000-0005-0000-0000-0000100D0000}"/>
    <cellStyle name="20% - Accent2 4 2 4 2 6" xfId="3438" xr:uid="{00000000-0005-0000-0000-0000110D0000}"/>
    <cellStyle name="20% - Accent2 4 2 4 3" xfId="3439" xr:uid="{00000000-0005-0000-0000-0000120D0000}"/>
    <cellStyle name="20% - Accent2 4 2 4 3 2" xfId="3440" xr:uid="{00000000-0005-0000-0000-0000130D0000}"/>
    <cellStyle name="20% - Accent2 4 2 4 3 2 2" xfId="3441" xr:uid="{00000000-0005-0000-0000-0000140D0000}"/>
    <cellStyle name="20% - Accent2 4 2 4 3 2 3" xfId="3442" xr:uid="{00000000-0005-0000-0000-0000150D0000}"/>
    <cellStyle name="20% - Accent2 4 2 4 3 3" xfId="3443" xr:uid="{00000000-0005-0000-0000-0000160D0000}"/>
    <cellStyle name="20% - Accent2 4 2 4 3 4" xfId="3444" xr:uid="{00000000-0005-0000-0000-0000170D0000}"/>
    <cellStyle name="20% - Accent2 4 2 4 4" xfId="3445" xr:uid="{00000000-0005-0000-0000-0000180D0000}"/>
    <cellStyle name="20% - Accent2 4 2 4 4 2" xfId="3446" xr:uid="{00000000-0005-0000-0000-0000190D0000}"/>
    <cellStyle name="20% - Accent2 4 2 4 4 3" xfId="3447" xr:uid="{00000000-0005-0000-0000-00001A0D0000}"/>
    <cellStyle name="20% - Accent2 4 2 4 5" xfId="3448" xr:uid="{00000000-0005-0000-0000-00001B0D0000}"/>
    <cellStyle name="20% - Accent2 4 2 4 6" xfId="3449" xr:uid="{00000000-0005-0000-0000-00001C0D0000}"/>
    <cellStyle name="20% - Accent2 4 2 4 7" xfId="3450" xr:uid="{00000000-0005-0000-0000-00001D0D0000}"/>
    <cellStyle name="20% - Accent2 4 2 5" xfId="3451" xr:uid="{00000000-0005-0000-0000-00001E0D0000}"/>
    <cellStyle name="20% - Accent2 4 2 5 2" xfId="3452" xr:uid="{00000000-0005-0000-0000-00001F0D0000}"/>
    <cellStyle name="20% - Accent2 4 2 5 2 2" xfId="3453" xr:uid="{00000000-0005-0000-0000-0000200D0000}"/>
    <cellStyle name="20% - Accent2 4 2 5 2 2 2" xfId="3454" xr:uid="{00000000-0005-0000-0000-0000210D0000}"/>
    <cellStyle name="20% - Accent2 4 2 5 2 2 3" xfId="3455" xr:uid="{00000000-0005-0000-0000-0000220D0000}"/>
    <cellStyle name="20% - Accent2 4 2 5 2 3" xfId="3456" xr:uid="{00000000-0005-0000-0000-0000230D0000}"/>
    <cellStyle name="20% - Accent2 4 2 5 2 4" xfId="3457" xr:uid="{00000000-0005-0000-0000-0000240D0000}"/>
    <cellStyle name="20% - Accent2 4 2 5 3" xfId="3458" xr:uid="{00000000-0005-0000-0000-0000250D0000}"/>
    <cellStyle name="20% - Accent2 4 2 5 3 2" xfId="3459" xr:uid="{00000000-0005-0000-0000-0000260D0000}"/>
    <cellStyle name="20% - Accent2 4 2 5 3 3" xfId="3460" xr:uid="{00000000-0005-0000-0000-0000270D0000}"/>
    <cellStyle name="20% - Accent2 4 2 5 4" xfId="3461" xr:uid="{00000000-0005-0000-0000-0000280D0000}"/>
    <cellStyle name="20% - Accent2 4 2 5 5" xfId="3462" xr:uid="{00000000-0005-0000-0000-0000290D0000}"/>
    <cellStyle name="20% - Accent2 4 2 5 6" xfId="3463" xr:uid="{00000000-0005-0000-0000-00002A0D0000}"/>
    <cellStyle name="20% - Accent2 4 2 6" xfId="3464" xr:uid="{00000000-0005-0000-0000-00002B0D0000}"/>
    <cellStyle name="20% - Accent2 4 2 6 2" xfId="3465" xr:uid="{00000000-0005-0000-0000-00002C0D0000}"/>
    <cellStyle name="20% - Accent2 4 2 6 2 2" xfId="3466" xr:uid="{00000000-0005-0000-0000-00002D0D0000}"/>
    <cellStyle name="20% - Accent2 4 2 6 2 3" xfId="3467" xr:uid="{00000000-0005-0000-0000-00002E0D0000}"/>
    <cellStyle name="20% - Accent2 4 2 6 3" xfId="3468" xr:uid="{00000000-0005-0000-0000-00002F0D0000}"/>
    <cellStyle name="20% - Accent2 4 2 6 4" xfId="3469" xr:uid="{00000000-0005-0000-0000-0000300D0000}"/>
    <cellStyle name="20% - Accent2 4 2 7" xfId="3470" xr:uid="{00000000-0005-0000-0000-0000310D0000}"/>
    <cellStyle name="20% - Accent2 4 2 7 2" xfId="3471" xr:uid="{00000000-0005-0000-0000-0000320D0000}"/>
    <cellStyle name="20% - Accent2 4 2 7 3" xfId="3472" xr:uid="{00000000-0005-0000-0000-0000330D0000}"/>
    <cellStyle name="20% - Accent2 4 2 8" xfId="3473" xr:uid="{00000000-0005-0000-0000-0000340D0000}"/>
    <cellStyle name="20% - Accent2 4 2 9" xfId="3474" xr:uid="{00000000-0005-0000-0000-0000350D0000}"/>
    <cellStyle name="20% - Accent2 4 3" xfId="3475" xr:uid="{00000000-0005-0000-0000-0000360D0000}"/>
    <cellStyle name="20% - Accent2 4 3 2" xfId="3476" xr:uid="{00000000-0005-0000-0000-0000370D0000}"/>
    <cellStyle name="20% - Accent2 4 3 2 2" xfId="3477" xr:uid="{00000000-0005-0000-0000-0000380D0000}"/>
    <cellStyle name="20% - Accent2 4 3 2 2 2" xfId="3478" xr:uid="{00000000-0005-0000-0000-0000390D0000}"/>
    <cellStyle name="20% - Accent2 4 3 2 2 2 2" xfId="3479" xr:uid="{00000000-0005-0000-0000-00003A0D0000}"/>
    <cellStyle name="20% - Accent2 4 3 2 2 2 2 2" xfId="3480" xr:uid="{00000000-0005-0000-0000-00003B0D0000}"/>
    <cellStyle name="20% - Accent2 4 3 2 2 2 2 2 2" xfId="3481" xr:uid="{00000000-0005-0000-0000-00003C0D0000}"/>
    <cellStyle name="20% - Accent2 4 3 2 2 2 2 2 3" xfId="3482" xr:uid="{00000000-0005-0000-0000-00003D0D0000}"/>
    <cellStyle name="20% - Accent2 4 3 2 2 2 2 3" xfId="3483" xr:uid="{00000000-0005-0000-0000-00003E0D0000}"/>
    <cellStyle name="20% - Accent2 4 3 2 2 2 2 4" xfId="3484" xr:uid="{00000000-0005-0000-0000-00003F0D0000}"/>
    <cellStyle name="20% - Accent2 4 3 2 2 2 3" xfId="3485" xr:uid="{00000000-0005-0000-0000-0000400D0000}"/>
    <cellStyle name="20% - Accent2 4 3 2 2 2 3 2" xfId="3486" xr:uid="{00000000-0005-0000-0000-0000410D0000}"/>
    <cellStyle name="20% - Accent2 4 3 2 2 2 3 3" xfId="3487" xr:uid="{00000000-0005-0000-0000-0000420D0000}"/>
    <cellStyle name="20% - Accent2 4 3 2 2 2 4" xfId="3488" xr:uid="{00000000-0005-0000-0000-0000430D0000}"/>
    <cellStyle name="20% - Accent2 4 3 2 2 2 5" xfId="3489" xr:uid="{00000000-0005-0000-0000-0000440D0000}"/>
    <cellStyle name="20% - Accent2 4 3 2 2 2 6" xfId="3490" xr:uid="{00000000-0005-0000-0000-0000450D0000}"/>
    <cellStyle name="20% - Accent2 4 3 2 2 3" xfId="3491" xr:uid="{00000000-0005-0000-0000-0000460D0000}"/>
    <cellStyle name="20% - Accent2 4 3 2 2 3 2" xfId="3492" xr:uid="{00000000-0005-0000-0000-0000470D0000}"/>
    <cellStyle name="20% - Accent2 4 3 2 2 3 2 2" xfId="3493" xr:uid="{00000000-0005-0000-0000-0000480D0000}"/>
    <cellStyle name="20% - Accent2 4 3 2 2 3 2 3" xfId="3494" xr:uid="{00000000-0005-0000-0000-0000490D0000}"/>
    <cellStyle name="20% - Accent2 4 3 2 2 3 3" xfId="3495" xr:uid="{00000000-0005-0000-0000-00004A0D0000}"/>
    <cellStyle name="20% - Accent2 4 3 2 2 3 4" xfId="3496" xr:uid="{00000000-0005-0000-0000-00004B0D0000}"/>
    <cellStyle name="20% - Accent2 4 3 2 2 4" xfId="3497" xr:uid="{00000000-0005-0000-0000-00004C0D0000}"/>
    <cellStyle name="20% - Accent2 4 3 2 2 4 2" xfId="3498" xr:uid="{00000000-0005-0000-0000-00004D0D0000}"/>
    <cellStyle name="20% - Accent2 4 3 2 2 4 3" xfId="3499" xr:uid="{00000000-0005-0000-0000-00004E0D0000}"/>
    <cellStyle name="20% - Accent2 4 3 2 2 5" xfId="3500" xr:uid="{00000000-0005-0000-0000-00004F0D0000}"/>
    <cellStyle name="20% - Accent2 4 3 2 2 6" xfId="3501" xr:uid="{00000000-0005-0000-0000-0000500D0000}"/>
    <cellStyle name="20% - Accent2 4 3 2 2 7" xfId="3502" xr:uid="{00000000-0005-0000-0000-0000510D0000}"/>
    <cellStyle name="20% - Accent2 4 3 2 3" xfId="3503" xr:uid="{00000000-0005-0000-0000-0000520D0000}"/>
    <cellStyle name="20% - Accent2 4 3 2 3 2" xfId="3504" xr:uid="{00000000-0005-0000-0000-0000530D0000}"/>
    <cellStyle name="20% - Accent2 4 3 2 3 2 2" xfId="3505" xr:uid="{00000000-0005-0000-0000-0000540D0000}"/>
    <cellStyle name="20% - Accent2 4 3 2 3 2 2 2" xfId="3506" xr:uid="{00000000-0005-0000-0000-0000550D0000}"/>
    <cellStyle name="20% - Accent2 4 3 2 3 2 2 3" xfId="3507" xr:uid="{00000000-0005-0000-0000-0000560D0000}"/>
    <cellStyle name="20% - Accent2 4 3 2 3 2 3" xfId="3508" xr:uid="{00000000-0005-0000-0000-0000570D0000}"/>
    <cellStyle name="20% - Accent2 4 3 2 3 2 4" xfId="3509" xr:uid="{00000000-0005-0000-0000-0000580D0000}"/>
    <cellStyle name="20% - Accent2 4 3 2 3 3" xfId="3510" xr:uid="{00000000-0005-0000-0000-0000590D0000}"/>
    <cellStyle name="20% - Accent2 4 3 2 3 3 2" xfId="3511" xr:uid="{00000000-0005-0000-0000-00005A0D0000}"/>
    <cellStyle name="20% - Accent2 4 3 2 3 3 3" xfId="3512" xr:uid="{00000000-0005-0000-0000-00005B0D0000}"/>
    <cellStyle name="20% - Accent2 4 3 2 3 4" xfId="3513" xr:uid="{00000000-0005-0000-0000-00005C0D0000}"/>
    <cellStyle name="20% - Accent2 4 3 2 3 5" xfId="3514" xr:uid="{00000000-0005-0000-0000-00005D0D0000}"/>
    <cellStyle name="20% - Accent2 4 3 2 3 6" xfId="3515" xr:uid="{00000000-0005-0000-0000-00005E0D0000}"/>
    <cellStyle name="20% - Accent2 4 3 2 4" xfId="3516" xr:uid="{00000000-0005-0000-0000-00005F0D0000}"/>
    <cellStyle name="20% - Accent2 4 3 2 4 2" xfId="3517" xr:uid="{00000000-0005-0000-0000-0000600D0000}"/>
    <cellStyle name="20% - Accent2 4 3 2 4 2 2" xfId="3518" xr:uid="{00000000-0005-0000-0000-0000610D0000}"/>
    <cellStyle name="20% - Accent2 4 3 2 4 2 3" xfId="3519" xr:uid="{00000000-0005-0000-0000-0000620D0000}"/>
    <cellStyle name="20% - Accent2 4 3 2 4 3" xfId="3520" xr:uid="{00000000-0005-0000-0000-0000630D0000}"/>
    <cellStyle name="20% - Accent2 4 3 2 4 4" xfId="3521" xr:uid="{00000000-0005-0000-0000-0000640D0000}"/>
    <cellStyle name="20% - Accent2 4 3 2 5" xfId="3522" xr:uid="{00000000-0005-0000-0000-0000650D0000}"/>
    <cellStyle name="20% - Accent2 4 3 2 5 2" xfId="3523" xr:uid="{00000000-0005-0000-0000-0000660D0000}"/>
    <cellStyle name="20% - Accent2 4 3 2 5 3" xfId="3524" xr:uid="{00000000-0005-0000-0000-0000670D0000}"/>
    <cellStyle name="20% - Accent2 4 3 2 6" xfId="3525" xr:uid="{00000000-0005-0000-0000-0000680D0000}"/>
    <cellStyle name="20% - Accent2 4 3 2 7" xfId="3526" xr:uid="{00000000-0005-0000-0000-0000690D0000}"/>
    <cellStyle name="20% - Accent2 4 3 2 8" xfId="3527" xr:uid="{00000000-0005-0000-0000-00006A0D0000}"/>
    <cellStyle name="20% - Accent2 4 3 3" xfId="3528" xr:uid="{00000000-0005-0000-0000-00006B0D0000}"/>
    <cellStyle name="20% - Accent2 4 3 3 2" xfId="3529" xr:uid="{00000000-0005-0000-0000-00006C0D0000}"/>
    <cellStyle name="20% - Accent2 4 3 3 2 2" xfId="3530" xr:uid="{00000000-0005-0000-0000-00006D0D0000}"/>
    <cellStyle name="20% - Accent2 4 3 3 2 2 2" xfId="3531" xr:uid="{00000000-0005-0000-0000-00006E0D0000}"/>
    <cellStyle name="20% - Accent2 4 3 3 2 2 2 2" xfId="3532" xr:uid="{00000000-0005-0000-0000-00006F0D0000}"/>
    <cellStyle name="20% - Accent2 4 3 3 2 2 2 3" xfId="3533" xr:uid="{00000000-0005-0000-0000-0000700D0000}"/>
    <cellStyle name="20% - Accent2 4 3 3 2 2 3" xfId="3534" xr:uid="{00000000-0005-0000-0000-0000710D0000}"/>
    <cellStyle name="20% - Accent2 4 3 3 2 2 4" xfId="3535" xr:uid="{00000000-0005-0000-0000-0000720D0000}"/>
    <cellStyle name="20% - Accent2 4 3 3 2 3" xfId="3536" xr:uid="{00000000-0005-0000-0000-0000730D0000}"/>
    <cellStyle name="20% - Accent2 4 3 3 2 3 2" xfId="3537" xr:uid="{00000000-0005-0000-0000-0000740D0000}"/>
    <cellStyle name="20% - Accent2 4 3 3 2 3 3" xfId="3538" xr:uid="{00000000-0005-0000-0000-0000750D0000}"/>
    <cellStyle name="20% - Accent2 4 3 3 2 4" xfId="3539" xr:uid="{00000000-0005-0000-0000-0000760D0000}"/>
    <cellStyle name="20% - Accent2 4 3 3 2 5" xfId="3540" xr:uid="{00000000-0005-0000-0000-0000770D0000}"/>
    <cellStyle name="20% - Accent2 4 3 3 2 6" xfId="3541" xr:uid="{00000000-0005-0000-0000-0000780D0000}"/>
    <cellStyle name="20% - Accent2 4 3 3 3" xfId="3542" xr:uid="{00000000-0005-0000-0000-0000790D0000}"/>
    <cellStyle name="20% - Accent2 4 3 3 3 2" xfId="3543" xr:uid="{00000000-0005-0000-0000-00007A0D0000}"/>
    <cellStyle name="20% - Accent2 4 3 3 3 2 2" xfId="3544" xr:uid="{00000000-0005-0000-0000-00007B0D0000}"/>
    <cellStyle name="20% - Accent2 4 3 3 3 2 3" xfId="3545" xr:uid="{00000000-0005-0000-0000-00007C0D0000}"/>
    <cellStyle name="20% - Accent2 4 3 3 3 3" xfId="3546" xr:uid="{00000000-0005-0000-0000-00007D0D0000}"/>
    <cellStyle name="20% - Accent2 4 3 3 3 4" xfId="3547" xr:uid="{00000000-0005-0000-0000-00007E0D0000}"/>
    <cellStyle name="20% - Accent2 4 3 3 4" xfId="3548" xr:uid="{00000000-0005-0000-0000-00007F0D0000}"/>
    <cellStyle name="20% - Accent2 4 3 3 4 2" xfId="3549" xr:uid="{00000000-0005-0000-0000-0000800D0000}"/>
    <cellStyle name="20% - Accent2 4 3 3 4 3" xfId="3550" xr:uid="{00000000-0005-0000-0000-0000810D0000}"/>
    <cellStyle name="20% - Accent2 4 3 3 5" xfId="3551" xr:uid="{00000000-0005-0000-0000-0000820D0000}"/>
    <cellStyle name="20% - Accent2 4 3 3 6" xfId="3552" xr:uid="{00000000-0005-0000-0000-0000830D0000}"/>
    <cellStyle name="20% - Accent2 4 3 3 7" xfId="3553" xr:uid="{00000000-0005-0000-0000-0000840D0000}"/>
    <cellStyle name="20% - Accent2 4 3 4" xfId="3554" xr:uid="{00000000-0005-0000-0000-0000850D0000}"/>
    <cellStyle name="20% - Accent2 4 3 4 2" xfId="3555" xr:uid="{00000000-0005-0000-0000-0000860D0000}"/>
    <cellStyle name="20% - Accent2 4 3 4 2 2" xfId="3556" xr:uid="{00000000-0005-0000-0000-0000870D0000}"/>
    <cellStyle name="20% - Accent2 4 3 4 2 2 2" xfId="3557" xr:uid="{00000000-0005-0000-0000-0000880D0000}"/>
    <cellStyle name="20% - Accent2 4 3 4 2 2 3" xfId="3558" xr:uid="{00000000-0005-0000-0000-0000890D0000}"/>
    <cellStyle name="20% - Accent2 4 3 4 2 3" xfId="3559" xr:uid="{00000000-0005-0000-0000-00008A0D0000}"/>
    <cellStyle name="20% - Accent2 4 3 4 2 4" xfId="3560" xr:uid="{00000000-0005-0000-0000-00008B0D0000}"/>
    <cellStyle name="20% - Accent2 4 3 4 3" xfId="3561" xr:uid="{00000000-0005-0000-0000-00008C0D0000}"/>
    <cellStyle name="20% - Accent2 4 3 4 3 2" xfId="3562" xr:uid="{00000000-0005-0000-0000-00008D0D0000}"/>
    <cellStyle name="20% - Accent2 4 3 4 3 3" xfId="3563" xr:uid="{00000000-0005-0000-0000-00008E0D0000}"/>
    <cellStyle name="20% - Accent2 4 3 4 4" xfId="3564" xr:uid="{00000000-0005-0000-0000-00008F0D0000}"/>
    <cellStyle name="20% - Accent2 4 3 4 5" xfId="3565" xr:uid="{00000000-0005-0000-0000-0000900D0000}"/>
    <cellStyle name="20% - Accent2 4 3 4 6" xfId="3566" xr:uid="{00000000-0005-0000-0000-0000910D0000}"/>
    <cellStyle name="20% - Accent2 4 3 5" xfId="3567" xr:uid="{00000000-0005-0000-0000-0000920D0000}"/>
    <cellStyle name="20% - Accent2 4 3 5 2" xfId="3568" xr:uid="{00000000-0005-0000-0000-0000930D0000}"/>
    <cellStyle name="20% - Accent2 4 3 5 2 2" xfId="3569" xr:uid="{00000000-0005-0000-0000-0000940D0000}"/>
    <cellStyle name="20% - Accent2 4 3 5 2 3" xfId="3570" xr:uid="{00000000-0005-0000-0000-0000950D0000}"/>
    <cellStyle name="20% - Accent2 4 3 5 3" xfId="3571" xr:uid="{00000000-0005-0000-0000-0000960D0000}"/>
    <cellStyle name="20% - Accent2 4 3 5 4" xfId="3572" xr:uid="{00000000-0005-0000-0000-0000970D0000}"/>
    <cellStyle name="20% - Accent2 4 3 6" xfId="3573" xr:uid="{00000000-0005-0000-0000-0000980D0000}"/>
    <cellStyle name="20% - Accent2 4 3 6 2" xfId="3574" xr:uid="{00000000-0005-0000-0000-0000990D0000}"/>
    <cellStyle name="20% - Accent2 4 3 6 3" xfId="3575" xr:uid="{00000000-0005-0000-0000-00009A0D0000}"/>
    <cellStyle name="20% - Accent2 4 3 7" xfId="3576" xr:uid="{00000000-0005-0000-0000-00009B0D0000}"/>
    <cellStyle name="20% - Accent2 4 3 8" xfId="3577" xr:uid="{00000000-0005-0000-0000-00009C0D0000}"/>
    <cellStyle name="20% - Accent2 4 3 9" xfId="3578" xr:uid="{00000000-0005-0000-0000-00009D0D0000}"/>
    <cellStyle name="20% - Accent2 4 4" xfId="3579" xr:uid="{00000000-0005-0000-0000-00009E0D0000}"/>
    <cellStyle name="20% - Accent2 4 4 2" xfId="3580" xr:uid="{00000000-0005-0000-0000-00009F0D0000}"/>
    <cellStyle name="20% - Accent2 4 4 2 2" xfId="3581" xr:uid="{00000000-0005-0000-0000-0000A00D0000}"/>
    <cellStyle name="20% - Accent2 4 4 2 2 2" xfId="3582" xr:uid="{00000000-0005-0000-0000-0000A10D0000}"/>
    <cellStyle name="20% - Accent2 4 4 2 2 2 2" xfId="3583" xr:uid="{00000000-0005-0000-0000-0000A20D0000}"/>
    <cellStyle name="20% - Accent2 4 4 2 2 2 2 2" xfId="3584" xr:uid="{00000000-0005-0000-0000-0000A30D0000}"/>
    <cellStyle name="20% - Accent2 4 4 2 2 2 2 3" xfId="3585" xr:uid="{00000000-0005-0000-0000-0000A40D0000}"/>
    <cellStyle name="20% - Accent2 4 4 2 2 2 3" xfId="3586" xr:uid="{00000000-0005-0000-0000-0000A50D0000}"/>
    <cellStyle name="20% - Accent2 4 4 2 2 2 4" xfId="3587" xr:uid="{00000000-0005-0000-0000-0000A60D0000}"/>
    <cellStyle name="20% - Accent2 4 4 2 2 3" xfId="3588" xr:uid="{00000000-0005-0000-0000-0000A70D0000}"/>
    <cellStyle name="20% - Accent2 4 4 2 2 3 2" xfId="3589" xr:uid="{00000000-0005-0000-0000-0000A80D0000}"/>
    <cellStyle name="20% - Accent2 4 4 2 2 3 3" xfId="3590" xr:uid="{00000000-0005-0000-0000-0000A90D0000}"/>
    <cellStyle name="20% - Accent2 4 4 2 2 4" xfId="3591" xr:uid="{00000000-0005-0000-0000-0000AA0D0000}"/>
    <cellStyle name="20% - Accent2 4 4 2 2 5" xfId="3592" xr:uid="{00000000-0005-0000-0000-0000AB0D0000}"/>
    <cellStyle name="20% - Accent2 4 4 2 2 6" xfId="3593" xr:uid="{00000000-0005-0000-0000-0000AC0D0000}"/>
    <cellStyle name="20% - Accent2 4 4 2 3" xfId="3594" xr:uid="{00000000-0005-0000-0000-0000AD0D0000}"/>
    <cellStyle name="20% - Accent2 4 4 2 3 2" xfId="3595" xr:uid="{00000000-0005-0000-0000-0000AE0D0000}"/>
    <cellStyle name="20% - Accent2 4 4 2 3 2 2" xfId="3596" xr:uid="{00000000-0005-0000-0000-0000AF0D0000}"/>
    <cellStyle name="20% - Accent2 4 4 2 3 2 3" xfId="3597" xr:uid="{00000000-0005-0000-0000-0000B00D0000}"/>
    <cellStyle name="20% - Accent2 4 4 2 3 3" xfId="3598" xr:uid="{00000000-0005-0000-0000-0000B10D0000}"/>
    <cellStyle name="20% - Accent2 4 4 2 3 4" xfId="3599" xr:uid="{00000000-0005-0000-0000-0000B20D0000}"/>
    <cellStyle name="20% - Accent2 4 4 2 4" xfId="3600" xr:uid="{00000000-0005-0000-0000-0000B30D0000}"/>
    <cellStyle name="20% - Accent2 4 4 2 4 2" xfId="3601" xr:uid="{00000000-0005-0000-0000-0000B40D0000}"/>
    <cellStyle name="20% - Accent2 4 4 2 4 3" xfId="3602" xr:uid="{00000000-0005-0000-0000-0000B50D0000}"/>
    <cellStyle name="20% - Accent2 4 4 2 5" xfId="3603" xr:uid="{00000000-0005-0000-0000-0000B60D0000}"/>
    <cellStyle name="20% - Accent2 4 4 2 6" xfId="3604" xr:uid="{00000000-0005-0000-0000-0000B70D0000}"/>
    <cellStyle name="20% - Accent2 4 4 2 7" xfId="3605" xr:uid="{00000000-0005-0000-0000-0000B80D0000}"/>
    <cellStyle name="20% - Accent2 4 4 3" xfId="3606" xr:uid="{00000000-0005-0000-0000-0000B90D0000}"/>
    <cellStyle name="20% - Accent2 4 4 3 2" xfId="3607" xr:uid="{00000000-0005-0000-0000-0000BA0D0000}"/>
    <cellStyle name="20% - Accent2 4 4 3 2 2" xfId="3608" xr:uid="{00000000-0005-0000-0000-0000BB0D0000}"/>
    <cellStyle name="20% - Accent2 4 4 3 2 2 2" xfId="3609" xr:uid="{00000000-0005-0000-0000-0000BC0D0000}"/>
    <cellStyle name="20% - Accent2 4 4 3 2 2 3" xfId="3610" xr:uid="{00000000-0005-0000-0000-0000BD0D0000}"/>
    <cellStyle name="20% - Accent2 4 4 3 2 3" xfId="3611" xr:uid="{00000000-0005-0000-0000-0000BE0D0000}"/>
    <cellStyle name="20% - Accent2 4 4 3 2 4" xfId="3612" xr:uid="{00000000-0005-0000-0000-0000BF0D0000}"/>
    <cellStyle name="20% - Accent2 4 4 3 3" xfId="3613" xr:uid="{00000000-0005-0000-0000-0000C00D0000}"/>
    <cellStyle name="20% - Accent2 4 4 3 3 2" xfId="3614" xr:uid="{00000000-0005-0000-0000-0000C10D0000}"/>
    <cellStyle name="20% - Accent2 4 4 3 3 3" xfId="3615" xr:uid="{00000000-0005-0000-0000-0000C20D0000}"/>
    <cellStyle name="20% - Accent2 4 4 3 4" xfId="3616" xr:uid="{00000000-0005-0000-0000-0000C30D0000}"/>
    <cellStyle name="20% - Accent2 4 4 3 5" xfId="3617" xr:uid="{00000000-0005-0000-0000-0000C40D0000}"/>
    <cellStyle name="20% - Accent2 4 4 3 6" xfId="3618" xr:uid="{00000000-0005-0000-0000-0000C50D0000}"/>
    <cellStyle name="20% - Accent2 4 4 4" xfId="3619" xr:uid="{00000000-0005-0000-0000-0000C60D0000}"/>
    <cellStyle name="20% - Accent2 4 4 4 2" xfId="3620" xr:uid="{00000000-0005-0000-0000-0000C70D0000}"/>
    <cellStyle name="20% - Accent2 4 4 4 2 2" xfId="3621" xr:uid="{00000000-0005-0000-0000-0000C80D0000}"/>
    <cellStyle name="20% - Accent2 4 4 4 2 3" xfId="3622" xr:uid="{00000000-0005-0000-0000-0000C90D0000}"/>
    <cellStyle name="20% - Accent2 4 4 4 3" xfId="3623" xr:uid="{00000000-0005-0000-0000-0000CA0D0000}"/>
    <cellStyle name="20% - Accent2 4 4 4 4" xfId="3624" xr:uid="{00000000-0005-0000-0000-0000CB0D0000}"/>
    <cellStyle name="20% - Accent2 4 4 5" xfId="3625" xr:uid="{00000000-0005-0000-0000-0000CC0D0000}"/>
    <cellStyle name="20% - Accent2 4 4 5 2" xfId="3626" xr:uid="{00000000-0005-0000-0000-0000CD0D0000}"/>
    <cellStyle name="20% - Accent2 4 4 5 3" xfId="3627" xr:uid="{00000000-0005-0000-0000-0000CE0D0000}"/>
    <cellStyle name="20% - Accent2 4 4 6" xfId="3628" xr:uid="{00000000-0005-0000-0000-0000CF0D0000}"/>
    <cellStyle name="20% - Accent2 4 4 7" xfId="3629" xr:uid="{00000000-0005-0000-0000-0000D00D0000}"/>
    <cellStyle name="20% - Accent2 4 4 8" xfId="3630" xr:uid="{00000000-0005-0000-0000-0000D10D0000}"/>
    <cellStyle name="20% - Accent2 4 5" xfId="3631" xr:uid="{00000000-0005-0000-0000-0000D20D0000}"/>
    <cellStyle name="20% - Accent2 4 5 2" xfId="3632" xr:uid="{00000000-0005-0000-0000-0000D30D0000}"/>
    <cellStyle name="20% - Accent2 4 5 2 2" xfId="3633" xr:uid="{00000000-0005-0000-0000-0000D40D0000}"/>
    <cellStyle name="20% - Accent2 4 5 2 2 2" xfId="3634" xr:uid="{00000000-0005-0000-0000-0000D50D0000}"/>
    <cellStyle name="20% - Accent2 4 5 2 2 2 2" xfId="3635" xr:uid="{00000000-0005-0000-0000-0000D60D0000}"/>
    <cellStyle name="20% - Accent2 4 5 2 2 2 3" xfId="3636" xr:uid="{00000000-0005-0000-0000-0000D70D0000}"/>
    <cellStyle name="20% - Accent2 4 5 2 2 3" xfId="3637" xr:uid="{00000000-0005-0000-0000-0000D80D0000}"/>
    <cellStyle name="20% - Accent2 4 5 2 2 4" xfId="3638" xr:uid="{00000000-0005-0000-0000-0000D90D0000}"/>
    <cellStyle name="20% - Accent2 4 5 2 3" xfId="3639" xr:uid="{00000000-0005-0000-0000-0000DA0D0000}"/>
    <cellStyle name="20% - Accent2 4 5 2 3 2" xfId="3640" xr:uid="{00000000-0005-0000-0000-0000DB0D0000}"/>
    <cellStyle name="20% - Accent2 4 5 2 3 3" xfId="3641" xr:uid="{00000000-0005-0000-0000-0000DC0D0000}"/>
    <cellStyle name="20% - Accent2 4 5 2 4" xfId="3642" xr:uid="{00000000-0005-0000-0000-0000DD0D0000}"/>
    <cellStyle name="20% - Accent2 4 5 2 5" xfId="3643" xr:uid="{00000000-0005-0000-0000-0000DE0D0000}"/>
    <cellStyle name="20% - Accent2 4 5 2 6" xfId="3644" xr:uid="{00000000-0005-0000-0000-0000DF0D0000}"/>
    <cellStyle name="20% - Accent2 4 5 3" xfId="3645" xr:uid="{00000000-0005-0000-0000-0000E00D0000}"/>
    <cellStyle name="20% - Accent2 4 5 3 2" xfId="3646" xr:uid="{00000000-0005-0000-0000-0000E10D0000}"/>
    <cellStyle name="20% - Accent2 4 5 3 2 2" xfId="3647" xr:uid="{00000000-0005-0000-0000-0000E20D0000}"/>
    <cellStyle name="20% - Accent2 4 5 3 2 3" xfId="3648" xr:uid="{00000000-0005-0000-0000-0000E30D0000}"/>
    <cellStyle name="20% - Accent2 4 5 3 3" xfId="3649" xr:uid="{00000000-0005-0000-0000-0000E40D0000}"/>
    <cellStyle name="20% - Accent2 4 5 3 4" xfId="3650" xr:uid="{00000000-0005-0000-0000-0000E50D0000}"/>
    <cellStyle name="20% - Accent2 4 5 4" xfId="3651" xr:uid="{00000000-0005-0000-0000-0000E60D0000}"/>
    <cellStyle name="20% - Accent2 4 5 4 2" xfId="3652" xr:uid="{00000000-0005-0000-0000-0000E70D0000}"/>
    <cellStyle name="20% - Accent2 4 5 4 3" xfId="3653" xr:uid="{00000000-0005-0000-0000-0000E80D0000}"/>
    <cellStyle name="20% - Accent2 4 5 5" xfId="3654" xr:uid="{00000000-0005-0000-0000-0000E90D0000}"/>
    <cellStyle name="20% - Accent2 4 5 6" xfId="3655" xr:uid="{00000000-0005-0000-0000-0000EA0D0000}"/>
    <cellStyle name="20% - Accent2 4 5 7" xfId="3656" xr:uid="{00000000-0005-0000-0000-0000EB0D0000}"/>
    <cellStyle name="20% - Accent2 4 6" xfId="3657" xr:uid="{00000000-0005-0000-0000-0000EC0D0000}"/>
    <cellStyle name="20% - Accent2 4 6 2" xfId="3658" xr:uid="{00000000-0005-0000-0000-0000ED0D0000}"/>
    <cellStyle name="20% - Accent2 4 6 2 2" xfId="3659" xr:uid="{00000000-0005-0000-0000-0000EE0D0000}"/>
    <cellStyle name="20% - Accent2 4 6 2 2 2" xfId="3660" xr:uid="{00000000-0005-0000-0000-0000EF0D0000}"/>
    <cellStyle name="20% - Accent2 4 6 2 2 3" xfId="3661" xr:uid="{00000000-0005-0000-0000-0000F00D0000}"/>
    <cellStyle name="20% - Accent2 4 6 2 3" xfId="3662" xr:uid="{00000000-0005-0000-0000-0000F10D0000}"/>
    <cellStyle name="20% - Accent2 4 6 2 4" xfId="3663" xr:uid="{00000000-0005-0000-0000-0000F20D0000}"/>
    <cellStyle name="20% - Accent2 4 6 3" xfId="3664" xr:uid="{00000000-0005-0000-0000-0000F30D0000}"/>
    <cellStyle name="20% - Accent2 4 6 3 2" xfId="3665" xr:uid="{00000000-0005-0000-0000-0000F40D0000}"/>
    <cellStyle name="20% - Accent2 4 6 3 3" xfId="3666" xr:uid="{00000000-0005-0000-0000-0000F50D0000}"/>
    <cellStyle name="20% - Accent2 4 6 4" xfId="3667" xr:uid="{00000000-0005-0000-0000-0000F60D0000}"/>
    <cellStyle name="20% - Accent2 4 6 5" xfId="3668" xr:uid="{00000000-0005-0000-0000-0000F70D0000}"/>
    <cellStyle name="20% - Accent2 4 6 6" xfId="3669" xr:uid="{00000000-0005-0000-0000-0000F80D0000}"/>
    <cellStyle name="20% - Accent2 4 7" xfId="3670" xr:uid="{00000000-0005-0000-0000-0000F90D0000}"/>
    <cellStyle name="20% - Accent2 4 7 2" xfId="3671" xr:uid="{00000000-0005-0000-0000-0000FA0D0000}"/>
    <cellStyle name="20% - Accent2 4 7 2 2" xfId="3672" xr:uid="{00000000-0005-0000-0000-0000FB0D0000}"/>
    <cellStyle name="20% - Accent2 4 7 2 3" xfId="3673" xr:uid="{00000000-0005-0000-0000-0000FC0D0000}"/>
    <cellStyle name="20% - Accent2 4 7 3" xfId="3674" xr:uid="{00000000-0005-0000-0000-0000FD0D0000}"/>
    <cellStyle name="20% - Accent2 4 7 4" xfId="3675" xr:uid="{00000000-0005-0000-0000-0000FE0D0000}"/>
    <cellStyle name="20% - Accent2 4 8" xfId="3676" xr:uid="{00000000-0005-0000-0000-0000FF0D0000}"/>
    <cellStyle name="20% - Accent2 4 8 2" xfId="3677" xr:uid="{00000000-0005-0000-0000-0000000E0000}"/>
    <cellStyle name="20% - Accent2 4 8 3" xfId="3678" xr:uid="{00000000-0005-0000-0000-0000010E0000}"/>
    <cellStyle name="20% - Accent2 4 9" xfId="3679" xr:uid="{00000000-0005-0000-0000-0000020E0000}"/>
    <cellStyle name="20% - Accent2 5" xfId="3680" xr:uid="{00000000-0005-0000-0000-0000030E0000}"/>
    <cellStyle name="20% - Accent2 5 10" xfId="3681" xr:uid="{00000000-0005-0000-0000-0000040E0000}"/>
    <cellStyle name="20% - Accent2 5 2" xfId="3682" xr:uid="{00000000-0005-0000-0000-0000050E0000}"/>
    <cellStyle name="20% - Accent2 5 2 2" xfId="3683" xr:uid="{00000000-0005-0000-0000-0000060E0000}"/>
    <cellStyle name="20% - Accent2 5 2 2 2" xfId="3684" xr:uid="{00000000-0005-0000-0000-0000070E0000}"/>
    <cellStyle name="20% - Accent2 5 2 2 2 2" xfId="3685" xr:uid="{00000000-0005-0000-0000-0000080E0000}"/>
    <cellStyle name="20% - Accent2 5 2 2 2 2 2" xfId="3686" xr:uid="{00000000-0005-0000-0000-0000090E0000}"/>
    <cellStyle name="20% - Accent2 5 2 2 2 2 2 2" xfId="3687" xr:uid="{00000000-0005-0000-0000-00000A0E0000}"/>
    <cellStyle name="20% - Accent2 5 2 2 2 2 2 2 2" xfId="3688" xr:uid="{00000000-0005-0000-0000-00000B0E0000}"/>
    <cellStyle name="20% - Accent2 5 2 2 2 2 2 2 3" xfId="3689" xr:uid="{00000000-0005-0000-0000-00000C0E0000}"/>
    <cellStyle name="20% - Accent2 5 2 2 2 2 2 3" xfId="3690" xr:uid="{00000000-0005-0000-0000-00000D0E0000}"/>
    <cellStyle name="20% - Accent2 5 2 2 2 2 2 4" xfId="3691" xr:uid="{00000000-0005-0000-0000-00000E0E0000}"/>
    <cellStyle name="20% - Accent2 5 2 2 2 2 3" xfId="3692" xr:uid="{00000000-0005-0000-0000-00000F0E0000}"/>
    <cellStyle name="20% - Accent2 5 2 2 2 2 3 2" xfId="3693" xr:uid="{00000000-0005-0000-0000-0000100E0000}"/>
    <cellStyle name="20% - Accent2 5 2 2 2 2 3 3" xfId="3694" xr:uid="{00000000-0005-0000-0000-0000110E0000}"/>
    <cellStyle name="20% - Accent2 5 2 2 2 2 4" xfId="3695" xr:uid="{00000000-0005-0000-0000-0000120E0000}"/>
    <cellStyle name="20% - Accent2 5 2 2 2 2 5" xfId="3696" xr:uid="{00000000-0005-0000-0000-0000130E0000}"/>
    <cellStyle name="20% - Accent2 5 2 2 2 2 6" xfId="3697" xr:uid="{00000000-0005-0000-0000-0000140E0000}"/>
    <cellStyle name="20% - Accent2 5 2 2 2 3" xfId="3698" xr:uid="{00000000-0005-0000-0000-0000150E0000}"/>
    <cellStyle name="20% - Accent2 5 2 2 2 3 2" xfId="3699" xr:uid="{00000000-0005-0000-0000-0000160E0000}"/>
    <cellStyle name="20% - Accent2 5 2 2 2 3 2 2" xfId="3700" xr:uid="{00000000-0005-0000-0000-0000170E0000}"/>
    <cellStyle name="20% - Accent2 5 2 2 2 3 2 3" xfId="3701" xr:uid="{00000000-0005-0000-0000-0000180E0000}"/>
    <cellStyle name="20% - Accent2 5 2 2 2 3 3" xfId="3702" xr:uid="{00000000-0005-0000-0000-0000190E0000}"/>
    <cellStyle name="20% - Accent2 5 2 2 2 3 4" xfId="3703" xr:uid="{00000000-0005-0000-0000-00001A0E0000}"/>
    <cellStyle name="20% - Accent2 5 2 2 2 4" xfId="3704" xr:uid="{00000000-0005-0000-0000-00001B0E0000}"/>
    <cellStyle name="20% - Accent2 5 2 2 2 4 2" xfId="3705" xr:uid="{00000000-0005-0000-0000-00001C0E0000}"/>
    <cellStyle name="20% - Accent2 5 2 2 2 4 3" xfId="3706" xr:uid="{00000000-0005-0000-0000-00001D0E0000}"/>
    <cellStyle name="20% - Accent2 5 2 2 2 5" xfId="3707" xr:uid="{00000000-0005-0000-0000-00001E0E0000}"/>
    <cellStyle name="20% - Accent2 5 2 2 2 6" xfId="3708" xr:uid="{00000000-0005-0000-0000-00001F0E0000}"/>
    <cellStyle name="20% - Accent2 5 2 2 2 7" xfId="3709" xr:uid="{00000000-0005-0000-0000-0000200E0000}"/>
    <cellStyle name="20% - Accent2 5 2 2 3" xfId="3710" xr:uid="{00000000-0005-0000-0000-0000210E0000}"/>
    <cellStyle name="20% - Accent2 5 2 2 3 2" xfId="3711" xr:uid="{00000000-0005-0000-0000-0000220E0000}"/>
    <cellStyle name="20% - Accent2 5 2 2 3 2 2" xfId="3712" xr:uid="{00000000-0005-0000-0000-0000230E0000}"/>
    <cellStyle name="20% - Accent2 5 2 2 3 2 2 2" xfId="3713" xr:uid="{00000000-0005-0000-0000-0000240E0000}"/>
    <cellStyle name="20% - Accent2 5 2 2 3 2 2 3" xfId="3714" xr:uid="{00000000-0005-0000-0000-0000250E0000}"/>
    <cellStyle name="20% - Accent2 5 2 2 3 2 3" xfId="3715" xr:uid="{00000000-0005-0000-0000-0000260E0000}"/>
    <cellStyle name="20% - Accent2 5 2 2 3 2 4" xfId="3716" xr:uid="{00000000-0005-0000-0000-0000270E0000}"/>
    <cellStyle name="20% - Accent2 5 2 2 3 3" xfId="3717" xr:uid="{00000000-0005-0000-0000-0000280E0000}"/>
    <cellStyle name="20% - Accent2 5 2 2 3 3 2" xfId="3718" xr:uid="{00000000-0005-0000-0000-0000290E0000}"/>
    <cellStyle name="20% - Accent2 5 2 2 3 3 3" xfId="3719" xr:uid="{00000000-0005-0000-0000-00002A0E0000}"/>
    <cellStyle name="20% - Accent2 5 2 2 3 4" xfId="3720" xr:uid="{00000000-0005-0000-0000-00002B0E0000}"/>
    <cellStyle name="20% - Accent2 5 2 2 3 5" xfId="3721" xr:uid="{00000000-0005-0000-0000-00002C0E0000}"/>
    <cellStyle name="20% - Accent2 5 2 2 3 6" xfId="3722" xr:uid="{00000000-0005-0000-0000-00002D0E0000}"/>
    <cellStyle name="20% - Accent2 5 2 2 4" xfId="3723" xr:uid="{00000000-0005-0000-0000-00002E0E0000}"/>
    <cellStyle name="20% - Accent2 5 2 2 4 2" xfId="3724" xr:uid="{00000000-0005-0000-0000-00002F0E0000}"/>
    <cellStyle name="20% - Accent2 5 2 2 4 2 2" xfId="3725" xr:uid="{00000000-0005-0000-0000-0000300E0000}"/>
    <cellStyle name="20% - Accent2 5 2 2 4 2 3" xfId="3726" xr:uid="{00000000-0005-0000-0000-0000310E0000}"/>
    <cellStyle name="20% - Accent2 5 2 2 4 3" xfId="3727" xr:uid="{00000000-0005-0000-0000-0000320E0000}"/>
    <cellStyle name="20% - Accent2 5 2 2 4 4" xfId="3728" xr:uid="{00000000-0005-0000-0000-0000330E0000}"/>
    <cellStyle name="20% - Accent2 5 2 2 5" xfId="3729" xr:uid="{00000000-0005-0000-0000-0000340E0000}"/>
    <cellStyle name="20% - Accent2 5 2 2 5 2" xfId="3730" xr:uid="{00000000-0005-0000-0000-0000350E0000}"/>
    <cellStyle name="20% - Accent2 5 2 2 5 3" xfId="3731" xr:uid="{00000000-0005-0000-0000-0000360E0000}"/>
    <cellStyle name="20% - Accent2 5 2 2 6" xfId="3732" xr:uid="{00000000-0005-0000-0000-0000370E0000}"/>
    <cellStyle name="20% - Accent2 5 2 2 7" xfId="3733" xr:uid="{00000000-0005-0000-0000-0000380E0000}"/>
    <cellStyle name="20% - Accent2 5 2 2 8" xfId="3734" xr:uid="{00000000-0005-0000-0000-0000390E0000}"/>
    <cellStyle name="20% - Accent2 5 2 3" xfId="3735" xr:uid="{00000000-0005-0000-0000-00003A0E0000}"/>
    <cellStyle name="20% - Accent2 5 2 3 2" xfId="3736" xr:uid="{00000000-0005-0000-0000-00003B0E0000}"/>
    <cellStyle name="20% - Accent2 5 2 3 2 2" xfId="3737" xr:uid="{00000000-0005-0000-0000-00003C0E0000}"/>
    <cellStyle name="20% - Accent2 5 2 3 2 2 2" xfId="3738" xr:uid="{00000000-0005-0000-0000-00003D0E0000}"/>
    <cellStyle name="20% - Accent2 5 2 3 2 2 2 2" xfId="3739" xr:uid="{00000000-0005-0000-0000-00003E0E0000}"/>
    <cellStyle name="20% - Accent2 5 2 3 2 2 2 3" xfId="3740" xr:uid="{00000000-0005-0000-0000-00003F0E0000}"/>
    <cellStyle name="20% - Accent2 5 2 3 2 2 3" xfId="3741" xr:uid="{00000000-0005-0000-0000-0000400E0000}"/>
    <cellStyle name="20% - Accent2 5 2 3 2 2 4" xfId="3742" xr:uid="{00000000-0005-0000-0000-0000410E0000}"/>
    <cellStyle name="20% - Accent2 5 2 3 2 3" xfId="3743" xr:uid="{00000000-0005-0000-0000-0000420E0000}"/>
    <cellStyle name="20% - Accent2 5 2 3 2 3 2" xfId="3744" xr:uid="{00000000-0005-0000-0000-0000430E0000}"/>
    <cellStyle name="20% - Accent2 5 2 3 2 3 3" xfId="3745" xr:uid="{00000000-0005-0000-0000-0000440E0000}"/>
    <cellStyle name="20% - Accent2 5 2 3 2 4" xfId="3746" xr:uid="{00000000-0005-0000-0000-0000450E0000}"/>
    <cellStyle name="20% - Accent2 5 2 3 2 5" xfId="3747" xr:uid="{00000000-0005-0000-0000-0000460E0000}"/>
    <cellStyle name="20% - Accent2 5 2 3 2 6" xfId="3748" xr:uid="{00000000-0005-0000-0000-0000470E0000}"/>
    <cellStyle name="20% - Accent2 5 2 3 3" xfId="3749" xr:uid="{00000000-0005-0000-0000-0000480E0000}"/>
    <cellStyle name="20% - Accent2 5 2 3 3 2" xfId="3750" xr:uid="{00000000-0005-0000-0000-0000490E0000}"/>
    <cellStyle name="20% - Accent2 5 2 3 3 2 2" xfId="3751" xr:uid="{00000000-0005-0000-0000-00004A0E0000}"/>
    <cellStyle name="20% - Accent2 5 2 3 3 2 3" xfId="3752" xr:uid="{00000000-0005-0000-0000-00004B0E0000}"/>
    <cellStyle name="20% - Accent2 5 2 3 3 3" xfId="3753" xr:uid="{00000000-0005-0000-0000-00004C0E0000}"/>
    <cellStyle name="20% - Accent2 5 2 3 3 4" xfId="3754" xr:uid="{00000000-0005-0000-0000-00004D0E0000}"/>
    <cellStyle name="20% - Accent2 5 2 3 4" xfId="3755" xr:uid="{00000000-0005-0000-0000-00004E0E0000}"/>
    <cellStyle name="20% - Accent2 5 2 3 4 2" xfId="3756" xr:uid="{00000000-0005-0000-0000-00004F0E0000}"/>
    <cellStyle name="20% - Accent2 5 2 3 4 3" xfId="3757" xr:uid="{00000000-0005-0000-0000-0000500E0000}"/>
    <cellStyle name="20% - Accent2 5 2 3 5" xfId="3758" xr:uid="{00000000-0005-0000-0000-0000510E0000}"/>
    <cellStyle name="20% - Accent2 5 2 3 6" xfId="3759" xr:uid="{00000000-0005-0000-0000-0000520E0000}"/>
    <cellStyle name="20% - Accent2 5 2 3 7" xfId="3760" xr:uid="{00000000-0005-0000-0000-0000530E0000}"/>
    <cellStyle name="20% - Accent2 5 2 4" xfId="3761" xr:uid="{00000000-0005-0000-0000-0000540E0000}"/>
    <cellStyle name="20% - Accent2 5 2 4 2" xfId="3762" xr:uid="{00000000-0005-0000-0000-0000550E0000}"/>
    <cellStyle name="20% - Accent2 5 2 4 2 2" xfId="3763" xr:uid="{00000000-0005-0000-0000-0000560E0000}"/>
    <cellStyle name="20% - Accent2 5 2 4 2 2 2" xfId="3764" xr:uid="{00000000-0005-0000-0000-0000570E0000}"/>
    <cellStyle name="20% - Accent2 5 2 4 2 2 3" xfId="3765" xr:uid="{00000000-0005-0000-0000-0000580E0000}"/>
    <cellStyle name="20% - Accent2 5 2 4 2 3" xfId="3766" xr:uid="{00000000-0005-0000-0000-0000590E0000}"/>
    <cellStyle name="20% - Accent2 5 2 4 2 4" xfId="3767" xr:uid="{00000000-0005-0000-0000-00005A0E0000}"/>
    <cellStyle name="20% - Accent2 5 2 4 3" xfId="3768" xr:uid="{00000000-0005-0000-0000-00005B0E0000}"/>
    <cellStyle name="20% - Accent2 5 2 4 3 2" xfId="3769" xr:uid="{00000000-0005-0000-0000-00005C0E0000}"/>
    <cellStyle name="20% - Accent2 5 2 4 3 3" xfId="3770" xr:uid="{00000000-0005-0000-0000-00005D0E0000}"/>
    <cellStyle name="20% - Accent2 5 2 4 4" xfId="3771" xr:uid="{00000000-0005-0000-0000-00005E0E0000}"/>
    <cellStyle name="20% - Accent2 5 2 4 5" xfId="3772" xr:uid="{00000000-0005-0000-0000-00005F0E0000}"/>
    <cellStyle name="20% - Accent2 5 2 4 6" xfId="3773" xr:uid="{00000000-0005-0000-0000-0000600E0000}"/>
    <cellStyle name="20% - Accent2 5 2 5" xfId="3774" xr:uid="{00000000-0005-0000-0000-0000610E0000}"/>
    <cellStyle name="20% - Accent2 5 2 5 2" xfId="3775" xr:uid="{00000000-0005-0000-0000-0000620E0000}"/>
    <cellStyle name="20% - Accent2 5 2 5 2 2" xfId="3776" xr:uid="{00000000-0005-0000-0000-0000630E0000}"/>
    <cellStyle name="20% - Accent2 5 2 5 2 3" xfId="3777" xr:uid="{00000000-0005-0000-0000-0000640E0000}"/>
    <cellStyle name="20% - Accent2 5 2 5 3" xfId="3778" xr:uid="{00000000-0005-0000-0000-0000650E0000}"/>
    <cellStyle name="20% - Accent2 5 2 5 4" xfId="3779" xr:uid="{00000000-0005-0000-0000-0000660E0000}"/>
    <cellStyle name="20% - Accent2 5 2 6" xfId="3780" xr:uid="{00000000-0005-0000-0000-0000670E0000}"/>
    <cellStyle name="20% - Accent2 5 2 6 2" xfId="3781" xr:uid="{00000000-0005-0000-0000-0000680E0000}"/>
    <cellStyle name="20% - Accent2 5 2 6 3" xfId="3782" xr:uid="{00000000-0005-0000-0000-0000690E0000}"/>
    <cellStyle name="20% - Accent2 5 2 7" xfId="3783" xr:uid="{00000000-0005-0000-0000-00006A0E0000}"/>
    <cellStyle name="20% - Accent2 5 2 8" xfId="3784" xr:uid="{00000000-0005-0000-0000-00006B0E0000}"/>
    <cellStyle name="20% - Accent2 5 2 9" xfId="3785" xr:uid="{00000000-0005-0000-0000-00006C0E0000}"/>
    <cellStyle name="20% - Accent2 5 3" xfId="3786" xr:uid="{00000000-0005-0000-0000-00006D0E0000}"/>
    <cellStyle name="20% - Accent2 5 3 2" xfId="3787" xr:uid="{00000000-0005-0000-0000-00006E0E0000}"/>
    <cellStyle name="20% - Accent2 5 3 2 2" xfId="3788" xr:uid="{00000000-0005-0000-0000-00006F0E0000}"/>
    <cellStyle name="20% - Accent2 5 3 2 2 2" xfId="3789" xr:uid="{00000000-0005-0000-0000-0000700E0000}"/>
    <cellStyle name="20% - Accent2 5 3 2 2 2 2" xfId="3790" xr:uid="{00000000-0005-0000-0000-0000710E0000}"/>
    <cellStyle name="20% - Accent2 5 3 2 2 2 2 2" xfId="3791" xr:uid="{00000000-0005-0000-0000-0000720E0000}"/>
    <cellStyle name="20% - Accent2 5 3 2 2 2 2 3" xfId="3792" xr:uid="{00000000-0005-0000-0000-0000730E0000}"/>
    <cellStyle name="20% - Accent2 5 3 2 2 2 3" xfId="3793" xr:uid="{00000000-0005-0000-0000-0000740E0000}"/>
    <cellStyle name="20% - Accent2 5 3 2 2 2 4" xfId="3794" xr:uid="{00000000-0005-0000-0000-0000750E0000}"/>
    <cellStyle name="20% - Accent2 5 3 2 2 3" xfId="3795" xr:uid="{00000000-0005-0000-0000-0000760E0000}"/>
    <cellStyle name="20% - Accent2 5 3 2 2 3 2" xfId="3796" xr:uid="{00000000-0005-0000-0000-0000770E0000}"/>
    <cellStyle name="20% - Accent2 5 3 2 2 3 3" xfId="3797" xr:uid="{00000000-0005-0000-0000-0000780E0000}"/>
    <cellStyle name="20% - Accent2 5 3 2 2 4" xfId="3798" xr:uid="{00000000-0005-0000-0000-0000790E0000}"/>
    <cellStyle name="20% - Accent2 5 3 2 2 5" xfId="3799" xr:uid="{00000000-0005-0000-0000-00007A0E0000}"/>
    <cellStyle name="20% - Accent2 5 3 2 2 6" xfId="3800" xr:uid="{00000000-0005-0000-0000-00007B0E0000}"/>
    <cellStyle name="20% - Accent2 5 3 2 3" xfId="3801" xr:uid="{00000000-0005-0000-0000-00007C0E0000}"/>
    <cellStyle name="20% - Accent2 5 3 2 3 2" xfId="3802" xr:uid="{00000000-0005-0000-0000-00007D0E0000}"/>
    <cellStyle name="20% - Accent2 5 3 2 3 2 2" xfId="3803" xr:uid="{00000000-0005-0000-0000-00007E0E0000}"/>
    <cellStyle name="20% - Accent2 5 3 2 3 2 3" xfId="3804" xr:uid="{00000000-0005-0000-0000-00007F0E0000}"/>
    <cellStyle name="20% - Accent2 5 3 2 3 3" xfId="3805" xr:uid="{00000000-0005-0000-0000-0000800E0000}"/>
    <cellStyle name="20% - Accent2 5 3 2 3 4" xfId="3806" xr:uid="{00000000-0005-0000-0000-0000810E0000}"/>
    <cellStyle name="20% - Accent2 5 3 2 4" xfId="3807" xr:uid="{00000000-0005-0000-0000-0000820E0000}"/>
    <cellStyle name="20% - Accent2 5 3 2 4 2" xfId="3808" xr:uid="{00000000-0005-0000-0000-0000830E0000}"/>
    <cellStyle name="20% - Accent2 5 3 2 4 3" xfId="3809" xr:uid="{00000000-0005-0000-0000-0000840E0000}"/>
    <cellStyle name="20% - Accent2 5 3 2 5" xfId="3810" xr:uid="{00000000-0005-0000-0000-0000850E0000}"/>
    <cellStyle name="20% - Accent2 5 3 2 6" xfId="3811" xr:uid="{00000000-0005-0000-0000-0000860E0000}"/>
    <cellStyle name="20% - Accent2 5 3 2 7" xfId="3812" xr:uid="{00000000-0005-0000-0000-0000870E0000}"/>
    <cellStyle name="20% - Accent2 5 3 3" xfId="3813" xr:uid="{00000000-0005-0000-0000-0000880E0000}"/>
    <cellStyle name="20% - Accent2 5 3 3 2" xfId="3814" xr:uid="{00000000-0005-0000-0000-0000890E0000}"/>
    <cellStyle name="20% - Accent2 5 3 3 2 2" xfId="3815" xr:uid="{00000000-0005-0000-0000-00008A0E0000}"/>
    <cellStyle name="20% - Accent2 5 3 3 2 2 2" xfId="3816" xr:uid="{00000000-0005-0000-0000-00008B0E0000}"/>
    <cellStyle name="20% - Accent2 5 3 3 2 2 3" xfId="3817" xr:uid="{00000000-0005-0000-0000-00008C0E0000}"/>
    <cellStyle name="20% - Accent2 5 3 3 2 3" xfId="3818" xr:uid="{00000000-0005-0000-0000-00008D0E0000}"/>
    <cellStyle name="20% - Accent2 5 3 3 2 4" xfId="3819" xr:uid="{00000000-0005-0000-0000-00008E0E0000}"/>
    <cellStyle name="20% - Accent2 5 3 3 3" xfId="3820" xr:uid="{00000000-0005-0000-0000-00008F0E0000}"/>
    <cellStyle name="20% - Accent2 5 3 3 3 2" xfId="3821" xr:uid="{00000000-0005-0000-0000-0000900E0000}"/>
    <cellStyle name="20% - Accent2 5 3 3 3 3" xfId="3822" xr:uid="{00000000-0005-0000-0000-0000910E0000}"/>
    <cellStyle name="20% - Accent2 5 3 3 4" xfId="3823" xr:uid="{00000000-0005-0000-0000-0000920E0000}"/>
    <cellStyle name="20% - Accent2 5 3 3 5" xfId="3824" xr:uid="{00000000-0005-0000-0000-0000930E0000}"/>
    <cellStyle name="20% - Accent2 5 3 3 6" xfId="3825" xr:uid="{00000000-0005-0000-0000-0000940E0000}"/>
    <cellStyle name="20% - Accent2 5 3 4" xfId="3826" xr:uid="{00000000-0005-0000-0000-0000950E0000}"/>
    <cellStyle name="20% - Accent2 5 3 4 2" xfId="3827" xr:uid="{00000000-0005-0000-0000-0000960E0000}"/>
    <cellStyle name="20% - Accent2 5 3 4 2 2" xfId="3828" xr:uid="{00000000-0005-0000-0000-0000970E0000}"/>
    <cellStyle name="20% - Accent2 5 3 4 2 3" xfId="3829" xr:uid="{00000000-0005-0000-0000-0000980E0000}"/>
    <cellStyle name="20% - Accent2 5 3 4 3" xfId="3830" xr:uid="{00000000-0005-0000-0000-0000990E0000}"/>
    <cellStyle name="20% - Accent2 5 3 4 4" xfId="3831" xr:uid="{00000000-0005-0000-0000-00009A0E0000}"/>
    <cellStyle name="20% - Accent2 5 3 5" xfId="3832" xr:uid="{00000000-0005-0000-0000-00009B0E0000}"/>
    <cellStyle name="20% - Accent2 5 3 5 2" xfId="3833" xr:uid="{00000000-0005-0000-0000-00009C0E0000}"/>
    <cellStyle name="20% - Accent2 5 3 5 3" xfId="3834" xr:uid="{00000000-0005-0000-0000-00009D0E0000}"/>
    <cellStyle name="20% - Accent2 5 3 6" xfId="3835" xr:uid="{00000000-0005-0000-0000-00009E0E0000}"/>
    <cellStyle name="20% - Accent2 5 3 7" xfId="3836" xr:uid="{00000000-0005-0000-0000-00009F0E0000}"/>
    <cellStyle name="20% - Accent2 5 3 8" xfId="3837" xr:uid="{00000000-0005-0000-0000-0000A00E0000}"/>
    <cellStyle name="20% - Accent2 5 4" xfId="3838" xr:uid="{00000000-0005-0000-0000-0000A10E0000}"/>
    <cellStyle name="20% - Accent2 5 4 2" xfId="3839" xr:uid="{00000000-0005-0000-0000-0000A20E0000}"/>
    <cellStyle name="20% - Accent2 5 4 2 2" xfId="3840" xr:uid="{00000000-0005-0000-0000-0000A30E0000}"/>
    <cellStyle name="20% - Accent2 5 4 2 2 2" xfId="3841" xr:uid="{00000000-0005-0000-0000-0000A40E0000}"/>
    <cellStyle name="20% - Accent2 5 4 2 2 2 2" xfId="3842" xr:uid="{00000000-0005-0000-0000-0000A50E0000}"/>
    <cellStyle name="20% - Accent2 5 4 2 2 2 3" xfId="3843" xr:uid="{00000000-0005-0000-0000-0000A60E0000}"/>
    <cellStyle name="20% - Accent2 5 4 2 2 3" xfId="3844" xr:uid="{00000000-0005-0000-0000-0000A70E0000}"/>
    <cellStyle name="20% - Accent2 5 4 2 2 4" xfId="3845" xr:uid="{00000000-0005-0000-0000-0000A80E0000}"/>
    <cellStyle name="20% - Accent2 5 4 2 3" xfId="3846" xr:uid="{00000000-0005-0000-0000-0000A90E0000}"/>
    <cellStyle name="20% - Accent2 5 4 2 3 2" xfId="3847" xr:uid="{00000000-0005-0000-0000-0000AA0E0000}"/>
    <cellStyle name="20% - Accent2 5 4 2 3 3" xfId="3848" xr:uid="{00000000-0005-0000-0000-0000AB0E0000}"/>
    <cellStyle name="20% - Accent2 5 4 2 4" xfId="3849" xr:uid="{00000000-0005-0000-0000-0000AC0E0000}"/>
    <cellStyle name="20% - Accent2 5 4 2 5" xfId="3850" xr:uid="{00000000-0005-0000-0000-0000AD0E0000}"/>
    <cellStyle name="20% - Accent2 5 4 2 6" xfId="3851" xr:uid="{00000000-0005-0000-0000-0000AE0E0000}"/>
    <cellStyle name="20% - Accent2 5 4 3" xfId="3852" xr:uid="{00000000-0005-0000-0000-0000AF0E0000}"/>
    <cellStyle name="20% - Accent2 5 4 3 2" xfId="3853" xr:uid="{00000000-0005-0000-0000-0000B00E0000}"/>
    <cellStyle name="20% - Accent2 5 4 3 2 2" xfId="3854" xr:uid="{00000000-0005-0000-0000-0000B10E0000}"/>
    <cellStyle name="20% - Accent2 5 4 3 2 3" xfId="3855" xr:uid="{00000000-0005-0000-0000-0000B20E0000}"/>
    <cellStyle name="20% - Accent2 5 4 3 3" xfId="3856" xr:uid="{00000000-0005-0000-0000-0000B30E0000}"/>
    <cellStyle name="20% - Accent2 5 4 3 4" xfId="3857" xr:uid="{00000000-0005-0000-0000-0000B40E0000}"/>
    <cellStyle name="20% - Accent2 5 4 4" xfId="3858" xr:uid="{00000000-0005-0000-0000-0000B50E0000}"/>
    <cellStyle name="20% - Accent2 5 4 4 2" xfId="3859" xr:uid="{00000000-0005-0000-0000-0000B60E0000}"/>
    <cellStyle name="20% - Accent2 5 4 4 3" xfId="3860" xr:uid="{00000000-0005-0000-0000-0000B70E0000}"/>
    <cellStyle name="20% - Accent2 5 4 5" xfId="3861" xr:uid="{00000000-0005-0000-0000-0000B80E0000}"/>
    <cellStyle name="20% - Accent2 5 4 6" xfId="3862" xr:uid="{00000000-0005-0000-0000-0000B90E0000}"/>
    <cellStyle name="20% - Accent2 5 4 7" xfId="3863" xr:uid="{00000000-0005-0000-0000-0000BA0E0000}"/>
    <cellStyle name="20% - Accent2 5 5" xfId="3864" xr:uid="{00000000-0005-0000-0000-0000BB0E0000}"/>
    <cellStyle name="20% - Accent2 5 5 2" xfId="3865" xr:uid="{00000000-0005-0000-0000-0000BC0E0000}"/>
    <cellStyle name="20% - Accent2 5 5 2 2" xfId="3866" xr:uid="{00000000-0005-0000-0000-0000BD0E0000}"/>
    <cellStyle name="20% - Accent2 5 5 2 2 2" xfId="3867" xr:uid="{00000000-0005-0000-0000-0000BE0E0000}"/>
    <cellStyle name="20% - Accent2 5 5 2 2 3" xfId="3868" xr:uid="{00000000-0005-0000-0000-0000BF0E0000}"/>
    <cellStyle name="20% - Accent2 5 5 2 3" xfId="3869" xr:uid="{00000000-0005-0000-0000-0000C00E0000}"/>
    <cellStyle name="20% - Accent2 5 5 2 4" xfId="3870" xr:uid="{00000000-0005-0000-0000-0000C10E0000}"/>
    <cellStyle name="20% - Accent2 5 5 3" xfId="3871" xr:uid="{00000000-0005-0000-0000-0000C20E0000}"/>
    <cellStyle name="20% - Accent2 5 5 3 2" xfId="3872" xr:uid="{00000000-0005-0000-0000-0000C30E0000}"/>
    <cellStyle name="20% - Accent2 5 5 3 3" xfId="3873" xr:uid="{00000000-0005-0000-0000-0000C40E0000}"/>
    <cellStyle name="20% - Accent2 5 5 4" xfId="3874" xr:uid="{00000000-0005-0000-0000-0000C50E0000}"/>
    <cellStyle name="20% - Accent2 5 5 5" xfId="3875" xr:uid="{00000000-0005-0000-0000-0000C60E0000}"/>
    <cellStyle name="20% - Accent2 5 5 6" xfId="3876" xr:uid="{00000000-0005-0000-0000-0000C70E0000}"/>
    <cellStyle name="20% - Accent2 5 6" xfId="3877" xr:uid="{00000000-0005-0000-0000-0000C80E0000}"/>
    <cellStyle name="20% - Accent2 5 6 2" xfId="3878" xr:uid="{00000000-0005-0000-0000-0000C90E0000}"/>
    <cellStyle name="20% - Accent2 5 6 2 2" xfId="3879" xr:uid="{00000000-0005-0000-0000-0000CA0E0000}"/>
    <cellStyle name="20% - Accent2 5 6 2 3" xfId="3880" xr:uid="{00000000-0005-0000-0000-0000CB0E0000}"/>
    <cellStyle name="20% - Accent2 5 6 3" xfId="3881" xr:uid="{00000000-0005-0000-0000-0000CC0E0000}"/>
    <cellStyle name="20% - Accent2 5 6 4" xfId="3882" xr:uid="{00000000-0005-0000-0000-0000CD0E0000}"/>
    <cellStyle name="20% - Accent2 5 7" xfId="3883" xr:uid="{00000000-0005-0000-0000-0000CE0E0000}"/>
    <cellStyle name="20% - Accent2 5 7 2" xfId="3884" xr:uid="{00000000-0005-0000-0000-0000CF0E0000}"/>
    <cellStyle name="20% - Accent2 5 7 3" xfId="3885" xr:uid="{00000000-0005-0000-0000-0000D00E0000}"/>
    <cellStyle name="20% - Accent2 5 8" xfId="3886" xr:uid="{00000000-0005-0000-0000-0000D10E0000}"/>
    <cellStyle name="20% - Accent2 5 9" xfId="3887" xr:uid="{00000000-0005-0000-0000-0000D20E0000}"/>
    <cellStyle name="20% - Accent2 6" xfId="3888" xr:uid="{00000000-0005-0000-0000-0000D30E0000}"/>
    <cellStyle name="20% - Accent2 6 2" xfId="3889" xr:uid="{00000000-0005-0000-0000-0000D40E0000}"/>
    <cellStyle name="20% - Accent2 6 2 2" xfId="3890" xr:uid="{00000000-0005-0000-0000-0000D50E0000}"/>
    <cellStyle name="20% - Accent2 6 2 2 2" xfId="3891" xr:uid="{00000000-0005-0000-0000-0000D60E0000}"/>
    <cellStyle name="20% - Accent2 6 2 2 2 2" xfId="3892" xr:uid="{00000000-0005-0000-0000-0000D70E0000}"/>
    <cellStyle name="20% - Accent2 6 2 2 2 2 2" xfId="3893" xr:uid="{00000000-0005-0000-0000-0000D80E0000}"/>
    <cellStyle name="20% - Accent2 6 2 2 2 2 2 2" xfId="3894" xr:uid="{00000000-0005-0000-0000-0000D90E0000}"/>
    <cellStyle name="20% - Accent2 6 2 2 2 2 2 3" xfId="3895" xr:uid="{00000000-0005-0000-0000-0000DA0E0000}"/>
    <cellStyle name="20% - Accent2 6 2 2 2 2 3" xfId="3896" xr:uid="{00000000-0005-0000-0000-0000DB0E0000}"/>
    <cellStyle name="20% - Accent2 6 2 2 2 2 4" xfId="3897" xr:uid="{00000000-0005-0000-0000-0000DC0E0000}"/>
    <cellStyle name="20% - Accent2 6 2 2 2 3" xfId="3898" xr:uid="{00000000-0005-0000-0000-0000DD0E0000}"/>
    <cellStyle name="20% - Accent2 6 2 2 2 3 2" xfId="3899" xr:uid="{00000000-0005-0000-0000-0000DE0E0000}"/>
    <cellStyle name="20% - Accent2 6 2 2 2 3 3" xfId="3900" xr:uid="{00000000-0005-0000-0000-0000DF0E0000}"/>
    <cellStyle name="20% - Accent2 6 2 2 2 4" xfId="3901" xr:uid="{00000000-0005-0000-0000-0000E00E0000}"/>
    <cellStyle name="20% - Accent2 6 2 2 2 5" xfId="3902" xr:uid="{00000000-0005-0000-0000-0000E10E0000}"/>
    <cellStyle name="20% - Accent2 6 2 2 2 6" xfId="3903" xr:uid="{00000000-0005-0000-0000-0000E20E0000}"/>
    <cellStyle name="20% - Accent2 6 2 2 3" xfId="3904" xr:uid="{00000000-0005-0000-0000-0000E30E0000}"/>
    <cellStyle name="20% - Accent2 6 2 2 3 2" xfId="3905" xr:uid="{00000000-0005-0000-0000-0000E40E0000}"/>
    <cellStyle name="20% - Accent2 6 2 2 3 2 2" xfId="3906" xr:uid="{00000000-0005-0000-0000-0000E50E0000}"/>
    <cellStyle name="20% - Accent2 6 2 2 3 2 3" xfId="3907" xr:uid="{00000000-0005-0000-0000-0000E60E0000}"/>
    <cellStyle name="20% - Accent2 6 2 2 3 3" xfId="3908" xr:uid="{00000000-0005-0000-0000-0000E70E0000}"/>
    <cellStyle name="20% - Accent2 6 2 2 3 4" xfId="3909" xr:uid="{00000000-0005-0000-0000-0000E80E0000}"/>
    <cellStyle name="20% - Accent2 6 2 2 4" xfId="3910" xr:uid="{00000000-0005-0000-0000-0000E90E0000}"/>
    <cellStyle name="20% - Accent2 6 2 2 4 2" xfId="3911" xr:uid="{00000000-0005-0000-0000-0000EA0E0000}"/>
    <cellStyle name="20% - Accent2 6 2 2 4 3" xfId="3912" xr:uid="{00000000-0005-0000-0000-0000EB0E0000}"/>
    <cellStyle name="20% - Accent2 6 2 2 5" xfId="3913" xr:uid="{00000000-0005-0000-0000-0000EC0E0000}"/>
    <cellStyle name="20% - Accent2 6 2 2 6" xfId="3914" xr:uid="{00000000-0005-0000-0000-0000ED0E0000}"/>
    <cellStyle name="20% - Accent2 6 2 2 7" xfId="3915" xr:uid="{00000000-0005-0000-0000-0000EE0E0000}"/>
    <cellStyle name="20% - Accent2 6 2 3" xfId="3916" xr:uid="{00000000-0005-0000-0000-0000EF0E0000}"/>
    <cellStyle name="20% - Accent2 6 2 3 2" xfId="3917" xr:uid="{00000000-0005-0000-0000-0000F00E0000}"/>
    <cellStyle name="20% - Accent2 6 2 3 2 2" xfId="3918" xr:uid="{00000000-0005-0000-0000-0000F10E0000}"/>
    <cellStyle name="20% - Accent2 6 2 3 2 2 2" xfId="3919" xr:uid="{00000000-0005-0000-0000-0000F20E0000}"/>
    <cellStyle name="20% - Accent2 6 2 3 2 2 3" xfId="3920" xr:uid="{00000000-0005-0000-0000-0000F30E0000}"/>
    <cellStyle name="20% - Accent2 6 2 3 2 3" xfId="3921" xr:uid="{00000000-0005-0000-0000-0000F40E0000}"/>
    <cellStyle name="20% - Accent2 6 2 3 2 4" xfId="3922" xr:uid="{00000000-0005-0000-0000-0000F50E0000}"/>
    <cellStyle name="20% - Accent2 6 2 3 3" xfId="3923" xr:uid="{00000000-0005-0000-0000-0000F60E0000}"/>
    <cellStyle name="20% - Accent2 6 2 3 3 2" xfId="3924" xr:uid="{00000000-0005-0000-0000-0000F70E0000}"/>
    <cellStyle name="20% - Accent2 6 2 3 3 3" xfId="3925" xr:uid="{00000000-0005-0000-0000-0000F80E0000}"/>
    <cellStyle name="20% - Accent2 6 2 3 4" xfId="3926" xr:uid="{00000000-0005-0000-0000-0000F90E0000}"/>
    <cellStyle name="20% - Accent2 6 2 3 5" xfId="3927" xr:uid="{00000000-0005-0000-0000-0000FA0E0000}"/>
    <cellStyle name="20% - Accent2 6 2 3 6" xfId="3928" xr:uid="{00000000-0005-0000-0000-0000FB0E0000}"/>
    <cellStyle name="20% - Accent2 6 2 4" xfId="3929" xr:uid="{00000000-0005-0000-0000-0000FC0E0000}"/>
    <cellStyle name="20% - Accent2 6 2 4 2" xfId="3930" xr:uid="{00000000-0005-0000-0000-0000FD0E0000}"/>
    <cellStyle name="20% - Accent2 6 2 4 2 2" xfId="3931" xr:uid="{00000000-0005-0000-0000-0000FE0E0000}"/>
    <cellStyle name="20% - Accent2 6 2 4 2 3" xfId="3932" xr:uid="{00000000-0005-0000-0000-0000FF0E0000}"/>
    <cellStyle name="20% - Accent2 6 2 4 3" xfId="3933" xr:uid="{00000000-0005-0000-0000-0000000F0000}"/>
    <cellStyle name="20% - Accent2 6 2 4 4" xfId="3934" xr:uid="{00000000-0005-0000-0000-0000010F0000}"/>
    <cellStyle name="20% - Accent2 6 2 5" xfId="3935" xr:uid="{00000000-0005-0000-0000-0000020F0000}"/>
    <cellStyle name="20% - Accent2 6 2 5 2" xfId="3936" xr:uid="{00000000-0005-0000-0000-0000030F0000}"/>
    <cellStyle name="20% - Accent2 6 2 5 3" xfId="3937" xr:uid="{00000000-0005-0000-0000-0000040F0000}"/>
    <cellStyle name="20% - Accent2 6 2 6" xfId="3938" xr:uid="{00000000-0005-0000-0000-0000050F0000}"/>
    <cellStyle name="20% - Accent2 6 2 7" xfId="3939" xr:uid="{00000000-0005-0000-0000-0000060F0000}"/>
    <cellStyle name="20% - Accent2 6 2 8" xfId="3940" xr:uid="{00000000-0005-0000-0000-0000070F0000}"/>
    <cellStyle name="20% - Accent2 6 3" xfId="3941" xr:uid="{00000000-0005-0000-0000-0000080F0000}"/>
    <cellStyle name="20% - Accent2 6 3 2" xfId="3942" xr:uid="{00000000-0005-0000-0000-0000090F0000}"/>
    <cellStyle name="20% - Accent2 6 3 2 2" xfId="3943" xr:uid="{00000000-0005-0000-0000-00000A0F0000}"/>
    <cellStyle name="20% - Accent2 6 3 2 2 2" xfId="3944" xr:uid="{00000000-0005-0000-0000-00000B0F0000}"/>
    <cellStyle name="20% - Accent2 6 3 2 2 2 2" xfId="3945" xr:uid="{00000000-0005-0000-0000-00000C0F0000}"/>
    <cellStyle name="20% - Accent2 6 3 2 2 2 3" xfId="3946" xr:uid="{00000000-0005-0000-0000-00000D0F0000}"/>
    <cellStyle name="20% - Accent2 6 3 2 2 3" xfId="3947" xr:uid="{00000000-0005-0000-0000-00000E0F0000}"/>
    <cellStyle name="20% - Accent2 6 3 2 2 4" xfId="3948" xr:uid="{00000000-0005-0000-0000-00000F0F0000}"/>
    <cellStyle name="20% - Accent2 6 3 2 3" xfId="3949" xr:uid="{00000000-0005-0000-0000-0000100F0000}"/>
    <cellStyle name="20% - Accent2 6 3 2 3 2" xfId="3950" xr:uid="{00000000-0005-0000-0000-0000110F0000}"/>
    <cellStyle name="20% - Accent2 6 3 2 3 3" xfId="3951" xr:uid="{00000000-0005-0000-0000-0000120F0000}"/>
    <cellStyle name="20% - Accent2 6 3 2 4" xfId="3952" xr:uid="{00000000-0005-0000-0000-0000130F0000}"/>
    <cellStyle name="20% - Accent2 6 3 2 5" xfId="3953" xr:uid="{00000000-0005-0000-0000-0000140F0000}"/>
    <cellStyle name="20% - Accent2 6 3 2 6" xfId="3954" xr:uid="{00000000-0005-0000-0000-0000150F0000}"/>
    <cellStyle name="20% - Accent2 6 3 3" xfId="3955" xr:uid="{00000000-0005-0000-0000-0000160F0000}"/>
    <cellStyle name="20% - Accent2 6 3 3 2" xfId="3956" xr:uid="{00000000-0005-0000-0000-0000170F0000}"/>
    <cellStyle name="20% - Accent2 6 3 3 2 2" xfId="3957" xr:uid="{00000000-0005-0000-0000-0000180F0000}"/>
    <cellStyle name="20% - Accent2 6 3 3 2 3" xfId="3958" xr:uid="{00000000-0005-0000-0000-0000190F0000}"/>
    <cellStyle name="20% - Accent2 6 3 3 3" xfId="3959" xr:uid="{00000000-0005-0000-0000-00001A0F0000}"/>
    <cellStyle name="20% - Accent2 6 3 3 4" xfId="3960" xr:uid="{00000000-0005-0000-0000-00001B0F0000}"/>
    <cellStyle name="20% - Accent2 6 3 4" xfId="3961" xr:uid="{00000000-0005-0000-0000-00001C0F0000}"/>
    <cellStyle name="20% - Accent2 6 3 4 2" xfId="3962" xr:uid="{00000000-0005-0000-0000-00001D0F0000}"/>
    <cellStyle name="20% - Accent2 6 3 4 3" xfId="3963" xr:uid="{00000000-0005-0000-0000-00001E0F0000}"/>
    <cellStyle name="20% - Accent2 6 3 5" xfId="3964" xr:uid="{00000000-0005-0000-0000-00001F0F0000}"/>
    <cellStyle name="20% - Accent2 6 3 6" xfId="3965" xr:uid="{00000000-0005-0000-0000-0000200F0000}"/>
    <cellStyle name="20% - Accent2 6 3 7" xfId="3966" xr:uid="{00000000-0005-0000-0000-0000210F0000}"/>
    <cellStyle name="20% - Accent2 6 4" xfId="3967" xr:uid="{00000000-0005-0000-0000-0000220F0000}"/>
    <cellStyle name="20% - Accent2 6 4 2" xfId="3968" xr:uid="{00000000-0005-0000-0000-0000230F0000}"/>
    <cellStyle name="20% - Accent2 6 4 2 2" xfId="3969" xr:uid="{00000000-0005-0000-0000-0000240F0000}"/>
    <cellStyle name="20% - Accent2 6 4 2 2 2" xfId="3970" xr:uid="{00000000-0005-0000-0000-0000250F0000}"/>
    <cellStyle name="20% - Accent2 6 4 2 2 3" xfId="3971" xr:uid="{00000000-0005-0000-0000-0000260F0000}"/>
    <cellStyle name="20% - Accent2 6 4 2 3" xfId="3972" xr:uid="{00000000-0005-0000-0000-0000270F0000}"/>
    <cellStyle name="20% - Accent2 6 4 2 4" xfId="3973" xr:uid="{00000000-0005-0000-0000-0000280F0000}"/>
    <cellStyle name="20% - Accent2 6 4 3" xfId="3974" xr:uid="{00000000-0005-0000-0000-0000290F0000}"/>
    <cellStyle name="20% - Accent2 6 4 3 2" xfId="3975" xr:uid="{00000000-0005-0000-0000-00002A0F0000}"/>
    <cellStyle name="20% - Accent2 6 4 3 3" xfId="3976" xr:uid="{00000000-0005-0000-0000-00002B0F0000}"/>
    <cellStyle name="20% - Accent2 6 4 4" xfId="3977" xr:uid="{00000000-0005-0000-0000-00002C0F0000}"/>
    <cellStyle name="20% - Accent2 6 4 5" xfId="3978" xr:uid="{00000000-0005-0000-0000-00002D0F0000}"/>
    <cellStyle name="20% - Accent2 6 4 6" xfId="3979" xr:uid="{00000000-0005-0000-0000-00002E0F0000}"/>
    <cellStyle name="20% - Accent2 6 5" xfId="3980" xr:uid="{00000000-0005-0000-0000-00002F0F0000}"/>
    <cellStyle name="20% - Accent2 6 5 2" xfId="3981" xr:uid="{00000000-0005-0000-0000-0000300F0000}"/>
    <cellStyle name="20% - Accent2 6 5 2 2" xfId="3982" xr:uid="{00000000-0005-0000-0000-0000310F0000}"/>
    <cellStyle name="20% - Accent2 6 5 2 3" xfId="3983" xr:uid="{00000000-0005-0000-0000-0000320F0000}"/>
    <cellStyle name="20% - Accent2 6 5 3" xfId="3984" xr:uid="{00000000-0005-0000-0000-0000330F0000}"/>
    <cellStyle name="20% - Accent2 6 5 4" xfId="3985" xr:uid="{00000000-0005-0000-0000-0000340F0000}"/>
    <cellStyle name="20% - Accent2 6 6" xfId="3986" xr:uid="{00000000-0005-0000-0000-0000350F0000}"/>
    <cellStyle name="20% - Accent2 6 6 2" xfId="3987" xr:uid="{00000000-0005-0000-0000-0000360F0000}"/>
    <cellStyle name="20% - Accent2 6 6 3" xfId="3988" xr:uid="{00000000-0005-0000-0000-0000370F0000}"/>
    <cellStyle name="20% - Accent2 6 7" xfId="3989" xr:uid="{00000000-0005-0000-0000-0000380F0000}"/>
    <cellStyle name="20% - Accent2 6 8" xfId="3990" xr:uid="{00000000-0005-0000-0000-0000390F0000}"/>
    <cellStyle name="20% - Accent2 6 9" xfId="3991" xr:uid="{00000000-0005-0000-0000-00003A0F0000}"/>
    <cellStyle name="20% - Accent2 7" xfId="3992" xr:uid="{00000000-0005-0000-0000-00003B0F0000}"/>
    <cellStyle name="20% - Accent2 7 2" xfId="3993" xr:uid="{00000000-0005-0000-0000-00003C0F0000}"/>
    <cellStyle name="20% - Accent2 7 2 2" xfId="3994" xr:uid="{00000000-0005-0000-0000-00003D0F0000}"/>
    <cellStyle name="20% - Accent2 7 2 2 2" xfId="3995" xr:uid="{00000000-0005-0000-0000-00003E0F0000}"/>
    <cellStyle name="20% - Accent2 7 2 2 2 2" xfId="3996" xr:uid="{00000000-0005-0000-0000-00003F0F0000}"/>
    <cellStyle name="20% - Accent2 7 2 2 2 2 2" xfId="3997" xr:uid="{00000000-0005-0000-0000-0000400F0000}"/>
    <cellStyle name="20% - Accent2 7 2 2 2 2 2 2" xfId="3998" xr:uid="{00000000-0005-0000-0000-0000410F0000}"/>
    <cellStyle name="20% - Accent2 7 2 2 2 2 2 3" xfId="3999" xr:uid="{00000000-0005-0000-0000-0000420F0000}"/>
    <cellStyle name="20% - Accent2 7 2 2 2 2 3" xfId="4000" xr:uid="{00000000-0005-0000-0000-0000430F0000}"/>
    <cellStyle name="20% - Accent2 7 2 2 2 2 4" xfId="4001" xr:uid="{00000000-0005-0000-0000-0000440F0000}"/>
    <cellStyle name="20% - Accent2 7 2 2 2 3" xfId="4002" xr:uid="{00000000-0005-0000-0000-0000450F0000}"/>
    <cellStyle name="20% - Accent2 7 2 2 2 3 2" xfId="4003" xr:uid="{00000000-0005-0000-0000-0000460F0000}"/>
    <cellStyle name="20% - Accent2 7 2 2 2 3 3" xfId="4004" xr:uid="{00000000-0005-0000-0000-0000470F0000}"/>
    <cellStyle name="20% - Accent2 7 2 2 2 4" xfId="4005" xr:uid="{00000000-0005-0000-0000-0000480F0000}"/>
    <cellStyle name="20% - Accent2 7 2 2 2 5" xfId="4006" xr:uid="{00000000-0005-0000-0000-0000490F0000}"/>
    <cellStyle name="20% - Accent2 7 2 2 2 6" xfId="4007" xr:uid="{00000000-0005-0000-0000-00004A0F0000}"/>
    <cellStyle name="20% - Accent2 7 2 2 3" xfId="4008" xr:uid="{00000000-0005-0000-0000-00004B0F0000}"/>
    <cellStyle name="20% - Accent2 7 2 2 3 2" xfId="4009" xr:uid="{00000000-0005-0000-0000-00004C0F0000}"/>
    <cellStyle name="20% - Accent2 7 2 2 3 2 2" xfId="4010" xr:uid="{00000000-0005-0000-0000-00004D0F0000}"/>
    <cellStyle name="20% - Accent2 7 2 2 3 2 3" xfId="4011" xr:uid="{00000000-0005-0000-0000-00004E0F0000}"/>
    <cellStyle name="20% - Accent2 7 2 2 3 3" xfId="4012" xr:uid="{00000000-0005-0000-0000-00004F0F0000}"/>
    <cellStyle name="20% - Accent2 7 2 2 3 4" xfId="4013" xr:uid="{00000000-0005-0000-0000-0000500F0000}"/>
    <cellStyle name="20% - Accent2 7 2 2 4" xfId="4014" xr:uid="{00000000-0005-0000-0000-0000510F0000}"/>
    <cellStyle name="20% - Accent2 7 2 2 4 2" xfId="4015" xr:uid="{00000000-0005-0000-0000-0000520F0000}"/>
    <cellStyle name="20% - Accent2 7 2 2 4 3" xfId="4016" xr:uid="{00000000-0005-0000-0000-0000530F0000}"/>
    <cellStyle name="20% - Accent2 7 2 2 5" xfId="4017" xr:uid="{00000000-0005-0000-0000-0000540F0000}"/>
    <cellStyle name="20% - Accent2 7 2 2 6" xfId="4018" xr:uid="{00000000-0005-0000-0000-0000550F0000}"/>
    <cellStyle name="20% - Accent2 7 2 2 7" xfId="4019" xr:uid="{00000000-0005-0000-0000-0000560F0000}"/>
    <cellStyle name="20% - Accent2 7 2 3" xfId="4020" xr:uid="{00000000-0005-0000-0000-0000570F0000}"/>
    <cellStyle name="20% - Accent2 7 2 3 2" xfId="4021" xr:uid="{00000000-0005-0000-0000-0000580F0000}"/>
    <cellStyle name="20% - Accent2 7 2 3 2 2" xfId="4022" xr:uid="{00000000-0005-0000-0000-0000590F0000}"/>
    <cellStyle name="20% - Accent2 7 2 3 2 2 2" xfId="4023" xr:uid="{00000000-0005-0000-0000-00005A0F0000}"/>
    <cellStyle name="20% - Accent2 7 2 3 2 2 3" xfId="4024" xr:uid="{00000000-0005-0000-0000-00005B0F0000}"/>
    <cellStyle name="20% - Accent2 7 2 3 2 3" xfId="4025" xr:uid="{00000000-0005-0000-0000-00005C0F0000}"/>
    <cellStyle name="20% - Accent2 7 2 3 2 4" xfId="4026" xr:uid="{00000000-0005-0000-0000-00005D0F0000}"/>
    <cellStyle name="20% - Accent2 7 2 3 3" xfId="4027" xr:uid="{00000000-0005-0000-0000-00005E0F0000}"/>
    <cellStyle name="20% - Accent2 7 2 3 3 2" xfId="4028" xr:uid="{00000000-0005-0000-0000-00005F0F0000}"/>
    <cellStyle name="20% - Accent2 7 2 3 3 3" xfId="4029" xr:uid="{00000000-0005-0000-0000-0000600F0000}"/>
    <cellStyle name="20% - Accent2 7 2 3 4" xfId="4030" xr:uid="{00000000-0005-0000-0000-0000610F0000}"/>
    <cellStyle name="20% - Accent2 7 2 3 5" xfId="4031" xr:uid="{00000000-0005-0000-0000-0000620F0000}"/>
    <cellStyle name="20% - Accent2 7 2 3 6" xfId="4032" xr:uid="{00000000-0005-0000-0000-0000630F0000}"/>
    <cellStyle name="20% - Accent2 7 2 4" xfId="4033" xr:uid="{00000000-0005-0000-0000-0000640F0000}"/>
    <cellStyle name="20% - Accent2 7 2 4 2" xfId="4034" xr:uid="{00000000-0005-0000-0000-0000650F0000}"/>
    <cellStyle name="20% - Accent2 7 2 4 2 2" xfId="4035" xr:uid="{00000000-0005-0000-0000-0000660F0000}"/>
    <cellStyle name="20% - Accent2 7 2 4 2 3" xfId="4036" xr:uid="{00000000-0005-0000-0000-0000670F0000}"/>
    <cellStyle name="20% - Accent2 7 2 4 3" xfId="4037" xr:uid="{00000000-0005-0000-0000-0000680F0000}"/>
    <cellStyle name="20% - Accent2 7 2 4 4" xfId="4038" xr:uid="{00000000-0005-0000-0000-0000690F0000}"/>
    <cellStyle name="20% - Accent2 7 2 5" xfId="4039" xr:uid="{00000000-0005-0000-0000-00006A0F0000}"/>
    <cellStyle name="20% - Accent2 7 2 5 2" xfId="4040" xr:uid="{00000000-0005-0000-0000-00006B0F0000}"/>
    <cellStyle name="20% - Accent2 7 2 5 3" xfId="4041" xr:uid="{00000000-0005-0000-0000-00006C0F0000}"/>
    <cellStyle name="20% - Accent2 7 2 6" xfId="4042" xr:uid="{00000000-0005-0000-0000-00006D0F0000}"/>
    <cellStyle name="20% - Accent2 7 2 7" xfId="4043" xr:uid="{00000000-0005-0000-0000-00006E0F0000}"/>
    <cellStyle name="20% - Accent2 7 2 8" xfId="4044" xr:uid="{00000000-0005-0000-0000-00006F0F0000}"/>
    <cellStyle name="20% - Accent2 7 3" xfId="4045" xr:uid="{00000000-0005-0000-0000-0000700F0000}"/>
    <cellStyle name="20% - Accent2 7 3 2" xfId="4046" xr:uid="{00000000-0005-0000-0000-0000710F0000}"/>
    <cellStyle name="20% - Accent2 7 3 2 2" xfId="4047" xr:uid="{00000000-0005-0000-0000-0000720F0000}"/>
    <cellStyle name="20% - Accent2 7 3 2 2 2" xfId="4048" xr:uid="{00000000-0005-0000-0000-0000730F0000}"/>
    <cellStyle name="20% - Accent2 7 3 2 2 2 2" xfId="4049" xr:uid="{00000000-0005-0000-0000-0000740F0000}"/>
    <cellStyle name="20% - Accent2 7 3 2 2 2 3" xfId="4050" xr:uid="{00000000-0005-0000-0000-0000750F0000}"/>
    <cellStyle name="20% - Accent2 7 3 2 2 3" xfId="4051" xr:uid="{00000000-0005-0000-0000-0000760F0000}"/>
    <cellStyle name="20% - Accent2 7 3 2 2 4" xfId="4052" xr:uid="{00000000-0005-0000-0000-0000770F0000}"/>
    <cellStyle name="20% - Accent2 7 3 2 3" xfId="4053" xr:uid="{00000000-0005-0000-0000-0000780F0000}"/>
    <cellStyle name="20% - Accent2 7 3 2 3 2" xfId="4054" xr:uid="{00000000-0005-0000-0000-0000790F0000}"/>
    <cellStyle name="20% - Accent2 7 3 2 3 3" xfId="4055" xr:uid="{00000000-0005-0000-0000-00007A0F0000}"/>
    <cellStyle name="20% - Accent2 7 3 2 4" xfId="4056" xr:uid="{00000000-0005-0000-0000-00007B0F0000}"/>
    <cellStyle name="20% - Accent2 7 3 2 5" xfId="4057" xr:uid="{00000000-0005-0000-0000-00007C0F0000}"/>
    <cellStyle name="20% - Accent2 7 3 2 6" xfId="4058" xr:uid="{00000000-0005-0000-0000-00007D0F0000}"/>
    <cellStyle name="20% - Accent2 7 3 3" xfId="4059" xr:uid="{00000000-0005-0000-0000-00007E0F0000}"/>
    <cellStyle name="20% - Accent2 7 3 3 2" xfId="4060" xr:uid="{00000000-0005-0000-0000-00007F0F0000}"/>
    <cellStyle name="20% - Accent2 7 3 3 2 2" xfId="4061" xr:uid="{00000000-0005-0000-0000-0000800F0000}"/>
    <cellStyle name="20% - Accent2 7 3 3 2 3" xfId="4062" xr:uid="{00000000-0005-0000-0000-0000810F0000}"/>
    <cellStyle name="20% - Accent2 7 3 3 3" xfId="4063" xr:uid="{00000000-0005-0000-0000-0000820F0000}"/>
    <cellStyle name="20% - Accent2 7 3 3 4" xfId="4064" xr:uid="{00000000-0005-0000-0000-0000830F0000}"/>
    <cellStyle name="20% - Accent2 7 3 4" xfId="4065" xr:uid="{00000000-0005-0000-0000-0000840F0000}"/>
    <cellStyle name="20% - Accent2 7 3 4 2" xfId="4066" xr:uid="{00000000-0005-0000-0000-0000850F0000}"/>
    <cellStyle name="20% - Accent2 7 3 4 3" xfId="4067" xr:uid="{00000000-0005-0000-0000-0000860F0000}"/>
    <cellStyle name="20% - Accent2 7 3 5" xfId="4068" xr:uid="{00000000-0005-0000-0000-0000870F0000}"/>
    <cellStyle name="20% - Accent2 7 3 6" xfId="4069" xr:uid="{00000000-0005-0000-0000-0000880F0000}"/>
    <cellStyle name="20% - Accent2 7 3 7" xfId="4070" xr:uid="{00000000-0005-0000-0000-0000890F0000}"/>
    <cellStyle name="20% - Accent2 7 4" xfId="4071" xr:uid="{00000000-0005-0000-0000-00008A0F0000}"/>
    <cellStyle name="20% - Accent2 7 4 2" xfId="4072" xr:uid="{00000000-0005-0000-0000-00008B0F0000}"/>
    <cellStyle name="20% - Accent2 7 4 2 2" xfId="4073" xr:uid="{00000000-0005-0000-0000-00008C0F0000}"/>
    <cellStyle name="20% - Accent2 7 4 2 2 2" xfId="4074" xr:uid="{00000000-0005-0000-0000-00008D0F0000}"/>
    <cellStyle name="20% - Accent2 7 4 2 2 3" xfId="4075" xr:uid="{00000000-0005-0000-0000-00008E0F0000}"/>
    <cellStyle name="20% - Accent2 7 4 2 3" xfId="4076" xr:uid="{00000000-0005-0000-0000-00008F0F0000}"/>
    <cellStyle name="20% - Accent2 7 4 2 4" xfId="4077" xr:uid="{00000000-0005-0000-0000-0000900F0000}"/>
    <cellStyle name="20% - Accent2 7 4 3" xfId="4078" xr:uid="{00000000-0005-0000-0000-0000910F0000}"/>
    <cellStyle name="20% - Accent2 7 4 3 2" xfId="4079" xr:uid="{00000000-0005-0000-0000-0000920F0000}"/>
    <cellStyle name="20% - Accent2 7 4 3 3" xfId="4080" xr:uid="{00000000-0005-0000-0000-0000930F0000}"/>
    <cellStyle name="20% - Accent2 7 4 4" xfId="4081" xr:uid="{00000000-0005-0000-0000-0000940F0000}"/>
    <cellStyle name="20% - Accent2 7 4 5" xfId="4082" xr:uid="{00000000-0005-0000-0000-0000950F0000}"/>
    <cellStyle name="20% - Accent2 7 4 6" xfId="4083" xr:uid="{00000000-0005-0000-0000-0000960F0000}"/>
    <cellStyle name="20% - Accent2 7 5" xfId="4084" xr:uid="{00000000-0005-0000-0000-0000970F0000}"/>
    <cellStyle name="20% - Accent2 7 5 2" xfId="4085" xr:uid="{00000000-0005-0000-0000-0000980F0000}"/>
    <cellStyle name="20% - Accent2 7 5 2 2" xfId="4086" xr:uid="{00000000-0005-0000-0000-0000990F0000}"/>
    <cellStyle name="20% - Accent2 7 5 2 3" xfId="4087" xr:uid="{00000000-0005-0000-0000-00009A0F0000}"/>
    <cellStyle name="20% - Accent2 7 5 3" xfId="4088" xr:uid="{00000000-0005-0000-0000-00009B0F0000}"/>
    <cellStyle name="20% - Accent2 7 5 4" xfId="4089" xr:uid="{00000000-0005-0000-0000-00009C0F0000}"/>
    <cellStyle name="20% - Accent2 7 6" xfId="4090" xr:uid="{00000000-0005-0000-0000-00009D0F0000}"/>
    <cellStyle name="20% - Accent2 7 6 2" xfId="4091" xr:uid="{00000000-0005-0000-0000-00009E0F0000}"/>
    <cellStyle name="20% - Accent2 7 6 3" xfId="4092" xr:uid="{00000000-0005-0000-0000-00009F0F0000}"/>
    <cellStyle name="20% - Accent2 7 7" xfId="4093" xr:uid="{00000000-0005-0000-0000-0000A00F0000}"/>
    <cellStyle name="20% - Accent2 7 8" xfId="4094" xr:uid="{00000000-0005-0000-0000-0000A10F0000}"/>
    <cellStyle name="20% - Accent2 7 9" xfId="4095" xr:uid="{00000000-0005-0000-0000-0000A20F0000}"/>
    <cellStyle name="20% - Accent2 8" xfId="4096" xr:uid="{00000000-0005-0000-0000-0000A30F0000}"/>
    <cellStyle name="20% - Accent2 8 2" xfId="4097" xr:uid="{00000000-0005-0000-0000-0000A40F0000}"/>
    <cellStyle name="20% - Accent2 8 2 2" xfId="4098" xr:uid="{00000000-0005-0000-0000-0000A50F0000}"/>
    <cellStyle name="20% - Accent2 8 2 2 2" xfId="4099" xr:uid="{00000000-0005-0000-0000-0000A60F0000}"/>
    <cellStyle name="20% - Accent2 8 2 2 2 2" xfId="4100" xr:uid="{00000000-0005-0000-0000-0000A70F0000}"/>
    <cellStyle name="20% - Accent2 8 2 2 2 2 2" xfId="4101" xr:uid="{00000000-0005-0000-0000-0000A80F0000}"/>
    <cellStyle name="20% - Accent2 8 2 2 2 2 3" xfId="4102" xr:uid="{00000000-0005-0000-0000-0000A90F0000}"/>
    <cellStyle name="20% - Accent2 8 2 2 2 3" xfId="4103" xr:uid="{00000000-0005-0000-0000-0000AA0F0000}"/>
    <cellStyle name="20% - Accent2 8 2 2 2 4" xfId="4104" xr:uid="{00000000-0005-0000-0000-0000AB0F0000}"/>
    <cellStyle name="20% - Accent2 8 2 2 3" xfId="4105" xr:uid="{00000000-0005-0000-0000-0000AC0F0000}"/>
    <cellStyle name="20% - Accent2 8 2 2 3 2" xfId="4106" xr:uid="{00000000-0005-0000-0000-0000AD0F0000}"/>
    <cellStyle name="20% - Accent2 8 2 2 3 3" xfId="4107" xr:uid="{00000000-0005-0000-0000-0000AE0F0000}"/>
    <cellStyle name="20% - Accent2 8 2 2 4" xfId="4108" xr:uid="{00000000-0005-0000-0000-0000AF0F0000}"/>
    <cellStyle name="20% - Accent2 8 2 2 5" xfId="4109" xr:uid="{00000000-0005-0000-0000-0000B00F0000}"/>
    <cellStyle name="20% - Accent2 8 2 2 6" xfId="4110" xr:uid="{00000000-0005-0000-0000-0000B10F0000}"/>
    <cellStyle name="20% - Accent2 8 2 3" xfId="4111" xr:uid="{00000000-0005-0000-0000-0000B20F0000}"/>
    <cellStyle name="20% - Accent2 8 2 3 2" xfId="4112" xr:uid="{00000000-0005-0000-0000-0000B30F0000}"/>
    <cellStyle name="20% - Accent2 8 2 3 2 2" xfId="4113" xr:uid="{00000000-0005-0000-0000-0000B40F0000}"/>
    <cellStyle name="20% - Accent2 8 2 3 2 3" xfId="4114" xr:uid="{00000000-0005-0000-0000-0000B50F0000}"/>
    <cellStyle name="20% - Accent2 8 2 3 3" xfId="4115" xr:uid="{00000000-0005-0000-0000-0000B60F0000}"/>
    <cellStyle name="20% - Accent2 8 2 3 4" xfId="4116" xr:uid="{00000000-0005-0000-0000-0000B70F0000}"/>
    <cellStyle name="20% - Accent2 8 2 4" xfId="4117" xr:uid="{00000000-0005-0000-0000-0000B80F0000}"/>
    <cellStyle name="20% - Accent2 8 2 4 2" xfId="4118" xr:uid="{00000000-0005-0000-0000-0000B90F0000}"/>
    <cellStyle name="20% - Accent2 8 2 4 3" xfId="4119" xr:uid="{00000000-0005-0000-0000-0000BA0F0000}"/>
    <cellStyle name="20% - Accent2 8 2 5" xfId="4120" xr:uid="{00000000-0005-0000-0000-0000BB0F0000}"/>
    <cellStyle name="20% - Accent2 8 2 6" xfId="4121" xr:uid="{00000000-0005-0000-0000-0000BC0F0000}"/>
    <cellStyle name="20% - Accent2 8 2 7" xfId="4122" xr:uid="{00000000-0005-0000-0000-0000BD0F0000}"/>
    <cellStyle name="20% - Accent2 8 3" xfId="4123" xr:uid="{00000000-0005-0000-0000-0000BE0F0000}"/>
    <cellStyle name="20% - Accent2 8 3 2" xfId="4124" xr:uid="{00000000-0005-0000-0000-0000BF0F0000}"/>
    <cellStyle name="20% - Accent2 8 3 2 2" xfId="4125" xr:uid="{00000000-0005-0000-0000-0000C00F0000}"/>
    <cellStyle name="20% - Accent2 8 3 2 2 2" xfId="4126" xr:uid="{00000000-0005-0000-0000-0000C10F0000}"/>
    <cellStyle name="20% - Accent2 8 3 2 2 3" xfId="4127" xr:uid="{00000000-0005-0000-0000-0000C20F0000}"/>
    <cellStyle name="20% - Accent2 8 3 2 3" xfId="4128" xr:uid="{00000000-0005-0000-0000-0000C30F0000}"/>
    <cellStyle name="20% - Accent2 8 3 2 4" xfId="4129" xr:uid="{00000000-0005-0000-0000-0000C40F0000}"/>
    <cellStyle name="20% - Accent2 8 3 3" xfId="4130" xr:uid="{00000000-0005-0000-0000-0000C50F0000}"/>
    <cellStyle name="20% - Accent2 8 3 3 2" xfId="4131" xr:uid="{00000000-0005-0000-0000-0000C60F0000}"/>
    <cellStyle name="20% - Accent2 8 3 3 3" xfId="4132" xr:uid="{00000000-0005-0000-0000-0000C70F0000}"/>
    <cellStyle name="20% - Accent2 8 3 4" xfId="4133" xr:uid="{00000000-0005-0000-0000-0000C80F0000}"/>
    <cellStyle name="20% - Accent2 8 3 5" xfId="4134" xr:uid="{00000000-0005-0000-0000-0000C90F0000}"/>
    <cellStyle name="20% - Accent2 8 3 6" xfId="4135" xr:uid="{00000000-0005-0000-0000-0000CA0F0000}"/>
    <cellStyle name="20% - Accent2 8 4" xfId="4136" xr:uid="{00000000-0005-0000-0000-0000CB0F0000}"/>
    <cellStyle name="20% - Accent2 8 4 2" xfId="4137" xr:uid="{00000000-0005-0000-0000-0000CC0F0000}"/>
    <cellStyle name="20% - Accent2 8 4 2 2" xfId="4138" xr:uid="{00000000-0005-0000-0000-0000CD0F0000}"/>
    <cellStyle name="20% - Accent2 8 4 2 3" xfId="4139" xr:uid="{00000000-0005-0000-0000-0000CE0F0000}"/>
    <cellStyle name="20% - Accent2 8 4 3" xfId="4140" xr:uid="{00000000-0005-0000-0000-0000CF0F0000}"/>
    <cellStyle name="20% - Accent2 8 4 4" xfId="4141" xr:uid="{00000000-0005-0000-0000-0000D00F0000}"/>
    <cellStyle name="20% - Accent2 8 5" xfId="4142" xr:uid="{00000000-0005-0000-0000-0000D10F0000}"/>
    <cellStyle name="20% - Accent2 8 5 2" xfId="4143" xr:uid="{00000000-0005-0000-0000-0000D20F0000}"/>
    <cellStyle name="20% - Accent2 8 5 3" xfId="4144" xr:uid="{00000000-0005-0000-0000-0000D30F0000}"/>
    <cellStyle name="20% - Accent2 8 6" xfId="4145" xr:uid="{00000000-0005-0000-0000-0000D40F0000}"/>
    <cellStyle name="20% - Accent2 8 7" xfId="4146" xr:uid="{00000000-0005-0000-0000-0000D50F0000}"/>
    <cellStyle name="20% - Accent2 8 8" xfId="4147" xr:uid="{00000000-0005-0000-0000-0000D60F0000}"/>
    <cellStyle name="20% - Accent2 9" xfId="4148" xr:uid="{00000000-0005-0000-0000-0000D70F0000}"/>
    <cellStyle name="20% - Accent2 9 2" xfId="4149" xr:uid="{00000000-0005-0000-0000-0000D80F0000}"/>
    <cellStyle name="20% - Accent2 9 2 2" xfId="4150" xr:uid="{00000000-0005-0000-0000-0000D90F0000}"/>
    <cellStyle name="20% - Accent2 9 2 2 2" xfId="4151" xr:uid="{00000000-0005-0000-0000-0000DA0F0000}"/>
    <cellStyle name="20% - Accent2 9 2 2 2 2" xfId="4152" xr:uid="{00000000-0005-0000-0000-0000DB0F0000}"/>
    <cellStyle name="20% - Accent2 9 2 2 2 2 2" xfId="4153" xr:uid="{00000000-0005-0000-0000-0000DC0F0000}"/>
    <cellStyle name="20% - Accent2 9 2 2 2 2 3" xfId="4154" xr:uid="{00000000-0005-0000-0000-0000DD0F0000}"/>
    <cellStyle name="20% - Accent2 9 2 2 2 3" xfId="4155" xr:uid="{00000000-0005-0000-0000-0000DE0F0000}"/>
    <cellStyle name="20% - Accent2 9 2 2 2 4" xfId="4156" xr:uid="{00000000-0005-0000-0000-0000DF0F0000}"/>
    <cellStyle name="20% - Accent2 9 2 2 3" xfId="4157" xr:uid="{00000000-0005-0000-0000-0000E00F0000}"/>
    <cellStyle name="20% - Accent2 9 2 2 3 2" xfId="4158" xr:uid="{00000000-0005-0000-0000-0000E10F0000}"/>
    <cellStyle name="20% - Accent2 9 2 2 3 3" xfId="4159" xr:uid="{00000000-0005-0000-0000-0000E20F0000}"/>
    <cellStyle name="20% - Accent2 9 2 2 4" xfId="4160" xr:uid="{00000000-0005-0000-0000-0000E30F0000}"/>
    <cellStyle name="20% - Accent2 9 2 2 5" xfId="4161" xr:uid="{00000000-0005-0000-0000-0000E40F0000}"/>
    <cellStyle name="20% - Accent2 9 2 2 6" xfId="4162" xr:uid="{00000000-0005-0000-0000-0000E50F0000}"/>
    <cellStyle name="20% - Accent2 9 2 3" xfId="4163" xr:uid="{00000000-0005-0000-0000-0000E60F0000}"/>
    <cellStyle name="20% - Accent2 9 2 3 2" xfId="4164" xr:uid="{00000000-0005-0000-0000-0000E70F0000}"/>
    <cellStyle name="20% - Accent2 9 2 3 2 2" xfId="4165" xr:uid="{00000000-0005-0000-0000-0000E80F0000}"/>
    <cellStyle name="20% - Accent2 9 2 3 2 3" xfId="4166" xr:uid="{00000000-0005-0000-0000-0000E90F0000}"/>
    <cellStyle name="20% - Accent2 9 2 3 3" xfId="4167" xr:uid="{00000000-0005-0000-0000-0000EA0F0000}"/>
    <cellStyle name="20% - Accent2 9 2 3 4" xfId="4168" xr:uid="{00000000-0005-0000-0000-0000EB0F0000}"/>
    <cellStyle name="20% - Accent2 9 2 4" xfId="4169" xr:uid="{00000000-0005-0000-0000-0000EC0F0000}"/>
    <cellStyle name="20% - Accent2 9 2 4 2" xfId="4170" xr:uid="{00000000-0005-0000-0000-0000ED0F0000}"/>
    <cellStyle name="20% - Accent2 9 2 4 3" xfId="4171" xr:uid="{00000000-0005-0000-0000-0000EE0F0000}"/>
    <cellStyle name="20% - Accent2 9 2 5" xfId="4172" xr:uid="{00000000-0005-0000-0000-0000EF0F0000}"/>
    <cellStyle name="20% - Accent2 9 2 6" xfId="4173" xr:uid="{00000000-0005-0000-0000-0000F00F0000}"/>
    <cellStyle name="20% - Accent2 9 2 7" xfId="4174" xr:uid="{00000000-0005-0000-0000-0000F10F0000}"/>
    <cellStyle name="20% - Accent2 9 3" xfId="4175" xr:uid="{00000000-0005-0000-0000-0000F20F0000}"/>
    <cellStyle name="20% - Accent2 9 3 2" xfId="4176" xr:uid="{00000000-0005-0000-0000-0000F30F0000}"/>
    <cellStyle name="20% - Accent2 9 3 2 2" xfId="4177" xr:uid="{00000000-0005-0000-0000-0000F40F0000}"/>
    <cellStyle name="20% - Accent2 9 3 2 2 2" xfId="4178" xr:uid="{00000000-0005-0000-0000-0000F50F0000}"/>
    <cellStyle name="20% - Accent2 9 3 2 2 3" xfId="4179" xr:uid="{00000000-0005-0000-0000-0000F60F0000}"/>
    <cellStyle name="20% - Accent2 9 3 2 3" xfId="4180" xr:uid="{00000000-0005-0000-0000-0000F70F0000}"/>
    <cellStyle name="20% - Accent2 9 3 2 4" xfId="4181" xr:uid="{00000000-0005-0000-0000-0000F80F0000}"/>
    <cellStyle name="20% - Accent2 9 3 3" xfId="4182" xr:uid="{00000000-0005-0000-0000-0000F90F0000}"/>
    <cellStyle name="20% - Accent2 9 3 3 2" xfId="4183" xr:uid="{00000000-0005-0000-0000-0000FA0F0000}"/>
    <cellStyle name="20% - Accent2 9 3 3 3" xfId="4184" xr:uid="{00000000-0005-0000-0000-0000FB0F0000}"/>
    <cellStyle name="20% - Accent2 9 3 4" xfId="4185" xr:uid="{00000000-0005-0000-0000-0000FC0F0000}"/>
    <cellStyle name="20% - Accent2 9 3 5" xfId="4186" xr:uid="{00000000-0005-0000-0000-0000FD0F0000}"/>
    <cellStyle name="20% - Accent2 9 3 6" xfId="4187" xr:uid="{00000000-0005-0000-0000-0000FE0F0000}"/>
    <cellStyle name="20% - Accent2 9 4" xfId="4188" xr:uid="{00000000-0005-0000-0000-0000FF0F0000}"/>
    <cellStyle name="20% - Accent2 9 4 2" xfId="4189" xr:uid="{00000000-0005-0000-0000-000000100000}"/>
    <cellStyle name="20% - Accent2 9 4 2 2" xfId="4190" xr:uid="{00000000-0005-0000-0000-000001100000}"/>
    <cellStyle name="20% - Accent2 9 4 2 3" xfId="4191" xr:uid="{00000000-0005-0000-0000-000002100000}"/>
    <cellStyle name="20% - Accent2 9 4 3" xfId="4192" xr:uid="{00000000-0005-0000-0000-000003100000}"/>
    <cellStyle name="20% - Accent2 9 4 4" xfId="4193" xr:uid="{00000000-0005-0000-0000-000004100000}"/>
    <cellStyle name="20% - Accent2 9 5" xfId="4194" xr:uid="{00000000-0005-0000-0000-000005100000}"/>
    <cellStyle name="20% - Accent2 9 5 2" xfId="4195" xr:uid="{00000000-0005-0000-0000-000006100000}"/>
    <cellStyle name="20% - Accent2 9 5 3" xfId="4196" xr:uid="{00000000-0005-0000-0000-000007100000}"/>
    <cellStyle name="20% - Accent2 9 6" xfId="4197" xr:uid="{00000000-0005-0000-0000-000008100000}"/>
    <cellStyle name="20% - Accent2 9 7" xfId="4198" xr:uid="{00000000-0005-0000-0000-000009100000}"/>
    <cellStyle name="20% - Accent2 9 8" xfId="4199" xr:uid="{00000000-0005-0000-0000-00000A100000}"/>
    <cellStyle name="20% - Accent3 10" xfId="4200" xr:uid="{00000000-0005-0000-0000-00000B100000}"/>
    <cellStyle name="20% - Accent3 10 2" xfId="4201" xr:uid="{00000000-0005-0000-0000-00000C100000}"/>
    <cellStyle name="20% - Accent3 10 2 2" xfId="4202" xr:uid="{00000000-0005-0000-0000-00000D100000}"/>
    <cellStyle name="20% - Accent3 10 2 2 2" xfId="4203" xr:uid="{00000000-0005-0000-0000-00000E100000}"/>
    <cellStyle name="20% - Accent3 10 2 2 2 2" xfId="4204" xr:uid="{00000000-0005-0000-0000-00000F100000}"/>
    <cellStyle name="20% - Accent3 10 2 2 2 2 2" xfId="4205" xr:uid="{00000000-0005-0000-0000-000010100000}"/>
    <cellStyle name="20% - Accent3 10 2 2 2 2 3" xfId="4206" xr:uid="{00000000-0005-0000-0000-000011100000}"/>
    <cellStyle name="20% - Accent3 10 2 2 2 3" xfId="4207" xr:uid="{00000000-0005-0000-0000-000012100000}"/>
    <cellStyle name="20% - Accent3 10 2 2 2 4" xfId="4208" xr:uid="{00000000-0005-0000-0000-000013100000}"/>
    <cellStyle name="20% - Accent3 10 2 2 3" xfId="4209" xr:uid="{00000000-0005-0000-0000-000014100000}"/>
    <cellStyle name="20% - Accent3 10 2 2 3 2" xfId="4210" xr:uid="{00000000-0005-0000-0000-000015100000}"/>
    <cellStyle name="20% - Accent3 10 2 2 3 3" xfId="4211" xr:uid="{00000000-0005-0000-0000-000016100000}"/>
    <cellStyle name="20% - Accent3 10 2 2 4" xfId="4212" xr:uid="{00000000-0005-0000-0000-000017100000}"/>
    <cellStyle name="20% - Accent3 10 2 2 5" xfId="4213" xr:uid="{00000000-0005-0000-0000-000018100000}"/>
    <cellStyle name="20% - Accent3 10 2 2 6" xfId="4214" xr:uid="{00000000-0005-0000-0000-000019100000}"/>
    <cellStyle name="20% - Accent3 10 2 3" xfId="4215" xr:uid="{00000000-0005-0000-0000-00001A100000}"/>
    <cellStyle name="20% - Accent3 10 2 3 2" xfId="4216" xr:uid="{00000000-0005-0000-0000-00001B100000}"/>
    <cellStyle name="20% - Accent3 10 2 3 2 2" xfId="4217" xr:uid="{00000000-0005-0000-0000-00001C100000}"/>
    <cellStyle name="20% - Accent3 10 2 3 2 3" xfId="4218" xr:uid="{00000000-0005-0000-0000-00001D100000}"/>
    <cellStyle name="20% - Accent3 10 2 3 3" xfId="4219" xr:uid="{00000000-0005-0000-0000-00001E100000}"/>
    <cellStyle name="20% - Accent3 10 2 3 4" xfId="4220" xr:uid="{00000000-0005-0000-0000-00001F100000}"/>
    <cellStyle name="20% - Accent3 10 2 4" xfId="4221" xr:uid="{00000000-0005-0000-0000-000020100000}"/>
    <cellStyle name="20% - Accent3 10 2 4 2" xfId="4222" xr:uid="{00000000-0005-0000-0000-000021100000}"/>
    <cellStyle name="20% - Accent3 10 2 4 3" xfId="4223" xr:uid="{00000000-0005-0000-0000-000022100000}"/>
    <cellStyle name="20% - Accent3 10 2 5" xfId="4224" xr:uid="{00000000-0005-0000-0000-000023100000}"/>
    <cellStyle name="20% - Accent3 10 2 6" xfId="4225" xr:uid="{00000000-0005-0000-0000-000024100000}"/>
    <cellStyle name="20% - Accent3 10 2 7" xfId="4226" xr:uid="{00000000-0005-0000-0000-000025100000}"/>
    <cellStyle name="20% - Accent3 10 3" xfId="4227" xr:uid="{00000000-0005-0000-0000-000026100000}"/>
    <cellStyle name="20% - Accent3 10 3 2" xfId="4228" xr:uid="{00000000-0005-0000-0000-000027100000}"/>
    <cellStyle name="20% - Accent3 10 3 2 2" xfId="4229" xr:uid="{00000000-0005-0000-0000-000028100000}"/>
    <cellStyle name="20% - Accent3 10 3 2 2 2" xfId="4230" xr:uid="{00000000-0005-0000-0000-000029100000}"/>
    <cellStyle name="20% - Accent3 10 3 2 2 3" xfId="4231" xr:uid="{00000000-0005-0000-0000-00002A100000}"/>
    <cellStyle name="20% - Accent3 10 3 2 3" xfId="4232" xr:uid="{00000000-0005-0000-0000-00002B100000}"/>
    <cellStyle name="20% - Accent3 10 3 2 4" xfId="4233" xr:uid="{00000000-0005-0000-0000-00002C100000}"/>
    <cellStyle name="20% - Accent3 10 3 3" xfId="4234" xr:uid="{00000000-0005-0000-0000-00002D100000}"/>
    <cellStyle name="20% - Accent3 10 3 3 2" xfId="4235" xr:uid="{00000000-0005-0000-0000-00002E100000}"/>
    <cellStyle name="20% - Accent3 10 3 3 3" xfId="4236" xr:uid="{00000000-0005-0000-0000-00002F100000}"/>
    <cellStyle name="20% - Accent3 10 3 4" xfId="4237" xr:uid="{00000000-0005-0000-0000-000030100000}"/>
    <cellStyle name="20% - Accent3 10 3 5" xfId="4238" xr:uid="{00000000-0005-0000-0000-000031100000}"/>
    <cellStyle name="20% - Accent3 10 3 6" xfId="4239" xr:uid="{00000000-0005-0000-0000-000032100000}"/>
    <cellStyle name="20% - Accent3 10 4" xfId="4240" xr:uid="{00000000-0005-0000-0000-000033100000}"/>
    <cellStyle name="20% - Accent3 10 4 2" xfId="4241" xr:uid="{00000000-0005-0000-0000-000034100000}"/>
    <cellStyle name="20% - Accent3 10 4 2 2" xfId="4242" xr:uid="{00000000-0005-0000-0000-000035100000}"/>
    <cellStyle name="20% - Accent3 10 4 2 3" xfId="4243" xr:uid="{00000000-0005-0000-0000-000036100000}"/>
    <cellStyle name="20% - Accent3 10 4 3" xfId="4244" xr:uid="{00000000-0005-0000-0000-000037100000}"/>
    <cellStyle name="20% - Accent3 10 4 4" xfId="4245" xr:uid="{00000000-0005-0000-0000-000038100000}"/>
    <cellStyle name="20% - Accent3 10 5" xfId="4246" xr:uid="{00000000-0005-0000-0000-000039100000}"/>
    <cellStyle name="20% - Accent3 10 5 2" xfId="4247" xr:uid="{00000000-0005-0000-0000-00003A100000}"/>
    <cellStyle name="20% - Accent3 10 5 3" xfId="4248" xr:uid="{00000000-0005-0000-0000-00003B100000}"/>
    <cellStyle name="20% - Accent3 10 6" xfId="4249" xr:uid="{00000000-0005-0000-0000-00003C100000}"/>
    <cellStyle name="20% - Accent3 10 7" xfId="4250" xr:uid="{00000000-0005-0000-0000-00003D100000}"/>
    <cellStyle name="20% - Accent3 10 8" xfId="4251" xr:uid="{00000000-0005-0000-0000-00003E100000}"/>
    <cellStyle name="20% - Accent3 11" xfId="4252" xr:uid="{00000000-0005-0000-0000-00003F100000}"/>
    <cellStyle name="20% - Accent3 11 2" xfId="4253" xr:uid="{00000000-0005-0000-0000-000040100000}"/>
    <cellStyle name="20% - Accent3 11 2 2" xfId="4254" xr:uid="{00000000-0005-0000-0000-000041100000}"/>
    <cellStyle name="20% - Accent3 11 2 2 2" xfId="4255" xr:uid="{00000000-0005-0000-0000-000042100000}"/>
    <cellStyle name="20% - Accent3 11 2 2 2 2" xfId="4256" xr:uid="{00000000-0005-0000-0000-000043100000}"/>
    <cellStyle name="20% - Accent3 11 2 2 2 3" xfId="4257" xr:uid="{00000000-0005-0000-0000-000044100000}"/>
    <cellStyle name="20% - Accent3 11 2 2 3" xfId="4258" xr:uid="{00000000-0005-0000-0000-000045100000}"/>
    <cellStyle name="20% - Accent3 11 2 2 4" xfId="4259" xr:uid="{00000000-0005-0000-0000-000046100000}"/>
    <cellStyle name="20% - Accent3 11 2 3" xfId="4260" xr:uid="{00000000-0005-0000-0000-000047100000}"/>
    <cellStyle name="20% - Accent3 11 2 3 2" xfId="4261" xr:uid="{00000000-0005-0000-0000-000048100000}"/>
    <cellStyle name="20% - Accent3 11 2 3 3" xfId="4262" xr:uid="{00000000-0005-0000-0000-000049100000}"/>
    <cellStyle name="20% - Accent3 11 2 4" xfId="4263" xr:uid="{00000000-0005-0000-0000-00004A100000}"/>
    <cellStyle name="20% - Accent3 11 2 5" xfId="4264" xr:uid="{00000000-0005-0000-0000-00004B100000}"/>
    <cellStyle name="20% - Accent3 11 2 6" xfId="4265" xr:uid="{00000000-0005-0000-0000-00004C100000}"/>
    <cellStyle name="20% - Accent3 11 3" xfId="4266" xr:uid="{00000000-0005-0000-0000-00004D100000}"/>
    <cellStyle name="20% - Accent3 11 3 2" xfId="4267" xr:uid="{00000000-0005-0000-0000-00004E100000}"/>
    <cellStyle name="20% - Accent3 11 3 2 2" xfId="4268" xr:uid="{00000000-0005-0000-0000-00004F100000}"/>
    <cellStyle name="20% - Accent3 11 3 2 3" xfId="4269" xr:uid="{00000000-0005-0000-0000-000050100000}"/>
    <cellStyle name="20% - Accent3 11 3 3" xfId="4270" xr:uid="{00000000-0005-0000-0000-000051100000}"/>
    <cellStyle name="20% - Accent3 11 3 4" xfId="4271" xr:uid="{00000000-0005-0000-0000-000052100000}"/>
    <cellStyle name="20% - Accent3 11 4" xfId="4272" xr:uid="{00000000-0005-0000-0000-000053100000}"/>
    <cellStyle name="20% - Accent3 11 4 2" xfId="4273" xr:uid="{00000000-0005-0000-0000-000054100000}"/>
    <cellStyle name="20% - Accent3 11 4 3" xfId="4274" xr:uid="{00000000-0005-0000-0000-000055100000}"/>
    <cellStyle name="20% - Accent3 11 5" xfId="4275" xr:uid="{00000000-0005-0000-0000-000056100000}"/>
    <cellStyle name="20% - Accent3 11 6" xfId="4276" xr:uid="{00000000-0005-0000-0000-000057100000}"/>
    <cellStyle name="20% - Accent3 11 7" xfId="4277" xr:uid="{00000000-0005-0000-0000-000058100000}"/>
    <cellStyle name="20% - Accent3 12" xfId="4278" xr:uid="{00000000-0005-0000-0000-000059100000}"/>
    <cellStyle name="20% - Accent3 12 2" xfId="4279" xr:uid="{00000000-0005-0000-0000-00005A100000}"/>
    <cellStyle name="20% - Accent3 12 2 2" xfId="4280" xr:uid="{00000000-0005-0000-0000-00005B100000}"/>
    <cellStyle name="20% - Accent3 12 2 2 2" xfId="4281" xr:uid="{00000000-0005-0000-0000-00005C100000}"/>
    <cellStyle name="20% - Accent3 12 2 2 3" xfId="4282" xr:uid="{00000000-0005-0000-0000-00005D100000}"/>
    <cellStyle name="20% - Accent3 12 2 3" xfId="4283" xr:uid="{00000000-0005-0000-0000-00005E100000}"/>
    <cellStyle name="20% - Accent3 12 2 4" xfId="4284" xr:uid="{00000000-0005-0000-0000-00005F100000}"/>
    <cellStyle name="20% - Accent3 12 3" xfId="4285" xr:uid="{00000000-0005-0000-0000-000060100000}"/>
    <cellStyle name="20% - Accent3 12 3 2" xfId="4286" xr:uid="{00000000-0005-0000-0000-000061100000}"/>
    <cellStyle name="20% - Accent3 12 3 3" xfId="4287" xr:uid="{00000000-0005-0000-0000-000062100000}"/>
    <cellStyle name="20% - Accent3 12 4" xfId="4288" xr:uid="{00000000-0005-0000-0000-000063100000}"/>
    <cellStyle name="20% - Accent3 12 5" xfId="4289" xr:uid="{00000000-0005-0000-0000-000064100000}"/>
    <cellStyle name="20% - Accent3 12 6" xfId="4290" xr:uid="{00000000-0005-0000-0000-000065100000}"/>
    <cellStyle name="20% - Accent3 13" xfId="4291" xr:uid="{00000000-0005-0000-0000-000066100000}"/>
    <cellStyle name="20% - Accent3 13 2" xfId="4292" xr:uid="{00000000-0005-0000-0000-000067100000}"/>
    <cellStyle name="20% - Accent3 13 2 2" xfId="4293" xr:uid="{00000000-0005-0000-0000-000068100000}"/>
    <cellStyle name="20% - Accent3 13 2 2 2" xfId="4294" xr:uid="{00000000-0005-0000-0000-000069100000}"/>
    <cellStyle name="20% - Accent3 13 2 2 3" xfId="4295" xr:uid="{00000000-0005-0000-0000-00006A100000}"/>
    <cellStyle name="20% - Accent3 13 2 3" xfId="4296" xr:uid="{00000000-0005-0000-0000-00006B100000}"/>
    <cellStyle name="20% - Accent3 13 2 4" xfId="4297" xr:uid="{00000000-0005-0000-0000-00006C100000}"/>
    <cellStyle name="20% - Accent3 13 3" xfId="4298" xr:uid="{00000000-0005-0000-0000-00006D100000}"/>
    <cellStyle name="20% - Accent3 13 3 2" xfId="4299" xr:uid="{00000000-0005-0000-0000-00006E100000}"/>
    <cellStyle name="20% - Accent3 13 3 3" xfId="4300" xr:uid="{00000000-0005-0000-0000-00006F100000}"/>
    <cellStyle name="20% - Accent3 13 4" xfId="4301" xr:uid="{00000000-0005-0000-0000-000070100000}"/>
    <cellStyle name="20% - Accent3 13 5" xfId="4302" xr:uid="{00000000-0005-0000-0000-000071100000}"/>
    <cellStyle name="20% - Accent3 13 6" xfId="4303" xr:uid="{00000000-0005-0000-0000-000072100000}"/>
    <cellStyle name="20% - Accent3 14" xfId="4304" xr:uid="{00000000-0005-0000-0000-000073100000}"/>
    <cellStyle name="20% - Accent3 14 2" xfId="4305" xr:uid="{00000000-0005-0000-0000-000074100000}"/>
    <cellStyle name="20% - Accent3 14 2 2" xfId="4306" xr:uid="{00000000-0005-0000-0000-000075100000}"/>
    <cellStyle name="20% - Accent3 14 2 3" xfId="4307" xr:uid="{00000000-0005-0000-0000-000076100000}"/>
    <cellStyle name="20% - Accent3 14 3" xfId="4308" xr:uid="{00000000-0005-0000-0000-000077100000}"/>
    <cellStyle name="20% - Accent3 14 4" xfId="4309" xr:uid="{00000000-0005-0000-0000-000078100000}"/>
    <cellStyle name="20% - Accent3 15" xfId="4310" xr:uid="{00000000-0005-0000-0000-000079100000}"/>
    <cellStyle name="20% - Accent3 16" xfId="4311" xr:uid="{00000000-0005-0000-0000-00007A100000}"/>
    <cellStyle name="20% - Accent3 17" xfId="4312" xr:uid="{00000000-0005-0000-0000-00007B100000}"/>
    <cellStyle name="20% - Accent3 2" xfId="4313" xr:uid="{00000000-0005-0000-0000-00007C100000}"/>
    <cellStyle name="20% - Accent3 2 2" xfId="4314" xr:uid="{00000000-0005-0000-0000-00007D100000}"/>
    <cellStyle name="20% - Accent3 2 3" xfId="4315" xr:uid="{00000000-0005-0000-0000-00007E100000}"/>
    <cellStyle name="20% - Accent3 3" xfId="4316" xr:uid="{00000000-0005-0000-0000-00007F100000}"/>
    <cellStyle name="20% - Accent3 3 10" xfId="4317" xr:uid="{00000000-0005-0000-0000-000080100000}"/>
    <cellStyle name="20% - Accent3 3 10 2" xfId="4318" xr:uid="{00000000-0005-0000-0000-000081100000}"/>
    <cellStyle name="20% - Accent3 3 10 2 2" xfId="4319" xr:uid="{00000000-0005-0000-0000-000082100000}"/>
    <cellStyle name="20% - Accent3 3 10 2 2 2" xfId="4320" xr:uid="{00000000-0005-0000-0000-000083100000}"/>
    <cellStyle name="20% - Accent3 3 10 2 2 3" xfId="4321" xr:uid="{00000000-0005-0000-0000-000084100000}"/>
    <cellStyle name="20% - Accent3 3 10 2 3" xfId="4322" xr:uid="{00000000-0005-0000-0000-000085100000}"/>
    <cellStyle name="20% - Accent3 3 10 2 4" xfId="4323" xr:uid="{00000000-0005-0000-0000-000086100000}"/>
    <cellStyle name="20% - Accent3 3 10 3" xfId="4324" xr:uid="{00000000-0005-0000-0000-000087100000}"/>
    <cellStyle name="20% - Accent3 3 10 3 2" xfId="4325" xr:uid="{00000000-0005-0000-0000-000088100000}"/>
    <cellStyle name="20% - Accent3 3 10 3 3" xfId="4326" xr:uid="{00000000-0005-0000-0000-000089100000}"/>
    <cellStyle name="20% - Accent3 3 10 4" xfId="4327" xr:uid="{00000000-0005-0000-0000-00008A100000}"/>
    <cellStyle name="20% - Accent3 3 10 5" xfId="4328" xr:uid="{00000000-0005-0000-0000-00008B100000}"/>
    <cellStyle name="20% - Accent3 3 10 6" xfId="4329" xr:uid="{00000000-0005-0000-0000-00008C100000}"/>
    <cellStyle name="20% - Accent3 3 11" xfId="4330" xr:uid="{00000000-0005-0000-0000-00008D100000}"/>
    <cellStyle name="20% - Accent3 3 11 2" xfId="4331" xr:uid="{00000000-0005-0000-0000-00008E100000}"/>
    <cellStyle name="20% - Accent3 3 11 2 2" xfId="4332" xr:uid="{00000000-0005-0000-0000-00008F100000}"/>
    <cellStyle name="20% - Accent3 3 11 2 3" xfId="4333" xr:uid="{00000000-0005-0000-0000-000090100000}"/>
    <cellStyle name="20% - Accent3 3 11 3" xfId="4334" xr:uid="{00000000-0005-0000-0000-000091100000}"/>
    <cellStyle name="20% - Accent3 3 11 4" xfId="4335" xr:uid="{00000000-0005-0000-0000-000092100000}"/>
    <cellStyle name="20% - Accent3 3 12" xfId="4336" xr:uid="{00000000-0005-0000-0000-000093100000}"/>
    <cellStyle name="20% - Accent3 3 12 2" xfId="4337" xr:uid="{00000000-0005-0000-0000-000094100000}"/>
    <cellStyle name="20% - Accent3 3 12 3" xfId="4338" xr:uid="{00000000-0005-0000-0000-000095100000}"/>
    <cellStyle name="20% - Accent3 3 13" xfId="4339" xr:uid="{00000000-0005-0000-0000-000096100000}"/>
    <cellStyle name="20% - Accent3 3 14" xfId="4340" xr:uid="{00000000-0005-0000-0000-000097100000}"/>
    <cellStyle name="20% - Accent3 3 15" xfId="4341" xr:uid="{00000000-0005-0000-0000-000098100000}"/>
    <cellStyle name="20% - Accent3 3 2" xfId="4342" xr:uid="{00000000-0005-0000-0000-000099100000}"/>
    <cellStyle name="20% - Accent3 3 2 10" xfId="4343" xr:uid="{00000000-0005-0000-0000-00009A100000}"/>
    <cellStyle name="20% - Accent3 3 2 11" xfId="4344" xr:uid="{00000000-0005-0000-0000-00009B100000}"/>
    <cellStyle name="20% - Accent3 3 2 2" xfId="4345" xr:uid="{00000000-0005-0000-0000-00009C100000}"/>
    <cellStyle name="20% - Accent3 3 2 2 10" xfId="4346" xr:uid="{00000000-0005-0000-0000-00009D100000}"/>
    <cellStyle name="20% - Accent3 3 2 2 2" xfId="4347" xr:uid="{00000000-0005-0000-0000-00009E100000}"/>
    <cellStyle name="20% - Accent3 3 2 2 2 2" xfId="4348" xr:uid="{00000000-0005-0000-0000-00009F100000}"/>
    <cellStyle name="20% - Accent3 3 2 2 2 2 2" xfId="4349" xr:uid="{00000000-0005-0000-0000-0000A0100000}"/>
    <cellStyle name="20% - Accent3 3 2 2 2 2 2 2" xfId="4350" xr:uid="{00000000-0005-0000-0000-0000A1100000}"/>
    <cellStyle name="20% - Accent3 3 2 2 2 2 2 2 2" xfId="4351" xr:uid="{00000000-0005-0000-0000-0000A2100000}"/>
    <cellStyle name="20% - Accent3 3 2 2 2 2 2 2 2 2" xfId="4352" xr:uid="{00000000-0005-0000-0000-0000A3100000}"/>
    <cellStyle name="20% - Accent3 3 2 2 2 2 2 2 2 2 2" xfId="4353" xr:uid="{00000000-0005-0000-0000-0000A4100000}"/>
    <cellStyle name="20% - Accent3 3 2 2 2 2 2 2 2 2 3" xfId="4354" xr:uid="{00000000-0005-0000-0000-0000A5100000}"/>
    <cellStyle name="20% - Accent3 3 2 2 2 2 2 2 2 3" xfId="4355" xr:uid="{00000000-0005-0000-0000-0000A6100000}"/>
    <cellStyle name="20% - Accent3 3 2 2 2 2 2 2 2 4" xfId="4356" xr:uid="{00000000-0005-0000-0000-0000A7100000}"/>
    <cellStyle name="20% - Accent3 3 2 2 2 2 2 2 3" xfId="4357" xr:uid="{00000000-0005-0000-0000-0000A8100000}"/>
    <cellStyle name="20% - Accent3 3 2 2 2 2 2 2 3 2" xfId="4358" xr:uid="{00000000-0005-0000-0000-0000A9100000}"/>
    <cellStyle name="20% - Accent3 3 2 2 2 2 2 2 3 3" xfId="4359" xr:uid="{00000000-0005-0000-0000-0000AA100000}"/>
    <cellStyle name="20% - Accent3 3 2 2 2 2 2 2 4" xfId="4360" xr:uid="{00000000-0005-0000-0000-0000AB100000}"/>
    <cellStyle name="20% - Accent3 3 2 2 2 2 2 2 5" xfId="4361" xr:uid="{00000000-0005-0000-0000-0000AC100000}"/>
    <cellStyle name="20% - Accent3 3 2 2 2 2 2 2 6" xfId="4362" xr:uid="{00000000-0005-0000-0000-0000AD100000}"/>
    <cellStyle name="20% - Accent3 3 2 2 2 2 2 3" xfId="4363" xr:uid="{00000000-0005-0000-0000-0000AE100000}"/>
    <cellStyle name="20% - Accent3 3 2 2 2 2 2 3 2" xfId="4364" xr:uid="{00000000-0005-0000-0000-0000AF100000}"/>
    <cellStyle name="20% - Accent3 3 2 2 2 2 2 3 2 2" xfId="4365" xr:uid="{00000000-0005-0000-0000-0000B0100000}"/>
    <cellStyle name="20% - Accent3 3 2 2 2 2 2 3 2 3" xfId="4366" xr:uid="{00000000-0005-0000-0000-0000B1100000}"/>
    <cellStyle name="20% - Accent3 3 2 2 2 2 2 3 3" xfId="4367" xr:uid="{00000000-0005-0000-0000-0000B2100000}"/>
    <cellStyle name="20% - Accent3 3 2 2 2 2 2 3 4" xfId="4368" xr:uid="{00000000-0005-0000-0000-0000B3100000}"/>
    <cellStyle name="20% - Accent3 3 2 2 2 2 2 4" xfId="4369" xr:uid="{00000000-0005-0000-0000-0000B4100000}"/>
    <cellStyle name="20% - Accent3 3 2 2 2 2 2 4 2" xfId="4370" xr:uid="{00000000-0005-0000-0000-0000B5100000}"/>
    <cellStyle name="20% - Accent3 3 2 2 2 2 2 4 3" xfId="4371" xr:uid="{00000000-0005-0000-0000-0000B6100000}"/>
    <cellStyle name="20% - Accent3 3 2 2 2 2 2 5" xfId="4372" xr:uid="{00000000-0005-0000-0000-0000B7100000}"/>
    <cellStyle name="20% - Accent3 3 2 2 2 2 2 6" xfId="4373" xr:uid="{00000000-0005-0000-0000-0000B8100000}"/>
    <cellStyle name="20% - Accent3 3 2 2 2 2 2 7" xfId="4374" xr:uid="{00000000-0005-0000-0000-0000B9100000}"/>
    <cellStyle name="20% - Accent3 3 2 2 2 2 3" xfId="4375" xr:uid="{00000000-0005-0000-0000-0000BA100000}"/>
    <cellStyle name="20% - Accent3 3 2 2 2 2 3 2" xfId="4376" xr:uid="{00000000-0005-0000-0000-0000BB100000}"/>
    <cellStyle name="20% - Accent3 3 2 2 2 2 3 2 2" xfId="4377" xr:uid="{00000000-0005-0000-0000-0000BC100000}"/>
    <cellStyle name="20% - Accent3 3 2 2 2 2 3 2 2 2" xfId="4378" xr:uid="{00000000-0005-0000-0000-0000BD100000}"/>
    <cellStyle name="20% - Accent3 3 2 2 2 2 3 2 2 3" xfId="4379" xr:uid="{00000000-0005-0000-0000-0000BE100000}"/>
    <cellStyle name="20% - Accent3 3 2 2 2 2 3 2 3" xfId="4380" xr:uid="{00000000-0005-0000-0000-0000BF100000}"/>
    <cellStyle name="20% - Accent3 3 2 2 2 2 3 2 4" xfId="4381" xr:uid="{00000000-0005-0000-0000-0000C0100000}"/>
    <cellStyle name="20% - Accent3 3 2 2 2 2 3 3" xfId="4382" xr:uid="{00000000-0005-0000-0000-0000C1100000}"/>
    <cellStyle name="20% - Accent3 3 2 2 2 2 3 3 2" xfId="4383" xr:uid="{00000000-0005-0000-0000-0000C2100000}"/>
    <cellStyle name="20% - Accent3 3 2 2 2 2 3 3 3" xfId="4384" xr:uid="{00000000-0005-0000-0000-0000C3100000}"/>
    <cellStyle name="20% - Accent3 3 2 2 2 2 3 4" xfId="4385" xr:uid="{00000000-0005-0000-0000-0000C4100000}"/>
    <cellStyle name="20% - Accent3 3 2 2 2 2 3 5" xfId="4386" xr:uid="{00000000-0005-0000-0000-0000C5100000}"/>
    <cellStyle name="20% - Accent3 3 2 2 2 2 3 6" xfId="4387" xr:uid="{00000000-0005-0000-0000-0000C6100000}"/>
    <cellStyle name="20% - Accent3 3 2 2 2 2 4" xfId="4388" xr:uid="{00000000-0005-0000-0000-0000C7100000}"/>
    <cellStyle name="20% - Accent3 3 2 2 2 2 4 2" xfId="4389" xr:uid="{00000000-0005-0000-0000-0000C8100000}"/>
    <cellStyle name="20% - Accent3 3 2 2 2 2 4 2 2" xfId="4390" xr:uid="{00000000-0005-0000-0000-0000C9100000}"/>
    <cellStyle name="20% - Accent3 3 2 2 2 2 4 2 3" xfId="4391" xr:uid="{00000000-0005-0000-0000-0000CA100000}"/>
    <cellStyle name="20% - Accent3 3 2 2 2 2 4 3" xfId="4392" xr:uid="{00000000-0005-0000-0000-0000CB100000}"/>
    <cellStyle name="20% - Accent3 3 2 2 2 2 4 4" xfId="4393" xr:uid="{00000000-0005-0000-0000-0000CC100000}"/>
    <cellStyle name="20% - Accent3 3 2 2 2 2 5" xfId="4394" xr:uid="{00000000-0005-0000-0000-0000CD100000}"/>
    <cellStyle name="20% - Accent3 3 2 2 2 2 5 2" xfId="4395" xr:uid="{00000000-0005-0000-0000-0000CE100000}"/>
    <cellStyle name="20% - Accent3 3 2 2 2 2 5 3" xfId="4396" xr:uid="{00000000-0005-0000-0000-0000CF100000}"/>
    <cellStyle name="20% - Accent3 3 2 2 2 2 6" xfId="4397" xr:uid="{00000000-0005-0000-0000-0000D0100000}"/>
    <cellStyle name="20% - Accent3 3 2 2 2 2 7" xfId="4398" xr:uid="{00000000-0005-0000-0000-0000D1100000}"/>
    <cellStyle name="20% - Accent3 3 2 2 2 2 8" xfId="4399" xr:uid="{00000000-0005-0000-0000-0000D2100000}"/>
    <cellStyle name="20% - Accent3 3 2 2 2 3" xfId="4400" xr:uid="{00000000-0005-0000-0000-0000D3100000}"/>
    <cellStyle name="20% - Accent3 3 2 2 2 3 2" xfId="4401" xr:uid="{00000000-0005-0000-0000-0000D4100000}"/>
    <cellStyle name="20% - Accent3 3 2 2 2 3 2 2" xfId="4402" xr:uid="{00000000-0005-0000-0000-0000D5100000}"/>
    <cellStyle name="20% - Accent3 3 2 2 2 3 2 2 2" xfId="4403" xr:uid="{00000000-0005-0000-0000-0000D6100000}"/>
    <cellStyle name="20% - Accent3 3 2 2 2 3 2 2 2 2" xfId="4404" xr:uid="{00000000-0005-0000-0000-0000D7100000}"/>
    <cellStyle name="20% - Accent3 3 2 2 2 3 2 2 2 3" xfId="4405" xr:uid="{00000000-0005-0000-0000-0000D8100000}"/>
    <cellStyle name="20% - Accent3 3 2 2 2 3 2 2 3" xfId="4406" xr:uid="{00000000-0005-0000-0000-0000D9100000}"/>
    <cellStyle name="20% - Accent3 3 2 2 2 3 2 2 4" xfId="4407" xr:uid="{00000000-0005-0000-0000-0000DA100000}"/>
    <cellStyle name="20% - Accent3 3 2 2 2 3 2 3" xfId="4408" xr:uid="{00000000-0005-0000-0000-0000DB100000}"/>
    <cellStyle name="20% - Accent3 3 2 2 2 3 2 3 2" xfId="4409" xr:uid="{00000000-0005-0000-0000-0000DC100000}"/>
    <cellStyle name="20% - Accent3 3 2 2 2 3 2 3 3" xfId="4410" xr:uid="{00000000-0005-0000-0000-0000DD100000}"/>
    <cellStyle name="20% - Accent3 3 2 2 2 3 2 4" xfId="4411" xr:uid="{00000000-0005-0000-0000-0000DE100000}"/>
    <cellStyle name="20% - Accent3 3 2 2 2 3 2 5" xfId="4412" xr:uid="{00000000-0005-0000-0000-0000DF100000}"/>
    <cellStyle name="20% - Accent3 3 2 2 2 3 2 6" xfId="4413" xr:uid="{00000000-0005-0000-0000-0000E0100000}"/>
    <cellStyle name="20% - Accent3 3 2 2 2 3 3" xfId="4414" xr:uid="{00000000-0005-0000-0000-0000E1100000}"/>
    <cellStyle name="20% - Accent3 3 2 2 2 3 3 2" xfId="4415" xr:uid="{00000000-0005-0000-0000-0000E2100000}"/>
    <cellStyle name="20% - Accent3 3 2 2 2 3 3 2 2" xfId="4416" xr:uid="{00000000-0005-0000-0000-0000E3100000}"/>
    <cellStyle name="20% - Accent3 3 2 2 2 3 3 2 3" xfId="4417" xr:uid="{00000000-0005-0000-0000-0000E4100000}"/>
    <cellStyle name="20% - Accent3 3 2 2 2 3 3 3" xfId="4418" xr:uid="{00000000-0005-0000-0000-0000E5100000}"/>
    <cellStyle name="20% - Accent3 3 2 2 2 3 3 4" xfId="4419" xr:uid="{00000000-0005-0000-0000-0000E6100000}"/>
    <cellStyle name="20% - Accent3 3 2 2 2 3 4" xfId="4420" xr:uid="{00000000-0005-0000-0000-0000E7100000}"/>
    <cellStyle name="20% - Accent3 3 2 2 2 3 4 2" xfId="4421" xr:uid="{00000000-0005-0000-0000-0000E8100000}"/>
    <cellStyle name="20% - Accent3 3 2 2 2 3 4 3" xfId="4422" xr:uid="{00000000-0005-0000-0000-0000E9100000}"/>
    <cellStyle name="20% - Accent3 3 2 2 2 3 5" xfId="4423" xr:uid="{00000000-0005-0000-0000-0000EA100000}"/>
    <cellStyle name="20% - Accent3 3 2 2 2 3 6" xfId="4424" xr:uid="{00000000-0005-0000-0000-0000EB100000}"/>
    <cellStyle name="20% - Accent3 3 2 2 2 3 7" xfId="4425" xr:uid="{00000000-0005-0000-0000-0000EC100000}"/>
    <cellStyle name="20% - Accent3 3 2 2 2 4" xfId="4426" xr:uid="{00000000-0005-0000-0000-0000ED100000}"/>
    <cellStyle name="20% - Accent3 3 2 2 2 4 2" xfId="4427" xr:uid="{00000000-0005-0000-0000-0000EE100000}"/>
    <cellStyle name="20% - Accent3 3 2 2 2 4 2 2" xfId="4428" xr:uid="{00000000-0005-0000-0000-0000EF100000}"/>
    <cellStyle name="20% - Accent3 3 2 2 2 4 2 2 2" xfId="4429" xr:uid="{00000000-0005-0000-0000-0000F0100000}"/>
    <cellStyle name="20% - Accent3 3 2 2 2 4 2 2 3" xfId="4430" xr:uid="{00000000-0005-0000-0000-0000F1100000}"/>
    <cellStyle name="20% - Accent3 3 2 2 2 4 2 3" xfId="4431" xr:uid="{00000000-0005-0000-0000-0000F2100000}"/>
    <cellStyle name="20% - Accent3 3 2 2 2 4 2 4" xfId="4432" xr:uid="{00000000-0005-0000-0000-0000F3100000}"/>
    <cellStyle name="20% - Accent3 3 2 2 2 4 3" xfId="4433" xr:uid="{00000000-0005-0000-0000-0000F4100000}"/>
    <cellStyle name="20% - Accent3 3 2 2 2 4 3 2" xfId="4434" xr:uid="{00000000-0005-0000-0000-0000F5100000}"/>
    <cellStyle name="20% - Accent3 3 2 2 2 4 3 3" xfId="4435" xr:uid="{00000000-0005-0000-0000-0000F6100000}"/>
    <cellStyle name="20% - Accent3 3 2 2 2 4 4" xfId="4436" xr:uid="{00000000-0005-0000-0000-0000F7100000}"/>
    <cellStyle name="20% - Accent3 3 2 2 2 4 5" xfId="4437" xr:uid="{00000000-0005-0000-0000-0000F8100000}"/>
    <cellStyle name="20% - Accent3 3 2 2 2 4 6" xfId="4438" xr:uid="{00000000-0005-0000-0000-0000F9100000}"/>
    <cellStyle name="20% - Accent3 3 2 2 2 5" xfId="4439" xr:uid="{00000000-0005-0000-0000-0000FA100000}"/>
    <cellStyle name="20% - Accent3 3 2 2 2 5 2" xfId="4440" xr:uid="{00000000-0005-0000-0000-0000FB100000}"/>
    <cellStyle name="20% - Accent3 3 2 2 2 5 2 2" xfId="4441" xr:uid="{00000000-0005-0000-0000-0000FC100000}"/>
    <cellStyle name="20% - Accent3 3 2 2 2 5 2 3" xfId="4442" xr:uid="{00000000-0005-0000-0000-0000FD100000}"/>
    <cellStyle name="20% - Accent3 3 2 2 2 5 3" xfId="4443" xr:uid="{00000000-0005-0000-0000-0000FE100000}"/>
    <cellStyle name="20% - Accent3 3 2 2 2 5 4" xfId="4444" xr:uid="{00000000-0005-0000-0000-0000FF100000}"/>
    <cellStyle name="20% - Accent3 3 2 2 2 6" xfId="4445" xr:uid="{00000000-0005-0000-0000-000000110000}"/>
    <cellStyle name="20% - Accent3 3 2 2 2 6 2" xfId="4446" xr:uid="{00000000-0005-0000-0000-000001110000}"/>
    <cellStyle name="20% - Accent3 3 2 2 2 6 3" xfId="4447" xr:uid="{00000000-0005-0000-0000-000002110000}"/>
    <cellStyle name="20% - Accent3 3 2 2 2 7" xfId="4448" xr:uid="{00000000-0005-0000-0000-000003110000}"/>
    <cellStyle name="20% - Accent3 3 2 2 2 8" xfId="4449" xr:uid="{00000000-0005-0000-0000-000004110000}"/>
    <cellStyle name="20% - Accent3 3 2 2 2 9" xfId="4450" xr:uid="{00000000-0005-0000-0000-000005110000}"/>
    <cellStyle name="20% - Accent3 3 2 2 3" xfId="4451" xr:uid="{00000000-0005-0000-0000-000006110000}"/>
    <cellStyle name="20% - Accent3 3 2 2 3 2" xfId="4452" xr:uid="{00000000-0005-0000-0000-000007110000}"/>
    <cellStyle name="20% - Accent3 3 2 2 3 2 2" xfId="4453" xr:uid="{00000000-0005-0000-0000-000008110000}"/>
    <cellStyle name="20% - Accent3 3 2 2 3 2 2 2" xfId="4454" xr:uid="{00000000-0005-0000-0000-000009110000}"/>
    <cellStyle name="20% - Accent3 3 2 2 3 2 2 2 2" xfId="4455" xr:uid="{00000000-0005-0000-0000-00000A110000}"/>
    <cellStyle name="20% - Accent3 3 2 2 3 2 2 2 2 2" xfId="4456" xr:uid="{00000000-0005-0000-0000-00000B110000}"/>
    <cellStyle name="20% - Accent3 3 2 2 3 2 2 2 2 3" xfId="4457" xr:uid="{00000000-0005-0000-0000-00000C110000}"/>
    <cellStyle name="20% - Accent3 3 2 2 3 2 2 2 3" xfId="4458" xr:uid="{00000000-0005-0000-0000-00000D110000}"/>
    <cellStyle name="20% - Accent3 3 2 2 3 2 2 2 4" xfId="4459" xr:uid="{00000000-0005-0000-0000-00000E110000}"/>
    <cellStyle name="20% - Accent3 3 2 2 3 2 2 3" xfId="4460" xr:uid="{00000000-0005-0000-0000-00000F110000}"/>
    <cellStyle name="20% - Accent3 3 2 2 3 2 2 3 2" xfId="4461" xr:uid="{00000000-0005-0000-0000-000010110000}"/>
    <cellStyle name="20% - Accent3 3 2 2 3 2 2 3 3" xfId="4462" xr:uid="{00000000-0005-0000-0000-000011110000}"/>
    <cellStyle name="20% - Accent3 3 2 2 3 2 2 4" xfId="4463" xr:uid="{00000000-0005-0000-0000-000012110000}"/>
    <cellStyle name="20% - Accent3 3 2 2 3 2 2 5" xfId="4464" xr:uid="{00000000-0005-0000-0000-000013110000}"/>
    <cellStyle name="20% - Accent3 3 2 2 3 2 2 6" xfId="4465" xr:uid="{00000000-0005-0000-0000-000014110000}"/>
    <cellStyle name="20% - Accent3 3 2 2 3 2 3" xfId="4466" xr:uid="{00000000-0005-0000-0000-000015110000}"/>
    <cellStyle name="20% - Accent3 3 2 2 3 2 3 2" xfId="4467" xr:uid="{00000000-0005-0000-0000-000016110000}"/>
    <cellStyle name="20% - Accent3 3 2 2 3 2 3 2 2" xfId="4468" xr:uid="{00000000-0005-0000-0000-000017110000}"/>
    <cellStyle name="20% - Accent3 3 2 2 3 2 3 2 3" xfId="4469" xr:uid="{00000000-0005-0000-0000-000018110000}"/>
    <cellStyle name="20% - Accent3 3 2 2 3 2 3 3" xfId="4470" xr:uid="{00000000-0005-0000-0000-000019110000}"/>
    <cellStyle name="20% - Accent3 3 2 2 3 2 3 4" xfId="4471" xr:uid="{00000000-0005-0000-0000-00001A110000}"/>
    <cellStyle name="20% - Accent3 3 2 2 3 2 4" xfId="4472" xr:uid="{00000000-0005-0000-0000-00001B110000}"/>
    <cellStyle name="20% - Accent3 3 2 2 3 2 4 2" xfId="4473" xr:uid="{00000000-0005-0000-0000-00001C110000}"/>
    <cellStyle name="20% - Accent3 3 2 2 3 2 4 3" xfId="4474" xr:uid="{00000000-0005-0000-0000-00001D110000}"/>
    <cellStyle name="20% - Accent3 3 2 2 3 2 5" xfId="4475" xr:uid="{00000000-0005-0000-0000-00001E110000}"/>
    <cellStyle name="20% - Accent3 3 2 2 3 2 6" xfId="4476" xr:uid="{00000000-0005-0000-0000-00001F110000}"/>
    <cellStyle name="20% - Accent3 3 2 2 3 2 7" xfId="4477" xr:uid="{00000000-0005-0000-0000-000020110000}"/>
    <cellStyle name="20% - Accent3 3 2 2 3 3" xfId="4478" xr:uid="{00000000-0005-0000-0000-000021110000}"/>
    <cellStyle name="20% - Accent3 3 2 2 3 3 2" xfId="4479" xr:uid="{00000000-0005-0000-0000-000022110000}"/>
    <cellStyle name="20% - Accent3 3 2 2 3 3 2 2" xfId="4480" xr:uid="{00000000-0005-0000-0000-000023110000}"/>
    <cellStyle name="20% - Accent3 3 2 2 3 3 2 2 2" xfId="4481" xr:uid="{00000000-0005-0000-0000-000024110000}"/>
    <cellStyle name="20% - Accent3 3 2 2 3 3 2 2 3" xfId="4482" xr:uid="{00000000-0005-0000-0000-000025110000}"/>
    <cellStyle name="20% - Accent3 3 2 2 3 3 2 3" xfId="4483" xr:uid="{00000000-0005-0000-0000-000026110000}"/>
    <cellStyle name="20% - Accent3 3 2 2 3 3 2 4" xfId="4484" xr:uid="{00000000-0005-0000-0000-000027110000}"/>
    <cellStyle name="20% - Accent3 3 2 2 3 3 3" xfId="4485" xr:uid="{00000000-0005-0000-0000-000028110000}"/>
    <cellStyle name="20% - Accent3 3 2 2 3 3 3 2" xfId="4486" xr:uid="{00000000-0005-0000-0000-000029110000}"/>
    <cellStyle name="20% - Accent3 3 2 2 3 3 3 3" xfId="4487" xr:uid="{00000000-0005-0000-0000-00002A110000}"/>
    <cellStyle name="20% - Accent3 3 2 2 3 3 4" xfId="4488" xr:uid="{00000000-0005-0000-0000-00002B110000}"/>
    <cellStyle name="20% - Accent3 3 2 2 3 3 5" xfId="4489" xr:uid="{00000000-0005-0000-0000-00002C110000}"/>
    <cellStyle name="20% - Accent3 3 2 2 3 3 6" xfId="4490" xr:uid="{00000000-0005-0000-0000-00002D110000}"/>
    <cellStyle name="20% - Accent3 3 2 2 3 4" xfId="4491" xr:uid="{00000000-0005-0000-0000-00002E110000}"/>
    <cellStyle name="20% - Accent3 3 2 2 3 4 2" xfId="4492" xr:uid="{00000000-0005-0000-0000-00002F110000}"/>
    <cellStyle name="20% - Accent3 3 2 2 3 4 2 2" xfId="4493" xr:uid="{00000000-0005-0000-0000-000030110000}"/>
    <cellStyle name="20% - Accent3 3 2 2 3 4 2 3" xfId="4494" xr:uid="{00000000-0005-0000-0000-000031110000}"/>
    <cellStyle name="20% - Accent3 3 2 2 3 4 3" xfId="4495" xr:uid="{00000000-0005-0000-0000-000032110000}"/>
    <cellStyle name="20% - Accent3 3 2 2 3 4 4" xfId="4496" xr:uid="{00000000-0005-0000-0000-000033110000}"/>
    <cellStyle name="20% - Accent3 3 2 2 3 5" xfId="4497" xr:uid="{00000000-0005-0000-0000-000034110000}"/>
    <cellStyle name="20% - Accent3 3 2 2 3 5 2" xfId="4498" xr:uid="{00000000-0005-0000-0000-000035110000}"/>
    <cellStyle name="20% - Accent3 3 2 2 3 5 3" xfId="4499" xr:uid="{00000000-0005-0000-0000-000036110000}"/>
    <cellStyle name="20% - Accent3 3 2 2 3 6" xfId="4500" xr:uid="{00000000-0005-0000-0000-000037110000}"/>
    <cellStyle name="20% - Accent3 3 2 2 3 7" xfId="4501" xr:uid="{00000000-0005-0000-0000-000038110000}"/>
    <cellStyle name="20% - Accent3 3 2 2 3 8" xfId="4502" xr:uid="{00000000-0005-0000-0000-000039110000}"/>
    <cellStyle name="20% - Accent3 3 2 2 4" xfId="4503" xr:uid="{00000000-0005-0000-0000-00003A110000}"/>
    <cellStyle name="20% - Accent3 3 2 2 4 2" xfId="4504" xr:uid="{00000000-0005-0000-0000-00003B110000}"/>
    <cellStyle name="20% - Accent3 3 2 2 4 2 2" xfId="4505" xr:uid="{00000000-0005-0000-0000-00003C110000}"/>
    <cellStyle name="20% - Accent3 3 2 2 4 2 2 2" xfId="4506" xr:uid="{00000000-0005-0000-0000-00003D110000}"/>
    <cellStyle name="20% - Accent3 3 2 2 4 2 2 2 2" xfId="4507" xr:uid="{00000000-0005-0000-0000-00003E110000}"/>
    <cellStyle name="20% - Accent3 3 2 2 4 2 2 2 3" xfId="4508" xr:uid="{00000000-0005-0000-0000-00003F110000}"/>
    <cellStyle name="20% - Accent3 3 2 2 4 2 2 3" xfId="4509" xr:uid="{00000000-0005-0000-0000-000040110000}"/>
    <cellStyle name="20% - Accent3 3 2 2 4 2 2 4" xfId="4510" xr:uid="{00000000-0005-0000-0000-000041110000}"/>
    <cellStyle name="20% - Accent3 3 2 2 4 2 3" xfId="4511" xr:uid="{00000000-0005-0000-0000-000042110000}"/>
    <cellStyle name="20% - Accent3 3 2 2 4 2 3 2" xfId="4512" xr:uid="{00000000-0005-0000-0000-000043110000}"/>
    <cellStyle name="20% - Accent3 3 2 2 4 2 3 3" xfId="4513" xr:uid="{00000000-0005-0000-0000-000044110000}"/>
    <cellStyle name="20% - Accent3 3 2 2 4 2 4" xfId="4514" xr:uid="{00000000-0005-0000-0000-000045110000}"/>
    <cellStyle name="20% - Accent3 3 2 2 4 2 5" xfId="4515" xr:uid="{00000000-0005-0000-0000-000046110000}"/>
    <cellStyle name="20% - Accent3 3 2 2 4 2 6" xfId="4516" xr:uid="{00000000-0005-0000-0000-000047110000}"/>
    <cellStyle name="20% - Accent3 3 2 2 4 3" xfId="4517" xr:uid="{00000000-0005-0000-0000-000048110000}"/>
    <cellStyle name="20% - Accent3 3 2 2 4 3 2" xfId="4518" xr:uid="{00000000-0005-0000-0000-000049110000}"/>
    <cellStyle name="20% - Accent3 3 2 2 4 3 2 2" xfId="4519" xr:uid="{00000000-0005-0000-0000-00004A110000}"/>
    <cellStyle name="20% - Accent3 3 2 2 4 3 2 3" xfId="4520" xr:uid="{00000000-0005-0000-0000-00004B110000}"/>
    <cellStyle name="20% - Accent3 3 2 2 4 3 3" xfId="4521" xr:uid="{00000000-0005-0000-0000-00004C110000}"/>
    <cellStyle name="20% - Accent3 3 2 2 4 3 4" xfId="4522" xr:uid="{00000000-0005-0000-0000-00004D110000}"/>
    <cellStyle name="20% - Accent3 3 2 2 4 4" xfId="4523" xr:uid="{00000000-0005-0000-0000-00004E110000}"/>
    <cellStyle name="20% - Accent3 3 2 2 4 4 2" xfId="4524" xr:uid="{00000000-0005-0000-0000-00004F110000}"/>
    <cellStyle name="20% - Accent3 3 2 2 4 4 3" xfId="4525" xr:uid="{00000000-0005-0000-0000-000050110000}"/>
    <cellStyle name="20% - Accent3 3 2 2 4 5" xfId="4526" xr:uid="{00000000-0005-0000-0000-000051110000}"/>
    <cellStyle name="20% - Accent3 3 2 2 4 6" xfId="4527" xr:uid="{00000000-0005-0000-0000-000052110000}"/>
    <cellStyle name="20% - Accent3 3 2 2 4 7" xfId="4528" xr:uid="{00000000-0005-0000-0000-000053110000}"/>
    <cellStyle name="20% - Accent3 3 2 2 5" xfId="4529" xr:uid="{00000000-0005-0000-0000-000054110000}"/>
    <cellStyle name="20% - Accent3 3 2 2 5 2" xfId="4530" xr:uid="{00000000-0005-0000-0000-000055110000}"/>
    <cellStyle name="20% - Accent3 3 2 2 5 2 2" xfId="4531" xr:uid="{00000000-0005-0000-0000-000056110000}"/>
    <cellStyle name="20% - Accent3 3 2 2 5 2 2 2" xfId="4532" xr:uid="{00000000-0005-0000-0000-000057110000}"/>
    <cellStyle name="20% - Accent3 3 2 2 5 2 2 3" xfId="4533" xr:uid="{00000000-0005-0000-0000-000058110000}"/>
    <cellStyle name="20% - Accent3 3 2 2 5 2 3" xfId="4534" xr:uid="{00000000-0005-0000-0000-000059110000}"/>
    <cellStyle name="20% - Accent3 3 2 2 5 2 4" xfId="4535" xr:uid="{00000000-0005-0000-0000-00005A110000}"/>
    <cellStyle name="20% - Accent3 3 2 2 5 3" xfId="4536" xr:uid="{00000000-0005-0000-0000-00005B110000}"/>
    <cellStyle name="20% - Accent3 3 2 2 5 3 2" xfId="4537" xr:uid="{00000000-0005-0000-0000-00005C110000}"/>
    <cellStyle name="20% - Accent3 3 2 2 5 3 3" xfId="4538" xr:uid="{00000000-0005-0000-0000-00005D110000}"/>
    <cellStyle name="20% - Accent3 3 2 2 5 4" xfId="4539" xr:uid="{00000000-0005-0000-0000-00005E110000}"/>
    <cellStyle name="20% - Accent3 3 2 2 5 5" xfId="4540" xr:uid="{00000000-0005-0000-0000-00005F110000}"/>
    <cellStyle name="20% - Accent3 3 2 2 5 6" xfId="4541" xr:uid="{00000000-0005-0000-0000-000060110000}"/>
    <cellStyle name="20% - Accent3 3 2 2 6" xfId="4542" xr:uid="{00000000-0005-0000-0000-000061110000}"/>
    <cellStyle name="20% - Accent3 3 2 2 6 2" xfId="4543" xr:uid="{00000000-0005-0000-0000-000062110000}"/>
    <cellStyle name="20% - Accent3 3 2 2 6 2 2" xfId="4544" xr:uid="{00000000-0005-0000-0000-000063110000}"/>
    <cellStyle name="20% - Accent3 3 2 2 6 2 3" xfId="4545" xr:uid="{00000000-0005-0000-0000-000064110000}"/>
    <cellStyle name="20% - Accent3 3 2 2 6 3" xfId="4546" xr:uid="{00000000-0005-0000-0000-000065110000}"/>
    <cellStyle name="20% - Accent3 3 2 2 6 4" xfId="4547" xr:uid="{00000000-0005-0000-0000-000066110000}"/>
    <cellStyle name="20% - Accent3 3 2 2 7" xfId="4548" xr:uid="{00000000-0005-0000-0000-000067110000}"/>
    <cellStyle name="20% - Accent3 3 2 2 7 2" xfId="4549" xr:uid="{00000000-0005-0000-0000-000068110000}"/>
    <cellStyle name="20% - Accent3 3 2 2 7 3" xfId="4550" xr:uid="{00000000-0005-0000-0000-000069110000}"/>
    <cellStyle name="20% - Accent3 3 2 2 8" xfId="4551" xr:uid="{00000000-0005-0000-0000-00006A110000}"/>
    <cellStyle name="20% - Accent3 3 2 2 9" xfId="4552" xr:uid="{00000000-0005-0000-0000-00006B110000}"/>
    <cellStyle name="20% - Accent3 3 2 3" xfId="4553" xr:uid="{00000000-0005-0000-0000-00006C110000}"/>
    <cellStyle name="20% - Accent3 3 2 3 2" xfId="4554" xr:uid="{00000000-0005-0000-0000-00006D110000}"/>
    <cellStyle name="20% - Accent3 3 2 3 2 2" xfId="4555" xr:uid="{00000000-0005-0000-0000-00006E110000}"/>
    <cellStyle name="20% - Accent3 3 2 3 2 2 2" xfId="4556" xr:uid="{00000000-0005-0000-0000-00006F110000}"/>
    <cellStyle name="20% - Accent3 3 2 3 2 2 2 2" xfId="4557" xr:uid="{00000000-0005-0000-0000-000070110000}"/>
    <cellStyle name="20% - Accent3 3 2 3 2 2 2 2 2" xfId="4558" xr:uid="{00000000-0005-0000-0000-000071110000}"/>
    <cellStyle name="20% - Accent3 3 2 3 2 2 2 2 2 2" xfId="4559" xr:uid="{00000000-0005-0000-0000-000072110000}"/>
    <cellStyle name="20% - Accent3 3 2 3 2 2 2 2 2 3" xfId="4560" xr:uid="{00000000-0005-0000-0000-000073110000}"/>
    <cellStyle name="20% - Accent3 3 2 3 2 2 2 2 3" xfId="4561" xr:uid="{00000000-0005-0000-0000-000074110000}"/>
    <cellStyle name="20% - Accent3 3 2 3 2 2 2 2 4" xfId="4562" xr:uid="{00000000-0005-0000-0000-000075110000}"/>
    <cellStyle name="20% - Accent3 3 2 3 2 2 2 3" xfId="4563" xr:uid="{00000000-0005-0000-0000-000076110000}"/>
    <cellStyle name="20% - Accent3 3 2 3 2 2 2 3 2" xfId="4564" xr:uid="{00000000-0005-0000-0000-000077110000}"/>
    <cellStyle name="20% - Accent3 3 2 3 2 2 2 3 3" xfId="4565" xr:uid="{00000000-0005-0000-0000-000078110000}"/>
    <cellStyle name="20% - Accent3 3 2 3 2 2 2 4" xfId="4566" xr:uid="{00000000-0005-0000-0000-000079110000}"/>
    <cellStyle name="20% - Accent3 3 2 3 2 2 2 5" xfId="4567" xr:uid="{00000000-0005-0000-0000-00007A110000}"/>
    <cellStyle name="20% - Accent3 3 2 3 2 2 2 6" xfId="4568" xr:uid="{00000000-0005-0000-0000-00007B110000}"/>
    <cellStyle name="20% - Accent3 3 2 3 2 2 3" xfId="4569" xr:uid="{00000000-0005-0000-0000-00007C110000}"/>
    <cellStyle name="20% - Accent3 3 2 3 2 2 3 2" xfId="4570" xr:uid="{00000000-0005-0000-0000-00007D110000}"/>
    <cellStyle name="20% - Accent3 3 2 3 2 2 3 2 2" xfId="4571" xr:uid="{00000000-0005-0000-0000-00007E110000}"/>
    <cellStyle name="20% - Accent3 3 2 3 2 2 3 2 3" xfId="4572" xr:uid="{00000000-0005-0000-0000-00007F110000}"/>
    <cellStyle name="20% - Accent3 3 2 3 2 2 3 3" xfId="4573" xr:uid="{00000000-0005-0000-0000-000080110000}"/>
    <cellStyle name="20% - Accent3 3 2 3 2 2 3 4" xfId="4574" xr:uid="{00000000-0005-0000-0000-000081110000}"/>
    <cellStyle name="20% - Accent3 3 2 3 2 2 4" xfId="4575" xr:uid="{00000000-0005-0000-0000-000082110000}"/>
    <cellStyle name="20% - Accent3 3 2 3 2 2 4 2" xfId="4576" xr:uid="{00000000-0005-0000-0000-000083110000}"/>
    <cellStyle name="20% - Accent3 3 2 3 2 2 4 3" xfId="4577" xr:uid="{00000000-0005-0000-0000-000084110000}"/>
    <cellStyle name="20% - Accent3 3 2 3 2 2 5" xfId="4578" xr:uid="{00000000-0005-0000-0000-000085110000}"/>
    <cellStyle name="20% - Accent3 3 2 3 2 2 6" xfId="4579" xr:uid="{00000000-0005-0000-0000-000086110000}"/>
    <cellStyle name="20% - Accent3 3 2 3 2 2 7" xfId="4580" xr:uid="{00000000-0005-0000-0000-000087110000}"/>
    <cellStyle name="20% - Accent3 3 2 3 2 3" xfId="4581" xr:uid="{00000000-0005-0000-0000-000088110000}"/>
    <cellStyle name="20% - Accent3 3 2 3 2 3 2" xfId="4582" xr:uid="{00000000-0005-0000-0000-000089110000}"/>
    <cellStyle name="20% - Accent3 3 2 3 2 3 2 2" xfId="4583" xr:uid="{00000000-0005-0000-0000-00008A110000}"/>
    <cellStyle name="20% - Accent3 3 2 3 2 3 2 2 2" xfId="4584" xr:uid="{00000000-0005-0000-0000-00008B110000}"/>
    <cellStyle name="20% - Accent3 3 2 3 2 3 2 2 3" xfId="4585" xr:uid="{00000000-0005-0000-0000-00008C110000}"/>
    <cellStyle name="20% - Accent3 3 2 3 2 3 2 3" xfId="4586" xr:uid="{00000000-0005-0000-0000-00008D110000}"/>
    <cellStyle name="20% - Accent3 3 2 3 2 3 2 4" xfId="4587" xr:uid="{00000000-0005-0000-0000-00008E110000}"/>
    <cellStyle name="20% - Accent3 3 2 3 2 3 3" xfId="4588" xr:uid="{00000000-0005-0000-0000-00008F110000}"/>
    <cellStyle name="20% - Accent3 3 2 3 2 3 3 2" xfId="4589" xr:uid="{00000000-0005-0000-0000-000090110000}"/>
    <cellStyle name="20% - Accent3 3 2 3 2 3 3 3" xfId="4590" xr:uid="{00000000-0005-0000-0000-000091110000}"/>
    <cellStyle name="20% - Accent3 3 2 3 2 3 4" xfId="4591" xr:uid="{00000000-0005-0000-0000-000092110000}"/>
    <cellStyle name="20% - Accent3 3 2 3 2 3 5" xfId="4592" xr:uid="{00000000-0005-0000-0000-000093110000}"/>
    <cellStyle name="20% - Accent3 3 2 3 2 3 6" xfId="4593" xr:uid="{00000000-0005-0000-0000-000094110000}"/>
    <cellStyle name="20% - Accent3 3 2 3 2 4" xfId="4594" xr:uid="{00000000-0005-0000-0000-000095110000}"/>
    <cellStyle name="20% - Accent3 3 2 3 2 4 2" xfId="4595" xr:uid="{00000000-0005-0000-0000-000096110000}"/>
    <cellStyle name="20% - Accent3 3 2 3 2 4 2 2" xfId="4596" xr:uid="{00000000-0005-0000-0000-000097110000}"/>
    <cellStyle name="20% - Accent3 3 2 3 2 4 2 3" xfId="4597" xr:uid="{00000000-0005-0000-0000-000098110000}"/>
    <cellStyle name="20% - Accent3 3 2 3 2 4 3" xfId="4598" xr:uid="{00000000-0005-0000-0000-000099110000}"/>
    <cellStyle name="20% - Accent3 3 2 3 2 4 4" xfId="4599" xr:uid="{00000000-0005-0000-0000-00009A110000}"/>
    <cellStyle name="20% - Accent3 3 2 3 2 5" xfId="4600" xr:uid="{00000000-0005-0000-0000-00009B110000}"/>
    <cellStyle name="20% - Accent3 3 2 3 2 5 2" xfId="4601" xr:uid="{00000000-0005-0000-0000-00009C110000}"/>
    <cellStyle name="20% - Accent3 3 2 3 2 5 3" xfId="4602" xr:uid="{00000000-0005-0000-0000-00009D110000}"/>
    <cellStyle name="20% - Accent3 3 2 3 2 6" xfId="4603" xr:uid="{00000000-0005-0000-0000-00009E110000}"/>
    <cellStyle name="20% - Accent3 3 2 3 2 7" xfId="4604" xr:uid="{00000000-0005-0000-0000-00009F110000}"/>
    <cellStyle name="20% - Accent3 3 2 3 2 8" xfId="4605" xr:uid="{00000000-0005-0000-0000-0000A0110000}"/>
    <cellStyle name="20% - Accent3 3 2 3 3" xfId="4606" xr:uid="{00000000-0005-0000-0000-0000A1110000}"/>
    <cellStyle name="20% - Accent3 3 2 3 3 2" xfId="4607" xr:uid="{00000000-0005-0000-0000-0000A2110000}"/>
    <cellStyle name="20% - Accent3 3 2 3 3 2 2" xfId="4608" xr:uid="{00000000-0005-0000-0000-0000A3110000}"/>
    <cellStyle name="20% - Accent3 3 2 3 3 2 2 2" xfId="4609" xr:uid="{00000000-0005-0000-0000-0000A4110000}"/>
    <cellStyle name="20% - Accent3 3 2 3 3 2 2 2 2" xfId="4610" xr:uid="{00000000-0005-0000-0000-0000A5110000}"/>
    <cellStyle name="20% - Accent3 3 2 3 3 2 2 2 3" xfId="4611" xr:uid="{00000000-0005-0000-0000-0000A6110000}"/>
    <cellStyle name="20% - Accent3 3 2 3 3 2 2 3" xfId="4612" xr:uid="{00000000-0005-0000-0000-0000A7110000}"/>
    <cellStyle name="20% - Accent3 3 2 3 3 2 2 4" xfId="4613" xr:uid="{00000000-0005-0000-0000-0000A8110000}"/>
    <cellStyle name="20% - Accent3 3 2 3 3 2 3" xfId="4614" xr:uid="{00000000-0005-0000-0000-0000A9110000}"/>
    <cellStyle name="20% - Accent3 3 2 3 3 2 3 2" xfId="4615" xr:uid="{00000000-0005-0000-0000-0000AA110000}"/>
    <cellStyle name="20% - Accent3 3 2 3 3 2 3 3" xfId="4616" xr:uid="{00000000-0005-0000-0000-0000AB110000}"/>
    <cellStyle name="20% - Accent3 3 2 3 3 2 4" xfId="4617" xr:uid="{00000000-0005-0000-0000-0000AC110000}"/>
    <cellStyle name="20% - Accent3 3 2 3 3 2 5" xfId="4618" xr:uid="{00000000-0005-0000-0000-0000AD110000}"/>
    <cellStyle name="20% - Accent3 3 2 3 3 2 6" xfId="4619" xr:uid="{00000000-0005-0000-0000-0000AE110000}"/>
    <cellStyle name="20% - Accent3 3 2 3 3 3" xfId="4620" xr:uid="{00000000-0005-0000-0000-0000AF110000}"/>
    <cellStyle name="20% - Accent3 3 2 3 3 3 2" xfId="4621" xr:uid="{00000000-0005-0000-0000-0000B0110000}"/>
    <cellStyle name="20% - Accent3 3 2 3 3 3 2 2" xfId="4622" xr:uid="{00000000-0005-0000-0000-0000B1110000}"/>
    <cellStyle name="20% - Accent3 3 2 3 3 3 2 3" xfId="4623" xr:uid="{00000000-0005-0000-0000-0000B2110000}"/>
    <cellStyle name="20% - Accent3 3 2 3 3 3 3" xfId="4624" xr:uid="{00000000-0005-0000-0000-0000B3110000}"/>
    <cellStyle name="20% - Accent3 3 2 3 3 3 4" xfId="4625" xr:uid="{00000000-0005-0000-0000-0000B4110000}"/>
    <cellStyle name="20% - Accent3 3 2 3 3 4" xfId="4626" xr:uid="{00000000-0005-0000-0000-0000B5110000}"/>
    <cellStyle name="20% - Accent3 3 2 3 3 4 2" xfId="4627" xr:uid="{00000000-0005-0000-0000-0000B6110000}"/>
    <cellStyle name="20% - Accent3 3 2 3 3 4 3" xfId="4628" xr:uid="{00000000-0005-0000-0000-0000B7110000}"/>
    <cellStyle name="20% - Accent3 3 2 3 3 5" xfId="4629" xr:uid="{00000000-0005-0000-0000-0000B8110000}"/>
    <cellStyle name="20% - Accent3 3 2 3 3 6" xfId="4630" xr:uid="{00000000-0005-0000-0000-0000B9110000}"/>
    <cellStyle name="20% - Accent3 3 2 3 3 7" xfId="4631" xr:uid="{00000000-0005-0000-0000-0000BA110000}"/>
    <cellStyle name="20% - Accent3 3 2 3 4" xfId="4632" xr:uid="{00000000-0005-0000-0000-0000BB110000}"/>
    <cellStyle name="20% - Accent3 3 2 3 4 2" xfId="4633" xr:uid="{00000000-0005-0000-0000-0000BC110000}"/>
    <cellStyle name="20% - Accent3 3 2 3 4 2 2" xfId="4634" xr:uid="{00000000-0005-0000-0000-0000BD110000}"/>
    <cellStyle name="20% - Accent3 3 2 3 4 2 2 2" xfId="4635" xr:uid="{00000000-0005-0000-0000-0000BE110000}"/>
    <cellStyle name="20% - Accent3 3 2 3 4 2 2 3" xfId="4636" xr:uid="{00000000-0005-0000-0000-0000BF110000}"/>
    <cellStyle name="20% - Accent3 3 2 3 4 2 3" xfId="4637" xr:uid="{00000000-0005-0000-0000-0000C0110000}"/>
    <cellStyle name="20% - Accent3 3 2 3 4 2 4" xfId="4638" xr:uid="{00000000-0005-0000-0000-0000C1110000}"/>
    <cellStyle name="20% - Accent3 3 2 3 4 3" xfId="4639" xr:uid="{00000000-0005-0000-0000-0000C2110000}"/>
    <cellStyle name="20% - Accent3 3 2 3 4 3 2" xfId="4640" xr:uid="{00000000-0005-0000-0000-0000C3110000}"/>
    <cellStyle name="20% - Accent3 3 2 3 4 3 3" xfId="4641" xr:uid="{00000000-0005-0000-0000-0000C4110000}"/>
    <cellStyle name="20% - Accent3 3 2 3 4 4" xfId="4642" xr:uid="{00000000-0005-0000-0000-0000C5110000}"/>
    <cellStyle name="20% - Accent3 3 2 3 4 5" xfId="4643" xr:uid="{00000000-0005-0000-0000-0000C6110000}"/>
    <cellStyle name="20% - Accent3 3 2 3 4 6" xfId="4644" xr:uid="{00000000-0005-0000-0000-0000C7110000}"/>
    <cellStyle name="20% - Accent3 3 2 3 5" xfId="4645" xr:uid="{00000000-0005-0000-0000-0000C8110000}"/>
    <cellStyle name="20% - Accent3 3 2 3 5 2" xfId="4646" xr:uid="{00000000-0005-0000-0000-0000C9110000}"/>
    <cellStyle name="20% - Accent3 3 2 3 5 2 2" xfId="4647" xr:uid="{00000000-0005-0000-0000-0000CA110000}"/>
    <cellStyle name="20% - Accent3 3 2 3 5 2 3" xfId="4648" xr:uid="{00000000-0005-0000-0000-0000CB110000}"/>
    <cellStyle name="20% - Accent3 3 2 3 5 3" xfId="4649" xr:uid="{00000000-0005-0000-0000-0000CC110000}"/>
    <cellStyle name="20% - Accent3 3 2 3 5 4" xfId="4650" xr:uid="{00000000-0005-0000-0000-0000CD110000}"/>
    <cellStyle name="20% - Accent3 3 2 3 6" xfId="4651" xr:uid="{00000000-0005-0000-0000-0000CE110000}"/>
    <cellStyle name="20% - Accent3 3 2 3 6 2" xfId="4652" xr:uid="{00000000-0005-0000-0000-0000CF110000}"/>
    <cellStyle name="20% - Accent3 3 2 3 6 3" xfId="4653" xr:uid="{00000000-0005-0000-0000-0000D0110000}"/>
    <cellStyle name="20% - Accent3 3 2 3 7" xfId="4654" xr:uid="{00000000-0005-0000-0000-0000D1110000}"/>
    <cellStyle name="20% - Accent3 3 2 3 8" xfId="4655" xr:uid="{00000000-0005-0000-0000-0000D2110000}"/>
    <cellStyle name="20% - Accent3 3 2 3 9" xfId="4656" xr:uid="{00000000-0005-0000-0000-0000D3110000}"/>
    <cellStyle name="20% - Accent3 3 2 4" xfId="4657" xr:uid="{00000000-0005-0000-0000-0000D4110000}"/>
    <cellStyle name="20% - Accent3 3 2 4 2" xfId="4658" xr:uid="{00000000-0005-0000-0000-0000D5110000}"/>
    <cellStyle name="20% - Accent3 3 2 4 2 2" xfId="4659" xr:uid="{00000000-0005-0000-0000-0000D6110000}"/>
    <cellStyle name="20% - Accent3 3 2 4 2 2 2" xfId="4660" xr:uid="{00000000-0005-0000-0000-0000D7110000}"/>
    <cellStyle name="20% - Accent3 3 2 4 2 2 2 2" xfId="4661" xr:uid="{00000000-0005-0000-0000-0000D8110000}"/>
    <cellStyle name="20% - Accent3 3 2 4 2 2 2 2 2" xfId="4662" xr:uid="{00000000-0005-0000-0000-0000D9110000}"/>
    <cellStyle name="20% - Accent3 3 2 4 2 2 2 2 3" xfId="4663" xr:uid="{00000000-0005-0000-0000-0000DA110000}"/>
    <cellStyle name="20% - Accent3 3 2 4 2 2 2 3" xfId="4664" xr:uid="{00000000-0005-0000-0000-0000DB110000}"/>
    <cellStyle name="20% - Accent3 3 2 4 2 2 2 4" xfId="4665" xr:uid="{00000000-0005-0000-0000-0000DC110000}"/>
    <cellStyle name="20% - Accent3 3 2 4 2 2 3" xfId="4666" xr:uid="{00000000-0005-0000-0000-0000DD110000}"/>
    <cellStyle name="20% - Accent3 3 2 4 2 2 3 2" xfId="4667" xr:uid="{00000000-0005-0000-0000-0000DE110000}"/>
    <cellStyle name="20% - Accent3 3 2 4 2 2 3 3" xfId="4668" xr:uid="{00000000-0005-0000-0000-0000DF110000}"/>
    <cellStyle name="20% - Accent3 3 2 4 2 2 4" xfId="4669" xr:uid="{00000000-0005-0000-0000-0000E0110000}"/>
    <cellStyle name="20% - Accent3 3 2 4 2 2 5" xfId="4670" xr:uid="{00000000-0005-0000-0000-0000E1110000}"/>
    <cellStyle name="20% - Accent3 3 2 4 2 2 6" xfId="4671" xr:uid="{00000000-0005-0000-0000-0000E2110000}"/>
    <cellStyle name="20% - Accent3 3 2 4 2 3" xfId="4672" xr:uid="{00000000-0005-0000-0000-0000E3110000}"/>
    <cellStyle name="20% - Accent3 3 2 4 2 3 2" xfId="4673" xr:uid="{00000000-0005-0000-0000-0000E4110000}"/>
    <cellStyle name="20% - Accent3 3 2 4 2 3 2 2" xfId="4674" xr:uid="{00000000-0005-0000-0000-0000E5110000}"/>
    <cellStyle name="20% - Accent3 3 2 4 2 3 2 3" xfId="4675" xr:uid="{00000000-0005-0000-0000-0000E6110000}"/>
    <cellStyle name="20% - Accent3 3 2 4 2 3 3" xfId="4676" xr:uid="{00000000-0005-0000-0000-0000E7110000}"/>
    <cellStyle name="20% - Accent3 3 2 4 2 3 4" xfId="4677" xr:uid="{00000000-0005-0000-0000-0000E8110000}"/>
    <cellStyle name="20% - Accent3 3 2 4 2 4" xfId="4678" xr:uid="{00000000-0005-0000-0000-0000E9110000}"/>
    <cellStyle name="20% - Accent3 3 2 4 2 4 2" xfId="4679" xr:uid="{00000000-0005-0000-0000-0000EA110000}"/>
    <cellStyle name="20% - Accent3 3 2 4 2 4 3" xfId="4680" xr:uid="{00000000-0005-0000-0000-0000EB110000}"/>
    <cellStyle name="20% - Accent3 3 2 4 2 5" xfId="4681" xr:uid="{00000000-0005-0000-0000-0000EC110000}"/>
    <cellStyle name="20% - Accent3 3 2 4 2 6" xfId="4682" xr:uid="{00000000-0005-0000-0000-0000ED110000}"/>
    <cellStyle name="20% - Accent3 3 2 4 2 7" xfId="4683" xr:uid="{00000000-0005-0000-0000-0000EE110000}"/>
    <cellStyle name="20% - Accent3 3 2 4 3" xfId="4684" xr:uid="{00000000-0005-0000-0000-0000EF110000}"/>
    <cellStyle name="20% - Accent3 3 2 4 3 2" xfId="4685" xr:uid="{00000000-0005-0000-0000-0000F0110000}"/>
    <cellStyle name="20% - Accent3 3 2 4 3 2 2" xfId="4686" xr:uid="{00000000-0005-0000-0000-0000F1110000}"/>
    <cellStyle name="20% - Accent3 3 2 4 3 2 2 2" xfId="4687" xr:uid="{00000000-0005-0000-0000-0000F2110000}"/>
    <cellStyle name="20% - Accent3 3 2 4 3 2 2 3" xfId="4688" xr:uid="{00000000-0005-0000-0000-0000F3110000}"/>
    <cellStyle name="20% - Accent3 3 2 4 3 2 3" xfId="4689" xr:uid="{00000000-0005-0000-0000-0000F4110000}"/>
    <cellStyle name="20% - Accent3 3 2 4 3 2 4" xfId="4690" xr:uid="{00000000-0005-0000-0000-0000F5110000}"/>
    <cellStyle name="20% - Accent3 3 2 4 3 3" xfId="4691" xr:uid="{00000000-0005-0000-0000-0000F6110000}"/>
    <cellStyle name="20% - Accent3 3 2 4 3 3 2" xfId="4692" xr:uid="{00000000-0005-0000-0000-0000F7110000}"/>
    <cellStyle name="20% - Accent3 3 2 4 3 3 3" xfId="4693" xr:uid="{00000000-0005-0000-0000-0000F8110000}"/>
    <cellStyle name="20% - Accent3 3 2 4 3 4" xfId="4694" xr:uid="{00000000-0005-0000-0000-0000F9110000}"/>
    <cellStyle name="20% - Accent3 3 2 4 3 5" xfId="4695" xr:uid="{00000000-0005-0000-0000-0000FA110000}"/>
    <cellStyle name="20% - Accent3 3 2 4 3 6" xfId="4696" xr:uid="{00000000-0005-0000-0000-0000FB110000}"/>
    <cellStyle name="20% - Accent3 3 2 4 4" xfId="4697" xr:uid="{00000000-0005-0000-0000-0000FC110000}"/>
    <cellStyle name="20% - Accent3 3 2 4 4 2" xfId="4698" xr:uid="{00000000-0005-0000-0000-0000FD110000}"/>
    <cellStyle name="20% - Accent3 3 2 4 4 2 2" xfId="4699" xr:uid="{00000000-0005-0000-0000-0000FE110000}"/>
    <cellStyle name="20% - Accent3 3 2 4 4 2 3" xfId="4700" xr:uid="{00000000-0005-0000-0000-0000FF110000}"/>
    <cellStyle name="20% - Accent3 3 2 4 4 3" xfId="4701" xr:uid="{00000000-0005-0000-0000-000000120000}"/>
    <cellStyle name="20% - Accent3 3 2 4 4 4" xfId="4702" xr:uid="{00000000-0005-0000-0000-000001120000}"/>
    <cellStyle name="20% - Accent3 3 2 4 5" xfId="4703" xr:uid="{00000000-0005-0000-0000-000002120000}"/>
    <cellStyle name="20% - Accent3 3 2 4 5 2" xfId="4704" xr:uid="{00000000-0005-0000-0000-000003120000}"/>
    <cellStyle name="20% - Accent3 3 2 4 5 3" xfId="4705" xr:uid="{00000000-0005-0000-0000-000004120000}"/>
    <cellStyle name="20% - Accent3 3 2 4 6" xfId="4706" xr:uid="{00000000-0005-0000-0000-000005120000}"/>
    <cellStyle name="20% - Accent3 3 2 4 7" xfId="4707" xr:uid="{00000000-0005-0000-0000-000006120000}"/>
    <cellStyle name="20% - Accent3 3 2 4 8" xfId="4708" xr:uid="{00000000-0005-0000-0000-000007120000}"/>
    <cellStyle name="20% - Accent3 3 2 5" xfId="4709" xr:uid="{00000000-0005-0000-0000-000008120000}"/>
    <cellStyle name="20% - Accent3 3 2 5 2" xfId="4710" xr:uid="{00000000-0005-0000-0000-000009120000}"/>
    <cellStyle name="20% - Accent3 3 2 5 2 2" xfId="4711" xr:uid="{00000000-0005-0000-0000-00000A120000}"/>
    <cellStyle name="20% - Accent3 3 2 5 2 2 2" xfId="4712" xr:uid="{00000000-0005-0000-0000-00000B120000}"/>
    <cellStyle name="20% - Accent3 3 2 5 2 2 2 2" xfId="4713" xr:uid="{00000000-0005-0000-0000-00000C120000}"/>
    <cellStyle name="20% - Accent3 3 2 5 2 2 2 3" xfId="4714" xr:uid="{00000000-0005-0000-0000-00000D120000}"/>
    <cellStyle name="20% - Accent3 3 2 5 2 2 3" xfId="4715" xr:uid="{00000000-0005-0000-0000-00000E120000}"/>
    <cellStyle name="20% - Accent3 3 2 5 2 2 4" xfId="4716" xr:uid="{00000000-0005-0000-0000-00000F120000}"/>
    <cellStyle name="20% - Accent3 3 2 5 2 3" xfId="4717" xr:uid="{00000000-0005-0000-0000-000010120000}"/>
    <cellStyle name="20% - Accent3 3 2 5 2 3 2" xfId="4718" xr:uid="{00000000-0005-0000-0000-000011120000}"/>
    <cellStyle name="20% - Accent3 3 2 5 2 3 3" xfId="4719" xr:uid="{00000000-0005-0000-0000-000012120000}"/>
    <cellStyle name="20% - Accent3 3 2 5 2 4" xfId="4720" xr:uid="{00000000-0005-0000-0000-000013120000}"/>
    <cellStyle name="20% - Accent3 3 2 5 2 5" xfId="4721" xr:uid="{00000000-0005-0000-0000-000014120000}"/>
    <cellStyle name="20% - Accent3 3 2 5 2 6" xfId="4722" xr:uid="{00000000-0005-0000-0000-000015120000}"/>
    <cellStyle name="20% - Accent3 3 2 5 3" xfId="4723" xr:uid="{00000000-0005-0000-0000-000016120000}"/>
    <cellStyle name="20% - Accent3 3 2 5 3 2" xfId="4724" xr:uid="{00000000-0005-0000-0000-000017120000}"/>
    <cellStyle name="20% - Accent3 3 2 5 3 2 2" xfId="4725" xr:uid="{00000000-0005-0000-0000-000018120000}"/>
    <cellStyle name="20% - Accent3 3 2 5 3 2 3" xfId="4726" xr:uid="{00000000-0005-0000-0000-000019120000}"/>
    <cellStyle name="20% - Accent3 3 2 5 3 3" xfId="4727" xr:uid="{00000000-0005-0000-0000-00001A120000}"/>
    <cellStyle name="20% - Accent3 3 2 5 3 4" xfId="4728" xr:uid="{00000000-0005-0000-0000-00001B120000}"/>
    <cellStyle name="20% - Accent3 3 2 5 4" xfId="4729" xr:uid="{00000000-0005-0000-0000-00001C120000}"/>
    <cellStyle name="20% - Accent3 3 2 5 4 2" xfId="4730" xr:uid="{00000000-0005-0000-0000-00001D120000}"/>
    <cellStyle name="20% - Accent3 3 2 5 4 3" xfId="4731" xr:uid="{00000000-0005-0000-0000-00001E120000}"/>
    <cellStyle name="20% - Accent3 3 2 5 5" xfId="4732" xr:uid="{00000000-0005-0000-0000-00001F120000}"/>
    <cellStyle name="20% - Accent3 3 2 5 6" xfId="4733" xr:uid="{00000000-0005-0000-0000-000020120000}"/>
    <cellStyle name="20% - Accent3 3 2 5 7" xfId="4734" xr:uid="{00000000-0005-0000-0000-000021120000}"/>
    <cellStyle name="20% - Accent3 3 2 6" xfId="4735" xr:uid="{00000000-0005-0000-0000-000022120000}"/>
    <cellStyle name="20% - Accent3 3 2 6 2" xfId="4736" xr:uid="{00000000-0005-0000-0000-000023120000}"/>
    <cellStyle name="20% - Accent3 3 2 6 2 2" xfId="4737" xr:uid="{00000000-0005-0000-0000-000024120000}"/>
    <cellStyle name="20% - Accent3 3 2 6 2 2 2" xfId="4738" xr:uid="{00000000-0005-0000-0000-000025120000}"/>
    <cellStyle name="20% - Accent3 3 2 6 2 2 3" xfId="4739" xr:uid="{00000000-0005-0000-0000-000026120000}"/>
    <cellStyle name="20% - Accent3 3 2 6 2 3" xfId="4740" xr:uid="{00000000-0005-0000-0000-000027120000}"/>
    <cellStyle name="20% - Accent3 3 2 6 2 4" xfId="4741" xr:uid="{00000000-0005-0000-0000-000028120000}"/>
    <cellStyle name="20% - Accent3 3 2 6 3" xfId="4742" xr:uid="{00000000-0005-0000-0000-000029120000}"/>
    <cellStyle name="20% - Accent3 3 2 6 3 2" xfId="4743" xr:uid="{00000000-0005-0000-0000-00002A120000}"/>
    <cellStyle name="20% - Accent3 3 2 6 3 3" xfId="4744" xr:uid="{00000000-0005-0000-0000-00002B120000}"/>
    <cellStyle name="20% - Accent3 3 2 6 4" xfId="4745" xr:uid="{00000000-0005-0000-0000-00002C120000}"/>
    <cellStyle name="20% - Accent3 3 2 6 5" xfId="4746" xr:uid="{00000000-0005-0000-0000-00002D120000}"/>
    <cellStyle name="20% - Accent3 3 2 6 6" xfId="4747" xr:uid="{00000000-0005-0000-0000-00002E120000}"/>
    <cellStyle name="20% - Accent3 3 2 7" xfId="4748" xr:uid="{00000000-0005-0000-0000-00002F120000}"/>
    <cellStyle name="20% - Accent3 3 2 7 2" xfId="4749" xr:uid="{00000000-0005-0000-0000-000030120000}"/>
    <cellStyle name="20% - Accent3 3 2 7 2 2" xfId="4750" xr:uid="{00000000-0005-0000-0000-000031120000}"/>
    <cellStyle name="20% - Accent3 3 2 7 2 3" xfId="4751" xr:uid="{00000000-0005-0000-0000-000032120000}"/>
    <cellStyle name="20% - Accent3 3 2 7 3" xfId="4752" xr:uid="{00000000-0005-0000-0000-000033120000}"/>
    <cellStyle name="20% - Accent3 3 2 7 4" xfId="4753" xr:uid="{00000000-0005-0000-0000-000034120000}"/>
    <cellStyle name="20% - Accent3 3 2 8" xfId="4754" xr:uid="{00000000-0005-0000-0000-000035120000}"/>
    <cellStyle name="20% - Accent3 3 2 8 2" xfId="4755" xr:uid="{00000000-0005-0000-0000-000036120000}"/>
    <cellStyle name="20% - Accent3 3 2 8 3" xfId="4756" xr:uid="{00000000-0005-0000-0000-000037120000}"/>
    <cellStyle name="20% - Accent3 3 2 9" xfId="4757" xr:uid="{00000000-0005-0000-0000-000038120000}"/>
    <cellStyle name="20% - Accent3 3 3" xfId="4758" xr:uid="{00000000-0005-0000-0000-000039120000}"/>
    <cellStyle name="20% - Accent3 3 3 10" xfId="4759" xr:uid="{00000000-0005-0000-0000-00003A120000}"/>
    <cellStyle name="20% - Accent3 3 3 2" xfId="4760" xr:uid="{00000000-0005-0000-0000-00003B120000}"/>
    <cellStyle name="20% - Accent3 3 3 2 2" xfId="4761" xr:uid="{00000000-0005-0000-0000-00003C120000}"/>
    <cellStyle name="20% - Accent3 3 3 2 2 2" xfId="4762" xr:uid="{00000000-0005-0000-0000-00003D120000}"/>
    <cellStyle name="20% - Accent3 3 3 2 2 2 2" xfId="4763" xr:uid="{00000000-0005-0000-0000-00003E120000}"/>
    <cellStyle name="20% - Accent3 3 3 2 2 2 2 2" xfId="4764" xr:uid="{00000000-0005-0000-0000-00003F120000}"/>
    <cellStyle name="20% - Accent3 3 3 2 2 2 2 2 2" xfId="4765" xr:uid="{00000000-0005-0000-0000-000040120000}"/>
    <cellStyle name="20% - Accent3 3 3 2 2 2 2 2 2 2" xfId="4766" xr:uid="{00000000-0005-0000-0000-000041120000}"/>
    <cellStyle name="20% - Accent3 3 3 2 2 2 2 2 2 3" xfId="4767" xr:uid="{00000000-0005-0000-0000-000042120000}"/>
    <cellStyle name="20% - Accent3 3 3 2 2 2 2 2 3" xfId="4768" xr:uid="{00000000-0005-0000-0000-000043120000}"/>
    <cellStyle name="20% - Accent3 3 3 2 2 2 2 2 4" xfId="4769" xr:uid="{00000000-0005-0000-0000-000044120000}"/>
    <cellStyle name="20% - Accent3 3 3 2 2 2 2 3" xfId="4770" xr:uid="{00000000-0005-0000-0000-000045120000}"/>
    <cellStyle name="20% - Accent3 3 3 2 2 2 2 3 2" xfId="4771" xr:uid="{00000000-0005-0000-0000-000046120000}"/>
    <cellStyle name="20% - Accent3 3 3 2 2 2 2 3 3" xfId="4772" xr:uid="{00000000-0005-0000-0000-000047120000}"/>
    <cellStyle name="20% - Accent3 3 3 2 2 2 2 4" xfId="4773" xr:uid="{00000000-0005-0000-0000-000048120000}"/>
    <cellStyle name="20% - Accent3 3 3 2 2 2 2 5" xfId="4774" xr:uid="{00000000-0005-0000-0000-000049120000}"/>
    <cellStyle name="20% - Accent3 3 3 2 2 2 2 6" xfId="4775" xr:uid="{00000000-0005-0000-0000-00004A120000}"/>
    <cellStyle name="20% - Accent3 3 3 2 2 2 3" xfId="4776" xr:uid="{00000000-0005-0000-0000-00004B120000}"/>
    <cellStyle name="20% - Accent3 3 3 2 2 2 3 2" xfId="4777" xr:uid="{00000000-0005-0000-0000-00004C120000}"/>
    <cellStyle name="20% - Accent3 3 3 2 2 2 3 2 2" xfId="4778" xr:uid="{00000000-0005-0000-0000-00004D120000}"/>
    <cellStyle name="20% - Accent3 3 3 2 2 2 3 2 3" xfId="4779" xr:uid="{00000000-0005-0000-0000-00004E120000}"/>
    <cellStyle name="20% - Accent3 3 3 2 2 2 3 3" xfId="4780" xr:uid="{00000000-0005-0000-0000-00004F120000}"/>
    <cellStyle name="20% - Accent3 3 3 2 2 2 3 4" xfId="4781" xr:uid="{00000000-0005-0000-0000-000050120000}"/>
    <cellStyle name="20% - Accent3 3 3 2 2 2 4" xfId="4782" xr:uid="{00000000-0005-0000-0000-000051120000}"/>
    <cellStyle name="20% - Accent3 3 3 2 2 2 4 2" xfId="4783" xr:uid="{00000000-0005-0000-0000-000052120000}"/>
    <cellStyle name="20% - Accent3 3 3 2 2 2 4 3" xfId="4784" xr:uid="{00000000-0005-0000-0000-000053120000}"/>
    <cellStyle name="20% - Accent3 3 3 2 2 2 5" xfId="4785" xr:uid="{00000000-0005-0000-0000-000054120000}"/>
    <cellStyle name="20% - Accent3 3 3 2 2 2 6" xfId="4786" xr:uid="{00000000-0005-0000-0000-000055120000}"/>
    <cellStyle name="20% - Accent3 3 3 2 2 2 7" xfId="4787" xr:uid="{00000000-0005-0000-0000-000056120000}"/>
    <cellStyle name="20% - Accent3 3 3 2 2 3" xfId="4788" xr:uid="{00000000-0005-0000-0000-000057120000}"/>
    <cellStyle name="20% - Accent3 3 3 2 2 3 2" xfId="4789" xr:uid="{00000000-0005-0000-0000-000058120000}"/>
    <cellStyle name="20% - Accent3 3 3 2 2 3 2 2" xfId="4790" xr:uid="{00000000-0005-0000-0000-000059120000}"/>
    <cellStyle name="20% - Accent3 3 3 2 2 3 2 2 2" xfId="4791" xr:uid="{00000000-0005-0000-0000-00005A120000}"/>
    <cellStyle name="20% - Accent3 3 3 2 2 3 2 2 3" xfId="4792" xr:uid="{00000000-0005-0000-0000-00005B120000}"/>
    <cellStyle name="20% - Accent3 3 3 2 2 3 2 3" xfId="4793" xr:uid="{00000000-0005-0000-0000-00005C120000}"/>
    <cellStyle name="20% - Accent3 3 3 2 2 3 2 4" xfId="4794" xr:uid="{00000000-0005-0000-0000-00005D120000}"/>
    <cellStyle name="20% - Accent3 3 3 2 2 3 3" xfId="4795" xr:uid="{00000000-0005-0000-0000-00005E120000}"/>
    <cellStyle name="20% - Accent3 3 3 2 2 3 3 2" xfId="4796" xr:uid="{00000000-0005-0000-0000-00005F120000}"/>
    <cellStyle name="20% - Accent3 3 3 2 2 3 3 3" xfId="4797" xr:uid="{00000000-0005-0000-0000-000060120000}"/>
    <cellStyle name="20% - Accent3 3 3 2 2 3 4" xfId="4798" xr:uid="{00000000-0005-0000-0000-000061120000}"/>
    <cellStyle name="20% - Accent3 3 3 2 2 3 5" xfId="4799" xr:uid="{00000000-0005-0000-0000-000062120000}"/>
    <cellStyle name="20% - Accent3 3 3 2 2 3 6" xfId="4800" xr:uid="{00000000-0005-0000-0000-000063120000}"/>
    <cellStyle name="20% - Accent3 3 3 2 2 4" xfId="4801" xr:uid="{00000000-0005-0000-0000-000064120000}"/>
    <cellStyle name="20% - Accent3 3 3 2 2 4 2" xfId="4802" xr:uid="{00000000-0005-0000-0000-000065120000}"/>
    <cellStyle name="20% - Accent3 3 3 2 2 4 2 2" xfId="4803" xr:uid="{00000000-0005-0000-0000-000066120000}"/>
    <cellStyle name="20% - Accent3 3 3 2 2 4 2 3" xfId="4804" xr:uid="{00000000-0005-0000-0000-000067120000}"/>
    <cellStyle name="20% - Accent3 3 3 2 2 4 3" xfId="4805" xr:uid="{00000000-0005-0000-0000-000068120000}"/>
    <cellStyle name="20% - Accent3 3 3 2 2 4 4" xfId="4806" xr:uid="{00000000-0005-0000-0000-000069120000}"/>
    <cellStyle name="20% - Accent3 3 3 2 2 5" xfId="4807" xr:uid="{00000000-0005-0000-0000-00006A120000}"/>
    <cellStyle name="20% - Accent3 3 3 2 2 5 2" xfId="4808" xr:uid="{00000000-0005-0000-0000-00006B120000}"/>
    <cellStyle name="20% - Accent3 3 3 2 2 5 3" xfId="4809" xr:uid="{00000000-0005-0000-0000-00006C120000}"/>
    <cellStyle name="20% - Accent3 3 3 2 2 6" xfId="4810" xr:uid="{00000000-0005-0000-0000-00006D120000}"/>
    <cellStyle name="20% - Accent3 3 3 2 2 7" xfId="4811" xr:uid="{00000000-0005-0000-0000-00006E120000}"/>
    <cellStyle name="20% - Accent3 3 3 2 2 8" xfId="4812" xr:uid="{00000000-0005-0000-0000-00006F120000}"/>
    <cellStyle name="20% - Accent3 3 3 2 3" xfId="4813" xr:uid="{00000000-0005-0000-0000-000070120000}"/>
    <cellStyle name="20% - Accent3 3 3 2 3 2" xfId="4814" xr:uid="{00000000-0005-0000-0000-000071120000}"/>
    <cellStyle name="20% - Accent3 3 3 2 3 2 2" xfId="4815" xr:uid="{00000000-0005-0000-0000-000072120000}"/>
    <cellStyle name="20% - Accent3 3 3 2 3 2 2 2" xfId="4816" xr:uid="{00000000-0005-0000-0000-000073120000}"/>
    <cellStyle name="20% - Accent3 3 3 2 3 2 2 2 2" xfId="4817" xr:uid="{00000000-0005-0000-0000-000074120000}"/>
    <cellStyle name="20% - Accent3 3 3 2 3 2 2 2 3" xfId="4818" xr:uid="{00000000-0005-0000-0000-000075120000}"/>
    <cellStyle name="20% - Accent3 3 3 2 3 2 2 3" xfId="4819" xr:uid="{00000000-0005-0000-0000-000076120000}"/>
    <cellStyle name="20% - Accent3 3 3 2 3 2 2 4" xfId="4820" xr:uid="{00000000-0005-0000-0000-000077120000}"/>
    <cellStyle name="20% - Accent3 3 3 2 3 2 3" xfId="4821" xr:uid="{00000000-0005-0000-0000-000078120000}"/>
    <cellStyle name="20% - Accent3 3 3 2 3 2 3 2" xfId="4822" xr:uid="{00000000-0005-0000-0000-000079120000}"/>
    <cellStyle name="20% - Accent3 3 3 2 3 2 3 3" xfId="4823" xr:uid="{00000000-0005-0000-0000-00007A120000}"/>
    <cellStyle name="20% - Accent3 3 3 2 3 2 4" xfId="4824" xr:uid="{00000000-0005-0000-0000-00007B120000}"/>
    <cellStyle name="20% - Accent3 3 3 2 3 2 5" xfId="4825" xr:uid="{00000000-0005-0000-0000-00007C120000}"/>
    <cellStyle name="20% - Accent3 3 3 2 3 2 6" xfId="4826" xr:uid="{00000000-0005-0000-0000-00007D120000}"/>
    <cellStyle name="20% - Accent3 3 3 2 3 3" xfId="4827" xr:uid="{00000000-0005-0000-0000-00007E120000}"/>
    <cellStyle name="20% - Accent3 3 3 2 3 3 2" xfId="4828" xr:uid="{00000000-0005-0000-0000-00007F120000}"/>
    <cellStyle name="20% - Accent3 3 3 2 3 3 2 2" xfId="4829" xr:uid="{00000000-0005-0000-0000-000080120000}"/>
    <cellStyle name="20% - Accent3 3 3 2 3 3 2 3" xfId="4830" xr:uid="{00000000-0005-0000-0000-000081120000}"/>
    <cellStyle name="20% - Accent3 3 3 2 3 3 3" xfId="4831" xr:uid="{00000000-0005-0000-0000-000082120000}"/>
    <cellStyle name="20% - Accent3 3 3 2 3 3 4" xfId="4832" xr:uid="{00000000-0005-0000-0000-000083120000}"/>
    <cellStyle name="20% - Accent3 3 3 2 3 4" xfId="4833" xr:uid="{00000000-0005-0000-0000-000084120000}"/>
    <cellStyle name="20% - Accent3 3 3 2 3 4 2" xfId="4834" xr:uid="{00000000-0005-0000-0000-000085120000}"/>
    <cellStyle name="20% - Accent3 3 3 2 3 4 3" xfId="4835" xr:uid="{00000000-0005-0000-0000-000086120000}"/>
    <cellStyle name="20% - Accent3 3 3 2 3 5" xfId="4836" xr:uid="{00000000-0005-0000-0000-000087120000}"/>
    <cellStyle name="20% - Accent3 3 3 2 3 6" xfId="4837" xr:uid="{00000000-0005-0000-0000-000088120000}"/>
    <cellStyle name="20% - Accent3 3 3 2 3 7" xfId="4838" xr:uid="{00000000-0005-0000-0000-000089120000}"/>
    <cellStyle name="20% - Accent3 3 3 2 4" xfId="4839" xr:uid="{00000000-0005-0000-0000-00008A120000}"/>
    <cellStyle name="20% - Accent3 3 3 2 4 2" xfId="4840" xr:uid="{00000000-0005-0000-0000-00008B120000}"/>
    <cellStyle name="20% - Accent3 3 3 2 4 2 2" xfId="4841" xr:uid="{00000000-0005-0000-0000-00008C120000}"/>
    <cellStyle name="20% - Accent3 3 3 2 4 2 2 2" xfId="4842" xr:uid="{00000000-0005-0000-0000-00008D120000}"/>
    <cellStyle name="20% - Accent3 3 3 2 4 2 2 3" xfId="4843" xr:uid="{00000000-0005-0000-0000-00008E120000}"/>
    <cellStyle name="20% - Accent3 3 3 2 4 2 3" xfId="4844" xr:uid="{00000000-0005-0000-0000-00008F120000}"/>
    <cellStyle name="20% - Accent3 3 3 2 4 2 4" xfId="4845" xr:uid="{00000000-0005-0000-0000-000090120000}"/>
    <cellStyle name="20% - Accent3 3 3 2 4 3" xfId="4846" xr:uid="{00000000-0005-0000-0000-000091120000}"/>
    <cellStyle name="20% - Accent3 3 3 2 4 3 2" xfId="4847" xr:uid="{00000000-0005-0000-0000-000092120000}"/>
    <cellStyle name="20% - Accent3 3 3 2 4 3 3" xfId="4848" xr:uid="{00000000-0005-0000-0000-000093120000}"/>
    <cellStyle name="20% - Accent3 3 3 2 4 4" xfId="4849" xr:uid="{00000000-0005-0000-0000-000094120000}"/>
    <cellStyle name="20% - Accent3 3 3 2 4 5" xfId="4850" xr:uid="{00000000-0005-0000-0000-000095120000}"/>
    <cellStyle name="20% - Accent3 3 3 2 4 6" xfId="4851" xr:uid="{00000000-0005-0000-0000-000096120000}"/>
    <cellStyle name="20% - Accent3 3 3 2 5" xfId="4852" xr:uid="{00000000-0005-0000-0000-000097120000}"/>
    <cellStyle name="20% - Accent3 3 3 2 5 2" xfId="4853" xr:uid="{00000000-0005-0000-0000-000098120000}"/>
    <cellStyle name="20% - Accent3 3 3 2 5 2 2" xfId="4854" xr:uid="{00000000-0005-0000-0000-000099120000}"/>
    <cellStyle name="20% - Accent3 3 3 2 5 2 3" xfId="4855" xr:uid="{00000000-0005-0000-0000-00009A120000}"/>
    <cellStyle name="20% - Accent3 3 3 2 5 3" xfId="4856" xr:uid="{00000000-0005-0000-0000-00009B120000}"/>
    <cellStyle name="20% - Accent3 3 3 2 5 4" xfId="4857" xr:uid="{00000000-0005-0000-0000-00009C120000}"/>
    <cellStyle name="20% - Accent3 3 3 2 6" xfId="4858" xr:uid="{00000000-0005-0000-0000-00009D120000}"/>
    <cellStyle name="20% - Accent3 3 3 2 6 2" xfId="4859" xr:uid="{00000000-0005-0000-0000-00009E120000}"/>
    <cellStyle name="20% - Accent3 3 3 2 6 3" xfId="4860" xr:uid="{00000000-0005-0000-0000-00009F120000}"/>
    <cellStyle name="20% - Accent3 3 3 2 7" xfId="4861" xr:uid="{00000000-0005-0000-0000-0000A0120000}"/>
    <cellStyle name="20% - Accent3 3 3 2 8" xfId="4862" xr:uid="{00000000-0005-0000-0000-0000A1120000}"/>
    <cellStyle name="20% - Accent3 3 3 2 9" xfId="4863" xr:uid="{00000000-0005-0000-0000-0000A2120000}"/>
    <cellStyle name="20% - Accent3 3 3 3" xfId="4864" xr:uid="{00000000-0005-0000-0000-0000A3120000}"/>
    <cellStyle name="20% - Accent3 3 3 3 2" xfId="4865" xr:uid="{00000000-0005-0000-0000-0000A4120000}"/>
    <cellStyle name="20% - Accent3 3 3 3 2 2" xfId="4866" xr:uid="{00000000-0005-0000-0000-0000A5120000}"/>
    <cellStyle name="20% - Accent3 3 3 3 2 2 2" xfId="4867" xr:uid="{00000000-0005-0000-0000-0000A6120000}"/>
    <cellStyle name="20% - Accent3 3 3 3 2 2 2 2" xfId="4868" xr:uid="{00000000-0005-0000-0000-0000A7120000}"/>
    <cellStyle name="20% - Accent3 3 3 3 2 2 2 2 2" xfId="4869" xr:uid="{00000000-0005-0000-0000-0000A8120000}"/>
    <cellStyle name="20% - Accent3 3 3 3 2 2 2 2 3" xfId="4870" xr:uid="{00000000-0005-0000-0000-0000A9120000}"/>
    <cellStyle name="20% - Accent3 3 3 3 2 2 2 3" xfId="4871" xr:uid="{00000000-0005-0000-0000-0000AA120000}"/>
    <cellStyle name="20% - Accent3 3 3 3 2 2 2 4" xfId="4872" xr:uid="{00000000-0005-0000-0000-0000AB120000}"/>
    <cellStyle name="20% - Accent3 3 3 3 2 2 3" xfId="4873" xr:uid="{00000000-0005-0000-0000-0000AC120000}"/>
    <cellStyle name="20% - Accent3 3 3 3 2 2 3 2" xfId="4874" xr:uid="{00000000-0005-0000-0000-0000AD120000}"/>
    <cellStyle name="20% - Accent3 3 3 3 2 2 3 3" xfId="4875" xr:uid="{00000000-0005-0000-0000-0000AE120000}"/>
    <cellStyle name="20% - Accent3 3 3 3 2 2 4" xfId="4876" xr:uid="{00000000-0005-0000-0000-0000AF120000}"/>
    <cellStyle name="20% - Accent3 3 3 3 2 2 5" xfId="4877" xr:uid="{00000000-0005-0000-0000-0000B0120000}"/>
    <cellStyle name="20% - Accent3 3 3 3 2 2 6" xfId="4878" xr:uid="{00000000-0005-0000-0000-0000B1120000}"/>
    <cellStyle name="20% - Accent3 3 3 3 2 3" xfId="4879" xr:uid="{00000000-0005-0000-0000-0000B2120000}"/>
    <cellStyle name="20% - Accent3 3 3 3 2 3 2" xfId="4880" xr:uid="{00000000-0005-0000-0000-0000B3120000}"/>
    <cellStyle name="20% - Accent3 3 3 3 2 3 2 2" xfId="4881" xr:uid="{00000000-0005-0000-0000-0000B4120000}"/>
    <cellStyle name="20% - Accent3 3 3 3 2 3 2 3" xfId="4882" xr:uid="{00000000-0005-0000-0000-0000B5120000}"/>
    <cellStyle name="20% - Accent3 3 3 3 2 3 3" xfId="4883" xr:uid="{00000000-0005-0000-0000-0000B6120000}"/>
    <cellStyle name="20% - Accent3 3 3 3 2 3 4" xfId="4884" xr:uid="{00000000-0005-0000-0000-0000B7120000}"/>
    <cellStyle name="20% - Accent3 3 3 3 2 4" xfId="4885" xr:uid="{00000000-0005-0000-0000-0000B8120000}"/>
    <cellStyle name="20% - Accent3 3 3 3 2 4 2" xfId="4886" xr:uid="{00000000-0005-0000-0000-0000B9120000}"/>
    <cellStyle name="20% - Accent3 3 3 3 2 4 3" xfId="4887" xr:uid="{00000000-0005-0000-0000-0000BA120000}"/>
    <cellStyle name="20% - Accent3 3 3 3 2 5" xfId="4888" xr:uid="{00000000-0005-0000-0000-0000BB120000}"/>
    <cellStyle name="20% - Accent3 3 3 3 2 6" xfId="4889" xr:uid="{00000000-0005-0000-0000-0000BC120000}"/>
    <cellStyle name="20% - Accent3 3 3 3 2 7" xfId="4890" xr:uid="{00000000-0005-0000-0000-0000BD120000}"/>
    <cellStyle name="20% - Accent3 3 3 3 3" xfId="4891" xr:uid="{00000000-0005-0000-0000-0000BE120000}"/>
    <cellStyle name="20% - Accent3 3 3 3 3 2" xfId="4892" xr:uid="{00000000-0005-0000-0000-0000BF120000}"/>
    <cellStyle name="20% - Accent3 3 3 3 3 2 2" xfId="4893" xr:uid="{00000000-0005-0000-0000-0000C0120000}"/>
    <cellStyle name="20% - Accent3 3 3 3 3 2 2 2" xfId="4894" xr:uid="{00000000-0005-0000-0000-0000C1120000}"/>
    <cellStyle name="20% - Accent3 3 3 3 3 2 2 3" xfId="4895" xr:uid="{00000000-0005-0000-0000-0000C2120000}"/>
    <cellStyle name="20% - Accent3 3 3 3 3 2 3" xfId="4896" xr:uid="{00000000-0005-0000-0000-0000C3120000}"/>
    <cellStyle name="20% - Accent3 3 3 3 3 2 4" xfId="4897" xr:uid="{00000000-0005-0000-0000-0000C4120000}"/>
    <cellStyle name="20% - Accent3 3 3 3 3 3" xfId="4898" xr:uid="{00000000-0005-0000-0000-0000C5120000}"/>
    <cellStyle name="20% - Accent3 3 3 3 3 3 2" xfId="4899" xr:uid="{00000000-0005-0000-0000-0000C6120000}"/>
    <cellStyle name="20% - Accent3 3 3 3 3 3 3" xfId="4900" xr:uid="{00000000-0005-0000-0000-0000C7120000}"/>
    <cellStyle name="20% - Accent3 3 3 3 3 4" xfId="4901" xr:uid="{00000000-0005-0000-0000-0000C8120000}"/>
    <cellStyle name="20% - Accent3 3 3 3 3 5" xfId="4902" xr:uid="{00000000-0005-0000-0000-0000C9120000}"/>
    <cellStyle name="20% - Accent3 3 3 3 3 6" xfId="4903" xr:uid="{00000000-0005-0000-0000-0000CA120000}"/>
    <cellStyle name="20% - Accent3 3 3 3 4" xfId="4904" xr:uid="{00000000-0005-0000-0000-0000CB120000}"/>
    <cellStyle name="20% - Accent3 3 3 3 4 2" xfId="4905" xr:uid="{00000000-0005-0000-0000-0000CC120000}"/>
    <cellStyle name="20% - Accent3 3 3 3 4 2 2" xfId="4906" xr:uid="{00000000-0005-0000-0000-0000CD120000}"/>
    <cellStyle name="20% - Accent3 3 3 3 4 2 3" xfId="4907" xr:uid="{00000000-0005-0000-0000-0000CE120000}"/>
    <cellStyle name="20% - Accent3 3 3 3 4 3" xfId="4908" xr:uid="{00000000-0005-0000-0000-0000CF120000}"/>
    <cellStyle name="20% - Accent3 3 3 3 4 4" xfId="4909" xr:uid="{00000000-0005-0000-0000-0000D0120000}"/>
    <cellStyle name="20% - Accent3 3 3 3 5" xfId="4910" xr:uid="{00000000-0005-0000-0000-0000D1120000}"/>
    <cellStyle name="20% - Accent3 3 3 3 5 2" xfId="4911" xr:uid="{00000000-0005-0000-0000-0000D2120000}"/>
    <cellStyle name="20% - Accent3 3 3 3 5 3" xfId="4912" xr:uid="{00000000-0005-0000-0000-0000D3120000}"/>
    <cellStyle name="20% - Accent3 3 3 3 6" xfId="4913" xr:uid="{00000000-0005-0000-0000-0000D4120000}"/>
    <cellStyle name="20% - Accent3 3 3 3 7" xfId="4914" xr:uid="{00000000-0005-0000-0000-0000D5120000}"/>
    <cellStyle name="20% - Accent3 3 3 3 8" xfId="4915" xr:uid="{00000000-0005-0000-0000-0000D6120000}"/>
    <cellStyle name="20% - Accent3 3 3 4" xfId="4916" xr:uid="{00000000-0005-0000-0000-0000D7120000}"/>
    <cellStyle name="20% - Accent3 3 3 4 2" xfId="4917" xr:uid="{00000000-0005-0000-0000-0000D8120000}"/>
    <cellStyle name="20% - Accent3 3 3 4 2 2" xfId="4918" xr:uid="{00000000-0005-0000-0000-0000D9120000}"/>
    <cellStyle name="20% - Accent3 3 3 4 2 2 2" xfId="4919" xr:uid="{00000000-0005-0000-0000-0000DA120000}"/>
    <cellStyle name="20% - Accent3 3 3 4 2 2 2 2" xfId="4920" xr:uid="{00000000-0005-0000-0000-0000DB120000}"/>
    <cellStyle name="20% - Accent3 3 3 4 2 2 2 3" xfId="4921" xr:uid="{00000000-0005-0000-0000-0000DC120000}"/>
    <cellStyle name="20% - Accent3 3 3 4 2 2 3" xfId="4922" xr:uid="{00000000-0005-0000-0000-0000DD120000}"/>
    <cellStyle name="20% - Accent3 3 3 4 2 2 4" xfId="4923" xr:uid="{00000000-0005-0000-0000-0000DE120000}"/>
    <cellStyle name="20% - Accent3 3 3 4 2 3" xfId="4924" xr:uid="{00000000-0005-0000-0000-0000DF120000}"/>
    <cellStyle name="20% - Accent3 3 3 4 2 3 2" xfId="4925" xr:uid="{00000000-0005-0000-0000-0000E0120000}"/>
    <cellStyle name="20% - Accent3 3 3 4 2 3 3" xfId="4926" xr:uid="{00000000-0005-0000-0000-0000E1120000}"/>
    <cellStyle name="20% - Accent3 3 3 4 2 4" xfId="4927" xr:uid="{00000000-0005-0000-0000-0000E2120000}"/>
    <cellStyle name="20% - Accent3 3 3 4 2 5" xfId="4928" xr:uid="{00000000-0005-0000-0000-0000E3120000}"/>
    <cellStyle name="20% - Accent3 3 3 4 2 6" xfId="4929" xr:uid="{00000000-0005-0000-0000-0000E4120000}"/>
    <cellStyle name="20% - Accent3 3 3 4 3" xfId="4930" xr:uid="{00000000-0005-0000-0000-0000E5120000}"/>
    <cellStyle name="20% - Accent3 3 3 4 3 2" xfId="4931" xr:uid="{00000000-0005-0000-0000-0000E6120000}"/>
    <cellStyle name="20% - Accent3 3 3 4 3 2 2" xfId="4932" xr:uid="{00000000-0005-0000-0000-0000E7120000}"/>
    <cellStyle name="20% - Accent3 3 3 4 3 2 3" xfId="4933" xr:uid="{00000000-0005-0000-0000-0000E8120000}"/>
    <cellStyle name="20% - Accent3 3 3 4 3 3" xfId="4934" xr:uid="{00000000-0005-0000-0000-0000E9120000}"/>
    <cellStyle name="20% - Accent3 3 3 4 3 4" xfId="4935" xr:uid="{00000000-0005-0000-0000-0000EA120000}"/>
    <cellStyle name="20% - Accent3 3 3 4 4" xfId="4936" xr:uid="{00000000-0005-0000-0000-0000EB120000}"/>
    <cellStyle name="20% - Accent3 3 3 4 4 2" xfId="4937" xr:uid="{00000000-0005-0000-0000-0000EC120000}"/>
    <cellStyle name="20% - Accent3 3 3 4 4 3" xfId="4938" xr:uid="{00000000-0005-0000-0000-0000ED120000}"/>
    <cellStyle name="20% - Accent3 3 3 4 5" xfId="4939" xr:uid="{00000000-0005-0000-0000-0000EE120000}"/>
    <cellStyle name="20% - Accent3 3 3 4 6" xfId="4940" xr:uid="{00000000-0005-0000-0000-0000EF120000}"/>
    <cellStyle name="20% - Accent3 3 3 4 7" xfId="4941" xr:uid="{00000000-0005-0000-0000-0000F0120000}"/>
    <cellStyle name="20% - Accent3 3 3 5" xfId="4942" xr:uid="{00000000-0005-0000-0000-0000F1120000}"/>
    <cellStyle name="20% - Accent3 3 3 5 2" xfId="4943" xr:uid="{00000000-0005-0000-0000-0000F2120000}"/>
    <cellStyle name="20% - Accent3 3 3 5 2 2" xfId="4944" xr:uid="{00000000-0005-0000-0000-0000F3120000}"/>
    <cellStyle name="20% - Accent3 3 3 5 2 2 2" xfId="4945" xr:uid="{00000000-0005-0000-0000-0000F4120000}"/>
    <cellStyle name="20% - Accent3 3 3 5 2 2 3" xfId="4946" xr:uid="{00000000-0005-0000-0000-0000F5120000}"/>
    <cellStyle name="20% - Accent3 3 3 5 2 3" xfId="4947" xr:uid="{00000000-0005-0000-0000-0000F6120000}"/>
    <cellStyle name="20% - Accent3 3 3 5 2 4" xfId="4948" xr:uid="{00000000-0005-0000-0000-0000F7120000}"/>
    <cellStyle name="20% - Accent3 3 3 5 3" xfId="4949" xr:uid="{00000000-0005-0000-0000-0000F8120000}"/>
    <cellStyle name="20% - Accent3 3 3 5 3 2" xfId="4950" xr:uid="{00000000-0005-0000-0000-0000F9120000}"/>
    <cellStyle name="20% - Accent3 3 3 5 3 3" xfId="4951" xr:uid="{00000000-0005-0000-0000-0000FA120000}"/>
    <cellStyle name="20% - Accent3 3 3 5 4" xfId="4952" xr:uid="{00000000-0005-0000-0000-0000FB120000}"/>
    <cellStyle name="20% - Accent3 3 3 5 5" xfId="4953" xr:uid="{00000000-0005-0000-0000-0000FC120000}"/>
    <cellStyle name="20% - Accent3 3 3 5 6" xfId="4954" xr:uid="{00000000-0005-0000-0000-0000FD120000}"/>
    <cellStyle name="20% - Accent3 3 3 6" xfId="4955" xr:uid="{00000000-0005-0000-0000-0000FE120000}"/>
    <cellStyle name="20% - Accent3 3 3 6 2" xfId="4956" xr:uid="{00000000-0005-0000-0000-0000FF120000}"/>
    <cellStyle name="20% - Accent3 3 3 6 2 2" xfId="4957" xr:uid="{00000000-0005-0000-0000-000000130000}"/>
    <cellStyle name="20% - Accent3 3 3 6 2 3" xfId="4958" xr:uid="{00000000-0005-0000-0000-000001130000}"/>
    <cellStyle name="20% - Accent3 3 3 6 3" xfId="4959" xr:uid="{00000000-0005-0000-0000-000002130000}"/>
    <cellStyle name="20% - Accent3 3 3 6 4" xfId="4960" xr:uid="{00000000-0005-0000-0000-000003130000}"/>
    <cellStyle name="20% - Accent3 3 3 7" xfId="4961" xr:uid="{00000000-0005-0000-0000-000004130000}"/>
    <cellStyle name="20% - Accent3 3 3 7 2" xfId="4962" xr:uid="{00000000-0005-0000-0000-000005130000}"/>
    <cellStyle name="20% - Accent3 3 3 7 3" xfId="4963" xr:uid="{00000000-0005-0000-0000-000006130000}"/>
    <cellStyle name="20% - Accent3 3 3 8" xfId="4964" xr:uid="{00000000-0005-0000-0000-000007130000}"/>
    <cellStyle name="20% - Accent3 3 3 9" xfId="4965" xr:uid="{00000000-0005-0000-0000-000008130000}"/>
    <cellStyle name="20% - Accent3 3 4" xfId="4966" xr:uid="{00000000-0005-0000-0000-000009130000}"/>
    <cellStyle name="20% - Accent3 3 4 2" xfId="4967" xr:uid="{00000000-0005-0000-0000-00000A130000}"/>
    <cellStyle name="20% - Accent3 3 4 2 2" xfId="4968" xr:uid="{00000000-0005-0000-0000-00000B130000}"/>
    <cellStyle name="20% - Accent3 3 4 2 2 2" xfId="4969" xr:uid="{00000000-0005-0000-0000-00000C130000}"/>
    <cellStyle name="20% - Accent3 3 4 2 2 2 2" xfId="4970" xr:uid="{00000000-0005-0000-0000-00000D130000}"/>
    <cellStyle name="20% - Accent3 3 4 2 2 2 2 2" xfId="4971" xr:uid="{00000000-0005-0000-0000-00000E130000}"/>
    <cellStyle name="20% - Accent3 3 4 2 2 2 2 2 2" xfId="4972" xr:uid="{00000000-0005-0000-0000-00000F130000}"/>
    <cellStyle name="20% - Accent3 3 4 2 2 2 2 2 3" xfId="4973" xr:uid="{00000000-0005-0000-0000-000010130000}"/>
    <cellStyle name="20% - Accent3 3 4 2 2 2 2 3" xfId="4974" xr:uid="{00000000-0005-0000-0000-000011130000}"/>
    <cellStyle name="20% - Accent3 3 4 2 2 2 2 4" xfId="4975" xr:uid="{00000000-0005-0000-0000-000012130000}"/>
    <cellStyle name="20% - Accent3 3 4 2 2 2 3" xfId="4976" xr:uid="{00000000-0005-0000-0000-000013130000}"/>
    <cellStyle name="20% - Accent3 3 4 2 2 2 3 2" xfId="4977" xr:uid="{00000000-0005-0000-0000-000014130000}"/>
    <cellStyle name="20% - Accent3 3 4 2 2 2 3 3" xfId="4978" xr:uid="{00000000-0005-0000-0000-000015130000}"/>
    <cellStyle name="20% - Accent3 3 4 2 2 2 4" xfId="4979" xr:uid="{00000000-0005-0000-0000-000016130000}"/>
    <cellStyle name="20% - Accent3 3 4 2 2 2 5" xfId="4980" xr:uid="{00000000-0005-0000-0000-000017130000}"/>
    <cellStyle name="20% - Accent3 3 4 2 2 2 6" xfId="4981" xr:uid="{00000000-0005-0000-0000-000018130000}"/>
    <cellStyle name="20% - Accent3 3 4 2 2 3" xfId="4982" xr:uid="{00000000-0005-0000-0000-000019130000}"/>
    <cellStyle name="20% - Accent3 3 4 2 2 3 2" xfId="4983" xr:uid="{00000000-0005-0000-0000-00001A130000}"/>
    <cellStyle name="20% - Accent3 3 4 2 2 3 2 2" xfId="4984" xr:uid="{00000000-0005-0000-0000-00001B130000}"/>
    <cellStyle name="20% - Accent3 3 4 2 2 3 2 3" xfId="4985" xr:uid="{00000000-0005-0000-0000-00001C130000}"/>
    <cellStyle name="20% - Accent3 3 4 2 2 3 3" xfId="4986" xr:uid="{00000000-0005-0000-0000-00001D130000}"/>
    <cellStyle name="20% - Accent3 3 4 2 2 3 4" xfId="4987" xr:uid="{00000000-0005-0000-0000-00001E130000}"/>
    <cellStyle name="20% - Accent3 3 4 2 2 4" xfId="4988" xr:uid="{00000000-0005-0000-0000-00001F130000}"/>
    <cellStyle name="20% - Accent3 3 4 2 2 4 2" xfId="4989" xr:uid="{00000000-0005-0000-0000-000020130000}"/>
    <cellStyle name="20% - Accent3 3 4 2 2 4 3" xfId="4990" xr:uid="{00000000-0005-0000-0000-000021130000}"/>
    <cellStyle name="20% - Accent3 3 4 2 2 5" xfId="4991" xr:uid="{00000000-0005-0000-0000-000022130000}"/>
    <cellStyle name="20% - Accent3 3 4 2 2 6" xfId="4992" xr:uid="{00000000-0005-0000-0000-000023130000}"/>
    <cellStyle name="20% - Accent3 3 4 2 2 7" xfId="4993" xr:uid="{00000000-0005-0000-0000-000024130000}"/>
    <cellStyle name="20% - Accent3 3 4 2 3" xfId="4994" xr:uid="{00000000-0005-0000-0000-000025130000}"/>
    <cellStyle name="20% - Accent3 3 4 2 3 2" xfId="4995" xr:uid="{00000000-0005-0000-0000-000026130000}"/>
    <cellStyle name="20% - Accent3 3 4 2 3 2 2" xfId="4996" xr:uid="{00000000-0005-0000-0000-000027130000}"/>
    <cellStyle name="20% - Accent3 3 4 2 3 2 2 2" xfId="4997" xr:uid="{00000000-0005-0000-0000-000028130000}"/>
    <cellStyle name="20% - Accent3 3 4 2 3 2 2 3" xfId="4998" xr:uid="{00000000-0005-0000-0000-000029130000}"/>
    <cellStyle name="20% - Accent3 3 4 2 3 2 3" xfId="4999" xr:uid="{00000000-0005-0000-0000-00002A130000}"/>
    <cellStyle name="20% - Accent3 3 4 2 3 2 4" xfId="5000" xr:uid="{00000000-0005-0000-0000-00002B130000}"/>
    <cellStyle name="20% - Accent3 3 4 2 3 3" xfId="5001" xr:uid="{00000000-0005-0000-0000-00002C130000}"/>
    <cellStyle name="20% - Accent3 3 4 2 3 3 2" xfId="5002" xr:uid="{00000000-0005-0000-0000-00002D130000}"/>
    <cellStyle name="20% - Accent3 3 4 2 3 3 3" xfId="5003" xr:uid="{00000000-0005-0000-0000-00002E130000}"/>
    <cellStyle name="20% - Accent3 3 4 2 3 4" xfId="5004" xr:uid="{00000000-0005-0000-0000-00002F130000}"/>
    <cellStyle name="20% - Accent3 3 4 2 3 5" xfId="5005" xr:uid="{00000000-0005-0000-0000-000030130000}"/>
    <cellStyle name="20% - Accent3 3 4 2 3 6" xfId="5006" xr:uid="{00000000-0005-0000-0000-000031130000}"/>
    <cellStyle name="20% - Accent3 3 4 2 4" xfId="5007" xr:uid="{00000000-0005-0000-0000-000032130000}"/>
    <cellStyle name="20% - Accent3 3 4 2 4 2" xfId="5008" xr:uid="{00000000-0005-0000-0000-000033130000}"/>
    <cellStyle name="20% - Accent3 3 4 2 4 2 2" xfId="5009" xr:uid="{00000000-0005-0000-0000-000034130000}"/>
    <cellStyle name="20% - Accent3 3 4 2 4 2 3" xfId="5010" xr:uid="{00000000-0005-0000-0000-000035130000}"/>
    <cellStyle name="20% - Accent3 3 4 2 4 3" xfId="5011" xr:uid="{00000000-0005-0000-0000-000036130000}"/>
    <cellStyle name="20% - Accent3 3 4 2 4 4" xfId="5012" xr:uid="{00000000-0005-0000-0000-000037130000}"/>
    <cellStyle name="20% - Accent3 3 4 2 5" xfId="5013" xr:uid="{00000000-0005-0000-0000-000038130000}"/>
    <cellStyle name="20% - Accent3 3 4 2 5 2" xfId="5014" xr:uid="{00000000-0005-0000-0000-000039130000}"/>
    <cellStyle name="20% - Accent3 3 4 2 5 3" xfId="5015" xr:uid="{00000000-0005-0000-0000-00003A130000}"/>
    <cellStyle name="20% - Accent3 3 4 2 6" xfId="5016" xr:uid="{00000000-0005-0000-0000-00003B130000}"/>
    <cellStyle name="20% - Accent3 3 4 2 7" xfId="5017" xr:uid="{00000000-0005-0000-0000-00003C130000}"/>
    <cellStyle name="20% - Accent3 3 4 2 8" xfId="5018" xr:uid="{00000000-0005-0000-0000-00003D130000}"/>
    <cellStyle name="20% - Accent3 3 4 3" xfId="5019" xr:uid="{00000000-0005-0000-0000-00003E130000}"/>
    <cellStyle name="20% - Accent3 3 4 3 2" xfId="5020" xr:uid="{00000000-0005-0000-0000-00003F130000}"/>
    <cellStyle name="20% - Accent3 3 4 3 2 2" xfId="5021" xr:uid="{00000000-0005-0000-0000-000040130000}"/>
    <cellStyle name="20% - Accent3 3 4 3 2 2 2" xfId="5022" xr:uid="{00000000-0005-0000-0000-000041130000}"/>
    <cellStyle name="20% - Accent3 3 4 3 2 2 2 2" xfId="5023" xr:uid="{00000000-0005-0000-0000-000042130000}"/>
    <cellStyle name="20% - Accent3 3 4 3 2 2 2 3" xfId="5024" xr:uid="{00000000-0005-0000-0000-000043130000}"/>
    <cellStyle name="20% - Accent3 3 4 3 2 2 3" xfId="5025" xr:uid="{00000000-0005-0000-0000-000044130000}"/>
    <cellStyle name="20% - Accent3 3 4 3 2 2 4" xfId="5026" xr:uid="{00000000-0005-0000-0000-000045130000}"/>
    <cellStyle name="20% - Accent3 3 4 3 2 3" xfId="5027" xr:uid="{00000000-0005-0000-0000-000046130000}"/>
    <cellStyle name="20% - Accent3 3 4 3 2 3 2" xfId="5028" xr:uid="{00000000-0005-0000-0000-000047130000}"/>
    <cellStyle name="20% - Accent3 3 4 3 2 3 3" xfId="5029" xr:uid="{00000000-0005-0000-0000-000048130000}"/>
    <cellStyle name="20% - Accent3 3 4 3 2 4" xfId="5030" xr:uid="{00000000-0005-0000-0000-000049130000}"/>
    <cellStyle name="20% - Accent3 3 4 3 2 5" xfId="5031" xr:uid="{00000000-0005-0000-0000-00004A130000}"/>
    <cellStyle name="20% - Accent3 3 4 3 2 6" xfId="5032" xr:uid="{00000000-0005-0000-0000-00004B130000}"/>
    <cellStyle name="20% - Accent3 3 4 3 3" xfId="5033" xr:uid="{00000000-0005-0000-0000-00004C130000}"/>
    <cellStyle name="20% - Accent3 3 4 3 3 2" xfId="5034" xr:uid="{00000000-0005-0000-0000-00004D130000}"/>
    <cellStyle name="20% - Accent3 3 4 3 3 2 2" xfId="5035" xr:uid="{00000000-0005-0000-0000-00004E130000}"/>
    <cellStyle name="20% - Accent3 3 4 3 3 2 3" xfId="5036" xr:uid="{00000000-0005-0000-0000-00004F130000}"/>
    <cellStyle name="20% - Accent3 3 4 3 3 3" xfId="5037" xr:uid="{00000000-0005-0000-0000-000050130000}"/>
    <cellStyle name="20% - Accent3 3 4 3 3 4" xfId="5038" xr:uid="{00000000-0005-0000-0000-000051130000}"/>
    <cellStyle name="20% - Accent3 3 4 3 4" xfId="5039" xr:uid="{00000000-0005-0000-0000-000052130000}"/>
    <cellStyle name="20% - Accent3 3 4 3 4 2" xfId="5040" xr:uid="{00000000-0005-0000-0000-000053130000}"/>
    <cellStyle name="20% - Accent3 3 4 3 4 3" xfId="5041" xr:uid="{00000000-0005-0000-0000-000054130000}"/>
    <cellStyle name="20% - Accent3 3 4 3 5" xfId="5042" xr:uid="{00000000-0005-0000-0000-000055130000}"/>
    <cellStyle name="20% - Accent3 3 4 3 6" xfId="5043" xr:uid="{00000000-0005-0000-0000-000056130000}"/>
    <cellStyle name="20% - Accent3 3 4 3 7" xfId="5044" xr:uid="{00000000-0005-0000-0000-000057130000}"/>
    <cellStyle name="20% - Accent3 3 4 4" xfId="5045" xr:uid="{00000000-0005-0000-0000-000058130000}"/>
    <cellStyle name="20% - Accent3 3 4 4 2" xfId="5046" xr:uid="{00000000-0005-0000-0000-000059130000}"/>
    <cellStyle name="20% - Accent3 3 4 4 2 2" xfId="5047" xr:uid="{00000000-0005-0000-0000-00005A130000}"/>
    <cellStyle name="20% - Accent3 3 4 4 2 2 2" xfId="5048" xr:uid="{00000000-0005-0000-0000-00005B130000}"/>
    <cellStyle name="20% - Accent3 3 4 4 2 2 3" xfId="5049" xr:uid="{00000000-0005-0000-0000-00005C130000}"/>
    <cellStyle name="20% - Accent3 3 4 4 2 3" xfId="5050" xr:uid="{00000000-0005-0000-0000-00005D130000}"/>
    <cellStyle name="20% - Accent3 3 4 4 2 4" xfId="5051" xr:uid="{00000000-0005-0000-0000-00005E130000}"/>
    <cellStyle name="20% - Accent3 3 4 4 3" xfId="5052" xr:uid="{00000000-0005-0000-0000-00005F130000}"/>
    <cellStyle name="20% - Accent3 3 4 4 3 2" xfId="5053" xr:uid="{00000000-0005-0000-0000-000060130000}"/>
    <cellStyle name="20% - Accent3 3 4 4 3 3" xfId="5054" xr:uid="{00000000-0005-0000-0000-000061130000}"/>
    <cellStyle name="20% - Accent3 3 4 4 4" xfId="5055" xr:uid="{00000000-0005-0000-0000-000062130000}"/>
    <cellStyle name="20% - Accent3 3 4 4 5" xfId="5056" xr:uid="{00000000-0005-0000-0000-000063130000}"/>
    <cellStyle name="20% - Accent3 3 4 4 6" xfId="5057" xr:uid="{00000000-0005-0000-0000-000064130000}"/>
    <cellStyle name="20% - Accent3 3 4 5" xfId="5058" xr:uid="{00000000-0005-0000-0000-000065130000}"/>
    <cellStyle name="20% - Accent3 3 4 5 2" xfId="5059" xr:uid="{00000000-0005-0000-0000-000066130000}"/>
    <cellStyle name="20% - Accent3 3 4 5 2 2" xfId="5060" xr:uid="{00000000-0005-0000-0000-000067130000}"/>
    <cellStyle name="20% - Accent3 3 4 5 2 3" xfId="5061" xr:uid="{00000000-0005-0000-0000-000068130000}"/>
    <cellStyle name="20% - Accent3 3 4 5 3" xfId="5062" xr:uid="{00000000-0005-0000-0000-000069130000}"/>
    <cellStyle name="20% - Accent3 3 4 5 4" xfId="5063" xr:uid="{00000000-0005-0000-0000-00006A130000}"/>
    <cellStyle name="20% - Accent3 3 4 6" xfId="5064" xr:uid="{00000000-0005-0000-0000-00006B130000}"/>
    <cellStyle name="20% - Accent3 3 4 6 2" xfId="5065" xr:uid="{00000000-0005-0000-0000-00006C130000}"/>
    <cellStyle name="20% - Accent3 3 4 6 3" xfId="5066" xr:uid="{00000000-0005-0000-0000-00006D130000}"/>
    <cellStyle name="20% - Accent3 3 4 7" xfId="5067" xr:uid="{00000000-0005-0000-0000-00006E130000}"/>
    <cellStyle name="20% - Accent3 3 4 8" xfId="5068" xr:uid="{00000000-0005-0000-0000-00006F130000}"/>
    <cellStyle name="20% - Accent3 3 4 9" xfId="5069" xr:uid="{00000000-0005-0000-0000-000070130000}"/>
    <cellStyle name="20% - Accent3 3 5" xfId="5070" xr:uid="{00000000-0005-0000-0000-000071130000}"/>
    <cellStyle name="20% - Accent3 3 5 2" xfId="5071" xr:uid="{00000000-0005-0000-0000-000072130000}"/>
    <cellStyle name="20% - Accent3 3 5 2 2" xfId="5072" xr:uid="{00000000-0005-0000-0000-000073130000}"/>
    <cellStyle name="20% - Accent3 3 5 2 2 2" xfId="5073" xr:uid="{00000000-0005-0000-0000-000074130000}"/>
    <cellStyle name="20% - Accent3 3 5 2 2 2 2" xfId="5074" xr:uid="{00000000-0005-0000-0000-000075130000}"/>
    <cellStyle name="20% - Accent3 3 5 2 2 2 2 2" xfId="5075" xr:uid="{00000000-0005-0000-0000-000076130000}"/>
    <cellStyle name="20% - Accent3 3 5 2 2 2 2 2 2" xfId="5076" xr:uid="{00000000-0005-0000-0000-000077130000}"/>
    <cellStyle name="20% - Accent3 3 5 2 2 2 2 2 3" xfId="5077" xr:uid="{00000000-0005-0000-0000-000078130000}"/>
    <cellStyle name="20% - Accent3 3 5 2 2 2 2 3" xfId="5078" xr:uid="{00000000-0005-0000-0000-000079130000}"/>
    <cellStyle name="20% - Accent3 3 5 2 2 2 2 4" xfId="5079" xr:uid="{00000000-0005-0000-0000-00007A130000}"/>
    <cellStyle name="20% - Accent3 3 5 2 2 2 3" xfId="5080" xr:uid="{00000000-0005-0000-0000-00007B130000}"/>
    <cellStyle name="20% - Accent3 3 5 2 2 2 3 2" xfId="5081" xr:uid="{00000000-0005-0000-0000-00007C130000}"/>
    <cellStyle name="20% - Accent3 3 5 2 2 2 3 3" xfId="5082" xr:uid="{00000000-0005-0000-0000-00007D130000}"/>
    <cellStyle name="20% - Accent3 3 5 2 2 2 4" xfId="5083" xr:uid="{00000000-0005-0000-0000-00007E130000}"/>
    <cellStyle name="20% - Accent3 3 5 2 2 2 5" xfId="5084" xr:uid="{00000000-0005-0000-0000-00007F130000}"/>
    <cellStyle name="20% - Accent3 3 5 2 2 2 6" xfId="5085" xr:uid="{00000000-0005-0000-0000-000080130000}"/>
    <cellStyle name="20% - Accent3 3 5 2 2 3" xfId="5086" xr:uid="{00000000-0005-0000-0000-000081130000}"/>
    <cellStyle name="20% - Accent3 3 5 2 2 3 2" xfId="5087" xr:uid="{00000000-0005-0000-0000-000082130000}"/>
    <cellStyle name="20% - Accent3 3 5 2 2 3 2 2" xfId="5088" xr:uid="{00000000-0005-0000-0000-000083130000}"/>
    <cellStyle name="20% - Accent3 3 5 2 2 3 2 3" xfId="5089" xr:uid="{00000000-0005-0000-0000-000084130000}"/>
    <cellStyle name="20% - Accent3 3 5 2 2 3 3" xfId="5090" xr:uid="{00000000-0005-0000-0000-000085130000}"/>
    <cellStyle name="20% - Accent3 3 5 2 2 3 4" xfId="5091" xr:uid="{00000000-0005-0000-0000-000086130000}"/>
    <cellStyle name="20% - Accent3 3 5 2 2 4" xfId="5092" xr:uid="{00000000-0005-0000-0000-000087130000}"/>
    <cellStyle name="20% - Accent3 3 5 2 2 4 2" xfId="5093" xr:uid="{00000000-0005-0000-0000-000088130000}"/>
    <cellStyle name="20% - Accent3 3 5 2 2 4 3" xfId="5094" xr:uid="{00000000-0005-0000-0000-000089130000}"/>
    <cellStyle name="20% - Accent3 3 5 2 2 5" xfId="5095" xr:uid="{00000000-0005-0000-0000-00008A130000}"/>
    <cellStyle name="20% - Accent3 3 5 2 2 6" xfId="5096" xr:uid="{00000000-0005-0000-0000-00008B130000}"/>
    <cellStyle name="20% - Accent3 3 5 2 2 7" xfId="5097" xr:uid="{00000000-0005-0000-0000-00008C130000}"/>
    <cellStyle name="20% - Accent3 3 5 2 3" xfId="5098" xr:uid="{00000000-0005-0000-0000-00008D130000}"/>
    <cellStyle name="20% - Accent3 3 5 2 3 2" xfId="5099" xr:uid="{00000000-0005-0000-0000-00008E130000}"/>
    <cellStyle name="20% - Accent3 3 5 2 3 2 2" xfId="5100" xr:uid="{00000000-0005-0000-0000-00008F130000}"/>
    <cellStyle name="20% - Accent3 3 5 2 3 2 2 2" xfId="5101" xr:uid="{00000000-0005-0000-0000-000090130000}"/>
    <cellStyle name="20% - Accent3 3 5 2 3 2 2 3" xfId="5102" xr:uid="{00000000-0005-0000-0000-000091130000}"/>
    <cellStyle name="20% - Accent3 3 5 2 3 2 3" xfId="5103" xr:uid="{00000000-0005-0000-0000-000092130000}"/>
    <cellStyle name="20% - Accent3 3 5 2 3 2 4" xfId="5104" xr:uid="{00000000-0005-0000-0000-000093130000}"/>
    <cellStyle name="20% - Accent3 3 5 2 3 3" xfId="5105" xr:uid="{00000000-0005-0000-0000-000094130000}"/>
    <cellStyle name="20% - Accent3 3 5 2 3 3 2" xfId="5106" xr:uid="{00000000-0005-0000-0000-000095130000}"/>
    <cellStyle name="20% - Accent3 3 5 2 3 3 3" xfId="5107" xr:uid="{00000000-0005-0000-0000-000096130000}"/>
    <cellStyle name="20% - Accent3 3 5 2 3 4" xfId="5108" xr:uid="{00000000-0005-0000-0000-000097130000}"/>
    <cellStyle name="20% - Accent3 3 5 2 3 5" xfId="5109" xr:uid="{00000000-0005-0000-0000-000098130000}"/>
    <cellStyle name="20% - Accent3 3 5 2 3 6" xfId="5110" xr:uid="{00000000-0005-0000-0000-000099130000}"/>
    <cellStyle name="20% - Accent3 3 5 2 4" xfId="5111" xr:uid="{00000000-0005-0000-0000-00009A130000}"/>
    <cellStyle name="20% - Accent3 3 5 2 4 2" xfId="5112" xr:uid="{00000000-0005-0000-0000-00009B130000}"/>
    <cellStyle name="20% - Accent3 3 5 2 4 2 2" xfId="5113" xr:uid="{00000000-0005-0000-0000-00009C130000}"/>
    <cellStyle name="20% - Accent3 3 5 2 4 2 3" xfId="5114" xr:uid="{00000000-0005-0000-0000-00009D130000}"/>
    <cellStyle name="20% - Accent3 3 5 2 4 3" xfId="5115" xr:uid="{00000000-0005-0000-0000-00009E130000}"/>
    <cellStyle name="20% - Accent3 3 5 2 4 4" xfId="5116" xr:uid="{00000000-0005-0000-0000-00009F130000}"/>
    <cellStyle name="20% - Accent3 3 5 2 5" xfId="5117" xr:uid="{00000000-0005-0000-0000-0000A0130000}"/>
    <cellStyle name="20% - Accent3 3 5 2 5 2" xfId="5118" xr:uid="{00000000-0005-0000-0000-0000A1130000}"/>
    <cellStyle name="20% - Accent3 3 5 2 5 3" xfId="5119" xr:uid="{00000000-0005-0000-0000-0000A2130000}"/>
    <cellStyle name="20% - Accent3 3 5 2 6" xfId="5120" xr:uid="{00000000-0005-0000-0000-0000A3130000}"/>
    <cellStyle name="20% - Accent3 3 5 2 7" xfId="5121" xr:uid="{00000000-0005-0000-0000-0000A4130000}"/>
    <cellStyle name="20% - Accent3 3 5 2 8" xfId="5122" xr:uid="{00000000-0005-0000-0000-0000A5130000}"/>
    <cellStyle name="20% - Accent3 3 5 3" xfId="5123" xr:uid="{00000000-0005-0000-0000-0000A6130000}"/>
    <cellStyle name="20% - Accent3 3 5 3 2" xfId="5124" xr:uid="{00000000-0005-0000-0000-0000A7130000}"/>
    <cellStyle name="20% - Accent3 3 5 3 2 2" xfId="5125" xr:uid="{00000000-0005-0000-0000-0000A8130000}"/>
    <cellStyle name="20% - Accent3 3 5 3 2 2 2" xfId="5126" xr:uid="{00000000-0005-0000-0000-0000A9130000}"/>
    <cellStyle name="20% - Accent3 3 5 3 2 2 2 2" xfId="5127" xr:uid="{00000000-0005-0000-0000-0000AA130000}"/>
    <cellStyle name="20% - Accent3 3 5 3 2 2 2 3" xfId="5128" xr:uid="{00000000-0005-0000-0000-0000AB130000}"/>
    <cellStyle name="20% - Accent3 3 5 3 2 2 3" xfId="5129" xr:uid="{00000000-0005-0000-0000-0000AC130000}"/>
    <cellStyle name="20% - Accent3 3 5 3 2 2 4" xfId="5130" xr:uid="{00000000-0005-0000-0000-0000AD130000}"/>
    <cellStyle name="20% - Accent3 3 5 3 2 3" xfId="5131" xr:uid="{00000000-0005-0000-0000-0000AE130000}"/>
    <cellStyle name="20% - Accent3 3 5 3 2 3 2" xfId="5132" xr:uid="{00000000-0005-0000-0000-0000AF130000}"/>
    <cellStyle name="20% - Accent3 3 5 3 2 3 3" xfId="5133" xr:uid="{00000000-0005-0000-0000-0000B0130000}"/>
    <cellStyle name="20% - Accent3 3 5 3 2 4" xfId="5134" xr:uid="{00000000-0005-0000-0000-0000B1130000}"/>
    <cellStyle name="20% - Accent3 3 5 3 2 5" xfId="5135" xr:uid="{00000000-0005-0000-0000-0000B2130000}"/>
    <cellStyle name="20% - Accent3 3 5 3 2 6" xfId="5136" xr:uid="{00000000-0005-0000-0000-0000B3130000}"/>
    <cellStyle name="20% - Accent3 3 5 3 3" xfId="5137" xr:uid="{00000000-0005-0000-0000-0000B4130000}"/>
    <cellStyle name="20% - Accent3 3 5 3 3 2" xfId="5138" xr:uid="{00000000-0005-0000-0000-0000B5130000}"/>
    <cellStyle name="20% - Accent3 3 5 3 3 2 2" xfId="5139" xr:uid="{00000000-0005-0000-0000-0000B6130000}"/>
    <cellStyle name="20% - Accent3 3 5 3 3 2 3" xfId="5140" xr:uid="{00000000-0005-0000-0000-0000B7130000}"/>
    <cellStyle name="20% - Accent3 3 5 3 3 3" xfId="5141" xr:uid="{00000000-0005-0000-0000-0000B8130000}"/>
    <cellStyle name="20% - Accent3 3 5 3 3 4" xfId="5142" xr:uid="{00000000-0005-0000-0000-0000B9130000}"/>
    <cellStyle name="20% - Accent3 3 5 3 4" xfId="5143" xr:uid="{00000000-0005-0000-0000-0000BA130000}"/>
    <cellStyle name="20% - Accent3 3 5 3 4 2" xfId="5144" xr:uid="{00000000-0005-0000-0000-0000BB130000}"/>
    <cellStyle name="20% - Accent3 3 5 3 4 3" xfId="5145" xr:uid="{00000000-0005-0000-0000-0000BC130000}"/>
    <cellStyle name="20% - Accent3 3 5 3 5" xfId="5146" xr:uid="{00000000-0005-0000-0000-0000BD130000}"/>
    <cellStyle name="20% - Accent3 3 5 3 6" xfId="5147" xr:uid="{00000000-0005-0000-0000-0000BE130000}"/>
    <cellStyle name="20% - Accent3 3 5 3 7" xfId="5148" xr:uid="{00000000-0005-0000-0000-0000BF130000}"/>
    <cellStyle name="20% - Accent3 3 5 4" xfId="5149" xr:uid="{00000000-0005-0000-0000-0000C0130000}"/>
    <cellStyle name="20% - Accent3 3 5 4 2" xfId="5150" xr:uid="{00000000-0005-0000-0000-0000C1130000}"/>
    <cellStyle name="20% - Accent3 3 5 4 2 2" xfId="5151" xr:uid="{00000000-0005-0000-0000-0000C2130000}"/>
    <cellStyle name="20% - Accent3 3 5 4 2 2 2" xfId="5152" xr:uid="{00000000-0005-0000-0000-0000C3130000}"/>
    <cellStyle name="20% - Accent3 3 5 4 2 2 3" xfId="5153" xr:uid="{00000000-0005-0000-0000-0000C4130000}"/>
    <cellStyle name="20% - Accent3 3 5 4 2 3" xfId="5154" xr:uid="{00000000-0005-0000-0000-0000C5130000}"/>
    <cellStyle name="20% - Accent3 3 5 4 2 4" xfId="5155" xr:uid="{00000000-0005-0000-0000-0000C6130000}"/>
    <cellStyle name="20% - Accent3 3 5 4 3" xfId="5156" xr:uid="{00000000-0005-0000-0000-0000C7130000}"/>
    <cellStyle name="20% - Accent3 3 5 4 3 2" xfId="5157" xr:uid="{00000000-0005-0000-0000-0000C8130000}"/>
    <cellStyle name="20% - Accent3 3 5 4 3 3" xfId="5158" xr:uid="{00000000-0005-0000-0000-0000C9130000}"/>
    <cellStyle name="20% - Accent3 3 5 4 4" xfId="5159" xr:uid="{00000000-0005-0000-0000-0000CA130000}"/>
    <cellStyle name="20% - Accent3 3 5 4 5" xfId="5160" xr:uid="{00000000-0005-0000-0000-0000CB130000}"/>
    <cellStyle name="20% - Accent3 3 5 4 6" xfId="5161" xr:uid="{00000000-0005-0000-0000-0000CC130000}"/>
    <cellStyle name="20% - Accent3 3 5 5" xfId="5162" xr:uid="{00000000-0005-0000-0000-0000CD130000}"/>
    <cellStyle name="20% - Accent3 3 5 5 2" xfId="5163" xr:uid="{00000000-0005-0000-0000-0000CE130000}"/>
    <cellStyle name="20% - Accent3 3 5 5 2 2" xfId="5164" xr:uid="{00000000-0005-0000-0000-0000CF130000}"/>
    <cellStyle name="20% - Accent3 3 5 5 2 3" xfId="5165" xr:uid="{00000000-0005-0000-0000-0000D0130000}"/>
    <cellStyle name="20% - Accent3 3 5 5 3" xfId="5166" xr:uid="{00000000-0005-0000-0000-0000D1130000}"/>
    <cellStyle name="20% - Accent3 3 5 5 4" xfId="5167" xr:uid="{00000000-0005-0000-0000-0000D2130000}"/>
    <cellStyle name="20% - Accent3 3 5 6" xfId="5168" xr:uid="{00000000-0005-0000-0000-0000D3130000}"/>
    <cellStyle name="20% - Accent3 3 5 6 2" xfId="5169" xr:uid="{00000000-0005-0000-0000-0000D4130000}"/>
    <cellStyle name="20% - Accent3 3 5 6 3" xfId="5170" xr:uid="{00000000-0005-0000-0000-0000D5130000}"/>
    <cellStyle name="20% - Accent3 3 5 7" xfId="5171" xr:uid="{00000000-0005-0000-0000-0000D6130000}"/>
    <cellStyle name="20% - Accent3 3 5 8" xfId="5172" xr:uid="{00000000-0005-0000-0000-0000D7130000}"/>
    <cellStyle name="20% - Accent3 3 5 9" xfId="5173" xr:uid="{00000000-0005-0000-0000-0000D8130000}"/>
    <cellStyle name="20% - Accent3 3 6" xfId="5174" xr:uid="{00000000-0005-0000-0000-0000D9130000}"/>
    <cellStyle name="20% - Accent3 3 6 2" xfId="5175" xr:uid="{00000000-0005-0000-0000-0000DA130000}"/>
    <cellStyle name="20% - Accent3 3 6 2 2" xfId="5176" xr:uid="{00000000-0005-0000-0000-0000DB130000}"/>
    <cellStyle name="20% - Accent3 3 6 2 2 2" xfId="5177" xr:uid="{00000000-0005-0000-0000-0000DC130000}"/>
    <cellStyle name="20% - Accent3 3 6 2 2 2 2" xfId="5178" xr:uid="{00000000-0005-0000-0000-0000DD130000}"/>
    <cellStyle name="20% - Accent3 3 6 2 2 2 2 2" xfId="5179" xr:uid="{00000000-0005-0000-0000-0000DE130000}"/>
    <cellStyle name="20% - Accent3 3 6 2 2 2 2 3" xfId="5180" xr:uid="{00000000-0005-0000-0000-0000DF130000}"/>
    <cellStyle name="20% - Accent3 3 6 2 2 2 3" xfId="5181" xr:uid="{00000000-0005-0000-0000-0000E0130000}"/>
    <cellStyle name="20% - Accent3 3 6 2 2 2 4" xfId="5182" xr:uid="{00000000-0005-0000-0000-0000E1130000}"/>
    <cellStyle name="20% - Accent3 3 6 2 2 3" xfId="5183" xr:uid="{00000000-0005-0000-0000-0000E2130000}"/>
    <cellStyle name="20% - Accent3 3 6 2 2 3 2" xfId="5184" xr:uid="{00000000-0005-0000-0000-0000E3130000}"/>
    <cellStyle name="20% - Accent3 3 6 2 2 3 3" xfId="5185" xr:uid="{00000000-0005-0000-0000-0000E4130000}"/>
    <cellStyle name="20% - Accent3 3 6 2 2 4" xfId="5186" xr:uid="{00000000-0005-0000-0000-0000E5130000}"/>
    <cellStyle name="20% - Accent3 3 6 2 2 5" xfId="5187" xr:uid="{00000000-0005-0000-0000-0000E6130000}"/>
    <cellStyle name="20% - Accent3 3 6 2 2 6" xfId="5188" xr:uid="{00000000-0005-0000-0000-0000E7130000}"/>
    <cellStyle name="20% - Accent3 3 6 2 3" xfId="5189" xr:uid="{00000000-0005-0000-0000-0000E8130000}"/>
    <cellStyle name="20% - Accent3 3 6 2 3 2" xfId="5190" xr:uid="{00000000-0005-0000-0000-0000E9130000}"/>
    <cellStyle name="20% - Accent3 3 6 2 3 2 2" xfId="5191" xr:uid="{00000000-0005-0000-0000-0000EA130000}"/>
    <cellStyle name="20% - Accent3 3 6 2 3 2 3" xfId="5192" xr:uid="{00000000-0005-0000-0000-0000EB130000}"/>
    <cellStyle name="20% - Accent3 3 6 2 3 3" xfId="5193" xr:uid="{00000000-0005-0000-0000-0000EC130000}"/>
    <cellStyle name="20% - Accent3 3 6 2 3 4" xfId="5194" xr:uid="{00000000-0005-0000-0000-0000ED130000}"/>
    <cellStyle name="20% - Accent3 3 6 2 4" xfId="5195" xr:uid="{00000000-0005-0000-0000-0000EE130000}"/>
    <cellStyle name="20% - Accent3 3 6 2 4 2" xfId="5196" xr:uid="{00000000-0005-0000-0000-0000EF130000}"/>
    <cellStyle name="20% - Accent3 3 6 2 4 3" xfId="5197" xr:uid="{00000000-0005-0000-0000-0000F0130000}"/>
    <cellStyle name="20% - Accent3 3 6 2 5" xfId="5198" xr:uid="{00000000-0005-0000-0000-0000F1130000}"/>
    <cellStyle name="20% - Accent3 3 6 2 6" xfId="5199" xr:uid="{00000000-0005-0000-0000-0000F2130000}"/>
    <cellStyle name="20% - Accent3 3 6 2 7" xfId="5200" xr:uid="{00000000-0005-0000-0000-0000F3130000}"/>
    <cellStyle name="20% - Accent3 3 6 3" xfId="5201" xr:uid="{00000000-0005-0000-0000-0000F4130000}"/>
    <cellStyle name="20% - Accent3 3 6 3 2" xfId="5202" xr:uid="{00000000-0005-0000-0000-0000F5130000}"/>
    <cellStyle name="20% - Accent3 3 6 3 2 2" xfId="5203" xr:uid="{00000000-0005-0000-0000-0000F6130000}"/>
    <cellStyle name="20% - Accent3 3 6 3 2 2 2" xfId="5204" xr:uid="{00000000-0005-0000-0000-0000F7130000}"/>
    <cellStyle name="20% - Accent3 3 6 3 2 2 3" xfId="5205" xr:uid="{00000000-0005-0000-0000-0000F8130000}"/>
    <cellStyle name="20% - Accent3 3 6 3 2 3" xfId="5206" xr:uid="{00000000-0005-0000-0000-0000F9130000}"/>
    <cellStyle name="20% - Accent3 3 6 3 2 4" xfId="5207" xr:uid="{00000000-0005-0000-0000-0000FA130000}"/>
    <cellStyle name="20% - Accent3 3 6 3 3" xfId="5208" xr:uid="{00000000-0005-0000-0000-0000FB130000}"/>
    <cellStyle name="20% - Accent3 3 6 3 3 2" xfId="5209" xr:uid="{00000000-0005-0000-0000-0000FC130000}"/>
    <cellStyle name="20% - Accent3 3 6 3 3 3" xfId="5210" xr:uid="{00000000-0005-0000-0000-0000FD130000}"/>
    <cellStyle name="20% - Accent3 3 6 3 4" xfId="5211" xr:uid="{00000000-0005-0000-0000-0000FE130000}"/>
    <cellStyle name="20% - Accent3 3 6 3 5" xfId="5212" xr:uid="{00000000-0005-0000-0000-0000FF130000}"/>
    <cellStyle name="20% - Accent3 3 6 3 6" xfId="5213" xr:uid="{00000000-0005-0000-0000-000000140000}"/>
    <cellStyle name="20% - Accent3 3 6 4" xfId="5214" xr:uid="{00000000-0005-0000-0000-000001140000}"/>
    <cellStyle name="20% - Accent3 3 6 4 2" xfId="5215" xr:uid="{00000000-0005-0000-0000-000002140000}"/>
    <cellStyle name="20% - Accent3 3 6 4 2 2" xfId="5216" xr:uid="{00000000-0005-0000-0000-000003140000}"/>
    <cellStyle name="20% - Accent3 3 6 4 2 3" xfId="5217" xr:uid="{00000000-0005-0000-0000-000004140000}"/>
    <cellStyle name="20% - Accent3 3 6 4 3" xfId="5218" xr:uid="{00000000-0005-0000-0000-000005140000}"/>
    <cellStyle name="20% - Accent3 3 6 4 4" xfId="5219" xr:uid="{00000000-0005-0000-0000-000006140000}"/>
    <cellStyle name="20% - Accent3 3 6 5" xfId="5220" xr:uid="{00000000-0005-0000-0000-000007140000}"/>
    <cellStyle name="20% - Accent3 3 6 5 2" xfId="5221" xr:uid="{00000000-0005-0000-0000-000008140000}"/>
    <cellStyle name="20% - Accent3 3 6 5 3" xfId="5222" xr:uid="{00000000-0005-0000-0000-000009140000}"/>
    <cellStyle name="20% - Accent3 3 6 6" xfId="5223" xr:uid="{00000000-0005-0000-0000-00000A140000}"/>
    <cellStyle name="20% - Accent3 3 6 7" xfId="5224" xr:uid="{00000000-0005-0000-0000-00000B140000}"/>
    <cellStyle name="20% - Accent3 3 6 8" xfId="5225" xr:uid="{00000000-0005-0000-0000-00000C140000}"/>
    <cellStyle name="20% - Accent3 3 7" xfId="5226" xr:uid="{00000000-0005-0000-0000-00000D140000}"/>
    <cellStyle name="20% - Accent3 3 7 2" xfId="5227" xr:uid="{00000000-0005-0000-0000-00000E140000}"/>
    <cellStyle name="20% - Accent3 3 7 2 2" xfId="5228" xr:uid="{00000000-0005-0000-0000-00000F140000}"/>
    <cellStyle name="20% - Accent3 3 7 2 2 2" xfId="5229" xr:uid="{00000000-0005-0000-0000-000010140000}"/>
    <cellStyle name="20% - Accent3 3 7 2 2 2 2" xfId="5230" xr:uid="{00000000-0005-0000-0000-000011140000}"/>
    <cellStyle name="20% - Accent3 3 7 2 2 2 2 2" xfId="5231" xr:uid="{00000000-0005-0000-0000-000012140000}"/>
    <cellStyle name="20% - Accent3 3 7 2 2 2 2 3" xfId="5232" xr:uid="{00000000-0005-0000-0000-000013140000}"/>
    <cellStyle name="20% - Accent3 3 7 2 2 2 3" xfId="5233" xr:uid="{00000000-0005-0000-0000-000014140000}"/>
    <cellStyle name="20% - Accent3 3 7 2 2 2 4" xfId="5234" xr:uid="{00000000-0005-0000-0000-000015140000}"/>
    <cellStyle name="20% - Accent3 3 7 2 2 3" xfId="5235" xr:uid="{00000000-0005-0000-0000-000016140000}"/>
    <cellStyle name="20% - Accent3 3 7 2 2 3 2" xfId="5236" xr:uid="{00000000-0005-0000-0000-000017140000}"/>
    <cellStyle name="20% - Accent3 3 7 2 2 3 3" xfId="5237" xr:uid="{00000000-0005-0000-0000-000018140000}"/>
    <cellStyle name="20% - Accent3 3 7 2 2 4" xfId="5238" xr:uid="{00000000-0005-0000-0000-000019140000}"/>
    <cellStyle name="20% - Accent3 3 7 2 2 5" xfId="5239" xr:uid="{00000000-0005-0000-0000-00001A140000}"/>
    <cellStyle name="20% - Accent3 3 7 2 2 6" xfId="5240" xr:uid="{00000000-0005-0000-0000-00001B140000}"/>
    <cellStyle name="20% - Accent3 3 7 2 3" xfId="5241" xr:uid="{00000000-0005-0000-0000-00001C140000}"/>
    <cellStyle name="20% - Accent3 3 7 2 3 2" xfId="5242" xr:uid="{00000000-0005-0000-0000-00001D140000}"/>
    <cellStyle name="20% - Accent3 3 7 2 3 2 2" xfId="5243" xr:uid="{00000000-0005-0000-0000-00001E140000}"/>
    <cellStyle name="20% - Accent3 3 7 2 3 2 3" xfId="5244" xr:uid="{00000000-0005-0000-0000-00001F140000}"/>
    <cellStyle name="20% - Accent3 3 7 2 3 3" xfId="5245" xr:uid="{00000000-0005-0000-0000-000020140000}"/>
    <cellStyle name="20% - Accent3 3 7 2 3 4" xfId="5246" xr:uid="{00000000-0005-0000-0000-000021140000}"/>
    <cellStyle name="20% - Accent3 3 7 2 4" xfId="5247" xr:uid="{00000000-0005-0000-0000-000022140000}"/>
    <cellStyle name="20% - Accent3 3 7 2 4 2" xfId="5248" xr:uid="{00000000-0005-0000-0000-000023140000}"/>
    <cellStyle name="20% - Accent3 3 7 2 4 3" xfId="5249" xr:uid="{00000000-0005-0000-0000-000024140000}"/>
    <cellStyle name="20% - Accent3 3 7 2 5" xfId="5250" xr:uid="{00000000-0005-0000-0000-000025140000}"/>
    <cellStyle name="20% - Accent3 3 7 2 6" xfId="5251" xr:uid="{00000000-0005-0000-0000-000026140000}"/>
    <cellStyle name="20% - Accent3 3 7 2 7" xfId="5252" xr:uid="{00000000-0005-0000-0000-000027140000}"/>
    <cellStyle name="20% - Accent3 3 7 3" xfId="5253" xr:uid="{00000000-0005-0000-0000-000028140000}"/>
    <cellStyle name="20% - Accent3 3 7 3 2" xfId="5254" xr:uid="{00000000-0005-0000-0000-000029140000}"/>
    <cellStyle name="20% - Accent3 3 7 3 2 2" xfId="5255" xr:uid="{00000000-0005-0000-0000-00002A140000}"/>
    <cellStyle name="20% - Accent3 3 7 3 2 2 2" xfId="5256" xr:uid="{00000000-0005-0000-0000-00002B140000}"/>
    <cellStyle name="20% - Accent3 3 7 3 2 2 3" xfId="5257" xr:uid="{00000000-0005-0000-0000-00002C140000}"/>
    <cellStyle name="20% - Accent3 3 7 3 2 3" xfId="5258" xr:uid="{00000000-0005-0000-0000-00002D140000}"/>
    <cellStyle name="20% - Accent3 3 7 3 2 4" xfId="5259" xr:uid="{00000000-0005-0000-0000-00002E140000}"/>
    <cellStyle name="20% - Accent3 3 7 3 3" xfId="5260" xr:uid="{00000000-0005-0000-0000-00002F140000}"/>
    <cellStyle name="20% - Accent3 3 7 3 3 2" xfId="5261" xr:uid="{00000000-0005-0000-0000-000030140000}"/>
    <cellStyle name="20% - Accent3 3 7 3 3 3" xfId="5262" xr:uid="{00000000-0005-0000-0000-000031140000}"/>
    <cellStyle name="20% - Accent3 3 7 3 4" xfId="5263" xr:uid="{00000000-0005-0000-0000-000032140000}"/>
    <cellStyle name="20% - Accent3 3 7 3 5" xfId="5264" xr:uid="{00000000-0005-0000-0000-000033140000}"/>
    <cellStyle name="20% - Accent3 3 7 3 6" xfId="5265" xr:uid="{00000000-0005-0000-0000-000034140000}"/>
    <cellStyle name="20% - Accent3 3 7 4" xfId="5266" xr:uid="{00000000-0005-0000-0000-000035140000}"/>
    <cellStyle name="20% - Accent3 3 7 4 2" xfId="5267" xr:uid="{00000000-0005-0000-0000-000036140000}"/>
    <cellStyle name="20% - Accent3 3 7 4 2 2" xfId="5268" xr:uid="{00000000-0005-0000-0000-000037140000}"/>
    <cellStyle name="20% - Accent3 3 7 4 2 3" xfId="5269" xr:uid="{00000000-0005-0000-0000-000038140000}"/>
    <cellStyle name="20% - Accent3 3 7 4 3" xfId="5270" xr:uid="{00000000-0005-0000-0000-000039140000}"/>
    <cellStyle name="20% - Accent3 3 7 4 4" xfId="5271" xr:uid="{00000000-0005-0000-0000-00003A140000}"/>
    <cellStyle name="20% - Accent3 3 7 5" xfId="5272" xr:uid="{00000000-0005-0000-0000-00003B140000}"/>
    <cellStyle name="20% - Accent3 3 7 5 2" xfId="5273" xr:uid="{00000000-0005-0000-0000-00003C140000}"/>
    <cellStyle name="20% - Accent3 3 7 5 3" xfId="5274" xr:uid="{00000000-0005-0000-0000-00003D140000}"/>
    <cellStyle name="20% - Accent3 3 7 6" xfId="5275" xr:uid="{00000000-0005-0000-0000-00003E140000}"/>
    <cellStyle name="20% - Accent3 3 7 7" xfId="5276" xr:uid="{00000000-0005-0000-0000-00003F140000}"/>
    <cellStyle name="20% - Accent3 3 7 8" xfId="5277" xr:uid="{00000000-0005-0000-0000-000040140000}"/>
    <cellStyle name="20% - Accent3 3 8" xfId="5278" xr:uid="{00000000-0005-0000-0000-000041140000}"/>
    <cellStyle name="20% - Accent3 3 8 2" xfId="5279" xr:uid="{00000000-0005-0000-0000-000042140000}"/>
    <cellStyle name="20% - Accent3 3 8 2 2" xfId="5280" xr:uid="{00000000-0005-0000-0000-000043140000}"/>
    <cellStyle name="20% - Accent3 3 8 2 2 2" xfId="5281" xr:uid="{00000000-0005-0000-0000-000044140000}"/>
    <cellStyle name="20% - Accent3 3 8 2 2 2 2" xfId="5282" xr:uid="{00000000-0005-0000-0000-000045140000}"/>
    <cellStyle name="20% - Accent3 3 8 2 2 2 3" xfId="5283" xr:uid="{00000000-0005-0000-0000-000046140000}"/>
    <cellStyle name="20% - Accent3 3 8 2 2 3" xfId="5284" xr:uid="{00000000-0005-0000-0000-000047140000}"/>
    <cellStyle name="20% - Accent3 3 8 2 2 4" xfId="5285" xr:uid="{00000000-0005-0000-0000-000048140000}"/>
    <cellStyle name="20% - Accent3 3 8 2 3" xfId="5286" xr:uid="{00000000-0005-0000-0000-000049140000}"/>
    <cellStyle name="20% - Accent3 3 8 2 3 2" xfId="5287" xr:uid="{00000000-0005-0000-0000-00004A140000}"/>
    <cellStyle name="20% - Accent3 3 8 2 3 3" xfId="5288" xr:uid="{00000000-0005-0000-0000-00004B140000}"/>
    <cellStyle name="20% - Accent3 3 8 2 4" xfId="5289" xr:uid="{00000000-0005-0000-0000-00004C140000}"/>
    <cellStyle name="20% - Accent3 3 8 2 5" xfId="5290" xr:uid="{00000000-0005-0000-0000-00004D140000}"/>
    <cellStyle name="20% - Accent3 3 8 2 6" xfId="5291" xr:uid="{00000000-0005-0000-0000-00004E140000}"/>
    <cellStyle name="20% - Accent3 3 8 3" xfId="5292" xr:uid="{00000000-0005-0000-0000-00004F140000}"/>
    <cellStyle name="20% - Accent3 3 8 3 2" xfId="5293" xr:uid="{00000000-0005-0000-0000-000050140000}"/>
    <cellStyle name="20% - Accent3 3 8 3 2 2" xfId="5294" xr:uid="{00000000-0005-0000-0000-000051140000}"/>
    <cellStyle name="20% - Accent3 3 8 3 2 3" xfId="5295" xr:uid="{00000000-0005-0000-0000-000052140000}"/>
    <cellStyle name="20% - Accent3 3 8 3 3" xfId="5296" xr:uid="{00000000-0005-0000-0000-000053140000}"/>
    <cellStyle name="20% - Accent3 3 8 3 4" xfId="5297" xr:uid="{00000000-0005-0000-0000-000054140000}"/>
    <cellStyle name="20% - Accent3 3 8 4" xfId="5298" xr:uid="{00000000-0005-0000-0000-000055140000}"/>
    <cellStyle name="20% - Accent3 3 8 4 2" xfId="5299" xr:uid="{00000000-0005-0000-0000-000056140000}"/>
    <cellStyle name="20% - Accent3 3 8 4 3" xfId="5300" xr:uid="{00000000-0005-0000-0000-000057140000}"/>
    <cellStyle name="20% - Accent3 3 8 5" xfId="5301" xr:uid="{00000000-0005-0000-0000-000058140000}"/>
    <cellStyle name="20% - Accent3 3 8 6" xfId="5302" xr:uid="{00000000-0005-0000-0000-000059140000}"/>
    <cellStyle name="20% - Accent3 3 8 7" xfId="5303" xr:uid="{00000000-0005-0000-0000-00005A140000}"/>
    <cellStyle name="20% - Accent3 3 9" xfId="5304" xr:uid="{00000000-0005-0000-0000-00005B140000}"/>
    <cellStyle name="20% - Accent3 3 9 2" xfId="5305" xr:uid="{00000000-0005-0000-0000-00005C140000}"/>
    <cellStyle name="20% - Accent3 3 9 2 2" xfId="5306" xr:uid="{00000000-0005-0000-0000-00005D140000}"/>
    <cellStyle name="20% - Accent3 3 9 2 2 2" xfId="5307" xr:uid="{00000000-0005-0000-0000-00005E140000}"/>
    <cellStyle name="20% - Accent3 3 9 2 2 3" xfId="5308" xr:uid="{00000000-0005-0000-0000-00005F140000}"/>
    <cellStyle name="20% - Accent3 3 9 2 3" xfId="5309" xr:uid="{00000000-0005-0000-0000-000060140000}"/>
    <cellStyle name="20% - Accent3 3 9 2 4" xfId="5310" xr:uid="{00000000-0005-0000-0000-000061140000}"/>
    <cellStyle name="20% - Accent3 3 9 3" xfId="5311" xr:uid="{00000000-0005-0000-0000-000062140000}"/>
    <cellStyle name="20% - Accent3 3 9 3 2" xfId="5312" xr:uid="{00000000-0005-0000-0000-000063140000}"/>
    <cellStyle name="20% - Accent3 3 9 3 3" xfId="5313" xr:uid="{00000000-0005-0000-0000-000064140000}"/>
    <cellStyle name="20% - Accent3 3 9 4" xfId="5314" xr:uid="{00000000-0005-0000-0000-000065140000}"/>
    <cellStyle name="20% - Accent3 3 9 5" xfId="5315" xr:uid="{00000000-0005-0000-0000-000066140000}"/>
    <cellStyle name="20% - Accent3 3 9 6" xfId="5316" xr:uid="{00000000-0005-0000-0000-000067140000}"/>
    <cellStyle name="20% - Accent3 4" xfId="5317" xr:uid="{00000000-0005-0000-0000-000068140000}"/>
    <cellStyle name="20% - Accent3 4 10" xfId="5318" xr:uid="{00000000-0005-0000-0000-000069140000}"/>
    <cellStyle name="20% - Accent3 4 11" xfId="5319" xr:uid="{00000000-0005-0000-0000-00006A140000}"/>
    <cellStyle name="20% - Accent3 4 2" xfId="5320" xr:uid="{00000000-0005-0000-0000-00006B140000}"/>
    <cellStyle name="20% - Accent3 4 2 10" xfId="5321" xr:uid="{00000000-0005-0000-0000-00006C140000}"/>
    <cellStyle name="20% - Accent3 4 2 2" xfId="5322" xr:uid="{00000000-0005-0000-0000-00006D140000}"/>
    <cellStyle name="20% - Accent3 4 2 2 2" xfId="5323" xr:uid="{00000000-0005-0000-0000-00006E140000}"/>
    <cellStyle name="20% - Accent3 4 2 2 2 2" xfId="5324" xr:uid="{00000000-0005-0000-0000-00006F140000}"/>
    <cellStyle name="20% - Accent3 4 2 2 2 2 2" xfId="5325" xr:uid="{00000000-0005-0000-0000-000070140000}"/>
    <cellStyle name="20% - Accent3 4 2 2 2 2 2 2" xfId="5326" xr:uid="{00000000-0005-0000-0000-000071140000}"/>
    <cellStyle name="20% - Accent3 4 2 2 2 2 2 2 2" xfId="5327" xr:uid="{00000000-0005-0000-0000-000072140000}"/>
    <cellStyle name="20% - Accent3 4 2 2 2 2 2 2 2 2" xfId="5328" xr:uid="{00000000-0005-0000-0000-000073140000}"/>
    <cellStyle name="20% - Accent3 4 2 2 2 2 2 2 2 3" xfId="5329" xr:uid="{00000000-0005-0000-0000-000074140000}"/>
    <cellStyle name="20% - Accent3 4 2 2 2 2 2 2 3" xfId="5330" xr:uid="{00000000-0005-0000-0000-000075140000}"/>
    <cellStyle name="20% - Accent3 4 2 2 2 2 2 2 4" xfId="5331" xr:uid="{00000000-0005-0000-0000-000076140000}"/>
    <cellStyle name="20% - Accent3 4 2 2 2 2 2 3" xfId="5332" xr:uid="{00000000-0005-0000-0000-000077140000}"/>
    <cellStyle name="20% - Accent3 4 2 2 2 2 2 3 2" xfId="5333" xr:uid="{00000000-0005-0000-0000-000078140000}"/>
    <cellStyle name="20% - Accent3 4 2 2 2 2 2 3 3" xfId="5334" xr:uid="{00000000-0005-0000-0000-000079140000}"/>
    <cellStyle name="20% - Accent3 4 2 2 2 2 2 4" xfId="5335" xr:uid="{00000000-0005-0000-0000-00007A140000}"/>
    <cellStyle name="20% - Accent3 4 2 2 2 2 2 5" xfId="5336" xr:uid="{00000000-0005-0000-0000-00007B140000}"/>
    <cellStyle name="20% - Accent3 4 2 2 2 2 2 6" xfId="5337" xr:uid="{00000000-0005-0000-0000-00007C140000}"/>
    <cellStyle name="20% - Accent3 4 2 2 2 2 3" xfId="5338" xr:uid="{00000000-0005-0000-0000-00007D140000}"/>
    <cellStyle name="20% - Accent3 4 2 2 2 2 3 2" xfId="5339" xr:uid="{00000000-0005-0000-0000-00007E140000}"/>
    <cellStyle name="20% - Accent3 4 2 2 2 2 3 2 2" xfId="5340" xr:uid="{00000000-0005-0000-0000-00007F140000}"/>
    <cellStyle name="20% - Accent3 4 2 2 2 2 3 2 3" xfId="5341" xr:uid="{00000000-0005-0000-0000-000080140000}"/>
    <cellStyle name="20% - Accent3 4 2 2 2 2 3 3" xfId="5342" xr:uid="{00000000-0005-0000-0000-000081140000}"/>
    <cellStyle name="20% - Accent3 4 2 2 2 2 3 4" xfId="5343" xr:uid="{00000000-0005-0000-0000-000082140000}"/>
    <cellStyle name="20% - Accent3 4 2 2 2 2 4" xfId="5344" xr:uid="{00000000-0005-0000-0000-000083140000}"/>
    <cellStyle name="20% - Accent3 4 2 2 2 2 4 2" xfId="5345" xr:uid="{00000000-0005-0000-0000-000084140000}"/>
    <cellStyle name="20% - Accent3 4 2 2 2 2 4 3" xfId="5346" xr:uid="{00000000-0005-0000-0000-000085140000}"/>
    <cellStyle name="20% - Accent3 4 2 2 2 2 5" xfId="5347" xr:uid="{00000000-0005-0000-0000-000086140000}"/>
    <cellStyle name="20% - Accent3 4 2 2 2 2 6" xfId="5348" xr:uid="{00000000-0005-0000-0000-000087140000}"/>
    <cellStyle name="20% - Accent3 4 2 2 2 2 7" xfId="5349" xr:uid="{00000000-0005-0000-0000-000088140000}"/>
    <cellStyle name="20% - Accent3 4 2 2 2 3" xfId="5350" xr:uid="{00000000-0005-0000-0000-000089140000}"/>
    <cellStyle name="20% - Accent3 4 2 2 2 3 2" xfId="5351" xr:uid="{00000000-0005-0000-0000-00008A140000}"/>
    <cellStyle name="20% - Accent3 4 2 2 2 3 2 2" xfId="5352" xr:uid="{00000000-0005-0000-0000-00008B140000}"/>
    <cellStyle name="20% - Accent3 4 2 2 2 3 2 2 2" xfId="5353" xr:uid="{00000000-0005-0000-0000-00008C140000}"/>
    <cellStyle name="20% - Accent3 4 2 2 2 3 2 2 3" xfId="5354" xr:uid="{00000000-0005-0000-0000-00008D140000}"/>
    <cellStyle name="20% - Accent3 4 2 2 2 3 2 3" xfId="5355" xr:uid="{00000000-0005-0000-0000-00008E140000}"/>
    <cellStyle name="20% - Accent3 4 2 2 2 3 2 4" xfId="5356" xr:uid="{00000000-0005-0000-0000-00008F140000}"/>
    <cellStyle name="20% - Accent3 4 2 2 2 3 3" xfId="5357" xr:uid="{00000000-0005-0000-0000-000090140000}"/>
    <cellStyle name="20% - Accent3 4 2 2 2 3 3 2" xfId="5358" xr:uid="{00000000-0005-0000-0000-000091140000}"/>
    <cellStyle name="20% - Accent3 4 2 2 2 3 3 3" xfId="5359" xr:uid="{00000000-0005-0000-0000-000092140000}"/>
    <cellStyle name="20% - Accent3 4 2 2 2 3 4" xfId="5360" xr:uid="{00000000-0005-0000-0000-000093140000}"/>
    <cellStyle name="20% - Accent3 4 2 2 2 3 5" xfId="5361" xr:uid="{00000000-0005-0000-0000-000094140000}"/>
    <cellStyle name="20% - Accent3 4 2 2 2 3 6" xfId="5362" xr:uid="{00000000-0005-0000-0000-000095140000}"/>
    <cellStyle name="20% - Accent3 4 2 2 2 4" xfId="5363" xr:uid="{00000000-0005-0000-0000-000096140000}"/>
    <cellStyle name="20% - Accent3 4 2 2 2 4 2" xfId="5364" xr:uid="{00000000-0005-0000-0000-000097140000}"/>
    <cellStyle name="20% - Accent3 4 2 2 2 4 2 2" xfId="5365" xr:uid="{00000000-0005-0000-0000-000098140000}"/>
    <cellStyle name="20% - Accent3 4 2 2 2 4 2 3" xfId="5366" xr:uid="{00000000-0005-0000-0000-000099140000}"/>
    <cellStyle name="20% - Accent3 4 2 2 2 4 3" xfId="5367" xr:uid="{00000000-0005-0000-0000-00009A140000}"/>
    <cellStyle name="20% - Accent3 4 2 2 2 4 4" xfId="5368" xr:uid="{00000000-0005-0000-0000-00009B140000}"/>
    <cellStyle name="20% - Accent3 4 2 2 2 5" xfId="5369" xr:uid="{00000000-0005-0000-0000-00009C140000}"/>
    <cellStyle name="20% - Accent3 4 2 2 2 5 2" xfId="5370" xr:uid="{00000000-0005-0000-0000-00009D140000}"/>
    <cellStyle name="20% - Accent3 4 2 2 2 5 3" xfId="5371" xr:uid="{00000000-0005-0000-0000-00009E140000}"/>
    <cellStyle name="20% - Accent3 4 2 2 2 6" xfId="5372" xr:uid="{00000000-0005-0000-0000-00009F140000}"/>
    <cellStyle name="20% - Accent3 4 2 2 2 7" xfId="5373" xr:uid="{00000000-0005-0000-0000-0000A0140000}"/>
    <cellStyle name="20% - Accent3 4 2 2 2 8" xfId="5374" xr:uid="{00000000-0005-0000-0000-0000A1140000}"/>
    <cellStyle name="20% - Accent3 4 2 2 3" xfId="5375" xr:uid="{00000000-0005-0000-0000-0000A2140000}"/>
    <cellStyle name="20% - Accent3 4 2 2 3 2" xfId="5376" xr:uid="{00000000-0005-0000-0000-0000A3140000}"/>
    <cellStyle name="20% - Accent3 4 2 2 3 2 2" xfId="5377" xr:uid="{00000000-0005-0000-0000-0000A4140000}"/>
    <cellStyle name="20% - Accent3 4 2 2 3 2 2 2" xfId="5378" xr:uid="{00000000-0005-0000-0000-0000A5140000}"/>
    <cellStyle name="20% - Accent3 4 2 2 3 2 2 2 2" xfId="5379" xr:uid="{00000000-0005-0000-0000-0000A6140000}"/>
    <cellStyle name="20% - Accent3 4 2 2 3 2 2 2 3" xfId="5380" xr:uid="{00000000-0005-0000-0000-0000A7140000}"/>
    <cellStyle name="20% - Accent3 4 2 2 3 2 2 3" xfId="5381" xr:uid="{00000000-0005-0000-0000-0000A8140000}"/>
    <cellStyle name="20% - Accent3 4 2 2 3 2 2 4" xfId="5382" xr:uid="{00000000-0005-0000-0000-0000A9140000}"/>
    <cellStyle name="20% - Accent3 4 2 2 3 2 3" xfId="5383" xr:uid="{00000000-0005-0000-0000-0000AA140000}"/>
    <cellStyle name="20% - Accent3 4 2 2 3 2 3 2" xfId="5384" xr:uid="{00000000-0005-0000-0000-0000AB140000}"/>
    <cellStyle name="20% - Accent3 4 2 2 3 2 3 3" xfId="5385" xr:uid="{00000000-0005-0000-0000-0000AC140000}"/>
    <cellStyle name="20% - Accent3 4 2 2 3 2 4" xfId="5386" xr:uid="{00000000-0005-0000-0000-0000AD140000}"/>
    <cellStyle name="20% - Accent3 4 2 2 3 2 5" xfId="5387" xr:uid="{00000000-0005-0000-0000-0000AE140000}"/>
    <cellStyle name="20% - Accent3 4 2 2 3 2 6" xfId="5388" xr:uid="{00000000-0005-0000-0000-0000AF140000}"/>
    <cellStyle name="20% - Accent3 4 2 2 3 3" xfId="5389" xr:uid="{00000000-0005-0000-0000-0000B0140000}"/>
    <cellStyle name="20% - Accent3 4 2 2 3 3 2" xfId="5390" xr:uid="{00000000-0005-0000-0000-0000B1140000}"/>
    <cellStyle name="20% - Accent3 4 2 2 3 3 2 2" xfId="5391" xr:uid="{00000000-0005-0000-0000-0000B2140000}"/>
    <cellStyle name="20% - Accent3 4 2 2 3 3 2 3" xfId="5392" xr:uid="{00000000-0005-0000-0000-0000B3140000}"/>
    <cellStyle name="20% - Accent3 4 2 2 3 3 3" xfId="5393" xr:uid="{00000000-0005-0000-0000-0000B4140000}"/>
    <cellStyle name="20% - Accent3 4 2 2 3 3 4" xfId="5394" xr:uid="{00000000-0005-0000-0000-0000B5140000}"/>
    <cellStyle name="20% - Accent3 4 2 2 3 4" xfId="5395" xr:uid="{00000000-0005-0000-0000-0000B6140000}"/>
    <cellStyle name="20% - Accent3 4 2 2 3 4 2" xfId="5396" xr:uid="{00000000-0005-0000-0000-0000B7140000}"/>
    <cellStyle name="20% - Accent3 4 2 2 3 4 3" xfId="5397" xr:uid="{00000000-0005-0000-0000-0000B8140000}"/>
    <cellStyle name="20% - Accent3 4 2 2 3 5" xfId="5398" xr:uid="{00000000-0005-0000-0000-0000B9140000}"/>
    <cellStyle name="20% - Accent3 4 2 2 3 6" xfId="5399" xr:uid="{00000000-0005-0000-0000-0000BA140000}"/>
    <cellStyle name="20% - Accent3 4 2 2 3 7" xfId="5400" xr:uid="{00000000-0005-0000-0000-0000BB140000}"/>
    <cellStyle name="20% - Accent3 4 2 2 4" xfId="5401" xr:uid="{00000000-0005-0000-0000-0000BC140000}"/>
    <cellStyle name="20% - Accent3 4 2 2 4 2" xfId="5402" xr:uid="{00000000-0005-0000-0000-0000BD140000}"/>
    <cellStyle name="20% - Accent3 4 2 2 4 2 2" xfId="5403" xr:uid="{00000000-0005-0000-0000-0000BE140000}"/>
    <cellStyle name="20% - Accent3 4 2 2 4 2 2 2" xfId="5404" xr:uid="{00000000-0005-0000-0000-0000BF140000}"/>
    <cellStyle name="20% - Accent3 4 2 2 4 2 2 3" xfId="5405" xr:uid="{00000000-0005-0000-0000-0000C0140000}"/>
    <cellStyle name="20% - Accent3 4 2 2 4 2 3" xfId="5406" xr:uid="{00000000-0005-0000-0000-0000C1140000}"/>
    <cellStyle name="20% - Accent3 4 2 2 4 2 4" xfId="5407" xr:uid="{00000000-0005-0000-0000-0000C2140000}"/>
    <cellStyle name="20% - Accent3 4 2 2 4 3" xfId="5408" xr:uid="{00000000-0005-0000-0000-0000C3140000}"/>
    <cellStyle name="20% - Accent3 4 2 2 4 3 2" xfId="5409" xr:uid="{00000000-0005-0000-0000-0000C4140000}"/>
    <cellStyle name="20% - Accent3 4 2 2 4 3 3" xfId="5410" xr:uid="{00000000-0005-0000-0000-0000C5140000}"/>
    <cellStyle name="20% - Accent3 4 2 2 4 4" xfId="5411" xr:uid="{00000000-0005-0000-0000-0000C6140000}"/>
    <cellStyle name="20% - Accent3 4 2 2 4 5" xfId="5412" xr:uid="{00000000-0005-0000-0000-0000C7140000}"/>
    <cellStyle name="20% - Accent3 4 2 2 4 6" xfId="5413" xr:uid="{00000000-0005-0000-0000-0000C8140000}"/>
    <cellStyle name="20% - Accent3 4 2 2 5" xfId="5414" xr:uid="{00000000-0005-0000-0000-0000C9140000}"/>
    <cellStyle name="20% - Accent3 4 2 2 5 2" xfId="5415" xr:uid="{00000000-0005-0000-0000-0000CA140000}"/>
    <cellStyle name="20% - Accent3 4 2 2 5 2 2" xfId="5416" xr:uid="{00000000-0005-0000-0000-0000CB140000}"/>
    <cellStyle name="20% - Accent3 4 2 2 5 2 3" xfId="5417" xr:uid="{00000000-0005-0000-0000-0000CC140000}"/>
    <cellStyle name="20% - Accent3 4 2 2 5 3" xfId="5418" xr:uid="{00000000-0005-0000-0000-0000CD140000}"/>
    <cellStyle name="20% - Accent3 4 2 2 5 4" xfId="5419" xr:uid="{00000000-0005-0000-0000-0000CE140000}"/>
    <cellStyle name="20% - Accent3 4 2 2 6" xfId="5420" xr:uid="{00000000-0005-0000-0000-0000CF140000}"/>
    <cellStyle name="20% - Accent3 4 2 2 6 2" xfId="5421" xr:uid="{00000000-0005-0000-0000-0000D0140000}"/>
    <cellStyle name="20% - Accent3 4 2 2 6 3" xfId="5422" xr:uid="{00000000-0005-0000-0000-0000D1140000}"/>
    <cellStyle name="20% - Accent3 4 2 2 7" xfId="5423" xr:uid="{00000000-0005-0000-0000-0000D2140000}"/>
    <cellStyle name="20% - Accent3 4 2 2 8" xfId="5424" xr:uid="{00000000-0005-0000-0000-0000D3140000}"/>
    <cellStyle name="20% - Accent3 4 2 2 9" xfId="5425" xr:uid="{00000000-0005-0000-0000-0000D4140000}"/>
    <cellStyle name="20% - Accent3 4 2 3" xfId="5426" xr:uid="{00000000-0005-0000-0000-0000D5140000}"/>
    <cellStyle name="20% - Accent3 4 2 3 2" xfId="5427" xr:uid="{00000000-0005-0000-0000-0000D6140000}"/>
    <cellStyle name="20% - Accent3 4 2 3 2 2" xfId="5428" xr:uid="{00000000-0005-0000-0000-0000D7140000}"/>
    <cellStyle name="20% - Accent3 4 2 3 2 2 2" xfId="5429" xr:uid="{00000000-0005-0000-0000-0000D8140000}"/>
    <cellStyle name="20% - Accent3 4 2 3 2 2 2 2" xfId="5430" xr:uid="{00000000-0005-0000-0000-0000D9140000}"/>
    <cellStyle name="20% - Accent3 4 2 3 2 2 2 2 2" xfId="5431" xr:uid="{00000000-0005-0000-0000-0000DA140000}"/>
    <cellStyle name="20% - Accent3 4 2 3 2 2 2 2 3" xfId="5432" xr:uid="{00000000-0005-0000-0000-0000DB140000}"/>
    <cellStyle name="20% - Accent3 4 2 3 2 2 2 3" xfId="5433" xr:uid="{00000000-0005-0000-0000-0000DC140000}"/>
    <cellStyle name="20% - Accent3 4 2 3 2 2 2 4" xfId="5434" xr:uid="{00000000-0005-0000-0000-0000DD140000}"/>
    <cellStyle name="20% - Accent3 4 2 3 2 2 3" xfId="5435" xr:uid="{00000000-0005-0000-0000-0000DE140000}"/>
    <cellStyle name="20% - Accent3 4 2 3 2 2 3 2" xfId="5436" xr:uid="{00000000-0005-0000-0000-0000DF140000}"/>
    <cellStyle name="20% - Accent3 4 2 3 2 2 3 3" xfId="5437" xr:uid="{00000000-0005-0000-0000-0000E0140000}"/>
    <cellStyle name="20% - Accent3 4 2 3 2 2 4" xfId="5438" xr:uid="{00000000-0005-0000-0000-0000E1140000}"/>
    <cellStyle name="20% - Accent3 4 2 3 2 2 5" xfId="5439" xr:uid="{00000000-0005-0000-0000-0000E2140000}"/>
    <cellStyle name="20% - Accent3 4 2 3 2 2 6" xfId="5440" xr:uid="{00000000-0005-0000-0000-0000E3140000}"/>
    <cellStyle name="20% - Accent3 4 2 3 2 3" xfId="5441" xr:uid="{00000000-0005-0000-0000-0000E4140000}"/>
    <cellStyle name="20% - Accent3 4 2 3 2 3 2" xfId="5442" xr:uid="{00000000-0005-0000-0000-0000E5140000}"/>
    <cellStyle name="20% - Accent3 4 2 3 2 3 2 2" xfId="5443" xr:uid="{00000000-0005-0000-0000-0000E6140000}"/>
    <cellStyle name="20% - Accent3 4 2 3 2 3 2 3" xfId="5444" xr:uid="{00000000-0005-0000-0000-0000E7140000}"/>
    <cellStyle name="20% - Accent3 4 2 3 2 3 3" xfId="5445" xr:uid="{00000000-0005-0000-0000-0000E8140000}"/>
    <cellStyle name="20% - Accent3 4 2 3 2 3 4" xfId="5446" xr:uid="{00000000-0005-0000-0000-0000E9140000}"/>
    <cellStyle name="20% - Accent3 4 2 3 2 4" xfId="5447" xr:uid="{00000000-0005-0000-0000-0000EA140000}"/>
    <cellStyle name="20% - Accent3 4 2 3 2 4 2" xfId="5448" xr:uid="{00000000-0005-0000-0000-0000EB140000}"/>
    <cellStyle name="20% - Accent3 4 2 3 2 4 3" xfId="5449" xr:uid="{00000000-0005-0000-0000-0000EC140000}"/>
    <cellStyle name="20% - Accent3 4 2 3 2 5" xfId="5450" xr:uid="{00000000-0005-0000-0000-0000ED140000}"/>
    <cellStyle name="20% - Accent3 4 2 3 2 6" xfId="5451" xr:uid="{00000000-0005-0000-0000-0000EE140000}"/>
    <cellStyle name="20% - Accent3 4 2 3 2 7" xfId="5452" xr:uid="{00000000-0005-0000-0000-0000EF140000}"/>
    <cellStyle name="20% - Accent3 4 2 3 3" xfId="5453" xr:uid="{00000000-0005-0000-0000-0000F0140000}"/>
    <cellStyle name="20% - Accent3 4 2 3 3 2" xfId="5454" xr:uid="{00000000-0005-0000-0000-0000F1140000}"/>
    <cellStyle name="20% - Accent3 4 2 3 3 2 2" xfId="5455" xr:uid="{00000000-0005-0000-0000-0000F2140000}"/>
    <cellStyle name="20% - Accent3 4 2 3 3 2 2 2" xfId="5456" xr:uid="{00000000-0005-0000-0000-0000F3140000}"/>
    <cellStyle name="20% - Accent3 4 2 3 3 2 2 3" xfId="5457" xr:uid="{00000000-0005-0000-0000-0000F4140000}"/>
    <cellStyle name="20% - Accent3 4 2 3 3 2 3" xfId="5458" xr:uid="{00000000-0005-0000-0000-0000F5140000}"/>
    <cellStyle name="20% - Accent3 4 2 3 3 2 4" xfId="5459" xr:uid="{00000000-0005-0000-0000-0000F6140000}"/>
    <cellStyle name="20% - Accent3 4 2 3 3 3" xfId="5460" xr:uid="{00000000-0005-0000-0000-0000F7140000}"/>
    <cellStyle name="20% - Accent3 4 2 3 3 3 2" xfId="5461" xr:uid="{00000000-0005-0000-0000-0000F8140000}"/>
    <cellStyle name="20% - Accent3 4 2 3 3 3 3" xfId="5462" xr:uid="{00000000-0005-0000-0000-0000F9140000}"/>
    <cellStyle name="20% - Accent3 4 2 3 3 4" xfId="5463" xr:uid="{00000000-0005-0000-0000-0000FA140000}"/>
    <cellStyle name="20% - Accent3 4 2 3 3 5" xfId="5464" xr:uid="{00000000-0005-0000-0000-0000FB140000}"/>
    <cellStyle name="20% - Accent3 4 2 3 3 6" xfId="5465" xr:uid="{00000000-0005-0000-0000-0000FC140000}"/>
    <cellStyle name="20% - Accent3 4 2 3 4" xfId="5466" xr:uid="{00000000-0005-0000-0000-0000FD140000}"/>
    <cellStyle name="20% - Accent3 4 2 3 4 2" xfId="5467" xr:uid="{00000000-0005-0000-0000-0000FE140000}"/>
    <cellStyle name="20% - Accent3 4 2 3 4 2 2" xfId="5468" xr:uid="{00000000-0005-0000-0000-0000FF140000}"/>
    <cellStyle name="20% - Accent3 4 2 3 4 2 3" xfId="5469" xr:uid="{00000000-0005-0000-0000-000000150000}"/>
    <cellStyle name="20% - Accent3 4 2 3 4 3" xfId="5470" xr:uid="{00000000-0005-0000-0000-000001150000}"/>
    <cellStyle name="20% - Accent3 4 2 3 4 4" xfId="5471" xr:uid="{00000000-0005-0000-0000-000002150000}"/>
    <cellStyle name="20% - Accent3 4 2 3 5" xfId="5472" xr:uid="{00000000-0005-0000-0000-000003150000}"/>
    <cellStyle name="20% - Accent3 4 2 3 5 2" xfId="5473" xr:uid="{00000000-0005-0000-0000-000004150000}"/>
    <cellStyle name="20% - Accent3 4 2 3 5 3" xfId="5474" xr:uid="{00000000-0005-0000-0000-000005150000}"/>
    <cellStyle name="20% - Accent3 4 2 3 6" xfId="5475" xr:uid="{00000000-0005-0000-0000-000006150000}"/>
    <cellStyle name="20% - Accent3 4 2 3 7" xfId="5476" xr:uid="{00000000-0005-0000-0000-000007150000}"/>
    <cellStyle name="20% - Accent3 4 2 3 8" xfId="5477" xr:uid="{00000000-0005-0000-0000-000008150000}"/>
    <cellStyle name="20% - Accent3 4 2 4" xfId="5478" xr:uid="{00000000-0005-0000-0000-000009150000}"/>
    <cellStyle name="20% - Accent3 4 2 4 2" xfId="5479" xr:uid="{00000000-0005-0000-0000-00000A150000}"/>
    <cellStyle name="20% - Accent3 4 2 4 2 2" xfId="5480" xr:uid="{00000000-0005-0000-0000-00000B150000}"/>
    <cellStyle name="20% - Accent3 4 2 4 2 2 2" xfId="5481" xr:uid="{00000000-0005-0000-0000-00000C150000}"/>
    <cellStyle name="20% - Accent3 4 2 4 2 2 2 2" xfId="5482" xr:uid="{00000000-0005-0000-0000-00000D150000}"/>
    <cellStyle name="20% - Accent3 4 2 4 2 2 2 3" xfId="5483" xr:uid="{00000000-0005-0000-0000-00000E150000}"/>
    <cellStyle name="20% - Accent3 4 2 4 2 2 3" xfId="5484" xr:uid="{00000000-0005-0000-0000-00000F150000}"/>
    <cellStyle name="20% - Accent3 4 2 4 2 2 4" xfId="5485" xr:uid="{00000000-0005-0000-0000-000010150000}"/>
    <cellStyle name="20% - Accent3 4 2 4 2 3" xfId="5486" xr:uid="{00000000-0005-0000-0000-000011150000}"/>
    <cellStyle name="20% - Accent3 4 2 4 2 3 2" xfId="5487" xr:uid="{00000000-0005-0000-0000-000012150000}"/>
    <cellStyle name="20% - Accent3 4 2 4 2 3 3" xfId="5488" xr:uid="{00000000-0005-0000-0000-000013150000}"/>
    <cellStyle name="20% - Accent3 4 2 4 2 4" xfId="5489" xr:uid="{00000000-0005-0000-0000-000014150000}"/>
    <cellStyle name="20% - Accent3 4 2 4 2 5" xfId="5490" xr:uid="{00000000-0005-0000-0000-000015150000}"/>
    <cellStyle name="20% - Accent3 4 2 4 2 6" xfId="5491" xr:uid="{00000000-0005-0000-0000-000016150000}"/>
    <cellStyle name="20% - Accent3 4 2 4 3" xfId="5492" xr:uid="{00000000-0005-0000-0000-000017150000}"/>
    <cellStyle name="20% - Accent3 4 2 4 3 2" xfId="5493" xr:uid="{00000000-0005-0000-0000-000018150000}"/>
    <cellStyle name="20% - Accent3 4 2 4 3 2 2" xfId="5494" xr:uid="{00000000-0005-0000-0000-000019150000}"/>
    <cellStyle name="20% - Accent3 4 2 4 3 2 3" xfId="5495" xr:uid="{00000000-0005-0000-0000-00001A150000}"/>
    <cellStyle name="20% - Accent3 4 2 4 3 3" xfId="5496" xr:uid="{00000000-0005-0000-0000-00001B150000}"/>
    <cellStyle name="20% - Accent3 4 2 4 3 4" xfId="5497" xr:uid="{00000000-0005-0000-0000-00001C150000}"/>
    <cellStyle name="20% - Accent3 4 2 4 4" xfId="5498" xr:uid="{00000000-0005-0000-0000-00001D150000}"/>
    <cellStyle name="20% - Accent3 4 2 4 4 2" xfId="5499" xr:uid="{00000000-0005-0000-0000-00001E150000}"/>
    <cellStyle name="20% - Accent3 4 2 4 4 3" xfId="5500" xr:uid="{00000000-0005-0000-0000-00001F150000}"/>
    <cellStyle name="20% - Accent3 4 2 4 5" xfId="5501" xr:uid="{00000000-0005-0000-0000-000020150000}"/>
    <cellStyle name="20% - Accent3 4 2 4 6" xfId="5502" xr:uid="{00000000-0005-0000-0000-000021150000}"/>
    <cellStyle name="20% - Accent3 4 2 4 7" xfId="5503" xr:uid="{00000000-0005-0000-0000-000022150000}"/>
    <cellStyle name="20% - Accent3 4 2 5" xfId="5504" xr:uid="{00000000-0005-0000-0000-000023150000}"/>
    <cellStyle name="20% - Accent3 4 2 5 2" xfId="5505" xr:uid="{00000000-0005-0000-0000-000024150000}"/>
    <cellStyle name="20% - Accent3 4 2 5 2 2" xfId="5506" xr:uid="{00000000-0005-0000-0000-000025150000}"/>
    <cellStyle name="20% - Accent3 4 2 5 2 2 2" xfId="5507" xr:uid="{00000000-0005-0000-0000-000026150000}"/>
    <cellStyle name="20% - Accent3 4 2 5 2 2 3" xfId="5508" xr:uid="{00000000-0005-0000-0000-000027150000}"/>
    <cellStyle name="20% - Accent3 4 2 5 2 3" xfId="5509" xr:uid="{00000000-0005-0000-0000-000028150000}"/>
    <cellStyle name="20% - Accent3 4 2 5 2 4" xfId="5510" xr:uid="{00000000-0005-0000-0000-000029150000}"/>
    <cellStyle name="20% - Accent3 4 2 5 3" xfId="5511" xr:uid="{00000000-0005-0000-0000-00002A150000}"/>
    <cellStyle name="20% - Accent3 4 2 5 3 2" xfId="5512" xr:uid="{00000000-0005-0000-0000-00002B150000}"/>
    <cellStyle name="20% - Accent3 4 2 5 3 3" xfId="5513" xr:uid="{00000000-0005-0000-0000-00002C150000}"/>
    <cellStyle name="20% - Accent3 4 2 5 4" xfId="5514" xr:uid="{00000000-0005-0000-0000-00002D150000}"/>
    <cellStyle name="20% - Accent3 4 2 5 5" xfId="5515" xr:uid="{00000000-0005-0000-0000-00002E150000}"/>
    <cellStyle name="20% - Accent3 4 2 5 6" xfId="5516" xr:uid="{00000000-0005-0000-0000-00002F150000}"/>
    <cellStyle name="20% - Accent3 4 2 6" xfId="5517" xr:uid="{00000000-0005-0000-0000-000030150000}"/>
    <cellStyle name="20% - Accent3 4 2 6 2" xfId="5518" xr:uid="{00000000-0005-0000-0000-000031150000}"/>
    <cellStyle name="20% - Accent3 4 2 6 2 2" xfId="5519" xr:uid="{00000000-0005-0000-0000-000032150000}"/>
    <cellStyle name="20% - Accent3 4 2 6 2 3" xfId="5520" xr:uid="{00000000-0005-0000-0000-000033150000}"/>
    <cellStyle name="20% - Accent3 4 2 6 3" xfId="5521" xr:uid="{00000000-0005-0000-0000-000034150000}"/>
    <cellStyle name="20% - Accent3 4 2 6 4" xfId="5522" xr:uid="{00000000-0005-0000-0000-000035150000}"/>
    <cellStyle name="20% - Accent3 4 2 7" xfId="5523" xr:uid="{00000000-0005-0000-0000-000036150000}"/>
    <cellStyle name="20% - Accent3 4 2 7 2" xfId="5524" xr:uid="{00000000-0005-0000-0000-000037150000}"/>
    <cellStyle name="20% - Accent3 4 2 7 3" xfId="5525" xr:uid="{00000000-0005-0000-0000-000038150000}"/>
    <cellStyle name="20% - Accent3 4 2 8" xfId="5526" xr:uid="{00000000-0005-0000-0000-000039150000}"/>
    <cellStyle name="20% - Accent3 4 2 9" xfId="5527" xr:uid="{00000000-0005-0000-0000-00003A150000}"/>
    <cellStyle name="20% - Accent3 4 3" xfId="5528" xr:uid="{00000000-0005-0000-0000-00003B150000}"/>
    <cellStyle name="20% - Accent3 4 3 2" xfId="5529" xr:uid="{00000000-0005-0000-0000-00003C150000}"/>
    <cellStyle name="20% - Accent3 4 3 2 2" xfId="5530" xr:uid="{00000000-0005-0000-0000-00003D150000}"/>
    <cellStyle name="20% - Accent3 4 3 2 2 2" xfId="5531" xr:uid="{00000000-0005-0000-0000-00003E150000}"/>
    <cellStyle name="20% - Accent3 4 3 2 2 2 2" xfId="5532" xr:uid="{00000000-0005-0000-0000-00003F150000}"/>
    <cellStyle name="20% - Accent3 4 3 2 2 2 2 2" xfId="5533" xr:uid="{00000000-0005-0000-0000-000040150000}"/>
    <cellStyle name="20% - Accent3 4 3 2 2 2 2 2 2" xfId="5534" xr:uid="{00000000-0005-0000-0000-000041150000}"/>
    <cellStyle name="20% - Accent3 4 3 2 2 2 2 2 3" xfId="5535" xr:uid="{00000000-0005-0000-0000-000042150000}"/>
    <cellStyle name="20% - Accent3 4 3 2 2 2 2 3" xfId="5536" xr:uid="{00000000-0005-0000-0000-000043150000}"/>
    <cellStyle name="20% - Accent3 4 3 2 2 2 2 4" xfId="5537" xr:uid="{00000000-0005-0000-0000-000044150000}"/>
    <cellStyle name="20% - Accent3 4 3 2 2 2 3" xfId="5538" xr:uid="{00000000-0005-0000-0000-000045150000}"/>
    <cellStyle name="20% - Accent3 4 3 2 2 2 3 2" xfId="5539" xr:uid="{00000000-0005-0000-0000-000046150000}"/>
    <cellStyle name="20% - Accent3 4 3 2 2 2 3 3" xfId="5540" xr:uid="{00000000-0005-0000-0000-000047150000}"/>
    <cellStyle name="20% - Accent3 4 3 2 2 2 4" xfId="5541" xr:uid="{00000000-0005-0000-0000-000048150000}"/>
    <cellStyle name="20% - Accent3 4 3 2 2 2 5" xfId="5542" xr:uid="{00000000-0005-0000-0000-000049150000}"/>
    <cellStyle name="20% - Accent3 4 3 2 2 2 6" xfId="5543" xr:uid="{00000000-0005-0000-0000-00004A150000}"/>
    <cellStyle name="20% - Accent3 4 3 2 2 3" xfId="5544" xr:uid="{00000000-0005-0000-0000-00004B150000}"/>
    <cellStyle name="20% - Accent3 4 3 2 2 3 2" xfId="5545" xr:uid="{00000000-0005-0000-0000-00004C150000}"/>
    <cellStyle name="20% - Accent3 4 3 2 2 3 2 2" xfId="5546" xr:uid="{00000000-0005-0000-0000-00004D150000}"/>
    <cellStyle name="20% - Accent3 4 3 2 2 3 2 3" xfId="5547" xr:uid="{00000000-0005-0000-0000-00004E150000}"/>
    <cellStyle name="20% - Accent3 4 3 2 2 3 3" xfId="5548" xr:uid="{00000000-0005-0000-0000-00004F150000}"/>
    <cellStyle name="20% - Accent3 4 3 2 2 3 4" xfId="5549" xr:uid="{00000000-0005-0000-0000-000050150000}"/>
    <cellStyle name="20% - Accent3 4 3 2 2 4" xfId="5550" xr:uid="{00000000-0005-0000-0000-000051150000}"/>
    <cellStyle name="20% - Accent3 4 3 2 2 4 2" xfId="5551" xr:uid="{00000000-0005-0000-0000-000052150000}"/>
    <cellStyle name="20% - Accent3 4 3 2 2 4 3" xfId="5552" xr:uid="{00000000-0005-0000-0000-000053150000}"/>
    <cellStyle name="20% - Accent3 4 3 2 2 5" xfId="5553" xr:uid="{00000000-0005-0000-0000-000054150000}"/>
    <cellStyle name="20% - Accent3 4 3 2 2 6" xfId="5554" xr:uid="{00000000-0005-0000-0000-000055150000}"/>
    <cellStyle name="20% - Accent3 4 3 2 2 7" xfId="5555" xr:uid="{00000000-0005-0000-0000-000056150000}"/>
    <cellStyle name="20% - Accent3 4 3 2 3" xfId="5556" xr:uid="{00000000-0005-0000-0000-000057150000}"/>
    <cellStyle name="20% - Accent3 4 3 2 3 2" xfId="5557" xr:uid="{00000000-0005-0000-0000-000058150000}"/>
    <cellStyle name="20% - Accent3 4 3 2 3 2 2" xfId="5558" xr:uid="{00000000-0005-0000-0000-000059150000}"/>
    <cellStyle name="20% - Accent3 4 3 2 3 2 2 2" xfId="5559" xr:uid="{00000000-0005-0000-0000-00005A150000}"/>
    <cellStyle name="20% - Accent3 4 3 2 3 2 2 3" xfId="5560" xr:uid="{00000000-0005-0000-0000-00005B150000}"/>
    <cellStyle name="20% - Accent3 4 3 2 3 2 3" xfId="5561" xr:uid="{00000000-0005-0000-0000-00005C150000}"/>
    <cellStyle name="20% - Accent3 4 3 2 3 2 4" xfId="5562" xr:uid="{00000000-0005-0000-0000-00005D150000}"/>
    <cellStyle name="20% - Accent3 4 3 2 3 3" xfId="5563" xr:uid="{00000000-0005-0000-0000-00005E150000}"/>
    <cellStyle name="20% - Accent3 4 3 2 3 3 2" xfId="5564" xr:uid="{00000000-0005-0000-0000-00005F150000}"/>
    <cellStyle name="20% - Accent3 4 3 2 3 3 3" xfId="5565" xr:uid="{00000000-0005-0000-0000-000060150000}"/>
    <cellStyle name="20% - Accent3 4 3 2 3 4" xfId="5566" xr:uid="{00000000-0005-0000-0000-000061150000}"/>
    <cellStyle name="20% - Accent3 4 3 2 3 5" xfId="5567" xr:uid="{00000000-0005-0000-0000-000062150000}"/>
    <cellStyle name="20% - Accent3 4 3 2 3 6" xfId="5568" xr:uid="{00000000-0005-0000-0000-000063150000}"/>
    <cellStyle name="20% - Accent3 4 3 2 4" xfId="5569" xr:uid="{00000000-0005-0000-0000-000064150000}"/>
    <cellStyle name="20% - Accent3 4 3 2 4 2" xfId="5570" xr:uid="{00000000-0005-0000-0000-000065150000}"/>
    <cellStyle name="20% - Accent3 4 3 2 4 2 2" xfId="5571" xr:uid="{00000000-0005-0000-0000-000066150000}"/>
    <cellStyle name="20% - Accent3 4 3 2 4 2 3" xfId="5572" xr:uid="{00000000-0005-0000-0000-000067150000}"/>
    <cellStyle name="20% - Accent3 4 3 2 4 3" xfId="5573" xr:uid="{00000000-0005-0000-0000-000068150000}"/>
    <cellStyle name="20% - Accent3 4 3 2 4 4" xfId="5574" xr:uid="{00000000-0005-0000-0000-000069150000}"/>
    <cellStyle name="20% - Accent3 4 3 2 5" xfId="5575" xr:uid="{00000000-0005-0000-0000-00006A150000}"/>
    <cellStyle name="20% - Accent3 4 3 2 5 2" xfId="5576" xr:uid="{00000000-0005-0000-0000-00006B150000}"/>
    <cellStyle name="20% - Accent3 4 3 2 5 3" xfId="5577" xr:uid="{00000000-0005-0000-0000-00006C150000}"/>
    <cellStyle name="20% - Accent3 4 3 2 6" xfId="5578" xr:uid="{00000000-0005-0000-0000-00006D150000}"/>
    <cellStyle name="20% - Accent3 4 3 2 7" xfId="5579" xr:uid="{00000000-0005-0000-0000-00006E150000}"/>
    <cellStyle name="20% - Accent3 4 3 2 8" xfId="5580" xr:uid="{00000000-0005-0000-0000-00006F150000}"/>
    <cellStyle name="20% - Accent3 4 3 3" xfId="5581" xr:uid="{00000000-0005-0000-0000-000070150000}"/>
    <cellStyle name="20% - Accent3 4 3 3 2" xfId="5582" xr:uid="{00000000-0005-0000-0000-000071150000}"/>
    <cellStyle name="20% - Accent3 4 3 3 2 2" xfId="5583" xr:uid="{00000000-0005-0000-0000-000072150000}"/>
    <cellStyle name="20% - Accent3 4 3 3 2 2 2" xfId="5584" xr:uid="{00000000-0005-0000-0000-000073150000}"/>
    <cellStyle name="20% - Accent3 4 3 3 2 2 2 2" xfId="5585" xr:uid="{00000000-0005-0000-0000-000074150000}"/>
    <cellStyle name="20% - Accent3 4 3 3 2 2 2 3" xfId="5586" xr:uid="{00000000-0005-0000-0000-000075150000}"/>
    <cellStyle name="20% - Accent3 4 3 3 2 2 3" xfId="5587" xr:uid="{00000000-0005-0000-0000-000076150000}"/>
    <cellStyle name="20% - Accent3 4 3 3 2 2 4" xfId="5588" xr:uid="{00000000-0005-0000-0000-000077150000}"/>
    <cellStyle name="20% - Accent3 4 3 3 2 3" xfId="5589" xr:uid="{00000000-0005-0000-0000-000078150000}"/>
    <cellStyle name="20% - Accent3 4 3 3 2 3 2" xfId="5590" xr:uid="{00000000-0005-0000-0000-000079150000}"/>
    <cellStyle name="20% - Accent3 4 3 3 2 3 3" xfId="5591" xr:uid="{00000000-0005-0000-0000-00007A150000}"/>
    <cellStyle name="20% - Accent3 4 3 3 2 4" xfId="5592" xr:uid="{00000000-0005-0000-0000-00007B150000}"/>
    <cellStyle name="20% - Accent3 4 3 3 2 5" xfId="5593" xr:uid="{00000000-0005-0000-0000-00007C150000}"/>
    <cellStyle name="20% - Accent3 4 3 3 2 6" xfId="5594" xr:uid="{00000000-0005-0000-0000-00007D150000}"/>
    <cellStyle name="20% - Accent3 4 3 3 3" xfId="5595" xr:uid="{00000000-0005-0000-0000-00007E150000}"/>
    <cellStyle name="20% - Accent3 4 3 3 3 2" xfId="5596" xr:uid="{00000000-0005-0000-0000-00007F150000}"/>
    <cellStyle name="20% - Accent3 4 3 3 3 2 2" xfId="5597" xr:uid="{00000000-0005-0000-0000-000080150000}"/>
    <cellStyle name="20% - Accent3 4 3 3 3 2 3" xfId="5598" xr:uid="{00000000-0005-0000-0000-000081150000}"/>
    <cellStyle name="20% - Accent3 4 3 3 3 3" xfId="5599" xr:uid="{00000000-0005-0000-0000-000082150000}"/>
    <cellStyle name="20% - Accent3 4 3 3 3 4" xfId="5600" xr:uid="{00000000-0005-0000-0000-000083150000}"/>
    <cellStyle name="20% - Accent3 4 3 3 4" xfId="5601" xr:uid="{00000000-0005-0000-0000-000084150000}"/>
    <cellStyle name="20% - Accent3 4 3 3 4 2" xfId="5602" xr:uid="{00000000-0005-0000-0000-000085150000}"/>
    <cellStyle name="20% - Accent3 4 3 3 4 3" xfId="5603" xr:uid="{00000000-0005-0000-0000-000086150000}"/>
    <cellStyle name="20% - Accent3 4 3 3 5" xfId="5604" xr:uid="{00000000-0005-0000-0000-000087150000}"/>
    <cellStyle name="20% - Accent3 4 3 3 6" xfId="5605" xr:uid="{00000000-0005-0000-0000-000088150000}"/>
    <cellStyle name="20% - Accent3 4 3 3 7" xfId="5606" xr:uid="{00000000-0005-0000-0000-000089150000}"/>
    <cellStyle name="20% - Accent3 4 3 4" xfId="5607" xr:uid="{00000000-0005-0000-0000-00008A150000}"/>
    <cellStyle name="20% - Accent3 4 3 4 2" xfId="5608" xr:uid="{00000000-0005-0000-0000-00008B150000}"/>
    <cellStyle name="20% - Accent3 4 3 4 2 2" xfId="5609" xr:uid="{00000000-0005-0000-0000-00008C150000}"/>
    <cellStyle name="20% - Accent3 4 3 4 2 2 2" xfId="5610" xr:uid="{00000000-0005-0000-0000-00008D150000}"/>
    <cellStyle name="20% - Accent3 4 3 4 2 2 3" xfId="5611" xr:uid="{00000000-0005-0000-0000-00008E150000}"/>
    <cellStyle name="20% - Accent3 4 3 4 2 3" xfId="5612" xr:uid="{00000000-0005-0000-0000-00008F150000}"/>
    <cellStyle name="20% - Accent3 4 3 4 2 4" xfId="5613" xr:uid="{00000000-0005-0000-0000-000090150000}"/>
    <cellStyle name="20% - Accent3 4 3 4 3" xfId="5614" xr:uid="{00000000-0005-0000-0000-000091150000}"/>
    <cellStyle name="20% - Accent3 4 3 4 3 2" xfId="5615" xr:uid="{00000000-0005-0000-0000-000092150000}"/>
    <cellStyle name="20% - Accent3 4 3 4 3 3" xfId="5616" xr:uid="{00000000-0005-0000-0000-000093150000}"/>
    <cellStyle name="20% - Accent3 4 3 4 4" xfId="5617" xr:uid="{00000000-0005-0000-0000-000094150000}"/>
    <cellStyle name="20% - Accent3 4 3 4 5" xfId="5618" xr:uid="{00000000-0005-0000-0000-000095150000}"/>
    <cellStyle name="20% - Accent3 4 3 4 6" xfId="5619" xr:uid="{00000000-0005-0000-0000-000096150000}"/>
    <cellStyle name="20% - Accent3 4 3 5" xfId="5620" xr:uid="{00000000-0005-0000-0000-000097150000}"/>
    <cellStyle name="20% - Accent3 4 3 5 2" xfId="5621" xr:uid="{00000000-0005-0000-0000-000098150000}"/>
    <cellStyle name="20% - Accent3 4 3 5 2 2" xfId="5622" xr:uid="{00000000-0005-0000-0000-000099150000}"/>
    <cellStyle name="20% - Accent3 4 3 5 2 3" xfId="5623" xr:uid="{00000000-0005-0000-0000-00009A150000}"/>
    <cellStyle name="20% - Accent3 4 3 5 3" xfId="5624" xr:uid="{00000000-0005-0000-0000-00009B150000}"/>
    <cellStyle name="20% - Accent3 4 3 5 4" xfId="5625" xr:uid="{00000000-0005-0000-0000-00009C150000}"/>
    <cellStyle name="20% - Accent3 4 3 6" xfId="5626" xr:uid="{00000000-0005-0000-0000-00009D150000}"/>
    <cellStyle name="20% - Accent3 4 3 6 2" xfId="5627" xr:uid="{00000000-0005-0000-0000-00009E150000}"/>
    <cellStyle name="20% - Accent3 4 3 6 3" xfId="5628" xr:uid="{00000000-0005-0000-0000-00009F150000}"/>
    <cellStyle name="20% - Accent3 4 3 7" xfId="5629" xr:uid="{00000000-0005-0000-0000-0000A0150000}"/>
    <cellStyle name="20% - Accent3 4 3 8" xfId="5630" xr:uid="{00000000-0005-0000-0000-0000A1150000}"/>
    <cellStyle name="20% - Accent3 4 3 9" xfId="5631" xr:uid="{00000000-0005-0000-0000-0000A2150000}"/>
    <cellStyle name="20% - Accent3 4 4" xfId="5632" xr:uid="{00000000-0005-0000-0000-0000A3150000}"/>
    <cellStyle name="20% - Accent3 4 4 2" xfId="5633" xr:uid="{00000000-0005-0000-0000-0000A4150000}"/>
    <cellStyle name="20% - Accent3 4 4 2 2" xfId="5634" xr:uid="{00000000-0005-0000-0000-0000A5150000}"/>
    <cellStyle name="20% - Accent3 4 4 2 2 2" xfId="5635" xr:uid="{00000000-0005-0000-0000-0000A6150000}"/>
    <cellStyle name="20% - Accent3 4 4 2 2 2 2" xfId="5636" xr:uid="{00000000-0005-0000-0000-0000A7150000}"/>
    <cellStyle name="20% - Accent3 4 4 2 2 2 2 2" xfId="5637" xr:uid="{00000000-0005-0000-0000-0000A8150000}"/>
    <cellStyle name="20% - Accent3 4 4 2 2 2 2 3" xfId="5638" xr:uid="{00000000-0005-0000-0000-0000A9150000}"/>
    <cellStyle name="20% - Accent3 4 4 2 2 2 3" xfId="5639" xr:uid="{00000000-0005-0000-0000-0000AA150000}"/>
    <cellStyle name="20% - Accent3 4 4 2 2 2 4" xfId="5640" xr:uid="{00000000-0005-0000-0000-0000AB150000}"/>
    <cellStyle name="20% - Accent3 4 4 2 2 3" xfId="5641" xr:uid="{00000000-0005-0000-0000-0000AC150000}"/>
    <cellStyle name="20% - Accent3 4 4 2 2 3 2" xfId="5642" xr:uid="{00000000-0005-0000-0000-0000AD150000}"/>
    <cellStyle name="20% - Accent3 4 4 2 2 3 3" xfId="5643" xr:uid="{00000000-0005-0000-0000-0000AE150000}"/>
    <cellStyle name="20% - Accent3 4 4 2 2 4" xfId="5644" xr:uid="{00000000-0005-0000-0000-0000AF150000}"/>
    <cellStyle name="20% - Accent3 4 4 2 2 5" xfId="5645" xr:uid="{00000000-0005-0000-0000-0000B0150000}"/>
    <cellStyle name="20% - Accent3 4 4 2 2 6" xfId="5646" xr:uid="{00000000-0005-0000-0000-0000B1150000}"/>
    <cellStyle name="20% - Accent3 4 4 2 3" xfId="5647" xr:uid="{00000000-0005-0000-0000-0000B2150000}"/>
    <cellStyle name="20% - Accent3 4 4 2 3 2" xfId="5648" xr:uid="{00000000-0005-0000-0000-0000B3150000}"/>
    <cellStyle name="20% - Accent3 4 4 2 3 2 2" xfId="5649" xr:uid="{00000000-0005-0000-0000-0000B4150000}"/>
    <cellStyle name="20% - Accent3 4 4 2 3 2 3" xfId="5650" xr:uid="{00000000-0005-0000-0000-0000B5150000}"/>
    <cellStyle name="20% - Accent3 4 4 2 3 3" xfId="5651" xr:uid="{00000000-0005-0000-0000-0000B6150000}"/>
    <cellStyle name="20% - Accent3 4 4 2 3 4" xfId="5652" xr:uid="{00000000-0005-0000-0000-0000B7150000}"/>
    <cellStyle name="20% - Accent3 4 4 2 4" xfId="5653" xr:uid="{00000000-0005-0000-0000-0000B8150000}"/>
    <cellStyle name="20% - Accent3 4 4 2 4 2" xfId="5654" xr:uid="{00000000-0005-0000-0000-0000B9150000}"/>
    <cellStyle name="20% - Accent3 4 4 2 4 3" xfId="5655" xr:uid="{00000000-0005-0000-0000-0000BA150000}"/>
    <cellStyle name="20% - Accent3 4 4 2 5" xfId="5656" xr:uid="{00000000-0005-0000-0000-0000BB150000}"/>
    <cellStyle name="20% - Accent3 4 4 2 6" xfId="5657" xr:uid="{00000000-0005-0000-0000-0000BC150000}"/>
    <cellStyle name="20% - Accent3 4 4 2 7" xfId="5658" xr:uid="{00000000-0005-0000-0000-0000BD150000}"/>
    <cellStyle name="20% - Accent3 4 4 3" xfId="5659" xr:uid="{00000000-0005-0000-0000-0000BE150000}"/>
    <cellStyle name="20% - Accent3 4 4 3 2" xfId="5660" xr:uid="{00000000-0005-0000-0000-0000BF150000}"/>
    <cellStyle name="20% - Accent3 4 4 3 2 2" xfId="5661" xr:uid="{00000000-0005-0000-0000-0000C0150000}"/>
    <cellStyle name="20% - Accent3 4 4 3 2 2 2" xfId="5662" xr:uid="{00000000-0005-0000-0000-0000C1150000}"/>
    <cellStyle name="20% - Accent3 4 4 3 2 2 3" xfId="5663" xr:uid="{00000000-0005-0000-0000-0000C2150000}"/>
    <cellStyle name="20% - Accent3 4 4 3 2 3" xfId="5664" xr:uid="{00000000-0005-0000-0000-0000C3150000}"/>
    <cellStyle name="20% - Accent3 4 4 3 2 4" xfId="5665" xr:uid="{00000000-0005-0000-0000-0000C4150000}"/>
    <cellStyle name="20% - Accent3 4 4 3 3" xfId="5666" xr:uid="{00000000-0005-0000-0000-0000C5150000}"/>
    <cellStyle name="20% - Accent3 4 4 3 3 2" xfId="5667" xr:uid="{00000000-0005-0000-0000-0000C6150000}"/>
    <cellStyle name="20% - Accent3 4 4 3 3 3" xfId="5668" xr:uid="{00000000-0005-0000-0000-0000C7150000}"/>
    <cellStyle name="20% - Accent3 4 4 3 4" xfId="5669" xr:uid="{00000000-0005-0000-0000-0000C8150000}"/>
    <cellStyle name="20% - Accent3 4 4 3 5" xfId="5670" xr:uid="{00000000-0005-0000-0000-0000C9150000}"/>
    <cellStyle name="20% - Accent3 4 4 3 6" xfId="5671" xr:uid="{00000000-0005-0000-0000-0000CA150000}"/>
    <cellStyle name="20% - Accent3 4 4 4" xfId="5672" xr:uid="{00000000-0005-0000-0000-0000CB150000}"/>
    <cellStyle name="20% - Accent3 4 4 4 2" xfId="5673" xr:uid="{00000000-0005-0000-0000-0000CC150000}"/>
    <cellStyle name="20% - Accent3 4 4 4 2 2" xfId="5674" xr:uid="{00000000-0005-0000-0000-0000CD150000}"/>
    <cellStyle name="20% - Accent3 4 4 4 2 3" xfId="5675" xr:uid="{00000000-0005-0000-0000-0000CE150000}"/>
    <cellStyle name="20% - Accent3 4 4 4 3" xfId="5676" xr:uid="{00000000-0005-0000-0000-0000CF150000}"/>
    <cellStyle name="20% - Accent3 4 4 4 4" xfId="5677" xr:uid="{00000000-0005-0000-0000-0000D0150000}"/>
    <cellStyle name="20% - Accent3 4 4 5" xfId="5678" xr:uid="{00000000-0005-0000-0000-0000D1150000}"/>
    <cellStyle name="20% - Accent3 4 4 5 2" xfId="5679" xr:uid="{00000000-0005-0000-0000-0000D2150000}"/>
    <cellStyle name="20% - Accent3 4 4 5 3" xfId="5680" xr:uid="{00000000-0005-0000-0000-0000D3150000}"/>
    <cellStyle name="20% - Accent3 4 4 6" xfId="5681" xr:uid="{00000000-0005-0000-0000-0000D4150000}"/>
    <cellStyle name="20% - Accent3 4 4 7" xfId="5682" xr:uid="{00000000-0005-0000-0000-0000D5150000}"/>
    <cellStyle name="20% - Accent3 4 4 8" xfId="5683" xr:uid="{00000000-0005-0000-0000-0000D6150000}"/>
    <cellStyle name="20% - Accent3 4 5" xfId="5684" xr:uid="{00000000-0005-0000-0000-0000D7150000}"/>
    <cellStyle name="20% - Accent3 4 5 2" xfId="5685" xr:uid="{00000000-0005-0000-0000-0000D8150000}"/>
    <cellStyle name="20% - Accent3 4 5 2 2" xfId="5686" xr:uid="{00000000-0005-0000-0000-0000D9150000}"/>
    <cellStyle name="20% - Accent3 4 5 2 2 2" xfId="5687" xr:uid="{00000000-0005-0000-0000-0000DA150000}"/>
    <cellStyle name="20% - Accent3 4 5 2 2 2 2" xfId="5688" xr:uid="{00000000-0005-0000-0000-0000DB150000}"/>
    <cellStyle name="20% - Accent3 4 5 2 2 2 3" xfId="5689" xr:uid="{00000000-0005-0000-0000-0000DC150000}"/>
    <cellStyle name="20% - Accent3 4 5 2 2 3" xfId="5690" xr:uid="{00000000-0005-0000-0000-0000DD150000}"/>
    <cellStyle name="20% - Accent3 4 5 2 2 4" xfId="5691" xr:uid="{00000000-0005-0000-0000-0000DE150000}"/>
    <cellStyle name="20% - Accent3 4 5 2 3" xfId="5692" xr:uid="{00000000-0005-0000-0000-0000DF150000}"/>
    <cellStyle name="20% - Accent3 4 5 2 3 2" xfId="5693" xr:uid="{00000000-0005-0000-0000-0000E0150000}"/>
    <cellStyle name="20% - Accent3 4 5 2 3 3" xfId="5694" xr:uid="{00000000-0005-0000-0000-0000E1150000}"/>
    <cellStyle name="20% - Accent3 4 5 2 4" xfId="5695" xr:uid="{00000000-0005-0000-0000-0000E2150000}"/>
    <cellStyle name="20% - Accent3 4 5 2 5" xfId="5696" xr:uid="{00000000-0005-0000-0000-0000E3150000}"/>
    <cellStyle name="20% - Accent3 4 5 2 6" xfId="5697" xr:uid="{00000000-0005-0000-0000-0000E4150000}"/>
    <cellStyle name="20% - Accent3 4 5 3" xfId="5698" xr:uid="{00000000-0005-0000-0000-0000E5150000}"/>
    <cellStyle name="20% - Accent3 4 5 3 2" xfId="5699" xr:uid="{00000000-0005-0000-0000-0000E6150000}"/>
    <cellStyle name="20% - Accent3 4 5 3 2 2" xfId="5700" xr:uid="{00000000-0005-0000-0000-0000E7150000}"/>
    <cellStyle name="20% - Accent3 4 5 3 2 3" xfId="5701" xr:uid="{00000000-0005-0000-0000-0000E8150000}"/>
    <cellStyle name="20% - Accent3 4 5 3 3" xfId="5702" xr:uid="{00000000-0005-0000-0000-0000E9150000}"/>
    <cellStyle name="20% - Accent3 4 5 3 4" xfId="5703" xr:uid="{00000000-0005-0000-0000-0000EA150000}"/>
    <cellStyle name="20% - Accent3 4 5 4" xfId="5704" xr:uid="{00000000-0005-0000-0000-0000EB150000}"/>
    <cellStyle name="20% - Accent3 4 5 4 2" xfId="5705" xr:uid="{00000000-0005-0000-0000-0000EC150000}"/>
    <cellStyle name="20% - Accent3 4 5 4 3" xfId="5706" xr:uid="{00000000-0005-0000-0000-0000ED150000}"/>
    <cellStyle name="20% - Accent3 4 5 5" xfId="5707" xr:uid="{00000000-0005-0000-0000-0000EE150000}"/>
    <cellStyle name="20% - Accent3 4 5 6" xfId="5708" xr:uid="{00000000-0005-0000-0000-0000EF150000}"/>
    <cellStyle name="20% - Accent3 4 5 7" xfId="5709" xr:uid="{00000000-0005-0000-0000-0000F0150000}"/>
    <cellStyle name="20% - Accent3 4 6" xfId="5710" xr:uid="{00000000-0005-0000-0000-0000F1150000}"/>
    <cellStyle name="20% - Accent3 4 6 2" xfId="5711" xr:uid="{00000000-0005-0000-0000-0000F2150000}"/>
    <cellStyle name="20% - Accent3 4 6 2 2" xfId="5712" xr:uid="{00000000-0005-0000-0000-0000F3150000}"/>
    <cellStyle name="20% - Accent3 4 6 2 2 2" xfId="5713" xr:uid="{00000000-0005-0000-0000-0000F4150000}"/>
    <cellStyle name="20% - Accent3 4 6 2 2 3" xfId="5714" xr:uid="{00000000-0005-0000-0000-0000F5150000}"/>
    <cellStyle name="20% - Accent3 4 6 2 3" xfId="5715" xr:uid="{00000000-0005-0000-0000-0000F6150000}"/>
    <cellStyle name="20% - Accent3 4 6 2 4" xfId="5716" xr:uid="{00000000-0005-0000-0000-0000F7150000}"/>
    <cellStyle name="20% - Accent3 4 6 3" xfId="5717" xr:uid="{00000000-0005-0000-0000-0000F8150000}"/>
    <cellStyle name="20% - Accent3 4 6 3 2" xfId="5718" xr:uid="{00000000-0005-0000-0000-0000F9150000}"/>
    <cellStyle name="20% - Accent3 4 6 3 3" xfId="5719" xr:uid="{00000000-0005-0000-0000-0000FA150000}"/>
    <cellStyle name="20% - Accent3 4 6 4" xfId="5720" xr:uid="{00000000-0005-0000-0000-0000FB150000}"/>
    <cellStyle name="20% - Accent3 4 6 5" xfId="5721" xr:uid="{00000000-0005-0000-0000-0000FC150000}"/>
    <cellStyle name="20% - Accent3 4 6 6" xfId="5722" xr:uid="{00000000-0005-0000-0000-0000FD150000}"/>
    <cellStyle name="20% - Accent3 4 7" xfId="5723" xr:uid="{00000000-0005-0000-0000-0000FE150000}"/>
    <cellStyle name="20% - Accent3 4 7 2" xfId="5724" xr:uid="{00000000-0005-0000-0000-0000FF150000}"/>
    <cellStyle name="20% - Accent3 4 7 2 2" xfId="5725" xr:uid="{00000000-0005-0000-0000-000000160000}"/>
    <cellStyle name="20% - Accent3 4 7 2 3" xfId="5726" xr:uid="{00000000-0005-0000-0000-000001160000}"/>
    <cellStyle name="20% - Accent3 4 7 3" xfId="5727" xr:uid="{00000000-0005-0000-0000-000002160000}"/>
    <cellStyle name="20% - Accent3 4 7 4" xfId="5728" xr:uid="{00000000-0005-0000-0000-000003160000}"/>
    <cellStyle name="20% - Accent3 4 8" xfId="5729" xr:uid="{00000000-0005-0000-0000-000004160000}"/>
    <cellStyle name="20% - Accent3 4 8 2" xfId="5730" xr:uid="{00000000-0005-0000-0000-000005160000}"/>
    <cellStyle name="20% - Accent3 4 8 3" xfId="5731" xr:uid="{00000000-0005-0000-0000-000006160000}"/>
    <cellStyle name="20% - Accent3 4 9" xfId="5732" xr:uid="{00000000-0005-0000-0000-000007160000}"/>
    <cellStyle name="20% - Accent3 5" xfId="5733" xr:uid="{00000000-0005-0000-0000-000008160000}"/>
    <cellStyle name="20% - Accent3 5 10" xfId="5734" xr:uid="{00000000-0005-0000-0000-000009160000}"/>
    <cellStyle name="20% - Accent3 5 2" xfId="5735" xr:uid="{00000000-0005-0000-0000-00000A160000}"/>
    <cellStyle name="20% - Accent3 5 2 2" xfId="5736" xr:uid="{00000000-0005-0000-0000-00000B160000}"/>
    <cellStyle name="20% - Accent3 5 2 2 2" xfId="5737" xr:uid="{00000000-0005-0000-0000-00000C160000}"/>
    <cellStyle name="20% - Accent3 5 2 2 2 2" xfId="5738" xr:uid="{00000000-0005-0000-0000-00000D160000}"/>
    <cellStyle name="20% - Accent3 5 2 2 2 2 2" xfId="5739" xr:uid="{00000000-0005-0000-0000-00000E160000}"/>
    <cellStyle name="20% - Accent3 5 2 2 2 2 2 2" xfId="5740" xr:uid="{00000000-0005-0000-0000-00000F160000}"/>
    <cellStyle name="20% - Accent3 5 2 2 2 2 2 2 2" xfId="5741" xr:uid="{00000000-0005-0000-0000-000010160000}"/>
    <cellStyle name="20% - Accent3 5 2 2 2 2 2 2 3" xfId="5742" xr:uid="{00000000-0005-0000-0000-000011160000}"/>
    <cellStyle name="20% - Accent3 5 2 2 2 2 2 3" xfId="5743" xr:uid="{00000000-0005-0000-0000-000012160000}"/>
    <cellStyle name="20% - Accent3 5 2 2 2 2 2 4" xfId="5744" xr:uid="{00000000-0005-0000-0000-000013160000}"/>
    <cellStyle name="20% - Accent3 5 2 2 2 2 3" xfId="5745" xr:uid="{00000000-0005-0000-0000-000014160000}"/>
    <cellStyle name="20% - Accent3 5 2 2 2 2 3 2" xfId="5746" xr:uid="{00000000-0005-0000-0000-000015160000}"/>
    <cellStyle name="20% - Accent3 5 2 2 2 2 3 3" xfId="5747" xr:uid="{00000000-0005-0000-0000-000016160000}"/>
    <cellStyle name="20% - Accent3 5 2 2 2 2 4" xfId="5748" xr:uid="{00000000-0005-0000-0000-000017160000}"/>
    <cellStyle name="20% - Accent3 5 2 2 2 2 5" xfId="5749" xr:uid="{00000000-0005-0000-0000-000018160000}"/>
    <cellStyle name="20% - Accent3 5 2 2 2 2 6" xfId="5750" xr:uid="{00000000-0005-0000-0000-000019160000}"/>
    <cellStyle name="20% - Accent3 5 2 2 2 3" xfId="5751" xr:uid="{00000000-0005-0000-0000-00001A160000}"/>
    <cellStyle name="20% - Accent3 5 2 2 2 3 2" xfId="5752" xr:uid="{00000000-0005-0000-0000-00001B160000}"/>
    <cellStyle name="20% - Accent3 5 2 2 2 3 2 2" xfId="5753" xr:uid="{00000000-0005-0000-0000-00001C160000}"/>
    <cellStyle name="20% - Accent3 5 2 2 2 3 2 3" xfId="5754" xr:uid="{00000000-0005-0000-0000-00001D160000}"/>
    <cellStyle name="20% - Accent3 5 2 2 2 3 3" xfId="5755" xr:uid="{00000000-0005-0000-0000-00001E160000}"/>
    <cellStyle name="20% - Accent3 5 2 2 2 3 4" xfId="5756" xr:uid="{00000000-0005-0000-0000-00001F160000}"/>
    <cellStyle name="20% - Accent3 5 2 2 2 4" xfId="5757" xr:uid="{00000000-0005-0000-0000-000020160000}"/>
    <cellStyle name="20% - Accent3 5 2 2 2 4 2" xfId="5758" xr:uid="{00000000-0005-0000-0000-000021160000}"/>
    <cellStyle name="20% - Accent3 5 2 2 2 4 3" xfId="5759" xr:uid="{00000000-0005-0000-0000-000022160000}"/>
    <cellStyle name="20% - Accent3 5 2 2 2 5" xfId="5760" xr:uid="{00000000-0005-0000-0000-000023160000}"/>
    <cellStyle name="20% - Accent3 5 2 2 2 6" xfId="5761" xr:uid="{00000000-0005-0000-0000-000024160000}"/>
    <cellStyle name="20% - Accent3 5 2 2 2 7" xfId="5762" xr:uid="{00000000-0005-0000-0000-000025160000}"/>
    <cellStyle name="20% - Accent3 5 2 2 3" xfId="5763" xr:uid="{00000000-0005-0000-0000-000026160000}"/>
    <cellStyle name="20% - Accent3 5 2 2 3 2" xfId="5764" xr:uid="{00000000-0005-0000-0000-000027160000}"/>
    <cellStyle name="20% - Accent3 5 2 2 3 2 2" xfId="5765" xr:uid="{00000000-0005-0000-0000-000028160000}"/>
    <cellStyle name="20% - Accent3 5 2 2 3 2 2 2" xfId="5766" xr:uid="{00000000-0005-0000-0000-000029160000}"/>
    <cellStyle name="20% - Accent3 5 2 2 3 2 2 3" xfId="5767" xr:uid="{00000000-0005-0000-0000-00002A160000}"/>
    <cellStyle name="20% - Accent3 5 2 2 3 2 3" xfId="5768" xr:uid="{00000000-0005-0000-0000-00002B160000}"/>
    <cellStyle name="20% - Accent3 5 2 2 3 2 4" xfId="5769" xr:uid="{00000000-0005-0000-0000-00002C160000}"/>
    <cellStyle name="20% - Accent3 5 2 2 3 3" xfId="5770" xr:uid="{00000000-0005-0000-0000-00002D160000}"/>
    <cellStyle name="20% - Accent3 5 2 2 3 3 2" xfId="5771" xr:uid="{00000000-0005-0000-0000-00002E160000}"/>
    <cellStyle name="20% - Accent3 5 2 2 3 3 3" xfId="5772" xr:uid="{00000000-0005-0000-0000-00002F160000}"/>
    <cellStyle name="20% - Accent3 5 2 2 3 4" xfId="5773" xr:uid="{00000000-0005-0000-0000-000030160000}"/>
    <cellStyle name="20% - Accent3 5 2 2 3 5" xfId="5774" xr:uid="{00000000-0005-0000-0000-000031160000}"/>
    <cellStyle name="20% - Accent3 5 2 2 3 6" xfId="5775" xr:uid="{00000000-0005-0000-0000-000032160000}"/>
    <cellStyle name="20% - Accent3 5 2 2 4" xfId="5776" xr:uid="{00000000-0005-0000-0000-000033160000}"/>
    <cellStyle name="20% - Accent3 5 2 2 4 2" xfId="5777" xr:uid="{00000000-0005-0000-0000-000034160000}"/>
    <cellStyle name="20% - Accent3 5 2 2 4 2 2" xfId="5778" xr:uid="{00000000-0005-0000-0000-000035160000}"/>
    <cellStyle name="20% - Accent3 5 2 2 4 2 3" xfId="5779" xr:uid="{00000000-0005-0000-0000-000036160000}"/>
    <cellStyle name="20% - Accent3 5 2 2 4 3" xfId="5780" xr:uid="{00000000-0005-0000-0000-000037160000}"/>
    <cellStyle name="20% - Accent3 5 2 2 4 4" xfId="5781" xr:uid="{00000000-0005-0000-0000-000038160000}"/>
    <cellStyle name="20% - Accent3 5 2 2 5" xfId="5782" xr:uid="{00000000-0005-0000-0000-000039160000}"/>
    <cellStyle name="20% - Accent3 5 2 2 5 2" xfId="5783" xr:uid="{00000000-0005-0000-0000-00003A160000}"/>
    <cellStyle name="20% - Accent3 5 2 2 5 3" xfId="5784" xr:uid="{00000000-0005-0000-0000-00003B160000}"/>
    <cellStyle name="20% - Accent3 5 2 2 6" xfId="5785" xr:uid="{00000000-0005-0000-0000-00003C160000}"/>
    <cellStyle name="20% - Accent3 5 2 2 7" xfId="5786" xr:uid="{00000000-0005-0000-0000-00003D160000}"/>
    <cellStyle name="20% - Accent3 5 2 2 8" xfId="5787" xr:uid="{00000000-0005-0000-0000-00003E160000}"/>
    <cellStyle name="20% - Accent3 5 2 3" xfId="5788" xr:uid="{00000000-0005-0000-0000-00003F160000}"/>
    <cellStyle name="20% - Accent3 5 2 3 2" xfId="5789" xr:uid="{00000000-0005-0000-0000-000040160000}"/>
    <cellStyle name="20% - Accent3 5 2 3 2 2" xfId="5790" xr:uid="{00000000-0005-0000-0000-000041160000}"/>
    <cellStyle name="20% - Accent3 5 2 3 2 2 2" xfId="5791" xr:uid="{00000000-0005-0000-0000-000042160000}"/>
    <cellStyle name="20% - Accent3 5 2 3 2 2 2 2" xfId="5792" xr:uid="{00000000-0005-0000-0000-000043160000}"/>
    <cellStyle name="20% - Accent3 5 2 3 2 2 2 3" xfId="5793" xr:uid="{00000000-0005-0000-0000-000044160000}"/>
    <cellStyle name="20% - Accent3 5 2 3 2 2 3" xfId="5794" xr:uid="{00000000-0005-0000-0000-000045160000}"/>
    <cellStyle name="20% - Accent3 5 2 3 2 2 4" xfId="5795" xr:uid="{00000000-0005-0000-0000-000046160000}"/>
    <cellStyle name="20% - Accent3 5 2 3 2 3" xfId="5796" xr:uid="{00000000-0005-0000-0000-000047160000}"/>
    <cellStyle name="20% - Accent3 5 2 3 2 3 2" xfId="5797" xr:uid="{00000000-0005-0000-0000-000048160000}"/>
    <cellStyle name="20% - Accent3 5 2 3 2 3 3" xfId="5798" xr:uid="{00000000-0005-0000-0000-000049160000}"/>
    <cellStyle name="20% - Accent3 5 2 3 2 4" xfId="5799" xr:uid="{00000000-0005-0000-0000-00004A160000}"/>
    <cellStyle name="20% - Accent3 5 2 3 2 5" xfId="5800" xr:uid="{00000000-0005-0000-0000-00004B160000}"/>
    <cellStyle name="20% - Accent3 5 2 3 2 6" xfId="5801" xr:uid="{00000000-0005-0000-0000-00004C160000}"/>
    <cellStyle name="20% - Accent3 5 2 3 3" xfId="5802" xr:uid="{00000000-0005-0000-0000-00004D160000}"/>
    <cellStyle name="20% - Accent3 5 2 3 3 2" xfId="5803" xr:uid="{00000000-0005-0000-0000-00004E160000}"/>
    <cellStyle name="20% - Accent3 5 2 3 3 2 2" xfId="5804" xr:uid="{00000000-0005-0000-0000-00004F160000}"/>
    <cellStyle name="20% - Accent3 5 2 3 3 2 3" xfId="5805" xr:uid="{00000000-0005-0000-0000-000050160000}"/>
    <cellStyle name="20% - Accent3 5 2 3 3 3" xfId="5806" xr:uid="{00000000-0005-0000-0000-000051160000}"/>
    <cellStyle name="20% - Accent3 5 2 3 3 4" xfId="5807" xr:uid="{00000000-0005-0000-0000-000052160000}"/>
    <cellStyle name="20% - Accent3 5 2 3 4" xfId="5808" xr:uid="{00000000-0005-0000-0000-000053160000}"/>
    <cellStyle name="20% - Accent3 5 2 3 4 2" xfId="5809" xr:uid="{00000000-0005-0000-0000-000054160000}"/>
    <cellStyle name="20% - Accent3 5 2 3 4 3" xfId="5810" xr:uid="{00000000-0005-0000-0000-000055160000}"/>
    <cellStyle name="20% - Accent3 5 2 3 5" xfId="5811" xr:uid="{00000000-0005-0000-0000-000056160000}"/>
    <cellStyle name="20% - Accent3 5 2 3 6" xfId="5812" xr:uid="{00000000-0005-0000-0000-000057160000}"/>
    <cellStyle name="20% - Accent3 5 2 3 7" xfId="5813" xr:uid="{00000000-0005-0000-0000-000058160000}"/>
    <cellStyle name="20% - Accent3 5 2 4" xfId="5814" xr:uid="{00000000-0005-0000-0000-000059160000}"/>
    <cellStyle name="20% - Accent3 5 2 4 2" xfId="5815" xr:uid="{00000000-0005-0000-0000-00005A160000}"/>
    <cellStyle name="20% - Accent3 5 2 4 2 2" xfId="5816" xr:uid="{00000000-0005-0000-0000-00005B160000}"/>
    <cellStyle name="20% - Accent3 5 2 4 2 2 2" xfId="5817" xr:uid="{00000000-0005-0000-0000-00005C160000}"/>
    <cellStyle name="20% - Accent3 5 2 4 2 2 3" xfId="5818" xr:uid="{00000000-0005-0000-0000-00005D160000}"/>
    <cellStyle name="20% - Accent3 5 2 4 2 3" xfId="5819" xr:uid="{00000000-0005-0000-0000-00005E160000}"/>
    <cellStyle name="20% - Accent3 5 2 4 2 4" xfId="5820" xr:uid="{00000000-0005-0000-0000-00005F160000}"/>
    <cellStyle name="20% - Accent3 5 2 4 3" xfId="5821" xr:uid="{00000000-0005-0000-0000-000060160000}"/>
    <cellStyle name="20% - Accent3 5 2 4 3 2" xfId="5822" xr:uid="{00000000-0005-0000-0000-000061160000}"/>
    <cellStyle name="20% - Accent3 5 2 4 3 3" xfId="5823" xr:uid="{00000000-0005-0000-0000-000062160000}"/>
    <cellStyle name="20% - Accent3 5 2 4 4" xfId="5824" xr:uid="{00000000-0005-0000-0000-000063160000}"/>
    <cellStyle name="20% - Accent3 5 2 4 5" xfId="5825" xr:uid="{00000000-0005-0000-0000-000064160000}"/>
    <cellStyle name="20% - Accent3 5 2 4 6" xfId="5826" xr:uid="{00000000-0005-0000-0000-000065160000}"/>
    <cellStyle name="20% - Accent3 5 2 5" xfId="5827" xr:uid="{00000000-0005-0000-0000-000066160000}"/>
    <cellStyle name="20% - Accent3 5 2 5 2" xfId="5828" xr:uid="{00000000-0005-0000-0000-000067160000}"/>
    <cellStyle name="20% - Accent3 5 2 5 2 2" xfId="5829" xr:uid="{00000000-0005-0000-0000-000068160000}"/>
    <cellStyle name="20% - Accent3 5 2 5 2 3" xfId="5830" xr:uid="{00000000-0005-0000-0000-000069160000}"/>
    <cellStyle name="20% - Accent3 5 2 5 3" xfId="5831" xr:uid="{00000000-0005-0000-0000-00006A160000}"/>
    <cellStyle name="20% - Accent3 5 2 5 4" xfId="5832" xr:uid="{00000000-0005-0000-0000-00006B160000}"/>
    <cellStyle name="20% - Accent3 5 2 6" xfId="5833" xr:uid="{00000000-0005-0000-0000-00006C160000}"/>
    <cellStyle name="20% - Accent3 5 2 6 2" xfId="5834" xr:uid="{00000000-0005-0000-0000-00006D160000}"/>
    <cellStyle name="20% - Accent3 5 2 6 3" xfId="5835" xr:uid="{00000000-0005-0000-0000-00006E160000}"/>
    <cellStyle name="20% - Accent3 5 2 7" xfId="5836" xr:uid="{00000000-0005-0000-0000-00006F160000}"/>
    <cellStyle name="20% - Accent3 5 2 8" xfId="5837" xr:uid="{00000000-0005-0000-0000-000070160000}"/>
    <cellStyle name="20% - Accent3 5 2 9" xfId="5838" xr:uid="{00000000-0005-0000-0000-000071160000}"/>
    <cellStyle name="20% - Accent3 5 3" xfId="5839" xr:uid="{00000000-0005-0000-0000-000072160000}"/>
    <cellStyle name="20% - Accent3 5 3 2" xfId="5840" xr:uid="{00000000-0005-0000-0000-000073160000}"/>
    <cellStyle name="20% - Accent3 5 3 2 2" xfId="5841" xr:uid="{00000000-0005-0000-0000-000074160000}"/>
    <cellStyle name="20% - Accent3 5 3 2 2 2" xfId="5842" xr:uid="{00000000-0005-0000-0000-000075160000}"/>
    <cellStyle name="20% - Accent3 5 3 2 2 2 2" xfId="5843" xr:uid="{00000000-0005-0000-0000-000076160000}"/>
    <cellStyle name="20% - Accent3 5 3 2 2 2 2 2" xfId="5844" xr:uid="{00000000-0005-0000-0000-000077160000}"/>
    <cellStyle name="20% - Accent3 5 3 2 2 2 2 3" xfId="5845" xr:uid="{00000000-0005-0000-0000-000078160000}"/>
    <cellStyle name="20% - Accent3 5 3 2 2 2 3" xfId="5846" xr:uid="{00000000-0005-0000-0000-000079160000}"/>
    <cellStyle name="20% - Accent3 5 3 2 2 2 4" xfId="5847" xr:uid="{00000000-0005-0000-0000-00007A160000}"/>
    <cellStyle name="20% - Accent3 5 3 2 2 3" xfId="5848" xr:uid="{00000000-0005-0000-0000-00007B160000}"/>
    <cellStyle name="20% - Accent3 5 3 2 2 3 2" xfId="5849" xr:uid="{00000000-0005-0000-0000-00007C160000}"/>
    <cellStyle name="20% - Accent3 5 3 2 2 3 3" xfId="5850" xr:uid="{00000000-0005-0000-0000-00007D160000}"/>
    <cellStyle name="20% - Accent3 5 3 2 2 4" xfId="5851" xr:uid="{00000000-0005-0000-0000-00007E160000}"/>
    <cellStyle name="20% - Accent3 5 3 2 2 5" xfId="5852" xr:uid="{00000000-0005-0000-0000-00007F160000}"/>
    <cellStyle name="20% - Accent3 5 3 2 2 6" xfId="5853" xr:uid="{00000000-0005-0000-0000-000080160000}"/>
    <cellStyle name="20% - Accent3 5 3 2 3" xfId="5854" xr:uid="{00000000-0005-0000-0000-000081160000}"/>
    <cellStyle name="20% - Accent3 5 3 2 3 2" xfId="5855" xr:uid="{00000000-0005-0000-0000-000082160000}"/>
    <cellStyle name="20% - Accent3 5 3 2 3 2 2" xfId="5856" xr:uid="{00000000-0005-0000-0000-000083160000}"/>
    <cellStyle name="20% - Accent3 5 3 2 3 2 3" xfId="5857" xr:uid="{00000000-0005-0000-0000-000084160000}"/>
    <cellStyle name="20% - Accent3 5 3 2 3 3" xfId="5858" xr:uid="{00000000-0005-0000-0000-000085160000}"/>
    <cellStyle name="20% - Accent3 5 3 2 3 4" xfId="5859" xr:uid="{00000000-0005-0000-0000-000086160000}"/>
    <cellStyle name="20% - Accent3 5 3 2 4" xfId="5860" xr:uid="{00000000-0005-0000-0000-000087160000}"/>
    <cellStyle name="20% - Accent3 5 3 2 4 2" xfId="5861" xr:uid="{00000000-0005-0000-0000-000088160000}"/>
    <cellStyle name="20% - Accent3 5 3 2 4 3" xfId="5862" xr:uid="{00000000-0005-0000-0000-000089160000}"/>
    <cellStyle name="20% - Accent3 5 3 2 5" xfId="5863" xr:uid="{00000000-0005-0000-0000-00008A160000}"/>
    <cellStyle name="20% - Accent3 5 3 2 6" xfId="5864" xr:uid="{00000000-0005-0000-0000-00008B160000}"/>
    <cellStyle name="20% - Accent3 5 3 2 7" xfId="5865" xr:uid="{00000000-0005-0000-0000-00008C160000}"/>
    <cellStyle name="20% - Accent3 5 3 3" xfId="5866" xr:uid="{00000000-0005-0000-0000-00008D160000}"/>
    <cellStyle name="20% - Accent3 5 3 3 2" xfId="5867" xr:uid="{00000000-0005-0000-0000-00008E160000}"/>
    <cellStyle name="20% - Accent3 5 3 3 2 2" xfId="5868" xr:uid="{00000000-0005-0000-0000-00008F160000}"/>
    <cellStyle name="20% - Accent3 5 3 3 2 2 2" xfId="5869" xr:uid="{00000000-0005-0000-0000-000090160000}"/>
    <cellStyle name="20% - Accent3 5 3 3 2 2 3" xfId="5870" xr:uid="{00000000-0005-0000-0000-000091160000}"/>
    <cellStyle name="20% - Accent3 5 3 3 2 3" xfId="5871" xr:uid="{00000000-0005-0000-0000-000092160000}"/>
    <cellStyle name="20% - Accent3 5 3 3 2 4" xfId="5872" xr:uid="{00000000-0005-0000-0000-000093160000}"/>
    <cellStyle name="20% - Accent3 5 3 3 3" xfId="5873" xr:uid="{00000000-0005-0000-0000-000094160000}"/>
    <cellStyle name="20% - Accent3 5 3 3 3 2" xfId="5874" xr:uid="{00000000-0005-0000-0000-000095160000}"/>
    <cellStyle name="20% - Accent3 5 3 3 3 3" xfId="5875" xr:uid="{00000000-0005-0000-0000-000096160000}"/>
    <cellStyle name="20% - Accent3 5 3 3 4" xfId="5876" xr:uid="{00000000-0005-0000-0000-000097160000}"/>
    <cellStyle name="20% - Accent3 5 3 3 5" xfId="5877" xr:uid="{00000000-0005-0000-0000-000098160000}"/>
    <cellStyle name="20% - Accent3 5 3 3 6" xfId="5878" xr:uid="{00000000-0005-0000-0000-000099160000}"/>
    <cellStyle name="20% - Accent3 5 3 4" xfId="5879" xr:uid="{00000000-0005-0000-0000-00009A160000}"/>
    <cellStyle name="20% - Accent3 5 3 4 2" xfId="5880" xr:uid="{00000000-0005-0000-0000-00009B160000}"/>
    <cellStyle name="20% - Accent3 5 3 4 2 2" xfId="5881" xr:uid="{00000000-0005-0000-0000-00009C160000}"/>
    <cellStyle name="20% - Accent3 5 3 4 2 3" xfId="5882" xr:uid="{00000000-0005-0000-0000-00009D160000}"/>
    <cellStyle name="20% - Accent3 5 3 4 3" xfId="5883" xr:uid="{00000000-0005-0000-0000-00009E160000}"/>
    <cellStyle name="20% - Accent3 5 3 4 4" xfId="5884" xr:uid="{00000000-0005-0000-0000-00009F160000}"/>
    <cellStyle name="20% - Accent3 5 3 5" xfId="5885" xr:uid="{00000000-0005-0000-0000-0000A0160000}"/>
    <cellStyle name="20% - Accent3 5 3 5 2" xfId="5886" xr:uid="{00000000-0005-0000-0000-0000A1160000}"/>
    <cellStyle name="20% - Accent3 5 3 5 3" xfId="5887" xr:uid="{00000000-0005-0000-0000-0000A2160000}"/>
    <cellStyle name="20% - Accent3 5 3 6" xfId="5888" xr:uid="{00000000-0005-0000-0000-0000A3160000}"/>
    <cellStyle name="20% - Accent3 5 3 7" xfId="5889" xr:uid="{00000000-0005-0000-0000-0000A4160000}"/>
    <cellStyle name="20% - Accent3 5 3 8" xfId="5890" xr:uid="{00000000-0005-0000-0000-0000A5160000}"/>
    <cellStyle name="20% - Accent3 5 4" xfId="5891" xr:uid="{00000000-0005-0000-0000-0000A6160000}"/>
    <cellStyle name="20% - Accent3 5 4 2" xfId="5892" xr:uid="{00000000-0005-0000-0000-0000A7160000}"/>
    <cellStyle name="20% - Accent3 5 4 2 2" xfId="5893" xr:uid="{00000000-0005-0000-0000-0000A8160000}"/>
    <cellStyle name="20% - Accent3 5 4 2 2 2" xfId="5894" xr:uid="{00000000-0005-0000-0000-0000A9160000}"/>
    <cellStyle name="20% - Accent3 5 4 2 2 2 2" xfId="5895" xr:uid="{00000000-0005-0000-0000-0000AA160000}"/>
    <cellStyle name="20% - Accent3 5 4 2 2 2 3" xfId="5896" xr:uid="{00000000-0005-0000-0000-0000AB160000}"/>
    <cellStyle name="20% - Accent3 5 4 2 2 3" xfId="5897" xr:uid="{00000000-0005-0000-0000-0000AC160000}"/>
    <cellStyle name="20% - Accent3 5 4 2 2 4" xfId="5898" xr:uid="{00000000-0005-0000-0000-0000AD160000}"/>
    <cellStyle name="20% - Accent3 5 4 2 3" xfId="5899" xr:uid="{00000000-0005-0000-0000-0000AE160000}"/>
    <cellStyle name="20% - Accent3 5 4 2 3 2" xfId="5900" xr:uid="{00000000-0005-0000-0000-0000AF160000}"/>
    <cellStyle name="20% - Accent3 5 4 2 3 3" xfId="5901" xr:uid="{00000000-0005-0000-0000-0000B0160000}"/>
    <cellStyle name="20% - Accent3 5 4 2 4" xfId="5902" xr:uid="{00000000-0005-0000-0000-0000B1160000}"/>
    <cellStyle name="20% - Accent3 5 4 2 5" xfId="5903" xr:uid="{00000000-0005-0000-0000-0000B2160000}"/>
    <cellStyle name="20% - Accent3 5 4 2 6" xfId="5904" xr:uid="{00000000-0005-0000-0000-0000B3160000}"/>
    <cellStyle name="20% - Accent3 5 4 3" xfId="5905" xr:uid="{00000000-0005-0000-0000-0000B4160000}"/>
    <cellStyle name="20% - Accent3 5 4 3 2" xfId="5906" xr:uid="{00000000-0005-0000-0000-0000B5160000}"/>
    <cellStyle name="20% - Accent3 5 4 3 2 2" xfId="5907" xr:uid="{00000000-0005-0000-0000-0000B6160000}"/>
    <cellStyle name="20% - Accent3 5 4 3 2 3" xfId="5908" xr:uid="{00000000-0005-0000-0000-0000B7160000}"/>
    <cellStyle name="20% - Accent3 5 4 3 3" xfId="5909" xr:uid="{00000000-0005-0000-0000-0000B8160000}"/>
    <cellStyle name="20% - Accent3 5 4 3 4" xfId="5910" xr:uid="{00000000-0005-0000-0000-0000B9160000}"/>
    <cellStyle name="20% - Accent3 5 4 4" xfId="5911" xr:uid="{00000000-0005-0000-0000-0000BA160000}"/>
    <cellStyle name="20% - Accent3 5 4 4 2" xfId="5912" xr:uid="{00000000-0005-0000-0000-0000BB160000}"/>
    <cellStyle name="20% - Accent3 5 4 4 3" xfId="5913" xr:uid="{00000000-0005-0000-0000-0000BC160000}"/>
    <cellStyle name="20% - Accent3 5 4 5" xfId="5914" xr:uid="{00000000-0005-0000-0000-0000BD160000}"/>
    <cellStyle name="20% - Accent3 5 4 6" xfId="5915" xr:uid="{00000000-0005-0000-0000-0000BE160000}"/>
    <cellStyle name="20% - Accent3 5 4 7" xfId="5916" xr:uid="{00000000-0005-0000-0000-0000BF160000}"/>
    <cellStyle name="20% - Accent3 5 5" xfId="5917" xr:uid="{00000000-0005-0000-0000-0000C0160000}"/>
    <cellStyle name="20% - Accent3 5 5 2" xfId="5918" xr:uid="{00000000-0005-0000-0000-0000C1160000}"/>
    <cellStyle name="20% - Accent3 5 5 2 2" xfId="5919" xr:uid="{00000000-0005-0000-0000-0000C2160000}"/>
    <cellStyle name="20% - Accent3 5 5 2 2 2" xfId="5920" xr:uid="{00000000-0005-0000-0000-0000C3160000}"/>
    <cellStyle name="20% - Accent3 5 5 2 2 3" xfId="5921" xr:uid="{00000000-0005-0000-0000-0000C4160000}"/>
    <cellStyle name="20% - Accent3 5 5 2 3" xfId="5922" xr:uid="{00000000-0005-0000-0000-0000C5160000}"/>
    <cellStyle name="20% - Accent3 5 5 2 4" xfId="5923" xr:uid="{00000000-0005-0000-0000-0000C6160000}"/>
    <cellStyle name="20% - Accent3 5 5 3" xfId="5924" xr:uid="{00000000-0005-0000-0000-0000C7160000}"/>
    <cellStyle name="20% - Accent3 5 5 3 2" xfId="5925" xr:uid="{00000000-0005-0000-0000-0000C8160000}"/>
    <cellStyle name="20% - Accent3 5 5 3 3" xfId="5926" xr:uid="{00000000-0005-0000-0000-0000C9160000}"/>
    <cellStyle name="20% - Accent3 5 5 4" xfId="5927" xr:uid="{00000000-0005-0000-0000-0000CA160000}"/>
    <cellStyle name="20% - Accent3 5 5 5" xfId="5928" xr:uid="{00000000-0005-0000-0000-0000CB160000}"/>
    <cellStyle name="20% - Accent3 5 5 6" xfId="5929" xr:uid="{00000000-0005-0000-0000-0000CC160000}"/>
    <cellStyle name="20% - Accent3 5 6" xfId="5930" xr:uid="{00000000-0005-0000-0000-0000CD160000}"/>
    <cellStyle name="20% - Accent3 5 6 2" xfId="5931" xr:uid="{00000000-0005-0000-0000-0000CE160000}"/>
    <cellStyle name="20% - Accent3 5 6 2 2" xfId="5932" xr:uid="{00000000-0005-0000-0000-0000CF160000}"/>
    <cellStyle name="20% - Accent3 5 6 2 3" xfId="5933" xr:uid="{00000000-0005-0000-0000-0000D0160000}"/>
    <cellStyle name="20% - Accent3 5 6 3" xfId="5934" xr:uid="{00000000-0005-0000-0000-0000D1160000}"/>
    <cellStyle name="20% - Accent3 5 6 4" xfId="5935" xr:uid="{00000000-0005-0000-0000-0000D2160000}"/>
    <cellStyle name="20% - Accent3 5 7" xfId="5936" xr:uid="{00000000-0005-0000-0000-0000D3160000}"/>
    <cellStyle name="20% - Accent3 5 7 2" xfId="5937" xr:uid="{00000000-0005-0000-0000-0000D4160000}"/>
    <cellStyle name="20% - Accent3 5 7 3" xfId="5938" xr:uid="{00000000-0005-0000-0000-0000D5160000}"/>
    <cellStyle name="20% - Accent3 5 8" xfId="5939" xr:uid="{00000000-0005-0000-0000-0000D6160000}"/>
    <cellStyle name="20% - Accent3 5 9" xfId="5940" xr:uid="{00000000-0005-0000-0000-0000D7160000}"/>
    <cellStyle name="20% - Accent3 6" xfId="5941" xr:uid="{00000000-0005-0000-0000-0000D8160000}"/>
    <cellStyle name="20% - Accent3 6 2" xfId="5942" xr:uid="{00000000-0005-0000-0000-0000D9160000}"/>
    <cellStyle name="20% - Accent3 6 2 2" xfId="5943" xr:uid="{00000000-0005-0000-0000-0000DA160000}"/>
    <cellStyle name="20% - Accent3 6 2 2 2" xfId="5944" xr:uid="{00000000-0005-0000-0000-0000DB160000}"/>
    <cellStyle name="20% - Accent3 6 2 2 2 2" xfId="5945" xr:uid="{00000000-0005-0000-0000-0000DC160000}"/>
    <cellStyle name="20% - Accent3 6 2 2 2 2 2" xfId="5946" xr:uid="{00000000-0005-0000-0000-0000DD160000}"/>
    <cellStyle name="20% - Accent3 6 2 2 2 2 2 2" xfId="5947" xr:uid="{00000000-0005-0000-0000-0000DE160000}"/>
    <cellStyle name="20% - Accent3 6 2 2 2 2 2 3" xfId="5948" xr:uid="{00000000-0005-0000-0000-0000DF160000}"/>
    <cellStyle name="20% - Accent3 6 2 2 2 2 3" xfId="5949" xr:uid="{00000000-0005-0000-0000-0000E0160000}"/>
    <cellStyle name="20% - Accent3 6 2 2 2 2 4" xfId="5950" xr:uid="{00000000-0005-0000-0000-0000E1160000}"/>
    <cellStyle name="20% - Accent3 6 2 2 2 3" xfId="5951" xr:uid="{00000000-0005-0000-0000-0000E2160000}"/>
    <cellStyle name="20% - Accent3 6 2 2 2 3 2" xfId="5952" xr:uid="{00000000-0005-0000-0000-0000E3160000}"/>
    <cellStyle name="20% - Accent3 6 2 2 2 3 3" xfId="5953" xr:uid="{00000000-0005-0000-0000-0000E4160000}"/>
    <cellStyle name="20% - Accent3 6 2 2 2 4" xfId="5954" xr:uid="{00000000-0005-0000-0000-0000E5160000}"/>
    <cellStyle name="20% - Accent3 6 2 2 2 5" xfId="5955" xr:uid="{00000000-0005-0000-0000-0000E6160000}"/>
    <cellStyle name="20% - Accent3 6 2 2 2 6" xfId="5956" xr:uid="{00000000-0005-0000-0000-0000E7160000}"/>
    <cellStyle name="20% - Accent3 6 2 2 3" xfId="5957" xr:uid="{00000000-0005-0000-0000-0000E8160000}"/>
    <cellStyle name="20% - Accent3 6 2 2 3 2" xfId="5958" xr:uid="{00000000-0005-0000-0000-0000E9160000}"/>
    <cellStyle name="20% - Accent3 6 2 2 3 2 2" xfId="5959" xr:uid="{00000000-0005-0000-0000-0000EA160000}"/>
    <cellStyle name="20% - Accent3 6 2 2 3 2 3" xfId="5960" xr:uid="{00000000-0005-0000-0000-0000EB160000}"/>
    <cellStyle name="20% - Accent3 6 2 2 3 3" xfId="5961" xr:uid="{00000000-0005-0000-0000-0000EC160000}"/>
    <cellStyle name="20% - Accent3 6 2 2 3 4" xfId="5962" xr:uid="{00000000-0005-0000-0000-0000ED160000}"/>
    <cellStyle name="20% - Accent3 6 2 2 4" xfId="5963" xr:uid="{00000000-0005-0000-0000-0000EE160000}"/>
    <cellStyle name="20% - Accent3 6 2 2 4 2" xfId="5964" xr:uid="{00000000-0005-0000-0000-0000EF160000}"/>
    <cellStyle name="20% - Accent3 6 2 2 4 3" xfId="5965" xr:uid="{00000000-0005-0000-0000-0000F0160000}"/>
    <cellStyle name="20% - Accent3 6 2 2 5" xfId="5966" xr:uid="{00000000-0005-0000-0000-0000F1160000}"/>
    <cellStyle name="20% - Accent3 6 2 2 6" xfId="5967" xr:uid="{00000000-0005-0000-0000-0000F2160000}"/>
    <cellStyle name="20% - Accent3 6 2 2 7" xfId="5968" xr:uid="{00000000-0005-0000-0000-0000F3160000}"/>
    <cellStyle name="20% - Accent3 6 2 3" xfId="5969" xr:uid="{00000000-0005-0000-0000-0000F4160000}"/>
    <cellStyle name="20% - Accent3 6 2 3 2" xfId="5970" xr:uid="{00000000-0005-0000-0000-0000F5160000}"/>
    <cellStyle name="20% - Accent3 6 2 3 2 2" xfId="5971" xr:uid="{00000000-0005-0000-0000-0000F6160000}"/>
    <cellStyle name="20% - Accent3 6 2 3 2 2 2" xfId="5972" xr:uid="{00000000-0005-0000-0000-0000F7160000}"/>
    <cellStyle name="20% - Accent3 6 2 3 2 2 3" xfId="5973" xr:uid="{00000000-0005-0000-0000-0000F8160000}"/>
    <cellStyle name="20% - Accent3 6 2 3 2 3" xfId="5974" xr:uid="{00000000-0005-0000-0000-0000F9160000}"/>
    <cellStyle name="20% - Accent3 6 2 3 2 4" xfId="5975" xr:uid="{00000000-0005-0000-0000-0000FA160000}"/>
    <cellStyle name="20% - Accent3 6 2 3 3" xfId="5976" xr:uid="{00000000-0005-0000-0000-0000FB160000}"/>
    <cellStyle name="20% - Accent3 6 2 3 3 2" xfId="5977" xr:uid="{00000000-0005-0000-0000-0000FC160000}"/>
    <cellStyle name="20% - Accent3 6 2 3 3 3" xfId="5978" xr:uid="{00000000-0005-0000-0000-0000FD160000}"/>
    <cellStyle name="20% - Accent3 6 2 3 4" xfId="5979" xr:uid="{00000000-0005-0000-0000-0000FE160000}"/>
    <cellStyle name="20% - Accent3 6 2 3 5" xfId="5980" xr:uid="{00000000-0005-0000-0000-0000FF160000}"/>
    <cellStyle name="20% - Accent3 6 2 3 6" xfId="5981" xr:uid="{00000000-0005-0000-0000-000000170000}"/>
    <cellStyle name="20% - Accent3 6 2 4" xfId="5982" xr:uid="{00000000-0005-0000-0000-000001170000}"/>
    <cellStyle name="20% - Accent3 6 2 4 2" xfId="5983" xr:uid="{00000000-0005-0000-0000-000002170000}"/>
    <cellStyle name="20% - Accent3 6 2 4 2 2" xfId="5984" xr:uid="{00000000-0005-0000-0000-000003170000}"/>
    <cellStyle name="20% - Accent3 6 2 4 2 3" xfId="5985" xr:uid="{00000000-0005-0000-0000-000004170000}"/>
    <cellStyle name="20% - Accent3 6 2 4 3" xfId="5986" xr:uid="{00000000-0005-0000-0000-000005170000}"/>
    <cellStyle name="20% - Accent3 6 2 4 4" xfId="5987" xr:uid="{00000000-0005-0000-0000-000006170000}"/>
    <cellStyle name="20% - Accent3 6 2 5" xfId="5988" xr:uid="{00000000-0005-0000-0000-000007170000}"/>
    <cellStyle name="20% - Accent3 6 2 5 2" xfId="5989" xr:uid="{00000000-0005-0000-0000-000008170000}"/>
    <cellStyle name="20% - Accent3 6 2 5 3" xfId="5990" xr:uid="{00000000-0005-0000-0000-000009170000}"/>
    <cellStyle name="20% - Accent3 6 2 6" xfId="5991" xr:uid="{00000000-0005-0000-0000-00000A170000}"/>
    <cellStyle name="20% - Accent3 6 2 7" xfId="5992" xr:uid="{00000000-0005-0000-0000-00000B170000}"/>
    <cellStyle name="20% - Accent3 6 2 8" xfId="5993" xr:uid="{00000000-0005-0000-0000-00000C170000}"/>
    <cellStyle name="20% - Accent3 6 3" xfId="5994" xr:uid="{00000000-0005-0000-0000-00000D170000}"/>
    <cellStyle name="20% - Accent3 6 3 2" xfId="5995" xr:uid="{00000000-0005-0000-0000-00000E170000}"/>
    <cellStyle name="20% - Accent3 6 3 2 2" xfId="5996" xr:uid="{00000000-0005-0000-0000-00000F170000}"/>
    <cellStyle name="20% - Accent3 6 3 2 2 2" xfId="5997" xr:uid="{00000000-0005-0000-0000-000010170000}"/>
    <cellStyle name="20% - Accent3 6 3 2 2 2 2" xfId="5998" xr:uid="{00000000-0005-0000-0000-000011170000}"/>
    <cellStyle name="20% - Accent3 6 3 2 2 2 3" xfId="5999" xr:uid="{00000000-0005-0000-0000-000012170000}"/>
    <cellStyle name="20% - Accent3 6 3 2 2 3" xfId="6000" xr:uid="{00000000-0005-0000-0000-000013170000}"/>
    <cellStyle name="20% - Accent3 6 3 2 2 4" xfId="6001" xr:uid="{00000000-0005-0000-0000-000014170000}"/>
    <cellStyle name="20% - Accent3 6 3 2 3" xfId="6002" xr:uid="{00000000-0005-0000-0000-000015170000}"/>
    <cellStyle name="20% - Accent3 6 3 2 3 2" xfId="6003" xr:uid="{00000000-0005-0000-0000-000016170000}"/>
    <cellStyle name="20% - Accent3 6 3 2 3 3" xfId="6004" xr:uid="{00000000-0005-0000-0000-000017170000}"/>
    <cellStyle name="20% - Accent3 6 3 2 4" xfId="6005" xr:uid="{00000000-0005-0000-0000-000018170000}"/>
    <cellStyle name="20% - Accent3 6 3 2 5" xfId="6006" xr:uid="{00000000-0005-0000-0000-000019170000}"/>
    <cellStyle name="20% - Accent3 6 3 2 6" xfId="6007" xr:uid="{00000000-0005-0000-0000-00001A170000}"/>
    <cellStyle name="20% - Accent3 6 3 3" xfId="6008" xr:uid="{00000000-0005-0000-0000-00001B170000}"/>
    <cellStyle name="20% - Accent3 6 3 3 2" xfId="6009" xr:uid="{00000000-0005-0000-0000-00001C170000}"/>
    <cellStyle name="20% - Accent3 6 3 3 2 2" xfId="6010" xr:uid="{00000000-0005-0000-0000-00001D170000}"/>
    <cellStyle name="20% - Accent3 6 3 3 2 3" xfId="6011" xr:uid="{00000000-0005-0000-0000-00001E170000}"/>
    <cellStyle name="20% - Accent3 6 3 3 3" xfId="6012" xr:uid="{00000000-0005-0000-0000-00001F170000}"/>
    <cellStyle name="20% - Accent3 6 3 3 4" xfId="6013" xr:uid="{00000000-0005-0000-0000-000020170000}"/>
    <cellStyle name="20% - Accent3 6 3 4" xfId="6014" xr:uid="{00000000-0005-0000-0000-000021170000}"/>
    <cellStyle name="20% - Accent3 6 3 4 2" xfId="6015" xr:uid="{00000000-0005-0000-0000-000022170000}"/>
    <cellStyle name="20% - Accent3 6 3 4 3" xfId="6016" xr:uid="{00000000-0005-0000-0000-000023170000}"/>
    <cellStyle name="20% - Accent3 6 3 5" xfId="6017" xr:uid="{00000000-0005-0000-0000-000024170000}"/>
    <cellStyle name="20% - Accent3 6 3 6" xfId="6018" xr:uid="{00000000-0005-0000-0000-000025170000}"/>
    <cellStyle name="20% - Accent3 6 3 7" xfId="6019" xr:uid="{00000000-0005-0000-0000-000026170000}"/>
    <cellStyle name="20% - Accent3 6 4" xfId="6020" xr:uid="{00000000-0005-0000-0000-000027170000}"/>
    <cellStyle name="20% - Accent3 6 4 2" xfId="6021" xr:uid="{00000000-0005-0000-0000-000028170000}"/>
    <cellStyle name="20% - Accent3 6 4 2 2" xfId="6022" xr:uid="{00000000-0005-0000-0000-000029170000}"/>
    <cellStyle name="20% - Accent3 6 4 2 2 2" xfId="6023" xr:uid="{00000000-0005-0000-0000-00002A170000}"/>
    <cellStyle name="20% - Accent3 6 4 2 2 3" xfId="6024" xr:uid="{00000000-0005-0000-0000-00002B170000}"/>
    <cellStyle name="20% - Accent3 6 4 2 3" xfId="6025" xr:uid="{00000000-0005-0000-0000-00002C170000}"/>
    <cellStyle name="20% - Accent3 6 4 2 4" xfId="6026" xr:uid="{00000000-0005-0000-0000-00002D170000}"/>
    <cellStyle name="20% - Accent3 6 4 3" xfId="6027" xr:uid="{00000000-0005-0000-0000-00002E170000}"/>
    <cellStyle name="20% - Accent3 6 4 3 2" xfId="6028" xr:uid="{00000000-0005-0000-0000-00002F170000}"/>
    <cellStyle name="20% - Accent3 6 4 3 3" xfId="6029" xr:uid="{00000000-0005-0000-0000-000030170000}"/>
    <cellStyle name="20% - Accent3 6 4 4" xfId="6030" xr:uid="{00000000-0005-0000-0000-000031170000}"/>
    <cellStyle name="20% - Accent3 6 4 5" xfId="6031" xr:uid="{00000000-0005-0000-0000-000032170000}"/>
    <cellStyle name="20% - Accent3 6 4 6" xfId="6032" xr:uid="{00000000-0005-0000-0000-000033170000}"/>
    <cellStyle name="20% - Accent3 6 5" xfId="6033" xr:uid="{00000000-0005-0000-0000-000034170000}"/>
    <cellStyle name="20% - Accent3 6 5 2" xfId="6034" xr:uid="{00000000-0005-0000-0000-000035170000}"/>
    <cellStyle name="20% - Accent3 6 5 2 2" xfId="6035" xr:uid="{00000000-0005-0000-0000-000036170000}"/>
    <cellStyle name="20% - Accent3 6 5 2 3" xfId="6036" xr:uid="{00000000-0005-0000-0000-000037170000}"/>
    <cellStyle name="20% - Accent3 6 5 3" xfId="6037" xr:uid="{00000000-0005-0000-0000-000038170000}"/>
    <cellStyle name="20% - Accent3 6 5 4" xfId="6038" xr:uid="{00000000-0005-0000-0000-000039170000}"/>
    <cellStyle name="20% - Accent3 6 6" xfId="6039" xr:uid="{00000000-0005-0000-0000-00003A170000}"/>
    <cellStyle name="20% - Accent3 6 6 2" xfId="6040" xr:uid="{00000000-0005-0000-0000-00003B170000}"/>
    <cellStyle name="20% - Accent3 6 6 3" xfId="6041" xr:uid="{00000000-0005-0000-0000-00003C170000}"/>
    <cellStyle name="20% - Accent3 6 7" xfId="6042" xr:uid="{00000000-0005-0000-0000-00003D170000}"/>
    <cellStyle name="20% - Accent3 6 8" xfId="6043" xr:uid="{00000000-0005-0000-0000-00003E170000}"/>
    <cellStyle name="20% - Accent3 6 9" xfId="6044" xr:uid="{00000000-0005-0000-0000-00003F170000}"/>
    <cellStyle name="20% - Accent3 7" xfId="6045" xr:uid="{00000000-0005-0000-0000-000040170000}"/>
    <cellStyle name="20% - Accent3 7 2" xfId="6046" xr:uid="{00000000-0005-0000-0000-000041170000}"/>
    <cellStyle name="20% - Accent3 7 2 2" xfId="6047" xr:uid="{00000000-0005-0000-0000-000042170000}"/>
    <cellStyle name="20% - Accent3 7 2 2 2" xfId="6048" xr:uid="{00000000-0005-0000-0000-000043170000}"/>
    <cellStyle name="20% - Accent3 7 2 2 2 2" xfId="6049" xr:uid="{00000000-0005-0000-0000-000044170000}"/>
    <cellStyle name="20% - Accent3 7 2 2 2 2 2" xfId="6050" xr:uid="{00000000-0005-0000-0000-000045170000}"/>
    <cellStyle name="20% - Accent3 7 2 2 2 2 2 2" xfId="6051" xr:uid="{00000000-0005-0000-0000-000046170000}"/>
    <cellStyle name="20% - Accent3 7 2 2 2 2 2 3" xfId="6052" xr:uid="{00000000-0005-0000-0000-000047170000}"/>
    <cellStyle name="20% - Accent3 7 2 2 2 2 3" xfId="6053" xr:uid="{00000000-0005-0000-0000-000048170000}"/>
    <cellStyle name="20% - Accent3 7 2 2 2 2 4" xfId="6054" xr:uid="{00000000-0005-0000-0000-000049170000}"/>
    <cellStyle name="20% - Accent3 7 2 2 2 3" xfId="6055" xr:uid="{00000000-0005-0000-0000-00004A170000}"/>
    <cellStyle name="20% - Accent3 7 2 2 2 3 2" xfId="6056" xr:uid="{00000000-0005-0000-0000-00004B170000}"/>
    <cellStyle name="20% - Accent3 7 2 2 2 3 3" xfId="6057" xr:uid="{00000000-0005-0000-0000-00004C170000}"/>
    <cellStyle name="20% - Accent3 7 2 2 2 4" xfId="6058" xr:uid="{00000000-0005-0000-0000-00004D170000}"/>
    <cellStyle name="20% - Accent3 7 2 2 2 5" xfId="6059" xr:uid="{00000000-0005-0000-0000-00004E170000}"/>
    <cellStyle name="20% - Accent3 7 2 2 2 6" xfId="6060" xr:uid="{00000000-0005-0000-0000-00004F170000}"/>
    <cellStyle name="20% - Accent3 7 2 2 3" xfId="6061" xr:uid="{00000000-0005-0000-0000-000050170000}"/>
    <cellStyle name="20% - Accent3 7 2 2 3 2" xfId="6062" xr:uid="{00000000-0005-0000-0000-000051170000}"/>
    <cellStyle name="20% - Accent3 7 2 2 3 2 2" xfId="6063" xr:uid="{00000000-0005-0000-0000-000052170000}"/>
    <cellStyle name="20% - Accent3 7 2 2 3 2 3" xfId="6064" xr:uid="{00000000-0005-0000-0000-000053170000}"/>
    <cellStyle name="20% - Accent3 7 2 2 3 3" xfId="6065" xr:uid="{00000000-0005-0000-0000-000054170000}"/>
    <cellStyle name="20% - Accent3 7 2 2 3 4" xfId="6066" xr:uid="{00000000-0005-0000-0000-000055170000}"/>
    <cellStyle name="20% - Accent3 7 2 2 4" xfId="6067" xr:uid="{00000000-0005-0000-0000-000056170000}"/>
    <cellStyle name="20% - Accent3 7 2 2 4 2" xfId="6068" xr:uid="{00000000-0005-0000-0000-000057170000}"/>
    <cellStyle name="20% - Accent3 7 2 2 4 3" xfId="6069" xr:uid="{00000000-0005-0000-0000-000058170000}"/>
    <cellStyle name="20% - Accent3 7 2 2 5" xfId="6070" xr:uid="{00000000-0005-0000-0000-000059170000}"/>
    <cellStyle name="20% - Accent3 7 2 2 6" xfId="6071" xr:uid="{00000000-0005-0000-0000-00005A170000}"/>
    <cellStyle name="20% - Accent3 7 2 2 7" xfId="6072" xr:uid="{00000000-0005-0000-0000-00005B170000}"/>
    <cellStyle name="20% - Accent3 7 2 3" xfId="6073" xr:uid="{00000000-0005-0000-0000-00005C170000}"/>
    <cellStyle name="20% - Accent3 7 2 3 2" xfId="6074" xr:uid="{00000000-0005-0000-0000-00005D170000}"/>
    <cellStyle name="20% - Accent3 7 2 3 2 2" xfId="6075" xr:uid="{00000000-0005-0000-0000-00005E170000}"/>
    <cellStyle name="20% - Accent3 7 2 3 2 2 2" xfId="6076" xr:uid="{00000000-0005-0000-0000-00005F170000}"/>
    <cellStyle name="20% - Accent3 7 2 3 2 2 3" xfId="6077" xr:uid="{00000000-0005-0000-0000-000060170000}"/>
    <cellStyle name="20% - Accent3 7 2 3 2 3" xfId="6078" xr:uid="{00000000-0005-0000-0000-000061170000}"/>
    <cellStyle name="20% - Accent3 7 2 3 2 4" xfId="6079" xr:uid="{00000000-0005-0000-0000-000062170000}"/>
    <cellStyle name="20% - Accent3 7 2 3 3" xfId="6080" xr:uid="{00000000-0005-0000-0000-000063170000}"/>
    <cellStyle name="20% - Accent3 7 2 3 3 2" xfId="6081" xr:uid="{00000000-0005-0000-0000-000064170000}"/>
    <cellStyle name="20% - Accent3 7 2 3 3 3" xfId="6082" xr:uid="{00000000-0005-0000-0000-000065170000}"/>
    <cellStyle name="20% - Accent3 7 2 3 4" xfId="6083" xr:uid="{00000000-0005-0000-0000-000066170000}"/>
    <cellStyle name="20% - Accent3 7 2 3 5" xfId="6084" xr:uid="{00000000-0005-0000-0000-000067170000}"/>
    <cellStyle name="20% - Accent3 7 2 3 6" xfId="6085" xr:uid="{00000000-0005-0000-0000-000068170000}"/>
    <cellStyle name="20% - Accent3 7 2 4" xfId="6086" xr:uid="{00000000-0005-0000-0000-000069170000}"/>
    <cellStyle name="20% - Accent3 7 2 4 2" xfId="6087" xr:uid="{00000000-0005-0000-0000-00006A170000}"/>
    <cellStyle name="20% - Accent3 7 2 4 2 2" xfId="6088" xr:uid="{00000000-0005-0000-0000-00006B170000}"/>
    <cellStyle name="20% - Accent3 7 2 4 2 3" xfId="6089" xr:uid="{00000000-0005-0000-0000-00006C170000}"/>
    <cellStyle name="20% - Accent3 7 2 4 3" xfId="6090" xr:uid="{00000000-0005-0000-0000-00006D170000}"/>
    <cellStyle name="20% - Accent3 7 2 4 4" xfId="6091" xr:uid="{00000000-0005-0000-0000-00006E170000}"/>
    <cellStyle name="20% - Accent3 7 2 5" xfId="6092" xr:uid="{00000000-0005-0000-0000-00006F170000}"/>
    <cellStyle name="20% - Accent3 7 2 5 2" xfId="6093" xr:uid="{00000000-0005-0000-0000-000070170000}"/>
    <cellStyle name="20% - Accent3 7 2 5 3" xfId="6094" xr:uid="{00000000-0005-0000-0000-000071170000}"/>
    <cellStyle name="20% - Accent3 7 2 6" xfId="6095" xr:uid="{00000000-0005-0000-0000-000072170000}"/>
    <cellStyle name="20% - Accent3 7 2 7" xfId="6096" xr:uid="{00000000-0005-0000-0000-000073170000}"/>
    <cellStyle name="20% - Accent3 7 2 8" xfId="6097" xr:uid="{00000000-0005-0000-0000-000074170000}"/>
    <cellStyle name="20% - Accent3 7 3" xfId="6098" xr:uid="{00000000-0005-0000-0000-000075170000}"/>
    <cellStyle name="20% - Accent3 7 3 2" xfId="6099" xr:uid="{00000000-0005-0000-0000-000076170000}"/>
    <cellStyle name="20% - Accent3 7 3 2 2" xfId="6100" xr:uid="{00000000-0005-0000-0000-000077170000}"/>
    <cellStyle name="20% - Accent3 7 3 2 2 2" xfId="6101" xr:uid="{00000000-0005-0000-0000-000078170000}"/>
    <cellStyle name="20% - Accent3 7 3 2 2 2 2" xfId="6102" xr:uid="{00000000-0005-0000-0000-000079170000}"/>
    <cellStyle name="20% - Accent3 7 3 2 2 2 3" xfId="6103" xr:uid="{00000000-0005-0000-0000-00007A170000}"/>
    <cellStyle name="20% - Accent3 7 3 2 2 3" xfId="6104" xr:uid="{00000000-0005-0000-0000-00007B170000}"/>
    <cellStyle name="20% - Accent3 7 3 2 2 4" xfId="6105" xr:uid="{00000000-0005-0000-0000-00007C170000}"/>
    <cellStyle name="20% - Accent3 7 3 2 3" xfId="6106" xr:uid="{00000000-0005-0000-0000-00007D170000}"/>
    <cellStyle name="20% - Accent3 7 3 2 3 2" xfId="6107" xr:uid="{00000000-0005-0000-0000-00007E170000}"/>
    <cellStyle name="20% - Accent3 7 3 2 3 3" xfId="6108" xr:uid="{00000000-0005-0000-0000-00007F170000}"/>
    <cellStyle name="20% - Accent3 7 3 2 4" xfId="6109" xr:uid="{00000000-0005-0000-0000-000080170000}"/>
    <cellStyle name="20% - Accent3 7 3 2 5" xfId="6110" xr:uid="{00000000-0005-0000-0000-000081170000}"/>
    <cellStyle name="20% - Accent3 7 3 2 6" xfId="6111" xr:uid="{00000000-0005-0000-0000-000082170000}"/>
    <cellStyle name="20% - Accent3 7 3 3" xfId="6112" xr:uid="{00000000-0005-0000-0000-000083170000}"/>
    <cellStyle name="20% - Accent3 7 3 3 2" xfId="6113" xr:uid="{00000000-0005-0000-0000-000084170000}"/>
    <cellStyle name="20% - Accent3 7 3 3 2 2" xfId="6114" xr:uid="{00000000-0005-0000-0000-000085170000}"/>
    <cellStyle name="20% - Accent3 7 3 3 2 3" xfId="6115" xr:uid="{00000000-0005-0000-0000-000086170000}"/>
    <cellStyle name="20% - Accent3 7 3 3 3" xfId="6116" xr:uid="{00000000-0005-0000-0000-000087170000}"/>
    <cellStyle name="20% - Accent3 7 3 3 4" xfId="6117" xr:uid="{00000000-0005-0000-0000-000088170000}"/>
    <cellStyle name="20% - Accent3 7 3 4" xfId="6118" xr:uid="{00000000-0005-0000-0000-000089170000}"/>
    <cellStyle name="20% - Accent3 7 3 4 2" xfId="6119" xr:uid="{00000000-0005-0000-0000-00008A170000}"/>
    <cellStyle name="20% - Accent3 7 3 4 3" xfId="6120" xr:uid="{00000000-0005-0000-0000-00008B170000}"/>
    <cellStyle name="20% - Accent3 7 3 5" xfId="6121" xr:uid="{00000000-0005-0000-0000-00008C170000}"/>
    <cellStyle name="20% - Accent3 7 3 6" xfId="6122" xr:uid="{00000000-0005-0000-0000-00008D170000}"/>
    <cellStyle name="20% - Accent3 7 3 7" xfId="6123" xr:uid="{00000000-0005-0000-0000-00008E170000}"/>
    <cellStyle name="20% - Accent3 7 4" xfId="6124" xr:uid="{00000000-0005-0000-0000-00008F170000}"/>
    <cellStyle name="20% - Accent3 7 4 2" xfId="6125" xr:uid="{00000000-0005-0000-0000-000090170000}"/>
    <cellStyle name="20% - Accent3 7 4 2 2" xfId="6126" xr:uid="{00000000-0005-0000-0000-000091170000}"/>
    <cellStyle name="20% - Accent3 7 4 2 2 2" xfId="6127" xr:uid="{00000000-0005-0000-0000-000092170000}"/>
    <cellStyle name="20% - Accent3 7 4 2 2 3" xfId="6128" xr:uid="{00000000-0005-0000-0000-000093170000}"/>
    <cellStyle name="20% - Accent3 7 4 2 3" xfId="6129" xr:uid="{00000000-0005-0000-0000-000094170000}"/>
    <cellStyle name="20% - Accent3 7 4 2 4" xfId="6130" xr:uid="{00000000-0005-0000-0000-000095170000}"/>
    <cellStyle name="20% - Accent3 7 4 3" xfId="6131" xr:uid="{00000000-0005-0000-0000-000096170000}"/>
    <cellStyle name="20% - Accent3 7 4 3 2" xfId="6132" xr:uid="{00000000-0005-0000-0000-000097170000}"/>
    <cellStyle name="20% - Accent3 7 4 3 3" xfId="6133" xr:uid="{00000000-0005-0000-0000-000098170000}"/>
    <cellStyle name="20% - Accent3 7 4 4" xfId="6134" xr:uid="{00000000-0005-0000-0000-000099170000}"/>
    <cellStyle name="20% - Accent3 7 4 5" xfId="6135" xr:uid="{00000000-0005-0000-0000-00009A170000}"/>
    <cellStyle name="20% - Accent3 7 4 6" xfId="6136" xr:uid="{00000000-0005-0000-0000-00009B170000}"/>
    <cellStyle name="20% - Accent3 7 5" xfId="6137" xr:uid="{00000000-0005-0000-0000-00009C170000}"/>
    <cellStyle name="20% - Accent3 7 5 2" xfId="6138" xr:uid="{00000000-0005-0000-0000-00009D170000}"/>
    <cellStyle name="20% - Accent3 7 5 2 2" xfId="6139" xr:uid="{00000000-0005-0000-0000-00009E170000}"/>
    <cellStyle name="20% - Accent3 7 5 2 3" xfId="6140" xr:uid="{00000000-0005-0000-0000-00009F170000}"/>
    <cellStyle name="20% - Accent3 7 5 3" xfId="6141" xr:uid="{00000000-0005-0000-0000-0000A0170000}"/>
    <cellStyle name="20% - Accent3 7 5 4" xfId="6142" xr:uid="{00000000-0005-0000-0000-0000A1170000}"/>
    <cellStyle name="20% - Accent3 7 6" xfId="6143" xr:uid="{00000000-0005-0000-0000-0000A2170000}"/>
    <cellStyle name="20% - Accent3 7 6 2" xfId="6144" xr:uid="{00000000-0005-0000-0000-0000A3170000}"/>
    <cellStyle name="20% - Accent3 7 6 3" xfId="6145" xr:uid="{00000000-0005-0000-0000-0000A4170000}"/>
    <cellStyle name="20% - Accent3 7 7" xfId="6146" xr:uid="{00000000-0005-0000-0000-0000A5170000}"/>
    <cellStyle name="20% - Accent3 7 8" xfId="6147" xr:uid="{00000000-0005-0000-0000-0000A6170000}"/>
    <cellStyle name="20% - Accent3 7 9" xfId="6148" xr:uid="{00000000-0005-0000-0000-0000A7170000}"/>
    <cellStyle name="20% - Accent3 8" xfId="6149" xr:uid="{00000000-0005-0000-0000-0000A8170000}"/>
    <cellStyle name="20% - Accent3 8 2" xfId="6150" xr:uid="{00000000-0005-0000-0000-0000A9170000}"/>
    <cellStyle name="20% - Accent3 8 2 2" xfId="6151" xr:uid="{00000000-0005-0000-0000-0000AA170000}"/>
    <cellStyle name="20% - Accent3 8 2 2 2" xfId="6152" xr:uid="{00000000-0005-0000-0000-0000AB170000}"/>
    <cellStyle name="20% - Accent3 8 2 2 2 2" xfId="6153" xr:uid="{00000000-0005-0000-0000-0000AC170000}"/>
    <cellStyle name="20% - Accent3 8 2 2 2 2 2" xfId="6154" xr:uid="{00000000-0005-0000-0000-0000AD170000}"/>
    <cellStyle name="20% - Accent3 8 2 2 2 2 3" xfId="6155" xr:uid="{00000000-0005-0000-0000-0000AE170000}"/>
    <cellStyle name="20% - Accent3 8 2 2 2 3" xfId="6156" xr:uid="{00000000-0005-0000-0000-0000AF170000}"/>
    <cellStyle name="20% - Accent3 8 2 2 2 4" xfId="6157" xr:uid="{00000000-0005-0000-0000-0000B0170000}"/>
    <cellStyle name="20% - Accent3 8 2 2 3" xfId="6158" xr:uid="{00000000-0005-0000-0000-0000B1170000}"/>
    <cellStyle name="20% - Accent3 8 2 2 3 2" xfId="6159" xr:uid="{00000000-0005-0000-0000-0000B2170000}"/>
    <cellStyle name="20% - Accent3 8 2 2 3 3" xfId="6160" xr:uid="{00000000-0005-0000-0000-0000B3170000}"/>
    <cellStyle name="20% - Accent3 8 2 2 4" xfId="6161" xr:uid="{00000000-0005-0000-0000-0000B4170000}"/>
    <cellStyle name="20% - Accent3 8 2 2 5" xfId="6162" xr:uid="{00000000-0005-0000-0000-0000B5170000}"/>
    <cellStyle name="20% - Accent3 8 2 2 6" xfId="6163" xr:uid="{00000000-0005-0000-0000-0000B6170000}"/>
    <cellStyle name="20% - Accent3 8 2 3" xfId="6164" xr:uid="{00000000-0005-0000-0000-0000B7170000}"/>
    <cellStyle name="20% - Accent3 8 2 3 2" xfId="6165" xr:uid="{00000000-0005-0000-0000-0000B8170000}"/>
    <cellStyle name="20% - Accent3 8 2 3 2 2" xfId="6166" xr:uid="{00000000-0005-0000-0000-0000B9170000}"/>
    <cellStyle name="20% - Accent3 8 2 3 2 3" xfId="6167" xr:uid="{00000000-0005-0000-0000-0000BA170000}"/>
    <cellStyle name="20% - Accent3 8 2 3 3" xfId="6168" xr:uid="{00000000-0005-0000-0000-0000BB170000}"/>
    <cellStyle name="20% - Accent3 8 2 3 4" xfId="6169" xr:uid="{00000000-0005-0000-0000-0000BC170000}"/>
    <cellStyle name="20% - Accent3 8 2 4" xfId="6170" xr:uid="{00000000-0005-0000-0000-0000BD170000}"/>
    <cellStyle name="20% - Accent3 8 2 4 2" xfId="6171" xr:uid="{00000000-0005-0000-0000-0000BE170000}"/>
    <cellStyle name="20% - Accent3 8 2 4 3" xfId="6172" xr:uid="{00000000-0005-0000-0000-0000BF170000}"/>
    <cellStyle name="20% - Accent3 8 2 5" xfId="6173" xr:uid="{00000000-0005-0000-0000-0000C0170000}"/>
    <cellStyle name="20% - Accent3 8 2 6" xfId="6174" xr:uid="{00000000-0005-0000-0000-0000C1170000}"/>
    <cellStyle name="20% - Accent3 8 2 7" xfId="6175" xr:uid="{00000000-0005-0000-0000-0000C2170000}"/>
    <cellStyle name="20% - Accent3 8 3" xfId="6176" xr:uid="{00000000-0005-0000-0000-0000C3170000}"/>
    <cellStyle name="20% - Accent3 8 3 2" xfId="6177" xr:uid="{00000000-0005-0000-0000-0000C4170000}"/>
    <cellStyle name="20% - Accent3 8 3 2 2" xfId="6178" xr:uid="{00000000-0005-0000-0000-0000C5170000}"/>
    <cellStyle name="20% - Accent3 8 3 2 2 2" xfId="6179" xr:uid="{00000000-0005-0000-0000-0000C6170000}"/>
    <cellStyle name="20% - Accent3 8 3 2 2 3" xfId="6180" xr:uid="{00000000-0005-0000-0000-0000C7170000}"/>
    <cellStyle name="20% - Accent3 8 3 2 3" xfId="6181" xr:uid="{00000000-0005-0000-0000-0000C8170000}"/>
    <cellStyle name="20% - Accent3 8 3 2 4" xfId="6182" xr:uid="{00000000-0005-0000-0000-0000C9170000}"/>
    <cellStyle name="20% - Accent3 8 3 3" xfId="6183" xr:uid="{00000000-0005-0000-0000-0000CA170000}"/>
    <cellStyle name="20% - Accent3 8 3 3 2" xfId="6184" xr:uid="{00000000-0005-0000-0000-0000CB170000}"/>
    <cellStyle name="20% - Accent3 8 3 3 3" xfId="6185" xr:uid="{00000000-0005-0000-0000-0000CC170000}"/>
    <cellStyle name="20% - Accent3 8 3 4" xfId="6186" xr:uid="{00000000-0005-0000-0000-0000CD170000}"/>
    <cellStyle name="20% - Accent3 8 3 5" xfId="6187" xr:uid="{00000000-0005-0000-0000-0000CE170000}"/>
    <cellStyle name="20% - Accent3 8 3 6" xfId="6188" xr:uid="{00000000-0005-0000-0000-0000CF170000}"/>
    <cellStyle name="20% - Accent3 8 4" xfId="6189" xr:uid="{00000000-0005-0000-0000-0000D0170000}"/>
    <cellStyle name="20% - Accent3 8 4 2" xfId="6190" xr:uid="{00000000-0005-0000-0000-0000D1170000}"/>
    <cellStyle name="20% - Accent3 8 4 2 2" xfId="6191" xr:uid="{00000000-0005-0000-0000-0000D2170000}"/>
    <cellStyle name="20% - Accent3 8 4 2 3" xfId="6192" xr:uid="{00000000-0005-0000-0000-0000D3170000}"/>
    <cellStyle name="20% - Accent3 8 4 3" xfId="6193" xr:uid="{00000000-0005-0000-0000-0000D4170000}"/>
    <cellStyle name="20% - Accent3 8 4 4" xfId="6194" xr:uid="{00000000-0005-0000-0000-0000D5170000}"/>
    <cellStyle name="20% - Accent3 8 5" xfId="6195" xr:uid="{00000000-0005-0000-0000-0000D6170000}"/>
    <cellStyle name="20% - Accent3 8 5 2" xfId="6196" xr:uid="{00000000-0005-0000-0000-0000D7170000}"/>
    <cellStyle name="20% - Accent3 8 5 3" xfId="6197" xr:uid="{00000000-0005-0000-0000-0000D8170000}"/>
    <cellStyle name="20% - Accent3 8 6" xfId="6198" xr:uid="{00000000-0005-0000-0000-0000D9170000}"/>
    <cellStyle name="20% - Accent3 8 7" xfId="6199" xr:uid="{00000000-0005-0000-0000-0000DA170000}"/>
    <cellStyle name="20% - Accent3 8 8" xfId="6200" xr:uid="{00000000-0005-0000-0000-0000DB170000}"/>
    <cellStyle name="20% - Accent3 9" xfId="6201" xr:uid="{00000000-0005-0000-0000-0000DC170000}"/>
    <cellStyle name="20% - Accent3 9 2" xfId="6202" xr:uid="{00000000-0005-0000-0000-0000DD170000}"/>
    <cellStyle name="20% - Accent3 9 2 2" xfId="6203" xr:uid="{00000000-0005-0000-0000-0000DE170000}"/>
    <cellStyle name="20% - Accent3 9 2 2 2" xfId="6204" xr:uid="{00000000-0005-0000-0000-0000DF170000}"/>
    <cellStyle name="20% - Accent3 9 2 2 2 2" xfId="6205" xr:uid="{00000000-0005-0000-0000-0000E0170000}"/>
    <cellStyle name="20% - Accent3 9 2 2 2 2 2" xfId="6206" xr:uid="{00000000-0005-0000-0000-0000E1170000}"/>
    <cellStyle name="20% - Accent3 9 2 2 2 2 3" xfId="6207" xr:uid="{00000000-0005-0000-0000-0000E2170000}"/>
    <cellStyle name="20% - Accent3 9 2 2 2 3" xfId="6208" xr:uid="{00000000-0005-0000-0000-0000E3170000}"/>
    <cellStyle name="20% - Accent3 9 2 2 2 4" xfId="6209" xr:uid="{00000000-0005-0000-0000-0000E4170000}"/>
    <cellStyle name="20% - Accent3 9 2 2 3" xfId="6210" xr:uid="{00000000-0005-0000-0000-0000E5170000}"/>
    <cellStyle name="20% - Accent3 9 2 2 3 2" xfId="6211" xr:uid="{00000000-0005-0000-0000-0000E6170000}"/>
    <cellStyle name="20% - Accent3 9 2 2 3 3" xfId="6212" xr:uid="{00000000-0005-0000-0000-0000E7170000}"/>
    <cellStyle name="20% - Accent3 9 2 2 4" xfId="6213" xr:uid="{00000000-0005-0000-0000-0000E8170000}"/>
    <cellStyle name="20% - Accent3 9 2 2 5" xfId="6214" xr:uid="{00000000-0005-0000-0000-0000E9170000}"/>
    <cellStyle name="20% - Accent3 9 2 2 6" xfId="6215" xr:uid="{00000000-0005-0000-0000-0000EA170000}"/>
    <cellStyle name="20% - Accent3 9 2 3" xfId="6216" xr:uid="{00000000-0005-0000-0000-0000EB170000}"/>
    <cellStyle name="20% - Accent3 9 2 3 2" xfId="6217" xr:uid="{00000000-0005-0000-0000-0000EC170000}"/>
    <cellStyle name="20% - Accent3 9 2 3 2 2" xfId="6218" xr:uid="{00000000-0005-0000-0000-0000ED170000}"/>
    <cellStyle name="20% - Accent3 9 2 3 2 3" xfId="6219" xr:uid="{00000000-0005-0000-0000-0000EE170000}"/>
    <cellStyle name="20% - Accent3 9 2 3 3" xfId="6220" xr:uid="{00000000-0005-0000-0000-0000EF170000}"/>
    <cellStyle name="20% - Accent3 9 2 3 4" xfId="6221" xr:uid="{00000000-0005-0000-0000-0000F0170000}"/>
    <cellStyle name="20% - Accent3 9 2 4" xfId="6222" xr:uid="{00000000-0005-0000-0000-0000F1170000}"/>
    <cellStyle name="20% - Accent3 9 2 4 2" xfId="6223" xr:uid="{00000000-0005-0000-0000-0000F2170000}"/>
    <cellStyle name="20% - Accent3 9 2 4 3" xfId="6224" xr:uid="{00000000-0005-0000-0000-0000F3170000}"/>
    <cellStyle name="20% - Accent3 9 2 5" xfId="6225" xr:uid="{00000000-0005-0000-0000-0000F4170000}"/>
    <cellStyle name="20% - Accent3 9 2 6" xfId="6226" xr:uid="{00000000-0005-0000-0000-0000F5170000}"/>
    <cellStyle name="20% - Accent3 9 2 7" xfId="6227" xr:uid="{00000000-0005-0000-0000-0000F6170000}"/>
    <cellStyle name="20% - Accent3 9 3" xfId="6228" xr:uid="{00000000-0005-0000-0000-0000F7170000}"/>
    <cellStyle name="20% - Accent3 9 3 2" xfId="6229" xr:uid="{00000000-0005-0000-0000-0000F8170000}"/>
    <cellStyle name="20% - Accent3 9 3 2 2" xfId="6230" xr:uid="{00000000-0005-0000-0000-0000F9170000}"/>
    <cellStyle name="20% - Accent3 9 3 2 2 2" xfId="6231" xr:uid="{00000000-0005-0000-0000-0000FA170000}"/>
    <cellStyle name="20% - Accent3 9 3 2 2 3" xfId="6232" xr:uid="{00000000-0005-0000-0000-0000FB170000}"/>
    <cellStyle name="20% - Accent3 9 3 2 3" xfId="6233" xr:uid="{00000000-0005-0000-0000-0000FC170000}"/>
    <cellStyle name="20% - Accent3 9 3 2 4" xfId="6234" xr:uid="{00000000-0005-0000-0000-0000FD170000}"/>
    <cellStyle name="20% - Accent3 9 3 3" xfId="6235" xr:uid="{00000000-0005-0000-0000-0000FE170000}"/>
    <cellStyle name="20% - Accent3 9 3 3 2" xfId="6236" xr:uid="{00000000-0005-0000-0000-0000FF170000}"/>
    <cellStyle name="20% - Accent3 9 3 3 3" xfId="6237" xr:uid="{00000000-0005-0000-0000-000000180000}"/>
    <cellStyle name="20% - Accent3 9 3 4" xfId="6238" xr:uid="{00000000-0005-0000-0000-000001180000}"/>
    <cellStyle name="20% - Accent3 9 3 5" xfId="6239" xr:uid="{00000000-0005-0000-0000-000002180000}"/>
    <cellStyle name="20% - Accent3 9 3 6" xfId="6240" xr:uid="{00000000-0005-0000-0000-000003180000}"/>
    <cellStyle name="20% - Accent3 9 4" xfId="6241" xr:uid="{00000000-0005-0000-0000-000004180000}"/>
    <cellStyle name="20% - Accent3 9 4 2" xfId="6242" xr:uid="{00000000-0005-0000-0000-000005180000}"/>
    <cellStyle name="20% - Accent3 9 4 2 2" xfId="6243" xr:uid="{00000000-0005-0000-0000-000006180000}"/>
    <cellStyle name="20% - Accent3 9 4 2 3" xfId="6244" xr:uid="{00000000-0005-0000-0000-000007180000}"/>
    <cellStyle name="20% - Accent3 9 4 3" xfId="6245" xr:uid="{00000000-0005-0000-0000-000008180000}"/>
    <cellStyle name="20% - Accent3 9 4 4" xfId="6246" xr:uid="{00000000-0005-0000-0000-000009180000}"/>
    <cellStyle name="20% - Accent3 9 5" xfId="6247" xr:uid="{00000000-0005-0000-0000-00000A180000}"/>
    <cellStyle name="20% - Accent3 9 5 2" xfId="6248" xr:uid="{00000000-0005-0000-0000-00000B180000}"/>
    <cellStyle name="20% - Accent3 9 5 3" xfId="6249" xr:uid="{00000000-0005-0000-0000-00000C180000}"/>
    <cellStyle name="20% - Accent3 9 6" xfId="6250" xr:uid="{00000000-0005-0000-0000-00000D180000}"/>
    <cellStyle name="20% - Accent3 9 7" xfId="6251" xr:uid="{00000000-0005-0000-0000-00000E180000}"/>
    <cellStyle name="20% - Accent3 9 8" xfId="6252" xr:uid="{00000000-0005-0000-0000-00000F180000}"/>
    <cellStyle name="20% - Accent4 10" xfId="6253" xr:uid="{00000000-0005-0000-0000-000010180000}"/>
    <cellStyle name="20% - Accent4 10 2" xfId="6254" xr:uid="{00000000-0005-0000-0000-000011180000}"/>
    <cellStyle name="20% - Accent4 10 2 2" xfId="6255" xr:uid="{00000000-0005-0000-0000-000012180000}"/>
    <cellStyle name="20% - Accent4 10 2 2 2" xfId="6256" xr:uid="{00000000-0005-0000-0000-000013180000}"/>
    <cellStyle name="20% - Accent4 10 2 2 2 2" xfId="6257" xr:uid="{00000000-0005-0000-0000-000014180000}"/>
    <cellStyle name="20% - Accent4 10 2 2 2 2 2" xfId="6258" xr:uid="{00000000-0005-0000-0000-000015180000}"/>
    <cellStyle name="20% - Accent4 10 2 2 2 2 3" xfId="6259" xr:uid="{00000000-0005-0000-0000-000016180000}"/>
    <cellStyle name="20% - Accent4 10 2 2 2 3" xfId="6260" xr:uid="{00000000-0005-0000-0000-000017180000}"/>
    <cellStyle name="20% - Accent4 10 2 2 2 4" xfId="6261" xr:uid="{00000000-0005-0000-0000-000018180000}"/>
    <cellStyle name="20% - Accent4 10 2 2 3" xfId="6262" xr:uid="{00000000-0005-0000-0000-000019180000}"/>
    <cellStyle name="20% - Accent4 10 2 2 3 2" xfId="6263" xr:uid="{00000000-0005-0000-0000-00001A180000}"/>
    <cellStyle name="20% - Accent4 10 2 2 3 3" xfId="6264" xr:uid="{00000000-0005-0000-0000-00001B180000}"/>
    <cellStyle name="20% - Accent4 10 2 2 4" xfId="6265" xr:uid="{00000000-0005-0000-0000-00001C180000}"/>
    <cellStyle name="20% - Accent4 10 2 2 5" xfId="6266" xr:uid="{00000000-0005-0000-0000-00001D180000}"/>
    <cellStyle name="20% - Accent4 10 2 2 6" xfId="6267" xr:uid="{00000000-0005-0000-0000-00001E180000}"/>
    <cellStyle name="20% - Accent4 10 2 3" xfId="6268" xr:uid="{00000000-0005-0000-0000-00001F180000}"/>
    <cellStyle name="20% - Accent4 10 2 3 2" xfId="6269" xr:uid="{00000000-0005-0000-0000-000020180000}"/>
    <cellStyle name="20% - Accent4 10 2 3 2 2" xfId="6270" xr:uid="{00000000-0005-0000-0000-000021180000}"/>
    <cellStyle name="20% - Accent4 10 2 3 2 3" xfId="6271" xr:uid="{00000000-0005-0000-0000-000022180000}"/>
    <cellStyle name="20% - Accent4 10 2 3 3" xfId="6272" xr:uid="{00000000-0005-0000-0000-000023180000}"/>
    <cellStyle name="20% - Accent4 10 2 3 4" xfId="6273" xr:uid="{00000000-0005-0000-0000-000024180000}"/>
    <cellStyle name="20% - Accent4 10 2 4" xfId="6274" xr:uid="{00000000-0005-0000-0000-000025180000}"/>
    <cellStyle name="20% - Accent4 10 2 4 2" xfId="6275" xr:uid="{00000000-0005-0000-0000-000026180000}"/>
    <cellStyle name="20% - Accent4 10 2 4 3" xfId="6276" xr:uid="{00000000-0005-0000-0000-000027180000}"/>
    <cellStyle name="20% - Accent4 10 2 5" xfId="6277" xr:uid="{00000000-0005-0000-0000-000028180000}"/>
    <cellStyle name="20% - Accent4 10 2 6" xfId="6278" xr:uid="{00000000-0005-0000-0000-000029180000}"/>
    <cellStyle name="20% - Accent4 10 2 7" xfId="6279" xr:uid="{00000000-0005-0000-0000-00002A180000}"/>
    <cellStyle name="20% - Accent4 10 3" xfId="6280" xr:uid="{00000000-0005-0000-0000-00002B180000}"/>
    <cellStyle name="20% - Accent4 10 3 2" xfId="6281" xr:uid="{00000000-0005-0000-0000-00002C180000}"/>
    <cellStyle name="20% - Accent4 10 3 2 2" xfId="6282" xr:uid="{00000000-0005-0000-0000-00002D180000}"/>
    <cellStyle name="20% - Accent4 10 3 2 2 2" xfId="6283" xr:uid="{00000000-0005-0000-0000-00002E180000}"/>
    <cellStyle name="20% - Accent4 10 3 2 2 3" xfId="6284" xr:uid="{00000000-0005-0000-0000-00002F180000}"/>
    <cellStyle name="20% - Accent4 10 3 2 3" xfId="6285" xr:uid="{00000000-0005-0000-0000-000030180000}"/>
    <cellStyle name="20% - Accent4 10 3 2 4" xfId="6286" xr:uid="{00000000-0005-0000-0000-000031180000}"/>
    <cellStyle name="20% - Accent4 10 3 3" xfId="6287" xr:uid="{00000000-0005-0000-0000-000032180000}"/>
    <cellStyle name="20% - Accent4 10 3 3 2" xfId="6288" xr:uid="{00000000-0005-0000-0000-000033180000}"/>
    <cellStyle name="20% - Accent4 10 3 3 3" xfId="6289" xr:uid="{00000000-0005-0000-0000-000034180000}"/>
    <cellStyle name="20% - Accent4 10 3 4" xfId="6290" xr:uid="{00000000-0005-0000-0000-000035180000}"/>
    <cellStyle name="20% - Accent4 10 3 5" xfId="6291" xr:uid="{00000000-0005-0000-0000-000036180000}"/>
    <cellStyle name="20% - Accent4 10 3 6" xfId="6292" xr:uid="{00000000-0005-0000-0000-000037180000}"/>
    <cellStyle name="20% - Accent4 10 4" xfId="6293" xr:uid="{00000000-0005-0000-0000-000038180000}"/>
    <cellStyle name="20% - Accent4 10 4 2" xfId="6294" xr:uid="{00000000-0005-0000-0000-000039180000}"/>
    <cellStyle name="20% - Accent4 10 4 2 2" xfId="6295" xr:uid="{00000000-0005-0000-0000-00003A180000}"/>
    <cellStyle name="20% - Accent4 10 4 2 3" xfId="6296" xr:uid="{00000000-0005-0000-0000-00003B180000}"/>
    <cellStyle name="20% - Accent4 10 4 3" xfId="6297" xr:uid="{00000000-0005-0000-0000-00003C180000}"/>
    <cellStyle name="20% - Accent4 10 4 4" xfId="6298" xr:uid="{00000000-0005-0000-0000-00003D180000}"/>
    <cellStyle name="20% - Accent4 10 5" xfId="6299" xr:uid="{00000000-0005-0000-0000-00003E180000}"/>
    <cellStyle name="20% - Accent4 10 5 2" xfId="6300" xr:uid="{00000000-0005-0000-0000-00003F180000}"/>
    <cellStyle name="20% - Accent4 10 5 3" xfId="6301" xr:uid="{00000000-0005-0000-0000-000040180000}"/>
    <cellStyle name="20% - Accent4 10 6" xfId="6302" xr:uid="{00000000-0005-0000-0000-000041180000}"/>
    <cellStyle name="20% - Accent4 10 7" xfId="6303" xr:uid="{00000000-0005-0000-0000-000042180000}"/>
    <cellStyle name="20% - Accent4 10 8" xfId="6304" xr:uid="{00000000-0005-0000-0000-000043180000}"/>
    <cellStyle name="20% - Accent4 11" xfId="6305" xr:uid="{00000000-0005-0000-0000-000044180000}"/>
    <cellStyle name="20% - Accent4 11 2" xfId="6306" xr:uid="{00000000-0005-0000-0000-000045180000}"/>
    <cellStyle name="20% - Accent4 11 2 2" xfId="6307" xr:uid="{00000000-0005-0000-0000-000046180000}"/>
    <cellStyle name="20% - Accent4 11 2 2 2" xfId="6308" xr:uid="{00000000-0005-0000-0000-000047180000}"/>
    <cellStyle name="20% - Accent4 11 2 2 2 2" xfId="6309" xr:uid="{00000000-0005-0000-0000-000048180000}"/>
    <cellStyle name="20% - Accent4 11 2 2 2 3" xfId="6310" xr:uid="{00000000-0005-0000-0000-000049180000}"/>
    <cellStyle name="20% - Accent4 11 2 2 3" xfId="6311" xr:uid="{00000000-0005-0000-0000-00004A180000}"/>
    <cellStyle name="20% - Accent4 11 2 2 4" xfId="6312" xr:uid="{00000000-0005-0000-0000-00004B180000}"/>
    <cellStyle name="20% - Accent4 11 2 3" xfId="6313" xr:uid="{00000000-0005-0000-0000-00004C180000}"/>
    <cellStyle name="20% - Accent4 11 2 3 2" xfId="6314" xr:uid="{00000000-0005-0000-0000-00004D180000}"/>
    <cellStyle name="20% - Accent4 11 2 3 3" xfId="6315" xr:uid="{00000000-0005-0000-0000-00004E180000}"/>
    <cellStyle name="20% - Accent4 11 2 4" xfId="6316" xr:uid="{00000000-0005-0000-0000-00004F180000}"/>
    <cellStyle name="20% - Accent4 11 2 5" xfId="6317" xr:uid="{00000000-0005-0000-0000-000050180000}"/>
    <cellStyle name="20% - Accent4 11 2 6" xfId="6318" xr:uid="{00000000-0005-0000-0000-000051180000}"/>
    <cellStyle name="20% - Accent4 11 3" xfId="6319" xr:uid="{00000000-0005-0000-0000-000052180000}"/>
    <cellStyle name="20% - Accent4 11 3 2" xfId="6320" xr:uid="{00000000-0005-0000-0000-000053180000}"/>
    <cellStyle name="20% - Accent4 11 3 2 2" xfId="6321" xr:uid="{00000000-0005-0000-0000-000054180000}"/>
    <cellStyle name="20% - Accent4 11 3 2 3" xfId="6322" xr:uid="{00000000-0005-0000-0000-000055180000}"/>
    <cellStyle name="20% - Accent4 11 3 3" xfId="6323" xr:uid="{00000000-0005-0000-0000-000056180000}"/>
    <cellStyle name="20% - Accent4 11 3 4" xfId="6324" xr:uid="{00000000-0005-0000-0000-000057180000}"/>
    <cellStyle name="20% - Accent4 11 4" xfId="6325" xr:uid="{00000000-0005-0000-0000-000058180000}"/>
    <cellStyle name="20% - Accent4 11 4 2" xfId="6326" xr:uid="{00000000-0005-0000-0000-000059180000}"/>
    <cellStyle name="20% - Accent4 11 4 3" xfId="6327" xr:uid="{00000000-0005-0000-0000-00005A180000}"/>
    <cellStyle name="20% - Accent4 11 5" xfId="6328" xr:uid="{00000000-0005-0000-0000-00005B180000}"/>
    <cellStyle name="20% - Accent4 11 6" xfId="6329" xr:uid="{00000000-0005-0000-0000-00005C180000}"/>
    <cellStyle name="20% - Accent4 11 7" xfId="6330" xr:uid="{00000000-0005-0000-0000-00005D180000}"/>
    <cellStyle name="20% - Accent4 12" xfId="6331" xr:uid="{00000000-0005-0000-0000-00005E180000}"/>
    <cellStyle name="20% - Accent4 12 2" xfId="6332" xr:uid="{00000000-0005-0000-0000-00005F180000}"/>
    <cellStyle name="20% - Accent4 12 2 2" xfId="6333" xr:uid="{00000000-0005-0000-0000-000060180000}"/>
    <cellStyle name="20% - Accent4 12 2 2 2" xfId="6334" xr:uid="{00000000-0005-0000-0000-000061180000}"/>
    <cellStyle name="20% - Accent4 12 2 2 3" xfId="6335" xr:uid="{00000000-0005-0000-0000-000062180000}"/>
    <cellStyle name="20% - Accent4 12 2 3" xfId="6336" xr:uid="{00000000-0005-0000-0000-000063180000}"/>
    <cellStyle name="20% - Accent4 12 2 4" xfId="6337" xr:uid="{00000000-0005-0000-0000-000064180000}"/>
    <cellStyle name="20% - Accent4 12 3" xfId="6338" xr:uid="{00000000-0005-0000-0000-000065180000}"/>
    <cellStyle name="20% - Accent4 12 3 2" xfId="6339" xr:uid="{00000000-0005-0000-0000-000066180000}"/>
    <cellStyle name="20% - Accent4 12 3 3" xfId="6340" xr:uid="{00000000-0005-0000-0000-000067180000}"/>
    <cellStyle name="20% - Accent4 12 4" xfId="6341" xr:uid="{00000000-0005-0000-0000-000068180000}"/>
    <cellStyle name="20% - Accent4 12 5" xfId="6342" xr:uid="{00000000-0005-0000-0000-000069180000}"/>
    <cellStyle name="20% - Accent4 12 6" xfId="6343" xr:uid="{00000000-0005-0000-0000-00006A180000}"/>
    <cellStyle name="20% - Accent4 13" xfId="6344" xr:uid="{00000000-0005-0000-0000-00006B180000}"/>
    <cellStyle name="20% - Accent4 13 2" xfId="6345" xr:uid="{00000000-0005-0000-0000-00006C180000}"/>
    <cellStyle name="20% - Accent4 13 2 2" xfId="6346" xr:uid="{00000000-0005-0000-0000-00006D180000}"/>
    <cellStyle name="20% - Accent4 13 2 2 2" xfId="6347" xr:uid="{00000000-0005-0000-0000-00006E180000}"/>
    <cellStyle name="20% - Accent4 13 2 2 3" xfId="6348" xr:uid="{00000000-0005-0000-0000-00006F180000}"/>
    <cellStyle name="20% - Accent4 13 2 3" xfId="6349" xr:uid="{00000000-0005-0000-0000-000070180000}"/>
    <cellStyle name="20% - Accent4 13 2 4" xfId="6350" xr:uid="{00000000-0005-0000-0000-000071180000}"/>
    <cellStyle name="20% - Accent4 13 3" xfId="6351" xr:uid="{00000000-0005-0000-0000-000072180000}"/>
    <cellStyle name="20% - Accent4 13 3 2" xfId="6352" xr:uid="{00000000-0005-0000-0000-000073180000}"/>
    <cellStyle name="20% - Accent4 13 3 3" xfId="6353" xr:uid="{00000000-0005-0000-0000-000074180000}"/>
    <cellStyle name="20% - Accent4 13 4" xfId="6354" xr:uid="{00000000-0005-0000-0000-000075180000}"/>
    <cellStyle name="20% - Accent4 13 5" xfId="6355" xr:uid="{00000000-0005-0000-0000-000076180000}"/>
    <cellStyle name="20% - Accent4 13 6" xfId="6356" xr:uid="{00000000-0005-0000-0000-000077180000}"/>
    <cellStyle name="20% - Accent4 14" xfId="6357" xr:uid="{00000000-0005-0000-0000-000078180000}"/>
    <cellStyle name="20% - Accent4 14 2" xfId="6358" xr:uid="{00000000-0005-0000-0000-000079180000}"/>
    <cellStyle name="20% - Accent4 14 2 2" xfId="6359" xr:uid="{00000000-0005-0000-0000-00007A180000}"/>
    <cellStyle name="20% - Accent4 14 2 3" xfId="6360" xr:uid="{00000000-0005-0000-0000-00007B180000}"/>
    <cellStyle name="20% - Accent4 14 3" xfId="6361" xr:uid="{00000000-0005-0000-0000-00007C180000}"/>
    <cellStyle name="20% - Accent4 14 4" xfId="6362" xr:uid="{00000000-0005-0000-0000-00007D180000}"/>
    <cellStyle name="20% - Accent4 15" xfId="6363" xr:uid="{00000000-0005-0000-0000-00007E180000}"/>
    <cellStyle name="20% - Accent4 16" xfId="6364" xr:uid="{00000000-0005-0000-0000-00007F180000}"/>
    <cellStyle name="20% - Accent4 17" xfId="6365" xr:uid="{00000000-0005-0000-0000-000080180000}"/>
    <cellStyle name="20% - Accent4 2" xfId="6366" xr:uid="{00000000-0005-0000-0000-000081180000}"/>
    <cellStyle name="20% - Accent4 2 2" xfId="6367" xr:uid="{00000000-0005-0000-0000-000082180000}"/>
    <cellStyle name="20% - Accent4 2 3" xfId="6368" xr:uid="{00000000-0005-0000-0000-000083180000}"/>
    <cellStyle name="20% - Accent4 3" xfId="6369" xr:uid="{00000000-0005-0000-0000-000084180000}"/>
    <cellStyle name="20% - Accent4 3 10" xfId="6370" xr:uid="{00000000-0005-0000-0000-000085180000}"/>
    <cellStyle name="20% - Accent4 3 10 2" xfId="6371" xr:uid="{00000000-0005-0000-0000-000086180000}"/>
    <cellStyle name="20% - Accent4 3 10 2 2" xfId="6372" xr:uid="{00000000-0005-0000-0000-000087180000}"/>
    <cellStyle name="20% - Accent4 3 10 2 2 2" xfId="6373" xr:uid="{00000000-0005-0000-0000-000088180000}"/>
    <cellStyle name="20% - Accent4 3 10 2 2 3" xfId="6374" xr:uid="{00000000-0005-0000-0000-000089180000}"/>
    <cellStyle name="20% - Accent4 3 10 2 3" xfId="6375" xr:uid="{00000000-0005-0000-0000-00008A180000}"/>
    <cellStyle name="20% - Accent4 3 10 2 4" xfId="6376" xr:uid="{00000000-0005-0000-0000-00008B180000}"/>
    <cellStyle name="20% - Accent4 3 10 3" xfId="6377" xr:uid="{00000000-0005-0000-0000-00008C180000}"/>
    <cellStyle name="20% - Accent4 3 10 3 2" xfId="6378" xr:uid="{00000000-0005-0000-0000-00008D180000}"/>
    <cellStyle name="20% - Accent4 3 10 3 3" xfId="6379" xr:uid="{00000000-0005-0000-0000-00008E180000}"/>
    <cellStyle name="20% - Accent4 3 10 4" xfId="6380" xr:uid="{00000000-0005-0000-0000-00008F180000}"/>
    <cellStyle name="20% - Accent4 3 10 5" xfId="6381" xr:uid="{00000000-0005-0000-0000-000090180000}"/>
    <cellStyle name="20% - Accent4 3 10 6" xfId="6382" xr:uid="{00000000-0005-0000-0000-000091180000}"/>
    <cellStyle name="20% - Accent4 3 11" xfId="6383" xr:uid="{00000000-0005-0000-0000-000092180000}"/>
    <cellStyle name="20% - Accent4 3 11 2" xfId="6384" xr:uid="{00000000-0005-0000-0000-000093180000}"/>
    <cellStyle name="20% - Accent4 3 11 2 2" xfId="6385" xr:uid="{00000000-0005-0000-0000-000094180000}"/>
    <cellStyle name="20% - Accent4 3 11 2 3" xfId="6386" xr:uid="{00000000-0005-0000-0000-000095180000}"/>
    <cellStyle name="20% - Accent4 3 11 3" xfId="6387" xr:uid="{00000000-0005-0000-0000-000096180000}"/>
    <cellStyle name="20% - Accent4 3 11 4" xfId="6388" xr:uid="{00000000-0005-0000-0000-000097180000}"/>
    <cellStyle name="20% - Accent4 3 12" xfId="6389" xr:uid="{00000000-0005-0000-0000-000098180000}"/>
    <cellStyle name="20% - Accent4 3 12 2" xfId="6390" xr:uid="{00000000-0005-0000-0000-000099180000}"/>
    <cellStyle name="20% - Accent4 3 12 3" xfId="6391" xr:uid="{00000000-0005-0000-0000-00009A180000}"/>
    <cellStyle name="20% - Accent4 3 13" xfId="6392" xr:uid="{00000000-0005-0000-0000-00009B180000}"/>
    <cellStyle name="20% - Accent4 3 14" xfId="6393" xr:uid="{00000000-0005-0000-0000-00009C180000}"/>
    <cellStyle name="20% - Accent4 3 15" xfId="6394" xr:uid="{00000000-0005-0000-0000-00009D180000}"/>
    <cellStyle name="20% - Accent4 3 2" xfId="6395" xr:uid="{00000000-0005-0000-0000-00009E180000}"/>
    <cellStyle name="20% - Accent4 3 2 10" xfId="6396" xr:uid="{00000000-0005-0000-0000-00009F180000}"/>
    <cellStyle name="20% - Accent4 3 2 11" xfId="6397" xr:uid="{00000000-0005-0000-0000-0000A0180000}"/>
    <cellStyle name="20% - Accent4 3 2 2" xfId="6398" xr:uid="{00000000-0005-0000-0000-0000A1180000}"/>
    <cellStyle name="20% - Accent4 3 2 2 10" xfId="6399" xr:uid="{00000000-0005-0000-0000-0000A2180000}"/>
    <cellStyle name="20% - Accent4 3 2 2 2" xfId="6400" xr:uid="{00000000-0005-0000-0000-0000A3180000}"/>
    <cellStyle name="20% - Accent4 3 2 2 2 2" xfId="6401" xr:uid="{00000000-0005-0000-0000-0000A4180000}"/>
    <cellStyle name="20% - Accent4 3 2 2 2 2 2" xfId="6402" xr:uid="{00000000-0005-0000-0000-0000A5180000}"/>
    <cellStyle name="20% - Accent4 3 2 2 2 2 2 2" xfId="6403" xr:uid="{00000000-0005-0000-0000-0000A6180000}"/>
    <cellStyle name="20% - Accent4 3 2 2 2 2 2 2 2" xfId="6404" xr:uid="{00000000-0005-0000-0000-0000A7180000}"/>
    <cellStyle name="20% - Accent4 3 2 2 2 2 2 2 2 2" xfId="6405" xr:uid="{00000000-0005-0000-0000-0000A8180000}"/>
    <cellStyle name="20% - Accent4 3 2 2 2 2 2 2 2 2 2" xfId="6406" xr:uid="{00000000-0005-0000-0000-0000A9180000}"/>
    <cellStyle name="20% - Accent4 3 2 2 2 2 2 2 2 2 3" xfId="6407" xr:uid="{00000000-0005-0000-0000-0000AA180000}"/>
    <cellStyle name="20% - Accent4 3 2 2 2 2 2 2 2 3" xfId="6408" xr:uid="{00000000-0005-0000-0000-0000AB180000}"/>
    <cellStyle name="20% - Accent4 3 2 2 2 2 2 2 2 4" xfId="6409" xr:uid="{00000000-0005-0000-0000-0000AC180000}"/>
    <cellStyle name="20% - Accent4 3 2 2 2 2 2 2 3" xfId="6410" xr:uid="{00000000-0005-0000-0000-0000AD180000}"/>
    <cellStyle name="20% - Accent4 3 2 2 2 2 2 2 3 2" xfId="6411" xr:uid="{00000000-0005-0000-0000-0000AE180000}"/>
    <cellStyle name="20% - Accent4 3 2 2 2 2 2 2 3 3" xfId="6412" xr:uid="{00000000-0005-0000-0000-0000AF180000}"/>
    <cellStyle name="20% - Accent4 3 2 2 2 2 2 2 4" xfId="6413" xr:uid="{00000000-0005-0000-0000-0000B0180000}"/>
    <cellStyle name="20% - Accent4 3 2 2 2 2 2 2 5" xfId="6414" xr:uid="{00000000-0005-0000-0000-0000B1180000}"/>
    <cellStyle name="20% - Accent4 3 2 2 2 2 2 2 6" xfId="6415" xr:uid="{00000000-0005-0000-0000-0000B2180000}"/>
    <cellStyle name="20% - Accent4 3 2 2 2 2 2 3" xfId="6416" xr:uid="{00000000-0005-0000-0000-0000B3180000}"/>
    <cellStyle name="20% - Accent4 3 2 2 2 2 2 3 2" xfId="6417" xr:uid="{00000000-0005-0000-0000-0000B4180000}"/>
    <cellStyle name="20% - Accent4 3 2 2 2 2 2 3 2 2" xfId="6418" xr:uid="{00000000-0005-0000-0000-0000B5180000}"/>
    <cellStyle name="20% - Accent4 3 2 2 2 2 2 3 2 3" xfId="6419" xr:uid="{00000000-0005-0000-0000-0000B6180000}"/>
    <cellStyle name="20% - Accent4 3 2 2 2 2 2 3 3" xfId="6420" xr:uid="{00000000-0005-0000-0000-0000B7180000}"/>
    <cellStyle name="20% - Accent4 3 2 2 2 2 2 3 4" xfId="6421" xr:uid="{00000000-0005-0000-0000-0000B8180000}"/>
    <cellStyle name="20% - Accent4 3 2 2 2 2 2 4" xfId="6422" xr:uid="{00000000-0005-0000-0000-0000B9180000}"/>
    <cellStyle name="20% - Accent4 3 2 2 2 2 2 4 2" xfId="6423" xr:uid="{00000000-0005-0000-0000-0000BA180000}"/>
    <cellStyle name="20% - Accent4 3 2 2 2 2 2 4 3" xfId="6424" xr:uid="{00000000-0005-0000-0000-0000BB180000}"/>
    <cellStyle name="20% - Accent4 3 2 2 2 2 2 5" xfId="6425" xr:uid="{00000000-0005-0000-0000-0000BC180000}"/>
    <cellStyle name="20% - Accent4 3 2 2 2 2 2 6" xfId="6426" xr:uid="{00000000-0005-0000-0000-0000BD180000}"/>
    <cellStyle name="20% - Accent4 3 2 2 2 2 2 7" xfId="6427" xr:uid="{00000000-0005-0000-0000-0000BE180000}"/>
    <cellStyle name="20% - Accent4 3 2 2 2 2 3" xfId="6428" xr:uid="{00000000-0005-0000-0000-0000BF180000}"/>
    <cellStyle name="20% - Accent4 3 2 2 2 2 3 2" xfId="6429" xr:uid="{00000000-0005-0000-0000-0000C0180000}"/>
    <cellStyle name="20% - Accent4 3 2 2 2 2 3 2 2" xfId="6430" xr:uid="{00000000-0005-0000-0000-0000C1180000}"/>
    <cellStyle name="20% - Accent4 3 2 2 2 2 3 2 2 2" xfId="6431" xr:uid="{00000000-0005-0000-0000-0000C2180000}"/>
    <cellStyle name="20% - Accent4 3 2 2 2 2 3 2 2 3" xfId="6432" xr:uid="{00000000-0005-0000-0000-0000C3180000}"/>
    <cellStyle name="20% - Accent4 3 2 2 2 2 3 2 3" xfId="6433" xr:uid="{00000000-0005-0000-0000-0000C4180000}"/>
    <cellStyle name="20% - Accent4 3 2 2 2 2 3 2 4" xfId="6434" xr:uid="{00000000-0005-0000-0000-0000C5180000}"/>
    <cellStyle name="20% - Accent4 3 2 2 2 2 3 3" xfId="6435" xr:uid="{00000000-0005-0000-0000-0000C6180000}"/>
    <cellStyle name="20% - Accent4 3 2 2 2 2 3 3 2" xfId="6436" xr:uid="{00000000-0005-0000-0000-0000C7180000}"/>
    <cellStyle name="20% - Accent4 3 2 2 2 2 3 3 3" xfId="6437" xr:uid="{00000000-0005-0000-0000-0000C8180000}"/>
    <cellStyle name="20% - Accent4 3 2 2 2 2 3 4" xfId="6438" xr:uid="{00000000-0005-0000-0000-0000C9180000}"/>
    <cellStyle name="20% - Accent4 3 2 2 2 2 3 5" xfId="6439" xr:uid="{00000000-0005-0000-0000-0000CA180000}"/>
    <cellStyle name="20% - Accent4 3 2 2 2 2 3 6" xfId="6440" xr:uid="{00000000-0005-0000-0000-0000CB180000}"/>
    <cellStyle name="20% - Accent4 3 2 2 2 2 4" xfId="6441" xr:uid="{00000000-0005-0000-0000-0000CC180000}"/>
    <cellStyle name="20% - Accent4 3 2 2 2 2 4 2" xfId="6442" xr:uid="{00000000-0005-0000-0000-0000CD180000}"/>
    <cellStyle name="20% - Accent4 3 2 2 2 2 4 2 2" xfId="6443" xr:uid="{00000000-0005-0000-0000-0000CE180000}"/>
    <cellStyle name="20% - Accent4 3 2 2 2 2 4 2 3" xfId="6444" xr:uid="{00000000-0005-0000-0000-0000CF180000}"/>
    <cellStyle name="20% - Accent4 3 2 2 2 2 4 3" xfId="6445" xr:uid="{00000000-0005-0000-0000-0000D0180000}"/>
    <cellStyle name="20% - Accent4 3 2 2 2 2 4 4" xfId="6446" xr:uid="{00000000-0005-0000-0000-0000D1180000}"/>
    <cellStyle name="20% - Accent4 3 2 2 2 2 5" xfId="6447" xr:uid="{00000000-0005-0000-0000-0000D2180000}"/>
    <cellStyle name="20% - Accent4 3 2 2 2 2 5 2" xfId="6448" xr:uid="{00000000-0005-0000-0000-0000D3180000}"/>
    <cellStyle name="20% - Accent4 3 2 2 2 2 5 3" xfId="6449" xr:uid="{00000000-0005-0000-0000-0000D4180000}"/>
    <cellStyle name="20% - Accent4 3 2 2 2 2 6" xfId="6450" xr:uid="{00000000-0005-0000-0000-0000D5180000}"/>
    <cellStyle name="20% - Accent4 3 2 2 2 2 7" xfId="6451" xr:uid="{00000000-0005-0000-0000-0000D6180000}"/>
    <cellStyle name="20% - Accent4 3 2 2 2 2 8" xfId="6452" xr:uid="{00000000-0005-0000-0000-0000D7180000}"/>
    <cellStyle name="20% - Accent4 3 2 2 2 3" xfId="6453" xr:uid="{00000000-0005-0000-0000-0000D8180000}"/>
    <cellStyle name="20% - Accent4 3 2 2 2 3 2" xfId="6454" xr:uid="{00000000-0005-0000-0000-0000D9180000}"/>
    <cellStyle name="20% - Accent4 3 2 2 2 3 2 2" xfId="6455" xr:uid="{00000000-0005-0000-0000-0000DA180000}"/>
    <cellStyle name="20% - Accent4 3 2 2 2 3 2 2 2" xfId="6456" xr:uid="{00000000-0005-0000-0000-0000DB180000}"/>
    <cellStyle name="20% - Accent4 3 2 2 2 3 2 2 2 2" xfId="6457" xr:uid="{00000000-0005-0000-0000-0000DC180000}"/>
    <cellStyle name="20% - Accent4 3 2 2 2 3 2 2 2 3" xfId="6458" xr:uid="{00000000-0005-0000-0000-0000DD180000}"/>
    <cellStyle name="20% - Accent4 3 2 2 2 3 2 2 3" xfId="6459" xr:uid="{00000000-0005-0000-0000-0000DE180000}"/>
    <cellStyle name="20% - Accent4 3 2 2 2 3 2 2 4" xfId="6460" xr:uid="{00000000-0005-0000-0000-0000DF180000}"/>
    <cellStyle name="20% - Accent4 3 2 2 2 3 2 3" xfId="6461" xr:uid="{00000000-0005-0000-0000-0000E0180000}"/>
    <cellStyle name="20% - Accent4 3 2 2 2 3 2 3 2" xfId="6462" xr:uid="{00000000-0005-0000-0000-0000E1180000}"/>
    <cellStyle name="20% - Accent4 3 2 2 2 3 2 3 3" xfId="6463" xr:uid="{00000000-0005-0000-0000-0000E2180000}"/>
    <cellStyle name="20% - Accent4 3 2 2 2 3 2 4" xfId="6464" xr:uid="{00000000-0005-0000-0000-0000E3180000}"/>
    <cellStyle name="20% - Accent4 3 2 2 2 3 2 5" xfId="6465" xr:uid="{00000000-0005-0000-0000-0000E4180000}"/>
    <cellStyle name="20% - Accent4 3 2 2 2 3 2 6" xfId="6466" xr:uid="{00000000-0005-0000-0000-0000E5180000}"/>
    <cellStyle name="20% - Accent4 3 2 2 2 3 3" xfId="6467" xr:uid="{00000000-0005-0000-0000-0000E6180000}"/>
    <cellStyle name="20% - Accent4 3 2 2 2 3 3 2" xfId="6468" xr:uid="{00000000-0005-0000-0000-0000E7180000}"/>
    <cellStyle name="20% - Accent4 3 2 2 2 3 3 2 2" xfId="6469" xr:uid="{00000000-0005-0000-0000-0000E8180000}"/>
    <cellStyle name="20% - Accent4 3 2 2 2 3 3 2 3" xfId="6470" xr:uid="{00000000-0005-0000-0000-0000E9180000}"/>
    <cellStyle name="20% - Accent4 3 2 2 2 3 3 3" xfId="6471" xr:uid="{00000000-0005-0000-0000-0000EA180000}"/>
    <cellStyle name="20% - Accent4 3 2 2 2 3 3 4" xfId="6472" xr:uid="{00000000-0005-0000-0000-0000EB180000}"/>
    <cellStyle name="20% - Accent4 3 2 2 2 3 4" xfId="6473" xr:uid="{00000000-0005-0000-0000-0000EC180000}"/>
    <cellStyle name="20% - Accent4 3 2 2 2 3 4 2" xfId="6474" xr:uid="{00000000-0005-0000-0000-0000ED180000}"/>
    <cellStyle name="20% - Accent4 3 2 2 2 3 4 3" xfId="6475" xr:uid="{00000000-0005-0000-0000-0000EE180000}"/>
    <cellStyle name="20% - Accent4 3 2 2 2 3 5" xfId="6476" xr:uid="{00000000-0005-0000-0000-0000EF180000}"/>
    <cellStyle name="20% - Accent4 3 2 2 2 3 6" xfId="6477" xr:uid="{00000000-0005-0000-0000-0000F0180000}"/>
    <cellStyle name="20% - Accent4 3 2 2 2 3 7" xfId="6478" xr:uid="{00000000-0005-0000-0000-0000F1180000}"/>
    <cellStyle name="20% - Accent4 3 2 2 2 4" xfId="6479" xr:uid="{00000000-0005-0000-0000-0000F2180000}"/>
    <cellStyle name="20% - Accent4 3 2 2 2 4 2" xfId="6480" xr:uid="{00000000-0005-0000-0000-0000F3180000}"/>
    <cellStyle name="20% - Accent4 3 2 2 2 4 2 2" xfId="6481" xr:uid="{00000000-0005-0000-0000-0000F4180000}"/>
    <cellStyle name="20% - Accent4 3 2 2 2 4 2 2 2" xfId="6482" xr:uid="{00000000-0005-0000-0000-0000F5180000}"/>
    <cellStyle name="20% - Accent4 3 2 2 2 4 2 2 3" xfId="6483" xr:uid="{00000000-0005-0000-0000-0000F6180000}"/>
    <cellStyle name="20% - Accent4 3 2 2 2 4 2 3" xfId="6484" xr:uid="{00000000-0005-0000-0000-0000F7180000}"/>
    <cellStyle name="20% - Accent4 3 2 2 2 4 2 4" xfId="6485" xr:uid="{00000000-0005-0000-0000-0000F8180000}"/>
    <cellStyle name="20% - Accent4 3 2 2 2 4 3" xfId="6486" xr:uid="{00000000-0005-0000-0000-0000F9180000}"/>
    <cellStyle name="20% - Accent4 3 2 2 2 4 3 2" xfId="6487" xr:uid="{00000000-0005-0000-0000-0000FA180000}"/>
    <cellStyle name="20% - Accent4 3 2 2 2 4 3 3" xfId="6488" xr:uid="{00000000-0005-0000-0000-0000FB180000}"/>
    <cellStyle name="20% - Accent4 3 2 2 2 4 4" xfId="6489" xr:uid="{00000000-0005-0000-0000-0000FC180000}"/>
    <cellStyle name="20% - Accent4 3 2 2 2 4 5" xfId="6490" xr:uid="{00000000-0005-0000-0000-0000FD180000}"/>
    <cellStyle name="20% - Accent4 3 2 2 2 4 6" xfId="6491" xr:uid="{00000000-0005-0000-0000-0000FE180000}"/>
    <cellStyle name="20% - Accent4 3 2 2 2 5" xfId="6492" xr:uid="{00000000-0005-0000-0000-0000FF180000}"/>
    <cellStyle name="20% - Accent4 3 2 2 2 5 2" xfId="6493" xr:uid="{00000000-0005-0000-0000-000000190000}"/>
    <cellStyle name="20% - Accent4 3 2 2 2 5 2 2" xfId="6494" xr:uid="{00000000-0005-0000-0000-000001190000}"/>
    <cellStyle name="20% - Accent4 3 2 2 2 5 2 3" xfId="6495" xr:uid="{00000000-0005-0000-0000-000002190000}"/>
    <cellStyle name="20% - Accent4 3 2 2 2 5 3" xfId="6496" xr:uid="{00000000-0005-0000-0000-000003190000}"/>
    <cellStyle name="20% - Accent4 3 2 2 2 5 4" xfId="6497" xr:uid="{00000000-0005-0000-0000-000004190000}"/>
    <cellStyle name="20% - Accent4 3 2 2 2 6" xfId="6498" xr:uid="{00000000-0005-0000-0000-000005190000}"/>
    <cellStyle name="20% - Accent4 3 2 2 2 6 2" xfId="6499" xr:uid="{00000000-0005-0000-0000-000006190000}"/>
    <cellStyle name="20% - Accent4 3 2 2 2 6 3" xfId="6500" xr:uid="{00000000-0005-0000-0000-000007190000}"/>
    <cellStyle name="20% - Accent4 3 2 2 2 7" xfId="6501" xr:uid="{00000000-0005-0000-0000-000008190000}"/>
    <cellStyle name="20% - Accent4 3 2 2 2 8" xfId="6502" xr:uid="{00000000-0005-0000-0000-000009190000}"/>
    <cellStyle name="20% - Accent4 3 2 2 2 9" xfId="6503" xr:uid="{00000000-0005-0000-0000-00000A190000}"/>
    <cellStyle name="20% - Accent4 3 2 2 3" xfId="6504" xr:uid="{00000000-0005-0000-0000-00000B190000}"/>
    <cellStyle name="20% - Accent4 3 2 2 3 2" xfId="6505" xr:uid="{00000000-0005-0000-0000-00000C190000}"/>
    <cellStyle name="20% - Accent4 3 2 2 3 2 2" xfId="6506" xr:uid="{00000000-0005-0000-0000-00000D190000}"/>
    <cellStyle name="20% - Accent4 3 2 2 3 2 2 2" xfId="6507" xr:uid="{00000000-0005-0000-0000-00000E190000}"/>
    <cellStyle name="20% - Accent4 3 2 2 3 2 2 2 2" xfId="6508" xr:uid="{00000000-0005-0000-0000-00000F190000}"/>
    <cellStyle name="20% - Accent4 3 2 2 3 2 2 2 2 2" xfId="6509" xr:uid="{00000000-0005-0000-0000-000010190000}"/>
    <cellStyle name="20% - Accent4 3 2 2 3 2 2 2 2 3" xfId="6510" xr:uid="{00000000-0005-0000-0000-000011190000}"/>
    <cellStyle name="20% - Accent4 3 2 2 3 2 2 2 3" xfId="6511" xr:uid="{00000000-0005-0000-0000-000012190000}"/>
    <cellStyle name="20% - Accent4 3 2 2 3 2 2 2 4" xfId="6512" xr:uid="{00000000-0005-0000-0000-000013190000}"/>
    <cellStyle name="20% - Accent4 3 2 2 3 2 2 3" xfId="6513" xr:uid="{00000000-0005-0000-0000-000014190000}"/>
    <cellStyle name="20% - Accent4 3 2 2 3 2 2 3 2" xfId="6514" xr:uid="{00000000-0005-0000-0000-000015190000}"/>
    <cellStyle name="20% - Accent4 3 2 2 3 2 2 3 3" xfId="6515" xr:uid="{00000000-0005-0000-0000-000016190000}"/>
    <cellStyle name="20% - Accent4 3 2 2 3 2 2 4" xfId="6516" xr:uid="{00000000-0005-0000-0000-000017190000}"/>
    <cellStyle name="20% - Accent4 3 2 2 3 2 2 5" xfId="6517" xr:uid="{00000000-0005-0000-0000-000018190000}"/>
    <cellStyle name="20% - Accent4 3 2 2 3 2 2 6" xfId="6518" xr:uid="{00000000-0005-0000-0000-000019190000}"/>
    <cellStyle name="20% - Accent4 3 2 2 3 2 3" xfId="6519" xr:uid="{00000000-0005-0000-0000-00001A190000}"/>
    <cellStyle name="20% - Accent4 3 2 2 3 2 3 2" xfId="6520" xr:uid="{00000000-0005-0000-0000-00001B190000}"/>
    <cellStyle name="20% - Accent4 3 2 2 3 2 3 2 2" xfId="6521" xr:uid="{00000000-0005-0000-0000-00001C190000}"/>
    <cellStyle name="20% - Accent4 3 2 2 3 2 3 2 3" xfId="6522" xr:uid="{00000000-0005-0000-0000-00001D190000}"/>
    <cellStyle name="20% - Accent4 3 2 2 3 2 3 3" xfId="6523" xr:uid="{00000000-0005-0000-0000-00001E190000}"/>
    <cellStyle name="20% - Accent4 3 2 2 3 2 3 4" xfId="6524" xr:uid="{00000000-0005-0000-0000-00001F190000}"/>
    <cellStyle name="20% - Accent4 3 2 2 3 2 4" xfId="6525" xr:uid="{00000000-0005-0000-0000-000020190000}"/>
    <cellStyle name="20% - Accent4 3 2 2 3 2 4 2" xfId="6526" xr:uid="{00000000-0005-0000-0000-000021190000}"/>
    <cellStyle name="20% - Accent4 3 2 2 3 2 4 3" xfId="6527" xr:uid="{00000000-0005-0000-0000-000022190000}"/>
    <cellStyle name="20% - Accent4 3 2 2 3 2 5" xfId="6528" xr:uid="{00000000-0005-0000-0000-000023190000}"/>
    <cellStyle name="20% - Accent4 3 2 2 3 2 6" xfId="6529" xr:uid="{00000000-0005-0000-0000-000024190000}"/>
    <cellStyle name="20% - Accent4 3 2 2 3 2 7" xfId="6530" xr:uid="{00000000-0005-0000-0000-000025190000}"/>
    <cellStyle name="20% - Accent4 3 2 2 3 3" xfId="6531" xr:uid="{00000000-0005-0000-0000-000026190000}"/>
    <cellStyle name="20% - Accent4 3 2 2 3 3 2" xfId="6532" xr:uid="{00000000-0005-0000-0000-000027190000}"/>
    <cellStyle name="20% - Accent4 3 2 2 3 3 2 2" xfId="6533" xr:uid="{00000000-0005-0000-0000-000028190000}"/>
    <cellStyle name="20% - Accent4 3 2 2 3 3 2 2 2" xfId="6534" xr:uid="{00000000-0005-0000-0000-000029190000}"/>
    <cellStyle name="20% - Accent4 3 2 2 3 3 2 2 3" xfId="6535" xr:uid="{00000000-0005-0000-0000-00002A190000}"/>
    <cellStyle name="20% - Accent4 3 2 2 3 3 2 3" xfId="6536" xr:uid="{00000000-0005-0000-0000-00002B190000}"/>
    <cellStyle name="20% - Accent4 3 2 2 3 3 2 4" xfId="6537" xr:uid="{00000000-0005-0000-0000-00002C190000}"/>
    <cellStyle name="20% - Accent4 3 2 2 3 3 3" xfId="6538" xr:uid="{00000000-0005-0000-0000-00002D190000}"/>
    <cellStyle name="20% - Accent4 3 2 2 3 3 3 2" xfId="6539" xr:uid="{00000000-0005-0000-0000-00002E190000}"/>
    <cellStyle name="20% - Accent4 3 2 2 3 3 3 3" xfId="6540" xr:uid="{00000000-0005-0000-0000-00002F190000}"/>
    <cellStyle name="20% - Accent4 3 2 2 3 3 4" xfId="6541" xr:uid="{00000000-0005-0000-0000-000030190000}"/>
    <cellStyle name="20% - Accent4 3 2 2 3 3 5" xfId="6542" xr:uid="{00000000-0005-0000-0000-000031190000}"/>
    <cellStyle name="20% - Accent4 3 2 2 3 3 6" xfId="6543" xr:uid="{00000000-0005-0000-0000-000032190000}"/>
    <cellStyle name="20% - Accent4 3 2 2 3 4" xfId="6544" xr:uid="{00000000-0005-0000-0000-000033190000}"/>
    <cellStyle name="20% - Accent4 3 2 2 3 4 2" xfId="6545" xr:uid="{00000000-0005-0000-0000-000034190000}"/>
    <cellStyle name="20% - Accent4 3 2 2 3 4 2 2" xfId="6546" xr:uid="{00000000-0005-0000-0000-000035190000}"/>
    <cellStyle name="20% - Accent4 3 2 2 3 4 2 3" xfId="6547" xr:uid="{00000000-0005-0000-0000-000036190000}"/>
    <cellStyle name="20% - Accent4 3 2 2 3 4 3" xfId="6548" xr:uid="{00000000-0005-0000-0000-000037190000}"/>
    <cellStyle name="20% - Accent4 3 2 2 3 4 4" xfId="6549" xr:uid="{00000000-0005-0000-0000-000038190000}"/>
    <cellStyle name="20% - Accent4 3 2 2 3 5" xfId="6550" xr:uid="{00000000-0005-0000-0000-000039190000}"/>
    <cellStyle name="20% - Accent4 3 2 2 3 5 2" xfId="6551" xr:uid="{00000000-0005-0000-0000-00003A190000}"/>
    <cellStyle name="20% - Accent4 3 2 2 3 5 3" xfId="6552" xr:uid="{00000000-0005-0000-0000-00003B190000}"/>
    <cellStyle name="20% - Accent4 3 2 2 3 6" xfId="6553" xr:uid="{00000000-0005-0000-0000-00003C190000}"/>
    <cellStyle name="20% - Accent4 3 2 2 3 7" xfId="6554" xr:uid="{00000000-0005-0000-0000-00003D190000}"/>
    <cellStyle name="20% - Accent4 3 2 2 3 8" xfId="6555" xr:uid="{00000000-0005-0000-0000-00003E190000}"/>
    <cellStyle name="20% - Accent4 3 2 2 4" xfId="6556" xr:uid="{00000000-0005-0000-0000-00003F190000}"/>
    <cellStyle name="20% - Accent4 3 2 2 4 2" xfId="6557" xr:uid="{00000000-0005-0000-0000-000040190000}"/>
    <cellStyle name="20% - Accent4 3 2 2 4 2 2" xfId="6558" xr:uid="{00000000-0005-0000-0000-000041190000}"/>
    <cellStyle name="20% - Accent4 3 2 2 4 2 2 2" xfId="6559" xr:uid="{00000000-0005-0000-0000-000042190000}"/>
    <cellStyle name="20% - Accent4 3 2 2 4 2 2 2 2" xfId="6560" xr:uid="{00000000-0005-0000-0000-000043190000}"/>
    <cellStyle name="20% - Accent4 3 2 2 4 2 2 2 3" xfId="6561" xr:uid="{00000000-0005-0000-0000-000044190000}"/>
    <cellStyle name="20% - Accent4 3 2 2 4 2 2 3" xfId="6562" xr:uid="{00000000-0005-0000-0000-000045190000}"/>
    <cellStyle name="20% - Accent4 3 2 2 4 2 2 4" xfId="6563" xr:uid="{00000000-0005-0000-0000-000046190000}"/>
    <cellStyle name="20% - Accent4 3 2 2 4 2 3" xfId="6564" xr:uid="{00000000-0005-0000-0000-000047190000}"/>
    <cellStyle name="20% - Accent4 3 2 2 4 2 3 2" xfId="6565" xr:uid="{00000000-0005-0000-0000-000048190000}"/>
    <cellStyle name="20% - Accent4 3 2 2 4 2 3 3" xfId="6566" xr:uid="{00000000-0005-0000-0000-000049190000}"/>
    <cellStyle name="20% - Accent4 3 2 2 4 2 4" xfId="6567" xr:uid="{00000000-0005-0000-0000-00004A190000}"/>
    <cellStyle name="20% - Accent4 3 2 2 4 2 5" xfId="6568" xr:uid="{00000000-0005-0000-0000-00004B190000}"/>
    <cellStyle name="20% - Accent4 3 2 2 4 2 6" xfId="6569" xr:uid="{00000000-0005-0000-0000-00004C190000}"/>
    <cellStyle name="20% - Accent4 3 2 2 4 3" xfId="6570" xr:uid="{00000000-0005-0000-0000-00004D190000}"/>
    <cellStyle name="20% - Accent4 3 2 2 4 3 2" xfId="6571" xr:uid="{00000000-0005-0000-0000-00004E190000}"/>
    <cellStyle name="20% - Accent4 3 2 2 4 3 2 2" xfId="6572" xr:uid="{00000000-0005-0000-0000-00004F190000}"/>
    <cellStyle name="20% - Accent4 3 2 2 4 3 2 3" xfId="6573" xr:uid="{00000000-0005-0000-0000-000050190000}"/>
    <cellStyle name="20% - Accent4 3 2 2 4 3 3" xfId="6574" xr:uid="{00000000-0005-0000-0000-000051190000}"/>
    <cellStyle name="20% - Accent4 3 2 2 4 3 4" xfId="6575" xr:uid="{00000000-0005-0000-0000-000052190000}"/>
    <cellStyle name="20% - Accent4 3 2 2 4 4" xfId="6576" xr:uid="{00000000-0005-0000-0000-000053190000}"/>
    <cellStyle name="20% - Accent4 3 2 2 4 4 2" xfId="6577" xr:uid="{00000000-0005-0000-0000-000054190000}"/>
    <cellStyle name="20% - Accent4 3 2 2 4 4 3" xfId="6578" xr:uid="{00000000-0005-0000-0000-000055190000}"/>
    <cellStyle name="20% - Accent4 3 2 2 4 5" xfId="6579" xr:uid="{00000000-0005-0000-0000-000056190000}"/>
    <cellStyle name="20% - Accent4 3 2 2 4 6" xfId="6580" xr:uid="{00000000-0005-0000-0000-000057190000}"/>
    <cellStyle name="20% - Accent4 3 2 2 4 7" xfId="6581" xr:uid="{00000000-0005-0000-0000-000058190000}"/>
    <cellStyle name="20% - Accent4 3 2 2 5" xfId="6582" xr:uid="{00000000-0005-0000-0000-000059190000}"/>
    <cellStyle name="20% - Accent4 3 2 2 5 2" xfId="6583" xr:uid="{00000000-0005-0000-0000-00005A190000}"/>
    <cellStyle name="20% - Accent4 3 2 2 5 2 2" xfId="6584" xr:uid="{00000000-0005-0000-0000-00005B190000}"/>
    <cellStyle name="20% - Accent4 3 2 2 5 2 2 2" xfId="6585" xr:uid="{00000000-0005-0000-0000-00005C190000}"/>
    <cellStyle name="20% - Accent4 3 2 2 5 2 2 3" xfId="6586" xr:uid="{00000000-0005-0000-0000-00005D190000}"/>
    <cellStyle name="20% - Accent4 3 2 2 5 2 3" xfId="6587" xr:uid="{00000000-0005-0000-0000-00005E190000}"/>
    <cellStyle name="20% - Accent4 3 2 2 5 2 4" xfId="6588" xr:uid="{00000000-0005-0000-0000-00005F190000}"/>
    <cellStyle name="20% - Accent4 3 2 2 5 3" xfId="6589" xr:uid="{00000000-0005-0000-0000-000060190000}"/>
    <cellStyle name="20% - Accent4 3 2 2 5 3 2" xfId="6590" xr:uid="{00000000-0005-0000-0000-000061190000}"/>
    <cellStyle name="20% - Accent4 3 2 2 5 3 3" xfId="6591" xr:uid="{00000000-0005-0000-0000-000062190000}"/>
    <cellStyle name="20% - Accent4 3 2 2 5 4" xfId="6592" xr:uid="{00000000-0005-0000-0000-000063190000}"/>
    <cellStyle name="20% - Accent4 3 2 2 5 5" xfId="6593" xr:uid="{00000000-0005-0000-0000-000064190000}"/>
    <cellStyle name="20% - Accent4 3 2 2 5 6" xfId="6594" xr:uid="{00000000-0005-0000-0000-000065190000}"/>
    <cellStyle name="20% - Accent4 3 2 2 6" xfId="6595" xr:uid="{00000000-0005-0000-0000-000066190000}"/>
    <cellStyle name="20% - Accent4 3 2 2 6 2" xfId="6596" xr:uid="{00000000-0005-0000-0000-000067190000}"/>
    <cellStyle name="20% - Accent4 3 2 2 6 2 2" xfId="6597" xr:uid="{00000000-0005-0000-0000-000068190000}"/>
    <cellStyle name="20% - Accent4 3 2 2 6 2 3" xfId="6598" xr:uid="{00000000-0005-0000-0000-000069190000}"/>
    <cellStyle name="20% - Accent4 3 2 2 6 3" xfId="6599" xr:uid="{00000000-0005-0000-0000-00006A190000}"/>
    <cellStyle name="20% - Accent4 3 2 2 6 4" xfId="6600" xr:uid="{00000000-0005-0000-0000-00006B190000}"/>
    <cellStyle name="20% - Accent4 3 2 2 7" xfId="6601" xr:uid="{00000000-0005-0000-0000-00006C190000}"/>
    <cellStyle name="20% - Accent4 3 2 2 7 2" xfId="6602" xr:uid="{00000000-0005-0000-0000-00006D190000}"/>
    <cellStyle name="20% - Accent4 3 2 2 7 3" xfId="6603" xr:uid="{00000000-0005-0000-0000-00006E190000}"/>
    <cellStyle name="20% - Accent4 3 2 2 8" xfId="6604" xr:uid="{00000000-0005-0000-0000-00006F190000}"/>
    <cellStyle name="20% - Accent4 3 2 2 9" xfId="6605" xr:uid="{00000000-0005-0000-0000-000070190000}"/>
    <cellStyle name="20% - Accent4 3 2 3" xfId="6606" xr:uid="{00000000-0005-0000-0000-000071190000}"/>
    <cellStyle name="20% - Accent4 3 2 3 2" xfId="6607" xr:uid="{00000000-0005-0000-0000-000072190000}"/>
    <cellStyle name="20% - Accent4 3 2 3 2 2" xfId="6608" xr:uid="{00000000-0005-0000-0000-000073190000}"/>
    <cellStyle name="20% - Accent4 3 2 3 2 2 2" xfId="6609" xr:uid="{00000000-0005-0000-0000-000074190000}"/>
    <cellStyle name="20% - Accent4 3 2 3 2 2 2 2" xfId="6610" xr:uid="{00000000-0005-0000-0000-000075190000}"/>
    <cellStyle name="20% - Accent4 3 2 3 2 2 2 2 2" xfId="6611" xr:uid="{00000000-0005-0000-0000-000076190000}"/>
    <cellStyle name="20% - Accent4 3 2 3 2 2 2 2 2 2" xfId="6612" xr:uid="{00000000-0005-0000-0000-000077190000}"/>
    <cellStyle name="20% - Accent4 3 2 3 2 2 2 2 2 3" xfId="6613" xr:uid="{00000000-0005-0000-0000-000078190000}"/>
    <cellStyle name="20% - Accent4 3 2 3 2 2 2 2 3" xfId="6614" xr:uid="{00000000-0005-0000-0000-000079190000}"/>
    <cellStyle name="20% - Accent4 3 2 3 2 2 2 2 4" xfId="6615" xr:uid="{00000000-0005-0000-0000-00007A190000}"/>
    <cellStyle name="20% - Accent4 3 2 3 2 2 2 3" xfId="6616" xr:uid="{00000000-0005-0000-0000-00007B190000}"/>
    <cellStyle name="20% - Accent4 3 2 3 2 2 2 3 2" xfId="6617" xr:uid="{00000000-0005-0000-0000-00007C190000}"/>
    <cellStyle name="20% - Accent4 3 2 3 2 2 2 3 3" xfId="6618" xr:uid="{00000000-0005-0000-0000-00007D190000}"/>
    <cellStyle name="20% - Accent4 3 2 3 2 2 2 4" xfId="6619" xr:uid="{00000000-0005-0000-0000-00007E190000}"/>
    <cellStyle name="20% - Accent4 3 2 3 2 2 2 5" xfId="6620" xr:uid="{00000000-0005-0000-0000-00007F190000}"/>
    <cellStyle name="20% - Accent4 3 2 3 2 2 2 6" xfId="6621" xr:uid="{00000000-0005-0000-0000-000080190000}"/>
    <cellStyle name="20% - Accent4 3 2 3 2 2 3" xfId="6622" xr:uid="{00000000-0005-0000-0000-000081190000}"/>
    <cellStyle name="20% - Accent4 3 2 3 2 2 3 2" xfId="6623" xr:uid="{00000000-0005-0000-0000-000082190000}"/>
    <cellStyle name="20% - Accent4 3 2 3 2 2 3 2 2" xfId="6624" xr:uid="{00000000-0005-0000-0000-000083190000}"/>
    <cellStyle name="20% - Accent4 3 2 3 2 2 3 2 3" xfId="6625" xr:uid="{00000000-0005-0000-0000-000084190000}"/>
    <cellStyle name="20% - Accent4 3 2 3 2 2 3 3" xfId="6626" xr:uid="{00000000-0005-0000-0000-000085190000}"/>
    <cellStyle name="20% - Accent4 3 2 3 2 2 3 4" xfId="6627" xr:uid="{00000000-0005-0000-0000-000086190000}"/>
    <cellStyle name="20% - Accent4 3 2 3 2 2 4" xfId="6628" xr:uid="{00000000-0005-0000-0000-000087190000}"/>
    <cellStyle name="20% - Accent4 3 2 3 2 2 4 2" xfId="6629" xr:uid="{00000000-0005-0000-0000-000088190000}"/>
    <cellStyle name="20% - Accent4 3 2 3 2 2 4 3" xfId="6630" xr:uid="{00000000-0005-0000-0000-000089190000}"/>
    <cellStyle name="20% - Accent4 3 2 3 2 2 5" xfId="6631" xr:uid="{00000000-0005-0000-0000-00008A190000}"/>
    <cellStyle name="20% - Accent4 3 2 3 2 2 6" xfId="6632" xr:uid="{00000000-0005-0000-0000-00008B190000}"/>
    <cellStyle name="20% - Accent4 3 2 3 2 2 7" xfId="6633" xr:uid="{00000000-0005-0000-0000-00008C190000}"/>
    <cellStyle name="20% - Accent4 3 2 3 2 3" xfId="6634" xr:uid="{00000000-0005-0000-0000-00008D190000}"/>
    <cellStyle name="20% - Accent4 3 2 3 2 3 2" xfId="6635" xr:uid="{00000000-0005-0000-0000-00008E190000}"/>
    <cellStyle name="20% - Accent4 3 2 3 2 3 2 2" xfId="6636" xr:uid="{00000000-0005-0000-0000-00008F190000}"/>
    <cellStyle name="20% - Accent4 3 2 3 2 3 2 2 2" xfId="6637" xr:uid="{00000000-0005-0000-0000-000090190000}"/>
    <cellStyle name="20% - Accent4 3 2 3 2 3 2 2 3" xfId="6638" xr:uid="{00000000-0005-0000-0000-000091190000}"/>
    <cellStyle name="20% - Accent4 3 2 3 2 3 2 3" xfId="6639" xr:uid="{00000000-0005-0000-0000-000092190000}"/>
    <cellStyle name="20% - Accent4 3 2 3 2 3 2 4" xfId="6640" xr:uid="{00000000-0005-0000-0000-000093190000}"/>
    <cellStyle name="20% - Accent4 3 2 3 2 3 3" xfId="6641" xr:uid="{00000000-0005-0000-0000-000094190000}"/>
    <cellStyle name="20% - Accent4 3 2 3 2 3 3 2" xfId="6642" xr:uid="{00000000-0005-0000-0000-000095190000}"/>
    <cellStyle name="20% - Accent4 3 2 3 2 3 3 3" xfId="6643" xr:uid="{00000000-0005-0000-0000-000096190000}"/>
    <cellStyle name="20% - Accent4 3 2 3 2 3 4" xfId="6644" xr:uid="{00000000-0005-0000-0000-000097190000}"/>
    <cellStyle name="20% - Accent4 3 2 3 2 3 5" xfId="6645" xr:uid="{00000000-0005-0000-0000-000098190000}"/>
    <cellStyle name="20% - Accent4 3 2 3 2 3 6" xfId="6646" xr:uid="{00000000-0005-0000-0000-000099190000}"/>
    <cellStyle name="20% - Accent4 3 2 3 2 4" xfId="6647" xr:uid="{00000000-0005-0000-0000-00009A190000}"/>
    <cellStyle name="20% - Accent4 3 2 3 2 4 2" xfId="6648" xr:uid="{00000000-0005-0000-0000-00009B190000}"/>
    <cellStyle name="20% - Accent4 3 2 3 2 4 2 2" xfId="6649" xr:uid="{00000000-0005-0000-0000-00009C190000}"/>
    <cellStyle name="20% - Accent4 3 2 3 2 4 2 3" xfId="6650" xr:uid="{00000000-0005-0000-0000-00009D190000}"/>
    <cellStyle name="20% - Accent4 3 2 3 2 4 3" xfId="6651" xr:uid="{00000000-0005-0000-0000-00009E190000}"/>
    <cellStyle name="20% - Accent4 3 2 3 2 4 4" xfId="6652" xr:uid="{00000000-0005-0000-0000-00009F190000}"/>
    <cellStyle name="20% - Accent4 3 2 3 2 5" xfId="6653" xr:uid="{00000000-0005-0000-0000-0000A0190000}"/>
    <cellStyle name="20% - Accent4 3 2 3 2 5 2" xfId="6654" xr:uid="{00000000-0005-0000-0000-0000A1190000}"/>
    <cellStyle name="20% - Accent4 3 2 3 2 5 3" xfId="6655" xr:uid="{00000000-0005-0000-0000-0000A2190000}"/>
    <cellStyle name="20% - Accent4 3 2 3 2 6" xfId="6656" xr:uid="{00000000-0005-0000-0000-0000A3190000}"/>
    <cellStyle name="20% - Accent4 3 2 3 2 7" xfId="6657" xr:uid="{00000000-0005-0000-0000-0000A4190000}"/>
    <cellStyle name="20% - Accent4 3 2 3 2 8" xfId="6658" xr:uid="{00000000-0005-0000-0000-0000A5190000}"/>
    <cellStyle name="20% - Accent4 3 2 3 3" xfId="6659" xr:uid="{00000000-0005-0000-0000-0000A6190000}"/>
    <cellStyle name="20% - Accent4 3 2 3 3 2" xfId="6660" xr:uid="{00000000-0005-0000-0000-0000A7190000}"/>
    <cellStyle name="20% - Accent4 3 2 3 3 2 2" xfId="6661" xr:uid="{00000000-0005-0000-0000-0000A8190000}"/>
    <cellStyle name="20% - Accent4 3 2 3 3 2 2 2" xfId="6662" xr:uid="{00000000-0005-0000-0000-0000A9190000}"/>
    <cellStyle name="20% - Accent4 3 2 3 3 2 2 2 2" xfId="6663" xr:uid="{00000000-0005-0000-0000-0000AA190000}"/>
    <cellStyle name="20% - Accent4 3 2 3 3 2 2 2 3" xfId="6664" xr:uid="{00000000-0005-0000-0000-0000AB190000}"/>
    <cellStyle name="20% - Accent4 3 2 3 3 2 2 3" xfId="6665" xr:uid="{00000000-0005-0000-0000-0000AC190000}"/>
    <cellStyle name="20% - Accent4 3 2 3 3 2 2 4" xfId="6666" xr:uid="{00000000-0005-0000-0000-0000AD190000}"/>
    <cellStyle name="20% - Accent4 3 2 3 3 2 3" xfId="6667" xr:uid="{00000000-0005-0000-0000-0000AE190000}"/>
    <cellStyle name="20% - Accent4 3 2 3 3 2 3 2" xfId="6668" xr:uid="{00000000-0005-0000-0000-0000AF190000}"/>
    <cellStyle name="20% - Accent4 3 2 3 3 2 3 3" xfId="6669" xr:uid="{00000000-0005-0000-0000-0000B0190000}"/>
    <cellStyle name="20% - Accent4 3 2 3 3 2 4" xfId="6670" xr:uid="{00000000-0005-0000-0000-0000B1190000}"/>
    <cellStyle name="20% - Accent4 3 2 3 3 2 5" xfId="6671" xr:uid="{00000000-0005-0000-0000-0000B2190000}"/>
    <cellStyle name="20% - Accent4 3 2 3 3 2 6" xfId="6672" xr:uid="{00000000-0005-0000-0000-0000B3190000}"/>
    <cellStyle name="20% - Accent4 3 2 3 3 3" xfId="6673" xr:uid="{00000000-0005-0000-0000-0000B4190000}"/>
    <cellStyle name="20% - Accent4 3 2 3 3 3 2" xfId="6674" xr:uid="{00000000-0005-0000-0000-0000B5190000}"/>
    <cellStyle name="20% - Accent4 3 2 3 3 3 2 2" xfId="6675" xr:uid="{00000000-0005-0000-0000-0000B6190000}"/>
    <cellStyle name="20% - Accent4 3 2 3 3 3 2 3" xfId="6676" xr:uid="{00000000-0005-0000-0000-0000B7190000}"/>
    <cellStyle name="20% - Accent4 3 2 3 3 3 3" xfId="6677" xr:uid="{00000000-0005-0000-0000-0000B8190000}"/>
    <cellStyle name="20% - Accent4 3 2 3 3 3 4" xfId="6678" xr:uid="{00000000-0005-0000-0000-0000B9190000}"/>
    <cellStyle name="20% - Accent4 3 2 3 3 4" xfId="6679" xr:uid="{00000000-0005-0000-0000-0000BA190000}"/>
    <cellStyle name="20% - Accent4 3 2 3 3 4 2" xfId="6680" xr:uid="{00000000-0005-0000-0000-0000BB190000}"/>
    <cellStyle name="20% - Accent4 3 2 3 3 4 3" xfId="6681" xr:uid="{00000000-0005-0000-0000-0000BC190000}"/>
    <cellStyle name="20% - Accent4 3 2 3 3 5" xfId="6682" xr:uid="{00000000-0005-0000-0000-0000BD190000}"/>
    <cellStyle name="20% - Accent4 3 2 3 3 6" xfId="6683" xr:uid="{00000000-0005-0000-0000-0000BE190000}"/>
    <cellStyle name="20% - Accent4 3 2 3 3 7" xfId="6684" xr:uid="{00000000-0005-0000-0000-0000BF190000}"/>
    <cellStyle name="20% - Accent4 3 2 3 4" xfId="6685" xr:uid="{00000000-0005-0000-0000-0000C0190000}"/>
    <cellStyle name="20% - Accent4 3 2 3 4 2" xfId="6686" xr:uid="{00000000-0005-0000-0000-0000C1190000}"/>
    <cellStyle name="20% - Accent4 3 2 3 4 2 2" xfId="6687" xr:uid="{00000000-0005-0000-0000-0000C2190000}"/>
    <cellStyle name="20% - Accent4 3 2 3 4 2 2 2" xfId="6688" xr:uid="{00000000-0005-0000-0000-0000C3190000}"/>
    <cellStyle name="20% - Accent4 3 2 3 4 2 2 3" xfId="6689" xr:uid="{00000000-0005-0000-0000-0000C4190000}"/>
    <cellStyle name="20% - Accent4 3 2 3 4 2 3" xfId="6690" xr:uid="{00000000-0005-0000-0000-0000C5190000}"/>
    <cellStyle name="20% - Accent4 3 2 3 4 2 4" xfId="6691" xr:uid="{00000000-0005-0000-0000-0000C6190000}"/>
    <cellStyle name="20% - Accent4 3 2 3 4 3" xfId="6692" xr:uid="{00000000-0005-0000-0000-0000C7190000}"/>
    <cellStyle name="20% - Accent4 3 2 3 4 3 2" xfId="6693" xr:uid="{00000000-0005-0000-0000-0000C8190000}"/>
    <cellStyle name="20% - Accent4 3 2 3 4 3 3" xfId="6694" xr:uid="{00000000-0005-0000-0000-0000C9190000}"/>
    <cellStyle name="20% - Accent4 3 2 3 4 4" xfId="6695" xr:uid="{00000000-0005-0000-0000-0000CA190000}"/>
    <cellStyle name="20% - Accent4 3 2 3 4 5" xfId="6696" xr:uid="{00000000-0005-0000-0000-0000CB190000}"/>
    <cellStyle name="20% - Accent4 3 2 3 4 6" xfId="6697" xr:uid="{00000000-0005-0000-0000-0000CC190000}"/>
    <cellStyle name="20% - Accent4 3 2 3 5" xfId="6698" xr:uid="{00000000-0005-0000-0000-0000CD190000}"/>
    <cellStyle name="20% - Accent4 3 2 3 5 2" xfId="6699" xr:uid="{00000000-0005-0000-0000-0000CE190000}"/>
    <cellStyle name="20% - Accent4 3 2 3 5 2 2" xfId="6700" xr:uid="{00000000-0005-0000-0000-0000CF190000}"/>
    <cellStyle name="20% - Accent4 3 2 3 5 2 3" xfId="6701" xr:uid="{00000000-0005-0000-0000-0000D0190000}"/>
    <cellStyle name="20% - Accent4 3 2 3 5 3" xfId="6702" xr:uid="{00000000-0005-0000-0000-0000D1190000}"/>
    <cellStyle name="20% - Accent4 3 2 3 5 4" xfId="6703" xr:uid="{00000000-0005-0000-0000-0000D2190000}"/>
    <cellStyle name="20% - Accent4 3 2 3 6" xfId="6704" xr:uid="{00000000-0005-0000-0000-0000D3190000}"/>
    <cellStyle name="20% - Accent4 3 2 3 6 2" xfId="6705" xr:uid="{00000000-0005-0000-0000-0000D4190000}"/>
    <cellStyle name="20% - Accent4 3 2 3 6 3" xfId="6706" xr:uid="{00000000-0005-0000-0000-0000D5190000}"/>
    <cellStyle name="20% - Accent4 3 2 3 7" xfId="6707" xr:uid="{00000000-0005-0000-0000-0000D6190000}"/>
    <cellStyle name="20% - Accent4 3 2 3 8" xfId="6708" xr:uid="{00000000-0005-0000-0000-0000D7190000}"/>
    <cellStyle name="20% - Accent4 3 2 3 9" xfId="6709" xr:uid="{00000000-0005-0000-0000-0000D8190000}"/>
    <cellStyle name="20% - Accent4 3 2 4" xfId="6710" xr:uid="{00000000-0005-0000-0000-0000D9190000}"/>
    <cellStyle name="20% - Accent4 3 2 4 2" xfId="6711" xr:uid="{00000000-0005-0000-0000-0000DA190000}"/>
    <cellStyle name="20% - Accent4 3 2 4 2 2" xfId="6712" xr:uid="{00000000-0005-0000-0000-0000DB190000}"/>
    <cellStyle name="20% - Accent4 3 2 4 2 2 2" xfId="6713" xr:uid="{00000000-0005-0000-0000-0000DC190000}"/>
    <cellStyle name="20% - Accent4 3 2 4 2 2 2 2" xfId="6714" xr:uid="{00000000-0005-0000-0000-0000DD190000}"/>
    <cellStyle name="20% - Accent4 3 2 4 2 2 2 2 2" xfId="6715" xr:uid="{00000000-0005-0000-0000-0000DE190000}"/>
    <cellStyle name="20% - Accent4 3 2 4 2 2 2 2 3" xfId="6716" xr:uid="{00000000-0005-0000-0000-0000DF190000}"/>
    <cellStyle name="20% - Accent4 3 2 4 2 2 2 3" xfId="6717" xr:uid="{00000000-0005-0000-0000-0000E0190000}"/>
    <cellStyle name="20% - Accent4 3 2 4 2 2 2 4" xfId="6718" xr:uid="{00000000-0005-0000-0000-0000E1190000}"/>
    <cellStyle name="20% - Accent4 3 2 4 2 2 3" xfId="6719" xr:uid="{00000000-0005-0000-0000-0000E2190000}"/>
    <cellStyle name="20% - Accent4 3 2 4 2 2 3 2" xfId="6720" xr:uid="{00000000-0005-0000-0000-0000E3190000}"/>
    <cellStyle name="20% - Accent4 3 2 4 2 2 3 3" xfId="6721" xr:uid="{00000000-0005-0000-0000-0000E4190000}"/>
    <cellStyle name="20% - Accent4 3 2 4 2 2 4" xfId="6722" xr:uid="{00000000-0005-0000-0000-0000E5190000}"/>
    <cellStyle name="20% - Accent4 3 2 4 2 2 5" xfId="6723" xr:uid="{00000000-0005-0000-0000-0000E6190000}"/>
    <cellStyle name="20% - Accent4 3 2 4 2 2 6" xfId="6724" xr:uid="{00000000-0005-0000-0000-0000E7190000}"/>
    <cellStyle name="20% - Accent4 3 2 4 2 3" xfId="6725" xr:uid="{00000000-0005-0000-0000-0000E8190000}"/>
    <cellStyle name="20% - Accent4 3 2 4 2 3 2" xfId="6726" xr:uid="{00000000-0005-0000-0000-0000E9190000}"/>
    <cellStyle name="20% - Accent4 3 2 4 2 3 2 2" xfId="6727" xr:uid="{00000000-0005-0000-0000-0000EA190000}"/>
    <cellStyle name="20% - Accent4 3 2 4 2 3 2 3" xfId="6728" xr:uid="{00000000-0005-0000-0000-0000EB190000}"/>
    <cellStyle name="20% - Accent4 3 2 4 2 3 3" xfId="6729" xr:uid="{00000000-0005-0000-0000-0000EC190000}"/>
    <cellStyle name="20% - Accent4 3 2 4 2 3 4" xfId="6730" xr:uid="{00000000-0005-0000-0000-0000ED190000}"/>
    <cellStyle name="20% - Accent4 3 2 4 2 4" xfId="6731" xr:uid="{00000000-0005-0000-0000-0000EE190000}"/>
    <cellStyle name="20% - Accent4 3 2 4 2 4 2" xfId="6732" xr:uid="{00000000-0005-0000-0000-0000EF190000}"/>
    <cellStyle name="20% - Accent4 3 2 4 2 4 3" xfId="6733" xr:uid="{00000000-0005-0000-0000-0000F0190000}"/>
    <cellStyle name="20% - Accent4 3 2 4 2 5" xfId="6734" xr:uid="{00000000-0005-0000-0000-0000F1190000}"/>
    <cellStyle name="20% - Accent4 3 2 4 2 6" xfId="6735" xr:uid="{00000000-0005-0000-0000-0000F2190000}"/>
    <cellStyle name="20% - Accent4 3 2 4 2 7" xfId="6736" xr:uid="{00000000-0005-0000-0000-0000F3190000}"/>
    <cellStyle name="20% - Accent4 3 2 4 3" xfId="6737" xr:uid="{00000000-0005-0000-0000-0000F4190000}"/>
    <cellStyle name="20% - Accent4 3 2 4 3 2" xfId="6738" xr:uid="{00000000-0005-0000-0000-0000F5190000}"/>
    <cellStyle name="20% - Accent4 3 2 4 3 2 2" xfId="6739" xr:uid="{00000000-0005-0000-0000-0000F6190000}"/>
    <cellStyle name="20% - Accent4 3 2 4 3 2 2 2" xfId="6740" xr:uid="{00000000-0005-0000-0000-0000F7190000}"/>
    <cellStyle name="20% - Accent4 3 2 4 3 2 2 3" xfId="6741" xr:uid="{00000000-0005-0000-0000-0000F8190000}"/>
    <cellStyle name="20% - Accent4 3 2 4 3 2 3" xfId="6742" xr:uid="{00000000-0005-0000-0000-0000F9190000}"/>
    <cellStyle name="20% - Accent4 3 2 4 3 2 4" xfId="6743" xr:uid="{00000000-0005-0000-0000-0000FA190000}"/>
    <cellStyle name="20% - Accent4 3 2 4 3 3" xfId="6744" xr:uid="{00000000-0005-0000-0000-0000FB190000}"/>
    <cellStyle name="20% - Accent4 3 2 4 3 3 2" xfId="6745" xr:uid="{00000000-0005-0000-0000-0000FC190000}"/>
    <cellStyle name="20% - Accent4 3 2 4 3 3 3" xfId="6746" xr:uid="{00000000-0005-0000-0000-0000FD190000}"/>
    <cellStyle name="20% - Accent4 3 2 4 3 4" xfId="6747" xr:uid="{00000000-0005-0000-0000-0000FE190000}"/>
    <cellStyle name="20% - Accent4 3 2 4 3 5" xfId="6748" xr:uid="{00000000-0005-0000-0000-0000FF190000}"/>
    <cellStyle name="20% - Accent4 3 2 4 3 6" xfId="6749" xr:uid="{00000000-0005-0000-0000-0000001A0000}"/>
    <cellStyle name="20% - Accent4 3 2 4 4" xfId="6750" xr:uid="{00000000-0005-0000-0000-0000011A0000}"/>
    <cellStyle name="20% - Accent4 3 2 4 4 2" xfId="6751" xr:uid="{00000000-0005-0000-0000-0000021A0000}"/>
    <cellStyle name="20% - Accent4 3 2 4 4 2 2" xfId="6752" xr:uid="{00000000-0005-0000-0000-0000031A0000}"/>
    <cellStyle name="20% - Accent4 3 2 4 4 2 3" xfId="6753" xr:uid="{00000000-0005-0000-0000-0000041A0000}"/>
    <cellStyle name="20% - Accent4 3 2 4 4 3" xfId="6754" xr:uid="{00000000-0005-0000-0000-0000051A0000}"/>
    <cellStyle name="20% - Accent4 3 2 4 4 4" xfId="6755" xr:uid="{00000000-0005-0000-0000-0000061A0000}"/>
    <cellStyle name="20% - Accent4 3 2 4 5" xfId="6756" xr:uid="{00000000-0005-0000-0000-0000071A0000}"/>
    <cellStyle name="20% - Accent4 3 2 4 5 2" xfId="6757" xr:uid="{00000000-0005-0000-0000-0000081A0000}"/>
    <cellStyle name="20% - Accent4 3 2 4 5 3" xfId="6758" xr:uid="{00000000-0005-0000-0000-0000091A0000}"/>
    <cellStyle name="20% - Accent4 3 2 4 6" xfId="6759" xr:uid="{00000000-0005-0000-0000-00000A1A0000}"/>
    <cellStyle name="20% - Accent4 3 2 4 7" xfId="6760" xr:uid="{00000000-0005-0000-0000-00000B1A0000}"/>
    <cellStyle name="20% - Accent4 3 2 4 8" xfId="6761" xr:uid="{00000000-0005-0000-0000-00000C1A0000}"/>
    <cellStyle name="20% - Accent4 3 2 5" xfId="6762" xr:uid="{00000000-0005-0000-0000-00000D1A0000}"/>
    <cellStyle name="20% - Accent4 3 2 5 2" xfId="6763" xr:uid="{00000000-0005-0000-0000-00000E1A0000}"/>
    <cellStyle name="20% - Accent4 3 2 5 2 2" xfId="6764" xr:uid="{00000000-0005-0000-0000-00000F1A0000}"/>
    <cellStyle name="20% - Accent4 3 2 5 2 2 2" xfId="6765" xr:uid="{00000000-0005-0000-0000-0000101A0000}"/>
    <cellStyle name="20% - Accent4 3 2 5 2 2 2 2" xfId="6766" xr:uid="{00000000-0005-0000-0000-0000111A0000}"/>
    <cellStyle name="20% - Accent4 3 2 5 2 2 2 3" xfId="6767" xr:uid="{00000000-0005-0000-0000-0000121A0000}"/>
    <cellStyle name="20% - Accent4 3 2 5 2 2 3" xfId="6768" xr:uid="{00000000-0005-0000-0000-0000131A0000}"/>
    <cellStyle name="20% - Accent4 3 2 5 2 2 4" xfId="6769" xr:uid="{00000000-0005-0000-0000-0000141A0000}"/>
    <cellStyle name="20% - Accent4 3 2 5 2 3" xfId="6770" xr:uid="{00000000-0005-0000-0000-0000151A0000}"/>
    <cellStyle name="20% - Accent4 3 2 5 2 3 2" xfId="6771" xr:uid="{00000000-0005-0000-0000-0000161A0000}"/>
    <cellStyle name="20% - Accent4 3 2 5 2 3 3" xfId="6772" xr:uid="{00000000-0005-0000-0000-0000171A0000}"/>
    <cellStyle name="20% - Accent4 3 2 5 2 4" xfId="6773" xr:uid="{00000000-0005-0000-0000-0000181A0000}"/>
    <cellStyle name="20% - Accent4 3 2 5 2 5" xfId="6774" xr:uid="{00000000-0005-0000-0000-0000191A0000}"/>
    <cellStyle name="20% - Accent4 3 2 5 2 6" xfId="6775" xr:uid="{00000000-0005-0000-0000-00001A1A0000}"/>
    <cellStyle name="20% - Accent4 3 2 5 3" xfId="6776" xr:uid="{00000000-0005-0000-0000-00001B1A0000}"/>
    <cellStyle name="20% - Accent4 3 2 5 3 2" xfId="6777" xr:uid="{00000000-0005-0000-0000-00001C1A0000}"/>
    <cellStyle name="20% - Accent4 3 2 5 3 2 2" xfId="6778" xr:uid="{00000000-0005-0000-0000-00001D1A0000}"/>
    <cellStyle name="20% - Accent4 3 2 5 3 2 3" xfId="6779" xr:uid="{00000000-0005-0000-0000-00001E1A0000}"/>
    <cellStyle name="20% - Accent4 3 2 5 3 3" xfId="6780" xr:uid="{00000000-0005-0000-0000-00001F1A0000}"/>
    <cellStyle name="20% - Accent4 3 2 5 3 4" xfId="6781" xr:uid="{00000000-0005-0000-0000-0000201A0000}"/>
    <cellStyle name="20% - Accent4 3 2 5 4" xfId="6782" xr:uid="{00000000-0005-0000-0000-0000211A0000}"/>
    <cellStyle name="20% - Accent4 3 2 5 4 2" xfId="6783" xr:uid="{00000000-0005-0000-0000-0000221A0000}"/>
    <cellStyle name="20% - Accent4 3 2 5 4 3" xfId="6784" xr:uid="{00000000-0005-0000-0000-0000231A0000}"/>
    <cellStyle name="20% - Accent4 3 2 5 5" xfId="6785" xr:uid="{00000000-0005-0000-0000-0000241A0000}"/>
    <cellStyle name="20% - Accent4 3 2 5 6" xfId="6786" xr:uid="{00000000-0005-0000-0000-0000251A0000}"/>
    <cellStyle name="20% - Accent4 3 2 5 7" xfId="6787" xr:uid="{00000000-0005-0000-0000-0000261A0000}"/>
    <cellStyle name="20% - Accent4 3 2 6" xfId="6788" xr:uid="{00000000-0005-0000-0000-0000271A0000}"/>
    <cellStyle name="20% - Accent4 3 2 6 2" xfId="6789" xr:uid="{00000000-0005-0000-0000-0000281A0000}"/>
    <cellStyle name="20% - Accent4 3 2 6 2 2" xfId="6790" xr:uid="{00000000-0005-0000-0000-0000291A0000}"/>
    <cellStyle name="20% - Accent4 3 2 6 2 2 2" xfId="6791" xr:uid="{00000000-0005-0000-0000-00002A1A0000}"/>
    <cellStyle name="20% - Accent4 3 2 6 2 2 3" xfId="6792" xr:uid="{00000000-0005-0000-0000-00002B1A0000}"/>
    <cellStyle name="20% - Accent4 3 2 6 2 3" xfId="6793" xr:uid="{00000000-0005-0000-0000-00002C1A0000}"/>
    <cellStyle name="20% - Accent4 3 2 6 2 4" xfId="6794" xr:uid="{00000000-0005-0000-0000-00002D1A0000}"/>
    <cellStyle name="20% - Accent4 3 2 6 3" xfId="6795" xr:uid="{00000000-0005-0000-0000-00002E1A0000}"/>
    <cellStyle name="20% - Accent4 3 2 6 3 2" xfId="6796" xr:uid="{00000000-0005-0000-0000-00002F1A0000}"/>
    <cellStyle name="20% - Accent4 3 2 6 3 3" xfId="6797" xr:uid="{00000000-0005-0000-0000-0000301A0000}"/>
    <cellStyle name="20% - Accent4 3 2 6 4" xfId="6798" xr:uid="{00000000-0005-0000-0000-0000311A0000}"/>
    <cellStyle name="20% - Accent4 3 2 6 5" xfId="6799" xr:uid="{00000000-0005-0000-0000-0000321A0000}"/>
    <cellStyle name="20% - Accent4 3 2 6 6" xfId="6800" xr:uid="{00000000-0005-0000-0000-0000331A0000}"/>
    <cellStyle name="20% - Accent4 3 2 7" xfId="6801" xr:uid="{00000000-0005-0000-0000-0000341A0000}"/>
    <cellStyle name="20% - Accent4 3 2 7 2" xfId="6802" xr:uid="{00000000-0005-0000-0000-0000351A0000}"/>
    <cellStyle name="20% - Accent4 3 2 7 2 2" xfId="6803" xr:uid="{00000000-0005-0000-0000-0000361A0000}"/>
    <cellStyle name="20% - Accent4 3 2 7 2 3" xfId="6804" xr:uid="{00000000-0005-0000-0000-0000371A0000}"/>
    <cellStyle name="20% - Accent4 3 2 7 3" xfId="6805" xr:uid="{00000000-0005-0000-0000-0000381A0000}"/>
    <cellStyle name="20% - Accent4 3 2 7 4" xfId="6806" xr:uid="{00000000-0005-0000-0000-0000391A0000}"/>
    <cellStyle name="20% - Accent4 3 2 8" xfId="6807" xr:uid="{00000000-0005-0000-0000-00003A1A0000}"/>
    <cellStyle name="20% - Accent4 3 2 8 2" xfId="6808" xr:uid="{00000000-0005-0000-0000-00003B1A0000}"/>
    <cellStyle name="20% - Accent4 3 2 8 3" xfId="6809" xr:uid="{00000000-0005-0000-0000-00003C1A0000}"/>
    <cellStyle name="20% - Accent4 3 2 9" xfId="6810" xr:uid="{00000000-0005-0000-0000-00003D1A0000}"/>
    <cellStyle name="20% - Accent4 3 3" xfId="6811" xr:uid="{00000000-0005-0000-0000-00003E1A0000}"/>
    <cellStyle name="20% - Accent4 3 3 10" xfId="6812" xr:uid="{00000000-0005-0000-0000-00003F1A0000}"/>
    <cellStyle name="20% - Accent4 3 3 2" xfId="6813" xr:uid="{00000000-0005-0000-0000-0000401A0000}"/>
    <cellStyle name="20% - Accent4 3 3 2 2" xfId="6814" xr:uid="{00000000-0005-0000-0000-0000411A0000}"/>
    <cellStyle name="20% - Accent4 3 3 2 2 2" xfId="6815" xr:uid="{00000000-0005-0000-0000-0000421A0000}"/>
    <cellStyle name="20% - Accent4 3 3 2 2 2 2" xfId="6816" xr:uid="{00000000-0005-0000-0000-0000431A0000}"/>
    <cellStyle name="20% - Accent4 3 3 2 2 2 2 2" xfId="6817" xr:uid="{00000000-0005-0000-0000-0000441A0000}"/>
    <cellStyle name="20% - Accent4 3 3 2 2 2 2 2 2" xfId="6818" xr:uid="{00000000-0005-0000-0000-0000451A0000}"/>
    <cellStyle name="20% - Accent4 3 3 2 2 2 2 2 2 2" xfId="6819" xr:uid="{00000000-0005-0000-0000-0000461A0000}"/>
    <cellStyle name="20% - Accent4 3 3 2 2 2 2 2 2 3" xfId="6820" xr:uid="{00000000-0005-0000-0000-0000471A0000}"/>
    <cellStyle name="20% - Accent4 3 3 2 2 2 2 2 3" xfId="6821" xr:uid="{00000000-0005-0000-0000-0000481A0000}"/>
    <cellStyle name="20% - Accent4 3 3 2 2 2 2 2 4" xfId="6822" xr:uid="{00000000-0005-0000-0000-0000491A0000}"/>
    <cellStyle name="20% - Accent4 3 3 2 2 2 2 3" xfId="6823" xr:uid="{00000000-0005-0000-0000-00004A1A0000}"/>
    <cellStyle name="20% - Accent4 3 3 2 2 2 2 3 2" xfId="6824" xr:uid="{00000000-0005-0000-0000-00004B1A0000}"/>
    <cellStyle name="20% - Accent4 3 3 2 2 2 2 3 3" xfId="6825" xr:uid="{00000000-0005-0000-0000-00004C1A0000}"/>
    <cellStyle name="20% - Accent4 3 3 2 2 2 2 4" xfId="6826" xr:uid="{00000000-0005-0000-0000-00004D1A0000}"/>
    <cellStyle name="20% - Accent4 3 3 2 2 2 2 5" xfId="6827" xr:uid="{00000000-0005-0000-0000-00004E1A0000}"/>
    <cellStyle name="20% - Accent4 3 3 2 2 2 2 6" xfId="6828" xr:uid="{00000000-0005-0000-0000-00004F1A0000}"/>
    <cellStyle name="20% - Accent4 3 3 2 2 2 3" xfId="6829" xr:uid="{00000000-0005-0000-0000-0000501A0000}"/>
    <cellStyle name="20% - Accent4 3 3 2 2 2 3 2" xfId="6830" xr:uid="{00000000-0005-0000-0000-0000511A0000}"/>
    <cellStyle name="20% - Accent4 3 3 2 2 2 3 2 2" xfId="6831" xr:uid="{00000000-0005-0000-0000-0000521A0000}"/>
    <cellStyle name="20% - Accent4 3 3 2 2 2 3 2 3" xfId="6832" xr:uid="{00000000-0005-0000-0000-0000531A0000}"/>
    <cellStyle name="20% - Accent4 3 3 2 2 2 3 3" xfId="6833" xr:uid="{00000000-0005-0000-0000-0000541A0000}"/>
    <cellStyle name="20% - Accent4 3 3 2 2 2 3 4" xfId="6834" xr:uid="{00000000-0005-0000-0000-0000551A0000}"/>
    <cellStyle name="20% - Accent4 3 3 2 2 2 4" xfId="6835" xr:uid="{00000000-0005-0000-0000-0000561A0000}"/>
    <cellStyle name="20% - Accent4 3 3 2 2 2 4 2" xfId="6836" xr:uid="{00000000-0005-0000-0000-0000571A0000}"/>
    <cellStyle name="20% - Accent4 3 3 2 2 2 4 3" xfId="6837" xr:uid="{00000000-0005-0000-0000-0000581A0000}"/>
    <cellStyle name="20% - Accent4 3 3 2 2 2 5" xfId="6838" xr:uid="{00000000-0005-0000-0000-0000591A0000}"/>
    <cellStyle name="20% - Accent4 3 3 2 2 2 6" xfId="6839" xr:uid="{00000000-0005-0000-0000-00005A1A0000}"/>
    <cellStyle name="20% - Accent4 3 3 2 2 2 7" xfId="6840" xr:uid="{00000000-0005-0000-0000-00005B1A0000}"/>
    <cellStyle name="20% - Accent4 3 3 2 2 3" xfId="6841" xr:uid="{00000000-0005-0000-0000-00005C1A0000}"/>
    <cellStyle name="20% - Accent4 3 3 2 2 3 2" xfId="6842" xr:uid="{00000000-0005-0000-0000-00005D1A0000}"/>
    <cellStyle name="20% - Accent4 3 3 2 2 3 2 2" xfId="6843" xr:uid="{00000000-0005-0000-0000-00005E1A0000}"/>
    <cellStyle name="20% - Accent4 3 3 2 2 3 2 2 2" xfId="6844" xr:uid="{00000000-0005-0000-0000-00005F1A0000}"/>
    <cellStyle name="20% - Accent4 3 3 2 2 3 2 2 3" xfId="6845" xr:uid="{00000000-0005-0000-0000-0000601A0000}"/>
    <cellStyle name="20% - Accent4 3 3 2 2 3 2 3" xfId="6846" xr:uid="{00000000-0005-0000-0000-0000611A0000}"/>
    <cellStyle name="20% - Accent4 3 3 2 2 3 2 4" xfId="6847" xr:uid="{00000000-0005-0000-0000-0000621A0000}"/>
    <cellStyle name="20% - Accent4 3 3 2 2 3 3" xfId="6848" xr:uid="{00000000-0005-0000-0000-0000631A0000}"/>
    <cellStyle name="20% - Accent4 3 3 2 2 3 3 2" xfId="6849" xr:uid="{00000000-0005-0000-0000-0000641A0000}"/>
    <cellStyle name="20% - Accent4 3 3 2 2 3 3 3" xfId="6850" xr:uid="{00000000-0005-0000-0000-0000651A0000}"/>
    <cellStyle name="20% - Accent4 3 3 2 2 3 4" xfId="6851" xr:uid="{00000000-0005-0000-0000-0000661A0000}"/>
    <cellStyle name="20% - Accent4 3 3 2 2 3 5" xfId="6852" xr:uid="{00000000-0005-0000-0000-0000671A0000}"/>
    <cellStyle name="20% - Accent4 3 3 2 2 3 6" xfId="6853" xr:uid="{00000000-0005-0000-0000-0000681A0000}"/>
    <cellStyle name="20% - Accent4 3 3 2 2 4" xfId="6854" xr:uid="{00000000-0005-0000-0000-0000691A0000}"/>
    <cellStyle name="20% - Accent4 3 3 2 2 4 2" xfId="6855" xr:uid="{00000000-0005-0000-0000-00006A1A0000}"/>
    <cellStyle name="20% - Accent4 3 3 2 2 4 2 2" xfId="6856" xr:uid="{00000000-0005-0000-0000-00006B1A0000}"/>
    <cellStyle name="20% - Accent4 3 3 2 2 4 2 3" xfId="6857" xr:uid="{00000000-0005-0000-0000-00006C1A0000}"/>
    <cellStyle name="20% - Accent4 3 3 2 2 4 3" xfId="6858" xr:uid="{00000000-0005-0000-0000-00006D1A0000}"/>
    <cellStyle name="20% - Accent4 3 3 2 2 4 4" xfId="6859" xr:uid="{00000000-0005-0000-0000-00006E1A0000}"/>
    <cellStyle name="20% - Accent4 3 3 2 2 5" xfId="6860" xr:uid="{00000000-0005-0000-0000-00006F1A0000}"/>
    <cellStyle name="20% - Accent4 3 3 2 2 5 2" xfId="6861" xr:uid="{00000000-0005-0000-0000-0000701A0000}"/>
    <cellStyle name="20% - Accent4 3 3 2 2 5 3" xfId="6862" xr:uid="{00000000-0005-0000-0000-0000711A0000}"/>
    <cellStyle name="20% - Accent4 3 3 2 2 6" xfId="6863" xr:uid="{00000000-0005-0000-0000-0000721A0000}"/>
    <cellStyle name="20% - Accent4 3 3 2 2 7" xfId="6864" xr:uid="{00000000-0005-0000-0000-0000731A0000}"/>
    <cellStyle name="20% - Accent4 3 3 2 2 8" xfId="6865" xr:uid="{00000000-0005-0000-0000-0000741A0000}"/>
    <cellStyle name="20% - Accent4 3 3 2 3" xfId="6866" xr:uid="{00000000-0005-0000-0000-0000751A0000}"/>
    <cellStyle name="20% - Accent4 3 3 2 3 2" xfId="6867" xr:uid="{00000000-0005-0000-0000-0000761A0000}"/>
    <cellStyle name="20% - Accent4 3 3 2 3 2 2" xfId="6868" xr:uid="{00000000-0005-0000-0000-0000771A0000}"/>
    <cellStyle name="20% - Accent4 3 3 2 3 2 2 2" xfId="6869" xr:uid="{00000000-0005-0000-0000-0000781A0000}"/>
    <cellStyle name="20% - Accent4 3 3 2 3 2 2 2 2" xfId="6870" xr:uid="{00000000-0005-0000-0000-0000791A0000}"/>
    <cellStyle name="20% - Accent4 3 3 2 3 2 2 2 3" xfId="6871" xr:uid="{00000000-0005-0000-0000-00007A1A0000}"/>
    <cellStyle name="20% - Accent4 3 3 2 3 2 2 3" xfId="6872" xr:uid="{00000000-0005-0000-0000-00007B1A0000}"/>
    <cellStyle name="20% - Accent4 3 3 2 3 2 2 4" xfId="6873" xr:uid="{00000000-0005-0000-0000-00007C1A0000}"/>
    <cellStyle name="20% - Accent4 3 3 2 3 2 3" xfId="6874" xr:uid="{00000000-0005-0000-0000-00007D1A0000}"/>
    <cellStyle name="20% - Accent4 3 3 2 3 2 3 2" xfId="6875" xr:uid="{00000000-0005-0000-0000-00007E1A0000}"/>
    <cellStyle name="20% - Accent4 3 3 2 3 2 3 3" xfId="6876" xr:uid="{00000000-0005-0000-0000-00007F1A0000}"/>
    <cellStyle name="20% - Accent4 3 3 2 3 2 4" xfId="6877" xr:uid="{00000000-0005-0000-0000-0000801A0000}"/>
    <cellStyle name="20% - Accent4 3 3 2 3 2 5" xfId="6878" xr:uid="{00000000-0005-0000-0000-0000811A0000}"/>
    <cellStyle name="20% - Accent4 3 3 2 3 2 6" xfId="6879" xr:uid="{00000000-0005-0000-0000-0000821A0000}"/>
    <cellStyle name="20% - Accent4 3 3 2 3 3" xfId="6880" xr:uid="{00000000-0005-0000-0000-0000831A0000}"/>
    <cellStyle name="20% - Accent4 3 3 2 3 3 2" xfId="6881" xr:uid="{00000000-0005-0000-0000-0000841A0000}"/>
    <cellStyle name="20% - Accent4 3 3 2 3 3 2 2" xfId="6882" xr:uid="{00000000-0005-0000-0000-0000851A0000}"/>
    <cellStyle name="20% - Accent4 3 3 2 3 3 2 3" xfId="6883" xr:uid="{00000000-0005-0000-0000-0000861A0000}"/>
    <cellStyle name="20% - Accent4 3 3 2 3 3 3" xfId="6884" xr:uid="{00000000-0005-0000-0000-0000871A0000}"/>
    <cellStyle name="20% - Accent4 3 3 2 3 3 4" xfId="6885" xr:uid="{00000000-0005-0000-0000-0000881A0000}"/>
    <cellStyle name="20% - Accent4 3 3 2 3 4" xfId="6886" xr:uid="{00000000-0005-0000-0000-0000891A0000}"/>
    <cellStyle name="20% - Accent4 3 3 2 3 4 2" xfId="6887" xr:uid="{00000000-0005-0000-0000-00008A1A0000}"/>
    <cellStyle name="20% - Accent4 3 3 2 3 4 3" xfId="6888" xr:uid="{00000000-0005-0000-0000-00008B1A0000}"/>
    <cellStyle name="20% - Accent4 3 3 2 3 5" xfId="6889" xr:uid="{00000000-0005-0000-0000-00008C1A0000}"/>
    <cellStyle name="20% - Accent4 3 3 2 3 6" xfId="6890" xr:uid="{00000000-0005-0000-0000-00008D1A0000}"/>
    <cellStyle name="20% - Accent4 3 3 2 3 7" xfId="6891" xr:uid="{00000000-0005-0000-0000-00008E1A0000}"/>
    <cellStyle name="20% - Accent4 3 3 2 4" xfId="6892" xr:uid="{00000000-0005-0000-0000-00008F1A0000}"/>
    <cellStyle name="20% - Accent4 3 3 2 4 2" xfId="6893" xr:uid="{00000000-0005-0000-0000-0000901A0000}"/>
    <cellStyle name="20% - Accent4 3 3 2 4 2 2" xfId="6894" xr:uid="{00000000-0005-0000-0000-0000911A0000}"/>
    <cellStyle name="20% - Accent4 3 3 2 4 2 2 2" xfId="6895" xr:uid="{00000000-0005-0000-0000-0000921A0000}"/>
    <cellStyle name="20% - Accent4 3 3 2 4 2 2 3" xfId="6896" xr:uid="{00000000-0005-0000-0000-0000931A0000}"/>
    <cellStyle name="20% - Accent4 3 3 2 4 2 3" xfId="6897" xr:uid="{00000000-0005-0000-0000-0000941A0000}"/>
    <cellStyle name="20% - Accent4 3 3 2 4 2 4" xfId="6898" xr:uid="{00000000-0005-0000-0000-0000951A0000}"/>
    <cellStyle name="20% - Accent4 3 3 2 4 3" xfId="6899" xr:uid="{00000000-0005-0000-0000-0000961A0000}"/>
    <cellStyle name="20% - Accent4 3 3 2 4 3 2" xfId="6900" xr:uid="{00000000-0005-0000-0000-0000971A0000}"/>
    <cellStyle name="20% - Accent4 3 3 2 4 3 3" xfId="6901" xr:uid="{00000000-0005-0000-0000-0000981A0000}"/>
    <cellStyle name="20% - Accent4 3 3 2 4 4" xfId="6902" xr:uid="{00000000-0005-0000-0000-0000991A0000}"/>
    <cellStyle name="20% - Accent4 3 3 2 4 5" xfId="6903" xr:uid="{00000000-0005-0000-0000-00009A1A0000}"/>
    <cellStyle name="20% - Accent4 3 3 2 4 6" xfId="6904" xr:uid="{00000000-0005-0000-0000-00009B1A0000}"/>
    <cellStyle name="20% - Accent4 3 3 2 5" xfId="6905" xr:uid="{00000000-0005-0000-0000-00009C1A0000}"/>
    <cellStyle name="20% - Accent4 3 3 2 5 2" xfId="6906" xr:uid="{00000000-0005-0000-0000-00009D1A0000}"/>
    <cellStyle name="20% - Accent4 3 3 2 5 2 2" xfId="6907" xr:uid="{00000000-0005-0000-0000-00009E1A0000}"/>
    <cellStyle name="20% - Accent4 3 3 2 5 2 3" xfId="6908" xr:uid="{00000000-0005-0000-0000-00009F1A0000}"/>
    <cellStyle name="20% - Accent4 3 3 2 5 3" xfId="6909" xr:uid="{00000000-0005-0000-0000-0000A01A0000}"/>
    <cellStyle name="20% - Accent4 3 3 2 5 4" xfId="6910" xr:uid="{00000000-0005-0000-0000-0000A11A0000}"/>
    <cellStyle name="20% - Accent4 3 3 2 6" xfId="6911" xr:uid="{00000000-0005-0000-0000-0000A21A0000}"/>
    <cellStyle name="20% - Accent4 3 3 2 6 2" xfId="6912" xr:uid="{00000000-0005-0000-0000-0000A31A0000}"/>
    <cellStyle name="20% - Accent4 3 3 2 6 3" xfId="6913" xr:uid="{00000000-0005-0000-0000-0000A41A0000}"/>
    <cellStyle name="20% - Accent4 3 3 2 7" xfId="6914" xr:uid="{00000000-0005-0000-0000-0000A51A0000}"/>
    <cellStyle name="20% - Accent4 3 3 2 8" xfId="6915" xr:uid="{00000000-0005-0000-0000-0000A61A0000}"/>
    <cellStyle name="20% - Accent4 3 3 2 9" xfId="6916" xr:uid="{00000000-0005-0000-0000-0000A71A0000}"/>
    <cellStyle name="20% - Accent4 3 3 3" xfId="6917" xr:uid="{00000000-0005-0000-0000-0000A81A0000}"/>
    <cellStyle name="20% - Accent4 3 3 3 2" xfId="6918" xr:uid="{00000000-0005-0000-0000-0000A91A0000}"/>
    <cellStyle name="20% - Accent4 3 3 3 2 2" xfId="6919" xr:uid="{00000000-0005-0000-0000-0000AA1A0000}"/>
    <cellStyle name="20% - Accent4 3 3 3 2 2 2" xfId="6920" xr:uid="{00000000-0005-0000-0000-0000AB1A0000}"/>
    <cellStyle name="20% - Accent4 3 3 3 2 2 2 2" xfId="6921" xr:uid="{00000000-0005-0000-0000-0000AC1A0000}"/>
    <cellStyle name="20% - Accent4 3 3 3 2 2 2 2 2" xfId="6922" xr:uid="{00000000-0005-0000-0000-0000AD1A0000}"/>
    <cellStyle name="20% - Accent4 3 3 3 2 2 2 2 3" xfId="6923" xr:uid="{00000000-0005-0000-0000-0000AE1A0000}"/>
    <cellStyle name="20% - Accent4 3 3 3 2 2 2 3" xfId="6924" xr:uid="{00000000-0005-0000-0000-0000AF1A0000}"/>
    <cellStyle name="20% - Accent4 3 3 3 2 2 2 4" xfId="6925" xr:uid="{00000000-0005-0000-0000-0000B01A0000}"/>
    <cellStyle name="20% - Accent4 3 3 3 2 2 3" xfId="6926" xr:uid="{00000000-0005-0000-0000-0000B11A0000}"/>
    <cellStyle name="20% - Accent4 3 3 3 2 2 3 2" xfId="6927" xr:uid="{00000000-0005-0000-0000-0000B21A0000}"/>
    <cellStyle name="20% - Accent4 3 3 3 2 2 3 3" xfId="6928" xr:uid="{00000000-0005-0000-0000-0000B31A0000}"/>
    <cellStyle name="20% - Accent4 3 3 3 2 2 4" xfId="6929" xr:uid="{00000000-0005-0000-0000-0000B41A0000}"/>
    <cellStyle name="20% - Accent4 3 3 3 2 2 5" xfId="6930" xr:uid="{00000000-0005-0000-0000-0000B51A0000}"/>
    <cellStyle name="20% - Accent4 3 3 3 2 2 6" xfId="6931" xr:uid="{00000000-0005-0000-0000-0000B61A0000}"/>
    <cellStyle name="20% - Accent4 3 3 3 2 3" xfId="6932" xr:uid="{00000000-0005-0000-0000-0000B71A0000}"/>
    <cellStyle name="20% - Accent4 3 3 3 2 3 2" xfId="6933" xr:uid="{00000000-0005-0000-0000-0000B81A0000}"/>
    <cellStyle name="20% - Accent4 3 3 3 2 3 2 2" xfId="6934" xr:uid="{00000000-0005-0000-0000-0000B91A0000}"/>
    <cellStyle name="20% - Accent4 3 3 3 2 3 2 3" xfId="6935" xr:uid="{00000000-0005-0000-0000-0000BA1A0000}"/>
    <cellStyle name="20% - Accent4 3 3 3 2 3 3" xfId="6936" xr:uid="{00000000-0005-0000-0000-0000BB1A0000}"/>
    <cellStyle name="20% - Accent4 3 3 3 2 3 4" xfId="6937" xr:uid="{00000000-0005-0000-0000-0000BC1A0000}"/>
    <cellStyle name="20% - Accent4 3 3 3 2 4" xfId="6938" xr:uid="{00000000-0005-0000-0000-0000BD1A0000}"/>
    <cellStyle name="20% - Accent4 3 3 3 2 4 2" xfId="6939" xr:uid="{00000000-0005-0000-0000-0000BE1A0000}"/>
    <cellStyle name="20% - Accent4 3 3 3 2 4 3" xfId="6940" xr:uid="{00000000-0005-0000-0000-0000BF1A0000}"/>
    <cellStyle name="20% - Accent4 3 3 3 2 5" xfId="6941" xr:uid="{00000000-0005-0000-0000-0000C01A0000}"/>
    <cellStyle name="20% - Accent4 3 3 3 2 6" xfId="6942" xr:uid="{00000000-0005-0000-0000-0000C11A0000}"/>
    <cellStyle name="20% - Accent4 3 3 3 2 7" xfId="6943" xr:uid="{00000000-0005-0000-0000-0000C21A0000}"/>
    <cellStyle name="20% - Accent4 3 3 3 3" xfId="6944" xr:uid="{00000000-0005-0000-0000-0000C31A0000}"/>
    <cellStyle name="20% - Accent4 3 3 3 3 2" xfId="6945" xr:uid="{00000000-0005-0000-0000-0000C41A0000}"/>
    <cellStyle name="20% - Accent4 3 3 3 3 2 2" xfId="6946" xr:uid="{00000000-0005-0000-0000-0000C51A0000}"/>
    <cellStyle name="20% - Accent4 3 3 3 3 2 2 2" xfId="6947" xr:uid="{00000000-0005-0000-0000-0000C61A0000}"/>
    <cellStyle name="20% - Accent4 3 3 3 3 2 2 3" xfId="6948" xr:uid="{00000000-0005-0000-0000-0000C71A0000}"/>
    <cellStyle name="20% - Accent4 3 3 3 3 2 3" xfId="6949" xr:uid="{00000000-0005-0000-0000-0000C81A0000}"/>
    <cellStyle name="20% - Accent4 3 3 3 3 2 4" xfId="6950" xr:uid="{00000000-0005-0000-0000-0000C91A0000}"/>
    <cellStyle name="20% - Accent4 3 3 3 3 3" xfId="6951" xr:uid="{00000000-0005-0000-0000-0000CA1A0000}"/>
    <cellStyle name="20% - Accent4 3 3 3 3 3 2" xfId="6952" xr:uid="{00000000-0005-0000-0000-0000CB1A0000}"/>
    <cellStyle name="20% - Accent4 3 3 3 3 3 3" xfId="6953" xr:uid="{00000000-0005-0000-0000-0000CC1A0000}"/>
    <cellStyle name="20% - Accent4 3 3 3 3 4" xfId="6954" xr:uid="{00000000-0005-0000-0000-0000CD1A0000}"/>
    <cellStyle name="20% - Accent4 3 3 3 3 5" xfId="6955" xr:uid="{00000000-0005-0000-0000-0000CE1A0000}"/>
    <cellStyle name="20% - Accent4 3 3 3 3 6" xfId="6956" xr:uid="{00000000-0005-0000-0000-0000CF1A0000}"/>
    <cellStyle name="20% - Accent4 3 3 3 4" xfId="6957" xr:uid="{00000000-0005-0000-0000-0000D01A0000}"/>
    <cellStyle name="20% - Accent4 3 3 3 4 2" xfId="6958" xr:uid="{00000000-0005-0000-0000-0000D11A0000}"/>
    <cellStyle name="20% - Accent4 3 3 3 4 2 2" xfId="6959" xr:uid="{00000000-0005-0000-0000-0000D21A0000}"/>
    <cellStyle name="20% - Accent4 3 3 3 4 2 3" xfId="6960" xr:uid="{00000000-0005-0000-0000-0000D31A0000}"/>
    <cellStyle name="20% - Accent4 3 3 3 4 3" xfId="6961" xr:uid="{00000000-0005-0000-0000-0000D41A0000}"/>
    <cellStyle name="20% - Accent4 3 3 3 4 4" xfId="6962" xr:uid="{00000000-0005-0000-0000-0000D51A0000}"/>
    <cellStyle name="20% - Accent4 3 3 3 5" xfId="6963" xr:uid="{00000000-0005-0000-0000-0000D61A0000}"/>
    <cellStyle name="20% - Accent4 3 3 3 5 2" xfId="6964" xr:uid="{00000000-0005-0000-0000-0000D71A0000}"/>
    <cellStyle name="20% - Accent4 3 3 3 5 3" xfId="6965" xr:uid="{00000000-0005-0000-0000-0000D81A0000}"/>
    <cellStyle name="20% - Accent4 3 3 3 6" xfId="6966" xr:uid="{00000000-0005-0000-0000-0000D91A0000}"/>
    <cellStyle name="20% - Accent4 3 3 3 7" xfId="6967" xr:uid="{00000000-0005-0000-0000-0000DA1A0000}"/>
    <cellStyle name="20% - Accent4 3 3 3 8" xfId="6968" xr:uid="{00000000-0005-0000-0000-0000DB1A0000}"/>
    <cellStyle name="20% - Accent4 3 3 4" xfId="6969" xr:uid="{00000000-0005-0000-0000-0000DC1A0000}"/>
    <cellStyle name="20% - Accent4 3 3 4 2" xfId="6970" xr:uid="{00000000-0005-0000-0000-0000DD1A0000}"/>
    <cellStyle name="20% - Accent4 3 3 4 2 2" xfId="6971" xr:uid="{00000000-0005-0000-0000-0000DE1A0000}"/>
    <cellStyle name="20% - Accent4 3 3 4 2 2 2" xfId="6972" xr:uid="{00000000-0005-0000-0000-0000DF1A0000}"/>
    <cellStyle name="20% - Accent4 3 3 4 2 2 2 2" xfId="6973" xr:uid="{00000000-0005-0000-0000-0000E01A0000}"/>
    <cellStyle name="20% - Accent4 3 3 4 2 2 2 3" xfId="6974" xr:uid="{00000000-0005-0000-0000-0000E11A0000}"/>
    <cellStyle name="20% - Accent4 3 3 4 2 2 3" xfId="6975" xr:uid="{00000000-0005-0000-0000-0000E21A0000}"/>
    <cellStyle name="20% - Accent4 3 3 4 2 2 4" xfId="6976" xr:uid="{00000000-0005-0000-0000-0000E31A0000}"/>
    <cellStyle name="20% - Accent4 3 3 4 2 3" xfId="6977" xr:uid="{00000000-0005-0000-0000-0000E41A0000}"/>
    <cellStyle name="20% - Accent4 3 3 4 2 3 2" xfId="6978" xr:uid="{00000000-0005-0000-0000-0000E51A0000}"/>
    <cellStyle name="20% - Accent4 3 3 4 2 3 3" xfId="6979" xr:uid="{00000000-0005-0000-0000-0000E61A0000}"/>
    <cellStyle name="20% - Accent4 3 3 4 2 4" xfId="6980" xr:uid="{00000000-0005-0000-0000-0000E71A0000}"/>
    <cellStyle name="20% - Accent4 3 3 4 2 5" xfId="6981" xr:uid="{00000000-0005-0000-0000-0000E81A0000}"/>
    <cellStyle name="20% - Accent4 3 3 4 2 6" xfId="6982" xr:uid="{00000000-0005-0000-0000-0000E91A0000}"/>
    <cellStyle name="20% - Accent4 3 3 4 3" xfId="6983" xr:uid="{00000000-0005-0000-0000-0000EA1A0000}"/>
    <cellStyle name="20% - Accent4 3 3 4 3 2" xfId="6984" xr:uid="{00000000-0005-0000-0000-0000EB1A0000}"/>
    <cellStyle name="20% - Accent4 3 3 4 3 2 2" xfId="6985" xr:uid="{00000000-0005-0000-0000-0000EC1A0000}"/>
    <cellStyle name="20% - Accent4 3 3 4 3 2 3" xfId="6986" xr:uid="{00000000-0005-0000-0000-0000ED1A0000}"/>
    <cellStyle name="20% - Accent4 3 3 4 3 3" xfId="6987" xr:uid="{00000000-0005-0000-0000-0000EE1A0000}"/>
    <cellStyle name="20% - Accent4 3 3 4 3 4" xfId="6988" xr:uid="{00000000-0005-0000-0000-0000EF1A0000}"/>
    <cellStyle name="20% - Accent4 3 3 4 4" xfId="6989" xr:uid="{00000000-0005-0000-0000-0000F01A0000}"/>
    <cellStyle name="20% - Accent4 3 3 4 4 2" xfId="6990" xr:uid="{00000000-0005-0000-0000-0000F11A0000}"/>
    <cellStyle name="20% - Accent4 3 3 4 4 3" xfId="6991" xr:uid="{00000000-0005-0000-0000-0000F21A0000}"/>
    <cellStyle name="20% - Accent4 3 3 4 5" xfId="6992" xr:uid="{00000000-0005-0000-0000-0000F31A0000}"/>
    <cellStyle name="20% - Accent4 3 3 4 6" xfId="6993" xr:uid="{00000000-0005-0000-0000-0000F41A0000}"/>
    <cellStyle name="20% - Accent4 3 3 4 7" xfId="6994" xr:uid="{00000000-0005-0000-0000-0000F51A0000}"/>
    <cellStyle name="20% - Accent4 3 3 5" xfId="6995" xr:uid="{00000000-0005-0000-0000-0000F61A0000}"/>
    <cellStyle name="20% - Accent4 3 3 5 2" xfId="6996" xr:uid="{00000000-0005-0000-0000-0000F71A0000}"/>
    <cellStyle name="20% - Accent4 3 3 5 2 2" xfId="6997" xr:uid="{00000000-0005-0000-0000-0000F81A0000}"/>
    <cellStyle name="20% - Accent4 3 3 5 2 2 2" xfId="6998" xr:uid="{00000000-0005-0000-0000-0000F91A0000}"/>
    <cellStyle name="20% - Accent4 3 3 5 2 2 3" xfId="6999" xr:uid="{00000000-0005-0000-0000-0000FA1A0000}"/>
    <cellStyle name="20% - Accent4 3 3 5 2 3" xfId="7000" xr:uid="{00000000-0005-0000-0000-0000FB1A0000}"/>
    <cellStyle name="20% - Accent4 3 3 5 2 4" xfId="7001" xr:uid="{00000000-0005-0000-0000-0000FC1A0000}"/>
    <cellStyle name="20% - Accent4 3 3 5 3" xfId="7002" xr:uid="{00000000-0005-0000-0000-0000FD1A0000}"/>
    <cellStyle name="20% - Accent4 3 3 5 3 2" xfId="7003" xr:uid="{00000000-0005-0000-0000-0000FE1A0000}"/>
    <cellStyle name="20% - Accent4 3 3 5 3 3" xfId="7004" xr:uid="{00000000-0005-0000-0000-0000FF1A0000}"/>
    <cellStyle name="20% - Accent4 3 3 5 4" xfId="7005" xr:uid="{00000000-0005-0000-0000-0000001B0000}"/>
    <cellStyle name="20% - Accent4 3 3 5 5" xfId="7006" xr:uid="{00000000-0005-0000-0000-0000011B0000}"/>
    <cellStyle name="20% - Accent4 3 3 5 6" xfId="7007" xr:uid="{00000000-0005-0000-0000-0000021B0000}"/>
    <cellStyle name="20% - Accent4 3 3 6" xfId="7008" xr:uid="{00000000-0005-0000-0000-0000031B0000}"/>
    <cellStyle name="20% - Accent4 3 3 6 2" xfId="7009" xr:uid="{00000000-0005-0000-0000-0000041B0000}"/>
    <cellStyle name="20% - Accent4 3 3 6 2 2" xfId="7010" xr:uid="{00000000-0005-0000-0000-0000051B0000}"/>
    <cellStyle name="20% - Accent4 3 3 6 2 3" xfId="7011" xr:uid="{00000000-0005-0000-0000-0000061B0000}"/>
    <cellStyle name="20% - Accent4 3 3 6 3" xfId="7012" xr:uid="{00000000-0005-0000-0000-0000071B0000}"/>
    <cellStyle name="20% - Accent4 3 3 6 4" xfId="7013" xr:uid="{00000000-0005-0000-0000-0000081B0000}"/>
    <cellStyle name="20% - Accent4 3 3 7" xfId="7014" xr:uid="{00000000-0005-0000-0000-0000091B0000}"/>
    <cellStyle name="20% - Accent4 3 3 7 2" xfId="7015" xr:uid="{00000000-0005-0000-0000-00000A1B0000}"/>
    <cellStyle name="20% - Accent4 3 3 7 3" xfId="7016" xr:uid="{00000000-0005-0000-0000-00000B1B0000}"/>
    <cellStyle name="20% - Accent4 3 3 8" xfId="7017" xr:uid="{00000000-0005-0000-0000-00000C1B0000}"/>
    <cellStyle name="20% - Accent4 3 3 9" xfId="7018" xr:uid="{00000000-0005-0000-0000-00000D1B0000}"/>
    <cellStyle name="20% - Accent4 3 4" xfId="7019" xr:uid="{00000000-0005-0000-0000-00000E1B0000}"/>
    <cellStyle name="20% - Accent4 3 4 2" xfId="7020" xr:uid="{00000000-0005-0000-0000-00000F1B0000}"/>
    <cellStyle name="20% - Accent4 3 4 2 2" xfId="7021" xr:uid="{00000000-0005-0000-0000-0000101B0000}"/>
    <cellStyle name="20% - Accent4 3 4 2 2 2" xfId="7022" xr:uid="{00000000-0005-0000-0000-0000111B0000}"/>
    <cellStyle name="20% - Accent4 3 4 2 2 2 2" xfId="7023" xr:uid="{00000000-0005-0000-0000-0000121B0000}"/>
    <cellStyle name="20% - Accent4 3 4 2 2 2 2 2" xfId="7024" xr:uid="{00000000-0005-0000-0000-0000131B0000}"/>
    <cellStyle name="20% - Accent4 3 4 2 2 2 2 2 2" xfId="7025" xr:uid="{00000000-0005-0000-0000-0000141B0000}"/>
    <cellStyle name="20% - Accent4 3 4 2 2 2 2 2 3" xfId="7026" xr:uid="{00000000-0005-0000-0000-0000151B0000}"/>
    <cellStyle name="20% - Accent4 3 4 2 2 2 2 3" xfId="7027" xr:uid="{00000000-0005-0000-0000-0000161B0000}"/>
    <cellStyle name="20% - Accent4 3 4 2 2 2 2 4" xfId="7028" xr:uid="{00000000-0005-0000-0000-0000171B0000}"/>
    <cellStyle name="20% - Accent4 3 4 2 2 2 3" xfId="7029" xr:uid="{00000000-0005-0000-0000-0000181B0000}"/>
    <cellStyle name="20% - Accent4 3 4 2 2 2 3 2" xfId="7030" xr:uid="{00000000-0005-0000-0000-0000191B0000}"/>
    <cellStyle name="20% - Accent4 3 4 2 2 2 3 3" xfId="7031" xr:uid="{00000000-0005-0000-0000-00001A1B0000}"/>
    <cellStyle name="20% - Accent4 3 4 2 2 2 4" xfId="7032" xr:uid="{00000000-0005-0000-0000-00001B1B0000}"/>
    <cellStyle name="20% - Accent4 3 4 2 2 2 5" xfId="7033" xr:uid="{00000000-0005-0000-0000-00001C1B0000}"/>
    <cellStyle name="20% - Accent4 3 4 2 2 2 6" xfId="7034" xr:uid="{00000000-0005-0000-0000-00001D1B0000}"/>
    <cellStyle name="20% - Accent4 3 4 2 2 3" xfId="7035" xr:uid="{00000000-0005-0000-0000-00001E1B0000}"/>
    <cellStyle name="20% - Accent4 3 4 2 2 3 2" xfId="7036" xr:uid="{00000000-0005-0000-0000-00001F1B0000}"/>
    <cellStyle name="20% - Accent4 3 4 2 2 3 2 2" xfId="7037" xr:uid="{00000000-0005-0000-0000-0000201B0000}"/>
    <cellStyle name="20% - Accent4 3 4 2 2 3 2 3" xfId="7038" xr:uid="{00000000-0005-0000-0000-0000211B0000}"/>
    <cellStyle name="20% - Accent4 3 4 2 2 3 3" xfId="7039" xr:uid="{00000000-0005-0000-0000-0000221B0000}"/>
    <cellStyle name="20% - Accent4 3 4 2 2 3 4" xfId="7040" xr:uid="{00000000-0005-0000-0000-0000231B0000}"/>
    <cellStyle name="20% - Accent4 3 4 2 2 4" xfId="7041" xr:uid="{00000000-0005-0000-0000-0000241B0000}"/>
    <cellStyle name="20% - Accent4 3 4 2 2 4 2" xfId="7042" xr:uid="{00000000-0005-0000-0000-0000251B0000}"/>
    <cellStyle name="20% - Accent4 3 4 2 2 4 3" xfId="7043" xr:uid="{00000000-0005-0000-0000-0000261B0000}"/>
    <cellStyle name="20% - Accent4 3 4 2 2 5" xfId="7044" xr:uid="{00000000-0005-0000-0000-0000271B0000}"/>
    <cellStyle name="20% - Accent4 3 4 2 2 6" xfId="7045" xr:uid="{00000000-0005-0000-0000-0000281B0000}"/>
    <cellStyle name="20% - Accent4 3 4 2 2 7" xfId="7046" xr:uid="{00000000-0005-0000-0000-0000291B0000}"/>
    <cellStyle name="20% - Accent4 3 4 2 3" xfId="7047" xr:uid="{00000000-0005-0000-0000-00002A1B0000}"/>
    <cellStyle name="20% - Accent4 3 4 2 3 2" xfId="7048" xr:uid="{00000000-0005-0000-0000-00002B1B0000}"/>
    <cellStyle name="20% - Accent4 3 4 2 3 2 2" xfId="7049" xr:uid="{00000000-0005-0000-0000-00002C1B0000}"/>
    <cellStyle name="20% - Accent4 3 4 2 3 2 2 2" xfId="7050" xr:uid="{00000000-0005-0000-0000-00002D1B0000}"/>
    <cellStyle name="20% - Accent4 3 4 2 3 2 2 3" xfId="7051" xr:uid="{00000000-0005-0000-0000-00002E1B0000}"/>
    <cellStyle name="20% - Accent4 3 4 2 3 2 3" xfId="7052" xr:uid="{00000000-0005-0000-0000-00002F1B0000}"/>
    <cellStyle name="20% - Accent4 3 4 2 3 2 4" xfId="7053" xr:uid="{00000000-0005-0000-0000-0000301B0000}"/>
    <cellStyle name="20% - Accent4 3 4 2 3 3" xfId="7054" xr:uid="{00000000-0005-0000-0000-0000311B0000}"/>
    <cellStyle name="20% - Accent4 3 4 2 3 3 2" xfId="7055" xr:uid="{00000000-0005-0000-0000-0000321B0000}"/>
    <cellStyle name="20% - Accent4 3 4 2 3 3 3" xfId="7056" xr:uid="{00000000-0005-0000-0000-0000331B0000}"/>
    <cellStyle name="20% - Accent4 3 4 2 3 4" xfId="7057" xr:uid="{00000000-0005-0000-0000-0000341B0000}"/>
    <cellStyle name="20% - Accent4 3 4 2 3 5" xfId="7058" xr:uid="{00000000-0005-0000-0000-0000351B0000}"/>
    <cellStyle name="20% - Accent4 3 4 2 3 6" xfId="7059" xr:uid="{00000000-0005-0000-0000-0000361B0000}"/>
    <cellStyle name="20% - Accent4 3 4 2 4" xfId="7060" xr:uid="{00000000-0005-0000-0000-0000371B0000}"/>
    <cellStyle name="20% - Accent4 3 4 2 4 2" xfId="7061" xr:uid="{00000000-0005-0000-0000-0000381B0000}"/>
    <cellStyle name="20% - Accent4 3 4 2 4 2 2" xfId="7062" xr:uid="{00000000-0005-0000-0000-0000391B0000}"/>
    <cellStyle name="20% - Accent4 3 4 2 4 2 3" xfId="7063" xr:uid="{00000000-0005-0000-0000-00003A1B0000}"/>
    <cellStyle name="20% - Accent4 3 4 2 4 3" xfId="7064" xr:uid="{00000000-0005-0000-0000-00003B1B0000}"/>
    <cellStyle name="20% - Accent4 3 4 2 4 4" xfId="7065" xr:uid="{00000000-0005-0000-0000-00003C1B0000}"/>
    <cellStyle name="20% - Accent4 3 4 2 5" xfId="7066" xr:uid="{00000000-0005-0000-0000-00003D1B0000}"/>
    <cellStyle name="20% - Accent4 3 4 2 5 2" xfId="7067" xr:uid="{00000000-0005-0000-0000-00003E1B0000}"/>
    <cellStyle name="20% - Accent4 3 4 2 5 3" xfId="7068" xr:uid="{00000000-0005-0000-0000-00003F1B0000}"/>
    <cellStyle name="20% - Accent4 3 4 2 6" xfId="7069" xr:uid="{00000000-0005-0000-0000-0000401B0000}"/>
    <cellStyle name="20% - Accent4 3 4 2 7" xfId="7070" xr:uid="{00000000-0005-0000-0000-0000411B0000}"/>
    <cellStyle name="20% - Accent4 3 4 2 8" xfId="7071" xr:uid="{00000000-0005-0000-0000-0000421B0000}"/>
    <cellStyle name="20% - Accent4 3 4 3" xfId="7072" xr:uid="{00000000-0005-0000-0000-0000431B0000}"/>
    <cellStyle name="20% - Accent4 3 4 3 2" xfId="7073" xr:uid="{00000000-0005-0000-0000-0000441B0000}"/>
    <cellStyle name="20% - Accent4 3 4 3 2 2" xfId="7074" xr:uid="{00000000-0005-0000-0000-0000451B0000}"/>
    <cellStyle name="20% - Accent4 3 4 3 2 2 2" xfId="7075" xr:uid="{00000000-0005-0000-0000-0000461B0000}"/>
    <cellStyle name="20% - Accent4 3 4 3 2 2 2 2" xfId="7076" xr:uid="{00000000-0005-0000-0000-0000471B0000}"/>
    <cellStyle name="20% - Accent4 3 4 3 2 2 2 3" xfId="7077" xr:uid="{00000000-0005-0000-0000-0000481B0000}"/>
    <cellStyle name="20% - Accent4 3 4 3 2 2 3" xfId="7078" xr:uid="{00000000-0005-0000-0000-0000491B0000}"/>
    <cellStyle name="20% - Accent4 3 4 3 2 2 4" xfId="7079" xr:uid="{00000000-0005-0000-0000-00004A1B0000}"/>
    <cellStyle name="20% - Accent4 3 4 3 2 3" xfId="7080" xr:uid="{00000000-0005-0000-0000-00004B1B0000}"/>
    <cellStyle name="20% - Accent4 3 4 3 2 3 2" xfId="7081" xr:uid="{00000000-0005-0000-0000-00004C1B0000}"/>
    <cellStyle name="20% - Accent4 3 4 3 2 3 3" xfId="7082" xr:uid="{00000000-0005-0000-0000-00004D1B0000}"/>
    <cellStyle name="20% - Accent4 3 4 3 2 4" xfId="7083" xr:uid="{00000000-0005-0000-0000-00004E1B0000}"/>
    <cellStyle name="20% - Accent4 3 4 3 2 5" xfId="7084" xr:uid="{00000000-0005-0000-0000-00004F1B0000}"/>
    <cellStyle name="20% - Accent4 3 4 3 2 6" xfId="7085" xr:uid="{00000000-0005-0000-0000-0000501B0000}"/>
    <cellStyle name="20% - Accent4 3 4 3 3" xfId="7086" xr:uid="{00000000-0005-0000-0000-0000511B0000}"/>
    <cellStyle name="20% - Accent4 3 4 3 3 2" xfId="7087" xr:uid="{00000000-0005-0000-0000-0000521B0000}"/>
    <cellStyle name="20% - Accent4 3 4 3 3 2 2" xfId="7088" xr:uid="{00000000-0005-0000-0000-0000531B0000}"/>
    <cellStyle name="20% - Accent4 3 4 3 3 2 3" xfId="7089" xr:uid="{00000000-0005-0000-0000-0000541B0000}"/>
    <cellStyle name="20% - Accent4 3 4 3 3 3" xfId="7090" xr:uid="{00000000-0005-0000-0000-0000551B0000}"/>
    <cellStyle name="20% - Accent4 3 4 3 3 4" xfId="7091" xr:uid="{00000000-0005-0000-0000-0000561B0000}"/>
    <cellStyle name="20% - Accent4 3 4 3 4" xfId="7092" xr:uid="{00000000-0005-0000-0000-0000571B0000}"/>
    <cellStyle name="20% - Accent4 3 4 3 4 2" xfId="7093" xr:uid="{00000000-0005-0000-0000-0000581B0000}"/>
    <cellStyle name="20% - Accent4 3 4 3 4 3" xfId="7094" xr:uid="{00000000-0005-0000-0000-0000591B0000}"/>
    <cellStyle name="20% - Accent4 3 4 3 5" xfId="7095" xr:uid="{00000000-0005-0000-0000-00005A1B0000}"/>
    <cellStyle name="20% - Accent4 3 4 3 6" xfId="7096" xr:uid="{00000000-0005-0000-0000-00005B1B0000}"/>
    <cellStyle name="20% - Accent4 3 4 3 7" xfId="7097" xr:uid="{00000000-0005-0000-0000-00005C1B0000}"/>
    <cellStyle name="20% - Accent4 3 4 4" xfId="7098" xr:uid="{00000000-0005-0000-0000-00005D1B0000}"/>
    <cellStyle name="20% - Accent4 3 4 4 2" xfId="7099" xr:uid="{00000000-0005-0000-0000-00005E1B0000}"/>
    <cellStyle name="20% - Accent4 3 4 4 2 2" xfId="7100" xr:uid="{00000000-0005-0000-0000-00005F1B0000}"/>
    <cellStyle name="20% - Accent4 3 4 4 2 2 2" xfId="7101" xr:uid="{00000000-0005-0000-0000-0000601B0000}"/>
    <cellStyle name="20% - Accent4 3 4 4 2 2 3" xfId="7102" xr:uid="{00000000-0005-0000-0000-0000611B0000}"/>
    <cellStyle name="20% - Accent4 3 4 4 2 3" xfId="7103" xr:uid="{00000000-0005-0000-0000-0000621B0000}"/>
    <cellStyle name="20% - Accent4 3 4 4 2 4" xfId="7104" xr:uid="{00000000-0005-0000-0000-0000631B0000}"/>
    <cellStyle name="20% - Accent4 3 4 4 3" xfId="7105" xr:uid="{00000000-0005-0000-0000-0000641B0000}"/>
    <cellStyle name="20% - Accent4 3 4 4 3 2" xfId="7106" xr:uid="{00000000-0005-0000-0000-0000651B0000}"/>
    <cellStyle name="20% - Accent4 3 4 4 3 3" xfId="7107" xr:uid="{00000000-0005-0000-0000-0000661B0000}"/>
    <cellStyle name="20% - Accent4 3 4 4 4" xfId="7108" xr:uid="{00000000-0005-0000-0000-0000671B0000}"/>
    <cellStyle name="20% - Accent4 3 4 4 5" xfId="7109" xr:uid="{00000000-0005-0000-0000-0000681B0000}"/>
    <cellStyle name="20% - Accent4 3 4 4 6" xfId="7110" xr:uid="{00000000-0005-0000-0000-0000691B0000}"/>
    <cellStyle name="20% - Accent4 3 4 5" xfId="7111" xr:uid="{00000000-0005-0000-0000-00006A1B0000}"/>
    <cellStyle name="20% - Accent4 3 4 5 2" xfId="7112" xr:uid="{00000000-0005-0000-0000-00006B1B0000}"/>
    <cellStyle name="20% - Accent4 3 4 5 2 2" xfId="7113" xr:uid="{00000000-0005-0000-0000-00006C1B0000}"/>
    <cellStyle name="20% - Accent4 3 4 5 2 3" xfId="7114" xr:uid="{00000000-0005-0000-0000-00006D1B0000}"/>
    <cellStyle name="20% - Accent4 3 4 5 3" xfId="7115" xr:uid="{00000000-0005-0000-0000-00006E1B0000}"/>
    <cellStyle name="20% - Accent4 3 4 5 4" xfId="7116" xr:uid="{00000000-0005-0000-0000-00006F1B0000}"/>
    <cellStyle name="20% - Accent4 3 4 6" xfId="7117" xr:uid="{00000000-0005-0000-0000-0000701B0000}"/>
    <cellStyle name="20% - Accent4 3 4 6 2" xfId="7118" xr:uid="{00000000-0005-0000-0000-0000711B0000}"/>
    <cellStyle name="20% - Accent4 3 4 6 3" xfId="7119" xr:uid="{00000000-0005-0000-0000-0000721B0000}"/>
    <cellStyle name="20% - Accent4 3 4 7" xfId="7120" xr:uid="{00000000-0005-0000-0000-0000731B0000}"/>
    <cellStyle name="20% - Accent4 3 4 8" xfId="7121" xr:uid="{00000000-0005-0000-0000-0000741B0000}"/>
    <cellStyle name="20% - Accent4 3 4 9" xfId="7122" xr:uid="{00000000-0005-0000-0000-0000751B0000}"/>
    <cellStyle name="20% - Accent4 3 5" xfId="7123" xr:uid="{00000000-0005-0000-0000-0000761B0000}"/>
    <cellStyle name="20% - Accent4 3 5 2" xfId="7124" xr:uid="{00000000-0005-0000-0000-0000771B0000}"/>
    <cellStyle name="20% - Accent4 3 5 2 2" xfId="7125" xr:uid="{00000000-0005-0000-0000-0000781B0000}"/>
    <cellStyle name="20% - Accent4 3 5 2 2 2" xfId="7126" xr:uid="{00000000-0005-0000-0000-0000791B0000}"/>
    <cellStyle name="20% - Accent4 3 5 2 2 2 2" xfId="7127" xr:uid="{00000000-0005-0000-0000-00007A1B0000}"/>
    <cellStyle name="20% - Accent4 3 5 2 2 2 2 2" xfId="7128" xr:uid="{00000000-0005-0000-0000-00007B1B0000}"/>
    <cellStyle name="20% - Accent4 3 5 2 2 2 2 2 2" xfId="7129" xr:uid="{00000000-0005-0000-0000-00007C1B0000}"/>
    <cellStyle name="20% - Accent4 3 5 2 2 2 2 2 3" xfId="7130" xr:uid="{00000000-0005-0000-0000-00007D1B0000}"/>
    <cellStyle name="20% - Accent4 3 5 2 2 2 2 3" xfId="7131" xr:uid="{00000000-0005-0000-0000-00007E1B0000}"/>
    <cellStyle name="20% - Accent4 3 5 2 2 2 2 4" xfId="7132" xr:uid="{00000000-0005-0000-0000-00007F1B0000}"/>
    <cellStyle name="20% - Accent4 3 5 2 2 2 3" xfId="7133" xr:uid="{00000000-0005-0000-0000-0000801B0000}"/>
    <cellStyle name="20% - Accent4 3 5 2 2 2 3 2" xfId="7134" xr:uid="{00000000-0005-0000-0000-0000811B0000}"/>
    <cellStyle name="20% - Accent4 3 5 2 2 2 3 3" xfId="7135" xr:uid="{00000000-0005-0000-0000-0000821B0000}"/>
    <cellStyle name="20% - Accent4 3 5 2 2 2 4" xfId="7136" xr:uid="{00000000-0005-0000-0000-0000831B0000}"/>
    <cellStyle name="20% - Accent4 3 5 2 2 2 5" xfId="7137" xr:uid="{00000000-0005-0000-0000-0000841B0000}"/>
    <cellStyle name="20% - Accent4 3 5 2 2 2 6" xfId="7138" xr:uid="{00000000-0005-0000-0000-0000851B0000}"/>
    <cellStyle name="20% - Accent4 3 5 2 2 3" xfId="7139" xr:uid="{00000000-0005-0000-0000-0000861B0000}"/>
    <cellStyle name="20% - Accent4 3 5 2 2 3 2" xfId="7140" xr:uid="{00000000-0005-0000-0000-0000871B0000}"/>
    <cellStyle name="20% - Accent4 3 5 2 2 3 2 2" xfId="7141" xr:uid="{00000000-0005-0000-0000-0000881B0000}"/>
    <cellStyle name="20% - Accent4 3 5 2 2 3 2 3" xfId="7142" xr:uid="{00000000-0005-0000-0000-0000891B0000}"/>
    <cellStyle name="20% - Accent4 3 5 2 2 3 3" xfId="7143" xr:uid="{00000000-0005-0000-0000-00008A1B0000}"/>
    <cellStyle name="20% - Accent4 3 5 2 2 3 4" xfId="7144" xr:uid="{00000000-0005-0000-0000-00008B1B0000}"/>
    <cellStyle name="20% - Accent4 3 5 2 2 4" xfId="7145" xr:uid="{00000000-0005-0000-0000-00008C1B0000}"/>
    <cellStyle name="20% - Accent4 3 5 2 2 4 2" xfId="7146" xr:uid="{00000000-0005-0000-0000-00008D1B0000}"/>
    <cellStyle name="20% - Accent4 3 5 2 2 4 3" xfId="7147" xr:uid="{00000000-0005-0000-0000-00008E1B0000}"/>
    <cellStyle name="20% - Accent4 3 5 2 2 5" xfId="7148" xr:uid="{00000000-0005-0000-0000-00008F1B0000}"/>
    <cellStyle name="20% - Accent4 3 5 2 2 6" xfId="7149" xr:uid="{00000000-0005-0000-0000-0000901B0000}"/>
    <cellStyle name="20% - Accent4 3 5 2 2 7" xfId="7150" xr:uid="{00000000-0005-0000-0000-0000911B0000}"/>
    <cellStyle name="20% - Accent4 3 5 2 3" xfId="7151" xr:uid="{00000000-0005-0000-0000-0000921B0000}"/>
    <cellStyle name="20% - Accent4 3 5 2 3 2" xfId="7152" xr:uid="{00000000-0005-0000-0000-0000931B0000}"/>
    <cellStyle name="20% - Accent4 3 5 2 3 2 2" xfId="7153" xr:uid="{00000000-0005-0000-0000-0000941B0000}"/>
    <cellStyle name="20% - Accent4 3 5 2 3 2 2 2" xfId="7154" xr:uid="{00000000-0005-0000-0000-0000951B0000}"/>
    <cellStyle name="20% - Accent4 3 5 2 3 2 2 3" xfId="7155" xr:uid="{00000000-0005-0000-0000-0000961B0000}"/>
    <cellStyle name="20% - Accent4 3 5 2 3 2 3" xfId="7156" xr:uid="{00000000-0005-0000-0000-0000971B0000}"/>
    <cellStyle name="20% - Accent4 3 5 2 3 2 4" xfId="7157" xr:uid="{00000000-0005-0000-0000-0000981B0000}"/>
    <cellStyle name="20% - Accent4 3 5 2 3 3" xfId="7158" xr:uid="{00000000-0005-0000-0000-0000991B0000}"/>
    <cellStyle name="20% - Accent4 3 5 2 3 3 2" xfId="7159" xr:uid="{00000000-0005-0000-0000-00009A1B0000}"/>
    <cellStyle name="20% - Accent4 3 5 2 3 3 3" xfId="7160" xr:uid="{00000000-0005-0000-0000-00009B1B0000}"/>
    <cellStyle name="20% - Accent4 3 5 2 3 4" xfId="7161" xr:uid="{00000000-0005-0000-0000-00009C1B0000}"/>
    <cellStyle name="20% - Accent4 3 5 2 3 5" xfId="7162" xr:uid="{00000000-0005-0000-0000-00009D1B0000}"/>
    <cellStyle name="20% - Accent4 3 5 2 3 6" xfId="7163" xr:uid="{00000000-0005-0000-0000-00009E1B0000}"/>
    <cellStyle name="20% - Accent4 3 5 2 4" xfId="7164" xr:uid="{00000000-0005-0000-0000-00009F1B0000}"/>
    <cellStyle name="20% - Accent4 3 5 2 4 2" xfId="7165" xr:uid="{00000000-0005-0000-0000-0000A01B0000}"/>
    <cellStyle name="20% - Accent4 3 5 2 4 2 2" xfId="7166" xr:uid="{00000000-0005-0000-0000-0000A11B0000}"/>
    <cellStyle name="20% - Accent4 3 5 2 4 2 3" xfId="7167" xr:uid="{00000000-0005-0000-0000-0000A21B0000}"/>
    <cellStyle name="20% - Accent4 3 5 2 4 3" xfId="7168" xr:uid="{00000000-0005-0000-0000-0000A31B0000}"/>
    <cellStyle name="20% - Accent4 3 5 2 4 4" xfId="7169" xr:uid="{00000000-0005-0000-0000-0000A41B0000}"/>
    <cellStyle name="20% - Accent4 3 5 2 5" xfId="7170" xr:uid="{00000000-0005-0000-0000-0000A51B0000}"/>
    <cellStyle name="20% - Accent4 3 5 2 5 2" xfId="7171" xr:uid="{00000000-0005-0000-0000-0000A61B0000}"/>
    <cellStyle name="20% - Accent4 3 5 2 5 3" xfId="7172" xr:uid="{00000000-0005-0000-0000-0000A71B0000}"/>
    <cellStyle name="20% - Accent4 3 5 2 6" xfId="7173" xr:uid="{00000000-0005-0000-0000-0000A81B0000}"/>
    <cellStyle name="20% - Accent4 3 5 2 7" xfId="7174" xr:uid="{00000000-0005-0000-0000-0000A91B0000}"/>
    <cellStyle name="20% - Accent4 3 5 2 8" xfId="7175" xr:uid="{00000000-0005-0000-0000-0000AA1B0000}"/>
    <cellStyle name="20% - Accent4 3 5 3" xfId="7176" xr:uid="{00000000-0005-0000-0000-0000AB1B0000}"/>
    <cellStyle name="20% - Accent4 3 5 3 2" xfId="7177" xr:uid="{00000000-0005-0000-0000-0000AC1B0000}"/>
    <cellStyle name="20% - Accent4 3 5 3 2 2" xfId="7178" xr:uid="{00000000-0005-0000-0000-0000AD1B0000}"/>
    <cellStyle name="20% - Accent4 3 5 3 2 2 2" xfId="7179" xr:uid="{00000000-0005-0000-0000-0000AE1B0000}"/>
    <cellStyle name="20% - Accent4 3 5 3 2 2 2 2" xfId="7180" xr:uid="{00000000-0005-0000-0000-0000AF1B0000}"/>
    <cellStyle name="20% - Accent4 3 5 3 2 2 2 3" xfId="7181" xr:uid="{00000000-0005-0000-0000-0000B01B0000}"/>
    <cellStyle name="20% - Accent4 3 5 3 2 2 3" xfId="7182" xr:uid="{00000000-0005-0000-0000-0000B11B0000}"/>
    <cellStyle name="20% - Accent4 3 5 3 2 2 4" xfId="7183" xr:uid="{00000000-0005-0000-0000-0000B21B0000}"/>
    <cellStyle name="20% - Accent4 3 5 3 2 3" xfId="7184" xr:uid="{00000000-0005-0000-0000-0000B31B0000}"/>
    <cellStyle name="20% - Accent4 3 5 3 2 3 2" xfId="7185" xr:uid="{00000000-0005-0000-0000-0000B41B0000}"/>
    <cellStyle name="20% - Accent4 3 5 3 2 3 3" xfId="7186" xr:uid="{00000000-0005-0000-0000-0000B51B0000}"/>
    <cellStyle name="20% - Accent4 3 5 3 2 4" xfId="7187" xr:uid="{00000000-0005-0000-0000-0000B61B0000}"/>
    <cellStyle name="20% - Accent4 3 5 3 2 5" xfId="7188" xr:uid="{00000000-0005-0000-0000-0000B71B0000}"/>
    <cellStyle name="20% - Accent4 3 5 3 2 6" xfId="7189" xr:uid="{00000000-0005-0000-0000-0000B81B0000}"/>
    <cellStyle name="20% - Accent4 3 5 3 3" xfId="7190" xr:uid="{00000000-0005-0000-0000-0000B91B0000}"/>
    <cellStyle name="20% - Accent4 3 5 3 3 2" xfId="7191" xr:uid="{00000000-0005-0000-0000-0000BA1B0000}"/>
    <cellStyle name="20% - Accent4 3 5 3 3 2 2" xfId="7192" xr:uid="{00000000-0005-0000-0000-0000BB1B0000}"/>
    <cellStyle name="20% - Accent4 3 5 3 3 2 3" xfId="7193" xr:uid="{00000000-0005-0000-0000-0000BC1B0000}"/>
    <cellStyle name="20% - Accent4 3 5 3 3 3" xfId="7194" xr:uid="{00000000-0005-0000-0000-0000BD1B0000}"/>
    <cellStyle name="20% - Accent4 3 5 3 3 4" xfId="7195" xr:uid="{00000000-0005-0000-0000-0000BE1B0000}"/>
    <cellStyle name="20% - Accent4 3 5 3 4" xfId="7196" xr:uid="{00000000-0005-0000-0000-0000BF1B0000}"/>
    <cellStyle name="20% - Accent4 3 5 3 4 2" xfId="7197" xr:uid="{00000000-0005-0000-0000-0000C01B0000}"/>
    <cellStyle name="20% - Accent4 3 5 3 4 3" xfId="7198" xr:uid="{00000000-0005-0000-0000-0000C11B0000}"/>
    <cellStyle name="20% - Accent4 3 5 3 5" xfId="7199" xr:uid="{00000000-0005-0000-0000-0000C21B0000}"/>
    <cellStyle name="20% - Accent4 3 5 3 6" xfId="7200" xr:uid="{00000000-0005-0000-0000-0000C31B0000}"/>
    <cellStyle name="20% - Accent4 3 5 3 7" xfId="7201" xr:uid="{00000000-0005-0000-0000-0000C41B0000}"/>
    <cellStyle name="20% - Accent4 3 5 4" xfId="7202" xr:uid="{00000000-0005-0000-0000-0000C51B0000}"/>
    <cellStyle name="20% - Accent4 3 5 4 2" xfId="7203" xr:uid="{00000000-0005-0000-0000-0000C61B0000}"/>
    <cellStyle name="20% - Accent4 3 5 4 2 2" xfId="7204" xr:uid="{00000000-0005-0000-0000-0000C71B0000}"/>
    <cellStyle name="20% - Accent4 3 5 4 2 2 2" xfId="7205" xr:uid="{00000000-0005-0000-0000-0000C81B0000}"/>
    <cellStyle name="20% - Accent4 3 5 4 2 2 3" xfId="7206" xr:uid="{00000000-0005-0000-0000-0000C91B0000}"/>
    <cellStyle name="20% - Accent4 3 5 4 2 3" xfId="7207" xr:uid="{00000000-0005-0000-0000-0000CA1B0000}"/>
    <cellStyle name="20% - Accent4 3 5 4 2 4" xfId="7208" xr:uid="{00000000-0005-0000-0000-0000CB1B0000}"/>
    <cellStyle name="20% - Accent4 3 5 4 3" xfId="7209" xr:uid="{00000000-0005-0000-0000-0000CC1B0000}"/>
    <cellStyle name="20% - Accent4 3 5 4 3 2" xfId="7210" xr:uid="{00000000-0005-0000-0000-0000CD1B0000}"/>
    <cellStyle name="20% - Accent4 3 5 4 3 3" xfId="7211" xr:uid="{00000000-0005-0000-0000-0000CE1B0000}"/>
    <cellStyle name="20% - Accent4 3 5 4 4" xfId="7212" xr:uid="{00000000-0005-0000-0000-0000CF1B0000}"/>
    <cellStyle name="20% - Accent4 3 5 4 5" xfId="7213" xr:uid="{00000000-0005-0000-0000-0000D01B0000}"/>
    <cellStyle name="20% - Accent4 3 5 4 6" xfId="7214" xr:uid="{00000000-0005-0000-0000-0000D11B0000}"/>
    <cellStyle name="20% - Accent4 3 5 5" xfId="7215" xr:uid="{00000000-0005-0000-0000-0000D21B0000}"/>
    <cellStyle name="20% - Accent4 3 5 5 2" xfId="7216" xr:uid="{00000000-0005-0000-0000-0000D31B0000}"/>
    <cellStyle name="20% - Accent4 3 5 5 2 2" xfId="7217" xr:uid="{00000000-0005-0000-0000-0000D41B0000}"/>
    <cellStyle name="20% - Accent4 3 5 5 2 3" xfId="7218" xr:uid="{00000000-0005-0000-0000-0000D51B0000}"/>
    <cellStyle name="20% - Accent4 3 5 5 3" xfId="7219" xr:uid="{00000000-0005-0000-0000-0000D61B0000}"/>
    <cellStyle name="20% - Accent4 3 5 5 4" xfId="7220" xr:uid="{00000000-0005-0000-0000-0000D71B0000}"/>
    <cellStyle name="20% - Accent4 3 5 6" xfId="7221" xr:uid="{00000000-0005-0000-0000-0000D81B0000}"/>
    <cellStyle name="20% - Accent4 3 5 6 2" xfId="7222" xr:uid="{00000000-0005-0000-0000-0000D91B0000}"/>
    <cellStyle name="20% - Accent4 3 5 6 3" xfId="7223" xr:uid="{00000000-0005-0000-0000-0000DA1B0000}"/>
    <cellStyle name="20% - Accent4 3 5 7" xfId="7224" xr:uid="{00000000-0005-0000-0000-0000DB1B0000}"/>
    <cellStyle name="20% - Accent4 3 5 8" xfId="7225" xr:uid="{00000000-0005-0000-0000-0000DC1B0000}"/>
    <cellStyle name="20% - Accent4 3 5 9" xfId="7226" xr:uid="{00000000-0005-0000-0000-0000DD1B0000}"/>
    <cellStyle name="20% - Accent4 3 6" xfId="7227" xr:uid="{00000000-0005-0000-0000-0000DE1B0000}"/>
    <cellStyle name="20% - Accent4 3 6 2" xfId="7228" xr:uid="{00000000-0005-0000-0000-0000DF1B0000}"/>
    <cellStyle name="20% - Accent4 3 6 2 2" xfId="7229" xr:uid="{00000000-0005-0000-0000-0000E01B0000}"/>
    <cellStyle name="20% - Accent4 3 6 2 2 2" xfId="7230" xr:uid="{00000000-0005-0000-0000-0000E11B0000}"/>
    <cellStyle name="20% - Accent4 3 6 2 2 2 2" xfId="7231" xr:uid="{00000000-0005-0000-0000-0000E21B0000}"/>
    <cellStyle name="20% - Accent4 3 6 2 2 2 2 2" xfId="7232" xr:uid="{00000000-0005-0000-0000-0000E31B0000}"/>
    <cellStyle name="20% - Accent4 3 6 2 2 2 2 3" xfId="7233" xr:uid="{00000000-0005-0000-0000-0000E41B0000}"/>
    <cellStyle name="20% - Accent4 3 6 2 2 2 3" xfId="7234" xr:uid="{00000000-0005-0000-0000-0000E51B0000}"/>
    <cellStyle name="20% - Accent4 3 6 2 2 2 4" xfId="7235" xr:uid="{00000000-0005-0000-0000-0000E61B0000}"/>
    <cellStyle name="20% - Accent4 3 6 2 2 3" xfId="7236" xr:uid="{00000000-0005-0000-0000-0000E71B0000}"/>
    <cellStyle name="20% - Accent4 3 6 2 2 3 2" xfId="7237" xr:uid="{00000000-0005-0000-0000-0000E81B0000}"/>
    <cellStyle name="20% - Accent4 3 6 2 2 3 3" xfId="7238" xr:uid="{00000000-0005-0000-0000-0000E91B0000}"/>
    <cellStyle name="20% - Accent4 3 6 2 2 4" xfId="7239" xr:uid="{00000000-0005-0000-0000-0000EA1B0000}"/>
    <cellStyle name="20% - Accent4 3 6 2 2 5" xfId="7240" xr:uid="{00000000-0005-0000-0000-0000EB1B0000}"/>
    <cellStyle name="20% - Accent4 3 6 2 2 6" xfId="7241" xr:uid="{00000000-0005-0000-0000-0000EC1B0000}"/>
    <cellStyle name="20% - Accent4 3 6 2 3" xfId="7242" xr:uid="{00000000-0005-0000-0000-0000ED1B0000}"/>
    <cellStyle name="20% - Accent4 3 6 2 3 2" xfId="7243" xr:uid="{00000000-0005-0000-0000-0000EE1B0000}"/>
    <cellStyle name="20% - Accent4 3 6 2 3 2 2" xfId="7244" xr:uid="{00000000-0005-0000-0000-0000EF1B0000}"/>
    <cellStyle name="20% - Accent4 3 6 2 3 2 3" xfId="7245" xr:uid="{00000000-0005-0000-0000-0000F01B0000}"/>
    <cellStyle name="20% - Accent4 3 6 2 3 3" xfId="7246" xr:uid="{00000000-0005-0000-0000-0000F11B0000}"/>
    <cellStyle name="20% - Accent4 3 6 2 3 4" xfId="7247" xr:uid="{00000000-0005-0000-0000-0000F21B0000}"/>
    <cellStyle name="20% - Accent4 3 6 2 4" xfId="7248" xr:uid="{00000000-0005-0000-0000-0000F31B0000}"/>
    <cellStyle name="20% - Accent4 3 6 2 4 2" xfId="7249" xr:uid="{00000000-0005-0000-0000-0000F41B0000}"/>
    <cellStyle name="20% - Accent4 3 6 2 4 3" xfId="7250" xr:uid="{00000000-0005-0000-0000-0000F51B0000}"/>
    <cellStyle name="20% - Accent4 3 6 2 5" xfId="7251" xr:uid="{00000000-0005-0000-0000-0000F61B0000}"/>
    <cellStyle name="20% - Accent4 3 6 2 6" xfId="7252" xr:uid="{00000000-0005-0000-0000-0000F71B0000}"/>
    <cellStyle name="20% - Accent4 3 6 2 7" xfId="7253" xr:uid="{00000000-0005-0000-0000-0000F81B0000}"/>
    <cellStyle name="20% - Accent4 3 6 3" xfId="7254" xr:uid="{00000000-0005-0000-0000-0000F91B0000}"/>
    <cellStyle name="20% - Accent4 3 6 3 2" xfId="7255" xr:uid="{00000000-0005-0000-0000-0000FA1B0000}"/>
    <cellStyle name="20% - Accent4 3 6 3 2 2" xfId="7256" xr:uid="{00000000-0005-0000-0000-0000FB1B0000}"/>
    <cellStyle name="20% - Accent4 3 6 3 2 2 2" xfId="7257" xr:uid="{00000000-0005-0000-0000-0000FC1B0000}"/>
    <cellStyle name="20% - Accent4 3 6 3 2 2 3" xfId="7258" xr:uid="{00000000-0005-0000-0000-0000FD1B0000}"/>
    <cellStyle name="20% - Accent4 3 6 3 2 3" xfId="7259" xr:uid="{00000000-0005-0000-0000-0000FE1B0000}"/>
    <cellStyle name="20% - Accent4 3 6 3 2 4" xfId="7260" xr:uid="{00000000-0005-0000-0000-0000FF1B0000}"/>
    <cellStyle name="20% - Accent4 3 6 3 3" xfId="7261" xr:uid="{00000000-0005-0000-0000-0000001C0000}"/>
    <cellStyle name="20% - Accent4 3 6 3 3 2" xfId="7262" xr:uid="{00000000-0005-0000-0000-0000011C0000}"/>
    <cellStyle name="20% - Accent4 3 6 3 3 3" xfId="7263" xr:uid="{00000000-0005-0000-0000-0000021C0000}"/>
    <cellStyle name="20% - Accent4 3 6 3 4" xfId="7264" xr:uid="{00000000-0005-0000-0000-0000031C0000}"/>
    <cellStyle name="20% - Accent4 3 6 3 5" xfId="7265" xr:uid="{00000000-0005-0000-0000-0000041C0000}"/>
    <cellStyle name="20% - Accent4 3 6 3 6" xfId="7266" xr:uid="{00000000-0005-0000-0000-0000051C0000}"/>
    <cellStyle name="20% - Accent4 3 6 4" xfId="7267" xr:uid="{00000000-0005-0000-0000-0000061C0000}"/>
    <cellStyle name="20% - Accent4 3 6 4 2" xfId="7268" xr:uid="{00000000-0005-0000-0000-0000071C0000}"/>
    <cellStyle name="20% - Accent4 3 6 4 2 2" xfId="7269" xr:uid="{00000000-0005-0000-0000-0000081C0000}"/>
    <cellStyle name="20% - Accent4 3 6 4 2 3" xfId="7270" xr:uid="{00000000-0005-0000-0000-0000091C0000}"/>
    <cellStyle name="20% - Accent4 3 6 4 3" xfId="7271" xr:uid="{00000000-0005-0000-0000-00000A1C0000}"/>
    <cellStyle name="20% - Accent4 3 6 4 4" xfId="7272" xr:uid="{00000000-0005-0000-0000-00000B1C0000}"/>
    <cellStyle name="20% - Accent4 3 6 5" xfId="7273" xr:uid="{00000000-0005-0000-0000-00000C1C0000}"/>
    <cellStyle name="20% - Accent4 3 6 5 2" xfId="7274" xr:uid="{00000000-0005-0000-0000-00000D1C0000}"/>
    <cellStyle name="20% - Accent4 3 6 5 3" xfId="7275" xr:uid="{00000000-0005-0000-0000-00000E1C0000}"/>
    <cellStyle name="20% - Accent4 3 6 6" xfId="7276" xr:uid="{00000000-0005-0000-0000-00000F1C0000}"/>
    <cellStyle name="20% - Accent4 3 6 7" xfId="7277" xr:uid="{00000000-0005-0000-0000-0000101C0000}"/>
    <cellStyle name="20% - Accent4 3 6 8" xfId="7278" xr:uid="{00000000-0005-0000-0000-0000111C0000}"/>
    <cellStyle name="20% - Accent4 3 7" xfId="7279" xr:uid="{00000000-0005-0000-0000-0000121C0000}"/>
    <cellStyle name="20% - Accent4 3 7 2" xfId="7280" xr:uid="{00000000-0005-0000-0000-0000131C0000}"/>
    <cellStyle name="20% - Accent4 3 7 2 2" xfId="7281" xr:uid="{00000000-0005-0000-0000-0000141C0000}"/>
    <cellStyle name="20% - Accent4 3 7 2 2 2" xfId="7282" xr:uid="{00000000-0005-0000-0000-0000151C0000}"/>
    <cellStyle name="20% - Accent4 3 7 2 2 2 2" xfId="7283" xr:uid="{00000000-0005-0000-0000-0000161C0000}"/>
    <cellStyle name="20% - Accent4 3 7 2 2 2 2 2" xfId="7284" xr:uid="{00000000-0005-0000-0000-0000171C0000}"/>
    <cellStyle name="20% - Accent4 3 7 2 2 2 2 3" xfId="7285" xr:uid="{00000000-0005-0000-0000-0000181C0000}"/>
    <cellStyle name="20% - Accent4 3 7 2 2 2 3" xfId="7286" xr:uid="{00000000-0005-0000-0000-0000191C0000}"/>
    <cellStyle name="20% - Accent4 3 7 2 2 2 4" xfId="7287" xr:uid="{00000000-0005-0000-0000-00001A1C0000}"/>
    <cellStyle name="20% - Accent4 3 7 2 2 3" xfId="7288" xr:uid="{00000000-0005-0000-0000-00001B1C0000}"/>
    <cellStyle name="20% - Accent4 3 7 2 2 3 2" xfId="7289" xr:uid="{00000000-0005-0000-0000-00001C1C0000}"/>
    <cellStyle name="20% - Accent4 3 7 2 2 3 3" xfId="7290" xr:uid="{00000000-0005-0000-0000-00001D1C0000}"/>
    <cellStyle name="20% - Accent4 3 7 2 2 4" xfId="7291" xr:uid="{00000000-0005-0000-0000-00001E1C0000}"/>
    <cellStyle name="20% - Accent4 3 7 2 2 5" xfId="7292" xr:uid="{00000000-0005-0000-0000-00001F1C0000}"/>
    <cellStyle name="20% - Accent4 3 7 2 2 6" xfId="7293" xr:uid="{00000000-0005-0000-0000-0000201C0000}"/>
    <cellStyle name="20% - Accent4 3 7 2 3" xfId="7294" xr:uid="{00000000-0005-0000-0000-0000211C0000}"/>
    <cellStyle name="20% - Accent4 3 7 2 3 2" xfId="7295" xr:uid="{00000000-0005-0000-0000-0000221C0000}"/>
    <cellStyle name="20% - Accent4 3 7 2 3 2 2" xfId="7296" xr:uid="{00000000-0005-0000-0000-0000231C0000}"/>
    <cellStyle name="20% - Accent4 3 7 2 3 2 3" xfId="7297" xr:uid="{00000000-0005-0000-0000-0000241C0000}"/>
    <cellStyle name="20% - Accent4 3 7 2 3 3" xfId="7298" xr:uid="{00000000-0005-0000-0000-0000251C0000}"/>
    <cellStyle name="20% - Accent4 3 7 2 3 4" xfId="7299" xr:uid="{00000000-0005-0000-0000-0000261C0000}"/>
    <cellStyle name="20% - Accent4 3 7 2 4" xfId="7300" xr:uid="{00000000-0005-0000-0000-0000271C0000}"/>
    <cellStyle name="20% - Accent4 3 7 2 4 2" xfId="7301" xr:uid="{00000000-0005-0000-0000-0000281C0000}"/>
    <cellStyle name="20% - Accent4 3 7 2 4 3" xfId="7302" xr:uid="{00000000-0005-0000-0000-0000291C0000}"/>
    <cellStyle name="20% - Accent4 3 7 2 5" xfId="7303" xr:uid="{00000000-0005-0000-0000-00002A1C0000}"/>
    <cellStyle name="20% - Accent4 3 7 2 6" xfId="7304" xr:uid="{00000000-0005-0000-0000-00002B1C0000}"/>
    <cellStyle name="20% - Accent4 3 7 2 7" xfId="7305" xr:uid="{00000000-0005-0000-0000-00002C1C0000}"/>
    <cellStyle name="20% - Accent4 3 7 3" xfId="7306" xr:uid="{00000000-0005-0000-0000-00002D1C0000}"/>
    <cellStyle name="20% - Accent4 3 7 3 2" xfId="7307" xr:uid="{00000000-0005-0000-0000-00002E1C0000}"/>
    <cellStyle name="20% - Accent4 3 7 3 2 2" xfId="7308" xr:uid="{00000000-0005-0000-0000-00002F1C0000}"/>
    <cellStyle name="20% - Accent4 3 7 3 2 2 2" xfId="7309" xr:uid="{00000000-0005-0000-0000-0000301C0000}"/>
    <cellStyle name="20% - Accent4 3 7 3 2 2 3" xfId="7310" xr:uid="{00000000-0005-0000-0000-0000311C0000}"/>
    <cellStyle name="20% - Accent4 3 7 3 2 3" xfId="7311" xr:uid="{00000000-0005-0000-0000-0000321C0000}"/>
    <cellStyle name="20% - Accent4 3 7 3 2 4" xfId="7312" xr:uid="{00000000-0005-0000-0000-0000331C0000}"/>
    <cellStyle name="20% - Accent4 3 7 3 3" xfId="7313" xr:uid="{00000000-0005-0000-0000-0000341C0000}"/>
    <cellStyle name="20% - Accent4 3 7 3 3 2" xfId="7314" xr:uid="{00000000-0005-0000-0000-0000351C0000}"/>
    <cellStyle name="20% - Accent4 3 7 3 3 3" xfId="7315" xr:uid="{00000000-0005-0000-0000-0000361C0000}"/>
    <cellStyle name="20% - Accent4 3 7 3 4" xfId="7316" xr:uid="{00000000-0005-0000-0000-0000371C0000}"/>
    <cellStyle name="20% - Accent4 3 7 3 5" xfId="7317" xr:uid="{00000000-0005-0000-0000-0000381C0000}"/>
    <cellStyle name="20% - Accent4 3 7 3 6" xfId="7318" xr:uid="{00000000-0005-0000-0000-0000391C0000}"/>
    <cellStyle name="20% - Accent4 3 7 4" xfId="7319" xr:uid="{00000000-0005-0000-0000-00003A1C0000}"/>
    <cellStyle name="20% - Accent4 3 7 4 2" xfId="7320" xr:uid="{00000000-0005-0000-0000-00003B1C0000}"/>
    <cellStyle name="20% - Accent4 3 7 4 2 2" xfId="7321" xr:uid="{00000000-0005-0000-0000-00003C1C0000}"/>
    <cellStyle name="20% - Accent4 3 7 4 2 3" xfId="7322" xr:uid="{00000000-0005-0000-0000-00003D1C0000}"/>
    <cellStyle name="20% - Accent4 3 7 4 3" xfId="7323" xr:uid="{00000000-0005-0000-0000-00003E1C0000}"/>
    <cellStyle name="20% - Accent4 3 7 4 4" xfId="7324" xr:uid="{00000000-0005-0000-0000-00003F1C0000}"/>
    <cellStyle name="20% - Accent4 3 7 5" xfId="7325" xr:uid="{00000000-0005-0000-0000-0000401C0000}"/>
    <cellStyle name="20% - Accent4 3 7 5 2" xfId="7326" xr:uid="{00000000-0005-0000-0000-0000411C0000}"/>
    <cellStyle name="20% - Accent4 3 7 5 3" xfId="7327" xr:uid="{00000000-0005-0000-0000-0000421C0000}"/>
    <cellStyle name="20% - Accent4 3 7 6" xfId="7328" xr:uid="{00000000-0005-0000-0000-0000431C0000}"/>
    <cellStyle name="20% - Accent4 3 7 7" xfId="7329" xr:uid="{00000000-0005-0000-0000-0000441C0000}"/>
    <cellStyle name="20% - Accent4 3 7 8" xfId="7330" xr:uid="{00000000-0005-0000-0000-0000451C0000}"/>
    <cellStyle name="20% - Accent4 3 8" xfId="7331" xr:uid="{00000000-0005-0000-0000-0000461C0000}"/>
    <cellStyle name="20% - Accent4 3 8 2" xfId="7332" xr:uid="{00000000-0005-0000-0000-0000471C0000}"/>
    <cellStyle name="20% - Accent4 3 8 2 2" xfId="7333" xr:uid="{00000000-0005-0000-0000-0000481C0000}"/>
    <cellStyle name="20% - Accent4 3 8 2 2 2" xfId="7334" xr:uid="{00000000-0005-0000-0000-0000491C0000}"/>
    <cellStyle name="20% - Accent4 3 8 2 2 2 2" xfId="7335" xr:uid="{00000000-0005-0000-0000-00004A1C0000}"/>
    <cellStyle name="20% - Accent4 3 8 2 2 2 3" xfId="7336" xr:uid="{00000000-0005-0000-0000-00004B1C0000}"/>
    <cellStyle name="20% - Accent4 3 8 2 2 3" xfId="7337" xr:uid="{00000000-0005-0000-0000-00004C1C0000}"/>
    <cellStyle name="20% - Accent4 3 8 2 2 4" xfId="7338" xr:uid="{00000000-0005-0000-0000-00004D1C0000}"/>
    <cellStyle name="20% - Accent4 3 8 2 3" xfId="7339" xr:uid="{00000000-0005-0000-0000-00004E1C0000}"/>
    <cellStyle name="20% - Accent4 3 8 2 3 2" xfId="7340" xr:uid="{00000000-0005-0000-0000-00004F1C0000}"/>
    <cellStyle name="20% - Accent4 3 8 2 3 3" xfId="7341" xr:uid="{00000000-0005-0000-0000-0000501C0000}"/>
    <cellStyle name="20% - Accent4 3 8 2 4" xfId="7342" xr:uid="{00000000-0005-0000-0000-0000511C0000}"/>
    <cellStyle name="20% - Accent4 3 8 2 5" xfId="7343" xr:uid="{00000000-0005-0000-0000-0000521C0000}"/>
    <cellStyle name="20% - Accent4 3 8 2 6" xfId="7344" xr:uid="{00000000-0005-0000-0000-0000531C0000}"/>
    <cellStyle name="20% - Accent4 3 8 3" xfId="7345" xr:uid="{00000000-0005-0000-0000-0000541C0000}"/>
    <cellStyle name="20% - Accent4 3 8 3 2" xfId="7346" xr:uid="{00000000-0005-0000-0000-0000551C0000}"/>
    <cellStyle name="20% - Accent4 3 8 3 2 2" xfId="7347" xr:uid="{00000000-0005-0000-0000-0000561C0000}"/>
    <cellStyle name="20% - Accent4 3 8 3 2 3" xfId="7348" xr:uid="{00000000-0005-0000-0000-0000571C0000}"/>
    <cellStyle name="20% - Accent4 3 8 3 3" xfId="7349" xr:uid="{00000000-0005-0000-0000-0000581C0000}"/>
    <cellStyle name="20% - Accent4 3 8 3 4" xfId="7350" xr:uid="{00000000-0005-0000-0000-0000591C0000}"/>
    <cellStyle name="20% - Accent4 3 8 4" xfId="7351" xr:uid="{00000000-0005-0000-0000-00005A1C0000}"/>
    <cellStyle name="20% - Accent4 3 8 4 2" xfId="7352" xr:uid="{00000000-0005-0000-0000-00005B1C0000}"/>
    <cellStyle name="20% - Accent4 3 8 4 3" xfId="7353" xr:uid="{00000000-0005-0000-0000-00005C1C0000}"/>
    <cellStyle name="20% - Accent4 3 8 5" xfId="7354" xr:uid="{00000000-0005-0000-0000-00005D1C0000}"/>
    <cellStyle name="20% - Accent4 3 8 6" xfId="7355" xr:uid="{00000000-0005-0000-0000-00005E1C0000}"/>
    <cellStyle name="20% - Accent4 3 8 7" xfId="7356" xr:uid="{00000000-0005-0000-0000-00005F1C0000}"/>
    <cellStyle name="20% - Accent4 3 9" xfId="7357" xr:uid="{00000000-0005-0000-0000-0000601C0000}"/>
    <cellStyle name="20% - Accent4 3 9 2" xfId="7358" xr:uid="{00000000-0005-0000-0000-0000611C0000}"/>
    <cellStyle name="20% - Accent4 3 9 2 2" xfId="7359" xr:uid="{00000000-0005-0000-0000-0000621C0000}"/>
    <cellStyle name="20% - Accent4 3 9 2 2 2" xfId="7360" xr:uid="{00000000-0005-0000-0000-0000631C0000}"/>
    <cellStyle name="20% - Accent4 3 9 2 2 3" xfId="7361" xr:uid="{00000000-0005-0000-0000-0000641C0000}"/>
    <cellStyle name="20% - Accent4 3 9 2 3" xfId="7362" xr:uid="{00000000-0005-0000-0000-0000651C0000}"/>
    <cellStyle name="20% - Accent4 3 9 2 4" xfId="7363" xr:uid="{00000000-0005-0000-0000-0000661C0000}"/>
    <cellStyle name="20% - Accent4 3 9 3" xfId="7364" xr:uid="{00000000-0005-0000-0000-0000671C0000}"/>
    <cellStyle name="20% - Accent4 3 9 3 2" xfId="7365" xr:uid="{00000000-0005-0000-0000-0000681C0000}"/>
    <cellStyle name="20% - Accent4 3 9 3 3" xfId="7366" xr:uid="{00000000-0005-0000-0000-0000691C0000}"/>
    <cellStyle name="20% - Accent4 3 9 4" xfId="7367" xr:uid="{00000000-0005-0000-0000-00006A1C0000}"/>
    <cellStyle name="20% - Accent4 3 9 5" xfId="7368" xr:uid="{00000000-0005-0000-0000-00006B1C0000}"/>
    <cellStyle name="20% - Accent4 3 9 6" xfId="7369" xr:uid="{00000000-0005-0000-0000-00006C1C0000}"/>
    <cellStyle name="20% - Accent4 4" xfId="7370" xr:uid="{00000000-0005-0000-0000-00006D1C0000}"/>
    <cellStyle name="20% - Accent4 4 10" xfId="7371" xr:uid="{00000000-0005-0000-0000-00006E1C0000}"/>
    <cellStyle name="20% - Accent4 4 11" xfId="7372" xr:uid="{00000000-0005-0000-0000-00006F1C0000}"/>
    <cellStyle name="20% - Accent4 4 2" xfId="7373" xr:uid="{00000000-0005-0000-0000-0000701C0000}"/>
    <cellStyle name="20% - Accent4 4 2 10" xfId="7374" xr:uid="{00000000-0005-0000-0000-0000711C0000}"/>
    <cellStyle name="20% - Accent4 4 2 2" xfId="7375" xr:uid="{00000000-0005-0000-0000-0000721C0000}"/>
    <cellStyle name="20% - Accent4 4 2 2 2" xfId="7376" xr:uid="{00000000-0005-0000-0000-0000731C0000}"/>
    <cellStyle name="20% - Accent4 4 2 2 2 2" xfId="7377" xr:uid="{00000000-0005-0000-0000-0000741C0000}"/>
    <cellStyle name="20% - Accent4 4 2 2 2 2 2" xfId="7378" xr:uid="{00000000-0005-0000-0000-0000751C0000}"/>
    <cellStyle name="20% - Accent4 4 2 2 2 2 2 2" xfId="7379" xr:uid="{00000000-0005-0000-0000-0000761C0000}"/>
    <cellStyle name="20% - Accent4 4 2 2 2 2 2 2 2" xfId="7380" xr:uid="{00000000-0005-0000-0000-0000771C0000}"/>
    <cellStyle name="20% - Accent4 4 2 2 2 2 2 2 2 2" xfId="7381" xr:uid="{00000000-0005-0000-0000-0000781C0000}"/>
    <cellStyle name="20% - Accent4 4 2 2 2 2 2 2 2 3" xfId="7382" xr:uid="{00000000-0005-0000-0000-0000791C0000}"/>
    <cellStyle name="20% - Accent4 4 2 2 2 2 2 2 3" xfId="7383" xr:uid="{00000000-0005-0000-0000-00007A1C0000}"/>
    <cellStyle name="20% - Accent4 4 2 2 2 2 2 2 4" xfId="7384" xr:uid="{00000000-0005-0000-0000-00007B1C0000}"/>
    <cellStyle name="20% - Accent4 4 2 2 2 2 2 3" xfId="7385" xr:uid="{00000000-0005-0000-0000-00007C1C0000}"/>
    <cellStyle name="20% - Accent4 4 2 2 2 2 2 3 2" xfId="7386" xr:uid="{00000000-0005-0000-0000-00007D1C0000}"/>
    <cellStyle name="20% - Accent4 4 2 2 2 2 2 3 3" xfId="7387" xr:uid="{00000000-0005-0000-0000-00007E1C0000}"/>
    <cellStyle name="20% - Accent4 4 2 2 2 2 2 4" xfId="7388" xr:uid="{00000000-0005-0000-0000-00007F1C0000}"/>
    <cellStyle name="20% - Accent4 4 2 2 2 2 2 5" xfId="7389" xr:uid="{00000000-0005-0000-0000-0000801C0000}"/>
    <cellStyle name="20% - Accent4 4 2 2 2 2 2 6" xfId="7390" xr:uid="{00000000-0005-0000-0000-0000811C0000}"/>
    <cellStyle name="20% - Accent4 4 2 2 2 2 3" xfId="7391" xr:uid="{00000000-0005-0000-0000-0000821C0000}"/>
    <cellStyle name="20% - Accent4 4 2 2 2 2 3 2" xfId="7392" xr:uid="{00000000-0005-0000-0000-0000831C0000}"/>
    <cellStyle name="20% - Accent4 4 2 2 2 2 3 2 2" xfId="7393" xr:uid="{00000000-0005-0000-0000-0000841C0000}"/>
    <cellStyle name="20% - Accent4 4 2 2 2 2 3 2 3" xfId="7394" xr:uid="{00000000-0005-0000-0000-0000851C0000}"/>
    <cellStyle name="20% - Accent4 4 2 2 2 2 3 3" xfId="7395" xr:uid="{00000000-0005-0000-0000-0000861C0000}"/>
    <cellStyle name="20% - Accent4 4 2 2 2 2 3 4" xfId="7396" xr:uid="{00000000-0005-0000-0000-0000871C0000}"/>
    <cellStyle name="20% - Accent4 4 2 2 2 2 4" xfId="7397" xr:uid="{00000000-0005-0000-0000-0000881C0000}"/>
    <cellStyle name="20% - Accent4 4 2 2 2 2 4 2" xfId="7398" xr:uid="{00000000-0005-0000-0000-0000891C0000}"/>
    <cellStyle name="20% - Accent4 4 2 2 2 2 4 3" xfId="7399" xr:uid="{00000000-0005-0000-0000-00008A1C0000}"/>
    <cellStyle name="20% - Accent4 4 2 2 2 2 5" xfId="7400" xr:uid="{00000000-0005-0000-0000-00008B1C0000}"/>
    <cellStyle name="20% - Accent4 4 2 2 2 2 6" xfId="7401" xr:uid="{00000000-0005-0000-0000-00008C1C0000}"/>
    <cellStyle name="20% - Accent4 4 2 2 2 2 7" xfId="7402" xr:uid="{00000000-0005-0000-0000-00008D1C0000}"/>
    <cellStyle name="20% - Accent4 4 2 2 2 3" xfId="7403" xr:uid="{00000000-0005-0000-0000-00008E1C0000}"/>
    <cellStyle name="20% - Accent4 4 2 2 2 3 2" xfId="7404" xr:uid="{00000000-0005-0000-0000-00008F1C0000}"/>
    <cellStyle name="20% - Accent4 4 2 2 2 3 2 2" xfId="7405" xr:uid="{00000000-0005-0000-0000-0000901C0000}"/>
    <cellStyle name="20% - Accent4 4 2 2 2 3 2 2 2" xfId="7406" xr:uid="{00000000-0005-0000-0000-0000911C0000}"/>
    <cellStyle name="20% - Accent4 4 2 2 2 3 2 2 3" xfId="7407" xr:uid="{00000000-0005-0000-0000-0000921C0000}"/>
    <cellStyle name="20% - Accent4 4 2 2 2 3 2 3" xfId="7408" xr:uid="{00000000-0005-0000-0000-0000931C0000}"/>
    <cellStyle name="20% - Accent4 4 2 2 2 3 2 4" xfId="7409" xr:uid="{00000000-0005-0000-0000-0000941C0000}"/>
    <cellStyle name="20% - Accent4 4 2 2 2 3 3" xfId="7410" xr:uid="{00000000-0005-0000-0000-0000951C0000}"/>
    <cellStyle name="20% - Accent4 4 2 2 2 3 3 2" xfId="7411" xr:uid="{00000000-0005-0000-0000-0000961C0000}"/>
    <cellStyle name="20% - Accent4 4 2 2 2 3 3 3" xfId="7412" xr:uid="{00000000-0005-0000-0000-0000971C0000}"/>
    <cellStyle name="20% - Accent4 4 2 2 2 3 4" xfId="7413" xr:uid="{00000000-0005-0000-0000-0000981C0000}"/>
    <cellStyle name="20% - Accent4 4 2 2 2 3 5" xfId="7414" xr:uid="{00000000-0005-0000-0000-0000991C0000}"/>
    <cellStyle name="20% - Accent4 4 2 2 2 3 6" xfId="7415" xr:uid="{00000000-0005-0000-0000-00009A1C0000}"/>
    <cellStyle name="20% - Accent4 4 2 2 2 4" xfId="7416" xr:uid="{00000000-0005-0000-0000-00009B1C0000}"/>
    <cellStyle name="20% - Accent4 4 2 2 2 4 2" xfId="7417" xr:uid="{00000000-0005-0000-0000-00009C1C0000}"/>
    <cellStyle name="20% - Accent4 4 2 2 2 4 2 2" xfId="7418" xr:uid="{00000000-0005-0000-0000-00009D1C0000}"/>
    <cellStyle name="20% - Accent4 4 2 2 2 4 2 3" xfId="7419" xr:uid="{00000000-0005-0000-0000-00009E1C0000}"/>
    <cellStyle name="20% - Accent4 4 2 2 2 4 3" xfId="7420" xr:uid="{00000000-0005-0000-0000-00009F1C0000}"/>
    <cellStyle name="20% - Accent4 4 2 2 2 4 4" xfId="7421" xr:uid="{00000000-0005-0000-0000-0000A01C0000}"/>
    <cellStyle name="20% - Accent4 4 2 2 2 5" xfId="7422" xr:uid="{00000000-0005-0000-0000-0000A11C0000}"/>
    <cellStyle name="20% - Accent4 4 2 2 2 5 2" xfId="7423" xr:uid="{00000000-0005-0000-0000-0000A21C0000}"/>
    <cellStyle name="20% - Accent4 4 2 2 2 5 3" xfId="7424" xr:uid="{00000000-0005-0000-0000-0000A31C0000}"/>
    <cellStyle name="20% - Accent4 4 2 2 2 6" xfId="7425" xr:uid="{00000000-0005-0000-0000-0000A41C0000}"/>
    <cellStyle name="20% - Accent4 4 2 2 2 7" xfId="7426" xr:uid="{00000000-0005-0000-0000-0000A51C0000}"/>
    <cellStyle name="20% - Accent4 4 2 2 2 8" xfId="7427" xr:uid="{00000000-0005-0000-0000-0000A61C0000}"/>
    <cellStyle name="20% - Accent4 4 2 2 3" xfId="7428" xr:uid="{00000000-0005-0000-0000-0000A71C0000}"/>
    <cellStyle name="20% - Accent4 4 2 2 3 2" xfId="7429" xr:uid="{00000000-0005-0000-0000-0000A81C0000}"/>
    <cellStyle name="20% - Accent4 4 2 2 3 2 2" xfId="7430" xr:uid="{00000000-0005-0000-0000-0000A91C0000}"/>
    <cellStyle name="20% - Accent4 4 2 2 3 2 2 2" xfId="7431" xr:uid="{00000000-0005-0000-0000-0000AA1C0000}"/>
    <cellStyle name="20% - Accent4 4 2 2 3 2 2 2 2" xfId="7432" xr:uid="{00000000-0005-0000-0000-0000AB1C0000}"/>
    <cellStyle name="20% - Accent4 4 2 2 3 2 2 2 3" xfId="7433" xr:uid="{00000000-0005-0000-0000-0000AC1C0000}"/>
    <cellStyle name="20% - Accent4 4 2 2 3 2 2 3" xfId="7434" xr:uid="{00000000-0005-0000-0000-0000AD1C0000}"/>
    <cellStyle name="20% - Accent4 4 2 2 3 2 2 4" xfId="7435" xr:uid="{00000000-0005-0000-0000-0000AE1C0000}"/>
    <cellStyle name="20% - Accent4 4 2 2 3 2 3" xfId="7436" xr:uid="{00000000-0005-0000-0000-0000AF1C0000}"/>
    <cellStyle name="20% - Accent4 4 2 2 3 2 3 2" xfId="7437" xr:uid="{00000000-0005-0000-0000-0000B01C0000}"/>
    <cellStyle name="20% - Accent4 4 2 2 3 2 3 3" xfId="7438" xr:uid="{00000000-0005-0000-0000-0000B11C0000}"/>
    <cellStyle name="20% - Accent4 4 2 2 3 2 4" xfId="7439" xr:uid="{00000000-0005-0000-0000-0000B21C0000}"/>
    <cellStyle name="20% - Accent4 4 2 2 3 2 5" xfId="7440" xr:uid="{00000000-0005-0000-0000-0000B31C0000}"/>
    <cellStyle name="20% - Accent4 4 2 2 3 2 6" xfId="7441" xr:uid="{00000000-0005-0000-0000-0000B41C0000}"/>
    <cellStyle name="20% - Accent4 4 2 2 3 3" xfId="7442" xr:uid="{00000000-0005-0000-0000-0000B51C0000}"/>
    <cellStyle name="20% - Accent4 4 2 2 3 3 2" xfId="7443" xr:uid="{00000000-0005-0000-0000-0000B61C0000}"/>
    <cellStyle name="20% - Accent4 4 2 2 3 3 2 2" xfId="7444" xr:uid="{00000000-0005-0000-0000-0000B71C0000}"/>
    <cellStyle name="20% - Accent4 4 2 2 3 3 2 3" xfId="7445" xr:uid="{00000000-0005-0000-0000-0000B81C0000}"/>
    <cellStyle name="20% - Accent4 4 2 2 3 3 3" xfId="7446" xr:uid="{00000000-0005-0000-0000-0000B91C0000}"/>
    <cellStyle name="20% - Accent4 4 2 2 3 3 4" xfId="7447" xr:uid="{00000000-0005-0000-0000-0000BA1C0000}"/>
    <cellStyle name="20% - Accent4 4 2 2 3 4" xfId="7448" xr:uid="{00000000-0005-0000-0000-0000BB1C0000}"/>
    <cellStyle name="20% - Accent4 4 2 2 3 4 2" xfId="7449" xr:uid="{00000000-0005-0000-0000-0000BC1C0000}"/>
    <cellStyle name="20% - Accent4 4 2 2 3 4 3" xfId="7450" xr:uid="{00000000-0005-0000-0000-0000BD1C0000}"/>
    <cellStyle name="20% - Accent4 4 2 2 3 5" xfId="7451" xr:uid="{00000000-0005-0000-0000-0000BE1C0000}"/>
    <cellStyle name="20% - Accent4 4 2 2 3 6" xfId="7452" xr:uid="{00000000-0005-0000-0000-0000BF1C0000}"/>
    <cellStyle name="20% - Accent4 4 2 2 3 7" xfId="7453" xr:uid="{00000000-0005-0000-0000-0000C01C0000}"/>
    <cellStyle name="20% - Accent4 4 2 2 4" xfId="7454" xr:uid="{00000000-0005-0000-0000-0000C11C0000}"/>
    <cellStyle name="20% - Accent4 4 2 2 4 2" xfId="7455" xr:uid="{00000000-0005-0000-0000-0000C21C0000}"/>
    <cellStyle name="20% - Accent4 4 2 2 4 2 2" xfId="7456" xr:uid="{00000000-0005-0000-0000-0000C31C0000}"/>
    <cellStyle name="20% - Accent4 4 2 2 4 2 2 2" xfId="7457" xr:uid="{00000000-0005-0000-0000-0000C41C0000}"/>
    <cellStyle name="20% - Accent4 4 2 2 4 2 2 3" xfId="7458" xr:uid="{00000000-0005-0000-0000-0000C51C0000}"/>
    <cellStyle name="20% - Accent4 4 2 2 4 2 3" xfId="7459" xr:uid="{00000000-0005-0000-0000-0000C61C0000}"/>
    <cellStyle name="20% - Accent4 4 2 2 4 2 4" xfId="7460" xr:uid="{00000000-0005-0000-0000-0000C71C0000}"/>
    <cellStyle name="20% - Accent4 4 2 2 4 3" xfId="7461" xr:uid="{00000000-0005-0000-0000-0000C81C0000}"/>
    <cellStyle name="20% - Accent4 4 2 2 4 3 2" xfId="7462" xr:uid="{00000000-0005-0000-0000-0000C91C0000}"/>
    <cellStyle name="20% - Accent4 4 2 2 4 3 3" xfId="7463" xr:uid="{00000000-0005-0000-0000-0000CA1C0000}"/>
    <cellStyle name="20% - Accent4 4 2 2 4 4" xfId="7464" xr:uid="{00000000-0005-0000-0000-0000CB1C0000}"/>
    <cellStyle name="20% - Accent4 4 2 2 4 5" xfId="7465" xr:uid="{00000000-0005-0000-0000-0000CC1C0000}"/>
    <cellStyle name="20% - Accent4 4 2 2 4 6" xfId="7466" xr:uid="{00000000-0005-0000-0000-0000CD1C0000}"/>
    <cellStyle name="20% - Accent4 4 2 2 5" xfId="7467" xr:uid="{00000000-0005-0000-0000-0000CE1C0000}"/>
    <cellStyle name="20% - Accent4 4 2 2 5 2" xfId="7468" xr:uid="{00000000-0005-0000-0000-0000CF1C0000}"/>
    <cellStyle name="20% - Accent4 4 2 2 5 2 2" xfId="7469" xr:uid="{00000000-0005-0000-0000-0000D01C0000}"/>
    <cellStyle name="20% - Accent4 4 2 2 5 2 3" xfId="7470" xr:uid="{00000000-0005-0000-0000-0000D11C0000}"/>
    <cellStyle name="20% - Accent4 4 2 2 5 3" xfId="7471" xr:uid="{00000000-0005-0000-0000-0000D21C0000}"/>
    <cellStyle name="20% - Accent4 4 2 2 5 4" xfId="7472" xr:uid="{00000000-0005-0000-0000-0000D31C0000}"/>
    <cellStyle name="20% - Accent4 4 2 2 6" xfId="7473" xr:uid="{00000000-0005-0000-0000-0000D41C0000}"/>
    <cellStyle name="20% - Accent4 4 2 2 6 2" xfId="7474" xr:uid="{00000000-0005-0000-0000-0000D51C0000}"/>
    <cellStyle name="20% - Accent4 4 2 2 6 3" xfId="7475" xr:uid="{00000000-0005-0000-0000-0000D61C0000}"/>
    <cellStyle name="20% - Accent4 4 2 2 7" xfId="7476" xr:uid="{00000000-0005-0000-0000-0000D71C0000}"/>
    <cellStyle name="20% - Accent4 4 2 2 8" xfId="7477" xr:uid="{00000000-0005-0000-0000-0000D81C0000}"/>
    <cellStyle name="20% - Accent4 4 2 2 9" xfId="7478" xr:uid="{00000000-0005-0000-0000-0000D91C0000}"/>
    <cellStyle name="20% - Accent4 4 2 3" xfId="7479" xr:uid="{00000000-0005-0000-0000-0000DA1C0000}"/>
    <cellStyle name="20% - Accent4 4 2 3 2" xfId="7480" xr:uid="{00000000-0005-0000-0000-0000DB1C0000}"/>
    <cellStyle name="20% - Accent4 4 2 3 2 2" xfId="7481" xr:uid="{00000000-0005-0000-0000-0000DC1C0000}"/>
    <cellStyle name="20% - Accent4 4 2 3 2 2 2" xfId="7482" xr:uid="{00000000-0005-0000-0000-0000DD1C0000}"/>
    <cellStyle name="20% - Accent4 4 2 3 2 2 2 2" xfId="7483" xr:uid="{00000000-0005-0000-0000-0000DE1C0000}"/>
    <cellStyle name="20% - Accent4 4 2 3 2 2 2 2 2" xfId="7484" xr:uid="{00000000-0005-0000-0000-0000DF1C0000}"/>
    <cellStyle name="20% - Accent4 4 2 3 2 2 2 2 3" xfId="7485" xr:uid="{00000000-0005-0000-0000-0000E01C0000}"/>
    <cellStyle name="20% - Accent4 4 2 3 2 2 2 3" xfId="7486" xr:uid="{00000000-0005-0000-0000-0000E11C0000}"/>
    <cellStyle name="20% - Accent4 4 2 3 2 2 2 4" xfId="7487" xr:uid="{00000000-0005-0000-0000-0000E21C0000}"/>
    <cellStyle name="20% - Accent4 4 2 3 2 2 3" xfId="7488" xr:uid="{00000000-0005-0000-0000-0000E31C0000}"/>
    <cellStyle name="20% - Accent4 4 2 3 2 2 3 2" xfId="7489" xr:uid="{00000000-0005-0000-0000-0000E41C0000}"/>
    <cellStyle name="20% - Accent4 4 2 3 2 2 3 3" xfId="7490" xr:uid="{00000000-0005-0000-0000-0000E51C0000}"/>
    <cellStyle name="20% - Accent4 4 2 3 2 2 4" xfId="7491" xr:uid="{00000000-0005-0000-0000-0000E61C0000}"/>
    <cellStyle name="20% - Accent4 4 2 3 2 2 5" xfId="7492" xr:uid="{00000000-0005-0000-0000-0000E71C0000}"/>
    <cellStyle name="20% - Accent4 4 2 3 2 2 6" xfId="7493" xr:uid="{00000000-0005-0000-0000-0000E81C0000}"/>
    <cellStyle name="20% - Accent4 4 2 3 2 3" xfId="7494" xr:uid="{00000000-0005-0000-0000-0000E91C0000}"/>
    <cellStyle name="20% - Accent4 4 2 3 2 3 2" xfId="7495" xr:uid="{00000000-0005-0000-0000-0000EA1C0000}"/>
    <cellStyle name="20% - Accent4 4 2 3 2 3 2 2" xfId="7496" xr:uid="{00000000-0005-0000-0000-0000EB1C0000}"/>
    <cellStyle name="20% - Accent4 4 2 3 2 3 2 3" xfId="7497" xr:uid="{00000000-0005-0000-0000-0000EC1C0000}"/>
    <cellStyle name="20% - Accent4 4 2 3 2 3 3" xfId="7498" xr:uid="{00000000-0005-0000-0000-0000ED1C0000}"/>
    <cellStyle name="20% - Accent4 4 2 3 2 3 4" xfId="7499" xr:uid="{00000000-0005-0000-0000-0000EE1C0000}"/>
    <cellStyle name="20% - Accent4 4 2 3 2 4" xfId="7500" xr:uid="{00000000-0005-0000-0000-0000EF1C0000}"/>
    <cellStyle name="20% - Accent4 4 2 3 2 4 2" xfId="7501" xr:uid="{00000000-0005-0000-0000-0000F01C0000}"/>
    <cellStyle name="20% - Accent4 4 2 3 2 4 3" xfId="7502" xr:uid="{00000000-0005-0000-0000-0000F11C0000}"/>
    <cellStyle name="20% - Accent4 4 2 3 2 5" xfId="7503" xr:uid="{00000000-0005-0000-0000-0000F21C0000}"/>
    <cellStyle name="20% - Accent4 4 2 3 2 6" xfId="7504" xr:uid="{00000000-0005-0000-0000-0000F31C0000}"/>
    <cellStyle name="20% - Accent4 4 2 3 2 7" xfId="7505" xr:uid="{00000000-0005-0000-0000-0000F41C0000}"/>
    <cellStyle name="20% - Accent4 4 2 3 3" xfId="7506" xr:uid="{00000000-0005-0000-0000-0000F51C0000}"/>
    <cellStyle name="20% - Accent4 4 2 3 3 2" xfId="7507" xr:uid="{00000000-0005-0000-0000-0000F61C0000}"/>
    <cellStyle name="20% - Accent4 4 2 3 3 2 2" xfId="7508" xr:uid="{00000000-0005-0000-0000-0000F71C0000}"/>
    <cellStyle name="20% - Accent4 4 2 3 3 2 2 2" xfId="7509" xr:uid="{00000000-0005-0000-0000-0000F81C0000}"/>
    <cellStyle name="20% - Accent4 4 2 3 3 2 2 3" xfId="7510" xr:uid="{00000000-0005-0000-0000-0000F91C0000}"/>
    <cellStyle name="20% - Accent4 4 2 3 3 2 3" xfId="7511" xr:uid="{00000000-0005-0000-0000-0000FA1C0000}"/>
    <cellStyle name="20% - Accent4 4 2 3 3 2 4" xfId="7512" xr:uid="{00000000-0005-0000-0000-0000FB1C0000}"/>
    <cellStyle name="20% - Accent4 4 2 3 3 3" xfId="7513" xr:uid="{00000000-0005-0000-0000-0000FC1C0000}"/>
    <cellStyle name="20% - Accent4 4 2 3 3 3 2" xfId="7514" xr:uid="{00000000-0005-0000-0000-0000FD1C0000}"/>
    <cellStyle name="20% - Accent4 4 2 3 3 3 3" xfId="7515" xr:uid="{00000000-0005-0000-0000-0000FE1C0000}"/>
    <cellStyle name="20% - Accent4 4 2 3 3 4" xfId="7516" xr:uid="{00000000-0005-0000-0000-0000FF1C0000}"/>
    <cellStyle name="20% - Accent4 4 2 3 3 5" xfId="7517" xr:uid="{00000000-0005-0000-0000-0000001D0000}"/>
    <cellStyle name="20% - Accent4 4 2 3 3 6" xfId="7518" xr:uid="{00000000-0005-0000-0000-0000011D0000}"/>
    <cellStyle name="20% - Accent4 4 2 3 4" xfId="7519" xr:uid="{00000000-0005-0000-0000-0000021D0000}"/>
    <cellStyle name="20% - Accent4 4 2 3 4 2" xfId="7520" xr:uid="{00000000-0005-0000-0000-0000031D0000}"/>
    <cellStyle name="20% - Accent4 4 2 3 4 2 2" xfId="7521" xr:uid="{00000000-0005-0000-0000-0000041D0000}"/>
    <cellStyle name="20% - Accent4 4 2 3 4 2 3" xfId="7522" xr:uid="{00000000-0005-0000-0000-0000051D0000}"/>
    <cellStyle name="20% - Accent4 4 2 3 4 3" xfId="7523" xr:uid="{00000000-0005-0000-0000-0000061D0000}"/>
    <cellStyle name="20% - Accent4 4 2 3 4 4" xfId="7524" xr:uid="{00000000-0005-0000-0000-0000071D0000}"/>
    <cellStyle name="20% - Accent4 4 2 3 5" xfId="7525" xr:uid="{00000000-0005-0000-0000-0000081D0000}"/>
    <cellStyle name="20% - Accent4 4 2 3 5 2" xfId="7526" xr:uid="{00000000-0005-0000-0000-0000091D0000}"/>
    <cellStyle name="20% - Accent4 4 2 3 5 3" xfId="7527" xr:uid="{00000000-0005-0000-0000-00000A1D0000}"/>
    <cellStyle name="20% - Accent4 4 2 3 6" xfId="7528" xr:uid="{00000000-0005-0000-0000-00000B1D0000}"/>
    <cellStyle name="20% - Accent4 4 2 3 7" xfId="7529" xr:uid="{00000000-0005-0000-0000-00000C1D0000}"/>
    <cellStyle name="20% - Accent4 4 2 3 8" xfId="7530" xr:uid="{00000000-0005-0000-0000-00000D1D0000}"/>
    <cellStyle name="20% - Accent4 4 2 4" xfId="7531" xr:uid="{00000000-0005-0000-0000-00000E1D0000}"/>
    <cellStyle name="20% - Accent4 4 2 4 2" xfId="7532" xr:uid="{00000000-0005-0000-0000-00000F1D0000}"/>
    <cellStyle name="20% - Accent4 4 2 4 2 2" xfId="7533" xr:uid="{00000000-0005-0000-0000-0000101D0000}"/>
    <cellStyle name="20% - Accent4 4 2 4 2 2 2" xfId="7534" xr:uid="{00000000-0005-0000-0000-0000111D0000}"/>
    <cellStyle name="20% - Accent4 4 2 4 2 2 2 2" xfId="7535" xr:uid="{00000000-0005-0000-0000-0000121D0000}"/>
    <cellStyle name="20% - Accent4 4 2 4 2 2 2 3" xfId="7536" xr:uid="{00000000-0005-0000-0000-0000131D0000}"/>
    <cellStyle name="20% - Accent4 4 2 4 2 2 3" xfId="7537" xr:uid="{00000000-0005-0000-0000-0000141D0000}"/>
    <cellStyle name="20% - Accent4 4 2 4 2 2 4" xfId="7538" xr:uid="{00000000-0005-0000-0000-0000151D0000}"/>
    <cellStyle name="20% - Accent4 4 2 4 2 3" xfId="7539" xr:uid="{00000000-0005-0000-0000-0000161D0000}"/>
    <cellStyle name="20% - Accent4 4 2 4 2 3 2" xfId="7540" xr:uid="{00000000-0005-0000-0000-0000171D0000}"/>
    <cellStyle name="20% - Accent4 4 2 4 2 3 3" xfId="7541" xr:uid="{00000000-0005-0000-0000-0000181D0000}"/>
    <cellStyle name="20% - Accent4 4 2 4 2 4" xfId="7542" xr:uid="{00000000-0005-0000-0000-0000191D0000}"/>
    <cellStyle name="20% - Accent4 4 2 4 2 5" xfId="7543" xr:uid="{00000000-0005-0000-0000-00001A1D0000}"/>
    <cellStyle name="20% - Accent4 4 2 4 2 6" xfId="7544" xr:uid="{00000000-0005-0000-0000-00001B1D0000}"/>
    <cellStyle name="20% - Accent4 4 2 4 3" xfId="7545" xr:uid="{00000000-0005-0000-0000-00001C1D0000}"/>
    <cellStyle name="20% - Accent4 4 2 4 3 2" xfId="7546" xr:uid="{00000000-0005-0000-0000-00001D1D0000}"/>
    <cellStyle name="20% - Accent4 4 2 4 3 2 2" xfId="7547" xr:uid="{00000000-0005-0000-0000-00001E1D0000}"/>
    <cellStyle name="20% - Accent4 4 2 4 3 2 3" xfId="7548" xr:uid="{00000000-0005-0000-0000-00001F1D0000}"/>
    <cellStyle name="20% - Accent4 4 2 4 3 3" xfId="7549" xr:uid="{00000000-0005-0000-0000-0000201D0000}"/>
    <cellStyle name="20% - Accent4 4 2 4 3 4" xfId="7550" xr:uid="{00000000-0005-0000-0000-0000211D0000}"/>
    <cellStyle name="20% - Accent4 4 2 4 4" xfId="7551" xr:uid="{00000000-0005-0000-0000-0000221D0000}"/>
    <cellStyle name="20% - Accent4 4 2 4 4 2" xfId="7552" xr:uid="{00000000-0005-0000-0000-0000231D0000}"/>
    <cellStyle name="20% - Accent4 4 2 4 4 3" xfId="7553" xr:uid="{00000000-0005-0000-0000-0000241D0000}"/>
    <cellStyle name="20% - Accent4 4 2 4 5" xfId="7554" xr:uid="{00000000-0005-0000-0000-0000251D0000}"/>
    <cellStyle name="20% - Accent4 4 2 4 6" xfId="7555" xr:uid="{00000000-0005-0000-0000-0000261D0000}"/>
    <cellStyle name="20% - Accent4 4 2 4 7" xfId="7556" xr:uid="{00000000-0005-0000-0000-0000271D0000}"/>
    <cellStyle name="20% - Accent4 4 2 5" xfId="7557" xr:uid="{00000000-0005-0000-0000-0000281D0000}"/>
    <cellStyle name="20% - Accent4 4 2 5 2" xfId="7558" xr:uid="{00000000-0005-0000-0000-0000291D0000}"/>
    <cellStyle name="20% - Accent4 4 2 5 2 2" xfId="7559" xr:uid="{00000000-0005-0000-0000-00002A1D0000}"/>
    <cellStyle name="20% - Accent4 4 2 5 2 2 2" xfId="7560" xr:uid="{00000000-0005-0000-0000-00002B1D0000}"/>
    <cellStyle name="20% - Accent4 4 2 5 2 2 3" xfId="7561" xr:uid="{00000000-0005-0000-0000-00002C1D0000}"/>
    <cellStyle name="20% - Accent4 4 2 5 2 3" xfId="7562" xr:uid="{00000000-0005-0000-0000-00002D1D0000}"/>
    <cellStyle name="20% - Accent4 4 2 5 2 4" xfId="7563" xr:uid="{00000000-0005-0000-0000-00002E1D0000}"/>
    <cellStyle name="20% - Accent4 4 2 5 3" xfId="7564" xr:uid="{00000000-0005-0000-0000-00002F1D0000}"/>
    <cellStyle name="20% - Accent4 4 2 5 3 2" xfId="7565" xr:uid="{00000000-0005-0000-0000-0000301D0000}"/>
    <cellStyle name="20% - Accent4 4 2 5 3 3" xfId="7566" xr:uid="{00000000-0005-0000-0000-0000311D0000}"/>
    <cellStyle name="20% - Accent4 4 2 5 4" xfId="7567" xr:uid="{00000000-0005-0000-0000-0000321D0000}"/>
    <cellStyle name="20% - Accent4 4 2 5 5" xfId="7568" xr:uid="{00000000-0005-0000-0000-0000331D0000}"/>
    <cellStyle name="20% - Accent4 4 2 5 6" xfId="7569" xr:uid="{00000000-0005-0000-0000-0000341D0000}"/>
    <cellStyle name="20% - Accent4 4 2 6" xfId="7570" xr:uid="{00000000-0005-0000-0000-0000351D0000}"/>
    <cellStyle name="20% - Accent4 4 2 6 2" xfId="7571" xr:uid="{00000000-0005-0000-0000-0000361D0000}"/>
    <cellStyle name="20% - Accent4 4 2 6 2 2" xfId="7572" xr:uid="{00000000-0005-0000-0000-0000371D0000}"/>
    <cellStyle name="20% - Accent4 4 2 6 2 3" xfId="7573" xr:uid="{00000000-0005-0000-0000-0000381D0000}"/>
    <cellStyle name="20% - Accent4 4 2 6 3" xfId="7574" xr:uid="{00000000-0005-0000-0000-0000391D0000}"/>
    <cellStyle name="20% - Accent4 4 2 6 4" xfId="7575" xr:uid="{00000000-0005-0000-0000-00003A1D0000}"/>
    <cellStyle name="20% - Accent4 4 2 7" xfId="7576" xr:uid="{00000000-0005-0000-0000-00003B1D0000}"/>
    <cellStyle name="20% - Accent4 4 2 7 2" xfId="7577" xr:uid="{00000000-0005-0000-0000-00003C1D0000}"/>
    <cellStyle name="20% - Accent4 4 2 7 3" xfId="7578" xr:uid="{00000000-0005-0000-0000-00003D1D0000}"/>
    <cellStyle name="20% - Accent4 4 2 8" xfId="7579" xr:uid="{00000000-0005-0000-0000-00003E1D0000}"/>
    <cellStyle name="20% - Accent4 4 2 9" xfId="7580" xr:uid="{00000000-0005-0000-0000-00003F1D0000}"/>
    <cellStyle name="20% - Accent4 4 3" xfId="7581" xr:uid="{00000000-0005-0000-0000-0000401D0000}"/>
    <cellStyle name="20% - Accent4 4 3 2" xfId="7582" xr:uid="{00000000-0005-0000-0000-0000411D0000}"/>
    <cellStyle name="20% - Accent4 4 3 2 2" xfId="7583" xr:uid="{00000000-0005-0000-0000-0000421D0000}"/>
    <cellStyle name="20% - Accent4 4 3 2 2 2" xfId="7584" xr:uid="{00000000-0005-0000-0000-0000431D0000}"/>
    <cellStyle name="20% - Accent4 4 3 2 2 2 2" xfId="7585" xr:uid="{00000000-0005-0000-0000-0000441D0000}"/>
    <cellStyle name="20% - Accent4 4 3 2 2 2 2 2" xfId="7586" xr:uid="{00000000-0005-0000-0000-0000451D0000}"/>
    <cellStyle name="20% - Accent4 4 3 2 2 2 2 2 2" xfId="7587" xr:uid="{00000000-0005-0000-0000-0000461D0000}"/>
    <cellStyle name="20% - Accent4 4 3 2 2 2 2 2 3" xfId="7588" xr:uid="{00000000-0005-0000-0000-0000471D0000}"/>
    <cellStyle name="20% - Accent4 4 3 2 2 2 2 3" xfId="7589" xr:uid="{00000000-0005-0000-0000-0000481D0000}"/>
    <cellStyle name="20% - Accent4 4 3 2 2 2 2 4" xfId="7590" xr:uid="{00000000-0005-0000-0000-0000491D0000}"/>
    <cellStyle name="20% - Accent4 4 3 2 2 2 3" xfId="7591" xr:uid="{00000000-0005-0000-0000-00004A1D0000}"/>
    <cellStyle name="20% - Accent4 4 3 2 2 2 3 2" xfId="7592" xr:uid="{00000000-0005-0000-0000-00004B1D0000}"/>
    <cellStyle name="20% - Accent4 4 3 2 2 2 3 3" xfId="7593" xr:uid="{00000000-0005-0000-0000-00004C1D0000}"/>
    <cellStyle name="20% - Accent4 4 3 2 2 2 4" xfId="7594" xr:uid="{00000000-0005-0000-0000-00004D1D0000}"/>
    <cellStyle name="20% - Accent4 4 3 2 2 2 5" xfId="7595" xr:uid="{00000000-0005-0000-0000-00004E1D0000}"/>
    <cellStyle name="20% - Accent4 4 3 2 2 2 6" xfId="7596" xr:uid="{00000000-0005-0000-0000-00004F1D0000}"/>
    <cellStyle name="20% - Accent4 4 3 2 2 3" xfId="7597" xr:uid="{00000000-0005-0000-0000-0000501D0000}"/>
    <cellStyle name="20% - Accent4 4 3 2 2 3 2" xfId="7598" xr:uid="{00000000-0005-0000-0000-0000511D0000}"/>
    <cellStyle name="20% - Accent4 4 3 2 2 3 2 2" xfId="7599" xr:uid="{00000000-0005-0000-0000-0000521D0000}"/>
    <cellStyle name="20% - Accent4 4 3 2 2 3 2 3" xfId="7600" xr:uid="{00000000-0005-0000-0000-0000531D0000}"/>
    <cellStyle name="20% - Accent4 4 3 2 2 3 3" xfId="7601" xr:uid="{00000000-0005-0000-0000-0000541D0000}"/>
    <cellStyle name="20% - Accent4 4 3 2 2 3 4" xfId="7602" xr:uid="{00000000-0005-0000-0000-0000551D0000}"/>
    <cellStyle name="20% - Accent4 4 3 2 2 4" xfId="7603" xr:uid="{00000000-0005-0000-0000-0000561D0000}"/>
    <cellStyle name="20% - Accent4 4 3 2 2 4 2" xfId="7604" xr:uid="{00000000-0005-0000-0000-0000571D0000}"/>
    <cellStyle name="20% - Accent4 4 3 2 2 4 3" xfId="7605" xr:uid="{00000000-0005-0000-0000-0000581D0000}"/>
    <cellStyle name="20% - Accent4 4 3 2 2 5" xfId="7606" xr:uid="{00000000-0005-0000-0000-0000591D0000}"/>
    <cellStyle name="20% - Accent4 4 3 2 2 6" xfId="7607" xr:uid="{00000000-0005-0000-0000-00005A1D0000}"/>
    <cellStyle name="20% - Accent4 4 3 2 2 7" xfId="7608" xr:uid="{00000000-0005-0000-0000-00005B1D0000}"/>
    <cellStyle name="20% - Accent4 4 3 2 3" xfId="7609" xr:uid="{00000000-0005-0000-0000-00005C1D0000}"/>
    <cellStyle name="20% - Accent4 4 3 2 3 2" xfId="7610" xr:uid="{00000000-0005-0000-0000-00005D1D0000}"/>
    <cellStyle name="20% - Accent4 4 3 2 3 2 2" xfId="7611" xr:uid="{00000000-0005-0000-0000-00005E1D0000}"/>
    <cellStyle name="20% - Accent4 4 3 2 3 2 2 2" xfId="7612" xr:uid="{00000000-0005-0000-0000-00005F1D0000}"/>
    <cellStyle name="20% - Accent4 4 3 2 3 2 2 3" xfId="7613" xr:uid="{00000000-0005-0000-0000-0000601D0000}"/>
    <cellStyle name="20% - Accent4 4 3 2 3 2 3" xfId="7614" xr:uid="{00000000-0005-0000-0000-0000611D0000}"/>
    <cellStyle name="20% - Accent4 4 3 2 3 2 4" xfId="7615" xr:uid="{00000000-0005-0000-0000-0000621D0000}"/>
    <cellStyle name="20% - Accent4 4 3 2 3 3" xfId="7616" xr:uid="{00000000-0005-0000-0000-0000631D0000}"/>
    <cellStyle name="20% - Accent4 4 3 2 3 3 2" xfId="7617" xr:uid="{00000000-0005-0000-0000-0000641D0000}"/>
    <cellStyle name="20% - Accent4 4 3 2 3 3 3" xfId="7618" xr:uid="{00000000-0005-0000-0000-0000651D0000}"/>
    <cellStyle name="20% - Accent4 4 3 2 3 4" xfId="7619" xr:uid="{00000000-0005-0000-0000-0000661D0000}"/>
    <cellStyle name="20% - Accent4 4 3 2 3 5" xfId="7620" xr:uid="{00000000-0005-0000-0000-0000671D0000}"/>
    <cellStyle name="20% - Accent4 4 3 2 3 6" xfId="7621" xr:uid="{00000000-0005-0000-0000-0000681D0000}"/>
    <cellStyle name="20% - Accent4 4 3 2 4" xfId="7622" xr:uid="{00000000-0005-0000-0000-0000691D0000}"/>
    <cellStyle name="20% - Accent4 4 3 2 4 2" xfId="7623" xr:uid="{00000000-0005-0000-0000-00006A1D0000}"/>
    <cellStyle name="20% - Accent4 4 3 2 4 2 2" xfId="7624" xr:uid="{00000000-0005-0000-0000-00006B1D0000}"/>
    <cellStyle name="20% - Accent4 4 3 2 4 2 3" xfId="7625" xr:uid="{00000000-0005-0000-0000-00006C1D0000}"/>
    <cellStyle name="20% - Accent4 4 3 2 4 3" xfId="7626" xr:uid="{00000000-0005-0000-0000-00006D1D0000}"/>
    <cellStyle name="20% - Accent4 4 3 2 4 4" xfId="7627" xr:uid="{00000000-0005-0000-0000-00006E1D0000}"/>
    <cellStyle name="20% - Accent4 4 3 2 5" xfId="7628" xr:uid="{00000000-0005-0000-0000-00006F1D0000}"/>
    <cellStyle name="20% - Accent4 4 3 2 5 2" xfId="7629" xr:uid="{00000000-0005-0000-0000-0000701D0000}"/>
    <cellStyle name="20% - Accent4 4 3 2 5 3" xfId="7630" xr:uid="{00000000-0005-0000-0000-0000711D0000}"/>
    <cellStyle name="20% - Accent4 4 3 2 6" xfId="7631" xr:uid="{00000000-0005-0000-0000-0000721D0000}"/>
    <cellStyle name="20% - Accent4 4 3 2 7" xfId="7632" xr:uid="{00000000-0005-0000-0000-0000731D0000}"/>
    <cellStyle name="20% - Accent4 4 3 2 8" xfId="7633" xr:uid="{00000000-0005-0000-0000-0000741D0000}"/>
    <cellStyle name="20% - Accent4 4 3 3" xfId="7634" xr:uid="{00000000-0005-0000-0000-0000751D0000}"/>
    <cellStyle name="20% - Accent4 4 3 3 2" xfId="7635" xr:uid="{00000000-0005-0000-0000-0000761D0000}"/>
    <cellStyle name="20% - Accent4 4 3 3 2 2" xfId="7636" xr:uid="{00000000-0005-0000-0000-0000771D0000}"/>
    <cellStyle name="20% - Accent4 4 3 3 2 2 2" xfId="7637" xr:uid="{00000000-0005-0000-0000-0000781D0000}"/>
    <cellStyle name="20% - Accent4 4 3 3 2 2 2 2" xfId="7638" xr:uid="{00000000-0005-0000-0000-0000791D0000}"/>
    <cellStyle name="20% - Accent4 4 3 3 2 2 2 3" xfId="7639" xr:uid="{00000000-0005-0000-0000-00007A1D0000}"/>
    <cellStyle name="20% - Accent4 4 3 3 2 2 3" xfId="7640" xr:uid="{00000000-0005-0000-0000-00007B1D0000}"/>
    <cellStyle name="20% - Accent4 4 3 3 2 2 4" xfId="7641" xr:uid="{00000000-0005-0000-0000-00007C1D0000}"/>
    <cellStyle name="20% - Accent4 4 3 3 2 3" xfId="7642" xr:uid="{00000000-0005-0000-0000-00007D1D0000}"/>
    <cellStyle name="20% - Accent4 4 3 3 2 3 2" xfId="7643" xr:uid="{00000000-0005-0000-0000-00007E1D0000}"/>
    <cellStyle name="20% - Accent4 4 3 3 2 3 3" xfId="7644" xr:uid="{00000000-0005-0000-0000-00007F1D0000}"/>
    <cellStyle name="20% - Accent4 4 3 3 2 4" xfId="7645" xr:uid="{00000000-0005-0000-0000-0000801D0000}"/>
    <cellStyle name="20% - Accent4 4 3 3 2 5" xfId="7646" xr:uid="{00000000-0005-0000-0000-0000811D0000}"/>
    <cellStyle name="20% - Accent4 4 3 3 2 6" xfId="7647" xr:uid="{00000000-0005-0000-0000-0000821D0000}"/>
    <cellStyle name="20% - Accent4 4 3 3 3" xfId="7648" xr:uid="{00000000-0005-0000-0000-0000831D0000}"/>
    <cellStyle name="20% - Accent4 4 3 3 3 2" xfId="7649" xr:uid="{00000000-0005-0000-0000-0000841D0000}"/>
    <cellStyle name="20% - Accent4 4 3 3 3 2 2" xfId="7650" xr:uid="{00000000-0005-0000-0000-0000851D0000}"/>
    <cellStyle name="20% - Accent4 4 3 3 3 2 3" xfId="7651" xr:uid="{00000000-0005-0000-0000-0000861D0000}"/>
    <cellStyle name="20% - Accent4 4 3 3 3 3" xfId="7652" xr:uid="{00000000-0005-0000-0000-0000871D0000}"/>
    <cellStyle name="20% - Accent4 4 3 3 3 4" xfId="7653" xr:uid="{00000000-0005-0000-0000-0000881D0000}"/>
    <cellStyle name="20% - Accent4 4 3 3 4" xfId="7654" xr:uid="{00000000-0005-0000-0000-0000891D0000}"/>
    <cellStyle name="20% - Accent4 4 3 3 4 2" xfId="7655" xr:uid="{00000000-0005-0000-0000-00008A1D0000}"/>
    <cellStyle name="20% - Accent4 4 3 3 4 3" xfId="7656" xr:uid="{00000000-0005-0000-0000-00008B1D0000}"/>
    <cellStyle name="20% - Accent4 4 3 3 5" xfId="7657" xr:uid="{00000000-0005-0000-0000-00008C1D0000}"/>
    <cellStyle name="20% - Accent4 4 3 3 6" xfId="7658" xr:uid="{00000000-0005-0000-0000-00008D1D0000}"/>
    <cellStyle name="20% - Accent4 4 3 3 7" xfId="7659" xr:uid="{00000000-0005-0000-0000-00008E1D0000}"/>
    <cellStyle name="20% - Accent4 4 3 4" xfId="7660" xr:uid="{00000000-0005-0000-0000-00008F1D0000}"/>
    <cellStyle name="20% - Accent4 4 3 4 2" xfId="7661" xr:uid="{00000000-0005-0000-0000-0000901D0000}"/>
    <cellStyle name="20% - Accent4 4 3 4 2 2" xfId="7662" xr:uid="{00000000-0005-0000-0000-0000911D0000}"/>
    <cellStyle name="20% - Accent4 4 3 4 2 2 2" xfId="7663" xr:uid="{00000000-0005-0000-0000-0000921D0000}"/>
    <cellStyle name="20% - Accent4 4 3 4 2 2 3" xfId="7664" xr:uid="{00000000-0005-0000-0000-0000931D0000}"/>
    <cellStyle name="20% - Accent4 4 3 4 2 3" xfId="7665" xr:uid="{00000000-0005-0000-0000-0000941D0000}"/>
    <cellStyle name="20% - Accent4 4 3 4 2 4" xfId="7666" xr:uid="{00000000-0005-0000-0000-0000951D0000}"/>
    <cellStyle name="20% - Accent4 4 3 4 3" xfId="7667" xr:uid="{00000000-0005-0000-0000-0000961D0000}"/>
    <cellStyle name="20% - Accent4 4 3 4 3 2" xfId="7668" xr:uid="{00000000-0005-0000-0000-0000971D0000}"/>
    <cellStyle name="20% - Accent4 4 3 4 3 3" xfId="7669" xr:uid="{00000000-0005-0000-0000-0000981D0000}"/>
    <cellStyle name="20% - Accent4 4 3 4 4" xfId="7670" xr:uid="{00000000-0005-0000-0000-0000991D0000}"/>
    <cellStyle name="20% - Accent4 4 3 4 5" xfId="7671" xr:uid="{00000000-0005-0000-0000-00009A1D0000}"/>
    <cellStyle name="20% - Accent4 4 3 4 6" xfId="7672" xr:uid="{00000000-0005-0000-0000-00009B1D0000}"/>
    <cellStyle name="20% - Accent4 4 3 5" xfId="7673" xr:uid="{00000000-0005-0000-0000-00009C1D0000}"/>
    <cellStyle name="20% - Accent4 4 3 5 2" xfId="7674" xr:uid="{00000000-0005-0000-0000-00009D1D0000}"/>
    <cellStyle name="20% - Accent4 4 3 5 2 2" xfId="7675" xr:uid="{00000000-0005-0000-0000-00009E1D0000}"/>
    <cellStyle name="20% - Accent4 4 3 5 2 3" xfId="7676" xr:uid="{00000000-0005-0000-0000-00009F1D0000}"/>
    <cellStyle name="20% - Accent4 4 3 5 3" xfId="7677" xr:uid="{00000000-0005-0000-0000-0000A01D0000}"/>
    <cellStyle name="20% - Accent4 4 3 5 4" xfId="7678" xr:uid="{00000000-0005-0000-0000-0000A11D0000}"/>
    <cellStyle name="20% - Accent4 4 3 6" xfId="7679" xr:uid="{00000000-0005-0000-0000-0000A21D0000}"/>
    <cellStyle name="20% - Accent4 4 3 6 2" xfId="7680" xr:uid="{00000000-0005-0000-0000-0000A31D0000}"/>
    <cellStyle name="20% - Accent4 4 3 6 3" xfId="7681" xr:uid="{00000000-0005-0000-0000-0000A41D0000}"/>
    <cellStyle name="20% - Accent4 4 3 7" xfId="7682" xr:uid="{00000000-0005-0000-0000-0000A51D0000}"/>
    <cellStyle name="20% - Accent4 4 3 8" xfId="7683" xr:uid="{00000000-0005-0000-0000-0000A61D0000}"/>
    <cellStyle name="20% - Accent4 4 3 9" xfId="7684" xr:uid="{00000000-0005-0000-0000-0000A71D0000}"/>
    <cellStyle name="20% - Accent4 4 4" xfId="7685" xr:uid="{00000000-0005-0000-0000-0000A81D0000}"/>
    <cellStyle name="20% - Accent4 4 4 2" xfId="7686" xr:uid="{00000000-0005-0000-0000-0000A91D0000}"/>
    <cellStyle name="20% - Accent4 4 4 2 2" xfId="7687" xr:uid="{00000000-0005-0000-0000-0000AA1D0000}"/>
    <cellStyle name="20% - Accent4 4 4 2 2 2" xfId="7688" xr:uid="{00000000-0005-0000-0000-0000AB1D0000}"/>
    <cellStyle name="20% - Accent4 4 4 2 2 2 2" xfId="7689" xr:uid="{00000000-0005-0000-0000-0000AC1D0000}"/>
    <cellStyle name="20% - Accent4 4 4 2 2 2 2 2" xfId="7690" xr:uid="{00000000-0005-0000-0000-0000AD1D0000}"/>
    <cellStyle name="20% - Accent4 4 4 2 2 2 2 3" xfId="7691" xr:uid="{00000000-0005-0000-0000-0000AE1D0000}"/>
    <cellStyle name="20% - Accent4 4 4 2 2 2 3" xfId="7692" xr:uid="{00000000-0005-0000-0000-0000AF1D0000}"/>
    <cellStyle name="20% - Accent4 4 4 2 2 2 4" xfId="7693" xr:uid="{00000000-0005-0000-0000-0000B01D0000}"/>
    <cellStyle name="20% - Accent4 4 4 2 2 3" xfId="7694" xr:uid="{00000000-0005-0000-0000-0000B11D0000}"/>
    <cellStyle name="20% - Accent4 4 4 2 2 3 2" xfId="7695" xr:uid="{00000000-0005-0000-0000-0000B21D0000}"/>
    <cellStyle name="20% - Accent4 4 4 2 2 3 3" xfId="7696" xr:uid="{00000000-0005-0000-0000-0000B31D0000}"/>
    <cellStyle name="20% - Accent4 4 4 2 2 4" xfId="7697" xr:uid="{00000000-0005-0000-0000-0000B41D0000}"/>
    <cellStyle name="20% - Accent4 4 4 2 2 5" xfId="7698" xr:uid="{00000000-0005-0000-0000-0000B51D0000}"/>
    <cellStyle name="20% - Accent4 4 4 2 2 6" xfId="7699" xr:uid="{00000000-0005-0000-0000-0000B61D0000}"/>
    <cellStyle name="20% - Accent4 4 4 2 3" xfId="7700" xr:uid="{00000000-0005-0000-0000-0000B71D0000}"/>
    <cellStyle name="20% - Accent4 4 4 2 3 2" xfId="7701" xr:uid="{00000000-0005-0000-0000-0000B81D0000}"/>
    <cellStyle name="20% - Accent4 4 4 2 3 2 2" xfId="7702" xr:uid="{00000000-0005-0000-0000-0000B91D0000}"/>
    <cellStyle name="20% - Accent4 4 4 2 3 2 3" xfId="7703" xr:uid="{00000000-0005-0000-0000-0000BA1D0000}"/>
    <cellStyle name="20% - Accent4 4 4 2 3 3" xfId="7704" xr:uid="{00000000-0005-0000-0000-0000BB1D0000}"/>
    <cellStyle name="20% - Accent4 4 4 2 3 4" xfId="7705" xr:uid="{00000000-0005-0000-0000-0000BC1D0000}"/>
    <cellStyle name="20% - Accent4 4 4 2 4" xfId="7706" xr:uid="{00000000-0005-0000-0000-0000BD1D0000}"/>
    <cellStyle name="20% - Accent4 4 4 2 4 2" xfId="7707" xr:uid="{00000000-0005-0000-0000-0000BE1D0000}"/>
    <cellStyle name="20% - Accent4 4 4 2 4 3" xfId="7708" xr:uid="{00000000-0005-0000-0000-0000BF1D0000}"/>
    <cellStyle name="20% - Accent4 4 4 2 5" xfId="7709" xr:uid="{00000000-0005-0000-0000-0000C01D0000}"/>
    <cellStyle name="20% - Accent4 4 4 2 6" xfId="7710" xr:uid="{00000000-0005-0000-0000-0000C11D0000}"/>
    <cellStyle name="20% - Accent4 4 4 2 7" xfId="7711" xr:uid="{00000000-0005-0000-0000-0000C21D0000}"/>
    <cellStyle name="20% - Accent4 4 4 3" xfId="7712" xr:uid="{00000000-0005-0000-0000-0000C31D0000}"/>
    <cellStyle name="20% - Accent4 4 4 3 2" xfId="7713" xr:uid="{00000000-0005-0000-0000-0000C41D0000}"/>
    <cellStyle name="20% - Accent4 4 4 3 2 2" xfId="7714" xr:uid="{00000000-0005-0000-0000-0000C51D0000}"/>
    <cellStyle name="20% - Accent4 4 4 3 2 2 2" xfId="7715" xr:uid="{00000000-0005-0000-0000-0000C61D0000}"/>
    <cellStyle name="20% - Accent4 4 4 3 2 2 3" xfId="7716" xr:uid="{00000000-0005-0000-0000-0000C71D0000}"/>
    <cellStyle name="20% - Accent4 4 4 3 2 3" xfId="7717" xr:uid="{00000000-0005-0000-0000-0000C81D0000}"/>
    <cellStyle name="20% - Accent4 4 4 3 2 4" xfId="7718" xr:uid="{00000000-0005-0000-0000-0000C91D0000}"/>
    <cellStyle name="20% - Accent4 4 4 3 3" xfId="7719" xr:uid="{00000000-0005-0000-0000-0000CA1D0000}"/>
    <cellStyle name="20% - Accent4 4 4 3 3 2" xfId="7720" xr:uid="{00000000-0005-0000-0000-0000CB1D0000}"/>
    <cellStyle name="20% - Accent4 4 4 3 3 3" xfId="7721" xr:uid="{00000000-0005-0000-0000-0000CC1D0000}"/>
    <cellStyle name="20% - Accent4 4 4 3 4" xfId="7722" xr:uid="{00000000-0005-0000-0000-0000CD1D0000}"/>
    <cellStyle name="20% - Accent4 4 4 3 5" xfId="7723" xr:uid="{00000000-0005-0000-0000-0000CE1D0000}"/>
    <cellStyle name="20% - Accent4 4 4 3 6" xfId="7724" xr:uid="{00000000-0005-0000-0000-0000CF1D0000}"/>
    <cellStyle name="20% - Accent4 4 4 4" xfId="7725" xr:uid="{00000000-0005-0000-0000-0000D01D0000}"/>
    <cellStyle name="20% - Accent4 4 4 4 2" xfId="7726" xr:uid="{00000000-0005-0000-0000-0000D11D0000}"/>
    <cellStyle name="20% - Accent4 4 4 4 2 2" xfId="7727" xr:uid="{00000000-0005-0000-0000-0000D21D0000}"/>
    <cellStyle name="20% - Accent4 4 4 4 2 3" xfId="7728" xr:uid="{00000000-0005-0000-0000-0000D31D0000}"/>
    <cellStyle name="20% - Accent4 4 4 4 3" xfId="7729" xr:uid="{00000000-0005-0000-0000-0000D41D0000}"/>
    <cellStyle name="20% - Accent4 4 4 4 4" xfId="7730" xr:uid="{00000000-0005-0000-0000-0000D51D0000}"/>
    <cellStyle name="20% - Accent4 4 4 5" xfId="7731" xr:uid="{00000000-0005-0000-0000-0000D61D0000}"/>
    <cellStyle name="20% - Accent4 4 4 5 2" xfId="7732" xr:uid="{00000000-0005-0000-0000-0000D71D0000}"/>
    <cellStyle name="20% - Accent4 4 4 5 3" xfId="7733" xr:uid="{00000000-0005-0000-0000-0000D81D0000}"/>
    <cellStyle name="20% - Accent4 4 4 6" xfId="7734" xr:uid="{00000000-0005-0000-0000-0000D91D0000}"/>
    <cellStyle name="20% - Accent4 4 4 7" xfId="7735" xr:uid="{00000000-0005-0000-0000-0000DA1D0000}"/>
    <cellStyle name="20% - Accent4 4 4 8" xfId="7736" xr:uid="{00000000-0005-0000-0000-0000DB1D0000}"/>
    <cellStyle name="20% - Accent4 4 5" xfId="7737" xr:uid="{00000000-0005-0000-0000-0000DC1D0000}"/>
    <cellStyle name="20% - Accent4 4 5 2" xfId="7738" xr:uid="{00000000-0005-0000-0000-0000DD1D0000}"/>
    <cellStyle name="20% - Accent4 4 5 2 2" xfId="7739" xr:uid="{00000000-0005-0000-0000-0000DE1D0000}"/>
    <cellStyle name="20% - Accent4 4 5 2 2 2" xfId="7740" xr:uid="{00000000-0005-0000-0000-0000DF1D0000}"/>
    <cellStyle name="20% - Accent4 4 5 2 2 2 2" xfId="7741" xr:uid="{00000000-0005-0000-0000-0000E01D0000}"/>
    <cellStyle name="20% - Accent4 4 5 2 2 2 3" xfId="7742" xr:uid="{00000000-0005-0000-0000-0000E11D0000}"/>
    <cellStyle name="20% - Accent4 4 5 2 2 3" xfId="7743" xr:uid="{00000000-0005-0000-0000-0000E21D0000}"/>
    <cellStyle name="20% - Accent4 4 5 2 2 4" xfId="7744" xr:uid="{00000000-0005-0000-0000-0000E31D0000}"/>
    <cellStyle name="20% - Accent4 4 5 2 3" xfId="7745" xr:uid="{00000000-0005-0000-0000-0000E41D0000}"/>
    <cellStyle name="20% - Accent4 4 5 2 3 2" xfId="7746" xr:uid="{00000000-0005-0000-0000-0000E51D0000}"/>
    <cellStyle name="20% - Accent4 4 5 2 3 3" xfId="7747" xr:uid="{00000000-0005-0000-0000-0000E61D0000}"/>
    <cellStyle name="20% - Accent4 4 5 2 4" xfId="7748" xr:uid="{00000000-0005-0000-0000-0000E71D0000}"/>
    <cellStyle name="20% - Accent4 4 5 2 5" xfId="7749" xr:uid="{00000000-0005-0000-0000-0000E81D0000}"/>
    <cellStyle name="20% - Accent4 4 5 2 6" xfId="7750" xr:uid="{00000000-0005-0000-0000-0000E91D0000}"/>
    <cellStyle name="20% - Accent4 4 5 3" xfId="7751" xr:uid="{00000000-0005-0000-0000-0000EA1D0000}"/>
    <cellStyle name="20% - Accent4 4 5 3 2" xfId="7752" xr:uid="{00000000-0005-0000-0000-0000EB1D0000}"/>
    <cellStyle name="20% - Accent4 4 5 3 2 2" xfId="7753" xr:uid="{00000000-0005-0000-0000-0000EC1D0000}"/>
    <cellStyle name="20% - Accent4 4 5 3 2 3" xfId="7754" xr:uid="{00000000-0005-0000-0000-0000ED1D0000}"/>
    <cellStyle name="20% - Accent4 4 5 3 3" xfId="7755" xr:uid="{00000000-0005-0000-0000-0000EE1D0000}"/>
    <cellStyle name="20% - Accent4 4 5 3 4" xfId="7756" xr:uid="{00000000-0005-0000-0000-0000EF1D0000}"/>
    <cellStyle name="20% - Accent4 4 5 4" xfId="7757" xr:uid="{00000000-0005-0000-0000-0000F01D0000}"/>
    <cellStyle name="20% - Accent4 4 5 4 2" xfId="7758" xr:uid="{00000000-0005-0000-0000-0000F11D0000}"/>
    <cellStyle name="20% - Accent4 4 5 4 3" xfId="7759" xr:uid="{00000000-0005-0000-0000-0000F21D0000}"/>
    <cellStyle name="20% - Accent4 4 5 5" xfId="7760" xr:uid="{00000000-0005-0000-0000-0000F31D0000}"/>
    <cellStyle name="20% - Accent4 4 5 6" xfId="7761" xr:uid="{00000000-0005-0000-0000-0000F41D0000}"/>
    <cellStyle name="20% - Accent4 4 5 7" xfId="7762" xr:uid="{00000000-0005-0000-0000-0000F51D0000}"/>
    <cellStyle name="20% - Accent4 4 6" xfId="7763" xr:uid="{00000000-0005-0000-0000-0000F61D0000}"/>
    <cellStyle name="20% - Accent4 4 6 2" xfId="7764" xr:uid="{00000000-0005-0000-0000-0000F71D0000}"/>
    <cellStyle name="20% - Accent4 4 6 2 2" xfId="7765" xr:uid="{00000000-0005-0000-0000-0000F81D0000}"/>
    <cellStyle name="20% - Accent4 4 6 2 2 2" xfId="7766" xr:uid="{00000000-0005-0000-0000-0000F91D0000}"/>
    <cellStyle name="20% - Accent4 4 6 2 2 3" xfId="7767" xr:uid="{00000000-0005-0000-0000-0000FA1D0000}"/>
    <cellStyle name="20% - Accent4 4 6 2 3" xfId="7768" xr:uid="{00000000-0005-0000-0000-0000FB1D0000}"/>
    <cellStyle name="20% - Accent4 4 6 2 4" xfId="7769" xr:uid="{00000000-0005-0000-0000-0000FC1D0000}"/>
    <cellStyle name="20% - Accent4 4 6 3" xfId="7770" xr:uid="{00000000-0005-0000-0000-0000FD1D0000}"/>
    <cellStyle name="20% - Accent4 4 6 3 2" xfId="7771" xr:uid="{00000000-0005-0000-0000-0000FE1D0000}"/>
    <cellStyle name="20% - Accent4 4 6 3 3" xfId="7772" xr:uid="{00000000-0005-0000-0000-0000FF1D0000}"/>
    <cellStyle name="20% - Accent4 4 6 4" xfId="7773" xr:uid="{00000000-0005-0000-0000-0000001E0000}"/>
    <cellStyle name="20% - Accent4 4 6 5" xfId="7774" xr:uid="{00000000-0005-0000-0000-0000011E0000}"/>
    <cellStyle name="20% - Accent4 4 6 6" xfId="7775" xr:uid="{00000000-0005-0000-0000-0000021E0000}"/>
    <cellStyle name="20% - Accent4 4 7" xfId="7776" xr:uid="{00000000-0005-0000-0000-0000031E0000}"/>
    <cellStyle name="20% - Accent4 4 7 2" xfId="7777" xr:uid="{00000000-0005-0000-0000-0000041E0000}"/>
    <cellStyle name="20% - Accent4 4 7 2 2" xfId="7778" xr:uid="{00000000-0005-0000-0000-0000051E0000}"/>
    <cellStyle name="20% - Accent4 4 7 2 3" xfId="7779" xr:uid="{00000000-0005-0000-0000-0000061E0000}"/>
    <cellStyle name="20% - Accent4 4 7 3" xfId="7780" xr:uid="{00000000-0005-0000-0000-0000071E0000}"/>
    <cellStyle name="20% - Accent4 4 7 4" xfId="7781" xr:uid="{00000000-0005-0000-0000-0000081E0000}"/>
    <cellStyle name="20% - Accent4 4 8" xfId="7782" xr:uid="{00000000-0005-0000-0000-0000091E0000}"/>
    <cellStyle name="20% - Accent4 4 8 2" xfId="7783" xr:uid="{00000000-0005-0000-0000-00000A1E0000}"/>
    <cellStyle name="20% - Accent4 4 8 3" xfId="7784" xr:uid="{00000000-0005-0000-0000-00000B1E0000}"/>
    <cellStyle name="20% - Accent4 4 9" xfId="7785" xr:uid="{00000000-0005-0000-0000-00000C1E0000}"/>
    <cellStyle name="20% - Accent4 5" xfId="7786" xr:uid="{00000000-0005-0000-0000-00000D1E0000}"/>
    <cellStyle name="20% - Accent4 5 10" xfId="7787" xr:uid="{00000000-0005-0000-0000-00000E1E0000}"/>
    <cellStyle name="20% - Accent4 5 2" xfId="7788" xr:uid="{00000000-0005-0000-0000-00000F1E0000}"/>
    <cellStyle name="20% - Accent4 5 2 2" xfId="7789" xr:uid="{00000000-0005-0000-0000-0000101E0000}"/>
    <cellStyle name="20% - Accent4 5 2 2 2" xfId="7790" xr:uid="{00000000-0005-0000-0000-0000111E0000}"/>
    <cellStyle name="20% - Accent4 5 2 2 2 2" xfId="7791" xr:uid="{00000000-0005-0000-0000-0000121E0000}"/>
    <cellStyle name="20% - Accent4 5 2 2 2 2 2" xfId="7792" xr:uid="{00000000-0005-0000-0000-0000131E0000}"/>
    <cellStyle name="20% - Accent4 5 2 2 2 2 2 2" xfId="7793" xr:uid="{00000000-0005-0000-0000-0000141E0000}"/>
    <cellStyle name="20% - Accent4 5 2 2 2 2 2 2 2" xfId="7794" xr:uid="{00000000-0005-0000-0000-0000151E0000}"/>
    <cellStyle name="20% - Accent4 5 2 2 2 2 2 2 3" xfId="7795" xr:uid="{00000000-0005-0000-0000-0000161E0000}"/>
    <cellStyle name="20% - Accent4 5 2 2 2 2 2 3" xfId="7796" xr:uid="{00000000-0005-0000-0000-0000171E0000}"/>
    <cellStyle name="20% - Accent4 5 2 2 2 2 2 4" xfId="7797" xr:uid="{00000000-0005-0000-0000-0000181E0000}"/>
    <cellStyle name="20% - Accent4 5 2 2 2 2 3" xfId="7798" xr:uid="{00000000-0005-0000-0000-0000191E0000}"/>
    <cellStyle name="20% - Accent4 5 2 2 2 2 3 2" xfId="7799" xr:uid="{00000000-0005-0000-0000-00001A1E0000}"/>
    <cellStyle name="20% - Accent4 5 2 2 2 2 3 3" xfId="7800" xr:uid="{00000000-0005-0000-0000-00001B1E0000}"/>
    <cellStyle name="20% - Accent4 5 2 2 2 2 4" xfId="7801" xr:uid="{00000000-0005-0000-0000-00001C1E0000}"/>
    <cellStyle name="20% - Accent4 5 2 2 2 2 5" xfId="7802" xr:uid="{00000000-0005-0000-0000-00001D1E0000}"/>
    <cellStyle name="20% - Accent4 5 2 2 2 2 6" xfId="7803" xr:uid="{00000000-0005-0000-0000-00001E1E0000}"/>
    <cellStyle name="20% - Accent4 5 2 2 2 3" xfId="7804" xr:uid="{00000000-0005-0000-0000-00001F1E0000}"/>
    <cellStyle name="20% - Accent4 5 2 2 2 3 2" xfId="7805" xr:uid="{00000000-0005-0000-0000-0000201E0000}"/>
    <cellStyle name="20% - Accent4 5 2 2 2 3 2 2" xfId="7806" xr:uid="{00000000-0005-0000-0000-0000211E0000}"/>
    <cellStyle name="20% - Accent4 5 2 2 2 3 2 3" xfId="7807" xr:uid="{00000000-0005-0000-0000-0000221E0000}"/>
    <cellStyle name="20% - Accent4 5 2 2 2 3 3" xfId="7808" xr:uid="{00000000-0005-0000-0000-0000231E0000}"/>
    <cellStyle name="20% - Accent4 5 2 2 2 3 4" xfId="7809" xr:uid="{00000000-0005-0000-0000-0000241E0000}"/>
    <cellStyle name="20% - Accent4 5 2 2 2 4" xfId="7810" xr:uid="{00000000-0005-0000-0000-0000251E0000}"/>
    <cellStyle name="20% - Accent4 5 2 2 2 4 2" xfId="7811" xr:uid="{00000000-0005-0000-0000-0000261E0000}"/>
    <cellStyle name="20% - Accent4 5 2 2 2 4 3" xfId="7812" xr:uid="{00000000-0005-0000-0000-0000271E0000}"/>
    <cellStyle name="20% - Accent4 5 2 2 2 5" xfId="7813" xr:uid="{00000000-0005-0000-0000-0000281E0000}"/>
    <cellStyle name="20% - Accent4 5 2 2 2 6" xfId="7814" xr:uid="{00000000-0005-0000-0000-0000291E0000}"/>
    <cellStyle name="20% - Accent4 5 2 2 2 7" xfId="7815" xr:uid="{00000000-0005-0000-0000-00002A1E0000}"/>
    <cellStyle name="20% - Accent4 5 2 2 3" xfId="7816" xr:uid="{00000000-0005-0000-0000-00002B1E0000}"/>
    <cellStyle name="20% - Accent4 5 2 2 3 2" xfId="7817" xr:uid="{00000000-0005-0000-0000-00002C1E0000}"/>
    <cellStyle name="20% - Accent4 5 2 2 3 2 2" xfId="7818" xr:uid="{00000000-0005-0000-0000-00002D1E0000}"/>
    <cellStyle name="20% - Accent4 5 2 2 3 2 2 2" xfId="7819" xr:uid="{00000000-0005-0000-0000-00002E1E0000}"/>
    <cellStyle name="20% - Accent4 5 2 2 3 2 2 3" xfId="7820" xr:uid="{00000000-0005-0000-0000-00002F1E0000}"/>
    <cellStyle name="20% - Accent4 5 2 2 3 2 3" xfId="7821" xr:uid="{00000000-0005-0000-0000-0000301E0000}"/>
    <cellStyle name="20% - Accent4 5 2 2 3 2 4" xfId="7822" xr:uid="{00000000-0005-0000-0000-0000311E0000}"/>
    <cellStyle name="20% - Accent4 5 2 2 3 3" xfId="7823" xr:uid="{00000000-0005-0000-0000-0000321E0000}"/>
    <cellStyle name="20% - Accent4 5 2 2 3 3 2" xfId="7824" xr:uid="{00000000-0005-0000-0000-0000331E0000}"/>
    <cellStyle name="20% - Accent4 5 2 2 3 3 3" xfId="7825" xr:uid="{00000000-0005-0000-0000-0000341E0000}"/>
    <cellStyle name="20% - Accent4 5 2 2 3 4" xfId="7826" xr:uid="{00000000-0005-0000-0000-0000351E0000}"/>
    <cellStyle name="20% - Accent4 5 2 2 3 5" xfId="7827" xr:uid="{00000000-0005-0000-0000-0000361E0000}"/>
    <cellStyle name="20% - Accent4 5 2 2 3 6" xfId="7828" xr:uid="{00000000-0005-0000-0000-0000371E0000}"/>
    <cellStyle name="20% - Accent4 5 2 2 4" xfId="7829" xr:uid="{00000000-0005-0000-0000-0000381E0000}"/>
    <cellStyle name="20% - Accent4 5 2 2 4 2" xfId="7830" xr:uid="{00000000-0005-0000-0000-0000391E0000}"/>
    <cellStyle name="20% - Accent4 5 2 2 4 2 2" xfId="7831" xr:uid="{00000000-0005-0000-0000-00003A1E0000}"/>
    <cellStyle name="20% - Accent4 5 2 2 4 2 3" xfId="7832" xr:uid="{00000000-0005-0000-0000-00003B1E0000}"/>
    <cellStyle name="20% - Accent4 5 2 2 4 3" xfId="7833" xr:uid="{00000000-0005-0000-0000-00003C1E0000}"/>
    <cellStyle name="20% - Accent4 5 2 2 4 4" xfId="7834" xr:uid="{00000000-0005-0000-0000-00003D1E0000}"/>
    <cellStyle name="20% - Accent4 5 2 2 5" xfId="7835" xr:uid="{00000000-0005-0000-0000-00003E1E0000}"/>
    <cellStyle name="20% - Accent4 5 2 2 5 2" xfId="7836" xr:uid="{00000000-0005-0000-0000-00003F1E0000}"/>
    <cellStyle name="20% - Accent4 5 2 2 5 3" xfId="7837" xr:uid="{00000000-0005-0000-0000-0000401E0000}"/>
    <cellStyle name="20% - Accent4 5 2 2 6" xfId="7838" xr:uid="{00000000-0005-0000-0000-0000411E0000}"/>
    <cellStyle name="20% - Accent4 5 2 2 7" xfId="7839" xr:uid="{00000000-0005-0000-0000-0000421E0000}"/>
    <cellStyle name="20% - Accent4 5 2 2 8" xfId="7840" xr:uid="{00000000-0005-0000-0000-0000431E0000}"/>
    <cellStyle name="20% - Accent4 5 2 3" xfId="7841" xr:uid="{00000000-0005-0000-0000-0000441E0000}"/>
    <cellStyle name="20% - Accent4 5 2 3 2" xfId="7842" xr:uid="{00000000-0005-0000-0000-0000451E0000}"/>
    <cellStyle name="20% - Accent4 5 2 3 2 2" xfId="7843" xr:uid="{00000000-0005-0000-0000-0000461E0000}"/>
    <cellStyle name="20% - Accent4 5 2 3 2 2 2" xfId="7844" xr:uid="{00000000-0005-0000-0000-0000471E0000}"/>
    <cellStyle name="20% - Accent4 5 2 3 2 2 2 2" xfId="7845" xr:uid="{00000000-0005-0000-0000-0000481E0000}"/>
    <cellStyle name="20% - Accent4 5 2 3 2 2 2 3" xfId="7846" xr:uid="{00000000-0005-0000-0000-0000491E0000}"/>
    <cellStyle name="20% - Accent4 5 2 3 2 2 3" xfId="7847" xr:uid="{00000000-0005-0000-0000-00004A1E0000}"/>
    <cellStyle name="20% - Accent4 5 2 3 2 2 4" xfId="7848" xr:uid="{00000000-0005-0000-0000-00004B1E0000}"/>
    <cellStyle name="20% - Accent4 5 2 3 2 3" xfId="7849" xr:uid="{00000000-0005-0000-0000-00004C1E0000}"/>
    <cellStyle name="20% - Accent4 5 2 3 2 3 2" xfId="7850" xr:uid="{00000000-0005-0000-0000-00004D1E0000}"/>
    <cellStyle name="20% - Accent4 5 2 3 2 3 3" xfId="7851" xr:uid="{00000000-0005-0000-0000-00004E1E0000}"/>
    <cellStyle name="20% - Accent4 5 2 3 2 4" xfId="7852" xr:uid="{00000000-0005-0000-0000-00004F1E0000}"/>
    <cellStyle name="20% - Accent4 5 2 3 2 5" xfId="7853" xr:uid="{00000000-0005-0000-0000-0000501E0000}"/>
    <cellStyle name="20% - Accent4 5 2 3 2 6" xfId="7854" xr:uid="{00000000-0005-0000-0000-0000511E0000}"/>
    <cellStyle name="20% - Accent4 5 2 3 3" xfId="7855" xr:uid="{00000000-0005-0000-0000-0000521E0000}"/>
    <cellStyle name="20% - Accent4 5 2 3 3 2" xfId="7856" xr:uid="{00000000-0005-0000-0000-0000531E0000}"/>
    <cellStyle name="20% - Accent4 5 2 3 3 2 2" xfId="7857" xr:uid="{00000000-0005-0000-0000-0000541E0000}"/>
    <cellStyle name="20% - Accent4 5 2 3 3 2 3" xfId="7858" xr:uid="{00000000-0005-0000-0000-0000551E0000}"/>
    <cellStyle name="20% - Accent4 5 2 3 3 3" xfId="7859" xr:uid="{00000000-0005-0000-0000-0000561E0000}"/>
    <cellStyle name="20% - Accent4 5 2 3 3 4" xfId="7860" xr:uid="{00000000-0005-0000-0000-0000571E0000}"/>
    <cellStyle name="20% - Accent4 5 2 3 4" xfId="7861" xr:uid="{00000000-0005-0000-0000-0000581E0000}"/>
    <cellStyle name="20% - Accent4 5 2 3 4 2" xfId="7862" xr:uid="{00000000-0005-0000-0000-0000591E0000}"/>
    <cellStyle name="20% - Accent4 5 2 3 4 3" xfId="7863" xr:uid="{00000000-0005-0000-0000-00005A1E0000}"/>
    <cellStyle name="20% - Accent4 5 2 3 5" xfId="7864" xr:uid="{00000000-0005-0000-0000-00005B1E0000}"/>
    <cellStyle name="20% - Accent4 5 2 3 6" xfId="7865" xr:uid="{00000000-0005-0000-0000-00005C1E0000}"/>
    <cellStyle name="20% - Accent4 5 2 3 7" xfId="7866" xr:uid="{00000000-0005-0000-0000-00005D1E0000}"/>
    <cellStyle name="20% - Accent4 5 2 4" xfId="7867" xr:uid="{00000000-0005-0000-0000-00005E1E0000}"/>
    <cellStyle name="20% - Accent4 5 2 4 2" xfId="7868" xr:uid="{00000000-0005-0000-0000-00005F1E0000}"/>
    <cellStyle name="20% - Accent4 5 2 4 2 2" xfId="7869" xr:uid="{00000000-0005-0000-0000-0000601E0000}"/>
    <cellStyle name="20% - Accent4 5 2 4 2 2 2" xfId="7870" xr:uid="{00000000-0005-0000-0000-0000611E0000}"/>
    <cellStyle name="20% - Accent4 5 2 4 2 2 3" xfId="7871" xr:uid="{00000000-0005-0000-0000-0000621E0000}"/>
    <cellStyle name="20% - Accent4 5 2 4 2 3" xfId="7872" xr:uid="{00000000-0005-0000-0000-0000631E0000}"/>
    <cellStyle name="20% - Accent4 5 2 4 2 4" xfId="7873" xr:uid="{00000000-0005-0000-0000-0000641E0000}"/>
    <cellStyle name="20% - Accent4 5 2 4 3" xfId="7874" xr:uid="{00000000-0005-0000-0000-0000651E0000}"/>
    <cellStyle name="20% - Accent4 5 2 4 3 2" xfId="7875" xr:uid="{00000000-0005-0000-0000-0000661E0000}"/>
    <cellStyle name="20% - Accent4 5 2 4 3 3" xfId="7876" xr:uid="{00000000-0005-0000-0000-0000671E0000}"/>
    <cellStyle name="20% - Accent4 5 2 4 4" xfId="7877" xr:uid="{00000000-0005-0000-0000-0000681E0000}"/>
    <cellStyle name="20% - Accent4 5 2 4 5" xfId="7878" xr:uid="{00000000-0005-0000-0000-0000691E0000}"/>
    <cellStyle name="20% - Accent4 5 2 4 6" xfId="7879" xr:uid="{00000000-0005-0000-0000-00006A1E0000}"/>
    <cellStyle name="20% - Accent4 5 2 5" xfId="7880" xr:uid="{00000000-0005-0000-0000-00006B1E0000}"/>
    <cellStyle name="20% - Accent4 5 2 5 2" xfId="7881" xr:uid="{00000000-0005-0000-0000-00006C1E0000}"/>
    <cellStyle name="20% - Accent4 5 2 5 2 2" xfId="7882" xr:uid="{00000000-0005-0000-0000-00006D1E0000}"/>
    <cellStyle name="20% - Accent4 5 2 5 2 3" xfId="7883" xr:uid="{00000000-0005-0000-0000-00006E1E0000}"/>
    <cellStyle name="20% - Accent4 5 2 5 3" xfId="7884" xr:uid="{00000000-0005-0000-0000-00006F1E0000}"/>
    <cellStyle name="20% - Accent4 5 2 5 4" xfId="7885" xr:uid="{00000000-0005-0000-0000-0000701E0000}"/>
    <cellStyle name="20% - Accent4 5 2 6" xfId="7886" xr:uid="{00000000-0005-0000-0000-0000711E0000}"/>
    <cellStyle name="20% - Accent4 5 2 6 2" xfId="7887" xr:uid="{00000000-0005-0000-0000-0000721E0000}"/>
    <cellStyle name="20% - Accent4 5 2 6 3" xfId="7888" xr:uid="{00000000-0005-0000-0000-0000731E0000}"/>
    <cellStyle name="20% - Accent4 5 2 7" xfId="7889" xr:uid="{00000000-0005-0000-0000-0000741E0000}"/>
    <cellStyle name="20% - Accent4 5 2 8" xfId="7890" xr:uid="{00000000-0005-0000-0000-0000751E0000}"/>
    <cellStyle name="20% - Accent4 5 2 9" xfId="7891" xr:uid="{00000000-0005-0000-0000-0000761E0000}"/>
    <cellStyle name="20% - Accent4 5 3" xfId="7892" xr:uid="{00000000-0005-0000-0000-0000771E0000}"/>
    <cellStyle name="20% - Accent4 5 3 2" xfId="7893" xr:uid="{00000000-0005-0000-0000-0000781E0000}"/>
    <cellStyle name="20% - Accent4 5 3 2 2" xfId="7894" xr:uid="{00000000-0005-0000-0000-0000791E0000}"/>
    <cellStyle name="20% - Accent4 5 3 2 2 2" xfId="7895" xr:uid="{00000000-0005-0000-0000-00007A1E0000}"/>
    <cellStyle name="20% - Accent4 5 3 2 2 2 2" xfId="7896" xr:uid="{00000000-0005-0000-0000-00007B1E0000}"/>
    <cellStyle name="20% - Accent4 5 3 2 2 2 2 2" xfId="7897" xr:uid="{00000000-0005-0000-0000-00007C1E0000}"/>
    <cellStyle name="20% - Accent4 5 3 2 2 2 2 3" xfId="7898" xr:uid="{00000000-0005-0000-0000-00007D1E0000}"/>
    <cellStyle name="20% - Accent4 5 3 2 2 2 3" xfId="7899" xr:uid="{00000000-0005-0000-0000-00007E1E0000}"/>
    <cellStyle name="20% - Accent4 5 3 2 2 2 4" xfId="7900" xr:uid="{00000000-0005-0000-0000-00007F1E0000}"/>
    <cellStyle name="20% - Accent4 5 3 2 2 3" xfId="7901" xr:uid="{00000000-0005-0000-0000-0000801E0000}"/>
    <cellStyle name="20% - Accent4 5 3 2 2 3 2" xfId="7902" xr:uid="{00000000-0005-0000-0000-0000811E0000}"/>
    <cellStyle name="20% - Accent4 5 3 2 2 3 3" xfId="7903" xr:uid="{00000000-0005-0000-0000-0000821E0000}"/>
    <cellStyle name="20% - Accent4 5 3 2 2 4" xfId="7904" xr:uid="{00000000-0005-0000-0000-0000831E0000}"/>
    <cellStyle name="20% - Accent4 5 3 2 2 5" xfId="7905" xr:uid="{00000000-0005-0000-0000-0000841E0000}"/>
    <cellStyle name="20% - Accent4 5 3 2 2 6" xfId="7906" xr:uid="{00000000-0005-0000-0000-0000851E0000}"/>
    <cellStyle name="20% - Accent4 5 3 2 3" xfId="7907" xr:uid="{00000000-0005-0000-0000-0000861E0000}"/>
    <cellStyle name="20% - Accent4 5 3 2 3 2" xfId="7908" xr:uid="{00000000-0005-0000-0000-0000871E0000}"/>
    <cellStyle name="20% - Accent4 5 3 2 3 2 2" xfId="7909" xr:uid="{00000000-0005-0000-0000-0000881E0000}"/>
    <cellStyle name="20% - Accent4 5 3 2 3 2 3" xfId="7910" xr:uid="{00000000-0005-0000-0000-0000891E0000}"/>
    <cellStyle name="20% - Accent4 5 3 2 3 3" xfId="7911" xr:uid="{00000000-0005-0000-0000-00008A1E0000}"/>
    <cellStyle name="20% - Accent4 5 3 2 3 4" xfId="7912" xr:uid="{00000000-0005-0000-0000-00008B1E0000}"/>
    <cellStyle name="20% - Accent4 5 3 2 4" xfId="7913" xr:uid="{00000000-0005-0000-0000-00008C1E0000}"/>
    <cellStyle name="20% - Accent4 5 3 2 4 2" xfId="7914" xr:uid="{00000000-0005-0000-0000-00008D1E0000}"/>
    <cellStyle name="20% - Accent4 5 3 2 4 3" xfId="7915" xr:uid="{00000000-0005-0000-0000-00008E1E0000}"/>
    <cellStyle name="20% - Accent4 5 3 2 5" xfId="7916" xr:uid="{00000000-0005-0000-0000-00008F1E0000}"/>
    <cellStyle name="20% - Accent4 5 3 2 6" xfId="7917" xr:uid="{00000000-0005-0000-0000-0000901E0000}"/>
    <cellStyle name="20% - Accent4 5 3 2 7" xfId="7918" xr:uid="{00000000-0005-0000-0000-0000911E0000}"/>
    <cellStyle name="20% - Accent4 5 3 3" xfId="7919" xr:uid="{00000000-0005-0000-0000-0000921E0000}"/>
    <cellStyle name="20% - Accent4 5 3 3 2" xfId="7920" xr:uid="{00000000-0005-0000-0000-0000931E0000}"/>
    <cellStyle name="20% - Accent4 5 3 3 2 2" xfId="7921" xr:uid="{00000000-0005-0000-0000-0000941E0000}"/>
    <cellStyle name="20% - Accent4 5 3 3 2 2 2" xfId="7922" xr:uid="{00000000-0005-0000-0000-0000951E0000}"/>
    <cellStyle name="20% - Accent4 5 3 3 2 2 3" xfId="7923" xr:uid="{00000000-0005-0000-0000-0000961E0000}"/>
    <cellStyle name="20% - Accent4 5 3 3 2 3" xfId="7924" xr:uid="{00000000-0005-0000-0000-0000971E0000}"/>
    <cellStyle name="20% - Accent4 5 3 3 2 4" xfId="7925" xr:uid="{00000000-0005-0000-0000-0000981E0000}"/>
    <cellStyle name="20% - Accent4 5 3 3 3" xfId="7926" xr:uid="{00000000-0005-0000-0000-0000991E0000}"/>
    <cellStyle name="20% - Accent4 5 3 3 3 2" xfId="7927" xr:uid="{00000000-0005-0000-0000-00009A1E0000}"/>
    <cellStyle name="20% - Accent4 5 3 3 3 3" xfId="7928" xr:uid="{00000000-0005-0000-0000-00009B1E0000}"/>
    <cellStyle name="20% - Accent4 5 3 3 4" xfId="7929" xr:uid="{00000000-0005-0000-0000-00009C1E0000}"/>
    <cellStyle name="20% - Accent4 5 3 3 5" xfId="7930" xr:uid="{00000000-0005-0000-0000-00009D1E0000}"/>
    <cellStyle name="20% - Accent4 5 3 3 6" xfId="7931" xr:uid="{00000000-0005-0000-0000-00009E1E0000}"/>
    <cellStyle name="20% - Accent4 5 3 4" xfId="7932" xr:uid="{00000000-0005-0000-0000-00009F1E0000}"/>
    <cellStyle name="20% - Accent4 5 3 4 2" xfId="7933" xr:uid="{00000000-0005-0000-0000-0000A01E0000}"/>
    <cellStyle name="20% - Accent4 5 3 4 2 2" xfId="7934" xr:uid="{00000000-0005-0000-0000-0000A11E0000}"/>
    <cellStyle name="20% - Accent4 5 3 4 2 3" xfId="7935" xr:uid="{00000000-0005-0000-0000-0000A21E0000}"/>
    <cellStyle name="20% - Accent4 5 3 4 3" xfId="7936" xr:uid="{00000000-0005-0000-0000-0000A31E0000}"/>
    <cellStyle name="20% - Accent4 5 3 4 4" xfId="7937" xr:uid="{00000000-0005-0000-0000-0000A41E0000}"/>
    <cellStyle name="20% - Accent4 5 3 5" xfId="7938" xr:uid="{00000000-0005-0000-0000-0000A51E0000}"/>
    <cellStyle name="20% - Accent4 5 3 5 2" xfId="7939" xr:uid="{00000000-0005-0000-0000-0000A61E0000}"/>
    <cellStyle name="20% - Accent4 5 3 5 3" xfId="7940" xr:uid="{00000000-0005-0000-0000-0000A71E0000}"/>
    <cellStyle name="20% - Accent4 5 3 6" xfId="7941" xr:uid="{00000000-0005-0000-0000-0000A81E0000}"/>
    <cellStyle name="20% - Accent4 5 3 7" xfId="7942" xr:uid="{00000000-0005-0000-0000-0000A91E0000}"/>
    <cellStyle name="20% - Accent4 5 3 8" xfId="7943" xr:uid="{00000000-0005-0000-0000-0000AA1E0000}"/>
    <cellStyle name="20% - Accent4 5 4" xfId="7944" xr:uid="{00000000-0005-0000-0000-0000AB1E0000}"/>
    <cellStyle name="20% - Accent4 5 4 2" xfId="7945" xr:uid="{00000000-0005-0000-0000-0000AC1E0000}"/>
    <cellStyle name="20% - Accent4 5 4 2 2" xfId="7946" xr:uid="{00000000-0005-0000-0000-0000AD1E0000}"/>
    <cellStyle name="20% - Accent4 5 4 2 2 2" xfId="7947" xr:uid="{00000000-0005-0000-0000-0000AE1E0000}"/>
    <cellStyle name="20% - Accent4 5 4 2 2 2 2" xfId="7948" xr:uid="{00000000-0005-0000-0000-0000AF1E0000}"/>
    <cellStyle name="20% - Accent4 5 4 2 2 2 3" xfId="7949" xr:uid="{00000000-0005-0000-0000-0000B01E0000}"/>
    <cellStyle name="20% - Accent4 5 4 2 2 3" xfId="7950" xr:uid="{00000000-0005-0000-0000-0000B11E0000}"/>
    <cellStyle name="20% - Accent4 5 4 2 2 4" xfId="7951" xr:uid="{00000000-0005-0000-0000-0000B21E0000}"/>
    <cellStyle name="20% - Accent4 5 4 2 3" xfId="7952" xr:uid="{00000000-0005-0000-0000-0000B31E0000}"/>
    <cellStyle name="20% - Accent4 5 4 2 3 2" xfId="7953" xr:uid="{00000000-0005-0000-0000-0000B41E0000}"/>
    <cellStyle name="20% - Accent4 5 4 2 3 3" xfId="7954" xr:uid="{00000000-0005-0000-0000-0000B51E0000}"/>
    <cellStyle name="20% - Accent4 5 4 2 4" xfId="7955" xr:uid="{00000000-0005-0000-0000-0000B61E0000}"/>
    <cellStyle name="20% - Accent4 5 4 2 5" xfId="7956" xr:uid="{00000000-0005-0000-0000-0000B71E0000}"/>
    <cellStyle name="20% - Accent4 5 4 2 6" xfId="7957" xr:uid="{00000000-0005-0000-0000-0000B81E0000}"/>
    <cellStyle name="20% - Accent4 5 4 3" xfId="7958" xr:uid="{00000000-0005-0000-0000-0000B91E0000}"/>
    <cellStyle name="20% - Accent4 5 4 3 2" xfId="7959" xr:uid="{00000000-0005-0000-0000-0000BA1E0000}"/>
    <cellStyle name="20% - Accent4 5 4 3 2 2" xfId="7960" xr:uid="{00000000-0005-0000-0000-0000BB1E0000}"/>
    <cellStyle name="20% - Accent4 5 4 3 2 3" xfId="7961" xr:uid="{00000000-0005-0000-0000-0000BC1E0000}"/>
    <cellStyle name="20% - Accent4 5 4 3 3" xfId="7962" xr:uid="{00000000-0005-0000-0000-0000BD1E0000}"/>
    <cellStyle name="20% - Accent4 5 4 3 4" xfId="7963" xr:uid="{00000000-0005-0000-0000-0000BE1E0000}"/>
    <cellStyle name="20% - Accent4 5 4 4" xfId="7964" xr:uid="{00000000-0005-0000-0000-0000BF1E0000}"/>
    <cellStyle name="20% - Accent4 5 4 4 2" xfId="7965" xr:uid="{00000000-0005-0000-0000-0000C01E0000}"/>
    <cellStyle name="20% - Accent4 5 4 4 3" xfId="7966" xr:uid="{00000000-0005-0000-0000-0000C11E0000}"/>
    <cellStyle name="20% - Accent4 5 4 5" xfId="7967" xr:uid="{00000000-0005-0000-0000-0000C21E0000}"/>
    <cellStyle name="20% - Accent4 5 4 6" xfId="7968" xr:uid="{00000000-0005-0000-0000-0000C31E0000}"/>
    <cellStyle name="20% - Accent4 5 4 7" xfId="7969" xr:uid="{00000000-0005-0000-0000-0000C41E0000}"/>
    <cellStyle name="20% - Accent4 5 5" xfId="7970" xr:uid="{00000000-0005-0000-0000-0000C51E0000}"/>
    <cellStyle name="20% - Accent4 5 5 2" xfId="7971" xr:uid="{00000000-0005-0000-0000-0000C61E0000}"/>
    <cellStyle name="20% - Accent4 5 5 2 2" xfId="7972" xr:uid="{00000000-0005-0000-0000-0000C71E0000}"/>
    <cellStyle name="20% - Accent4 5 5 2 2 2" xfId="7973" xr:uid="{00000000-0005-0000-0000-0000C81E0000}"/>
    <cellStyle name="20% - Accent4 5 5 2 2 3" xfId="7974" xr:uid="{00000000-0005-0000-0000-0000C91E0000}"/>
    <cellStyle name="20% - Accent4 5 5 2 3" xfId="7975" xr:uid="{00000000-0005-0000-0000-0000CA1E0000}"/>
    <cellStyle name="20% - Accent4 5 5 2 4" xfId="7976" xr:uid="{00000000-0005-0000-0000-0000CB1E0000}"/>
    <cellStyle name="20% - Accent4 5 5 3" xfId="7977" xr:uid="{00000000-0005-0000-0000-0000CC1E0000}"/>
    <cellStyle name="20% - Accent4 5 5 3 2" xfId="7978" xr:uid="{00000000-0005-0000-0000-0000CD1E0000}"/>
    <cellStyle name="20% - Accent4 5 5 3 3" xfId="7979" xr:uid="{00000000-0005-0000-0000-0000CE1E0000}"/>
    <cellStyle name="20% - Accent4 5 5 4" xfId="7980" xr:uid="{00000000-0005-0000-0000-0000CF1E0000}"/>
    <cellStyle name="20% - Accent4 5 5 5" xfId="7981" xr:uid="{00000000-0005-0000-0000-0000D01E0000}"/>
    <cellStyle name="20% - Accent4 5 5 6" xfId="7982" xr:uid="{00000000-0005-0000-0000-0000D11E0000}"/>
    <cellStyle name="20% - Accent4 5 6" xfId="7983" xr:uid="{00000000-0005-0000-0000-0000D21E0000}"/>
    <cellStyle name="20% - Accent4 5 6 2" xfId="7984" xr:uid="{00000000-0005-0000-0000-0000D31E0000}"/>
    <cellStyle name="20% - Accent4 5 6 2 2" xfId="7985" xr:uid="{00000000-0005-0000-0000-0000D41E0000}"/>
    <cellStyle name="20% - Accent4 5 6 2 3" xfId="7986" xr:uid="{00000000-0005-0000-0000-0000D51E0000}"/>
    <cellStyle name="20% - Accent4 5 6 3" xfId="7987" xr:uid="{00000000-0005-0000-0000-0000D61E0000}"/>
    <cellStyle name="20% - Accent4 5 6 4" xfId="7988" xr:uid="{00000000-0005-0000-0000-0000D71E0000}"/>
    <cellStyle name="20% - Accent4 5 7" xfId="7989" xr:uid="{00000000-0005-0000-0000-0000D81E0000}"/>
    <cellStyle name="20% - Accent4 5 7 2" xfId="7990" xr:uid="{00000000-0005-0000-0000-0000D91E0000}"/>
    <cellStyle name="20% - Accent4 5 7 3" xfId="7991" xr:uid="{00000000-0005-0000-0000-0000DA1E0000}"/>
    <cellStyle name="20% - Accent4 5 8" xfId="7992" xr:uid="{00000000-0005-0000-0000-0000DB1E0000}"/>
    <cellStyle name="20% - Accent4 5 9" xfId="7993" xr:uid="{00000000-0005-0000-0000-0000DC1E0000}"/>
    <cellStyle name="20% - Accent4 6" xfId="7994" xr:uid="{00000000-0005-0000-0000-0000DD1E0000}"/>
    <cellStyle name="20% - Accent4 6 2" xfId="7995" xr:uid="{00000000-0005-0000-0000-0000DE1E0000}"/>
    <cellStyle name="20% - Accent4 6 2 2" xfId="7996" xr:uid="{00000000-0005-0000-0000-0000DF1E0000}"/>
    <cellStyle name="20% - Accent4 6 2 2 2" xfId="7997" xr:uid="{00000000-0005-0000-0000-0000E01E0000}"/>
    <cellStyle name="20% - Accent4 6 2 2 2 2" xfId="7998" xr:uid="{00000000-0005-0000-0000-0000E11E0000}"/>
    <cellStyle name="20% - Accent4 6 2 2 2 2 2" xfId="7999" xr:uid="{00000000-0005-0000-0000-0000E21E0000}"/>
    <cellStyle name="20% - Accent4 6 2 2 2 2 2 2" xfId="8000" xr:uid="{00000000-0005-0000-0000-0000E31E0000}"/>
    <cellStyle name="20% - Accent4 6 2 2 2 2 2 3" xfId="8001" xr:uid="{00000000-0005-0000-0000-0000E41E0000}"/>
    <cellStyle name="20% - Accent4 6 2 2 2 2 3" xfId="8002" xr:uid="{00000000-0005-0000-0000-0000E51E0000}"/>
    <cellStyle name="20% - Accent4 6 2 2 2 2 4" xfId="8003" xr:uid="{00000000-0005-0000-0000-0000E61E0000}"/>
    <cellStyle name="20% - Accent4 6 2 2 2 3" xfId="8004" xr:uid="{00000000-0005-0000-0000-0000E71E0000}"/>
    <cellStyle name="20% - Accent4 6 2 2 2 3 2" xfId="8005" xr:uid="{00000000-0005-0000-0000-0000E81E0000}"/>
    <cellStyle name="20% - Accent4 6 2 2 2 3 3" xfId="8006" xr:uid="{00000000-0005-0000-0000-0000E91E0000}"/>
    <cellStyle name="20% - Accent4 6 2 2 2 4" xfId="8007" xr:uid="{00000000-0005-0000-0000-0000EA1E0000}"/>
    <cellStyle name="20% - Accent4 6 2 2 2 5" xfId="8008" xr:uid="{00000000-0005-0000-0000-0000EB1E0000}"/>
    <cellStyle name="20% - Accent4 6 2 2 2 6" xfId="8009" xr:uid="{00000000-0005-0000-0000-0000EC1E0000}"/>
    <cellStyle name="20% - Accent4 6 2 2 3" xfId="8010" xr:uid="{00000000-0005-0000-0000-0000ED1E0000}"/>
    <cellStyle name="20% - Accent4 6 2 2 3 2" xfId="8011" xr:uid="{00000000-0005-0000-0000-0000EE1E0000}"/>
    <cellStyle name="20% - Accent4 6 2 2 3 2 2" xfId="8012" xr:uid="{00000000-0005-0000-0000-0000EF1E0000}"/>
    <cellStyle name="20% - Accent4 6 2 2 3 2 3" xfId="8013" xr:uid="{00000000-0005-0000-0000-0000F01E0000}"/>
    <cellStyle name="20% - Accent4 6 2 2 3 3" xfId="8014" xr:uid="{00000000-0005-0000-0000-0000F11E0000}"/>
    <cellStyle name="20% - Accent4 6 2 2 3 4" xfId="8015" xr:uid="{00000000-0005-0000-0000-0000F21E0000}"/>
    <cellStyle name="20% - Accent4 6 2 2 4" xfId="8016" xr:uid="{00000000-0005-0000-0000-0000F31E0000}"/>
    <cellStyle name="20% - Accent4 6 2 2 4 2" xfId="8017" xr:uid="{00000000-0005-0000-0000-0000F41E0000}"/>
    <cellStyle name="20% - Accent4 6 2 2 4 3" xfId="8018" xr:uid="{00000000-0005-0000-0000-0000F51E0000}"/>
    <cellStyle name="20% - Accent4 6 2 2 5" xfId="8019" xr:uid="{00000000-0005-0000-0000-0000F61E0000}"/>
    <cellStyle name="20% - Accent4 6 2 2 6" xfId="8020" xr:uid="{00000000-0005-0000-0000-0000F71E0000}"/>
    <cellStyle name="20% - Accent4 6 2 2 7" xfId="8021" xr:uid="{00000000-0005-0000-0000-0000F81E0000}"/>
    <cellStyle name="20% - Accent4 6 2 3" xfId="8022" xr:uid="{00000000-0005-0000-0000-0000F91E0000}"/>
    <cellStyle name="20% - Accent4 6 2 3 2" xfId="8023" xr:uid="{00000000-0005-0000-0000-0000FA1E0000}"/>
    <cellStyle name="20% - Accent4 6 2 3 2 2" xfId="8024" xr:uid="{00000000-0005-0000-0000-0000FB1E0000}"/>
    <cellStyle name="20% - Accent4 6 2 3 2 2 2" xfId="8025" xr:uid="{00000000-0005-0000-0000-0000FC1E0000}"/>
    <cellStyle name="20% - Accent4 6 2 3 2 2 3" xfId="8026" xr:uid="{00000000-0005-0000-0000-0000FD1E0000}"/>
    <cellStyle name="20% - Accent4 6 2 3 2 3" xfId="8027" xr:uid="{00000000-0005-0000-0000-0000FE1E0000}"/>
    <cellStyle name="20% - Accent4 6 2 3 2 4" xfId="8028" xr:uid="{00000000-0005-0000-0000-0000FF1E0000}"/>
    <cellStyle name="20% - Accent4 6 2 3 3" xfId="8029" xr:uid="{00000000-0005-0000-0000-0000001F0000}"/>
    <cellStyle name="20% - Accent4 6 2 3 3 2" xfId="8030" xr:uid="{00000000-0005-0000-0000-0000011F0000}"/>
    <cellStyle name="20% - Accent4 6 2 3 3 3" xfId="8031" xr:uid="{00000000-0005-0000-0000-0000021F0000}"/>
    <cellStyle name="20% - Accent4 6 2 3 4" xfId="8032" xr:uid="{00000000-0005-0000-0000-0000031F0000}"/>
    <cellStyle name="20% - Accent4 6 2 3 5" xfId="8033" xr:uid="{00000000-0005-0000-0000-0000041F0000}"/>
    <cellStyle name="20% - Accent4 6 2 3 6" xfId="8034" xr:uid="{00000000-0005-0000-0000-0000051F0000}"/>
    <cellStyle name="20% - Accent4 6 2 4" xfId="8035" xr:uid="{00000000-0005-0000-0000-0000061F0000}"/>
    <cellStyle name="20% - Accent4 6 2 4 2" xfId="8036" xr:uid="{00000000-0005-0000-0000-0000071F0000}"/>
    <cellStyle name="20% - Accent4 6 2 4 2 2" xfId="8037" xr:uid="{00000000-0005-0000-0000-0000081F0000}"/>
    <cellStyle name="20% - Accent4 6 2 4 2 3" xfId="8038" xr:uid="{00000000-0005-0000-0000-0000091F0000}"/>
    <cellStyle name="20% - Accent4 6 2 4 3" xfId="8039" xr:uid="{00000000-0005-0000-0000-00000A1F0000}"/>
    <cellStyle name="20% - Accent4 6 2 4 4" xfId="8040" xr:uid="{00000000-0005-0000-0000-00000B1F0000}"/>
    <cellStyle name="20% - Accent4 6 2 5" xfId="8041" xr:uid="{00000000-0005-0000-0000-00000C1F0000}"/>
    <cellStyle name="20% - Accent4 6 2 5 2" xfId="8042" xr:uid="{00000000-0005-0000-0000-00000D1F0000}"/>
    <cellStyle name="20% - Accent4 6 2 5 3" xfId="8043" xr:uid="{00000000-0005-0000-0000-00000E1F0000}"/>
    <cellStyle name="20% - Accent4 6 2 6" xfId="8044" xr:uid="{00000000-0005-0000-0000-00000F1F0000}"/>
    <cellStyle name="20% - Accent4 6 2 7" xfId="8045" xr:uid="{00000000-0005-0000-0000-0000101F0000}"/>
    <cellStyle name="20% - Accent4 6 2 8" xfId="8046" xr:uid="{00000000-0005-0000-0000-0000111F0000}"/>
    <cellStyle name="20% - Accent4 6 3" xfId="8047" xr:uid="{00000000-0005-0000-0000-0000121F0000}"/>
    <cellStyle name="20% - Accent4 6 3 2" xfId="8048" xr:uid="{00000000-0005-0000-0000-0000131F0000}"/>
    <cellStyle name="20% - Accent4 6 3 2 2" xfId="8049" xr:uid="{00000000-0005-0000-0000-0000141F0000}"/>
    <cellStyle name="20% - Accent4 6 3 2 2 2" xfId="8050" xr:uid="{00000000-0005-0000-0000-0000151F0000}"/>
    <cellStyle name="20% - Accent4 6 3 2 2 2 2" xfId="8051" xr:uid="{00000000-0005-0000-0000-0000161F0000}"/>
    <cellStyle name="20% - Accent4 6 3 2 2 2 3" xfId="8052" xr:uid="{00000000-0005-0000-0000-0000171F0000}"/>
    <cellStyle name="20% - Accent4 6 3 2 2 3" xfId="8053" xr:uid="{00000000-0005-0000-0000-0000181F0000}"/>
    <cellStyle name="20% - Accent4 6 3 2 2 4" xfId="8054" xr:uid="{00000000-0005-0000-0000-0000191F0000}"/>
    <cellStyle name="20% - Accent4 6 3 2 3" xfId="8055" xr:uid="{00000000-0005-0000-0000-00001A1F0000}"/>
    <cellStyle name="20% - Accent4 6 3 2 3 2" xfId="8056" xr:uid="{00000000-0005-0000-0000-00001B1F0000}"/>
    <cellStyle name="20% - Accent4 6 3 2 3 3" xfId="8057" xr:uid="{00000000-0005-0000-0000-00001C1F0000}"/>
    <cellStyle name="20% - Accent4 6 3 2 4" xfId="8058" xr:uid="{00000000-0005-0000-0000-00001D1F0000}"/>
    <cellStyle name="20% - Accent4 6 3 2 5" xfId="8059" xr:uid="{00000000-0005-0000-0000-00001E1F0000}"/>
    <cellStyle name="20% - Accent4 6 3 2 6" xfId="8060" xr:uid="{00000000-0005-0000-0000-00001F1F0000}"/>
    <cellStyle name="20% - Accent4 6 3 3" xfId="8061" xr:uid="{00000000-0005-0000-0000-0000201F0000}"/>
    <cellStyle name="20% - Accent4 6 3 3 2" xfId="8062" xr:uid="{00000000-0005-0000-0000-0000211F0000}"/>
    <cellStyle name="20% - Accent4 6 3 3 2 2" xfId="8063" xr:uid="{00000000-0005-0000-0000-0000221F0000}"/>
    <cellStyle name="20% - Accent4 6 3 3 2 3" xfId="8064" xr:uid="{00000000-0005-0000-0000-0000231F0000}"/>
    <cellStyle name="20% - Accent4 6 3 3 3" xfId="8065" xr:uid="{00000000-0005-0000-0000-0000241F0000}"/>
    <cellStyle name="20% - Accent4 6 3 3 4" xfId="8066" xr:uid="{00000000-0005-0000-0000-0000251F0000}"/>
    <cellStyle name="20% - Accent4 6 3 4" xfId="8067" xr:uid="{00000000-0005-0000-0000-0000261F0000}"/>
    <cellStyle name="20% - Accent4 6 3 4 2" xfId="8068" xr:uid="{00000000-0005-0000-0000-0000271F0000}"/>
    <cellStyle name="20% - Accent4 6 3 4 3" xfId="8069" xr:uid="{00000000-0005-0000-0000-0000281F0000}"/>
    <cellStyle name="20% - Accent4 6 3 5" xfId="8070" xr:uid="{00000000-0005-0000-0000-0000291F0000}"/>
    <cellStyle name="20% - Accent4 6 3 6" xfId="8071" xr:uid="{00000000-0005-0000-0000-00002A1F0000}"/>
    <cellStyle name="20% - Accent4 6 3 7" xfId="8072" xr:uid="{00000000-0005-0000-0000-00002B1F0000}"/>
    <cellStyle name="20% - Accent4 6 4" xfId="8073" xr:uid="{00000000-0005-0000-0000-00002C1F0000}"/>
    <cellStyle name="20% - Accent4 6 4 2" xfId="8074" xr:uid="{00000000-0005-0000-0000-00002D1F0000}"/>
    <cellStyle name="20% - Accent4 6 4 2 2" xfId="8075" xr:uid="{00000000-0005-0000-0000-00002E1F0000}"/>
    <cellStyle name="20% - Accent4 6 4 2 2 2" xfId="8076" xr:uid="{00000000-0005-0000-0000-00002F1F0000}"/>
    <cellStyle name="20% - Accent4 6 4 2 2 3" xfId="8077" xr:uid="{00000000-0005-0000-0000-0000301F0000}"/>
    <cellStyle name="20% - Accent4 6 4 2 3" xfId="8078" xr:uid="{00000000-0005-0000-0000-0000311F0000}"/>
    <cellStyle name="20% - Accent4 6 4 2 4" xfId="8079" xr:uid="{00000000-0005-0000-0000-0000321F0000}"/>
    <cellStyle name="20% - Accent4 6 4 3" xfId="8080" xr:uid="{00000000-0005-0000-0000-0000331F0000}"/>
    <cellStyle name="20% - Accent4 6 4 3 2" xfId="8081" xr:uid="{00000000-0005-0000-0000-0000341F0000}"/>
    <cellStyle name="20% - Accent4 6 4 3 3" xfId="8082" xr:uid="{00000000-0005-0000-0000-0000351F0000}"/>
    <cellStyle name="20% - Accent4 6 4 4" xfId="8083" xr:uid="{00000000-0005-0000-0000-0000361F0000}"/>
    <cellStyle name="20% - Accent4 6 4 5" xfId="8084" xr:uid="{00000000-0005-0000-0000-0000371F0000}"/>
    <cellStyle name="20% - Accent4 6 4 6" xfId="8085" xr:uid="{00000000-0005-0000-0000-0000381F0000}"/>
    <cellStyle name="20% - Accent4 6 5" xfId="8086" xr:uid="{00000000-0005-0000-0000-0000391F0000}"/>
    <cellStyle name="20% - Accent4 6 5 2" xfId="8087" xr:uid="{00000000-0005-0000-0000-00003A1F0000}"/>
    <cellStyle name="20% - Accent4 6 5 2 2" xfId="8088" xr:uid="{00000000-0005-0000-0000-00003B1F0000}"/>
    <cellStyle name="20% - Accent4 6 5 2 3" xfId="8089" xr:uid="{00000000-0005-0000-0000-00003C1F0000}"/>
    <cellStyle name="20% - Accent4 6 5 3" xfId="8090" xr:uid="{00000000-0005-0000-0000-00003D1F0000}"/>
    <cellStyle name="20% - Accent4 6 5 4" xfId="8091" xr:uid="{00000000-0005-0000-0000-00003E1F0000}"/>
    <cellStyle name="20% - Accent4 6 6" xfId="8092" xr:uid="{00000000-0005-0000-0000-00003F1F0000}"/>
    <cellStyle name="20% - Accent4 6 6 2" xfId="8093" xr:uid="{00000000-0005-0000-0000-0000401F0000}"/>
    <cellStyle name="20% - Accent4 6 6 3" xfId="8094" xr:uid="{00000000-0005-0000-0000-0000411F0000}"/>
    <cellStyle name="20% - Accent4 6 7" xfId="8095" xr:uid="{00000000-0005-0000-0000-0000421F0000}"/>
    <cellStyle name="20% - Accent4 6 8" xfId="8096" xr:uid="{00000000-0005-0000-0000-0000431F0000}"/>
    <cellStyle name="20% - Accent4 6 9" xfId="8097" xr:uid="{00000000-0005-0000-0000-0000441F0000}"/>
    <cellStyle name="20% - Accent4 7" xfId="8098" xr:uid="{00000000-0005-0000-0000-0000451F0000}"/>
    <cellStyle name="20% - Accent4 7 2" xfId="8099" xr:uid="{00000000-0005-0000-0000-0000461F0000}"/>
    <cellStyle name="20% - Accent4 7 2 2" xfId="8100" xr:uid="{00000000-0005-0000-0000-0000471F0000}"/>
    <cellStyle name="20% - Accent4 7 2 2 2" xfId="8101" xr:uid="{00000000-0005-0000-0000-0000481F0000}"/>
    <cellStyle name="20% - Accent4 7 2 2 2 2" xfId="8102" xr:uid="{00000000-0005-0000-0000-0000491F0000}"/>
    <cellStyle name="20% - Accent4 7 2 2 2 2 2" xfId="8103" xr:uid="{00000000-0005-0000-0000-00004A1F0000}"/>
    <cellStyle name="20% - Accent4 7 2 2 2 2 2 2" xfId="8104" xr:uid="{00000000-0005-0000-0000-00004B1F0000}"/>
    <cellStyle name="20% - Accent4 7 2 2 2 2 2 3" xfId="8105" xr:uid="{00000000-0005-0000-0000-00004C1F0000}"/>
    <cellStyle name="20% - Accent4 7 2 2 2 2 3" xfId="8106" xr:uid="{00000000-0005-0000-0000-00004D1F0000}"/>
    <cellStyle name="20% - Accent4 7 2 2 2 2 4" xfId="8107" xr:uid="{00000000-0005-0000-0000-00004E1F0000}"/>
    <cellStyle name="20% - Accent4 7 2 2 2 3" xfId="8108" xr:uid="{00000000-0005-0000-0000-00004F1F0000}"/>
    <cellStyle name="20% - Accent4 7 2 2 2 3 2" xfId="8109" xr:uid="{00000000-0005-0000-0000-0000501F0000}"/>
    <cellStyle name="20% - Accent4 7 2 2 2 3 3" xfId="8110" xr:uid="{00000000-0005-0000-0000-0000511F0000}"/>
    <cellStyle name="20% - Accent4 7 2 2 2 4" xfId="8111" xr:uid="{00000000-0005-0000-0000-0000521F0000}"/>
    <cellStyle name="20% - Accent4 7 2 2 2 5" xfId="8112" xr:uid="{00000000-0005-0000-0000-0000531F0000}"/>
    <cellStyle name="20% - Accent4 7 2 2 2 6" xfId="8113" xr:uid="{00000000-0005-0000-0000-0000541F0000}"/>
    <cellStyle name="20% - Accent4 7 2 2 3" xfId="8114" xr:uid="{00000000-0005-0000-0000-0000551F0000}"/>
    <cellStyle name="20% - Accent4 7 2 2 3 2" xfId="8115" xr:uid="{00000000-0005-0000-0000-0000561F0000}"/>
    <cellStyle name="20% - Accent4 7 2 2 3 2 2" xfId="8116" xr:uid="{00000000-0005-0000-0000-0000571F0000}"/>
    <cellStyle name="20% - Accent4 7 2 2 3 2 3" xfId="8117" xr:uid="{00000000-0005-0000-0000-0000581F0000}"/>
    <cellStyle name="20% - Accent4 7 2 2 3 3" xfId="8118" xr:uid="{00000000-0005-0000-0000-0000591F0000}"/>
    <cellStyle name="20% - Accent4 7 2 2 3 4" xfId="8119" xr:uid="{00000000-0005-0000-0000-00005A1F0000}"/>
    <cellStyle name="20% - Accent4 7 2 2 4" xfId="8120" xr:uid="{00000000-0005-0000-0000-00005B1F0000}"/>
    <cellStyle name="20% - Accent4 7 2 2 4 2" xfId="8121" xr:uid="{00000000-0005-0000-0000-00005C1F0000}"/>
    <cellStyle name="20% - Accent4 7 2 2 4 3" xfId="8122" xr:uid="{00000000-0005-0000-0000-00005D1F0000}"/>
    <cellStyle name="20% - Accent4 7 2 2 5" xfId="8123" xr:uid="{00000000-0005-0000-0000-00005E1F0000}"/>
    <cellStyle name="20% - Accent4 7 2 2 6" xfId="8124" xr:uid="{00000000-0005-0000-0000-00005F1F0000}"/>
    <cellStyle name="20% - Accent4 7 2 2 7" xfId="8125" xr:uid="{00000000-0005-0000-0000-0000601F0000}"/>
    <cellStyle name="20% - Accent4 7 2 3" xfId="8126" xr:uid="{00000000-0005-0000-0000-0000611F0000}"/>
    <cellStyle name="20% - Accent4 7 2 3 2" xfId="8127" xr:uid="{00000000-0005-0000-0000-0000621F0000}"/>
    <cellStyle name="20% - Accent4 7 2 3 2 2" xfId="8128" xr:uid="{00000000-0005-0000-0000-0000631F0000}"/>
    <cellStyle name="20% - Accent4 7 2 3 2 2 2" xfId="8129" xr:uid="{00000000-0005-0000-0000-0000641F0000}"/>
    <cellStyle name="20% - Accent4 7 2 3 2 2 3" xfId="8130" xr:uid="{00000000-0005-0000-0000-0000651F0000}"/>
    <cellStyle name="20% - Accent4 7 2 3 2 3" xfId="8131" xr:uid="{00000000-0005-0000-0000-0000661F0000}"/>
    <cellStyle name="20% - Accent4 7 2 3 2 4" xfId="8132" xr:uid="{00000000-0005-0000-0000-0000671F0000}"/>
    <cellStyle name="20% - Accent4 7 2 3 3" xfId="8133" xr:uid="{00000000-0005-0000-0000-0000681F0000}"/>
    <cellStyle name="20% - Accent4 7 2 3 3 2" xfId="8134" xr:uid="{00000000-0005-0000-0000-0000691F0000}"/>
    <cellStyle name="20% - Accent4 7 2 3 3 3" xfId="8135" xr:uid="{00000000-0005-0000-0000-00006A1F0000}"/>
    <cellStyle name="20% - Accent4 7 2 3 4" xfId="8136" xr:uid="{00000000-0005-0000-0000-00006B1F0000}"/>
    <cellStyle name="20% - Accent4 7 2 3 5" xfId="8137" xr:uid="{00000000-0005-0000-0000-00006C1F0000}"/>
    <cellStyle name="20% - Accent4 7 2 3 6" xfId="8138" xr:uid="{00000000-0005-0000-0000-00006D1F0000}"/>
    <cellStyle name="20% - Accent4 7 2 4" xfId="8139" xr:uid="{00000000-0005-0000-0000-00006E1F0000}"/>
    <cellStyle name="20% - Accent4 7 2 4 2" xfId="8140" xr:uid="{00000000-0005-0000-0000-00006F1F0000}"/>
    <cellStyle name="20% - Accent4 7 2 4 2 2" xfId="8141" xr:uid="{00000000-0005-0000-0000-0000701F0000}"/>
    <cellStyle name="20% - Accent4 7 2 4 2 3" xfId="8142" xr:uid="{00000000-0005-0000-0000-0000711F0000}"/>
    <cellStyle name="20% - Accent4 7 2 4 3" xfId="8143" xr:uid="{00000000-0005-0000-0000-0000721F0000}"/>
    <cellStyle name="20% - Accent4 7 2 4 4" xfId="8144" xr:uid="{00000000-0005-0000-0000-0000731F0000}"/>
    <cellStyle name="20% - Accent4 7 2 5" xfId="8145" xr:uid="{00000000-0005-0000-0000-0000741F0000}"/>
    <cellStyle name="20% - Accent4 7 2 5 2" xfId="8146" xr:uid="{00000000-0005-0000-0000-0000751F0000}"/>
    <cellStyle name="20% - Accent4 7 2 5 3" xfId="8147" xr:uid="{00000000-0005-0000-0000-0000761F0000}"/>
    <cellStyle name="20% - Accent4 7 2 6" xfId="8148" xr:uid="{00000000-0005-0000-0000-0000771F0000}"/>
    <cellStyle name="20% - Accent4 7 2 7" xfId="8149" xr:uid="{00000000-0005-0000-0000-0000781F0000}"/>
    <cellStyle name="20% - Accent4 7 2 8" xfId="8150" xr:uid="{00000000-0005-0000-0000-0000791F0000}"/>
    <cellStyle name="20% - Accent4 7 3" xfId="8151" xr:uid="{00000000-0005-0000-0000-00007A1F0000}"/>
    <cellStyle name="20% - Accent4 7 3 2" xfId="8152" xr:uid="{00000000-0005-0000-0000-00007B1F0000}"/>
    <cellStyle name="20% - Accent4 7 3 2 2" xfId="8153" xr:uid="{00000000-0005-0000-0000-00007C1F0000}"/>
    <cellStyle name="20% - Accent4 7 3 2 2 2" xfId="8154" xr:uid="{00000000-0005-0000-0000-00007D1F0000}"/>
    <cellStyle name="20% - Accent4 7 3 2 2 2 2" xfId="8155" xr:uid="{00000000-0005-0000-0000-00007E1F0000}"/>
    <cellStyle name="20% - Accent4 7 3 2 2 2 3" xfId="8156" xr:uid="{00000000-0005-0000-0000-00007F1F0000}"/>
    <cellStyle name="20% - Accent4 7 3 2 2 3" xfId="8157" xr:uid="{00000000-0005-0000-0000-0000801F0000}"/>
    <cellStyle name="20% - Accent4 7 3 2 2 4" xfId="8158" xr:uid="{00000000-0005-0000-0000-0000811F0000}"/>
    <cellStyle name="20% - Accent4 7 3 2 3" xfId="8159" xr:uid="{00000000-0005-0000-0000-0000821F0000}"/>
    <cellStyle name="20% - Accent4 7 3 2 3 2" xfId="8160" xr:uid="{00000000-0005-0000-0000-0000831F0000}"/>
    <cellStyle name="20% - Accent4 7 3 2 3 3" xfId="8161" xr:uid="{00000000-0005-0000-0000-0000841F0000}"/>
    <cellStyle name="20% - Accent4 7 3 2 4" xfId="8162" xr:uid="{00000000-0005-0000-0000-0000851F0000}"/>
    <cellStyle name="20% - Accent4 7 3 2 5" xfId="8163" xr:uid="{00000000-0005-0000-0000-0000861F0000}"/>
    <cellStyle name="20% - Accent4 7 3 2 6" xfId="8164" xr:uid="{00000000-0005-0000-0000-0000871F0000}"/>
    <cellStyle name="20% - Accent4 7 3 3" xfId="8165" xr:uid="{00000000-0005-0000-0000-0000881F0000}"/>
    <cellStyle name="20% - Accent4 7 3 3 2" xfId="8166" xr:uid="{00000000-0005-0000-0000-0000891F0000}"/>
    <cellStyle name="20% - Accent4 7 3 3 2 2" xfId="8167" xr:uid="{00000000-0005-0000-0000-00008A1F0000}"/>
    <cellStyle name="20% - Accent4 7 3 3 2 3" xfId="8168" xr:uid="{00000000-0005-0000-0000-00008B1F0000}"/>
    <cellStyle name="20% - Accent4 7 3 3 3" xfId="8169" xr:uid="{00000000-0005-0000-0000-00008C1F0000}"/>
    <cellStyle name="20% - Accent4 7 3 3 4" xfId="8170" xr:uid="{00000000-0005-0000-0000-00008D1F0000}"/>
    <cellStyle name="20% - Accent4 7 3 4" xfId="8171" xr:uid="{00000000-0005-0000-0000-00008E1F0000}"/>
    <cellStyle name="20% - Accent4 7 3 4 2" xfId="8172" xr:uid="{00000000-0005-0000-0000-00008F1F0000}"/>
    <cellStyle name="20% - Accent4 7 3 4 3" xfId="8173" xr:uid="{00000000-0005-0000-0000-0000901F0000}"/>
    <cellStyle name="20% - Accent4 7 3 5" xfId="8174" xr:uid="{00000000-0005-0000-0000-0000911F0000}"/>
    <cellStyle name="20% - Accent4 7 3 6" xfId="8175" xr:uid="{00000000-0005-0000-0000-0000921F0000}"/>
    <cellStyle name="20% - Accent4 7 3 7" xfId="8176" xr:uid="{00000000-0005-0000-0000-0000931F0000}"/>
    <cellStyle name="20% - Accent4 7 4" xfId="8177" xr:uid="{00000000-0005-0000-0000-0000941F0000}"/>
    <cellStyle name="20% - Accent4 7 4 2" xfId="8178" xr:uid="{00000000-0005-0000-0000-0000951F0000}"/>
    <cellStyle name="20% - Accent4 7 4 2 2" xfId="8179" xr:uid="{00000000-0005-0000-0000-0000961F0000}"/>
    <cellStyle name="20% - Accent4 7 4 2 2 2" xfId="8180" xr:uid="{00000000-0005-0000-0000-0000971F0000}"/>
    <cellStyle name="20% - Accent4 7 4 2 2 3" xfId="8181" xr:uid="{00000000-0005-0000-0000-0000981F0000}"/>
    <cellStyle name="20% - Accent4 7 4 2 3" xfId="8182" xr:uid="{00000000-0005-0000-0000-0000991F0000}"/>
    <cellStyle name="20% - Accent4 7 4 2 4" xfId="8183" xr:uid="{00000000-0005-0000-0000-00009A1F0000}"/>
    <cellStyle name="20% - Accent4 7 4 3" xfId="8184" xr:uid="{00000000-0005-0000-0000-00009B1F0000}"/>
    <cellStyle name="20% - Accent4 7 4 3 2" xfId="8185" xr:uid="{00000000-0005-0000-0000-00009C1F0000}"/>
    <cellStyle name="20% - Accent4 7 4 3 3" xfId="8186" xr:uid="{00000000-0005-0000-0000-00009D1F0000}"/>
    <cellStyle name="20% - Accent4 7 4 4" xfId="8187" xr:uid="{00000000-0005-0000-0000-00009E1F0000}"/>
    <cellStyle name="20% - Accent4 7 4 5" xfId="8188" xr:uid="{00000000-0005-0000-0000-00009F1F0000}"/>
    <cellStyle name="20% - Accent4 7 4 6" xfId="8189" xr:uid="{00000000-0005-0000-0000-0000A01F0000}"/>
    <cellStyle name="20% - Accent4 7 5" xfId="8190" xr:uid="{00000000-0005-0000-0000-0000A11F0000}"/>
    <cellStyle name="20% - Accent4 7 5 2" xfId="8191" xr:uid="{00000000-0005-0000-0000-0000A21F0000}"/>
    <cellStyle name="20% - Accent4 7 5 2 2" xfId="8192" xr:uid="{00000000-0005-0000-0000-0000A31F0000}"/>
    <cellStyle name="20% - Accent4 7 5 2 3" xfId="8193" xr:uid="{00000000-0005-0000-0000-0000A41F0000}"/>
    <cellStyle name="20% - Accent4 7 5 3" xfId="8194" xr:uid="{00000000-0005-0000-0000-0000A51F0000}"/>
    <cellStyle name="20% - Accent4 7 5 4" xfId="8195" xr:uid="{00000000-0005-0000-0000-0000A61F0000}"/>
    <cellStyle name="20% - Accent4 7 6" xfId="8196" xr:uid="{00000000-0005-0000-0000-0000A71F0000}"/>
    <cellStyle name="20% - Accent4 7 6 2" xfId="8197" xr:uid="{00000000-0005-0000-0000-0000A81F0000}"/>
    <cellStyle name="20% - Accent4 7 6 3" xfId="8198" xr:uid="{00000000-0005-0000-0000-0000A91F0000}"/>
    <cellStyle name="20% - Accent4 7 7" xfId="8199" xr:uid="{00000000-0005-0000-0000-0000AA1F0000}"/>
    <cellStyle name="20% - Accent4 7 8" xfId="8200" xr:uid="{00000000-0005-0000-0000-0000AB1F0000}"/>
    <cellStyle name="20% - Accent4 7 9" xfId="8201" xr:uid="{00000000-0005-0000-0000-0000AC1F0000}"/>
    <cellStyle name="20% - Accent4 8" xfId="8202" xr:uid="{00000000-0005-0000-0000-0000AD1F0000}"/>
    <cellStyle name="20% - Accent4 8 2" xfId="8203" xr:uid="{00000000-0005-0000-0000-0000AE1F0000}"/>
    <cellStyle name="20% - Accent4 8 2 2" xfId="8204" xr:uid="{00000000-0005-0000-0000-0000AF1F0000}"/>
    <cellStyle name="20% - Accent4 8 2 2 2" xfId="8205" xr:uid="{00000000-0005-0000-0000-0000B01F0000}"/>
    <cellStyle name="20% - Accent4 8 2 2 2 2" xfId="8206" xr:uid="{00000000-0005-0000-0000-0000B11F0000}"/>
    <cellStyle name="20% - Accent4 8 2 2 2 2 2" xfId="8207" xr:uid="{00000000-0005-0000-0000-0000B21F0000}"/>
    <cellStyle name="20% - Accent4 8 2 2 2 2 3" xfId="8208" xr:uid="{00000000-0005-0000-0000-0000B31F0000}"/>
    <cellStyle name="20% - Accent4 8 2 2 2 3" xfId="8209" xr:uid="{00000000-0005-0000-0000-0000B41F0000}"/>
    <cellStyle name="20% - Accent4 8 2 2 2 4" xfId="8210" xr:uid="{00000000-0005-0000-0000-0000B51F0000}"/>
    <cellStyle name="20% - Accent4 8 2 2 3" xfId="8211" xr:uid="{00000000-0005-0000-0000-0000B61F0000}"/>
    <cellStyle name="20% - Accent4 8 2 2 3 2" xfId="8212" xr:uid="{00000000-0005-0000-0000-0000B71F0000}"/>
    <cellStyle name="20% - Accent4 8 2 2 3 3" xfId="8213" xr:uid="{00000000-0005-0000-0000-0000B81F0000}"/>
    <cellStyle name="20% - Accent4 8 2 2 4" xfId="8214" xr:uid="{00000000-0005-0000-0000-0000B91F0000}"/>
    <cellStyle name="20% - Accent4 8 2 2 5" xfId="8215" xr:uid="{00000000-0005-0000-0000-0000BA1F0000}"/>
    <cellStyle name="20% - Accent4 8 2 2 6" xfId="8216" xr:uid="{00000000-0005-0000-0000-0000BB1F0000}"/>
    <cellStyle name="20% - Accent4 8 2 3" xfId="8217" xr:uid="{00000000-0005-0000-0000-0000BC1F0000}"/>
    <cellStyle name="20% - Accent4 8 2 3 2" xfId="8218" xr:uid="{00000000-0005-0000-0000-0000BD1F0000}"/>
    <cellStyle name="20% - Accent4 8 2 3 2 2" xfId="8219" xr:uid="{00000000-0005-0000-0000-0000BE1F0000}"/>
    <cellStyle name="20% - Accent4 8 2 3 2 3" xfId="8220" xr:uid="{00000000-0005-0000-0000-0000BF1F0000}"/>
    <cellStyle name="20% - Accent4 8 2 3 3" xfId="8221" xr:uid="{00000000-0005-0000-0000-0000C01F0000}"/>
    <cellStyle name="20% - Accent4 8 2 3 4" xfId="8222" xr:uid="{00000000-0005-0000-0000-0000C11F0000}"/>
    <cellStyle name="20% - Accent4 8 2 4" xfId="8223" xr:uid="{00000000-0005-0000-0000-0000C21F0000}"/>
    <cellStyle name="20% - Accent4 8 2 4 2" xfId="8224" xr:uid="{00000000-0005-0000-0000-0000C31F0000}"/>
    <cellStyle name="20% - Accent4 8 2 4 3" xfId="8225" xr:uid="{00000000-0005-0000-0000-0000C41F0000}"/>
    <cellStyle name="20% - Accent4 8 2 5" xfId="8226" xr:uid="{00000000-0005-0000-0000-0000C51F0000}"/>
    <cellStyle name="20% - Accent4 8 2 6" xfId="8227" xr:uid="{00000000-0005-0000-0000-0000C61F0000}"/>
    <cellStyle name="20% - Accent4 8 2 7" xfId="8228" xr:uid="{00000000-0005-0000-0000-0000C71F0000}"/>
    <cellStyle name="20% - Accent4 8 3" xfId="8229" xr:uid="{00000000-0005-0000-0000-0000C81F0000}"/>
    <cellStyle name="20% - Accent4 8 3 2" xfId="8230" xr:uid="{00000000-0005-0000-0000-0000C91F0000}"/>
    <cellStyle name="20% - Accent4 8 3 2 2" xfId="8231" xr:uid="{00000000-0005-0000-0000-0000CA1F0000}"/>
    <cellStyle name="20% - Accent4 8 3 2 2 2" xfId="8232" xr:uid="{00000000-0005-0000-0000-0000CB1F0000}"/>
    <cellStyle name="20% - Accent4 8 3 2 2 3" xfId="8233" xr:uid="{00000000-0005-0000-0000-0000CC1F0000}"/>
    <cellStyle name="20% - Accent4 8 3 2 3" xfId="8234" xr:uid="{00000000-0005-0000-0000-0000CD1F0000}"/>
    <cellStyle name="20% - Accent4 8 3 2 4" xfId="8235" xr:uid="{00000000-0005-0000-0000-0000CE1F0000}"/>
    <cellStyle name="20% - Accent4 8 3 3" xfId="8236" xr:uid="{00000000-0005-0000-0000-0000CF1F0000}"/>
    <cellStyle name="20% - Accent4 8 3 3 2" xfId="8237" xr:uid="{00000000-0005-0000-0000-0000D01F0000}"/>
    <cellStyle name="20% - Accent4 8 3 3 3" xfId="8238" xr:uid="{00000000-0005-0000-0000-0000D11F0000}"/>
    <cellStyle name="20% - Accent4 8 3 4" xfId="8239" xr:uid="{00000000-0005-0000-0000-0000D21F0000}"/>
    <cellStyle name="20% - Accent4 8 3 5" xfId="8240" xr:uid="{00000000-0005-0000-0000-0000D31F0000}"/>
    <cellStyle name="20% - Accent4 8 3 6" xfId="8241" xr:uid="{00000000-0005-0000-0000-0000D41F0000}"/>
    <cellStyle name="20% - Accent4 8 4" xfId="8242" xr:uid="{00000000-0005-0000-0000-0000D51F0000}"/>
    <cellStyle name="20% - Accent4 8 4 2" xfId="8243" xr:uid="{00000000-0005-0000-0000-0000D61F0000}"/>
    <cellStyle name="20% - Accent4 8 4 2 2" xfId="8244" xr:uid="{00000000-0005-0000-0000-0000D71F0000}"/>
    <cellStyle name="20% - Accent4 8 4 2 3" xfId="8245" xr:uid="{00000000-0005-0000-0000-0000D81F0000}"/>
    <cellStyle name="20% - Accent4 8 4 3" xfId="8246" xr:uid="{00000000-0005-0000-0000-0000D91F0000}"/>
    <cellStyle name="20% - Accent4 8 4 4" xfId="8247" xr:uid="{00000000-0005-0000-0000-0000DA1F0000}"/>
    <cellStyle name="20% - Accent4 8 5" xfId="8248" xr:uid="{00000000-0005-0000-0000-0000DB1F0000}"/>
    <cellStyle name="20% - Accent4 8 5 2" xfId="8249" xr:uid="{00000000-0005-0000-0000-0000DC1F0000}"/>
    <cellStyle name="20% - Accent4 8 5 3" xfId="8250" xr:uid="{00000000-0005-0000-0000-0000DD1F0000}"/>
    <cellStyle name="20% - Accent4 8 6" xfId="8251" xr:uid="{00000000-0005-0000-0000-0000DE1F0000}"/>
    <cellStyle name="20% - Accent4 8 7" xfId="8252" xr:uid="{00000000-0005-0000-0000-0000DF1F0000}"/>
    <cellStyle name="20% - Accent4 8 8" xfId="8253" xr:uid="{00000000-0005-0000-0000-0000E01F0000}"/>
    <cellStyle name="20% - Accent4 9" xfId="8254" xr:uid="{00000000-0005-0000-0000-0000E11F0000}"/>
    <cellStyle name="20% - Accent4 9 2" xfId="8255" xr:uid="{00000000-0005-0000-0000-0000E21F0000}"/>
    <cellStyle name="20% - Accent4 9 2 2" xfId="8256" xr:uid="{00000000-0005-0000-0000-0000E31F0000}"/>
    <cellStyle name="20% - Accent4 9 2 2 2" xfId="8257" xr:uid="{00000000-0005-0000-0000-0000E41F0000}"/>
    <cellStyle name="20% - Accent4 9 2 2 2 2" xfId="8258" xr:uid="{00000000-0005-0000-0000-0000E51F0000}"/>
    <cellStyle name="20% - Accent4 9 2 2 2 2 2" xfId="8259" xr:uid="{00000000-0005-0000-0000-0000E61F0000}"/>
    <cellStyle name="20% - Accent4 9 2 2 2 2 3" xfId="8260" xr:uid="{00000000-0005-0000-0000-0000E71F0000}"/>
    <cellStyle name="20% - Accent4 9 2 2 2 3" xfId="8261" xr:uid="{00000000-0005-0000-0000-0000E81F0000}"/>
    <cellStyle name="20% - Accent4 9 2 2 2 4" xfId="8262" xr:uid="{00000000-0005-0000-0000-0000E91F0000}"/>
    <cellStyle name="20% - Accent4 9 2 2 3" xfId="8263" xr:uid="{00000000-0005-0000-0000-0000EA1F0000}"/>
    <cellStyle name="20% - Accent4 9 2 2 3 2" xfId="8264" xr:uid="{00000000-0005-0000-0000-0000EB1F0000}"/>
    <cellStyle name="20% - Accent4 9 2 2 3 3" xfId="8265" xr:uid="{00000000-0005-0000-0000-0000EC1F0000}"/>
    <cellStyle name="20% - Accent4 9 2 2 4" xfId="8266" xr:uid="{00000000-0005-0000-0000-0000ED1F0000}"/>
    <cellStyle name="20% - Accent4 9 2 2 5" xfId="8267" xr:uid="{00000000-0005-0000-0000-0000EE1F0000}"/>
    <cellStyle name="20% - Accent4 9 2 2 6" xfId="8268" xr:uid="{00000000-0005-0000-0000-0000EF1F0000}"/>
    <cellStyle name="20% - Accent4 9 2 3" xfId="8269" xr:uid="{00000000-0005-0000-0000-0000F01F0000}"/>
    <cellStyle name="20% - Accent4 9 2 3 2" xfId="8270" xr:uid="{00000000-0005-0000-0000-0000F11F0000}"/>
    <cellStyle name="20% - Accent4 9 2 3 2 2" xfId="8271" xr:uid="{00000000-0005-0000-0000-0000F21F0000}"/>
    <cellStyle name="20% - Accent4 9 2 3 2 3" xfId="8272" xr:uid="{00000000-0005-0000-0000-0000F31F0000}"/>
    <cellStyle name="20% - Accent4 9 2 3 3" xfId="8273" xr:uid="{00000000-0005-0000-0000-0000F41F0000}"/>
    <cellStyle name="20% - Accent4 9 2 3 4" xfId="8274" xr:uid="{00000000-0005-0000-0000-0000F51F0000}"/>
    <cellStyle name="20% - Accent4 9 2 4" xfId="8275" xr:uid="{00000000-0005-0000-0000-0000F61F0000}"/>
    <cellStyle name="20% - Accent4 9 2 4 2" xfId="8276" xr:uid="{00000000-0005-0000-0000-0000F71F0000}"/>
    <cellStyle name="20% - Accent4 9 2 4 3" xfId="8277" xr:uid="{00000000-0005-0000-0000-0000F81F0000}"/>
    <cellStyle name="20% - Accent4 9 2 5" xfId="8278" xr:uid="{00000000-0005-0000-0000-0000F91F0000}"/>
    <cellStyle name="20% - Accent4 9 2 6" xfId="8279" xr:uid="{00000000-0005-0000-0000-0000FA1F0000}"/>
    <cellStyle name="20% - Accent4 9 2 7" xfId="8280" xr:uid="{00000000-0005-0000-0000-0000FB1F0000}"/>
    <cellStyle name="20% - Accent4 9 3" xfId="8281" xr:uid="{00000000-0005-0000-0000-0000FC1F0000}"/>
    <cellStyle name="20% - Accent4 9 3 2" xfId="8282" xr:uid="{00000000-0005-0000-0000-0000FD1F0000}"/>
    <cellStyle name="20% - Accent4 9 3 2 2" xfId="8283" xr:uid="{00000000-0005-0000-0000-0000FE1F0000}"/>
    <cellStyle name="20% - Accent4 9 3 2 2 2" xfId="8284" xr:uid="{00000000-0005-0000-0000-0000FF1F0000}"/>
    <cellStyle name="20% - Accent4 9 3 2 2 3" xfId="8285" xr:uid="{00000000-0005-0000-0000-000000200000}"/>
    <cellStyle name="20% - Accent4 9 3 2 3" xfId="8286" xr:uid="{00000000-0005-0000-0000-000001200000}"/>
    <cellStyle name="20% - Accent4 9 3 2 4" xfId="8287" xr:uid="{00000000-0005-0000-0000-000002200000}"/>
    <cellStyle name="20% - Accent4 9 3 3" xfId="8288" xr:uid="{00000000-0005-0000-0000-000003200000}"/>
    <cellStyle name="20% - Accent4 9 3 3 2" xfId="8289" xr:uid="{00000000-0005-0000-0000-000004200000}"/>
    <cellStyle name="20% - Accent4 9 3 3 3" xfId="8290" xr:uid="{00000000-0005-0000-0000-000005200000}"/>
    <cellStyle name="20% - Accent4 9 3 4" xfId="8291" xr:uid="{00000000-0005-0000-0000-000006200000}"/>
    <cellStyle name="20% - Accent4 9 3 5" xfId="8292" xr:uid="{00000000-0005-0000-0000-000007200000}"/>
    <cellStyle name="20% - Accent4 9 3 6" xfId="8293" xr:uid="{00000000-0005-0000-0000-000008200000}"/>
    <cellStyle name="20% - Accent4 9 4" xfId="8294" xr:uid="{00000000-0005-0000-0000-000009200000}"/>
    <cellStyle name="20% - Accent4 9 4 2" xfId="8295" xr:uid="{00000000-0005-0000-0000-00000A200000}"/>
    <cellStyle name="20% - Accent4 9 4 2 2" xfId="8296" xr:uid="{00000000-0005-0000-0000-00000B200000}"/>
    <cellStyle name="20% - Accent4 9 4 2 3" xfId="8297" xr:uid="{00000000-0005-0000-0000-00000C200000}"/>
    <cellStyle name="20% - Accent4 9 4 3" xfId="8298" xr:uid="{00000000-0005-0000-0000-00000D200000}"/>
    <cellStyle name="20% - Accent4 9 4 4" xfId="8299" xr:uid="{00000000-0005-0000-0000-00000E200000}"/>
    <cellStyle name="20% - Accent4 9 5" xfId="8300" xr:uid="{00000000-0005-0000-0000-00000F200000}"/>
    <cellStyle name="20% - Accent4 9 5 2" xfId="8301" xr:uid="{00000000-0005-0000-0000-000010200000}"/>
    <cellStyle name="20% - Accent4 9 5 3" xfId="8302" xr:uid="{00000000-0005-0000-0000-000011200000}"/>
    <cellStyle name="20% - Accent4 9 6" xfId="8303" xr:uid="{00000000-0005-0000-0000-000012200000}"/>
    <cellStyle name="20% - Accent4 9 7" xfId="8304" xr:uid="{00000000-0005-0000-0000-000013200000}"/>
    <cellStyle name="20% - Accent4 9 8" xfId="8305" xr:uid="{00000000-0005-0000-0000-000014200000}"/>
    <cellStyle name="20% - Accent5 10" xfId="8306" xr:uid="{00000000-0005-0000-0000-000015200000}"/>
    <cellStyle name="20% - Accent5 10 2" xfId="8307" xr:uid="{00000000-0005-0000-0000-000016200000}"/>
    <cellStyle name="20% - Accent5 10 2 2" xfId="8308" xr:uid="{00000000-0005-0000-0000-000017200000}"/>
    <cellStyle name="20% - Accent5 10 2 2 2" xfId="8309" xr:uid="{00000000-0005-0000-0000-000018200000}"/>
    <cellStyle name="20% - Accent5 10 2 2 2 2" xfId="8310" xr:uid="{00000000-0005-0000-0000-000019200000}"/>
    <cellStyle name="20% - Accent5 10 2 2 2 2 2" xfId="8311" xr:uid="{00000000-0005-0000-0000-00001A200000}"/>
    <cellStyle name="20% - Accent5 10 2 2 2 2 3" xfId="8312" xr:uid="{00000000-0005-0000-0000-00001B200000}"/>
    <cellStyle name="20% - Accent5 10 2 2 2 3" xfId="8313" xr:uid="{00000000-0005-0000-0000-00001C200000}"/>
    <cellStyle name="20% - Accent5 10 2 2 2 4" xfId="8314" xr:uid="{00000000-0005-0000-0000-00001D200000}"/>
    <cellStyle name="20% - Accent5 10 2 2 3" xfId="8315" xr:uid="{00000000-0005-0000-0000-00001E200000}"/>
    <cellStyle name="20% - Accent5 10 2 2 3 2" xfId="8316" xr:uid="{00000000-0005-0000-0000-00001F200000}"/>
    <cellStyle name="20% - Accent5 10 2 2 3 3" xfId="8317" xr:uid="{00000000-0005-0000-0000-000020200000}"/>
    <cellStyle name="20% - Accent5 10 2 2 4" xfId="8318" xr:uid="{00000000-0005-0000-0000-000021200000}"/>
    <cellStyle name="20% - Accent5 10 2 2 5" xfId="8319" xr:uid="{00000000-0005-0000-0000-000022200000}"/>
    <cellStyle name="20% - Accent5 10 2 2 6" xfId="8320" xr:uid="{00000000-0005-0000-0000-000023200000}"/>
    <cellStyle name="20% - Accent5 10 2 3" xfId="8321" xr:uid="{00000000-0005-0000-0000-000024200000}"/>
    <cellStyle name="20% - Accent5 10 2 3 2" xfId="8322" xr:uid="{00000000-0005-0000-0000-000025200000}"/>
    <cellStyle name="20% - Accent5 10 2 3 2 2" xfId="8323" xr:uid="{00000000-0005-0000-0000-000026200000}"/>
    <cellStyle name="20% - Accent5 10 2 3 2 3" xfId="8324" xr:uid="{00000000-0005-0000-0000-000027200000}"/>
    <cellStyle name="20% - Accent5 10 2 3 3" xfId="8325" xr:uid="{00000000-0005-0000-0000-000028200000}"/>
    <cellStyle name="20% - Accent5 10 2 3 4" xfId="8326" xr:uid="{00000000-0005-0000-0000-000029200000}"/>
    <cellStyle name="20% - Accent5 10 2 4" xfId="8327" xr:uid="{00000000-0005-0000-0000-00002A200000}"/>
    <cellStyle name="20% - Accent5 10 2 4 2" xfId="8328" xr:uid="{00000000-0005-0000-0000-00002B200000}"/>
    <cellStyle name="20% - Accent5 10 2 4 3" xfId="8329" xr:uid="{00000000-0005-0000-0000-00002C200000}"/>
    <cellStyle name="20% - Accent5 10 2 5" xfId="8330" xr:uid="{00000000-0005-0000-0000-00002D200000}"/>
    <cellStyle name="20% - Accent5 10 2 6" xfId="8331" xr:uid="{00000000-0005-0000-0000-00002E200000}"/>
    <cellStyle name="20% - Accent5 10 2 7" xfId="8332" xr:uid="{00000000-0005-0000-0000-00002F200000}"/>
    <cellStyle name="20% - Accent5 10 3" xfId="8333" xr:uid="{00000000-0005-0000-0000-000030200000}"/>
    <cellStyle name="20% - Accent5 10 3 2" xfId="8334" xr:uid="{00000000-0005-0000-0000-000031200000}"/>
    <cellStyle name="20% - Accent5 10 3 2 2" xfId="8335" xr:uid="{00000000-0005-0000-0000-000032200000}"/>
    <cellStyle name="20% - Accent5 10 3 2 2 2" xfId="8336" xr:uid="{00000000-0005-0000-0000-000033200000}"/>
    <cellStyle name="20% - Accent5 10 3 2 2 3" xfId="8337" xr:uid="{00000000-0005-0000-0000-000034200000}"/>
    <cellStyle name="20% - Accent5 10 3 2 3" xfId="8338" xr:uid="{00000000-0005-0000-0000-000035200000}"/>
    <cellStyle name="20% - Accent5 10 3 2 4" xfId="8339" xr:uid="{00000000-0005-0000-0000-000036200000}"/>
    <cellStyle name="20% - Accent5 10 3 3" xfId="8340" xr:uid="{00000000-0005-0000-0000-000037200000}"/>
    <cellStyle name="20% - Accent5 10 3 3 2" xfId="8341" xr:uid="{00000000-0005-0000-0000-000038200000}"/>
    <cellStyle name="20% - Accent5 10 3 3 3" xfId="8342" xr:uid="{00000000-0005-0000-0000-000039200000}"/>
    <cellStyle name="20% - Accent5 10 3 4" xfId="8343" xr:uid="{00000000-0005-0000-0000-00003A200000}"/>
    <cellStyle name="20% - Accent5 10 3 5" xfId="8344" xr:uid="{00000000-0005-0000-0000-00003B200000}"/>
    <cellStyle name="20% - Accent5 10 3 6" xfId="8345" xr:uid="{00000000-0005-0000-0000-00003C200000}"/>
    <cellStyle name="20% - Accent5 10 4" xfId="8346" xr:uid="{00000000-0005-0000-0000-00003D200000}"/>
    <cellStyle name="20% - Accent5 10 4 2" xfId="8347" xr:uid="{00000000-0005-0000-0000-00003E200000}"/>
    <cellStyle name="20% - Accent5 10 4 2 2" xfId="8348" xr:uid="{00000000-0005-0000-0000-00003F200000}"/>
    <cellStyle name="20% - Accent5 10 4 2 3" xfId="8349" xr:uid="{00000000-0005-0000-0000-000040200000}"/>
    <cellStyle name="20% - Accent5 10 4 3" xfId="8350" xr:uid="{00000000-0005-0000-0000-000041200000}"/>
    <cellStyle name="20% - Accent5 10 4 4" xfId="8351" xr:uid="{00000000-0005-0000-0000-000042200000}"/>
    <cellStyle name="20% - Accent5 10 5" xfId="8352" xr:uid="{00000000-0005-0000-0000-000043200000}"/>
    <cellStyle name="20% - Accent5 10 5 2" xfId="8353" xr:uid="{00000000-0005-0000-0000-000044200000}"/>
    <cellStyle name="20% - Accent5 10 5 3" xfId="8354" xr:uid="{00000000-0005-0000-0000-000045200000}"/>
    <cellStyle name="20% - Accent5 10 6" xfId="8355" xr:uid="{00000000-0005-0000-0000-000046200000}"/>
    <cellStyle name="20% - Accent5 10 7" xfId="8356" xr:uid="{00000000-0005-0000-0000-000047200000}"/>
    <cellStyle name="20% - Accent5 10 8" xfId="8357" xr:uid="{00000000-0005-0000-0000-000048200000}"/>
    <cellStyle name="20% - Accent5 11" xfId="8358" xr:uid="{00000000-0005-0000-0000-000049200000}"/>
    <cellStyle name="20% - Accent5 11 2" xfId="8359" xr:uid="{00000000-0005-0000-0000-00004A200000}"/>
    <cellStyle name="20% - Accent5 11 2 2" xfId="8360" xr:uid="{00000000-0005-0000-0000-00004B200000}"/>
    <cellStyle name="20% - Accent5 11 2 2 2" xfId="8361" xr:uid="{00000000-0005-0000-0000-00004C200000}"/>
    <cellStyle name="20% - Accent5 11 2 2 2 2" xfId="8362" xr:uid="{00000000-0005-0000-0000-00004D200000}"/>
    <cellStyle name="20% - Accent5 11 2 2 2 3" xfId="8363" xr:uid="{00000000-0005-0000-0000-00004E200000}"/>
    <cellStyle name="20% - Accent5 11 2 2 3" xfId="8364" xr:uid="{00000000-0005-0000-0000-00004F200000}"/>
    <cellStyle name="20% - Accent5 11 2 2 4" xfId="8365" xr:uid="{00000000-0005-0000-0000-000050200000}"/>
    <cellStyle name="20% - Accent5 11 2 3" xfId="8366" xr:uid="{00000000-0005-0000-0000-000051200000}"/>
    <cellStyle name="20% - Accent5 11 2 3 2" xfId="8367" xr:uid="{00000000-0005-0000-0000-000052200000}"/>
    <cellStyle name="20% - Accent5 11 2 3 3" xfId="8368" xr:uid="{00000000-0005-0000-0000-000053200000}"/>
    <cellStyle name="20% - Accent5 11 2 4" xfId="8369" xr:uid="{00000000-0005-0000-0000-000054200000}"/>
    <cellStyle name="20% - Accent5 11 2 5" xfId="8370" xr:uid="{00000000-0005-0000-0000-000055200000}"/>
    <cellStyle name="20% - Accent5 11 2 6" xfId="8371" xr:uid="{00000000-0005-0000-0000-000056200000}"/>
    <cellStyle name="20% - Accent5 11 3" xfId="8372" xr:uid="{00000000-0005-0000-0000-000057200000}"/>
    <cellStyle name="20% - Accent5 11 3 2" xfId="8373" xr:uid="{00000000-0005-0000-0000-000058200000}"/>
    <cellStyle name="20% - Accent5 11 3 2 2" xfId="8374" xr:uid="{00000000-0005-0000-0000-000059200000}"/>
    <cellStyle name="20% - Accent5 11 3 2 3" xfId="8375" xr:uid="{00000000-0005-0000-0000-00005A200000}"/>
    <cellStyle name="20% - Accent5 11 3 3" xfId="8376" xr:uid="{00000000-0005-0000-0000-00005B200000}"/>
    <cellStyle name="20% - Accent5 11 3 4" xfId="8377" xr:uid="{00000000-0005-0000-0000-00005C200000}"/>
    <cellStyle name="20% - Accent5 11 4" xfId="8378" xr:uid="{00000000-0005-0000-0000-00005D200000}"/>
    <cellStyle name="20% - Accent5 11 4 2" xfId="8379" xr:uid="{00000000-0005-0000-0000-00005E200000}"/>
    <cellStyle name="20% - Accent5 11 4 3" xfId="8380" xr:uid="{00000000-0005-0000-0000-00005F200000}"/>
    <cellStyle name="20% - Accent5 11 5" xfId="8381" xr:uid="{00000000-0005-0000-0000-000060200000}"/>
    <cellStyle name="20% - Accent5 11 6" xfId="8382" xr:uid="{00000000-0005-0000-0000-000061200000}"/>
    <cellStyle name="20% - Accent5 11 7" xfId="8383" xr:uid="{00000000-0005-0000-0000-000062200000}"/>
    <cellStyle name="20% - Accent5 12" xfId="8384" xr:uid="{00000000-0005-0000-0000-000063200000}"/>
    <cellStyle name="20% - Accent5 12 2" xfId="8385" xr:uid="{00000000-0005-0000-0000-000064200000}"/>
    <cellStyle name="20% - Accent5 12 2 2" xfId="8386" xr:uid="{00000000-0005-0000-0000-000065200000}"/>
    <cellStyle name="20% - Accent5 12 2 2 2" xfId="8387" xr:uid="{00000000-0005-0000-0000-000066200000}"/>
    <cellStyle name="20% - Accent5 12 2 2 3" xfId="8388" xr:uid="{00000000-0005-0000-0000-000067200000}"/>
    <cellStyle name="20% - Accent5 12 2 3" xfId="8389" xr:uid="{00000000-0005-0000-0000-000068200000}"/>
    <cellStyle name="20% - Accent5 12 2 4" xfId="8390" xr:uid="{00000000-0005-0000-0000-000069200000}"/>
    <cellStyle name="20% - Accent5 12 3" xfId="8391" xr:uid="{00000000-0005-0000-0000-00006A200000}"/>
    <cellStyle name="20% - Accent5 12 3 2" xfId="8392" xr:uid="{00000000-0005-0000-0000-00006B200000}"/>
    <cellStyle name="20% - Accent5 12 3 3" xfId="8393" xr:uid="{00000000-0005-0000-0000-00006C200000}"/>
    <cellStyle name="20% - Accent5 12 4" xfId="8394" xr:uid="{00000000-0005-0000-0000-00006D200000}"/>
    <cellStyle name="20% - Accent5 12 5" xfId="8395" xr:uid="{00000000-0005-0000-0000-00006E200000}"/>
    <cellStyle name="20% - Accent5 12 6" xfId="8396" xr:uid="{00000000-0005-0000-0000-00006F200000}"/>
    <cellStyle name="20% - Accent5 13" xfId="8397" xr:uid="{00000000-0005-0000-0000-000070200000}"/>
    <cellStyle name="20% - Accent5 13 2" xfId="8398" xr:uid="{00000000-0005-0000-0000-000071200000}"/>
    <cellStyle name="20% - Accent5 13 2 2" xfId="8399" xr:uid="{00000000-0005-0000-0000-000072200000}"/>
    <cellStyle name="20% - Accent5 13 2 2 2" xfId="8400" xr:uid="{00000000-0005-0000-0000-000073200000}"/>
    <cellStyle name="20% - Accent5 13 2 2 3" xfId="8401" xr:uid="{00000000-0005-0000-0000-000074200000}"/>
    <cellStyle name="20% - Accent5 13 2 3" xfId="8402" xr:uid="{00000000-0005-0000-0000-000075200000}"/>
    <cellStyle name="20% - Accent5 13 2 4" xfId="8403" xr:uid="{00000000-0005-0000-0000-000076200000}"/>
    <cellStyle name="20% - Accent5 13 3" xfId="8404" xr:uid="{00000000-0005-0000-0000-000077200000}"/>
    <cellStyle name="20% - Accent5 13 3 2" xfId="8405" xr:uid="{00000000-0005-0000-0000-000078200000}"/>
    <cellStyle name="20% - Accent5 13 3 3" xfId="8406" xr:uid="{00000000-0005-0000-0000-000079200000}"/>
    <cellStyle name="20% - Accent5 13 4" xfId="8407" xr:uid="{00000000-0005-0000-0000-00007A200000}"/>
    <cellStyle name="20% - Accent5 13 5" xfId="8408" xr:uid="{00000000-0005-0000-0000-00007B200000}"/>
    <cellStyle name="20% - Accent5 13 6" xfId="8409" xr:uid="{00000000-0005-0000-0000-00007C200000}"/>
    <cellStyle name="20% - Accent5 14" xfId="8410" xr:uid="{00000000-0005-0000-0000-00007D200000}"/>
    <cellStyle name="20% - Accent5 14 2" xfId="8411" xr:uid="{00000000-0005-0000-0000-00007E200000}"/>
    <cellStyle name="20% - Accent5 14 2 2" xfId="8412" xr:uid="{00000000-0005-0000-0000-00007F200000}"/>
    <cellStyle name="20% - Accent5 14 2 3" xfId="8413" xr:uid="{00000000-0005-0000-0000-000080200000}"/>
    <cellStyle name="20% - Accent5 14 3" xfId="8414" xr:uid="{00000000-0005-0000-0000-000081200000}"/>
    <cellStyle name="20% - Accent5 14 4" xfId="8415" xr:uid="{00000000-0005-0000-0000-000082200000}"/>
    <cellStyle name="20% - Accent5 15" xfId="8416" xr:uid="{00000000-0005-0000-0000-000083200000}"/>
    <cellStyle name="20% - Accent5 16" xfId="8417" xr:uid="{00000000-0005-0000-0000-000084200000}"/>
    <cellStyle name="20% - Accent5 17" xfId="8418" xr:uid="{00000000-0005-0000-0000-000085200000}"/>
    <cellStyle name="20% - Accent5 2" xfId="8419" xr:uid="{00000000-0005-0000-0000-000086200000}"/>
    <cellStyle name="20% - Accent5 2 2" xfId="8420" xr:uid="{00000000-0005-0000-0000-000087200000}"/>
    <cellStyle name="20% - Accent5 3" xfId="8421" xr:uid="{00000000-0005-0000-0000-000088200000}"/>
    <cellStyle name="20% - Accent5 3 10" xfId="8422" xr:uid="{00000000-0005-0000-0000-000089200000}"/>
    <cellStyle name="20% - Accent5 3 10 2" xfId="8423" xr:uid="{00000000-0005-0000-0000-00008A200000}"/>
    <cellStyle name="20% - Accent5 3 10 2 2" xfId="8424" xr:uid="{00000000-0005-0000-0000-00008B200000}"/>
    <cellStyle name="20% - Accent5 3 10 2 2 2" xfId="8425" xr:uid="{00000000-0005-0000-0000-00008C200000}"/>
    <cellStyle name="20% - Accent5 3 10 2 2 3" xfId="8426" xr:uid="{00000000-0005-0000-0000-00008D200000}"/>
    <cellStyle name="20% - Accent5 3 10 2 3" xfId="8427" xr:uid="{00000000-0005-0000-0000-00008E200000}"/>
    <cellStyle name="20% - Accent5 3 10 2 4" xfId="8428" xr:uid="{00000000-0005-0000-0000-00008F200000}"/>
    <cellStyle name="20% - Accent5 3 10 3" xfId="8429" xr:uid="{00000000-0005-0000-0000-000090200000}"/>
    <cellStyle name="20% - Accent5 3 10 3 2" xfId="8430" xr:uid="{00000000-0005-0000-0000-000091200000}"/>
    <cellStyle name="20% - Accent5 3 10 3 3" xfId="8431" xr:uid="{00000000-0005-0000-0000-000092200000}"/>
    <cellStyle name="20% - Accent5 3 10 4" xfId="8432" xr:uid="{00000000-0005-0000-0000-000093200000}"/>
    <cellStyle name="20% - Accent5 3 10 5" xfId="8433" xr:uid="{00000000-0005-0000-0000-000094200000}"/>
    <cellStyle name="20% - Accent5 3 10 6" xfId="8434" xr:uid="{00000000-0005-0000-0000-000095200000}"/>
    <cellStyle name="20% - Accent5 3 11" xfId="8435" xr:uid="{00000000-0005-0000-0000-000096200000}"/>
    <cellStyle name="20% - Accent5 3 11 2" xfId="8436" xr:uid="{00000000-0005-0000-0000-000097200000}"/>
    <cellStyle name="20% - Accent5 3 11 2 2" xfId="8437" xr:uid="{00000000-0005-0000-0000-000098200000}"/>
    <cellStyle name="20% - Accent5 3 11 2 3" xfId="8438" xr:uid="{00000000-0005-0000-0000-000099200000}"/>
    <cellStyle name="20% - Accent5 3 11 3" xfId="8439" xr:uid="{00000000-0005-0000-0000-00009A200000}"/>
    <cellStyle name="20% - Accent5 3 11 4" xfId="8440" xr:uid="{00000000-0005-0000-0000-00009B200000}"/>
    <cellStyle name="20% - Accent5 3 12" xfId="8441" xr:uid="{00000000-0005-0000-0000-00009C200000}"/>
    <cellStyle name="20% - Accent5 3 12 2" xfId="8442" xr:uid="{00000000-0005-0000-0000-00009D200000}"/>
    <cellStyle name="20% - Accent5 3 12 3" xfId="8443" xr:uid="{00000000-0005-0000-0000-00009E200000}"/>
    <cellStyle name="20% - Accent5 3 13" xfId="8444" xr:uid="{00000000-0005-0000-0000-00009F200000}"/>
    <cellStyle name="20% - Accent5 3 14" xfId="8445" xr:uid="{00000000-0005-0000-0000-0000A0200000}"/>
    <cellStyle name="20% - Accent5 3 15" xfId="8446" xr:uid="{00000000-0005-0000-0000-0000A1200000}"/>
    <cellStyle name="20% - Accent5 3 2" xfId="8447" xr:uid="{00000000-0005-0000-0000-0000A2200000}"/>
    <cellStyle name="20% - Accent5 3 2 10" xfId="8448" xr:uid="{00000000-0005-0000-0000-0000A3200000}"/>
    <cellStyle name="20% - Accent5 3 2 11" xfId="8449" xr:uid="{00000000-0005-0000-0000-0000A4200000}"/>
    <cellStyle name="20% - Accent5 3 2 2" xfId="8450" xr:uid="{00000000-0005-0000-0000-0000A5200000}"/>
    <cellStyle name="20% - Accent5 3 2 2 10" xfId="8451" xr:uid="{00000000-0005-0000-0000-0000A6200000}"/>
    <cellStyle name="20% - Accent5 3 2 2 2" xfId="8452" xr:uid="{00000000-0005-0000-0000-0000A7200000}"/>
    <cellStyle name="20% - Accent5 3 2 2 2 2" xfId="8453" xr:uid="{00000000-0005-0000-0000-0000A8200000}"/>
    <cellStyle name="20% - Accent5 3 2 2 2 2 2" xfId="8454" xr:uid="{00000000-0005-0000-0000-0000A9200000}"/>
    <cellStyle name="20% - Accent5 3 2 2 2 2 2 2" xfId="8455" xr:uid="{00000000-0005-0000-0000-0000AA200000}"/>
    <cellStyle name="20% - Accent5 3 2 2 2 2 2 2 2" xfId="8456" xr:uid="{00000000-0005-0000-0000-0000AB200000}"/>
    <cellStyle name="20% - Accent5 3 2 2 2 2 2 2 2 2" xfId="8457" xr:uid="{00000000-0005-0000-0000-0000AC200000}"/>
    <cellStyle name="20% - Accent5 3 2 2 2 2 2 2 2 2 2" xfId="8458" xr:uid="{00000000-0005-0000-0000-0000AD200000}"/>
    <cellStyle name="20% - Accent5 3 2 2 2 2 2 2 2 2 3" xfId="8459" xr:uid="{00000000-0005-0000-0000-0000AE200000}"/>
    <cellStyle name="20% - Accent5 3 2 2 2 2 2 2 2 3" xfId="8460" xr:uid="{00000000-0005-0000-0000-0000AF200000}"/>
    <cellStyle name="20% - Accent5 3 2 2 2 2 2 2 2 4" xfId="8461" xr:uid="{00000000-0005-0000-0000-0000B0200000}"/>
    <cellStyle name="20% - Accent5 3 2 2 2 2 2 2 3" xfId="8462" xr:uid="{00000000-0005-0000-0000-0000B1200000}"/>
    <cellStyle name="20% - Accent5 3 2 2 2 2 2 2 3 2" xfId="8463" xr:uid="{00000000-0005-0000-0000-0000B2200000}"/>
    <cellStyle name="20% - Accent5 3 2 2 2 2 2 2 3 3" xfId="8464" xr:uid="{00000000-0005-0000-0000-0000B3200000}"/>
    <cellStyle name="20% - Accent5 3 2 2 2 2 2 2 4" xfId="8465" xr:uid="{00000000-0005-0000-0000-0000B4200000}"/>
    <cellStyle name="20% - Accent5 3 2 2 2 2 2 2 5" xfId="8466" xr:uid="{00000000-0005-0000-0000-0000B5200000}"/>
    <cellStyle name="20% - Accent5 3 2 2 2 2 2 2 6" xfId="8467" xr:uid="{00000000-0005-0000-0000-0000B6200000}"/>
    <cellStyle name="20% - Accent5 3 2 2 2 2 2 3" xfId="8468" xr:uid="{00000000-0005-0000-0000-0000B7200000}"/>
    <cellStyle name="20% - Accent5 3 2 2 2 2 2 3 2" xfId="8469" xr:uid="{00000000-0005-0000-0000-0000B8200000}"/>
    <cellStyle name="20% - Accent5 3 2 2 2 2 2 3 2 2" xfId="8470" xr:uid="{00000000-0005-0000-0000-0000B9200000}"/>
    <cellStyle name="20% - Accent5 3 2 2 2 2 2 3 2 3" xfId="8471" xr:uid="{00000000-0005-0000-0000-0000BA200000}"/>
    <cellStyle name="20% - Accent5 3 2 2 2 2 2 3 3" xfId="8472" xr:uid="{00000000-0005-0000-0000-0000BB200000}"/>
    <cellStyle name="20% - Accent5 3 2 2 2 2 2 3 4" xfId="8473" xr:uid="{00000000-0005-0000-0000-0000BC200000}"/>
    <cellStyle name="20% - Accent5 3 2 2 2 2 2 4" xfId="8474" xr:uid="{00000000-0005-0000-0000-0000BD200000}"/>
    <cellStyle name="20% - Accent5 3 2 2 2 2 2 4 2" xfId="8475" xr:uid="{00000000-0005-0000-0000-0000BE200000}"/>
    <cellStyle name="20% - Accent5 3 2 2 2 2 2 4 3" xfId="8476" xr:uid="{00000000-0005-0000-0000-0000BF200000}"/>
    <cellStyle name="20% - Accent5 3 2 2 2 2 2 5" xfId="8477" xr:uid="{00000000-0005-0000-0000-0000C0200000}"/>
    <cellStyle name="20% - Accent5 3 2 2 2 2 2 6" xfId="8478" xr:uid="{00000000-0005-0000-0000-0000C1200000}"/>
    <cellStyle name="20% - Accent5 3 2 2 2 2 2 7" xfId="8479" xr:uid="{00000000-0005-0000-0000-0000C2200000}"/>
    <cellStyle name="20% - Accent5 3 2 2 2 2 3" xfId="8480" xr:uid="{00000000-0005-0000-0000-0000C3200000}"/>
    <cellStyle name="20% - Accent5 3 2 2 2 2 3 2" xfId="8481" xr:uid="{00000000-0005-0000-0000-0000C4200000}"/>
    <cellStyle name="20% - Accent5 3 2 2 2 2 3 2 2" xfId="8482" xr:uid="{00000000-0005-0000-0000-0000C5200000}"/>
    <cellStyle name="20% - Accent5 3 2 2 2 2 3 2 2 2" xfId="8483" xr:uid="{00000000-0005-0000-0000-0000C6200000}"/>
    <cellStyle name="20% - Accent5 3 2 2 2 2 3 2 2 3" xfId="8484" xr:uid="{00000000-0005-0000-0000-0000C7200000}"/>
    <cellStyle name="20% - Accent5 3 2 2 2 2 3 2 3" xfId="8485" xr:uid="{00000000-0005-0000-0000-0000C8200000}"/>
    <cellStyle name="20% - Accent5 3 2 2 2 2 3 2 4" xfId="8486" xr:uid="{00000000-0005-0000-0000-0000C9200000}"/>
    <cellStyle name="20% - Accent5 3 2 2 2 2 3 3" xfId="8487" xr:uid="{00000000-0005-0000-0000-0000CA200000}"/>
    <cellStyle name="20% - Accent5 3 2 2 2 2 3 3 2" xfId="8488" xr:uid="{00000000-0005-0000-0000-0000CB200000}"/>
    <cellStyle name="20% - Accent5 3 2 2 2 2 3 3 3" xfId="8489" xr:uid="{00000000-0005-0000-0000-0000CC200000}"/>
    <cellStyle name="20% - Accent5 3 2 2 2 2 3 4" xfId="8490" xr:uid="{00000000-0005-0000-0000-0000CD200000}"/>
    <cellStyle name="20% - Accent5 3 2 2 2 2 3 5" xfId="8491" xr:uid="{00000000-0005-0000-0000-0000CE200000}"/>
    <cellStyle name="20% - Accent5 3 2 2 2 2 3 6" xfId="8492" xr:uid="{00000000-0005-0000-0000-0000CF200000}"/>
    <cellStyle name="20% - Accent5 3 2 2 2 2 4" xfId="8493" xr:uid="{00000000-0005-0000-0000-0000D0200000}"/>
    <cellStyle name="20% - Accent5 3 2 2 2 2 4 2" xfId="8494" xr:uid="{00000000-0005-0000-0000-0000D1200000}"/>
    <cellStyle name="20% - Accent5 3 2 2 2 2 4 2 2" xfId="8495" xr:uid="{00000000-0005-0000-0000-0000D2200000}"/>
    <cellStyle name="20% - Accent5 3 2 2 2 2 4 2 3" xfId="8496" xr:uid="{00000000-0005-0000-0000-0000D3200000}"/>
    <cellStyle name="20% - Accent5 3 2 2 2 2 4 3" xfId="8497" xr:uid="{00000000-0005-0000-0000-0000D4200000}"/>
    <cellStyle name="20% - Accent5 3 2 2 2 2 4 4" xfId="8498" xr:uid="{00000000-0005-0000-0000-0000D5200000}"/>
    <cellStyle name="20% - Accent5 3 2 2 2 2 5" xfId="8499" xr:uid="{00000000-0005-0000-0000-0000D6200000}"/>
    <cellStyle name="20% - Accent5 3 2 2 2 2 5 2" xfId="8500" xr:uid="{00000000-0005-0000-0000-0000D7200000}"/>
    <cellStyle name="20% - Accent5 3 2 2 2 2 5 3" xfId="8501" xr:uid="{00000000-0005-0000-0000-0000D8200000}"/>
    <cellStyle name="20% - Accent5 3 2 2 2 2 6" xfId="8502" xr:uid="{00000000-0005-0000-0000-0000D9200000}"/>
    <cellStyle name="20% - Accent5 3 2 2 2 2 7" xfId="8503" xr:uid="{00000000-0005-0000-0000-0000DA200000}"/>
    <cellStyle name="20% - Accent5 3 2 2 2 2 8" xfId="8504" xr:uid="{00000000-0005-0000-0000-0000DB200000}"/>
    <cellStyle name="20% - Accent5 3 2 2 2 3" xfId="8505" xr:uid="{00000000-0005-0000-0000-0000DC200000}"/>
    <cellStyle name="20% - Accent5 3 2 2 2 3 2" xfId="8506" xr:uid="{00000000-0005-0000-0000-0000DD200000}"/>
    <cellStyle name="20% - Accent5 3 2 2 2 3 2 2" xfId="8507" xr:uid="{00000000-0005-0000-0000-0000DE200000}"/>
    <cellStyle name="20% - Accent5 3 2 2 2 3 2 2 2" xfId="8508" xr:uid="{00000000-0005-0000-0000-0000DF200000}"/>
    <cellStyle name="20% - Accent5 3 2 2 2 3 2 2 2 2" xfId="8509" xr:uid="{00000000-0005-0000-0000-0000E0200000}"/>
    <cellStyle name="20% - Accent5 3 2 2 2 3 2 2 2 3" xfId="8510" xr:uid="{00000000-0005-0000-0000-0000E1200000}"/>
    <cellStyle name="20% - Accent5 3 2 2 2 3 2 2 3" xfId="8511" xr:uid="{00000000-0005-0000-0000-0000E2200000}"/>
    <cellStyle name="20% - Accent5 3 2 2 2 3 2 2 4" xfId="8512" xr:uid="{00000000-0005-0000-0000-0000E3200000}"/>
    <cellStyle name="20% - Accent5 3 2 2 2 3 2 3" xfId="8513" xr:uid="{00000000-0005-0000-0000-0000E4200000}"/>
    <cellStyle name="20% - Accent5 3 2 2 2 3 2 3 2" xfId="8514" xr:uid="{00000000-0005-0000-0000-0000E5200000}"/>
    <cellStyle name="20% - Accent5 3 2 2 2 3 2 3 3" xfId="8515" xr:uid="{00000000-0005-0000-0000-0000E6200000}"/>
    <cellStyle name="20% - Accent5 3 2 2 2 3 2 4" xfId="8516" xr:uid="{00000000-0005-0000-0000-0000E7200000}"/>
    <cellStyle name="20% - Accent5 3 2 2 2 3 2 5" xfId="8517" xr:uid="{00000000-0005-0000-0000-0000E8200000}"/>
    <cellStyle name="20% - Accent5 3 2 2 2 3 2 6" xfId="8518" xr:uid="{00000000-0005-0000-0000-0000E9200000}"/>
    <cellStyle name="20% - Accent5 3 2 2 2 3 3" xfId="8519" xr:uid="{00000000-0005-0000-0000-0000EA200000}"/>
    <cellStyle name="20% - Accent5 3 2 2 2 3 3 2" xfId="8520" xr:uid="{00000000-0005-0000-0000-0000EB200000}"/>
    <cellStyle name="20% - Accent5 3 2 2 2 3 3 2 2" xfId="8521" xr:uid="{00000000-0005-0000-0000-0000EC200000}"/>
    <cellStyle name="20% - Accent5 3 2 2 2 3 3 2 3" xfId="8522" xr:uid="{00000000-0005-0000-0000-0000ED200000}"/>
    <cellStyle name="20% - Accent5 3 2 2 2 3 3 3" xfId="8523" xr:uid="{00000000-0005-0000-0000-0000EE200000}"/>
    <cellStyle name="20% - Accent5 3 2 2 2 3 3 4" xfId="8524" xr:uid="{00000000-0005-0000-0000-0000EF200000}"/>
    <cellStyle name="20% - Accent5 3 2 2 2 3 4" xfId="8525" xr:uid="{00000000-0005-0000-0000-0000F0200000}"/>
    <cellStyle name="20% - Accent5 3 2 2 2 3 4 2" xfId="8526" xr:uid="{00000000-0005-0000-0000-0000F1200000}"/>
    <cellStyle name="20% - Accent5 3 2 2 2 3 4 3" xfId="8527" xr:uid="{00000000-0005-0000-0000-0000F2200000}"/>
    <cellStyle name="20% - Accent5 3 2 2 2 3 5" xfId="8528" xr:uid="{00000000-0005-0000-0000-0000F3200000}"/>
    <cellStyle name="20% - Accent5 3 2 2 2 3 6" xfId="8529" xr:uid="{00000000-0005-0000-0000-0000F4200000}"/>
    <cellStyle name="20% - Accent5 3 2 2 2 3 7" xfId="8530" xr:uid="{00000000-0005-0000-0000-0000F5200000}"/>
    <cellStyle name="20% - Accent5 3 2 2 2 4" xfId="8531" xr:uid="{00000000-0005-0000-0000-0000F6200000}"/>
    <cellStyle name="20% - Accent5 3 2 2 2 4 2" xfId="8532" xr:uid="{00000000-0005-0000-0000-0000F7200000}"/>
    <cellStyle name="20% - Accent5 3 2 2 2 4 2 2" xfId="8533" xr:uid="{00000000-0005-0000-0000-0000F8200000}"/>
    <cellStyle name="20% - Accent5 3 2 2 2 4 2 2 2" xfId="8534" xr:uid="{00000000-0005-0000-0000-0000F9200000}"/>
    <cellStyle name="20% - Accent5 3 2 2 2 4 2 2 3" xfId="8535" xr:uid="{00000000-0005-0000-0000-0000FA200000}"/>
    <cellStyle name="20% - Accent5 3 2 2 2 4 2 3" xfId="8536" xr:uid="{00000000-0005-0000-0000-0000FB200000}"/>
    <cellStyle name="20% - Accent5 3 2 2 2 4 2 4" xfId="8537" xr:uid="{00000000-0005-0000-0000-0000FC200000}"/>
    <cellStyle name="20% - Accent5 3 2 2 2 4 3" xfId="8538" xr:uid="{00000000-0005-0000-0000-0000FD200000}"/>
    <cellStyle name="20% - Accent5 3 2 2 2 4 3 2" xfId="8539" xr:uid="{00000000-0005-0000-0000-0000FE200000}"/>
    <cellStyle name="20% - Accent5 3 2 2 2 4 3 3" xfId="8540" xr:uid="{00000000-0005-0000-0000-0000FF200000}"/>
    <cellStyle name="20% - Accent5 3 2 2 2 4 4" xfId="8541" xr:uid="{00000000-0005-0000-0000-000000210000}"/>
    <cellStyle name="20% - Accent5 3 2 2 2 4 5" xfId="8542" xr:uid="{00000000-0005-0000-0000-000001210000}"/>
    <cellStyle name="20% - Accent5 3 2 2 2 4 6" xfId="8543" xr:uid="{00000000-0005-0000-0000-000002210000}"/>
    <cellStyle name="20% - Accent5 3 2 2 2 5" xfId="8544" xr:uid="{00000000-0005-0000-0000-000003210000}"/>
    <cellStyle name="20% - Accent5 3 2 2 2 5 2" xfId="8545" xr:uid="{00000000-0005-0000-0000-000004210000}"/>
    <cellStyle name="20% - Accent5 3 2 2 2 5 2 2" xfId="8546" xr:uid="{00000000-0005-0000-0000-000005210000}"/>
    <cellStyle name="20% - Accent5 3 2 2 2 5 2 3" xfId="8547" xr:uid="{00000000-0005-0000-0000-000006210000}"/>
    <cellStyle name="20% - Accent5 3 2 2 2 5 3" xfId="8548" xr:uid="{00000000-0005-0000-0000-000007210000}"/>
    <cellStyle name="20% - Accent5 3 2 2 2 5 4" xfId="8549" xr:uid="{00000000-0005-0000-0000-000008210000}"/>
    <cellStyle name="20% - Accent5 3 2 2 2 6" xfId="8550" xr:uid="{00000000-0005-0000-0000-000009210000}"/>
    <cellStyle name="20% - Accent5 3 2 2 2 6 2" xfId="8551" xr:uid="{00000000-0005-0000-0000-00000A210000}"/>
    <cellStyle name="20% - Accent5 3 2 2 2 6 3" xfId="8552" xr:uid="{00000000-0005-0000-0000-00000B210000}"/>
    <cellStyle name="20% - Accent5 3 2 2 2 7" xfId="8553" xr:uid="{00000000-0005-0000-0000-00000C210000}"/>
    <cellStyle name="20% - Accent5 3 2 2 2 8" xfId="8554" xr:uid="{00000000-0005-0000-0000-00000D210000}"/>
    <cellStyle name="20% - Accent5 3 2 2 2 9" xfId="8555" xr:uid="{00000000-0005-0000-0000-00000E210000}"/>
    <cellStyle name="20% - Accent5 3 2 2 3" xfId="8556" xr:uid="{00000000-0005-0000-0000-00000F210000}"/>
    <cellStyle name="20% - Accent5 3 2 2 3 2" xfId="8557" xr:uid="{00000000-0005-0000-0000-000010210000}"/>
    <cellStyle name="20% - Accent5 3 2 2 3 2 2" xfId="8558" xr:uid="{00000000-0005-0000-0000-000011210000}"/>
    <cellStyle name="20% - Accent5 3 2 2 3 2 2 2" xfId="8559" xr:uid="{00000000-0005-0000-0000-000012210000}"/>
    <cellStyle name="20% - Accent5 3 2 2 3 2 2 2 2" xfId="8560" xr:uid="{00000000-0005-0000-0000-000013210000}"/>
    <cellStyle name="20% - Accent5 3 2 2 3 2 2 2 2 2" xfId="8561" xr:uid="{00000000-0005-0000-0000-000014210000}"/>
    <cellStyle name="20% - Accent5 3 2 2 3 2 2 2 2 3" xfId="8562" xr:uid="{00000000-0005-0000-0000-000015210000}"/>
    <cellStyle name="20% - Accent5 3 2 2 3 2 2 2 3" xfId="8563" xr:uid="{00000000-0005-0000-0000-000016210000}"/>
    <cellStyle name="20% - Accent5 3 2 2 3 2 2 2 4" xfId="8564" xr:uid="{00000000-0005-0000-0000-000017210000}"/>
    <cellStyle name="20% - Accent5 3 2 2 3 2 2 3" xfId="8565" xr:uid="{00000000-0005-0000-0000-000018210000}"/>
    <cellStyle name="20% - Accent5 3 2 2 3 2 2 3 2" xfId="8566" xr:uid="{00000000-0005-0000-0000-000019210000}"/>
    <cellStyle name="20% - Accent5 3 2 2 3 2 2 3 3" xfId="8567" xr:uid="{00000000-0005-0000-0000-00001A210000}"/>
    <cellStyle name="20% - Accent5 3 2 2 3 2 2 4" xfId="8568" xr:uid="{00000000-0005-0000-0000-00001B210000}"/>
    <cellStyle name="20% - Accent5 3 2 2 3 2 2 5" xfId="8569" xr:uid="{00000000-0005-0000-0000-00001C210000}"/>
    <cellStyle name="20% - Accent5 3 2 2 3 2 2 6" xfId="8570" xr:uid="{00000000-0005-0000-0000-00001D210000}"/>
    <cellStyle name="20% - Accent5 3 2 2 3 2 3" xfId="8571" xr:uid="{00000000-0005-0000-0000-00001E210000}"/>
    <cellStyle name="20% - Accent5 3 2 2 3 2 3 2" xfId="8572" xr:uid="{00000000-0005-0000-0000-00001F210000}"/>
    <cellStyle name="20% - Accent5 3 2 2 3 2 3 2 2" xfId="8573" xr:uid="{00000000-0005-0000-0000-000020210000}"/>
    <cellStyle name="20% - Accent5 3 2 2 3 2 3 2 3" xfId="8574" xr:uid="{00000000-0005-0000-0000-000021210000}"/>
    <cellStyle name="20% - Accent5 3 2 2 3 2 3 3" xfId="8575" xr:uid="{00000000-0005-0000-0000-000022210000}"/>
    <cellStyle name="20% - Accent5 3 2 2 3 2 3 4" xfId="8576" xr:uid="{00000000-0005-0000-0000-000023210000}"/>
    <cellStyle name="20% - Accent5 3 2 2 3 2 4" xfId="8577" xr:uid="{00000000-0005-0000-0000-000024210000}"/>
    <cellStyle name="20% - Accent5 3 2 2 3 2 4 2" xfId="8578" xr:uid="{00000000-0005-0000-0000-000025210000}"/>
    <cellStyle name="20% - Accent5 3 2 2 3 2 4 3" xfId="8579" xr:uid="{00000000-0005-0000-0000-000026210000}"/>
    <cellStyle name="20% - Accent5 3 2 2 3 2 5" xfId="8580" xr:uid="{00000000-0005-0000-0000-000027210000}"/>
    <cellStyle name="20% - Accent5 3 2 2 3 2 6" xfId="8581" xr:uid="{00000000-0005-0000-0000-000028210000}"/>
    <cellStyle name="20% - Accent5 3 2 2 3 2 7" xfId="8582" xr:uid="{00000000-0005-0000-0000-000029210000}"/>
    <cellStyle name="20% - Accent5 3 2 2 3 3" xfId="8583" xr:uid="{00000000-0005-0000-0000-00002A210000}"/>
    <cellStyle name="20% - Accent5 3 2 2 3 3 2" xfId="8584" xr:uid="{00000000-0005-0000-0000-00002B210000}"/>
    <cellStyle name="20% - Accent5 3 2 2 3 3 2 2" xfId="8585" xr:uid="{00000000-0005-0000-0000-00002C210000}"/>
    <cellStyle name="20% - Accent5 3 2 2 3 3 2 2 2" xfId="8586" xr:uid="{00000000-0005-0000-0000-00002D210000}"/>
    <cellStyle name="20% - Accent5 3 2 2 3 3 2 2 3" xfId="8587" xr:uid="{00000000-0005-0000-0000-00002E210000}"/>
    <cellStyle name="20% - Accent5 3 2 2 3 3 2 3" xfId="8588" xr:uid="{00000000-0005-0000-0000-00002F210000}"/>
    <cellStyle name="20% - Accent5 3 2 2 3 3 2 4" xfId="8589" xr:uid="{00000000-0005-0000-0000-000030210000}"/>
    <cellStyle name="20% - Accent5 3 2 2 3 3 3" xfId="8590" xr:uid="{00000000-0005-0000-0000-000031210000}"/>
    <cellStyle name="20% - Accent5 3 2 2 3 3 3 2" xfId="8591" xr:uid="{00000000-0005-0000-0000-000032210000}"/>
    <cellStyle name="20% - Accent5 3 2 2 3 3 3 3" xfId="8592" xr:uid="{00000000-0005-0000-0000-000033210000}"/>
    <cellStyle name="20% - Accent5 3 2 2 3 3 4" xfId="8593" xr:uid="{00000000-0005-0000-0000-000034210000}"/>
    <cellStyle name="20% - Accent5 3 2 2 3 3 5" xfId="8594" xr:uid="{00000000-0005-0000-0000-000035210000}"/>
    <cellStyle name="20% - Accent5 3 2 2 3 3 6" xfId="8595" xr:uid="{00000000-0005-0000-0000-000036210000}"/>
    <cellStyle name="20% - Accent5 3 2 2 3 4" xfId="8596" xr:uid="{00000000-0005-0000-0000-000037210000}"/>
    <cellStyle name="20% - Accent5 3 2 2 3 4 2" xfId="8597" xr:uid="{00000000-0005-0000-0000-000038210000}"/>
    <cellStyle name="20% - Accent5 3 2 2 3 4 2 2" xfId="8598" xr:uid="{00000000-0005-0000-0000-000039210000}"/>
    <cellStyle name="20% - Accent5 3 2 2 3 4 2 3" xfId="8599" xr:uid="{00000000-0005-0000-0000-00003A210000}"/>
    <cellStyle name="20% - Accent5 3 2 2 3 4 3" xfId="8600" xr:uid="{00000000-0005-0000-0000-00003B210000}"/>
    <cellStyle name="20% - Accent5 3 2 2 3 4 4" xfId="8601" xr:uid="{00000000-0005-0000-0000-00003C210000}"/>
    <cellStyle name="20% - Accent5 3 2 2 3 5" xfId="8602" xr:uid="{00000000-0005-0000-0000-00003D210000}"/>
    <cellStyle name="20% - Accent5 3 2 2 3 5 2" xfId="8603" xr:uid="{00000000-0005-0000-0000-00003E210000}"/>
    <cellStyle name="20% - Accent5 3 2 2 3 5 3" xfId="8604" xr:uid="{00000000-0005-0000-0000-00003F210000}"/>
    <cellStyle name="20% - Accent5 3 2 2 3 6" xfId="8605" xr:uid="{00000000-0005-0000-0000-000040210000}"/>
    <cellStyle name="20% - Accent5 3 2 2 3 7" xfId="8606" xr:uid="{00000000-0005-0000-0000-000041210000}"/>
    <cellStyle name="20% - Accent5 3 2 2 3 8" xfId="8607" xr:uid="{00000000-0005-0000-0000-000042210000}"/>
    <cellStyle name="20% - Accent5 3 2 2 4" xfId="8608" xr:uid="{00000000-0005-0000-0000-000043210000}"/>
    <cellStyle name="20% - Accent5 3 2 2 4 2" xfId="8609" xr:uid="{00000000-0005-0000-0000-000044210000}"/>
    <cellStyle name="20% - Accent5 3 2 2 4 2 2" xfId="8610" xr:uid="{00000000-0005-0000-0000-000045210000}"/>
    <cellStyle name="20% - Accent5 3 2 2 4 2 2 2" xfId="8611" xr:uid="{00000000-0005-0000-0000-000046210000}"/>
    <cellStyle name="20% - Accent5 3 2 2 4 2 2 2 2" xfId="8612" xr:uid="{00000000-0005-0000-0000-000047210000}"/>
    <cellStyle name="20% - Accent5 3 2 2 4 2 2 2 3" xfId="8613" xr:uid="{00000000-0005-0000-0000-000048210000}"/>
    <cellStyle name="20% - Accent5 3 2 2 4 2 2 3" xfId="8614" xr:uid="{00000000-0005-0000-0000-000049210000}"/>
    <cellStyle name="20% - Accent5 3 2 2 4 2 2 4" xfId="8615" xr:uid="{00000000-0005-0000-0000-00004A210000}"/>
    <cellStyle name="20% - Accent5 3 2 2 4 2 3" xfId="8616" xr:uid="{00000000-0005-0000-0000-00004B210000}"/>
    <cellStyle name="20% - Accent5 3 2 2 4 2 3 2" xfId="8617" xr:uid="{00000000-0005-0000-0000-00004C210000}"/>
    <cellStyle name="20% - Accent5 3 2 2 4 2 3 3" xfId="8618" xr:uid="{00000000-0005-0000-0000-00004D210000}"/>
    <cellStyle name="20% - Accent5 3 2 2 4 2 4" xfId="8619" xr:uid="{00000000-0005-0000-0000-00004E210000}"/>
    <cellStyle name="20% - Accent5 3 2 2 4 2 5" xfId="8620" xr:uid="{00000000-0005-0000-0000-00004F210000}"/>
    <cellStyle name="20% - Accent5 3 2 2 4 2 6" xfId="8621" xr:uid="{00000000-0005-0000-0000-000050210000}"/>
    <cellStyle name="20% - Accent5 3 2 2 4 3" xfId="8622" xr:uid="{00000000-0005-0000-0000-000051210000}"/>
    <cellStyle name="20% - Accent5 3 2 2 4 3 2" xfId="8623" xr:uid="{00000000-0005-0000-0000-000052210000}"/>
    <cellStyle name="20% - Accent5 3 2 2 4 3 2 2" xfId="8624" xr:uid="{00000000-0005-0000-0000-000053210000}"/>
    <cellStyle name="20% - Accent5 3 2 2 4 3 2 3" xfId="8625" xr:uid="{00000000-0005-0000-0000-000054210000}"/>
    <cellStyle name="20% - Accent5 3 2 2 4 3 3" xfId="8626" xr:uid="{00000000-0005-0000-0000-000055210000}"/>
    <cellStyle name="20% - Accent5 3 2 2 4 3 4" xfId="8627" xr:uid="{00000000-0005-0000-0000-000056210000}"/>
    <cellStyle name="20% - Accent5 3 2 2 4 4" xfId="8628" xr:uid="{00000000-0005-0000-0000-000057210000}"/>
    <cellStyle name="20% - Accent5 3 2 2 4 4 2" xfId="8629" xr:uid="{00000000-0005-0000-0000-000058210000}"/>
    <cellStyle name="20% - Accent5 3 2 2 4 4 3" xfId="8630" xr:uid="{00000000-0005-0000-0000-000059210000}"/>
    <cellStyle name="20% - Accent5 3 2 2 4 5" xfId="8631" xr:uid="{00000000-0005-0000-0000-00005A210000}"/>
    <cellStyle name="20% - Accent5 3 2 2 4 6" xfId="8632" xr:uid="{00000000-0005-0000-0000-00005B210000}"/>
    <cellStyle name="20% - Accent5 3 2 2 4 7" xfId="8633" xr:uid="{00000000-0005-0000-0000-00005C210000}"/>
    <cellStyle name="20% - Accent5 3 2 2 5" xfId="8634" xr:uid="{00000000-0005-0000-0000-00005D210000}"/>
    <cellStyle name="20% - Accent5 3 2 2 5 2" xfId="8635" xr:uid="{00000000-0005-0000-0000-00005E210000}"/>
    <cellStyle name="20% - Accent5 3 2 2 5 2 2" xfId="8636" xr:uid="{00000000-0005-0000-0000-00005F210000}"/>
    <cellStyle name="20% - Accent5 3 2 2 5 2 2 2" xfId="8637" xr:uid="{00000000-0005-0000-0000-000060210000}"/>
    <cellStyle name="20% - Accent5 3 2 2 5 2 2 3" xfId="8638" xr:uid="{00000000-0005-0000-0000-000061210000}"/>
    <cellStyle name="20% - Accent5 3 2 2 5 2 3" xfId="8639" xr:uid="{00000000-0005-0000-0000-000062210000}"/>
    <cellStyle name="20% - Accent5 3 2 2 5 2 4" xfId="8640" xr:uid="{00000000-0005-0000-0000-000063210000}"/>
    <cellStyle name="20% - Accent5 3 2 2 5 3" xfId="8641" xr:uid="{00000000-0005-0000-0000-000064210000}"/>
    <cellStyle name="20% - Accent5 3 2 2 5 3 2" xfId="8642" xr:uid="{00000000-0005-0000-0000-000065210000}"/>
    <cellStyle name="20% - Accent5 3 2 2 5 3 3" xfId="8643" xr:uid="{00000000-0005-0000-0000-000066210000}"/>
    <cellStyle name="20% - Accent5 3 2 2 5 4" xfId="8644" xr:uid="{00000000-0005-0000-0000-000067210000}"/>
    <cellStyle name="20% - Accent5 3 2 2 5 5" xfId="8645" xr:uid="{00000000-0005-0000-0000-000068210000}"/>
    <cellStyle name="20% - Accent5 3 2 2 5 6" xfId="8646" xr:uid="{00000000-0005-0000-0000-000069210000}"/>
    <cellStyle name="20% - Accent5 3 2 2 6" xfId="8647" xr:uid="{00000000-0005-0000-0000-00006A210000}"/>
    <cellStyle name="20% - Accent5 3 2 2 6 2" xfId="8648" xr:uid="{00000000-0005-0000-0000-00006B210000}"/>
    <cellStyle name="20% - Accent5 3 2 2 6 2 2" xfId="8649" xr:uid="{00000000-0005-0000-0000-00006C210000}"/>
    <cellStyle name="20% - Accent5 3 2 2 6 2 3" xfId="8650" xr:uid="{00000000-0005-0000-0000-00006D210000}"/>
    <cellStyle name="20% - Accent5 3 2 2 6 3" xfId="8651" xr:uid="{00000000-0005-0000-0000-00006E210000}"/>
    <cellStyle name="20% - Accent5 3 2 2 6 4" xfId="8652" xr:uid="{00000000-0005-0000-0000-00006F210000}"/>
    <cellStyle name="20% - Accent5 3 2 2 7" xfId="8653" xr:uid="{00000000-0005-0000-0000-000070210000}"/>
    <cellStyle name="20% - Accent5 3 2 2 7 2" xfId="8654" xr:uid="{00000000-0005-0000-0000-000071210000}"/>
    <cellStyle name="20% - Accent5 3 2 2 7 3" xfId="8655" xr:uid="{00000000-0005-0000-0000-000072210000}"/>
    <cellStyle name="20% - Accent5 3 2 2 8" xfId="8656" xr:uid="{00000000-0005-0000-0000-000073210000}"/>
    <cellStyle name="20% - Accent5 3 2 2 9" xfId="8657" xr:uid="{00000000-0005-0000-0000-000074210000}"/>
    <cellStyle name="20% - Accent5 3 2 3" xfId="8658" xr:uid="{00000000-0005-0000-0000-000075210000}"/>
    <cellStyle name="20% - Accent5 3 2 3 2" xfId="8659" xr:uid="{00000000-0005-0000-0000-000076210000}"/>
    <cellStyle name="20% - Accent5 3 2 3 2 2" xfId="8660" xr:uid="{00000000-0005-0000-0000-000077210000}"/>
    <cellStyle name="20% - Accent5 3 2 3 2 2 2" xfId="8661" xr:uid="{00000000-0005-0000-0000-000078210000}"/>
    <cellStyle name="20% - Accent5 3 2 3 2 2 2 2" xfId="8662" xr:uid="{00000000-0005-0000-0000-000079210000}"/>
    <cellStyle name="20% - Accent5 3 2 3 2 2 2 2 2" xfId="8663" xr:uid="{00000000-0005-0000-0000-00007A210000}"/>
    <cellStyle name="20% - Accent5 3 2 3 2 2 2 2 2 2" xfId="8664" xr:uid="{00000000-0005-0000-0000-00007B210000}"/>
    <cellStyle name="20% - Accent5 3 2 3 2 2 2 2 2 3" xfId="8665" xr:uid="{00000000-0005-0000-0000-00007C210000}"/>
    <cellStyle name="20% - Accent5 3 2 3 2 2 2 2 3" xfId="8666" xr:uid="{00000000-0005-0000-0000-00007D210000}"/>
    <cellStyle name="20% - Accent5 3 2 3 2 2 2 2 4" xfId="8667" xr:uid="{00000000-0005-0000-0000-00007E210000}"/>
    <cellStyle name="20% - Accent5 3 2 3 2 2 2 3" xfId="8668" xr:uid="{00000000-0005-0000-0000-00007F210000}"/>
    <cellStyle name="20% - Accent5 3 2 3 2 2 2 3 2" xfId="8669" xr:uid="{00000000-0005-0000-0000-000080210000}"/>
    <cellStyle name="20% - Accent5 3 2 3 2 2 2 3 3" xfId="8670" xr:uid="{00000000-0005-0000-0000-000081210000}"/>
    <cellStyle name="20% - Accent5 3 2 3 2 2 2 4" xfId="8671" xr:uid="{00000000-0005-0000-0000-000082210000}"/>
    <cellStyle name="20% - Accent5 3 2 3 2 2 2 5" xfId="8672" xr:uid="{00000000-0005-0000-0000-000083210000}"/>
    <cellStyle name="20% - Accent5 3 2 3 2 2 2 6" xfId="8673" xr:uid="{00000000-0005-0000-0000-000084210000}"/>
    <cellStyle name="20% - Accent5 3 2 3 2 2 3" xfId="8674" xr:uid="{00000000-0005-0000-0000-000085210000}"/>
    <cellStyle name="20% - Accent5 3 2 3 2 2 3 2" xfId="8675" xr:uid="{00000000-0005-0000-0000-000086210000}"/>
    <cellStyle name="20% - Accent5 3 2 3 2 2 3 2 2" xfId="8676" xr:uid="{00000000-0005-0000-0000-000087210000}"/>
    <cellStyle name="20% - Accent5 3 2 3 2 2 3 2 3" xfId="8677" xr:uid="{00000000-0005-0000-0000-000088210000}"/>
    <cellStyle name="20% - Accent5 3 2 3 2 2 3 3" xfId="8678" xr:uid="{00000000-0005-0000-0000-000089210000}"/>
    <cellStyle name="20% - Accent5 3 2 3 2 2 3 4" xfId="8679" xr:uid="{00000000-0005-0000-0000-00008A210000}"/>
    <cellStyle name="20% - Accent5 3 2 3 2 2 4" xfId="8680" xr:uid="{00000000-0005-0000-0000-00008B210000}"/>
    <cellStyle name="20% - Accent5 3 2 3 2 2 4 2" xfId="8681" xr:uid="{00000000-0005-0000-0000-00008C210000}"/>
    <cellStyle name="20% - Accent5 3 2 3 2 2 4 3" xfId="8682" xr:uid="{00000000-0005-0000-0000-00008D210000}"/>
    <cellStyle name="20% - Accent5 3 2 3 2 2 5" xfId="8683" xr:uid="{00000000-0005-0000-0000-00008E210000}"/>
    <cellStyle name="20% - Accent5 3 2 3 2 2 6" xfId="8684" xr:uid="{00000000-0005-0000-0000-00008F210000}"/>
    <cellStyle name="20% - Accent5 3 2 3 2 2 7" xfId="8685" xr:uid="{00000000-0005-0000-0000-000090210000}"/>
    <cellStyle name="20% - Accent5 3 2 3 2 3" xfId="8686" xr:uid="{00000000-0005-0000-0000-000091210000}"/>
    <cellStyle name="20% - Accent5 3 2 3 2 3 2" xfId="8687" xr:uid="{00000000-0005-0000-0000-000092210000}"/>
    <cellStyle name="20% - Accent5 3 2 3 2 3 2 2" xfId="8688" xr:uid="{00000000-0005-0000-0000-000093210000}"/>
    <cellStyle name="20% - Accent5 3 2 3 2 3 2 2 2" xfId="8689" xr:uid="{00000000-0005-0000-0000-000094210000}"/>
    <cellStyle name="20% - Accent5 3 2 3 2 3 2 2 3" xfId="8690" xr:uid="{00000000-0005-0000-0000-000095210000}"/>
    <cellStyle name="20% - Accent5 3 2 3 2 3 2 3" xfId="8691" xr:uid="{00000000-0005-0000-0000-000096210000}"/>
    <cellStyle name="20% - Accent5 3 2 3 2 3 2 4" xfId="8692" xr:uid="{00000000-0005-0000-0000-000097210000}"/>
    <cellStyle name="20% - Accent5 3 2 3 2 3 3" xfId="8693" xr:uid="{00000000-0005-0000-0000-000098210000}"/>
    <cellStyle name="20% - Accent5 3 2 3 2 3 3 2" xfId="8694" xr:uid="{00000000-0005-0000-0000-000099210000}"/>
    <cellStyle name="20% - Accent5 3 2 3 2 3 3 3" xfId="8695" xr:uid="{00000000-0005-0000-0000-00009A210000}"/>
    <cellStyle name="20% - Accent5 3 2 3 2 3 4" xfId="8696" xr:uid="{00000000-0005-0000-0000-00009B210000}"/>
    <cellStyle name="20% - Accent5 3 2 3 2 3 5" xfId="8697" xr:uid="{00000000-0005-0000-0000-00009C210000}"/>
    <cellStyle name="20% - Accent5 3 2 3 2 3 6" xfId="8698" xr:uid="{00000000-0005-0000-0000-00009D210000}"/>
    <cellStyle name="20% - Accent5 3 2 3 2 4" xfId="8699" xr:uid="{00000000-0005-0000-0000-00009E210000}"/>
    <cellStyle name="20% - Accent5 3 2 3 2 4 2" xfId="8700" xr:uid="{00000000-0005-0000-0000-00009F210000}"/>
    <cellStyle name="20% - Accent5 3 2 3 2 4 2 2" xfId="8701" xr:uid="{00000000-0005-0000-0000-0000A0210000}"/>
    <cellStyle name="20% - Accent5 3 2 3 2 4 2 3" xfId="8702" xr:uid="{00000000-0005-0000-0000-0000A1210000}"/>
    <cellStyle name="20% - Accent5 3 2 3 2 4 3" xfId="8703" xr:uid="{00000000-0005-0000-0000-0000A2210000}"/>
    <cellStyle name="20% - Accent5 3 2 3 2 4 4" xfId="8704" xr:uid="{00000000-0005-0000-0000-0000A3210000}"/>
    <cellStyle name="20% - Accent5 3 2 3 2 5" xfId="8705" xr:uid="{00000000-0005-0000-0000-0000A4210000}"/>
    <cellStyle name="20% - Accent5 3 2 3 2 5 2" xfId="8706" xr:uid="{00000000-0005-0000-0000-0000A5210000}"/>
    <cellStyle name="20% - Accent5 3 2 3 2 5 3" xfId="8707" xr:uid="{00000000-0005-0000-0000-0000A6210000}"/>
    <cellStyle name="20% - Accent5 3 2 3 2 6" xfId="8708" xr:uid="{00000000-0005-0000-0000-0000A7210000}"/>
    <cellStyle name="20% - Accent5 3 2 3 2 7" xfId="8709" xr:uid="{00000000-0005-0000-0000-0000A8210000}"/>
    <cellStyle name="20% - Accent5 3 2 3 2 8" xfId="8710" xr:uid="{00000000-0005-0000-0000-0000A9210000}"/>
    <cellStyle name="20% - Accent5 3 2 3 3" xfId="8711" xr:uid="{00000000-0005-0000-0000-0000AA210000}"/>
    <cellStyle name="20% - Accent5 3 2 3 3 2" xfId="8712" xr:uid="{00000000-0005-0000-0000-0000AB210000}"/>
    <cellStyle name="20% - Accent5 3 2 3 3 2 2" xfId="8713" xr:uid="{00000000-0005-0000-0000-0000AC210000}"/>
    <cellStyle name="20% - Accent5 3 2 3 3 2 2 2" xfId="8714" xr:uid="{00000000-0005-0000-0000-0000AD210000}"/>
    <cellStyle name="20% - Accent5 3 2 3 3 2 2 2 2" xfId="8715" xr:uid="{00000000-0005-0000-0000-0000AE210000}"/>
    <cellStyle name="20% - Accent5 3 2 3 3 2 2 2 3" xfId="8716" xr:uid="{00000000-0005-0000-0000-0000AF210000}"/>
    <cellStyle name="20% - Accent5 3 2 3 3 2 2 3" xfId="8717" xr:uid="{00000000-0005-0000-0000-0000B0210000}"/>
    <cellStyle name="20% - Accent5 3 2 3 3 2 2 4" xfId="8718" xr:uid="{00000000-0005-0000-0000-0000B1210000}"/>
    <cellStyle name="20% - Accent5 3 2 3 3 2 3" xfId="8719" xr:uid="{00000000-0005-0000-0000-0000B2210000}"/>
    <cellStyle name="20% - Accent5 3 2 3 3 2 3 2" xfId="8720" xr:uid="{00000000-0005-0000-0000-0000B3210000}"/>
    <cellStyle name="20% - Accent5 3 2 3 3 2 3 3" xfId="8721" xr:uid="{00000000-0005-0000-0000-0000B4210000}"/>
    <cellStyle name="20% - Accent5 3 2 3 3 2 4" xfId="8722" xr:uid="{00000000-0005-0000-0000-0000B5210000}"/>
    <cellStyle name="20% - Accent5 3 2 3 3 2 5" xfId="8723" xr:uid="{00000000-0005-0000-0000-0000B6210000}"/>
    <cellStyle name="20% - Accent5 3 2 3 3 2 6" xfId="8724" xr:uid="{00000000-0005-0000-0000-0000B7210000}"/>
    <cellStyle name="20% - Accent5 3 2 3 3 3" xfId="8725" xr:uid="{00000000-0005-0000-0000-0000B8210000}"/>
    <cellStyle name="20% - Accent5 3 2 3 3 3 2" xfId="8726" xr:uid="{00000000-0005-0000-0000-0000B9210000}"/>
    <cellStyle name="20% - Accent5 3 2 3 3 3 2 2" xfId="8727" xr:uid="{00000000-0005-0000-0000-0000BA210000}"/>
    <cellStyle name="20% - Accent5 3 2 3 3 3 2 3" xfId="8728" xr:uid="{00000000-0005-0000-0000-0000BB210000}"/>
    <cellStyle name="20% - Accent5 3 2 3 3 3 3" xfId="8729" xr:uid="{00000000-0005-0000-0000-0000BC210000}"/>
    <cellStyle name="20% - Accent5 3 2 3 3 3 4" xfId="8730" xr:uid="{00000000-0005-0000-0000-0000BD210000}"/>
    <cellStyle name="20% - Accent5 3 2 3 3 4" xfId="8731" xr:uid="{00000000-0005-0000-0000-0000BE210000}"/>
    <cellStyle name="20% - Accent5 3 2 3 3 4 2" xfId="8732" xr:uid="{00000000-0005-0000-0000-0000BF210000}"/>
    <cellStyle name="20% - Accent5 3 2 3 3 4 3" xfId="8733" xr:uid="{00000000-0005-0000-0000-0000C0210000}"/>
    <cellStyle name="20% - Accent5 3 2 3 3 5" xfId="8734" xr:uid="{00000000-0005-0000-0000-0000C1210000}"/>
    <cellStyle name="20% - Accent5 3 2 3 3 6" xfId="8735" xr:uid="{00000000-0005-0000-0000-0000C2210000}"/>
    <cellStyle name="20% - Accent5 3 2 3 3 7" xfId="8736" xr:uid="{00000000-0005-0000-0000-0000C3210000}"/>
    <cellStyle name="20% - Accent5 3 2 3 4" xfId="8737" xr:uid="{00000000-0005-0000-0000-0000C4210000}"/>
    <cellStyle name="20% - Accent5 3 2 3 4 2" xfId="8738" xr:uid="{00000000-0005-0000-0000-0000C5210000}"/>
    <cellStyle name="20% - Accent5 3 2 3 4 2 2" xfId="8739" xr:uid="{00000000-0005-0000-0000-0000C6210000}"/>
    <cellStyle name="20% - Accent5 3 2 3 4 2 2 2" xfId="8740" xr:uid="{00000000-0005-0000-0000-0000C7210000}"/>
    <cellStyle name="20% - Accent5 3 2 3 4 2 2 3" xfId="8741" xr:uid="{00000000-0005-0000-0000-0000C8210000}"/>
    <cellStyle name="20% - Accent5 3 2 3 4 2 3" xfId="8742" xr:uid="{00000000-0005-0000-0000-0000C9210000}"/>
    <cellStyle name="20% - Accent5 3 2 3 4 2 4" xfId="8743" xr:uid="{00000000-0005-0000-0000-0000CA210000}"/>
    <cellStyle name="20% - Accent5 3 2 3 4 3" xfId="8744" xr:uid="{00000000-0005-0000-0000-0000CB210000}"/>
    <cellStyle name="20% - Accent5 3 2 3 4 3 2" xfId="8745" xr:uid="{00000000-0005-0000-0000-0000CC210000}"/>
    <cellStyle name="20% - Accent5 3 2 3 4 3 3" xfId="8746" xr:uid="{00000000-0005-0000-0000-0000CD210000}"/>
    <cellStyle name="20% - Accent5 3 2 3 4 4" xfId="8747" xr:uid="{00000000-0005-0000-0000-0000CE210000}"/>
    <cellStyle name="20% - Accent5 3 2 3 4 5" xfId="8748" xr:uid="{00000000-0005-0000-0000-0000CF210000}"/>
    <cellStyle name="20% - Accent5 3 2 3 4 6" xfId="8749" xr:uid="{00000000-0005-0000-0000-0000D0210000}"/>
    <cellStyle name="20% - Accent5 3 2 3 5" xfId="8750" xr:uid="{00000000-0005-0000-0000-0000D1210000}"/>
    <cellStyle name="20% - Accent5 3 2 3 5 2" xfId="8751" xr:uid="{00000000-0005-0000-0000-0000D2210000}"/>
    <cellStyle name="20% - Accent5 3 2 3 5 2 2" xfId="8752" xr:uid="{00000000-0005-0000-0000-0000D3210000}"/>
    <cellStyle name="20% - Accent5 3 2 3 5 2 3" xfId="8753" xr:uid="{00000000-0005-0000-0000-0000D4210000}"/>
    <cellStyle name="20% - Accent5 3 2 3 5 3" xfId="8754" xr:uid="{00000000-0005-0000-0000-0000D5210000}"/>
    <cellStyle name="20% - Accent5 3 2 3 5 4" xfId="8755" xr:uid="{00000000-0005-0000-0000-0000D6210000}"/>
    <cellStyle name="20% - Accent5 3 2 3 6" xfId="8756" xr:uid="{00000000-0005-0000-0000-0000D7210000}"/>
    <cellStyle name="20% - Accent5 3 2 3 6 2" xfId="8757" xr:uid="{00000000-0005-0000-0000-0000D8210000}"/>
    <cellStyle name="20% - Accent5 3 2 3 6 3" xfId="8758" xr:uid="{00000000-0005-0000-0000-0000D9210000}"/>
    <cellStyle name="20% - Accent5 3 2 3 7" xfId="8759" xr:uid="{00000000-0005-0000-0000-0000DA210000}"/>
    <cellStyle name="20% - Accent5 3 2 3 8" xfId="8760" xr:uid="{00000000-0005-0000-0000-0000DB210000}"/>
    <cellStyle name="20% - Accent5 3 2 3 9" xfId="8761" xr:uid="{00000000-0005-0000-0000-0000DC210000}"/>
    <cellStyle name="20% - Accent5 3 2 4" xfId="8762" xr:uid="{00000000-0005-0000-0000-0000DD210000}"/>
    <cellStyle name="20% - Accent5 3 2 4 2" xfId="8763" xr:uid="{00000000-0005-0000-0000-0000DE210000}"/>
    <cellStyle name="20% - Accent5 3 2 4 2 2" xfId="8764" xr:uid="{00000000-0005-0000-0000-0000DF210000}"/>
    <cellStyle name="20% - Accent5 3 2 4 2 2 2" xfId="8765" xr:uid="{00000000-0005-0000-0000-0000E0210000}"/>
    <cellStyle name="20% - Accent5 3 2 4 2 2 2 2" xfId="8766" xr:uid="{00000000-0005-0000-0000-0000E1210000}"/>
    <cellStyle name="20% - Accent5 3 2 4 2 2 2 2 2" xfId="8767" xr:uid="{00000000-0005-0000-0000-0000E2210000}"/>
    <cellStyle name="20% - Accent5 3 2 4 2 2 2 2 3" xfId="8768" xr:uid="{00000000-0005-0000-0000-0000E3210000}"/>
    <cellStyle name="20% - Accent5 3 2 4 2 2 2 3" xfId="8769" xr:uid="{00000000-0005-0000-0000-0000E4210000}"/>
    <cellStyle name="20% - Accent5 3 2 4 2 2 2 4" xfId="8770" xr:uid="{00000000-0005-0000-0000-0000E5210000}"/>
    <cellStyle name="20% - Accent5 3 2 4 2 2 3" xfId="8771" xr:uid="{00000000-0005-0000-0000-0000E6210000}"/>
    <cellStyle name="20% - Accent5 3 2 4 2 2 3 2" xfId="8772" xr:uid="{00000000-0005-0000-0000-0000E7210000}"/>
    <cellStyle name="20% - Accent5 3 2 4 2 2 3 3" xfId="8773" xr:uid="{00000000-0005-0000-0000-0000E8210000}"/>
    <cellStyle name="20% - Accent5 3 2 4 2 2 4" xfId="8774" xr:uid="{00000000-0005-0000-0000-0000E9210000}"/>
    <cellStyle name="20% - Accent5 3 2 4 2 2 5" xfId="8775" xr:uid="{00000000-0005-0000-0000-0000EA210000}"/>
    <cellStyle name="20% - Accent5 3 2 4 2 2 6" xfId="8776" xr:uid="{00000000-0005-0000-0000-0000EB210000}"/>
    <cellStyle name="20% - Accent5 3 2 4 2 3" xfId="8777" xr:uid="{00000000-0005-0000-0000-0000EC210000}"/>
    <cellStyle name="20% - Accent5 3 2 4 2 3 2" xfId="8778" xr:uid="{00000000-0005-0000-0000-0000ED210000}"/>
    <cellStyle name="20% - Accent5 3 2 4 2 3 2 2" xfId="8779" xr:uid="{00000000-0005-0000-0000-0000EE210000}"/>
    <cellStyle name="20% - Accent5 3 2 4 2 3 2 3" xfId="8780" xr:uid="{00000000-0005-0000-0000-0000EF210000}"/>
    <cellStyle name="20% - Accent5 3 2 4 2 3 3" xfId="8781" xr:uid="{00000000-0005-0000-0000-0000F0210000}"/>
    <cellStyle name="20% - Accent5 3 2 4 2 3 4" xfId="8782" xr:uid="{00000000-0005-0000-0000-0000F1210000}"/>
    <cellStyle name="20% - Accent5 3 2 4 2 4" xfId="8783" xr:uid="{00000000-0005-0000-0000-0000F2210000}"/>
    <cellStyle name="20% - Accent5 3 2 4 2 4 2" xfId="8784" xr:uid="{00000000-0005-0000-0000-0000F3210000}"/>
    <cellStyle name="20% - Accent5 3 2 4 2 4 3" xfId="8785" xr:uid="{00000000-0005-0000-0000-0000F4210000}"/>
    <cellStyle name="20% - Accent5 3 2 4 2 5" xfId="8786" xr:uid="{00000000-0005-0000-0000-0000F5210000}"/>
    <cellStyle name="20% - Accent5 3 2 4 2 6" xfId="8787" xr:uid="{00000000-0005-0000-0000-0000F6210000}"/>
    <cellStyle name="20% - Accent5 3 2 4 2 7" xfId="8788" xr:uid="{00000000-0005-0000-0000-0000F7210000}"/>
    <cellStyle name="20% - Accent5 3 2 4 3" xfId="8789" xr:uid="{00000000-0005-0000-0000-0000F8210000}"/>
    <cellStyle name="20% - Accent5 3 2 4 3 2" xfId="8790" xr:uid="{00000000-0005-0000-0000-0000F9210000}"/>
    <cellStyle name="20% - Accent5 3 2 4 3 2 2" xfId="8791" xr:uid="{00000000-0005-0000-0000-0000FA210000}"/>
    <cellStyle name="20% - Accent5 3 2 4 3 2 2 2" xfId="8792" xr:uid="{00000000-0005-0000-0000-0000FB210000}"/>
    <cellStyle name="20% - Accent5 3 2 4 3 2 2 3" xfId="8793" xr:uid="{00000000-0005-0000-0000-0000FC210000}"/>
    <cellStyle name="20% - Accent5 3 2 4 3 2 3" xfId="8794" xr:uid="{00000000-0005-0000-0000-0000FD210000}"/>
    <cellStyle name="20% - Accent5 3 2 4 3 2 4" xfId="8795" xr:uid="{00000000-0005-0000-0000-0000FE210000}"/>
    <cellStyle name="20% - Accent5 3 2 4 3 3" xfId="8796" xr:uid="{00000000-0005-0000-0000-0000FF210000}"/>
    <cellStyle name="20% - Accent5 3 2 4 3 3 2" xfId="8797" xr:uid="{00000000-0005-0000-0000-000000220000}"/>
    <cellStyle name="20% - Accent5 3 2 4 3 3 3" xfId="8798" xr:uid="{00000000-0005-0000-0000-000001220000}"/>
    <cellStyle name="20% - Accent5 3 2 4 3 4" xfId="8799" xr:uid="{00000000-0005-0000-0000-000002220000}"/>
    <cellStyle name="20% - Accent5 3 2 4 3 5" xfId="8800" xr:uid="{00000000-0005-0000-0000-000003220000}"/>
    <cellStyle name="20% - Accent5 3 2 4 3 6" xfId="8801" xr:uid="{00000000-0005-0000-0000-000004220000}"/>
    <cellStyle name="20% - Accent5 3 2 4 4" xfId="8802" xr:uid="{00000000-0005-0000-0000-000005220000}"/>
    <cellStyle name="20% - Accent5 3 2 4 4 2" xfId="8803" xr:uid="{00000000-0005-0000-0000-000006220000}"/>
    <cellStyle name="20% - Accent5 3 2 4 4 2 2" xfId="8804" xr:uid="{00000000-0005-0000-0000-000007220000}"/>
    <cellStyle name="20% - Accent5 3 2 4 4 2 3" xfId="8805" xr:uid="{00000000-0005-0000-0000-000008220000}"/>
    <cellStyle name="20% - Accent5 3 2 4 4 3" xfId="8806" xr:uid="{00000000-0005-0000-0000-000009220000}"/>
    <cellStyle name="20% - Accent5 3 2 4 4 4" xfId="8807" xr:uid="{00000000-0005-0000-0000-00000A220000}"/>
    <cellStyle name="20% - Accent5 3 2 4 5" xfId="8808" xr:uid="{00000000-0005-0000-0000-00000B220000}"/>
    <cellStyle name="20% - Accent5 3 2 4 5 2" xfId="8809" xr:uid="{00000000-0005-0000-0000-00000C220000}"/>
    <cellStyle name="20% - Accent5 3 2 4 5 3" xfId="8810" xr:uid="{00000000-0005-0000-0000-00000D220000}"/>
    <cellStyle name="20% - Accent5 3 2 4 6" xfId="8811" xr:uid="{00000000-0005-0000-0000-00000E220000}"/>
    <cellStyle name="20% - Accent5 3 2 4 7" xfId="8812" xr:uid="{00000000-0005-0000-0000-00000F220000}"/>
    <cellStyle name="20% - Accent5 3 2 4 8" xfId="8813" xr:uid="{00000000-0005-0000-0000-000010220000}"/>
    <cellStyle name="20% - Accent5 3 2 5" xfId="8814" xr:uid="{00000000-0005-0000-0000-000011220000}"/>
    <cellStyle name="20% - Accent5 3 2 5 2" xfId="8815" xr:uid="{00000000-0005-0000-0000-000012220000}"/>
    <cellStyle name="20% - Accent5 3 2 5 2 2" xfId="8816" xr:uid="{00000000-0005-0000-0000-000013220000}"/>
    <cellStyle name="20% - Accent5 3 2 5 2 2 2" xfId="8817" xr:uid="{00000000-0005-0000-0000-000014220000}"/>
    <cellStyle name="20% - Accent5 3 2 5 2 2 2 2" xfId="8818" xr:uid="{00000000-0005-0000-0000-000015220000}"/>
    <cellStyle name="20% - Accent5 3 2 5 2 2 2 3" xfId="8819" xr:uid="{00000000-0005-0000-0000-000016220000}"/>
    <cellStyle name="20% - Accent5 3 2 5 2 2 3" xfId="8820" xr:uid="{00000000-0005-0000-0000-000017220000}"/>
    <cellStyle name="20% - Accent5 3 2 5 2 2 4" xfId="8821" xr:uid="{00000000-0005-0000-0000-000018220000}"/>
    <cellStyle name="20% - Accent5 3 2 5 2 3" xfId="8822" xr:uid="{00000000-0005-0000-0000-000019220000}"/>
    <cellStyle name="20% - Accent5 3 2 5 2 3 2" xfId="8823" xr:uid="{00000000-0005-0000-0000-00001A220000}"/>
    <cellStyle name="20% - Accent5 3 2 5 2 3 3" xfId="8824" xr:uid="{00000000-0005-0000-0000-00001B220000}"/>
    <cellStyle name="20% - Accent5 3 2 5 2 4" xfId="8825" xr:uid="{00000000-0005-0000-0000-00001C220000}"/>
    <cellStyle name="20% - Accent5 3 2 5 2 5" xfId="8826" xr:uid="{00000000-0005-0000-0000-00001D220000}"/>
    <cellStyle name="20% - Accent5 3 2 5 2 6" xfId="8827" xr:uid="{00000000-0005-0000-0000-00001E220000}"/>
    <cellStyle name="20% - Accent5 3 2 5 3" xfId="8828" xr:uid="{00000000-0005-0000-0000-00001F220000}"/>
    <cellStyle name="20% - Accent5 3 2 5 3 2" xfId="8829" xr:uid="{00000000-0005-0000-0000-000020220000}"/>
    <cellStyle name="20% - Accent5 3 2 5 3 2 2" xfId="8830" xr:uid="{00000000-0005-0000-0000-000021220000}"/>
    <cellStyle name="20% - Accent5 3 2 5 3 2 3" xfId="8831" xr:uid="{00000000-0005-0000-0000-000022220000}"/>
    <cellStyle name="20% - Accent5 3 2 5 3 3" xfId="8832" xr:uid="{00000000-0005-0000-0000-000023220000}"/>
    <cellStyle name="20% - Accent5 3 2 5 3 4" xfId="8833" xr:uid="{00000000-0005-0000-0000-000024220000}"/>
    <cellStyle name="20% - Accent5 3 2 5 4" xfId="8834" xr:uid="{00000000-0005-0000-0000-000025220000}"/>
    <cellStyle name="20% - Accent5 3 2 5 4 2" xfId="8835" xr:uid="{00000000-0005-0000-0000-000026220000}"/>
    <cellStyle name="20% - Accent5 3 2 5 4 3" xfId="8836" xr:uid="{00000000-0005-0000-0000-000027220000}"/>
    <cellStyle name="20% - Accent5 3 2 5 5" xfId="8837" xr:uid="{00000000-0005-0000-0000-000028220000}"/>
    <cellStyle name="20% - Accent5 3 2 5 6" xfId="8838" xr:uid="{00000000-0005-0000-0000-000029220000}"/>
    <cellStyle name="20% - Accent5 3 2 5 7" xfId="8839" xr:uid="{00000000-0005-0000-0000-00002A220000}"/>
    <cellStyle name="20% - Accent5 3 2 6" xfId="8840" xr:uid="{00000000-0005-0000-0000-00002B220000}"/>
    <cellStyle name="20% - Accent5 3 2 6 2" xfId="8841" xr:uid="{00000000-0005-0000-0000-00002C220000}"/>
    <cellStyle name="20% - Accent5 3 2 6 2 2" xfId="8842" xr:uid="{00000000-0005-0000-0000-00002D220000}"/>
    <cellStyle name="20% - Accent5 3 2 6 2 2 2" xfId="8843" xr:uid="{00000000-0005-0000-0000-00002E220000}"/>
    <cellStyle name="20% - Accent5 3 2 6 2 2 3" xfId="8844" xr:uid="{00000000-0005-0000-0000-00002F220000}"/>
    <cellStyle name="20% - Accent5 3 2 6 2 3" xfId="8845" xr:uid="{00000000-0005-0000-0000-000030220000}"/>
    <cellStyle name="20% - Accent5 3 2 6 2 4" xfId="8846" xr:uid="{00000000-0005-0000-0000-000031220000}"/>
    <cellStyle name="20% - Accent5 3 2 6 3" xfId="8847" xr:uid="{00000000-0005-0000-0000-000032220000}"/>
    <cellStyle name="20% - Accent5 3 2 6 3 2" xfId="8848" xr:uid="{00000000-0005-0000-0000-000033220000}"/>
    <cellStyle name="20% - Accent5 3 2 6 3 3" xfId="8849" xr:uid="{00000000-0005-0000-0000-000034220000}"/>
    <cellStyle name="20% - Accent5 3 2 6 4" xfId="8850" xr:uid="{00000000-0005-0000-0000-000035220000}"/>
    <cellStyle name="20% - Accent5 3 2 6 5" xfId="8851" xr:uid="{00000000-0005-0000-0000-000036220000}"/>
    <cellStyle name="20% - Accent5 3 2 6 6" xfId="8852" xr:uid="{00000000-0005-0000-0000-000037220000}"/>
    <cellStyle name="20% - Accent5 3 2 7" xfId="8853" xr:uid="{00000000-0005-0000-0000-000038220000}"/>
    <cellStyle name="20% - Accent5 3 2 7 2" xfId="8854" xr:uid="{00000000-0005-0000-0000-000039220000}"/>
    <cellStyle name="20% - Accent5 3 2 7 2 2" xfId="8855" xr:uid="{00000000-0005-0000-0000-00003A220000}"/>
    <cellStyle name="20% - Accent5 3 2 7 2 3" xfId="8856" xr:uid="{00000000-0005-0000-0000-00003B220000}"/>
    <cellStyle name="20% - Accent5 3 2 7 3" xfId="8857" xr:uid="{00000000-0005-0000-0000-00003C220000}"/>
    <cellStyle name="20% - Accent5 3 2 7 4" xfId="8858" xr:uid="{00000000-0005-0000-0000-00003D220000}"/>
    <cellStyle name="20% - Accent5 3 2 8" xfId="8859" xr:uid="{00000000-0005-0000-0000-00003E220000}"/>
    <cellStyle name="20% - Accent5 3 2 8 2" xfId="8860" xr:uid="{00000000-0005-0000-0000-00003F220000}"/>
    <cellStyle name="20% - Accent5 3 2 8 3" xfId="8861" xr:uid="{00000000-0005-0000-0000-000040220000}"/>
    <cellStyle name="20% - Accent5 3 2 9" xfId="8862" xr:uid="{00000000-0005-0000-0000-000041220000}"/>
    <cellStyle name="20% - Accent5 3 3" xfId="8863" xr:uid="{00000000-0005-0000-0000-000042220000}"/>
    <cellStyle name="20% - Accent5 3 3 10" xfId="8864" xr:uid="{00000000-0005-0000-0000-000043220000}"/>
    <cellStyle name="20% - Accent5 3 3 2" xfId="8865" xr:uid="{00000000-0005-0000-0000-000044220000}"/>
    <cellStyle name="20% - Accent5 3 3 2 2" xfId="8866" xr:uid="{00000000-0005-0000-0000-000045220000}"/>
    <cellStyle name="20% - Accent5 3 3 2 2 2" xfId="8867" xr:uid="{00000000-0005-0000-0000-000046220000}"/>
    <cellStyle name="20% - Accent5 3 3 2 2 2 2" xfId="8868" xr:uid="{00000000-0005-0000-0000-000047220000}"/>
    <cellStyle name="20% - Accent5 3 3 2 2 2 2 2" xfId="8869" xr:uid="{00000000-0005-0000-0000-000048220000}"/>
    <cellStyle name="20% - Accent5 3 3 2 2 2 2 2 2" xfId="8870" xr:uid="{00000000-0005-0000-0000-000049220000}"/>
    <cellStyle name="20% - Accent5 3 3 2 2 2 2 2 2 2" xfId="8871" xr:uid="{00000000-0005-0000-0000-00004A220000}"/>
    <cellStyle name="20% - Accent5 3 3 2 2 2 2 2 2 3" xfId="8872" xr:uid="{00000000-0005-0000-0000-00004B220000}"/>
    <cellStyle name="20% - Accent5 3 3 2 2 2 2 2 3" xfId="8873" xr:uid="{00000000-0005-0000-0000-00004C220000}"/>
    <cellStyle name="20% - Accent5 3 3 2 2 2 2 2 4" xfId="8874" xr:uid="{00000000-0005-0000-0000-00004D220000}"/>
    <cellStyle name="20% - Accent5 3 3 2 2 2 2 3" xfId="8875" xr:uid="{00000000-0005-0000-0000-00004E220000}"/>
    <cellStyle name="20% - Accent5 3 3 2 2 2 2 3 2" xfId="8876" xr:uid="{00000000-0005-0000-0000-00004F220000}"/>
    <cellStyle name="20% - Accent5 3 3 2 2 2 2 3 3" xfId="8877" xr:uid="{00000000-0005-0000-0000-000050220000}"/>
    <cellStyle name="20% - Accent5 3 3 2 2 2 2 4" xfId="8878" xr:uid="{00000000-0005-0000-0000-000051220000}"/>
    <cellStyle name="20% - Accent5 3 3 2 2 2 2 5" xfId="8879" xr:uid="{00000000-0005-0000-0000-000052220000}"/>
    <cellStyle name="20% - Accent5 3 3 2 2 2 2 6" xfId="8880" xr:uid="{00000000-0005-0000-0000-000053220000}"/>
    <cellStyle name="20% - Accent5 3 3 2 2 2 3" xfId="8881" xr:uid="{00000000-0005-0000-0000-000054220000}"/>
    <cellStyle name="20% - Accent5 3 3 2 2 2 3 2" xfId="8882" xr:uid="{00000000-0005-0000-0000-000055220000}"/>
    <cellStyle name="20% - Accent5 3 3 2 2 2 3 2 2" xfId="8883" xr:uid="{00000000-0005-0000-0000-000056220000}"/>
    <cellStyle name="20% - Accent5 3 3 2 2 2 3 2 3" xfId="8884" xr:uid="{00000000-0005-0000-0000-000057220000}"/>
    <cellStyle name="20% - Accent5 3 3 2 2 2 3 3" xfId="8885" xr:uid="{00000000-0005-0000-0000-000058220000}"/>
    <cellStyle name="20% - Accent5 3 3 2 2 2 3 4" xfId="8886" xr:uid="{00000000-0005-0000-0000-000059220000}"/>
    <cellStyle name="20% - Accent5 3 3 2 2 2 4" xfId="8887" xr:uid="{00000000-0005-0000-0000-00005A220000}"/>
    <cellStyle name="20% - Accent5 3 3 2 2 2 4 2" xfId="8888" xr:uid="{00000000-0005-0000-0000-00005B220000}"/>
    <cellStyle name="20% - Accent5 3 3 2 2 2 4 3" xfId="8889" xr:uid="{00000000-0005-0000-0000-00005C220000}"/>
    <cellStyle name="20% - Accent5 3 3 2 2 2 5" xfId="8890" xr:uid="{00000000-0005-0000-0000-00005D220000}"/>
    <cellStyle name="20% - Accent5 3 3 2 2 2 6" xfId="8891" xr:uid="{00000000-0005-0000-0000-00005E220000}"/>
    <cellStyle name="20% - Accent5 3 3 2 2 2 7" xfId="8892" xr:uid="{00000000-0005-0000-0000-00005F220000}"/>
    <cellStyle name="20% - Accent5 3 3 2 2 3" xfId="8893" xr:uid="{00000000-0005-0000-0000-000060220000}"/>
    <cellStyle name="20% - Accent5 3 3 2 2 3 2" xfId="8894" xr:uid="{00000000-0005-0000-0000-000061220000}"/>
    <cellStyle name="20% - Accent5 3 3 2 2 3 2 2" xfId="8895" xr:uid="{00000000-0005-0000-0000-000062220000}"/>
    <cellStyle name="20% - Accent5 3 3 2 2 3 2 2 2" xfId="8896" xr:uid="{00000000-0005-0000-0000-000063220000}"/>
    <cellStyle name="20% - Accent5 3 3 2 2 3 2 2 3" xfId="8897" xr:uid="{00000000-0005-0000-0000-000064220000}"/>
    <cellStyle name="20% - Accent5 3 3 2 2 3 2 3" xfId="8898" xr:uid="{00000000-0005-0000-0000-000065220000}"/>
    <cellStyle name="20% - Accent5 3 3 2 2 3 2 4" xfId="8899" xr:uid="{00000000-0005-0000-0000-000066220000}"/>
    <cellStyle name="20% - Accent5 3 3 2 2 3 3" xfId="8900" xr:uid="{00000000-0005-0000-0000-000067220000}"/>
    <cellStyle name="20% - Accent5 3 3 2 2 3 3 2" xfId="8901" xr:uid="{00000000-0005-0000-0000-000068220000}"/>
    <cellStyle name="20% - Accent5 3 3 2 2 3 3 3" xfId="8902" xr:uid="{00000000-0005-0000-0000-000069220000}"/>
    <cellStyle name="20% - Accent5 3 3 2 2 3 4" xfId="8903" xr:uid="{00000000-0005-0000-0000-00006A220000}"/>
    <cellStyle name="20% - Accent5 3 3 2 2 3 5" xfId="8904" xr:uid="{00000000-0005-0000-0000-00006B220000}"/>
    <cellStyle name="20% - Accent5 3 3 2 2 3 6" xfId="8905" xr:uid="{00000000-0005-0000-0000-00006C220000}"/>
    <cellStyle name="20% - Accent5 3 3 2 2 4" xfId="8906" xr:uid="{00000000-0005-0000-0000-00006D220000}"/>
    <cellStyle name="20% - Accent5 3 3 2 2 4 2" xfId="8907" xr:uid="{00000000-0005-0000-0000-00006E220000}"/>
    <cellStyle name="20% - Accent5 3 3 2 2 4 2 2" xfId="8908" xr:uid="{00000000-0005-0000-0000-00006F220000}"/>
    <cellStyle name="20% - Accent5 3 3 2 2 4 2 3" xfId="8909" xr:uid="{00000000-0005-0000-0000-000070220000}"/>
    <cellStyle name="20% - Accent5 3 3 2 2 4 3" xfId="8910" xr:uid="{00000000-0005-0000-0000-000071220000}"/>
    <cellStyle name="20% - Accent5 3 3 2 2 4 4" xfId="8911" xr:uid="{00000000-0005-0000-0000-000072220000}"/>
    <cellStyle name="20% - Accent5 3 3 2 2 5" xfId="8912" xr:uid="{00000000-0005-0000-0000-000073220000}"/>
    <cellStyle name="20% - Accent5 3 3 2 2 5 2" xfId="8913" xr:uid="{00000000-0005-0000-0000-000074220000}"/>
    <cellStyle name="20% - Accent5 3 3 2 2 5 3" xfId="8914" xr:uid="{00000000-0005-0000-0000-000075220000}"/>
    <cellStyle name="20% - Accent5 3 3 2 2 6" xfId="8915" xr:uid="{00000000-0005-0000-0000-000076220000}"/>
    <cellStyle name="20% - Accent5 3 3 2 2 7" xfId="8916" xr:uid="{00000000-0005-0000-0000-000077220000}"/>
    <cellStyle name="20% - Accent5 3 3 2 2 8" xfId="8917" xr:uid="{00000000-0005-0000-0000-000078220000}"/>
    <cellStyle name="20% - Accent5 3 3 2 3" xfId="8918" xr:uid="{00000000-0005-0000-0000-000079220000}"/>
    <cellStyle name="20% - Accent5 3 3 2 3 2" xfId="8919" xr:uid="{00000000-0005-0000-0000-00007A220000}"/>
    <cellStyle name="20% - Accent5 3 3 2 3 2 2" xfId="8920" xr:uid="{00000000-0005-0000-0000-00007B220000}"/>
    <cellStyle name="20% - Accent5 3 3 2 3 2 2 2" xfId="8921" xr:uid="{00000000-0005-0000-0000-00007C220000}"/>
    <cellStyle name="20% - Accent5 3 3 2 3 2 2 2 2" xfId="8922" xr:uid="{00000000-0005-0000-0000-00007D220000}"/>
    <cellStyle name="20% - Accent5 3 3 2 3 2 2 2 3" xfId="8923" xr:uid="{00000000-0005-0000-0000-00007E220000}"/>
    <cellStyle name="20% - Accent5 3 3 2 3 2 2 3" xfId="8924" xr:uid="{00000000-0005-0000-0000-00007F220000}"/>
    <cellStyle name="20% - Accent5 3 3 2 3 2 2 4" xfId="8925" xr:uid="{00000000-0005-0000-0000-000080220000}"/>
    <cellStyle name="20% - Accent5 3 3 2 3 2 3" xfId="8926" xr:uid="{00000000-0005-0000-0000-000081220000}"/>
    <cellStyle name="20% - Accent5 3 3 2 3 2 3 2" xfId="8927" xr:uid="{00000000-0005-0000-0000-000082220000}"/>
    <cellStyle name="20% - Accent5 3 3 2 3 2 3 3" xfId="8928" xr:uid="{00000000-0005-0000-0000-000083220000}"/>
    <cellStyle name="20% - Accent5 3 3 2 3 2 4" xfId="8929" xr:uid="{00000000-0005-0000-0000-000084220000}"/>
    <cellStyle name="20% - Accent5 3 3 2 3 2 5" xfId="8930" xr:uid="{00000000-0005-0000-0000-000085220000}"/>
    <cellStyle name="20% - Accent5 3 3 2 3 2 6" xfId="8931" xr:uid="{00000000-0005-0000-0000-000086220000}"/>
    <cellStyle name="20% - Accent5 3 3 2 3 3" xfId="8932" xr:uid="{00000000-0005-0000-0000-000087220000}"/>
    <cellStyle name="20% - Accent5 3 3 2 3 3 2" xfId="8933" xr:uid="{00000000-0005-0000-0000-000088220000}"/>
    <cellStyle name="20% - Accent5 3 3 2 3 3 2 2" xfId="8934" xr:uid="{00000000-0005-0000-0000-000089220000}"/>
    <cellStyle name="20% - Accent5 3 3 2 3 3 2 3" xfId="8935" xr:uid="{00000000-0005-0000-0000-00008A220000}"/>
    <cellStyle name="20% - Accent5 3 3 2 3 3 3" xfId="8936" xr:uid="{00000000-0005-0000-0000-00008B220000}"/>
    <cellStyle name="20% - Accent5 3 3 2 3 3 4" xfId="8937" xr:uid="{00000000-0005-0000-0000-00008C220000}"/>
    <cellStyle name="20% - Accent5 3 3 2 3 4" xfId="8938" xr:uid="{00000000-0005-0000-0000-00008D220000}"/>
    <cellStyle name="20% - Accent5 3 3 2 3 4 2" xfId="8939" xr:uid="{00000000-0005-0000-0000-00008E220000}"/>
    <cellStyle name="20% - Accent5 3 3 2 3 4 3" xfId="8940" xr:uid="{00000000-0005-0000-0000-00008F220000}"/>
    <cellStyle name="20% - Accent5 3 3 2 3 5" xfId="8941" xr:uid="{00000000-0005-0000-0000-000090220000}"/>
    <cellStyle name="20% - Accent5 3 3 2 3 6" xfId="8942" xr:uid="{00000000-0005-0000-0000-000091220000}"/>
    <cellStyle name="20% - Accent5 3 3 2 3 7" xfId="8943" xr:uid="{00000000-0005-0000-0000-000092220000}"/>
    <cellStyle name="20% - Accent5 3 3 2 4" xfId="8944" xr:uid="{00000000-0005-0000-0000-000093220000}"/>
    <cellStyle name="20% - Accent5 3 3 2 4 2" xfId="8945" xr:uid="{00000000-0005-0000-0000-000094220000}"/>
    <cellStyle name="20% - Accent5 3 3 2 4 2 2" xfId="8946" xr:uid="{00000000-0005-0000-0000-000095220000}"/>
    <cellStyle name="20% - Accent5 3 3 2 4 2 2 2" xfId="8947" xr:uid="{00000000-0005-0000-0000-000096220000}"/>
    <cellStyle name="20% - Accent5 3 3 2 4 2 2 3" xfId="8948" xr:uid="{00000000-0005-0000-0000-000097220000}"/>
    <cellStyle name="20% - Accent5 3 3 2 4 2 3" xfId="8949" xr:uid="{00000000-0005-0000-0000-000098220000}"/>
    <cellStyle name="20% - Accent5 3 3 2 4 2 4" xfId="8950" xr:uid="{00000000-0005-0000-0000-000099220000}"/>
    <cellStyle name="20% - Accent5 3 3 2 4 3" xfId="8951" xr:uid="{00000000-0005-0000-0000-00009A220000}"/>
    <cellStyle name="20% - Accent5 3 3 2 4 3 2" xfId="8952" xr:uid="{00000000-0005-0000-0000-00009B220000}"/>
    <cellStyle name="20% - Accent5 3 3 2 4 3 3" xfId="8953" xr:uid="{00000000-0005-0000-0000-00009C220000}"/>
    <cellStyle name="20% - Accent5 3 3 2 4 4" xfId="8954" xr:uid="{00000000-0005-0000-0000-00009D220000}"/>
    <cellStyle name="20% - Accent5 3 3 2 4 5" xfId="8955" xr:uid="{00000000-0005-0000-0000-00009E220000}"/>
    <cellStyle name="20% - Accent5 3 3 2 4 6" xfId="8956" xr:uid="{00000000-0005-0000-0000-00009F220000}"/>
    <cellStyle name="20% - Accent5 3 3 2 5" xfId="8957" xr:uid="{00000000-0005-0000-0000-0000A0220000}"/>
    <cellStyle name="20% - Accent5 3 3 2 5 2" xfId="8958" xr:uid="{00000000-0005-0000-0000-0000A1220000}"/>
    <cellStyle name="20% - Accent5 3 3 2 5 2 2" xfId="8959" xr:uid="{00000000-0005-0000-0000-0000A2220000}"/>
    <cellStyle name="20% - Accent5 3 3 2 5 2 3" xfId="8960" xr:uid="{00000000-0005-0000-0000-0000A3220000}"/>
    <cellStyle name="20% - Accent5 3 3 2 5 3" xfId="8961" xr:uid="{00000000-0005-0000-0000-0000A4220000}"/>
    <cellStyle name="20% - Accent5 3 3 2 5 4" xfId="8962" xr:uid="{00000000-0005-0000-0000-0000A5220000}"/>
    <cellStyle name="20% - Accent5 3 3 2 6" xfId="8963" xr:uid="{00000000-0005-0000-0000-0000A6220000}"/>
    <cellStyle name="20% - Accent5 3 3 2 6 2" xfId="8964" xr:uid="{00000000-0005-0000-0000-0000A7220000}"/>
    <cellStyle name="20% - Accent5 3 3 2 6 3" xfId="8965" xr:uid="{00000000-0005-0000-0000-0000A8220000}"/>
    <cellStyle name="20% - Accent5 3 3 2 7" xfId="8966" xr:uid="{00000000-0005-0000-0000-0000A9220000}"/>
    <cellStyle name="20% - Accent5 3 3 2 8" xfId="8967" xr:uid="{00000000-0005-0000-0000-0000AA220000}"/>
    <cellStyle name="20% - Accent5 3 3 2 9" xfId="8968" xr:uid="{00000000-0005-0000-0000-0000AB220000}"/>
    <cellStyle name="20% - Accent5 3 3 3" xfId="8969" xr:uid="{00000000-0005-0000-0000-0000AC220000}"/>
    <cellStyle name="20% - Accent5 3 3 3 2" xfId="8970" xr:uid="{00000000-0005-0000-0000-0000AD220000}"/>
    <cellStyle name="20% - Accent5 3 3 3 2 2" xfId="8971" xr:uid="{00000000-0005-0000-0000-0000AE220000}"/>
    <cellStyle name="20% - Accent5 3 3 3 2 2 2" xfId="8972" xr:uid="{00000000-0005-0000-0000-0000AF220000}"/>
    <cellStyle name="20% - Accent5 3 3 3 2 2 2 2" xfId="8973" xr:uid="{00000000-0005-0000-0000-0000B0220000}"/>
    <cellStyle name="20% - Accent5 3 3 3 2 2 2 2 2" xfId="8974" xr:uid="{00000000-0005-0000-0000-0000B1220000}"/>
    <cellStyle name="20% - Accent5 3 3 3 2 2 2 2 3" xfId="8975" xr:uid="{00000000-0005-0000-0000-0000B2220000}"/>
    <cellStyle name="20% - Accent5 3 3 3 2 2 2 3" xfId="8976" xr:uid="{00000000-0005-0000-0000-0000B3220000}"/>
    <cellStyle name="20% - Accent5 3 3 3 2 2 2 4" xfId="8977" xr:uid="{00000000-0005-0000-0000-0000B4220000}"/>
    <cellStyle name="20% - Accent5 3 3 3 2 2 3" xfId="8978" xr:uid="{00000000-0005-0000-0000-0000B5220000}"/>
    <cellStyle name="20% - Accent5 3 3 3 2 2 3 2" xfId="8979" xr:uid="{00000000-0005-0000-0000-0000B6220000}"/>
    <cellStyle name="20% - Accent5 3 3 3 2 2 3 3" xfId="8980" xr:uid="{00000000-0005-0000-0000-0000B7220000}"/>
    <cellStyle name="20% - Accent5 3 3 3 2 2 4" xfId="8981" xr:uid="{00000000-0005-0000-0000-0000B8220000}"/>
    <cellStyle name="20% - Accent5 3 3 3 2 2 5" xfId="8982" xr:uid="{00000000-0005-0000-0000-0000B9220000}"/>
    <cellStyle name="20% - Accent5 3 3 3 2 2 6" xfId="8983" xr:uid="{00000000-0005-0000-0000-0000BA220000}"/>
    <cellStyle name="20% - Accent5 3 3 3 2 3" xfId="8984" xr:uid="{00000000-0005-0000-0000-0000BB220000}"/>
    <cellStyle name="20% - Accent5 3 3 3 2 3 2" xfId="8985" xr:uid="{00000000-0005-0000-0000-0000BC220000}"/>
    <cellStyle name="20% - Accent5 3 3 3 2 3 2 2" xfId="8986" xr:uid="{00000000-0005-0000-0000-0000BD220000}"/>
    <cellStyle name="20% - Accent5 3 3 3 2 3 2 3" xfId="8987" xr:uid="{00000000-0005-0000-0000-0000BE220000}"/>
    <cellStyle name="20% - Accent5 3 3 3 2 3 3" xfId="8988" xr:uid="{00000000-0005-0000-0000-0000BF220000}"/>
    <cellStyle name="20% - Accent5 3 3 3 2 3 4" xfId="8989" xr:uid="{00000000-0005-0000-0000-0000C0220000}"/>
    <cellStyle name="20% - Accent5 3 3 3 2 4" xfId="8990" xr:uid="{00000000-0005-0000-0000-0000C1220000}"/>
    <cellStyle name="20% - Accent5 3 3 3 2 4 2" xfId="8991" xr:uid="{00000000-0005-0000-0000-0000C2220000}"/>
    <cellStyle name="20% - Accent5 3 3 3 2 4 3" xfId="8992" xr:uid="{00000000-0005-0000-0000-0000C3220000}"/>
    <cellStyle name="20% - Accent5 3 3 3 2 5" xfId="8993" xr:uid="{00000000-0005-0000-0000-0000C4220000}"/>
    <cellStyle name="20% - Accent5 3 3 3 2 6" xfId="8994" xr:uid="{00000000-0005-0000-0000-0000C5220000}"/>
    <cellStyle name="20% - Accent5 3 3 3 2 7" xfId="8995" xr:uid="{00000000-0005-0000-0000-0000C6220000}"/>
    <cellStyle name="20% - Accent5 3 3 3 3" xfId="8996" xr:uid="{00000000-0005-0000-0000-0000C7220000}"/>
    <cellStyle name="20% - Accent5 3 3 3 3 2" xfId="8997" xr:uid="{00000000-0005-0000-0000-0000C8220000}"/>
    <cellStyle name="20% - Accent5 3 3 3 3 2 2" xfId="8998" xr:uid="{00000000-0005-0000-0000-0000C9220000}"/>
    <cellStyle name="20% - Accent5 3 3 3 3 2 2 2" xfId="8999" xr:uid="{00000000-0005-0000-0000-0000CA220000}"/>
    <cellStyle name="20% - Accent5 3 3 3 3 2 2 3" xfId="9000" xr:uid="{00000000-0005-0000-0000-0000CB220000}"/>
    <cellStyle name="20% - Accent5 3 3 3 3 2 3" xfId="9001" xr:uid="{00000000-0005-0000-0000-0000CC220000}"/>
    <cellStyle name="20% - Accent5 3 3 3 3 2 4" xfId="9002" xr:uid="{00000000-0005-0000-0000-0000CD220000}"/>
    <cellStyle name="20% - Accent5 3 3 3 3 3" xfId="9003" xr:uid="{00000000-0005-0000-0000-0000CE220000}"/>
    <cellStyle name="20% - Accent5 3 3 3 3 3 2" xfId="9004" xr:uid="{00000000-0005-0000-0000-0000CF220000}"/>
    <cellStyle name="20% - Accent5 3 3 3 3 3 3" xfId="9005" xr:uid="{00000000-0005-0000-0000-0000D0220000}"/>
    <cellStyle name="20% - Accent5 3 3 3 3 4" xfId="9006" xr:uid="{00000000-0005-0000-0000-0000D1220000}"/>
    <cellStyle name="20% - Accent5 3 3 3 3 5" xfId="9007" xr:uid="{00000000-0005-0000-0000-0000D2220000}"/>
    <cellStyle name="20% - Accent5 3 3 3 3 6" xfId="9008" xr:uid="{00000000-0005-0000-0000-0000D3220000}"/>
    <cellStyle name="20% - Accent5 3 3 3 4" xfId="9009" xr:uid="{00000000-0005-0000-0000-0000D4220000}"/>
    <cellStyle name="20% - Accent5 3 3 3 4 2" xfId="9010" xr:uid="{00000000-0005-0000-0000-0000D5220000}"/>
    <cellStyle name="20% - Accent5 3 3 3 4 2 2" xfId="9011" xr:uid="{00000000-0005-0000-0000-0000D6220000}"/>
    <cellStyle name="20% - Accent5 3 3 3 4 2 3" xfId="9012" xr:uid="{00000000-0005-0000-0000-0000D7220000}"/>
    <cellStyle name="20% - Accent5 3 3 3 4 3" xfId="9013" xr:uid="{00000000-0005-0000-0000-0000D8220000}"/>
    <cellStyle name="20% - Accent5 3 3 3 4 4" xfId="9014" xr:uid="{00000000-0005-0000-0000-0000D9220000}"/>
    <cellStyle name="20% - Accent5 3 3 3 5" xfId="9015" xr:uid="{00000000-0005-0000-0000-0000DA220000}"/>
    <cellStyle name="20% - Accent5 3 3 3 5 2" xfId="9016" xr:uid="{00000000-0005-0000-0000-0000DB220000}"/>
    <cellStyle name="20% - Accent5 3 3 3 5 3" xfId="9017" xr:uid="{00000000-0005-0000-0000-0000DC220000}"/>
    <cellStyle name="20% - Accent5 3 3 3 6" xfId="9018" xr:uid="{00000000-0005-0000-0000-0000DD220000}"/>
    <cellStyle name="20% - Accent5 3 3 3 7" xfId="9019" xr:uid="{00000000-0005-0000-0000-0000DE220000}"/>
    <cellStyle name="20% - Accent5 3 3 3 8" xfId="9020" xr:uid="{00000000-0005-0000-0000-0000DF220000}"/>
    <cellStyle name="20% - Accent5 3 3 4" xfId="9021" xr:uid="{00000000-0005-0000-0000-0000E0220000}"/>
    <cellStyle name="20% - Accent5 3 3 4 2" xfId="9022" xr:uid="{00000000-0005-0000-0000-0000E1220000}"/>
    <cellStyle name="20% - Accent5 3 3 4 2 2" xfId="9023" xr:uid="{00000000-0005-0000-0000-0000E2220000}"/>
    <cellStyle name="20% - Accent5 3 3 4 2 2 2" xfId="9024" xr:uid="{00000000-0005-0000-0000-0000E3220000}"/>
    <cellStyle name="20% - Accent5 3 3 4 2 2 2 2" xfId="9025" xr:uid="{00000000-0005-0000-0000-0000E4220000}"/>
    <cellStyle name="20% - Accent5 3 3 4 2 2 2 3" xfId="9026" xr:uid="{00000000-0005-0000-0000-0000E5220000}"/>
    <cellStyle name="20% - Accent5 3 3 4 2 2 3" xfId="9027" xr:uid="{00000000-0005-0000-0000-0000E6220000}"/>
    <cellStyle name="20% - Accent5 3 3 4 2 2 4" xfId="9028" xr:uid="{00000000-0005-0000-0000-0000E7220000}"/>
    <cellStyle name="20% - Accent5 3 3 4 2 3" xfId="9029" xr:uid="{00000000-0005-0000-0000-0000E8220000}"/>
    <cellStyle name="20% - Accent5 3 3 4 2 3 2" xfId="9030" xr:uid="{00000000-0005-0000-0000-0000E9220000}"/>
    <cellStyle name="20% - Accent5 3 3 4 2 3 3" xfId="9031" xr:uid="{00000000-0005-0000-0000-0000EA220000}"/>
    <cellStyle name="20% - Accent5 3 3 4 2 4" xfId="9032" xr:uid="{00000000-0005-0000-0000-0000EB220000}"/>
    <cellStyle name="20% - Accent5 3 3 4 2 5" xfId="9033" xr:uid="{00000000-0005-0000-0000-0000EC220000}"/>
    <cellStyle name="20% - Accent5 3 3 4 2 6" xfId="9034" xr:uid="{00000000-0005-0000-0000-0000ED220000}"/>
    <cellStyle name="20% - Accent5 3 3 4 3" xfId="9035" xr:uid="{00000000-0005-0000-0000-0000EE220000}"/>
    <cellStyle name="20% - Accent5 3 3 4 3 2" xfId="9036" xr:uid="{00000000-0005-0000-0000-0000EF220000}"/>
    <cellStyle name="20% - Accent5 3 3 4 3 2 2" xfId="9037" xr:uid="{00000000-0005-0000-0000-0000F0220000}"/>
    <cellStyle name="20% - Accent5 3 3 4 3 2 3" xfId="9038" xr:uid="{00000000-0005-0000-0000-0000F1220000}"/>
    <cellStyle name="20% - Accent5 3 3 4 3 3" xfId="9039" xr:uid="{00000000-0005-0000-0000-0000F2220000}"/>
    <cellStyle name="20% - Accent5 3 3 4 3 4" xfId="9040" xr:uid="{00000000-0005-0000-0000-0000F3220000}"/>
    <cellStyle name="20% - Accent5 3 3 4 4" xfId="9041" xr:uid="{00000000-0005-0000-0000-0000F4220000}"/>
    <cellStyle name="20% - Accent5 3 3 4 4 2" xfId="9042" xr:uid="{00000000-0005-0000-0000-0000F5220000}"/>
    <cellStyle name="20% - Accent5 3 3 4 4 3" xfId="9043" xr:uid="{00000000-0005-0000-0000-0000F6220000}"/>
    <cellStyle name="20% - Accent5 3 3 4 5" xfId="9044" xr:uid="{00000000-0005-0000-0000-0000F7220000}"/>
    <cellStyle name="20% - Accent5 3 3 4 6" xfId="9045" xr:uid="{00000000-0005-0000-0000-0000F8220000}"/>
    <cellStyle name="20% - Accent5 3 3 4 7" xfId="9046" xr:uid="{00000000-0005-0000-0000-0000F9220000}"/>
    <cellStyle name="20% - Accent5 3 3 5" xfId="9047" xr:uid="{00000000-0005-0000-0000-0000FA220000}"/>
    <cellStyle name="20% - Accent5 3 3 5 2" xfId="9048" xr:uid="{00000000-0005-0000-0000-0000FB220000}"/>
    <cellStyle name="20% - Accent5 3 3 5 2 2" xfId="9049" xr:uid="{00000000-0005-0000-0000-0000FC220000}"/>
    <cellStyle name="20% - Accent5 3 3 5 2 2 2" xfId="9050" xr:uid="{00000000-0005-0000-0000-0000FD220000}"/>
    <cellStyle name="20% - Accent5 3 3 5 2 2 3" xfId="9051" xr:uid="{00000000-0005-0000-0000-0000FE220000}"/>
    <cellStyle name="20% - Accent5 3 3 5 2 3" xfId="9052" xr:uid="{00000000-0005-0000-0000-0000FF220000}"/>
    <cellStyle name="20% - Accent5 3 3 5 2 4" xfId="9053" xr:uid="{00000000-0005-0000-0000-000000230000}"/>
    <cellStyle name="20% - Accent5 3 3 5 3" xfId="9054" xr:uid="{00000000-0005-0000-0000-000001230000}"/>
    <cellStyle name="20% - Accent5 3 3 5 3 2" xfId="9055" xr:uid="{00000000-0005-0000-0000-000002230000}"/>
    <cellStyle name="20% - Accent5 3 3 5 3 3" xfId="9056" xr:uid="{00000000-0005-0000-0000-000003230000}"/>
    <cellStyle name="20% - Accent5 3 3 5 4" xfId="9057" xr:uid="{00000000-0005-0000-0000-000004230000}"/>
    <cellStyle name="20% - Accent5 3 3 5 5" xfId="9058" xr:uid="{00000000-0005-0000-0000-000005230000}"/>
    <cellStyle name="20% - Accent5 3 3 5 6" xfId="9059" xr:uid="{00000000-0005-0000-0000-000006230000}"/>
    <cellStyle name="20% - Accent5 3 3 6" xfId="9060" xr:uid="{00000000-0005-0000-0000-000007230000}"/>
    <cellStyle name="20% - Accent5 3 3 6 2" xfId="9061" xr:uid="{00000000-0005-0000-0000-000008230000}"/>
    <cellStyle name="20% - Accent5 3 3 6 2 2" xfId="9062" xr:uid="{00000000-0005-0000-0000-000009230000}"/>
    <cellStyle name="20% - Accent5 3 3 6 2 3" xfId="9063" xr:uid="{00000000-0005-0000-0000-00000A230000}"/>
    <cellStyle name="20% - Accent5 3 3 6 3" xfId="9064" xr:uid="{00000000-0005-0000-0000-00000B230000}"/>
    <cellStyle name="20% - Accent5 3 3 6 4" xfId="9065" xr:uid="{00000000-0005-0000-0000-00000C230000}"/>
    <cellStyle name="20% - Accent5 3 3 7" xfId="9066" xr:uid="{00000000-0005-0000-0000-00000D230000}"/>
    <cellStyle name="20% - Accent5 3 3 7 2" xfId="9067" xr:uid="{00000000-0005-0000-0000-00000E230000}"/>
    <cellStyle name="20% - Accent5 3 3 7 3" xfId="9068" xr:uid="{00000000-0005-0000-0000-00000F230000}"/>
    <cellStyle name="20% - Accent5 3 3 8" xfId="9069" xr:uid="{00000000-0005-0000-0000-000010230000}"/>
    <cellStyle name="20% - Accent5 3 3 9" xfId="9070" xr:uid="{00000000-0005-0000-0000-000011230000}"/>
    <cellStyle name="20% - Accent5 3 4" xfId="9071" xr:uid="{00000000-0005-0000-0000-000012230000}"/>
    <cellStyle name="20% - Accent5 3 4 2" xfId="9072" xr:uid="{00000000-0005-0000-0000-000013230000}"/>
    <cellStyle name="20% - Accent5 3 4 2 2" xfId="9073" xr:uid="{00000000-0005-0000-0000-000014230000}"/>
    <cellStyle name="20% - Accent5 3 4 2 2 2" xfId="9074" xr:uid="{00000000-0005-0000-0000-000015230000}"/>
    <cellStyle name="20% - Accent5 3 4 2 2 2 2" xfId="9075" xr:uid="{00000000-0005-0000-0000-000016230000}"/>
    <cellStyle name="20% - Accent5 3 4 2 2 2 2 2" xfId="9076" xr:uid="{00000000-0005-0000-0000-000017230000}"/>
    <cellStyle name="20% - Accent5 3 4 2 2 2 2 2 2" xfId="9077" xr:uid="{00000000-0005-0000-0000-000018230000}"/>
    <cellStyle name="20% - Accent5 3 4 2 2 2 2 2 3" xfId="9078" xr:uid="{00000000-0005-0000-0000-000019230000}"/>
    <cellStyle name="20% - Accent5 3 4 2 2 2 2 3" xfId="9079" xr:uid="{00000000-0005-0000-0000-00001A230000}"/>
    <cellStyle name="20% - Accent5 3 4 2 2 2 2 4" xfId="9080" xr:uid="{00000000-0005-0000-0000-00001B230000}"/>
    <cellStyle name="20% - Accent5 3 4 2 2 2 3" xfId="9081" xr:uid="{00000000-0005-0000-0000-00001C230000}"/>
    <cellStyle name="20% - Accent5 3 4 2 2 2 3 2" xfId="9082" xr:uid="{00000000-0005-0000-0000-00001D230000}"/>
    <cellStyle name="20% - Accent5 3 4 2 2 2 3 3" xfId="9083" xr:uid="{00000000-0005-0000-0000-00001E230000}"/>
    <cellStyle name="20% - Accent5 3 4 2 2 2 4" xfId="9084" xr:uid="{00000000-0005-0000-0000-00001F230000}"/>
    <cellStyle name="20% - Accent5 3 4 2 2 2 5" xfId="9085" xr:uid="{00000000-0005-0000-0000-000020230000}"/>
    <cellStyle name="20% - Accent5 3 4 2 2 2 6" xfId="9086" xr:uid="{00000000-0005-0000-0000-000021230000}"/>
    <cellStyle name="20% - Accent5 3 4 2 2 3" xfId="9087" xr:uid="{00000000-0005-0000-0000-000022230000}"/>
    <cellStyle name="20% - Accent5 3 4 2 2 3 2" xfId="9088" xr:uid="{00000000-0005-0000-0000-000023230000}"/>
    <cellStyle name="20% - Accent5 3 4 2 2 3 2 2" xfId="9089" xr:uid="{00000000-0005-0000-0000-000024230000}"/>
    <cellStyle name="20% - Accent5 3 4 2 2 3 2 3" xfId="9090" xr:uid="{00000000-0005-0000-0000-000025230000}"/>
    <cellStyle name="20% - Accent5 3 4 2 2 3 3" xfId="9091" xr:uid="{00000000-0005-0000-0000-000026230000}"/>
    <cellStyle name="20% - Accent5 3 4 2 2 3 4" xfId="9092" xr:uid="{00000000-0005-0000-0000-000027230000}"/>
    <cellStyle name="20% - Accent5 3 4 2 2 4" xfId="9093" xr:uid="{00000000-0005-0000-0000-000028230000}"/>
    <cellStyle name="20% - Accent5 3 4 2 2 4 2" xfId="9094" xr:uid="{00000000-0005-0000-0000-000029230000}"/>
    <cellStyle name="20% - Accent5 3 4 2 2 4 3" xfId="9095" xr:uid="{00000000-0005-0000-0000-00002A230000}"/>
    <cellStyle name="20% - Accent5 3 4 2 2 5" xfId="9096" xr:uid="{00000000-0005-0000-0000-00002B230000}"/>
    <cellStyle name="20% - Accent5 3 4 2 2 6" xfId="9097" xr:uid="{00000000-0005-0000-0000-00002C230000}"/>
    <cellStyle name="20% - Accent5 3 4 2 2 7" xfId="9098" xr:uid="{00000000-0005-0000-0000-00002D230000}"/>
    <cellStyle name="20% - Accent5 3 4 2 3" xfId="9099" xr:uid="{00000000-0005-0000-0000-00002E230000}"/>
    <cellStyle name="20% - Accent5 3 4 2 3 2" xfId="9100" xr:uid="{00000000-0005-0000-0000-00002F230000}"/>
    <cellStyle name="20% - Accent5 3 4 2 3 2 2" xfId="9101" xr:uid="{00000000-0005-0000-0000-000030230000}"/>
    <cellStyle name="20% - Accent5 3 4 2 3 2 2 2" xfId="9102" xr:uid="{00000000-0005-0000-0000-000031230000}"/>
    <cellStyle name="20% - Accent5 3 4 2 3 2 2 3" xfId="9103" xr:uid="{00000000-0005-0000-0000-000032230000}"/>
    <cellStyle name="20% - Accent5 3 4 2 3 2 3" xfId="9104" xr:uid="{00000000-0005-0000-0000-000033230000}"/>
    <cellStyle name="20% - Accent5 3 4 2 3 2 4" xfId="9105" xr:uid="{00000000-0005-0000-0000-000034230000}"/>
    <cellStyle name="20% - Accent5 3 4 2 3 3" xfId="9106" xr:uid="{00000000-0005-0000-0000-000035230000}"/>
    <cellStyle name="20% - Accent5 3 4 2 3 3 2" xfId="9107" xr:uid="{00000000-0005-0000-0000-000036230000}"/>
    <cellStyle name="20% - Accent5 3 4 2 3 3 3" xfId="9108" xr:uid="{00000000-0005-0000-0000-000037230000}"/>
    <cellStyle name="20% - Accent5 3 4 2 3 4" xfId="9109" xr:uid="{00000000-0005-0000-0000-000038230000}"/>
    <cellStyle name="20% - Accent5 3 4 2 3 5" xfId="9110" xr:uid="{00000000-0005-0000-0000-000039230000}"/>
    <cellStyle name="20% - Accent5 3 4 2 3 6" xfId="9111" xr:uid="{00000000-0005-0000-0000-00003A230000}"/>
    <cellStyle name="20% - Accent5 3 4 2 4" xfId="9112" xr:uid="{00000000-0005-0000-0000-00003B230000}"/>
    <cellStyle name="20% - Accent5 3 4 2 4 2" xfId="9113" xr:uid="{00000000-0005-0000-0000-00003C230000}"/>
    <cellStyle name="20% - Accent5 3 4 2 4 2 2" xfId="9114" xr:uid="{00000000-0005-0000-0000-00003D230000}"/>
    <cellStyle name="20% - Accent5 3 4 2 4 2 3" xfId="9115" xr:uid="{00000000-0005-0000-0000-00003E230000}"/>
    <cellStyle name="20% - Accent5 3 4 2 4 3" xfId="9116" xr:uid="{00000000-0005-0000-0000-00003F230000}"/>
    <cellStyle name="20% - Accent5 3 4 2 4 4" xfId="9117" xr:uid="{00000000-0005-0000-0000-000040230000}"/>
    <cellStyle name="20% - Accent5 3 4 2 5" xfId="9118" xr:uid="{00000000-0005-0000-0000-000041230000}"/>
    <cellStyle name="20% - Accent5 3 4 2 5 2" xfId="9119" xr:uid="{00000000-0005-0000-0000-000042230000}"/>
    <cellStyle name="20% - Accent5 3 4 2 5 3" xfId="9120" xr:uid="{00000000-0005-0000-0000-000043230000}"/>
    <cellStyle name="20% - Accent5 3 4 2 6" xfId="9121" xr:uid="{00000000-0005-0000-0000-000044230000}"/>
    <cellStyle name="20% - Accent5 3 4 2 7" xfId="9122" xr:uid="{00000000-0005-0000-0000-000045230000}"/>
    <cellStyle name="20% - Accent5 3 4 2 8" xfId="9123" xr:uid="{00000000-0005-0000-0000-000046230000}"/>
    <cellStyle name="20% - Accent5 3 4 3" xfId="9124" xr:uid="{00000000-0005-0000-0000-000047230000}"/>
    <cellStyle name="20% - Accent5 3 4 3 2" xfId="9125" xr:uid="{00000000-0005-0000-0000-000048230000}"/>
    <cellStyle name="20% - Accent5 3 4 3 2 2" xfId="9126" xr:uid="{00000000-0005-0000-0000-000049230000}"/>
    <cellStyle name="20% - Accent5 3 4 3 2 2 2" xfId="9127" xr:uid="{00000000-0005-0000-0000-00004A230000}"/>
    <cellStyle name="20% - Accent5 3 4 3 2 2 2 2" xfId="9128" xr:uid="{00000000-0005-0000-0000-00004B230000}"/>
    <cellStyle name="20% - Accent5 3 4 3 2 2 2 3" xfId="9129" xr:uid="{00000000-0005-0000-0000-00004C230000}"/>
    <cellStyle name="20% - Accent5 3 4 3 2 2 3" xfId="9130" xr:uid="{00000000-0005-0000-0000-00004D230000}"/>
    <cellStyle name="20% - Accent5 3 4 3 2 2 4" xfId="9131" xr:uid="{00000000-0005-0000-0000-00004E230000}"/>
    <cellStyle name="20% - Accent5 3 4 3 2 3" xfId="9132" xr:uid="{00000000-0005-0000-0000-00004F230000}"/>
    <cellStyle name="20% - Accent5 3 4 3 2 3 2" xfId="9133" xr:uid="{00000000-0005-0000-0000-000050230000}"/>
    <cellStyle name="20% - Accent5 3 4 3 2 3 3" xfId="9134" xr:uid="{00000000-0005-0000-0000-000051230000}"/>
    <cellStyle name="20% - Accent5 3 4 3 2 4" xfId="9135" xr:uid="{00000000-0005-0000-0000-000052230000}"/>
    <cellStyle name="20% - Accent5 3 4 3 2 5" xfId="9136" xr:uid="{00000000-0005-0000-0000-000053230000}"/>
    <cellStyle name="20% - Accent5 3 4 3 2 6" xfId="9137" xr:uid="{00000000-0005-0000-0000-000054230000}"/>
    <cellStyle name="20% - Accent5 3 4 3 3" xfId="9138" xr:uid="{00000000-0005-0000-0000-000055230000}"/>
    <cellStyle name="20% - Accent5 3 4 3 3 2" xfId="9139" xr:uid="{00000000-0005-0000-0000-000056230000}"/>
    <cellStyle name="20% - Accent5 3 4 3 3 2 2" xfId="9140" xr:uid="{00000000-0005-0000-0000-000057230000}"/>
    <cellStyle name="20% - Accent5 3 4 3 3 2 3" xfId="9141" xr:uid="{00000000-0005-0000-0000-000058230000}"/>
    <cellStyle name="20% - Accent5 3 4 3 3 3" xfId="9142" xr:uid="{00000000-0005-0000-0000-000059230000}"/>
    <cellStyle name="20% - Accent5 3 4 3 3 4" xfId="9143" xr:uid="{00000000-0005-0000-0000-00005A230000}"/>
    <cellStyle name="20% - Accent5 3 4 3 4" xfId="9144" xr:uid="{00000000-0005-0000-0000-00005B230000}"/>
    <cellStyle name="20% - Accent5 3 4 3 4 2" xfId="9145" xr:uid="{00000000-0005-0000-0000-00005C230000}"/>
    <cellStyle name="20% - Accent5 3 4 3 4 3" xfId="9146" xr:uid="{00000000-0005-0000-0000-00005D230000}"/>
    <cellStyle name="20% - Accent5 3 4 3 5" xfId="9147" xr:uid="{00000000-0005-0000-0000-00005E230000}"/>
    <cellStyle name="20% - Accent5 3 4 3 6" xfId="9148" xr:uid="{00000000-0005-0000-0000-00005F230000}"/>
    <cellStyle name="20% - Accent5 3 4 3 7" xfId="9149" xr:uid="{00000000-0005-0000-0000-000060230000}"/>
    <cellStyle name="20% - Accent5 3 4 4" xfId="9150" xr:uid="{00000000-0005-0000-0000-000061230000}"/>
    <cellStyle name="20% - Accent5 3 4 4 2" xfId="9151" xr:uid="{00000000-0005-0000-0000-000062230000}"/>
    <cellStyle name="20% - Accent5 3 4 4 2 2" xfId="9152" xr:uid="{00000000-0005-0000-0000-000063230000}"/>
    <cellStyle name="20% - Accent5 3 4 4 2 2 2" xfId="9153" xr:uid="{00000000-0005-0000-0000-000064230000}"/>
    <cellStyle name="20% - Accent5 3 4 4 2 2 3" xfId="9154" xr:uid="{00000000-0005-0000-0000-000065230000}"/>
    <cellStyle name="20% - Accent5 3 4 4 2 3" xfId="9155" xr:uid="{00000000-0005-0000-0000-000066230000}"/>
    <cellStyle name="20% - Accent5 3 4 4 2 4" xfId="9156" xr:uid="{00000000-0005-0000-0000-000067230000}"/>
    <cellStyle name="20% - Accent5 3 4 4 3" xfId="9157" xr:uid="{00000000-0005-0000-0000-000068230000}"/>
    <cellStyle name="20% - Accent5 3 4 4 3 2" xfId="9158" xr:uid="{00000000-0005-0000-0000-000069230000}"/>
    <cellStyle name="20% - Accent5 3 4 4 3 3" xfId="9159" xr:uid="{00000000-0005-0000-0000-00006A230000}"/>
    <cellStyle name="20% - Accent5 3 4 4 4" xfId="9160" xr:uid="{00000000-0005-0000-0000-00006B230000}"/>
    <cellStyle name="20% - Accent5 3 4 4 5" xfId="9161" xr:uid="{00000000-0005-0000-0000-00006C230000}"/>
    <cellStyle name="20% - Accent5 3 4 4 6" xfId="9162" xr:uid="{00000000-0005-0000-0000-00006D230000}"/>
    <cellStyle name="20% - Accent5 3 4 5" xfId="9163" xr:uid="{00000000-0005-0000-0000-00006E230000}"/>
    <cellStyle name="20% - Accent5 3 4 5 2" xfId="9164" xr:uid="{00000000-0005-0000-0000-00006F230000}"/>
    <cellStyle name="20% - Accent5 3 4 5 2 2" xfId="9165" xr:uid="{00000000-0005-0000-0000-000070230000}"/>
    <cellStyle name="20% - Accent5 3 4 5 2 3" xfId="9166" xr:uid="{00000000-0005-0000-0000-000071230000}"/>
    <cellStyle name="20% - Accent5 3 4 5 3" xfId="9167" xr:uid="{00000000-0005-0000-0000-000072230000}"/>
    <cellStyle name="20% - Accent5 3 4 5 4" xfId="9168" xr:uid="{00000000-0005-0000-0000-000073230000}"/>
    <cellStyle name="20% - Accent5 3 4 6" xfId="9169" xr:uid="{00000000-0005-0000-0000-000074230000}"/>
    <cellStyle name="20% - Accent5 3 4 6 2" xfId="9170" xr:uid="{00000000-0005-0000-0000-000075230000}"/>
    <cellStyle name="20% - Accent5 3 4 6 3" xfId="9171" xr:uid="{00000000-0005-0000-0000-000076230000}"/>
    <cellStyle name="20% - Accent5 3 4 7" xfId="9172" xr:uid="{00000000-0005-0000-0000-000077230000}"/>
    <cellStyle name="20% - Accent5 3 4 8" xfId="9173" xr:uid="{00000000-0005-0000-0000-000078230000}"/>
    <cellStyle name="20% - Accent5 3 4 9" xfId="9174" xr:uid="{00000000-0005-0000-0000-000079230000}"/>
    <cellStyle name="20% - Accent5 3 5" xfId="9175" xr:uid="{00000000-0005-0000-0000-00007A230000}"/>
    <cellStyle name="20% - Accent5 3 5 2" xfId="9176" xr:uid="{00000000-0005-0000-0000-00007B230000}"/>
    <cellStyle name="20% - Accent5 3 5 2 2" xfId="9177" xr:uid="{00000000-0005-0000-0000-00007C230000}"/>
    <cellStyle name="20% - Accent5 3 5 2 2 2" xfId="9178" xr:uid="{00000000-0005-0000-0000-00007D230000}"/>
    <cellStyle name="20% - Accent5 3 5 2 2 2 2" xfId="9179" xr:uid="{00000000-0005-0000-0000-00007E230000}"/>
    <cellStyle name="20% - Accent5 3 5 2 2 2 2 2" xfId="9180" xr:uid="{00000000-0005-0000-0000-00007F230000}"/>
    <cellStyle name="20% - Accent5 3 5 2 2 2 2 2 2" xfId="9181" xr:uid="{00000000-0005-0000-0000-000080230000}"/>
    <cellStyle name="20% - Accent5 3 5 2 2 2 2 2 3" xfId="9182" xr:uid="{00000000-0005-0000-0000-000081230000}"/>
    <cellStyle name="20% - Accent5 3 5 2 2 2 2 3" xfId="9183" xr:uid="{00000000-0005-0000-0000-000082230000}"/>
    <cellStyle name="20% - Accent5 3 5 2 2 2 2 4" xfId="9184" xr:uid="{00000000-0005-0000-0000-000083230000}"/>
    <cellStyle name="20% - Accent5 3 5 2 2 2 3" xfId="9185" xr:uid="{00000000-0005-0000-0000-000084230000}"/>
    <cellStyle name="20% - Accent5 3 5 2 2 2 3 2" xfId="9186" xr:uid="{00000000-0005-0000-0000-000085230000}"/>
    <cellStyle name="20% - Accent5 3 5 2 2 2 3 3" xfId="9187" xr:uid="{00000000-0005-0000-0000-000086230000}"/>
    <cellStyle name="20% - Accent5 3 5 2 2 2 4" xfId="9188" xr:uid="{00000000-0005-0000-0000-000087230000}"/>
    <cellStyle name="20% - Accent5 3 5 2 2 2 5" xfId="9189" xr:uid="{00000000-0005-0000-0000-000088230000}"/>
    <cellStyle name="20% - Accent5 3 5 2 2 2 6" xfId="9190" xr:uid="{00000000-0005-0000-0000-000089230000}"/>
    <cellStyle name="20% - Accent5 3 5 2 2 3" xfId="9191" xr:uid="{00000000-0005-0000-0000-00008A230000}"/>
    <cellStyle name="20% - Accent5 3 5 2 2 3 2" xfId="9192" xr:uid="{00000000-0005-0000-0000-00008B230000}"/>
    <cellStyle name="20% - Accent5 3 5 2 2 3 2 2" xfId="9193" xr:uid="{00000000-0005-0000-0000-00008C230000}"/>
    <cellStyle name="20% - Accent5 3 5 2 2 3 2 3" xfId="9194" xr:uid="{00000000-0005-0000-0000-00008D230000}"/>
    <cellStyle name="20% - Accent5 3 5 2 2 3 3" xfId="9195" xr:uid="{00000000-0005-0000-0000-00008E230000}"/>
    <cellStyle name="20% - Accent5 3 5 2 2 3 4" xfId="9196" xr:uid="{00000000-0005-0000-0000-00008F230000}"/>
    <cellStyle name="20% - Accent5 3 5 2 2 4" xfId="9197" xr:uid="{00000000-0005-0000-0000-000090230000}"/>
    <cellStyle name="20% - Accent5 3 5 2 2 4 2" xfId="9198" xr:uid="{00000000-0005-0000-0000-000091230000}"/>
    <cellStyle name="20% - Accent5 3 5 2 2 4 3" xfId="9199" xr:uid="{00000000-0005-0000-0000-000092230000}"/>
    <cellStyle name="20% - Accent5 3 5 2 2 5" xfId="9200" xr:uid="{00000000-0005-0000-0000-000093230000}"/>
    <cellStyle name="20% - Accent5 3 5 2 2 6" xfId="9201" xr:uid="{00000000-0005-0000-0000-000094230000}"/>
    <cellStyle name="20% - Accent5 3 5 2 2 7" xfId="9202" xr:uid="{00000000-0005-0000-0000-000095230000}"/>
    <cellStyle name="20% - Accent5 3 5 2 3" xfId="9203" xr:uid="{00000000-0005-0000-0000-000096230000}"/>
    <cellStyle name="20% - Accent5 3 5 2 3 2" xfId="9204" xr:uid="{00000000-0005-0000-0000-000097230000}"/>
    <cellStyle name="20% - Accent5 3 5 2 3 2 2" xfId="9205" xr:uid="{00000000-0005-0000-0000-000098230000}"/>
    <cellStyle name="20% - Accent5 3 5 2 3 2 2 2" xfId="9206" xr:uid="{00000000-0005-0000-0000-000099230000}"/>
    <cellStyle name="20% - Accent5 3 5 2 3 2 2 3" xfId="9207" xr:uid="{00000000-0005-0000-0000-00009A230000}"/>
    <cellStyle name="20% - Accent5 3 5 2 3 2 3" xfId="9208" xr:uid="{00000000-0005-0000-0000-00009B230000}"/>
    <cellStyle name="20% - Accent5 3 5 2 3 2 4" xfId="9209" xr:uid="{00000000-0005-0000-0000-00009C230000}"/>
    <cellStyle name="20% - Accent5 3 5 2 3 3" xfId="9210" xr:uid="{00000000-0005-0000-0000-00009D230000}"/>
    <cellStyle name="20% - Accent5 3 5 2 3 3 2" xfId="9211" xr:uid="{00000000-0005-0000-0000-00009E230000}"/>
    <cellStyle name="20% - Accent5 3 5 2 3 3 3" xfId="9212" xr:uid="{00000000-0005-0000-0000-00009F230000}"/>
    <cellStyle name="20% - Accent5 3 5 2 3 4" xfId="9213" xr:uid="{00000000-0005-0000-0000-0000A0230000}"/>
    <cellStyle name="20% - Accent5 3 5 2 3 5" xfId="9214" xr:uid="{00000000-0005-0000-0000-0000A1230000}"/>
    <cellStyle name="20% - Accent5 3 5 2 3 6" xfId="9215" xr:uid="{00000000-0005-0000-0000-0000A2230000}"/>
    <cellStyle name="20% - Accent5 3 5 2 4" xfId="9216" xr:uid="{00000000-0005-0000-0000-0000A3230000}"/>
    <cellStyle name="20% - Accent5 3 5 2 4 2" xfId="9217" xr:uid="{00000000-0005-0000-0000-0000A4230000}"/>
    <cellStyle name="20% - Accent5 3 5 2 4 2 2" xfId="9218" xr:uid="{00000000-0005-0000-0000-0000A5230000}"/>
    <cellStyle name="20% - Accent5 3 5 2 4 2 3" xfId="9219" xr:uid="{00000000-0005-0000-0000-0000A6230000}"/>
    <cellStyle name="20% - Accent5 3 5 2 4 3" xfId="9220" xr:uid="{00000000-0005-0000-0000-0000A7230000}"/>
    <cellStyle name="20% - Accent5 3 5 2 4 4" xfId="9221" xr:uid="{00000000-0005-0000-0000-0000A8230000}"/>
    <cellStyle name="20% - Accent5 3 5 2 5" xfId="9222" xr:uid="{00000000-0005-0000-0000-0000A9230000}"/>
    <cellStyle name="20% - Accent5 3 5 2 5 2" xfId="9223" xr:uid="{00000000-0005-0000-0000-0000AA230000}"/>
    <cellStyle name="20% - Accent5 3 5 2 5 3" xfId="9224" xr:uid="{00000000-0005-0000-0000-0000AB230000}"/>
    <cellStyle name="20% - Accent5 3 5 2 6" xfId="9225" xr:uid="{00000000-0005-0000-0000-0000AC230000}"/>
    <cellStyle name="20% - Accent5 3 5 2 7" xfId="9226" xr:uid="{00000000-0005-0000-0000-0000AD230000}"/>
    <cellStyle name="20% - Accent5 3 5 2 8" xfId="9227" xr:uid="{00000000-0005-0000-0000-0000AE230000}"/>
    <cellStyle name="20% - Accent5 3 5 3" xfId="9228" xr:uid="{00000000-0005-0000-0000-0000AF230000}"/>
    <cellStyle name="20% - Accent5 3 5 3 2" xfId="9229" xr:uid="{00000000-0005-0000-0000-0000B0230000}"/>
    <cellStyle name="20% - Accent5 3 5 3 2 2" xfId="9230" xr:uid="{00000000-0005-0000-0000-0000B1230000}"/>
    <cellStyle name="20% - Accent5 3 5 3 2 2 2" xfId="9231" xr:uid="{00000000-0005-0000-0000-0000B2230000}"/>
    <cellStyle name="20% - Accent5 3 5 3 2 2 2 2" xfId="9232" xr:uid="{00000000-0005-0000-0000-0000B3230000}"/>
    <cellStyle name="20% - Accent5 3 5 3 2 2 2 3" xfId="9233" xr:uid="{00000000-0005-0000-0000-0000B4230000}"/>
    <cellStyle name="20% - Accent5 3 5 3 2 2 3" xfId="9234" xr:uid="{00000000-0005-0000-0000-0000B5230000}"/>
    <cellStyle name="20% - Accent5 3 5 3 2 2 4" xfId="9235" xr:uid="{00000000-0005-0000-0000-0000B6230000}"/>
    <cellStyle name="20% - Accent5 3 5 3 2 3" xfId="9236" xr:uid="{00000000-0005-0000-0000-0000B7230000}"/>
    <cellStyle name="20% - Accent5 3 5 3 2 3 2" xfId="9237" xr:uid="{00000000-0005-0000-0000-0000B8230000}"/>
    <cellStyle name="20% - Accent5 3 5 3 2 3 3" xfId="9238" xr:uid="{00000000-0005-0000-0000-0000B9230000}"/>
    <cellStyle name="20% - Accent5 3 5 3 2 4" xfId="9239" xr:uid="{00000000-0005-0000-0000-0000BA230000}"/>
    <cellStyle name="20% - Accent5 3 5 3 2 5" xfId="9240" xr:uid="{00000000-0005-0000-0000-0000BB230000}"/>
    <cellStyle name="20% - Accent5 3 5 3 2 6" xfId="9241" xr:uid="{00000000-0005-0000-0000-0000BC230000}"/>
    <cellStyle name="20% - Accent5 3 5 3 3" xfId="9242" xr:uid="{00000000-0005-0000-0000-0000BD230000}"/>
    <cellStyle name="20% - Accent5 3 5 3 3 2" xfId="9243" xr:uid="{00000000-0005-0000-0000-0000BE230000}"/>
    <cellStyle name="20% - Accent5 3 5 3 3 2 2" xfId="9244" xr:uid="{00000000-0005-0000-0000-0000BF230000}"/>
    <cellStyle name="20% - Accent5 3 5 3 3 2 3" xfId="9245" xr:uid="{00000000-0005-0000-0000-0000C0230000}"/>
    <cellStyle name="20% - Accent5 3 5 3 3 3" xfId="9246" xr:uid="{00000000-0005-0000-0000-0000C1230000}"/>
    <cellStyle name="20% - Accent5 3 5 3 3 4" xfId="9247" xr:uid="{00000000-0005-0000-0000-0000C2230000}"/>
    <cellStyle name="20% - Accent5 3 5 3 4" xfId="9248" xr:uid="{00000000-0005-0000-0000-0000C3230000}"/>
    <cellStyle name="20% - Accent5 3 5 3 4 2" xfId="9249" xr:uid="{00000000-0005-0000-0000-0000C4230000}"/>
    <cellStyle name="20% - Accent5 3 5 3 4 3" xfId="9250" xr:uid="{00000000-0005-0000-0000-0000C5230000}"/>
    <cellStyle name="20% - Accent5 3 5 3 5" xfId="9251" xr:uid="{00000000-0005-0000-0000-0000C6230000}"/>
    <cellStyle name="20% - Accent5 3 5 3 6" xfId="9252" xr:uid="{00000000-0005-0000-0000-0000C7230000}"/>
    <cellStyle name="20% - Accent5 3 5 3 7" xfId="9253" xr:uid="{00000000-0005-0000-0000-0000C8230000}"/>
    <cellStyle name="20% - Accent5 3 5 4" xfId="9254" xr:uid="{00000000-0005-0000-0000-0000C9230000}"/>
    <cellStyle name="20% - Accent5 3 5 4 2" xfId="9255" xr:uid="{00000000-0005-0000-0000-0000CA230000}"/>
    <cellStyle name="20% - Accent5 3 5 4 2 2" xfId="9256" xr:uid="{00000000-0005-0000-0000-0000CB230000}"/>
    <cellStyle name="20% - Accent5 3 5 4 2 2 2" xfId="9257" xr:uid="{00000000-0005-0000-0000-0000CC230000}"/>
    <cellStyle name="20% - Accent5 3 5 4 2 2 3" xfId="9258" xr:uid="{00000000-0005-0000-0000-0000CD230000}"/>
    <cellStyle name="20% - Accent5 3 5 4 2 3" xfId="9259" xr:uid="{00000000-0005-0000-0000-0000CE230000}"/>
    <cellStyle name="20% - Accent5 3 5 4 2 4" xfId="9260" xr:uid="{00000000-0005-0000-0000-0000CF230000}"/>
    <cellStyle name="20% - Accent5 3 5 4 3" xfId="9261" xr:uid="{00000000-0005-0000-0000-0000D0230000}"/>
    <cellStyle name="20% - Accent5 3 5 4 3 2" xfId="9262" xr:uid="{00000000-0005-0000-0000-0000D1230000}"/>
    <cellStyle name="20% - Accent5 3 5 4 3 3" xfId="9263" xr:uid="{00000000-0005-0000-0000-0000D2230000}"/>
    <cellStyle name="20% - Accent5 3 5 4 4" xfId="9264" xr:uid="{00000000-0005-0000-0000-0000D3230000}"/>
    <cellStyle name="20% - Accent5 3 5 4 5" xfId="9265" xr:uid="{00000000-0005-0000-0000-0000D4230000}"/>
    <cellStyle name="20% - Accent5 3 5 4 6" xfId="9266" xr:uid="{00000000-0005-0000-0000-0000D5230000}"/>
    <cellStyle name="20% - Accent5 3 5 5" xfId="9267" xr:uid="{00000000-0005-0000-0000-0000D6230000}"/>
    <cellStyle name="20% - Accent5 3 5 5 2" xfId="9268" xr:uid="{00000000-0005-0000-0000-0000D7230000}"/>
    <cellStyle name="20% - Accent5 3 5 5 2 2" xfId="9269" xr:uid="{00000000-0005-0000-0000-0000D8230000}"/>
    <cellStyle name="20% - Accent5 3 5 5 2 3" xfId="9270" xr:uid="{00000000-0005-0000-0000-0000D9230000}"/>
    <cellStyle name="20% - Accent5 3 5 5 3" xfId="9271" xr:uid="{00000000-0005-0000-0000-0000DA230000}"/>
    <cellStyle name="20% - Accent5 3 5 5 4" xfId="9272" xr:uid="{00000000-0005-0000-0000-0000DB230000}"/>
    <cellStyle name="20% - Accent5 3 5 6" xfId="9273" xr:uid="{00000000-0005-0000-0000-0000DC230000}"/>
    <cellStyle name="20% - Accent5 3 5 6 2" xfId="9274" xr:uid="{00000000-0005-0000-0000-0000DD230000}"/>
    <cellStyle name="20% - Accent5 3 5 6 3" xfId="9275" xr:uid="{00000000-0005-0000-0000-0000DE230000}"/>
    <cellStyle name="20% - Accent5 3 5 7" xfId="9276" xr:uid="{00000000-0005-0000-0000-0000DF230000}"/>
    <cellStyle name="20% - Accent5 3 5 8" xfId="9277" xr:uid="{00000000-0005-0000-0000-0000E0230000}"/>
    <cellStyle name="20% - Accent5 3 5 9" xfId="9278" xr:uid="{00000000-0005-0000-0000-0000E1230000}"/>
    <cellStyle name="20% - Accent5 3 6" xfId="9279" xr:uid="{00000000-0005-0000-0000-0000E2230000}"/>
    <cellStyle name="20% - Accent5 3 6 2" xfId="9280" xr:uid="{00000000-0005-0000-0000-0000E3230000}"/>
    <cellStyle name="20% - Accent5 3 6 2 2" xfId="9281" xr:uid="{00000000-0005-0000-0000-0000E4230000}"/>
    <cellStyle name="20% - Accent5 3 6 2 2 2" xfId="9282" xr:uid="{00000000-0005-0000-0000-0000E5230000}"/>
    <cellStyle name="20% - Accent5 3 6 2 2 2 2" xfId="9283" xr:uid="{00000000-0005-0000-0000-0000E6230000}"/>
    <cellStyle name="20% - Accent5 3 6 2 2 2 2 2" xfId="9284" xr:uid="{00000000-0005-0000-0000-0000E7230000}"/>
    <cellStyle name="20% - Accent5 3 6 2 2 2 2 3" xfId="9285" xr:uid="{00000000-0005-0000-0000-0000E8230000}"/>
    <cellStyle name="20% - Accent5 3 6 2 2 2 3" xfId="9286" xr:uid="{00000000-0005-0000-0000-0000E9230000}"/>
    <cellStyle name="20% - Accent5 3 6 2 2 2 4" xfId="9287" xr:uid="{00000000-0005-0000-0000-0000EA230000}"/>
    <cellStyle name="20% - Accent5 3 6 2 2 3" xfId="9288" xr:uid="{00000000-0005-0000-0000-0000EB230000}"/>
    <cellStyle name="20% - Accent5 3 6 2 2 3 2" xfId="9289" xr:uid="{00000000-0005-0000-0000-0000EC230000}"/>
    <cellStyle name="20% - Accent5 3 6 2 2 3 3" xfId="9290" xr:uid="{00000000-0005-0000-0000-0000ED230000}"/>
    <cellStyle name="20% - Accent5 3 6 2 2 4" xfId="9291" xr:uid="{00000000-0005-0000-0000-0000EE230000}"/>
    <cellStyle name="20% - Accent5 3 6 2 2 5" xfId="9292" xr:uid="{00000000-0005-0000-0000-0000EF230000}"/>
    <cellStyle name="20% - Accent5 3 6 2 2 6" xfId="9293" xr:uid="{00000000-0005-0000-0000-0000F0230000}"/>
    <cellStyle name="20% - Accent5 3 6 2 3" xfId="9294" xr:uid="{00000000-0005-0000-0000-0000F1230000}"/>
    <cellStyle name="20% - Accent5 3 6 2 3 2" xfId="9295" xr:uid="{00000000-0005-0000-0000-0000F2230000}"/>
    <cellStyle name="20% - Accent5 3 6 2 3 2 2" xfId="9296" xr:uid="{00000000-0005-0000-0000-0000F3230000}"/>
    <cellStyle name="20% - Accent5 3 6 2 3 2 3" xfId="9297" xr:uid="{00000000-0005-0000-0000-0000F4230000}"/>
    <cellStyle name="20% - Accent5 3 6 2 3 3" xfId="9298" xr:uid="{00000000-0005-0000-0000-0000F5230000}"/>
    <cellStyle name="20% - Accent5 3 6 2 3 4" xfId="9299" xr:uid="{00000000-0005-0000-0000-0000F6230000}"/>
    <cellStyle name="20% - Accent5 3 6 2 4" xfId="9300" xr:uid="{00000000-0005-0000-0000-0000F7230000}"/>
    <cellStyle name="20% - Accent5 3 6 2 4 2" xfId="9301" xr:uid="{00000000-0005-0000-0000-0000F8230000}"/>
    <cellStyle name="20% - Accent5 3 6 2 4 3" xfId="9302" xr:uid="{00000000-0005-0000-0000-0000F9230000}"/>
    <cellStyle name="20% - Accent5 3 6 2 5" xfId="9303" xr:uid="{00000000-0005-0000-0000-0000FA230000}"/>
    <cellStyle name="20% - Accent5 3 6 2 6" xfId="9304" xr:uid="{00000000-0005-0000-0000-0000FB230000}"/>
    <cellStyle name="20% - Accent5 3 6 2 7" xfId="9305" xr:uid="{00000000-0005-0000-0000-0000FC230000}"/>
    <cellStyle name="20% - Accent5 3 6 3" xfId="9306" xr:uid="{00000000-0005-0000-0000-0000FD230000}"/>
    <cellStyle name="20% - Accent5 3 6 3 2" xfId="9307" xr:uid="{00000000-0005-0000-0000-0000FE230000}"/>
    <cellStyle name="20% - Accent5 3 6 3 2 2" xfId="9308" xr:uid="{00000000-0005-0000-0000-0000FF230000}"/>
    <cellStyle name="20% - Accent5 3 6 3 2 2 2" xfId="9309" xr:uid="{00000000-0005-0000-0000-000000240000}"/>
    <cellStyle name="20% - Accent5 3 6 3 2 2 3" xfId="9310" xr:uid="{00000000-0005-0000-0000-000001240000}"/>
    <cellStyle name="20% - Accent5 3 6 3 2 3" xfId="9311" xr:uid="{00000000-0005-0000-0000-000002240000}"/>
    <cellStyle name="20% - Accent5 3 6 3 2 4" xfId="9312" xr:uid="{00000000-0005-0000-0000-000003240000}"/>
    <cellStyle name="20% - Accent5 3 6 3 3" xfId="9313" xr:uid="{00000000-0005-0000-0000-000004240000}"/>
    <cellStyle name="20% - Accent5 3 6 3 3 2" xfId="9314" xr:uid="{00000000-0005-0000-0000-000005240000}"/>
    <cellStyle name="20% - Accent5 3 6 3 3 3" xfId="9315" xr:uid="{00000000-0005-0000-0000-000006240000}"/>
    <cellStyle name="20% - Accent5 3 6 3 4" xfId="9316" xr:uid="{00000000-0005-0000-0000-000007240000}"/>
    <cellStyle name="20% - Accent5 3 6 3 5" xfId="9317" xr:uid="{00000000-0005-0000-0000-000008240000}"/>
    <cellStyle name="20% - Accent5 3 6 3 6" xfId="9318" xr:uid="{00000000-0005-0000-0000-000009240000}"/>
    <cellStyle name="20% - Accent5 3 6 4" xfId="9319" xr:uid="{00000000-0005-0000-0000-00000A240000}"/>
    <cellStyle name="20% - Accent5 3 6 4 2" xfId="9320" xr:uid="{00000000-0005-0000-0000-00000B240000}"/>
    <cellStyle name="20% - Accent5 3 6 4 2 2" xfId="9321" xr:uid="{00000000-0005-0000-0000-00000C240000}"/>
    <cellStyle name="20% - Accent5 3 6 4 2 3" xfId="9322" xr:uid="{00000000-0005-0000-0000-00000D240000}"/>
    <cellStyle name="20% - Accent5 3 6 4 3" xfId="9323" xr:uid="{00000000-0005-0000-0000-00000E240000}"/>
    <cellStyle name="20% - Accent5 3 6 4 4" xfId="9324" xr:uid="{00000000-0005-0000-0000-00000F240000}"/>
    <cellStyle name="20% - Accent5 3 6 5" xfId="9325" xr:uid="{00000000-0005-0000-0000-000010240000}"/>
    <cellStyle name="20% - Accent5 3 6 5 2" xfId="9326" xr:uid="{00000000-0005-0000-0000-000011240000}"/>
    <cellStyle name="20% - Accent5 3 6 5 3" xfId="9327" xr:uid="{00000000-0005-0000-0000-000012240000}"/>
    <cellStyle name="20% - Accent5 3 6 6" xfId="9328" xr:uid="{00000000-0005-0000-0000-000013240000}"/>
    <cellStyle name="20% - Accent5 3 6 7" xfId="9329" xr:uid="{00000000-0005-0000-0000-000014240000}"/>
    <cellStyle name="20% - Accent5 3 6 8" xfId="9330" xr:uid="{00000000-0005-0000-0000-000015240000}"/>
    <cellStyle name="20% - Accent5 3 7" xfId="9331" xr:uid="{00000000-0005-0000-0000-000016240000}"/>
    <cellStyle name="20% - Accent5 3 7 2" xfId="9332" xr:uid="{00000000-0005-0000-0000-000017240000}"/>
    <cellStyle name="20% - Accent5 3 7 2 2" xfId="9333" xr:uid="{00000000-0005-0000-0000-000018240000}"/>
    <cellStyle name="20% - Accent5 3 7 2 2 2" xfId="9334" xr:uid="{00000000-0005-0000-0000-000019240000}"/>
    <cellStyle name="20% - Accent5 3 7 2 2 2 2" xfId="9335" xr:uid="{00000000-0005-0000-0000-00001A240000}"/>
    <cellStyle name="20% - Accent5 3 7 2 2 2 2 2" xfId="9336" xr:uid="{00000000-0005-0000-0000-00001B240000}"/>
    <cellStyle name="20% - Accent5 3 7 2 2 2 2 3" xfId="9337" xr:uid="{00000000-0005-0000-0000-00001C240000}"/>
    <cellStyle name="20% - Accent5 3 7 2 2 2 3" xfId="9338" xr:uid="{00000000-0005-0000-0000-00001D240000}"/>
    <cellStyle name="20% - Accent5 3 7 2 2 2 4" xfId="9339" xr:uid="{00000000-0005-0000-0000-00001E240000}"/>
    <cellStyle name="20% - Accent5 3 7 2 2 3" xfId="9340" xr:uid="{00000000-0005-0000-0000-00001F240000}"/>
    <cellStyle name="20% - Accent5 3 7 2 2 3 2" xfId="9341" xr:uid="{00000000-0005-0000-0000-000020240000}"/>
    <cellStyle name="20% - Accent5 3 7 2 2 3 3" xfId="9342" xr:uid="{00000000-0005-0000-0000-000021240000}"/>
    <cellStyle name="20% - Accent5 3 7 2 2 4" xfId="9343" xr:uid="{00000000-0005-0000-0000-000022240000}"/>
    <cellStyle name="20% - Accent5 3 7 2 2 5" xfId="9344" xr:uid="{00000000-0005-0000-0000-000023240000}"/>
    <cellStyle name="20% - Accent5 3 7 2 2 6" xfId="9345" xr:uid="{00000000-0005-0000-0000-000024240000}"/>
    <cellStyle name="20% - Accent5 3 7 2 3" xfId="9346" xr:uid="{00000000-0005-0000-0000-000025240000}"/>
    <cellStyle name="20% - Accent5 3 7 2 3 2" xfId="9347" xr:uid="{00000000-0005-0000-0000-000026240000}"/>
    <cellStyle name="20% - Accent5 3 7 2 3 2 2" xfId="9348" xr:uid="{00000000-0005-0000-0000-000027240000}"/>
    <cellStyle name="20% - Accent5 3 7 2 3 2 3" xfId="9349" xr:uid="{00000000-0005-0000-0000-000028240000}"/>
    <cellStyle name="20% - Accent5 3 7 2 3 3" xfId="9350" xr:uid="{00000000-0005-0000-0000-000029240000}"/>
    <cellStyle name="20% - Accent5 3 7 2 3 4" xfId="9351" xr:uid="{00000000-0005-0000-0000-00002A240000}"/>
    <cellStyle name="20% - Accent5 3 7 2 4" xfId="9352" xr:uid="{00000000-0005-0000-0000-00002B240000}"/>
    <cellStyle name="20% - Accent5 3 7 2 4 2" xfId="9353" xr:uid="{00000000-0005-0000-0000-00002C240000}"/>
    <cellStyle name="20% - Accent5 3 7 2 4 3" xfId="9354" xr:uid="{00000000-0005-0000-0000-00002D240000}"/>
    <cellStyle name="20% - Accent5 3 7 2 5" xfId="9355" xr:uid="{00000000-0005-0000-0000-00002E240000}"/>
    <cellStyle name="20% - Accent5 3 7 2 6" xfId="9356" xr:uid="{00000000-0005-0000-0000-00002F240000}"/>
    <cellStyle name="20% - Accent5 3 7 2 7" xfId="9357" xr:uid="{00000000-0005-0000-0000-000030240000}"/>
    <cellStyle name="20% - Accent5 3 7 3" xfId="9358" xr:uid="{00000000-0005-0000-0000-000031240000}"/>
    <cellStyle name="20% - Accent5 3 7 3 2" xfId="9359" xr:uid="{00000000-0005-0000-0000-000032240000}"/>
    <cellStyle name="20% - Accent5 3 7 3 2 2" xfId="9360" xr:uid="{00000000-0005-0000-0000-000033240000}"/>
    <cellStyle name="20% - Accent5 3 7 3 2 2 2" xfId="9361" xr:uid="{00000000-0005-0000-0000-000034240000}"/>
    <cellStyle name="20% - Accent5 3 7 3 2 2 3" xfId="9362" xr:uid="{00000000-0005-0000-0000-000035240000}"/>
    <cellStyle name="20% - Accent5 3 7 3 2 3" xfId="9363" xr:uid="{00000000-0005-0000-0000-000036240000}"/>
    <cellStyle name="20% - Accent5 3 7 3 2 4" xfId="9364" xr:uid="{00000000-0005-0000-0000-000037240000}"/>
    <cellStyle name="20% - Accent5 3 7 3 3" xfId="9365" xr:uid="{00000000-0005-0000-0000-000038240000}"/>
    <cellStyle name="20% - Accent5 3 7 3 3 2" xfId="9366" xr:uid="{00000000-0005-0000-0000-000039240000}"/>
    <cellStyle name="20% - Accent5 3 7 3 3 3" xfId="9367" xr:uid="{00000000-0005-0000-0000-00003A240000}"/>
    <cellStyle name="20% - Accent5 3 7 3 4" xfId="9368" xr:uid="{00000000-0005-0000-0000-00003B240000}"/>
    <cellStyle name="20% - Accent5 3 7 3 5" xfId="9369" xr:uid="{00000000-0005-0000-0000-00003C240000}"/>
    <cellStyle name="20% - Accent5 3 7 3 6" xfId="9370" xr:uid="{00000000-0005-0000-0000-00003D240000}"/>
    <cellStyle name="20% - Accent5 3 7 4" xfId="9371" xr:uid="{00000000-0005-0000-0000-00003E240000}"/>
    <cellStyle name="20% - Accent5 3 7 4 2" xfId="9372" xr:uid="{00000000-0005-0000-0000-00003F240000}"/>
    <cellStyle name="20% - Accent5 3 7 4 2 2" xfId="9373" xr:uid="{00000000-0005-0000-0000-000040240000}"/>
    <cellStyle name="20% - Accent5 3 7 4 2 3" xfId="9374" xr:uid="{00000000-0005-0000-0000-000041240000}"/>
    <cellStyle name="20% - Accent5 3 7 4 3" xfId="9375" xr:uid="{00000000-0005-0000-0000-000042240000}"/>
    <cellStyle name="20% - Accent5 3 7 4 4" xfId="9376" xr:uid="{00000000-0005-0000-0000-000043240000}"/>
    <cellStyle name="20% - Accent5 3 7 5" xfId="9377" xr:uid="{00000000-0005-0000-0000-000044240000}"/>
    <cellStyle name="20% - Accent5 3 7 5 2" xfId="9378" xr:uid="{00000000-0005-0000-0000-000045240000}"/>
    <cellStyle name="20% - Accent5 3 7 5 3" xfId="9379" xr:uid="{00000000-0005-0000-0000-000046240000}"/>
    <cellStyle name="20% - Accent5 3 7 6" xfId="9380" xr:uid="{00000000-0005-0000-0000-000047240000}"/>
    <cellStyle name="20% - Accent5 3 7 7" xfId="9381" xr:uid="{00000000-0005-0000-0000-000048240000}"/>
    <cellStyle name="20% - Accent5 3 7 8" xfId="9382" xr:uid="{00000000-0005-0000-0000-000049240000}"/>
    <cellStyle name="20% - Accent5 3 8" xfId="9383" xr:uid="{00000000-0005-0000-0000-00004A240000}"/>
    <cellStyle name="20% - Accent5 3 8 2" xfId="9384" xr:uid="{00000000-0005-0000-0000-00004B240000}"/>
    <cellStyle name="20% - Accent5 3 8 2 2" xfId="9385" xr:uid="{00000000-0005-0000-0000-00004C240000}"/>
    <cellStyle name="20% - Accent5 3 8 2 2 2" xfId="9386" xr:uid="{00000000-0005-0000-0000-00004D240000}"/>
    <cellStyle name="20% - Accent5 3 8 2 2 2 2" xfId="9387" xr:uid="{00000000-0005-0000-0000-00004E240000}"/>
    <cellStyle name="20% - Accent5 3 8 2 2 2 3" xfId="9388" xr:uid="{00000000-0005-0000-0000-00004F240000}"/>
    <cellStyle name="20% - Accent5 3 8 2 2 3" xfId="9389" xr:uid="{00000000-0005-0000-0000-000050240000}"/>
    <cellStyle name="20% - Accent5 3 8 2 2 4" xfId="9390" xr:uid="{00000000-0005-0000-0000-000051240000}"/>
    <cellStyle name="20% - Accent5 3 8 2 3" xfId="9391" xr:uid="{00000000-0005-0000-0000-000052240000}"/>
    <cellStyle name="20% - Accent5 3 8 2 3 2" xfId="9392" xr:uid="{00000000-0005-0000-0000-000053240000}"/>
    <cellStyle name="20% - Accent5 3 8 2 3 3" xfId="9393" xr:uid="{00000000-0005-0000-0000-000054240000}"/>
    <cellStyle name="20% - Accent5 3 8 2 4" xfId="9394" xr:uid="{00000000-0005-0000-0000-000055240000}"/>
    <cellStyle name="20% - Accent5 3 8 2 5" xfId="9395" xr:uid="{00000000-0005-0000-0000-000056240000}"/>
    <cellStyle name="20% - Accent5 3 8 2 6" xfId="9396" xr:uid="{00000000-0005-0000-0000-000057240000}"/>
    <cellStyle name="20% - Accent5 3 8 3" xfId="9397" xr:uid="{00000000-0005-0000-0000-000058240000}"/>
    <cellStyle name="20% - Accent5 3 8 3 2" xfId="9398" xr:uid="{00000000-0005-0000-0000-000059240000}"/>
    <cellStyle name="20% - Accent5 3 8 3 2 2" xfId="9399" xr:uid="{00000000-0005-0000-0000-00005A240000}"/>
    <cellStyle name="20% - Accent5 3 8 3 2 3" xfId="9400" xr:uid="{00000000-0005-0000-0000-00005B240000}"/>
    <cellStyle name="20% - Accent5 3 8 3 3" xfId="9401" xr:uid="{00000000-0005-0000-0000-00005C240000}"/>
    <cellStyle name="20% - Accent5 3 8 3 4" xfId="9402" xr:uid="{00000000-0005-0000-0000-00005D240000}"/>
    <cellStyle name="20% - Accent5 3 8 4" xfId="9403" xr:uid="{00000000-0005-0000-0000-00005E240000}"/>
    <cellStyle name="20% - Accent5 3 8 4 2" xfId="9404" xr:uid="{00000000-0005-0000-0000-00005F240000}"/>
    <cellStyle name="20% - Accent5 3 8 4 3" xfId="9405" xr:uid="{00000000-0005-0000-0000-000060240000}"/>
    <cellStyle name="20% - Accent5 3 8 5" xfId="9406" xr:uid="{00000000-0005-0000-0000-000061240000}"/>
    <cellStyle name="20% - Accent5 3 8 6" xfId="9407" xr:uid="{00000000-0005-0000-0000-000062240000}"/>
    <cellStyle name="20% - Accent5 3 8 7" xfId="9408" xr:uid="{00000000-0005-0000-0000-000063240000}"/>
    <cellStyle name="20% - Accent5 3 9" xfId="9409" xr:uid="{00000000-0005-0000-0000-000064240000}"/>
    <cellStyle name="20% - Accent5 3 9 2" xfId="9410" xr:uid="{00000000-0005-0000-0000-000065240000}"/>
    <cellStyle name="20% - Accent5 3 9 2 2" xfId="9411" xr:uid="{00000000-0005-0000-0000-000066240000}"/>
    <cellStyle name="20% - Accent5 3 9 2 2 2" xfId="9412" xr:uid="{00000000-0005-0000-0000-000067240000}"/>
    <cellStyle name="20% - Accent5 3 9 2 2 3" xfId="9413" xr:uid="{00000000-0005-0000-0000-000068240000}"/>
    <cellStyle name="20% - Accent5 3 9 2 3" xfId="9414" xr:uid="{00000000-0005-0000-0000-000069240000}"/>
    <cellStyle name="20% - Accent5 3 9 2 4" xfId="9415" xr:uid="{00000000-0005-0000-0000-00006A240000}"/>
    <cellStyle name="20% - Accent5 3 9 3" xfId="9416" xr:uid="{00000000-0005-0000-0000-00006B240000}"/>
    <cellStyle name="20% - Accent5 3 9 3 2" xfId="9417" xr:uid="{00000000-0005-0000-0000-00006C240000}"/>
    <cellStyle name="20% - Accent5 3 9 3 3" xfId="9418" xr:uid="{00000000-0005-0000-0000-00006D240000}"/>
    <cellStyle name="20% - Accent5 3 9 4" xfId="9419" xr:uid="{00000000-0005-0000-0000-00006E240000}"/>
    <cellStyle name="20% - Accent5 3 9 5" xfId="9420" xr:uid="{00000000-0005-0000-0000-00006F240000}"/>
    <cellStyle name="20% - Accent5 3 9 6" xfId="9421" xr:uid="{00000000-0005-0000-0000-000070240000}"/>
    <cellStyle name="20% - Accent5 4" xfId="9422" xr:uid="{00000000-0005-0000-0000-000071240000}"/>
    <cellStyle name="20% - Accent5 4 10" xfId="9423" xr:uid="{00000000-0005-0000-0000-000072240000}"/>
    <cellStyle name="20% - Accent5 4 11" xfId="9424" xr:uid="{00000000-0005-0000-0000-000073240000}"/>
    <cellStyle name="20% - Accent5 4 2" xfId="9425" xr:uid="{00000000-0005-0000-0000-000074240000}"/>
    <cellStyle name="20% - Accent5 4 2 10" xfId="9426" xr:uid="{00000000-0005-0000-0000-000075240000}"/>
    <cellStyle name="20% - Accent5 4 2 2" xfId="9427" xr:uid="{00000000-0005-0000-0000-000076240000}"/>
    <cellStyle name="20% - Accent5 4 2 2 2" xfId="9428" xr:uid="{00000000-0005-0000-0000-000077240000}"/>
    <cellStyle name="20% - Accent5 4 2 2 2 2" xfId="9429" xr:uid="{00000000-0005-0000-0000-000078240000}"/>
    <cellStyle name="20% - Accent5 4 2 2 2 2 2" xfId="9430" xr:uid="{00000000-0005-0000-0000-000079240000}"/>
    <cellStyle name="20% - Accent5 4 2 2 2 2 2 2" xfId="9431" xr:uid="{00000000-0005-0000-0000-00007A240000}"/>
    <cellStyle name="20% - Accent5 4 2 2 2 2 2 2 2" xfId="9432" xr:uid="{00000000-0005-0000-0000-00007B240000}"/>
    <cellStyle name="20% - Accent5 4 2 2 2 2 2 2 2 2" xfId="9433" xr:uid="{00000000-0005-0000-0000-00007C240000}"/>
    <cellStyle name="20% - Accent5 4 2 2 2 2 2 2 2 3" xfId="9434" xr:uid="{00000000-0005-0000-0000-00007D240000}"/>
    <cellStyle name="20% - Accent5 4 2 2 2 2 2 2 3" xfId="9435" xr:uid="{00000000-0005-0000-0000-00007E240000}"/>
    <cellStyle name="20% - Accent5 4 2 2 2 2 2 2 4" xfId="9436" xr:uid="{00000000-0005-0000-0000-00007F240000}"/>
    <cellStyle name="20% - Accent5 4 2 2 2 2 2 3" xfId="9437" xr:uid="{00000000-0005-0000-0000-000080240000}"/>
    <cellStyle name="20% - Accent5 4 2 2 2 2 2 3 2" xfId="9438" xr:uid="{00000000-0005-0000-0000-000081240000}"/>
    <cellStyle name="20% - Accent5 4 2 2 2 2 2 3 3" xfId="9439" xr:uid="{00000000-0005-0000-0000-000082240000}"/>
    <cellStyle name="20% - Accent5 4 2 2 2 2 2 4" xfId="9440" xr:uid="{00000000-0005-0000-0000-000083240000}"/>
    <cellStyle name="20% - Accent5 4 2 2 2 2 2 5" xfId="9441" xr:uid="{00000000-0005-0000-0000-000084240000}"/>
    <cellStyle name="20% - Accent5 4 2 2 2 2 2 6" xfId="9442" xr:uid="{00000000-0005-0000-0000-000085240000}"/>
    <cellStyle name="20% - Accent5 4 2 2 2 2 3" xfId="9443" xr:uid="{00000000-0005-0000-0000-000086240000}"/>
    <cellStyle name="20% - Accent5 4 2 2 2 2 3 2" xfId="9444" xr:uid="{00000000-0005-0000-0000-000087240000}"/>
    <cellStyle name="20% - Accent5 4 2 2 2 2 3 2 2" xfId="9445" xr:uid="{00000000-0005-0000-0000-000088240000}"/>
    <cellStyle name="20% - Accent5 4 2 2 2 2 3 2 3" xfId="9446" xr:uid="{00000000-0005-0000-0000-000089240000}"/>
    <cellStyle name="20% - Accent5 4 2 2 2 2 3 3" xfId="9447" xr:uid="{00000000-0005-0000-0000-00008A240000}"/>
    <cellStyle name="20% - Accent5 4 2 2 2 2 3 4" xfId="9448" xr:uid="{00000000-0005-0000-0000-00008B240000}"/>
    <cellStyle name="20% - Accent5 4 2 2 2 2 4" xfId="9449" xr:uid="{00000000-0005-0000-0000-00008C240000}"/>
    <cellStyle name="20% - Accent5 4 2 2 2 2 4 2" xfId="9450" xr:uid="{00000000-0005-0000-0000-00008D240000}"/>
    <cellStyle name="20% - Accent5 4 2 2 2 2 4 3" xfId="9451" xr:uid="{00000000-0005-0000-0000-00008E240000}"/>
    <cellStyle name="20% - Accent5 4 2 2 2 2 5" xfId="9452" xr:uid="{00000000-0005-0000-0000-00008F240000}"/>
    <cellStyle name="20% - Accent5 4 2 2 2 2 6" xfId="9453" xr:uid="{00000000-0005-0000-0000-000090240000}"/>
    <cellStyle name="20% - Accent5 4 2 2 2 2 7" xfId="9454" xr:uid="{00000000-0005-0000-0000-000091240000}"/>
    <cellStyle name="20% - Accent5 4 2 2 2 3" xfId="9455" xr:uid="{00000000-0005-0000-0000-000092240000}"/>
    <cellStyle name="20% - Accent5 4 2 2 2 3 2" xfId="9456" xr:uid="{00000000-0005-0000-0000-000093240000}"/>
    <cellStyle name="20% - Accent5 4 2 2 2 3 2 2" xfId="9457" xr:uid="{00000000-0005-0000-0000-000094240000}"/>
    <cellStyle name="20% - Accent5 4 2 2 2 3 2 2 2" xfId="9458" xr:uid="{00000000-0005-0000-0000-000095240000}"/>
    <cellStyle name="20% - Accent5 4 2 2 2 3 2 2 3" xfId="9459" xr:uid="{00000000-0005-0000-0000-000096240000}"/>
    <cellStyle name="20% - Accent5 4 2 2 2 3 2 3" xfId="9460" xr:uid="{00000000-0005-0000-0000-000097240000}"/>
    <cellStyle name="20% - Accent5 4 2 2 2 3 2 4" xfId="9461" xr:uid="{00000000-0005-0000-0000-000098240000}"/>
    <cellStyle name="20% - Accent5 4 2 2 2 3 3" xfId="9462" xr:uid="{00000000-0005-0000-0000-000099240000}"/>
    <cellStyle name="20% - Accent5 4 2 2 2 3 3 2" xfId="9463" xr:uid="{00000000-0005-0000-0000-00009A240000}"/>
    <cellStyle name="20% - Accent5 4 2 2 2 3 3 3" xfId="9464" xr:uid="{00000000-0005-0000-0000-00009B240000}"/>
    <cellStyle name="20% - Accent5 4 2 2 2 3 4" xfId="9465" xr:uid="{00000000-0005-0000-0000-00009C240000}"/>
    <cellStyle name="20% - Accent5 4 2 2 2 3 5" xfId="9466" xr:uid="{00000000-0005-0000-0000-00009D240000}"/>
    <cellStyle name="20% - Accent5 4 2 2 2 3 6" xfId="9467" xr:uid="{00000000-0005-0000-0000-00009E240000}"/>
    <cellStyle name="20% - Accent5 4 2 2 2 4" xfId="9468" xr:uid="{00000000-0005-0000-0000-00009F240000}"/>
    <cellStyle name="20% - Accent5 4 2 2 2 4 2" xfId="9469" xr:uid="{00000000-0005-0000-0000-0000A0240000}"/>
    <cellStyle name="20% - Accent5 4 2 2 2 4 2 2" xfId="9470" xr:uid="{00000000-0005-0000-0000-0000A1240000}"/>
    <cellStyle name="20% - Accent5 4 2 2 2 4 2 3" xfId="9471" xr:uid="{00000000-0005-0000-0000-0000A2240000}"/>
    <cellStyle name="20% - Accent5 4 2 2 2 4 3" xfId="9472" xr:uid="{00000000-0005-0000-0000-0000A3240000}"/>
    <cellStyle name="20% - Accent5 4 2 2 2 4 4" xfId="9473" xr:uid="{00000000-0005-0000-0000-0000A4240000}"/>
    <cellStyle name="20% - Accent5 4 2 2 2 5" xfId="9474" xr:uid="{00000000-0005-0000-0000-0000A5240000}"/>
    <cellStyle name="20% - Accent5 4 2 2 2 5 2" xfId="9475" xr:uid="{00000000-0005-0000-0000-0000A6240000}"/>
    <cellStyle name="20% - Accent5 4 2 2 2 5 3" xfId="9476" xr:uid="{00000000-0005-0000-0000-0000A7240000}"/>
    <cellStyle name="20% - Accent5 4 2 2 2 6" xfId="9477" xr:uid="{00000000-0005-0000-0000-0000A8240000}"/>
    <cellStyle name="20% - Accent5 4 2 2 2 7" xfId="9478" xr:uid="{00000000-0005-0000-0000-0000A9240000}"/>
    <cellStyle name="20% - Accent5 4 2 2 2 8" xfId="9479" xr:uid="{00000000-0005-0000-0000-0000AA240000}"/>
    <cellStyle name="20% - Accent5 4 2 2 3" xfId="9480" xr:uid="{00000000-0005-0000-0000-0000AB240000}"/>
    <cellStyle name="20% - Accent5 4 2 2 3 2" xfId="9481" xr:uid="{00000000-0005-0000-0000-0000AC240000}"/>
    <cellStyle name="20% - Accent5 4 2 2 3 2 2" xfId="9482" xr:uid="{00000000-0005-0000-0000-0000AD240000}"/>
    <cellStyle name="20% - Accent5 4 2 2 3 2 2 2" xfId="9483" xr:uid="{00000000-0005-0000-0000-0000AE240000}"/>
    <cellStyle name="20% - Accent5 4 2 2 3 2 2 2 2" xfId="9484" xr:uid="{00000000-0005-0000-0000-0000AF240000}"/>
    <cellStyle name="20% - Accent5 4 2 2 3 2 2 2 3" xfId="9485" xr:uid="{00000000-0005-0000-0000-0000B0240000}"/>
    <cellStyle name="20% - Accent5 4 2 2 3 2 2 3" xfId="9486" xr:uid="{00000000-0005-0000-0000-0000B1240000}"/>
    <cellStyle name="20% - Accent5 4 2 2 3 2 2 4" xfId="9487" xr:uid="{00000000-0005-0000-0000-0000B2240000}"/>
    <cellStyle name="20% - Accent5 4 2 2 3 2 3" xfId="9488" xr:uid="{00000000-0005-0000-0000-0000B3240000}"/>
    <cellStyle name="20% - Accent5 4 2 2 3 2 3 2" xfId="9489" xr:uid="{00000000-0005-0000-0000-0000B4240000}"/>
    <cellStyle name="20% - Accent5 4 2 2 3 2 3 3" xfId="9490" xr:uid="{00000000-0005-0000-0000-0000B5240000}"/>
    <cellStyle name="20% - Accent5 4 2 2 3 2 4" xfId="9491" xr:uid="{00000000-0005-0000-0000-0000B6240000}"/>
    <cellStyle name="20% - Accent5 4 2 2 3 2 5" xfId="9492" xr:uid="{00000000-0005-0000-0000-0000B7240000}"/>
    <cellStyle name="20% - Accent5 4 2 2 3 2 6" xfId="9493" xr:uid="{00000000-0005-0000-0000-0000B8240000}"/>
    <cellStyle name="20% - Accent5 4 2 2 3 3" xfId="9494" xr:uid="{00000000-0005-0000-0000-0000B9240000}"/>
    <cellStyle name="20% - Accent5 4 2 2 3 3 2" xfId="9495" xr:uid="{00000000-0005-0000-0000-0000BA240000}"/>
    <cellStyle name="20% - Accent5 4 2 2 3 3 2 2" xfId="9496" xr:uid="{00000000-0005-0000-0000-0000BB240000}"/>
    <cellStyle name="20% - Accent5 4 2 2 3 3 2 3" xfId="9497" xr:uid="{00000000-0005-0000-0000-0000BC240000}"/>
    <cellStyle name="20% - Accent5 4 2 2 3 3 3" xfId="9498" xr:uid="{00000000-0005-0000-0000-0000BD240000}"/>
    <cellStyle name="20% - Accent5 4 2 2 3 3 4" xfId="9499" xr:uid="{00000000-0005-0000-0000-0000BE240000}"/>
    <cellStyle name="20% - Accent5 4 2 2 3 4" xfId="9500" xr:uid="{00000000-0005-0000-0000-0000BF240000}"/>
    <cellStyle name="20% - Accent5 4 2 2 3 4 2" xfId="9501" xr:uid="{00000000-0005-0000-0000-0000C0240000}"/>
    <cellStyle name="20% - Accent5 4 2 2 3 4 3" xfId="9502" xr:uid="{00000000-0005-0000-0000-0000C1240000}"/>
    <cellStyle name="20% - Accent5 4 2 2 3 5" xfId="9503" xr:uid="{00000000-0005-0000-0000-0000C2240000}"/>
    <cellStyle name="20% - Accent5 4 2 2 3 6" xfId="9504" xr:uid="{00000000-0005-0000-0000-0000C3240000}"/>
    <cellStyle name="20% - Accent5 4 2 2 3 7" xfId="9505" xr:uid="{00000000-0005-0000-0000-0000C4240000}"/>
    <cellStyle name="20% - Accent5 4 2 2 4" xfId="9506" xr:uid="{00000000-0005-0000-0000-0000C5240000}"/>
    <cellStyle name="20% - Accent5 4 2 2 4 2" xfId="9507" xr:uid="{00000000-0005-0000-0000-0000C6240000}"/>
    <cellStyle name="20% - Accent5 4 2 2 4 2 2" xfId="9508" xr:uid="{00000000-0005-0000-0000-0000C7240000}"/>
    <cellStyle name="20% - Accent5 4 2 2 4 2 2 2" xfId="9509" xr:uid="{00000000-0005-0000-0000-0000C8240000}"/>
    <cellStyle name="20% - Accent5 4 2 2 4 2 2 3" xfId="9510" xr:uid="{00000000-0005-0000-0000-0000C9240000}"/>
    <cellStyle name="20% - Accent5 4 2 2 4 2 3" xfId="9511" xr:uid="{00000000-0005-0000-0000-0000CA240000}"/>
    <cellStyle name="20% - Accent5 4 2 2 4 2 4" xfId="9512" xr:uid="{00000000-0005-0000-0000-0000CB240000}"/>
    <cellStyle name="20% - Accent5 4 2 2 4 3" xfId="9513" xr:uid="{00000000-0005-0000-0000-0000CC240000}"/>
    <cellStyle name="20% - Accent5 4 2 2 4 3 2" xfId="9514" xr:uid="{00000000-0005-0000-0000-0000CD240000}"/>
    <cellStyle name="20% - Accent5 4 2 2 4 3 3" xfId="9515" xr:uid="{00000000-0005-0000-0000-0000CE240000}"/>
    <cellStyle name="20% - Accent5 4 2 2 4 4" xfId="9516" xr:uid="{00000000-0005-0000-0000-0000CF240000}"/>
    <cellStyle name="20% - Accent5 4 2 2 4 5" xfId="9517" xr:uid="{00000000-0005-0000-0000-0000D0240000}"/>
    <cellStyle name="20% - Accent5 4 2 2 4 6" xfId="9518" xr:uid="{00000000-0005-0000-0000-0000D1240000}"/>
    <cellStyle name="20% - Accent5 4 2 2 5" xfId="9519" xr:uid="{00000000-0005-0000-0000-0000D2240000}"/>
    <cellStyle name="20% - Accent5 4 2 2 5 2" xfId="9520" xr:uid="{00000000-0005-0000-0000-0000D3240000}"/>
    <cellStyle name="20% - Accent5 4 2 2 5 2 2" xfId="9521" xr:uid="{00000000-0005-0000-0000-0000D4240000}"/>
    <cellStyle name="20% - Accent5 4 2 2 5 2 3" xfId="9522" xr:uid="{00000000-0005-0000-0000-0000D5240000}"/>
    <cellStyle name="20% - Accent5 4 2 2 5 3" xfId="9523" xr:uid="{00000000-0005-0000-0000-0000D6240000}"/>
    <cellStyle name="20% - Accent5 4 2 2 5 4" xfId="9524" xr:uid="{00000000-0005-0000-0000-0000D7240000}"/>
    <cellStyle name="20% - Accent5 4 2 2 6" xfId="9525" xr:uid="{00000000-0005-0000-0000-0000D8240000}"/>
    <cellStyle name="20% - Accent5 4 2 2 6 2" xfId="9526" xr:uid="{00000000-0005-0000-0000-0000D9240000}"/>
    <cellStyle name="20% - Accent5 4 2 2 6 3" xfId="9527" xr:uid="{00000000-0005-0000-0000-0000DA240000}"/>
    <cellStyle name="20% - Accent5 4 2 2 7" xfId="9528" xr:uid="{00000000-0005-0000-0000-0000DB240000}"/>
    <cellStyle name="20% - Accent5 4 2 2 8" xfId="9529" xr:uid="{00000000-0005-0000-0000-0000DC240000}"/>
    <cellStyle name="20% - Accent5 4 2 2 9" xfId="9530" xr:uid="{00000000-0005-0000-0000-0000DD240000}"/>
    <cellStyle name="20% - Accent5 4 2 3" xfId="9531" xr:uid="{00000000-0005-0000-0000-0000DE240000}"/>
    <cellStyle name="20% - Accent5 4 2 3 2" xfId="9532" xr:uid="{00000000-0005-0000-0000-0000DF240000}"/>
    <cellStyle name="20% - Accent5 4 2 3 2 2" xfId="9533" xr:uid="{00000000-0005-0000-0000-0000E0240000}"/>
    <cellStyle name="20% - Accent5 4 2 3 2 2 2" xfId="9534" xr:uid="{00000000-0005-0000-0000-0000E1240000}"/>
    <cellStyle name="20% - Accent5 4 2 3 2 2 2 2" xfId="9535" xr:uid="{00000000-0005-0000-0000-0000E2240000}"/>
    <cellStyle name="20% - Accent5 4 2 3 2 2 2 2 2" xfId="9536" xr:uid="{00000000-0005-0000-0000-0000E3240000}"/>
    <cellStyle name="20% - Accent5 4 2 3 2 2 2 2 3" xfId="9537" xr:uid="{00000000-0005-0000-0000-0000E4240000}"/>
    <cellStyle name="20% - Accent5 4 2 3 2 2 2 3" xfId="9538" xr:uid="{00000000-0005-0000-0000-0000E5240000}"/>
    <cellStyle name="20% - Accent5 4 2 3 2 2 2 4" xfId="9539" xr:uid="{00000000-0005-0000-0000-0000E6240000}"/>
    <cellStyle name="20% - Accent5 4 2 3 2 2 3" xfId="9540" xr:uid="{00000000-0005-0000-0000-0000E7240000}"/>
    <cellStyle name="20% - Accent5 4 2 3 2 2 3 2" xfId="9541" xr:uid="{00000000-0005-0000-0000-0000E8240000}"/>
    <cellStyle name="20% - Accent5 4 2 3 2 2 3 3" xfId="9542" xr:uid="{00000000-0005-0000-0000-0000E9240000}"/>
    <cellStyle name="20% - Accent5 4 2 3 2 2 4" xfId="9543" xr:uid="{00000000-0005-0000-0000-0000EA240000}"/>
    <cellStyle name="20% - Accent5 4 2 3 2 2 5" xfId="9544" xr:uid="{00000000-0005-0000-0000-0000EB240000}"/>
    <cellStyle name="20% - Accent5 4 2 3 2 2 6" xfId="9545" xr:uid="{00000000-0005-0000-0000-0000EC240000}"/>
    <cellStyle name="20% - Accent5 4 2 3 2 3" xfId="9546" xr:uid="{00000000-0005-0000-0000-0000ED240000}"/>
    <cellStyle name="20% - Accent5 4 2 3 2 3 2" xfId="9547" xr:uid="{00000000-0005-0000-0000-0000EE240000}"/>
    <cellStyle name="20% - Accent5 4 2 3 2 3 2 2" xfId="9548" xr:uid="{00000000-0005-0000-0000-0000EF240000}"/>
    <cellStyle name="20% - Accent5 4 2 3 2 3 2 3" xfId="9549" xr:uid="{00000000-0005-0000-0000-0000F0240000}"/>
    <cellStyle name="20% - Accent5 4 2 3 2 3 3" xfId="9550" xr:uid="{00000000-0005-0000-0000-0000F1240000}"/>
    <cellStyle name="20% - Accent5 4 2 3 2 3 4" xfId="9551" xr:uid="{00000000-0005-0000-0000-0000F2240000}"/>
    <cellStyle name="20% - Accent5 4 2 3 2 4" xfId="9552" xr:uid="{00000000-0005-0000-0000-0000F3240000}"/>
    <cellStyle name="20% - Accent5 4 2 3 2 4 2" xfId="9553" xr:uid="{00000000-0005-0000-0000-0000F4240000}"/>
    <cellStyle name="20% - Accent5 4 2 3 2 4 3" xfId="9554" xr:uid="{00000000-0005-0000-0000-0000F5240000}"/>
    <cellStyle name="20% - Accent5 4 2 3 2 5" xfId="9555" xr:uid="{00000000-0005-0000-0000-0000F6240000}"/>
    <cellStyle name="20% - Accent5 4 2 3 2 6" xfId="9556" xr:uid="{00000000-0005-0000-0000-0000F7240000}"/>
    <cellStyle name="20% - Accent5 4 2 3 2 7" xfId="9557" xr:uid="{00000000-0005-0000-0000-0000F8240000}"/>
    <cellStyle name="20% - Accent5 4 2 3 3" xfId="9558" xr:uid="{00000000-0005-0000-0000-0000F9240000}"/>
    <cellStyle name="20% - Accent5 4 2 3 3 2" xfId="9559" xr:uid="{00000000-0005-0000-0000-0000FA240000}"/>
    <cellStyle name="20% - Accent5 4 2 3 3 2 2" xfId="9560" xr:uid="{00000000-0005-0000-0000-0000FB240000}"/>
    <cellStyle name="20% - Accent5 4 2 3 3 2 2 2" xfId="9561" xr:uid="{00000000-0005-0000-0000-0000FC240000}"/>
    <cellStyle name="20% - Accent5 4 2 3 3 2 2 3" xfId="9562" xr:uid="{00000000-0005-0000-0000-0000FD240000}"/>
    <cellStyle name="20% - Accent5 4 2 3 3 2 3" xfId="9563" xr:uid="{00000000-0005-0000-0000-0000FE240000}"/>
    <cellStyle name="20% - Accent5 4 2 3 3 2 4" xfId="9564" xr:uid="{00000000-0005-0000-0000-0000FF240000}"/>
    <cellStyle name="20% - Accent5 4 2 3 3 3" xfId="9565" xr:uid="{00000000-0005-0000-0000-000000250000}"/>
    <cellStyle name="20% - Accent5 4 2 3 3 3 2" xfId="9566" xr:uid="{00000000-0005-0000-0000-000001250000}"/>
    <cellStyle name="20% - Accent5 4 2 3 3 3 3" xfId="9567" xr:uid="{00000000-0005-0000-0000-000002250000}"/>
    <cellStyle name="20% - Accent5 4 2 3 3 4" xfId="9568" xr:uid="{00000000-0005-0000-0000-000003250000}"/>
    <cellStyle name="20% - Accent5 4 2 3 3 5" xfId="9569" xr:uid="{00000000-0005-0000-0000-000004250000}"/>
    <cellStyle name="20% - Accent5 4 2 3 3 6" xfId="9570" xr:uid="{00000000-0005-0000-0000-000005250000}"/>
    <cellStyle name="20% - Accent5 4 2 3 4" xfId="9571" xr:uid="{00000000-0005-0000-0000-000006250000}"/>
    <cellStyle name="20% - Accent5 4 2 3 4 2" xfId="9572" xr:uid="{00000000-0005-0000-0000-000007250000}"/>
    <cellStyle name="20% - Accent5 4 2 3 4 2 2" xfId="9573" xr:uid="{00000000-0005-0000-0000-000008250000}"/>
    <cellStyle name="20% - Accent5 4 2 3 4 2 3" xfId="9574" xr:uid="{00000000-0005-0000-0000-000009250000}"/>
    <cellStyle name="20% - Accent5 4 2 3 4 3" xfId="9575" xr:uid="{00000000-0005-0000-0000-00000A250000}"/>
    <cellStyle name="20% - Accent5 4 2 3 4 4" xfId="9576" xr:uid="{00000000-0005-0000-0000-00000B250000}"/>
    <cellStyle name="20% - Accent5 4 2 3 5" xfId="9577" xr:uid="{00000000-0005-0000-0000-00000C250000}"/>
    <cellStyle name="20% - Accent5 4 2 3 5 2" xfId="9578" xr:uid="{00000000-0005-0000-0000-00000D250000}"/>
    <cellStyle name="20% - Accent5 4 2 3 5 3" xfId="9579" xr:uid="{00000000-0005-0000-0000-00000E250000}"/>
    <cellStyle name="20% - Accent5 4 2 3 6" xfId="9580" xr:uid="{00000000-0005-0000-0000-00000F250000}"/>
    <cellStyle name="20% - Accent5 4 2 3 7" xfId="9581" xr:uid="{00000000-0005-0000-0000-000010250000}"/>
    <cellStyle name="20% - Accent5 4 2 3 8" xfId="9582" xr:uid="{00000000-0005-0000-0000-000011250000}"/>
    <cellStyle name="20% - Accent5 4 2 4" xfId="9583" xr:uid="{00000000-0005-0000-0000-000012250000}"/>
    <cellStyle name="20% - Accent5 4 2 4 2" xfId="9584" xr:uid="{00000000-0005-0000-0000-000013250000}"/>
    <cellStyle name="20% - Accent5 4 2 4 2 2" xfId="9585" xr:uid="{00000000-0005-0000-0000-000014250000}"/>
    <cellStyle name="20% - Accent5 4 2 4 2 2 2" xfId="9586" xr:uid="{00000000-0005-0000-0000-000015250000}"/>
    <cellStyle name="20% - Accent5 4 2 4 2 2 2 2" xfId="9587" xr:uid="{00000000-0005-0000-0000-000016250000}"/>
    <cellStyle name="20% - Accent5 4 2 4 2 2 2 3" xfId="9588" xr:uid="{00000000-0005-0000-0000-000017250000}"/>
    <cellStyle name="20% - Accent5 4 2 4 2 2 3" xfId="9589" xr:uid="{00000000-0005-0000-0000-000018250000}"/>
    <cellStyle name="20% - Accent5 4 2 4 2 2 4" xfId="9590" xr:uid="{00000000-0005-0000-0000-000019250000}"/>
    <cellStyle name="20% - Accent5 4 2 4 2 3" xfId="9591" xr:uid="{00000000-0005-0000-0000-00001A250000}"/>
    <cellStyle name="20% - Accent5 4 2 4 2 3 2" xfId="9592" xr:uid="{00000000-0005-0000-0000-00001B250000}"/>
    <cellStyle name="20% - Accent5 4 2 4 2 3 3" xfId="9593" xr:uid="{00000000-0005-0000-0000-00001C250000}"/>
    <cellStyle name="20% - Accent5 4 2 4 2 4" xfId="9594" xr:uid="{00000000-0005-0000-0000-00001D250000}"/>
    <cellStyle name="20% - Accent5 4 2 4 2 5" xfId="9595" xr:uid="{00000000-0005-0000-0000-00001E250000}"/>
    <cellStyle name="20% - Accent5 4 2 4 2 6" xfId="9596" xr:uid="{00000000-0005-0000-0000-00001F250000}"/>
    <cellStyle name="20% - Accent5 4 2 4 3" xfId="9597" xr:uid="{00000000-0005-0000-0000-000020250000}"/>
    <cellStyle name="20% - Accent5 4 2 4 3 2" xfId="9598" xr:uid="{00000000-0005-0000-0000-000021250000}"/>
    <cellStyle name="20% - Accent5 4 2 4 3 2 2" xfId="9599" xr:uid="{00000000-0005-0000-0000-000022250000}"/>
    <cellStyle name="20% - Accent5 4 2 4 3 2 3" xfId="9600" xr:uid="{00000000-0005-0000-0000-000023250000}"/>
    <cellStyle name="20% - Accent5 4 2 4 3 3" xfId="9601" xr:uid="{00000000-0005-0000-0000-000024250000}"/>
    <cellStyle name="20% - Accent5 4 2 4 3 4" xfId="9602" xr:uid="{00000000-0005-0000-0000-000025250000}"/>
    <cellStyle name="20% - Accent5 4 2 4 4" xfId="9603" xr:uid="{00000000-0005-0000-0000-000026250000}"/>
    <cellStyle name="20% - Accent5 4 2 4 4 2" xfId="9604" xr:uid="{00000000-0005-0000-0000-000027250000}"/>
    <cellStyle name="20% - Accent5 4 2 4 4 3" xfId="9605" xr:uid="{00000000-0005-0000-0000-000028250000}"/>
    <cellStyle name="20% - Accent5 4 2 4 5" xfId="9606" xr:uid="{00000000-0005-0000-0000-000029250000}"/>
    <cellStyle name="20% - Accent5 4 2 4 6" xfId="9607" xr:uid="{00000000-0005-0000-0000-00002A250000}"/>
    <cellStyle name="20% - Accent5 4 2 4 7" xfId="9608" xr:uid="{00000000-0005-0000-0000-00002B250000}"/>
    <cellStyle name="20% - Accent5 4 2 5" xfId="9609" xr:uid="{00000000-0005-0000-0000-00002C250000}"/>
    <cellStyle name="20% - Accent5 4 2 5 2" xfId="9610" xr:uid="{00000000-0005-0000-0000-00002D250000}"/>
    <cellStyle name="20% - Accent5 4 2 5 2 2" xfId="9611" xr:uid="{00000000-0005-0000-0000-00002E250000}"/>
    <cellStyle name="20% - Accent5 4 2 5 2 2 2" xfId="9612" xr:uid="{00000000-0005-0000-0000-00002F250000}"/>
    <cellStyle name="20% - Accent5 4 2 5 2 2 3" xfId="9613" xr:uid="{00000000-0005-0000-0000-000030250000}"/>
    <cellStyle name="20% - Accent5 4 2 5 2 3" xfId="9614" xr:uid="{00000000-0005-0000-0000-000031250000}"/>
    <cellStyle name="20% - Accent5 4 2 5 2 4" xfId="9615" xr:uid="{00000000-0005-0000-0000-000032250000}"/>
    <cellStyle name="20% - Accent5 4 2 5 3" xfId="9616" xr:uid="{00000000-0005-0000-0000-000033250000}"/>
    <cellStyle name="20% - Accent5 4 2 5 3 2" xfId="9617" xr:uid="{00000000-0005-0000-0000-000034250000}"/>
    <cellStyle name="20% - Accent5 4 2 5 3 3" xfId="9618" xr:uid="{00000000-0005-0000-0000-000035250000}"/>
    <cellStyle name="20% - Accent5 4 2 5 4" xfId="9619" xr:uid="{00000000-0005-0000-0000-000036250000}"/>
    <cellStyle name="20% - Accent5 4 2 5 5" xfId="9620" xr:uid="{00000000-0005-0000-0000-000037250000}"/>
    <cellStyle name="20% - Accent5 4 2 5 6" xfId="9621" xr:uid="{00000000-0005-0000-0000-000038250000}"/>
    <cellStyle name="20% - Accent5 4 2 6" xfId="9622" xr:uid="{00000000-0005-0000-0000-000039250000}"/>
    <cellStyle name="20% - Accent5 4 2 6 2" xfId="9623" xr:uid="{00000000-0005-0000-0000-00003A250000}"/>
    <cellStyle name="20% - Accent5 4 2 6 2 2" xfId="9624" xr:uid="{00000000-0005-0000-0000-00003B250000}"/>
    <cellStyle name="20% - Accent5 4 2 6 2 3" xfId="9625" xr:uid="{00000000-0005-0000-0000-00003C250000}"/>
    <cellStyle name="20% - Accent5 4 2 6 3" xfId="9626" xr:uid="{00000000-0005-0000-0000-00003D250000}"/>
    <cellStyle name="20% - Accent5 4 2 6 4" xfId="9627" xr:uid="{00000000-0005-0000-0000-00003E250000}"/>
    <cellStyle name="20% - Accent5 4 2 7" xfId="9628" xr:uid="{00000000-0005-0000-0000-00003F250000}"/>
    <cellStyle name="20% - Accent5 4 2 7 2" xfId="9629" xr:uid="{00000000-0005-0000-0000-000040250000}"/>
    <cellStyle name="20% - Accent5 4 2 7 3" xfId="9630" xr:uid="{00000000-0005-0000-0000-000041250000}"/>
    <cellStyle name="20% - Accent5 4 2 8" xfId="9631" xr:uid="{00000000-0005-0000-0000-000042250000}"/>
    <cellStyle name="20% - Accent5 4 2 9" xfId="9632" xr:uid="{00000000-0005-0000-0000-000043250000}"/>
    <cellStyle name="20% - Accent5 4 3" xfId="9633" xr:uid="{00000000-0005-0000-0000-000044250000}"/>
    <cellStyle name="20% - Accent5 4 3 2" xfId="9634" xr:uid="{00000000-0005-0000-0000-000045250000}"/>
    <cellStyle name="20% - Accent5 4 3 2 2" xfId="9635" xr:uid="{00000000-0005-0000-0000-000046250000}"/>
    <cellStyle name="20% - Accent5 4 3 2 2 2" xfId="9636" xr:uid="{00000000-0005-0000-0000-000047250000}"/>
    <cellStyle name="20% - Accent5 4 3 2 2 2 2" xfId="9637" xr:uid="{00000000-0005-0000-0000-000048250000}"/>
    <cellStyle name="20% - Accent5 4 3 2 2 2 2 2" xfId="9638" xr:uid="{00000000-0005-0000-0000-000049250000}"/>
    <cellStyle name="20% - Accent5 4 3 2 2 2 2 2 2" xfId="9639" xr:uid="{00000000-0005-0000-0000-00004A250000}"/>
    <cellStyle name="20% - Accent5 4 3 2 2 2 2 2 3" xfId="9640" xr:uid="{00000000-0005-0000-0000-00004B250000}"/>
    <cellStyle name="20% - Accent5 4 3 2 2 2 2 3" xfId="9641" xr:uid="{00000000-0005-0000-0000-00004C250000}"/>
    <cellStyle name="20% - Accent5 4 3 2 2 2 2 4" xfId="9642" xr:uid="{00000000-0005-0000-0000-00004D250000}"/>
    <cellStyle name="20% - Accent5 4 3 2 2 2 3" xfId="9643" xr:uid="{00000000-0005-0000-0000-00004E250000}"/>
    <cellStyle name="20% - Accent5 4 3 2 2 2 3 2" xfId="9644" xr:uid="{00000000-0005-0000-0000-00004F250000}"/>
    <cellStyle name="20% - Accent5 4 3 2 2 2 3 3" xfId="9645" xr:uid="{00000000-0005-0000-0000-000050250000}"/>
    <cellStyle name="20% - Accent5 4 3 2 2 2 4" xfId="9646" xr:uid="{00000000-0005-0000-0000-000051250000}"/>
    <cellStyle name="20% - Accent5 4 3 2 2 2 5" xfId="9647" xr:uid="{00000000-0005-0000-0000-000052250000}"/>
    <cellStyle name="20% - Accent5 4 3 2 2 2 6" xfId="9648" xr:uid="{00000000-0005-0000-0000-000053250000}"/>
    <cellStyle name="20% - Accent5 4 3 2 2 3" xfId="9649" xr:uid="{00000000-0005-0000-0000-000054250000}"/>
    <cellStyle name="20% - Accent5 4 3 2 2 3 2" xfId="9650" xr:uid="{00000000-0005-0000-0000-000055250000}"/>
    <cellStyle name="20% - Accent5 4 3 2 2 3 2 2" xfId="9651" xr:uid="{00000000-0005-0000-0000-000056250000}"/>
    <cellStyle name="20% - Accent5 4 3 2 2 3 2 3" xfId="9652" xr:uid="{00000000-0005-0000-0000-000057250000}"/>
    <cellStyle name="20% - Accent5 4 3 2 2 3 3" xfId="9653" xr:uid="{00000000-0005-0000-0000-000058250000}"/>
    <cellStyle name="20% - Accent5 4 3 2 2 3 4" xfId="9654" xr:uid="{00000000-0005-0000-0000-000059250000}"/>
    <cellStyle name="20% - Accent5 4 3 2 2 4" xfId="9655" xr:uid="{00000000-0005-0000-0000-00005A250000}"/>
    <cellStyle name="20% - Accent5 4 3 2 2 4 2" xfId="9656" xr:uid="{00000000-0005-0000-0000-00005B250000}"/>
    <cellStyle name="20% - Accent5 4 3 2 2 4 3" xfId="9657" xr:uid="{00000000-0005-0000-0000-00005C250000}"/>
    <cellStyle name="20% - Accent5 4 3 2 2 5" xfId="9658" xr:uid="{00000000-0005-0000-0000-00005D250000}"/>
    <cellStyle name="20% - Accent5 4 3 2 2 6" xfId="9659" xr:uid="{00000000-0005-0000-0000-00005E250000}"/>
    <cellStyle name="20% - Accent5 4 3 2 2 7" xfId="9660" xr:uid="{00000000-0005-0000-0000-00005F250000}"/>
    <cellStyle name="20% - Accent5 4 3 2 3" xfId="9661" xr:uid="{00000000-0005-0000-0000-000060250000}"/>
    <cellStyle name="20% - Accent5 4 3 2 3 2" xfId="9662" xr:uid="{00000000-0005-0000-0000-000061250000}"/>
    <cellStyle name="20% - Accent5 4 3 2 3 2 2" xfId="9663" xr:uid="{00000000-0005-0000-0000-000062250000}"/>
    <cellStyle name="20% - Accent5 4 3 2 3 2 2 2" xfId="9664" xr:uid="{00000000-0005-0000-0000-000063250000}"/>
    <cellStyle name="20% - Accent5 4 3 2 3 2 2 3" xfId="9665" xr:uid="{00000000-0005-0000-0000-000064250000}"/>
    <cellStyle name="20% - Accent5 4 3 2 3 2 3" xfId="9666" xr:uid="{00000000-0005-0000-0000-000065250000}"/>
    <cellStyle name="20% - Accent5 4 3 2 3 2 4" xfId="9667" xr:uid="{00000000-0005-0000-0000-000066250000}"/>
    <cellStyle name="20% - Accent5 4 3 2 3 3" xfId="9668" xr:uid="{00000000-0005-0000-0000-000067250000}"/>
    <cellStyle name="20% - Accent5 4 3 2 3 3 2" xfId="9669" xr:uid="{00000000-0005-0000-0000-000068250000}"/>
    <cellStyle name="20% - Accent5 4 3 2 3 3 3" xfId="9670" xr:uid="{00000000-0005-0000-0000-000069250000}"/>
    <cellStyle name="20% - Accent5 4 3 2 3 4" xfId="9671" xr:uid="{00000000-0005-0000-0000-00006A250000}"/>
    <cellStyle name="20% - Accent5 4 3 2 3 5" xfId="9672" xr:uid="{00000000-0005-0000-0000-00006B250000}"/>
    <cellStyle name="20% - Accent5 4 3 2 3 6" xfId="9673" xr:uid="{00000000-0005-0000-0000-00006C250000}"/>
    <cellStyle name="20% - Accent5 4 3 2 4" xfId="9674" xr:uid="{00000000-0005-0000-0000-00006D250000}"/>
    <cellStyle name="20% - Accent5 4 3 2 4 2" xfId="9675" xr:uid="{00000000-0005-0000-0000-00006E250000}"/>
    <cellStyle name="20% - Accent5 4 3 2 4 2 2" xfId="9676" xr:uid="{00000000-0005-0000-0000-00006F250000}"/>
    <cellStyle name="20% - Accent5 4 3 2 4 2 3" xfId="9677" xr:uid="{00000000-0005-0000-0000-000070250000}"/>
    <cellStyle name="20% - Accent5 4 3 2 4 3" xfId="9678" xr:uid="{00000000-0005-0000-0000-000071250000}"/>
    <cellStyle name="20% - Accent5 4 3 2 4 4" xfId="9679" xr:uid="{00000000-0005-0000-0000-000072250000}"/>
    <cellStyle name="20% - Accent5 4 3 2 5" xfId="9680" xr:uid="{00000000-0005-0000-0000-000073250000}"/>
    <cellStyle name="20% - Accent5 4 3 2 5 2" xfId="9681" xr:uid="{00000000-0005-0000-0000-000074250000}"/>
    <cellStyle name="20% - Accent5 4 3 2 5 3" xfId="9682" xr:uid="{00000000-0005-0000-0000-000075250000}"/>
    <cellStyle name="20% - Accent5 4 3 2 6" xfId="9683" xr:uid="{00000000-0005-0000-0000-000076250000}"/>
    <cellStyle name="20% - Accent5 4 3 2 7" xfId="9684" xr:uid="{00000000-0005-0000-0000-000077250000}"/>
    <cellStyle name="20% - Accent5 4 3 2 8" xfId="9685" xr:uid="{00000000-0005-0000-0000-000078250000}"/>
    <cellStyle name="20% - Accent5 4 3 3" xfId="9686" xr:uid="{00000000-0005-0000-0000-000079250000}"/>
    <cellStyle name="20% - Accent5 4 3 3 2" xfId="9687" xr:uid="{00000000-0005-0000-0000-00007A250000}"/>
    <cellStyle name="20% - Accent5 4 3 3 2 2" xfId="9688" xr:uid="{00000000-0005-0000-0000-00007B250000}"/>
    <cellStyle name="20% - Accent5 4 3 3 2 2 2" xfId="9689" xr:uid="{00000000-0005-0000-0000-00007C250000}"/>
    <cellStyle name="20% - Accent5 4 3 3 2 2 2 2" xfId="9690" xr:uid="{00000000-0005-0000-0000-00007D250000}"/>
    <cellStyle name="20% - Accent5 4 3 3 2 2 2 3" xfId="9691" xr:uid="{00000000-0005-0000-0000-00007E250000}"/>
    <cellStyle name="20% - Accent5 4 3 3 2 2 3" xfId="9692" xr:uid="{00000000-0005-0000-0000-00007F250000}"/>
    <cellStyle name="20% - Accent5 4 3 3 2 2 4" xfId="9693" xr:uid="{00000000-0005-0000-0000-000080250000}"/>
    <cellStyle name="20% - Accent5 4 3 3 2 3" xfId="9694" xr:uid="{00000000-0005-0000-0000-000081250000}"/>
    <cellStyle name="20% - Accent5 4 3 3 2 3 2" xfId="9695" xr:uid="{00000000-0005-0000-0000-000082250000}"/>
    <cellStyle name="20% - Accent5 4 3 3 2 3 3" xfId="9696" xr:uid="{00000000-0005-0000-0000-000083250000}"/>
    <cellStyle name="20% - Accent5 4 3 3 2 4" xfId="9697" xr:uid="{00000000-0005-0000-0000-000084250000}"/>
    <cellStyle name="20% - Accent5 4 3 3 2 5" xfId="9698" xr:uid="{00000000-0005-0000-0000-000085250000}"/>
    <cellStyle name="20% - Accent5 4 3 3 2 6" xfId="9699" xr:uid="{00000000-0005-0000-0000-000086250000}"/>
    <cellStyle name="20% - Accent5 4 3 3 3" xfId="9700" xr:uid="{00000000-0005-0000-0000-000087250000}"/>
    <cellStyle name="20% - Accent5 4 3 3 3 2" xfId="9701" xr:uid="{00000000-0005-0000-0000-000088250000}"/>
    <cellStyle name="20% - Accent5 4 3 3 3 2 2" xfId="9702" xr:uid="{00000000-0005-0000-0000-000089250000}"/>
    <cellStyle name="20% - Accent5 4 3 3 3 2 3" xfId="9703" xr:uid="{00000000-0005-0000-0000-00008A250000}"/>
    <cellStyle name="20% - Accent5 4 3 3 3 3" xfId="9704" xr:uid="{00000000-0005-0000-0000-00008B250000}"/>
    <cellStyle name="20% - Accent5 4 3 3 3 4" xfId="9705" xr:uid="{00000000-0005-0000-0000-00008C250000}"/>
    <cellStyle name="20% - Accent5 4 3 3 4" xfId="9706" xr:uid="{00000000-0005-0000-0000-00008D250000}"/>
    <cellStyle name="20% - Accent5 4 3 3 4 2" xfId="9707" xr:uid="{00000000-0005-0000-0000-00008E250000}"/>
    <cellStyle name="20% - Accent5 4 3 3 4 3" xfId="9708" xr:uid="{00000000-0005-0000-0000-00008F250000}"/>
    <cellStyle name="20% - Accent5 4 3 3 5" xfId="9709" xr:uid="{00000000-0005-0000-0000-000090250000}"/>
    <cellStyle name="20% - Accent5 4 3 3 6" xfId="9710" xr:uid="{00000000-0005-0000-0000-000091250000}"/>
    <cellStyle name="20% - Accent5 4 3 3 7" xfId="9711" xr:uid="{00000000-0005-0000-0000-000092250000}"/>
    <cellStyle name="20% - Accent5 4 3 4" xfId="9712" xr:uid="{00000000-0005-0000-0000-000093250000}"/>
    <cellStyle name="20% - Accent5 4 3 4 2" xfId="9713" xr:uid="{00000000-0005-0000-0000-000094250000}"/>
    <cellStyle name="20% - Accent5 4 3 4 2 2" xfId="9714" xr:uid="{00000000-0005-0000-0000-000095250000}"/>
    <cellStyle name="20% - Accent5 4 3 4 2 2 2" xfId="9715" xr:uid="{00000000-0005-0000-0000-000096250000}"/>
    <cellStyle name="20% - Accent5 4 3 4 2 2 3" xfId="9716" xr:uid="{00000000-0005-0000-0000-000097250000}"/>
    <cellStyle name="20% - Accent5 4 3 4 2 3" xfId="9717" xr:uid="{00000000-0005-0000-0000-000098250000}"/>
    <cellStyle name="20% - Accent5 4 3 4 2 4" xfId="9718" xr:uid="{00000000-0005-0000-0000-000099250000}"/>
    <cellStyle name="20% - Accent5 4 3 4 3" xfId="9719" xr:uid="{00000000-0005-0000-0000-00009A250000}"/>
    <cellStyle name="20% - Accent5 4 3 4 3 2" xfId="9720" xr:uid="{00000000-0005-0000-0000-00009B250000}"/>
    <cellStyle name="20% - Accent5 4 3 4 3 3" xfId="9721" xr:uid="{00000000-0005-0000-0000-00009C250000}"/>
    <cellStyle name="20% - Accent5 4 3 4 4" xfId="9722" xr:uid="{00000000-0005-0000-0000-00009D250000}"/>
    <cellStyle name="20% - Accent5 4 3 4 5" xfId="9723" xr:uid="{00000000-0005-0000-0000-00009E250000}"/>
    <cellStyle name="20% - Accent5 4 3 4 6" xfId="9724" xr:uid="{00000000-0005-0000-0000-00009F250000}"/>
    <cellStyle name="20% - Accent5 4 3 5" xfId="9725" xr:uid="{00000000-0005-0000-0000-0000A0250000}"/>
    <cellStyle name="20% - Accent5 4 3 5 2" xfId="9726" xr:uid="{00000000-0005-0000-0000-0000A1250000}"/>
    <cellStyle name="20% - Accent5 4 3 5 2 2" xfId="9727" xr:uid="{00000000-0005-0000-0000-0000A2250000}"/>
    <cellStyle name="20% - Accent5 4 3 5 2 3" xfId="9728" xr:uid="{00000000-0005-0000-0000-0000A3250000}"/>
    <cellStyle name="20% - Accent5 4 3 5 3" xfId="9729" xr:uid="{00000000-0005-0000-0000-0000A4250000}"/>
    <cellStyle name="20% - Accent5 4 3 5 4" xfId="9730" xr:uid="{00000000-0005-0000-0000-0000A5250000}"/>
    <cellStyle name="20% - Accent5 4 3 6" xfId="9731" xr:uid="{00000000-0005-0000-0000-0000A6250000}"/>
    <cellStyle name="20% - Accent5 4 3 6 2" xfId="9732" xr:uid="{00000000-0005-0000-0000-0000A7250000}"/>
    <cellStyle name="20% - Accent5 4 3 6 3" xfId="9733" xr:uid="{00000000-0005-0000-0000-0000A8250000}"/>
    <cellStyle name="20% - Accent5 4 3 7" xfId="9734" xr:uid="{00000000-0005-0000-0000-0000A9250000}"/>
    <cellStyle name="20% - Accent5 4 3 8" xfId="9735" xr:uid="{00000000-0005-0000-0000-0000AA250000}"/>
    <cellStyle name="20% - Accent5 4 3 9" xfId="9736" xr:uid="{00000000-0005-0000-0000-0000AB250000}"/>
    <cellStyle name="20% - Accent5 4 4" xfId="9737" xr:uid="{00000000-0005-0000-0000-0000AC250000}"/>
    <cellStyle name="20% - Accent5 4 4 2" xfId="9738" xr:uid="{00000000-0005-0000-0000-0000AD250000}"/>
    <cellStyle name="20% - Accent5 4 4 2 2" xfId="9739" xr:uid="{00000000-0005-0000-0000-0000AE250000}"/>
    <cellStyle name="20% - Accent5 4 4 2 2 2" xfId="9740" xr:uid="{00000000-0005-0000-0000-0000AF250000}"/>
    <cellStyle name="20% - Accent5 4 4 2 2 2 2" xfId="9741" xr:uid="{00000000-0005-0000-0000-0000B0250000}"/>
    <cellStyle name="20% - Accent5 4 4 2 2 2 2 2" xfId="9742" xr:uid="{00000000-0005-0000-0000-0000B1250000}"/>
    <cellStyle name="20% - Accent5 4 4 2 2 2 2 3" xfId="9743" xr:uid="{00000000-0005-0000-0000-0000B2250000}"/>
    <cellStyle name="20% - Accent5 4 4 2 2 2 3" xfId="9744" xr:uid="{00000000-0005-0000-0000-0000B3250000}"/>
    <cellStyle name="20% - Accent5 4 4 2 2 2 4" xfId="9745" xr:uid="{00000000-0005-0000-0000-0000B4250000}"/>
    <cellStyle name="20% - Accent5 4 4 2 2 3" xfId="9746" xr:uid="{00000000-0005-0000-0000-0000B5250000}"/>
    <cellStyle name="20% - Accent5 4 4 2 2 3 2" xfId="9747" xr:uid="{00000000-0005-0000-0000-0000B6250000}"/>
    <cellStyle name="20% - Accent5 4 4 2 2 3 3" xfId="9748" xr:uid="{00000000-0005-0000-0000-0000B7250000}"/>
    <cellStyle name="20% - Accent5 4 4 2 2 4" xfId="9749" xr:uid="{00000000-0005-0000-0000-0000B8250000}"/>
    <cellStyle name="20% - Accent5 4 4 2 2 5" xfId="9750" xr:uid="{00000000-0005-0000-0000-0000B9250000}"/>
    <cellStyle name="20% - Accent5 4 4 2 2 6" xfId="9751" xr:uid="{00000000-0005-0000-0000-0000BA250000}"/>
    <cellStyle name="20% - Accent5 4 4 2 3" xfId="9752" xr:uid="{00000000-0005-0000-0000-0000BB250000}"/>
    <cellStyle name="20% - Accent5 4 4 2 3 2" xfId="9753" xr:uid="{00000000-0005-0000-0000-0000BC250000}"/>
    <cellStyle name="20% - Accent5 4 4 2 3 2 2" xfId="9754" xr:uid="{00000000-0005-0000-0000-0000BD250000}"/>
    <cellStyle name="20% - Accent5 4 4 2 3 2 3" xfId="9755" xr:uid="{00000000-0005-0000-0000-0000BE250000}"/>
    <cellStyle name="20% - Accent5 4 4 2 3 3" xfId="9756" xr:uid="{00000000-0005-0000-0000-0000BF250000}"/>
    <cellStyle name="20% - Accent5 4 4 2 3 4" xfId="9757" xr:uid="{00000000-0005-0000-0000-0000C0250000}"/>
    <cellStyle name="20% - Accent5 4 4 2 4" xfId="9758" xr:uid="{00000000-0005-0000-0000-0000C1250000}"/>
    <cellStyle name="20% - Accent5 4 4 2 4 2" xfId="9759" xr:uid="{00000000-0005-0000-0000-0000C2250000}"/>
    <cellStyle name="20% - Accent5 4 4 2 4 3" xfId="9760" xr:uid="{00000000-0005-0000-0000-0000C3250000}"/>
    <cellStyle name="20% - Accent5 4 4 2 5" xfId="9761" xr:uid="{00000000-0005-0000-0000-0000C4250000}"/>
    <cellStyle name="20% - Accent5 4 4 2 6" xfId="9762" xr:uid="{00000000-0005-0000-0000-0000C5250000}"/>
    <cellStyle name="20% - Accent5 4 4 2 7" xfId="9763" xr:uid="{00000000-0005-0000-0000-0000C6250000}"/>
    <cellStyle name="20% - Accent5 4 4 3" xfId="9764" xr:uid="{00000000-0005-0000-0000-0000C7250000}"/>
    <cellStyle name="20% - Accent5 4 4 3 2" xfId="9765" xr:uid="{00000000-0005-0000-0000-0000C8250000}"/>
    <cellStyle name="20% - Accent5 4 4 3 2 2" xfId="9766" xr:uid="{00000000-0005-0000-0000-0000C9250000}"/>
    <cellStyle name="20% - Accent5 4 4 3 2 2 2" xfId="9767" xr:uid="{00000000-0005-0000-0000-0000CA250000}"/>
    <cellStyle name="20% - Accent5 4 4 3 2 2 3" xfId="9768" xr:uid="{00000000-0005-0000-0000-0000CB250000}"/>
    <cellStyle name="20% - Accent5 4 4 3 2 3" xfId="9769" xr:uid="{00000000-0005-0000-0000-0000CC250000}"/>
    <cellStyle name="20% - Accent5 4 4 3 2 4" xfId="9770" xr:uid="{00000000-0005-0000-0000-0000CD250000}"/>
    <cellStyle name="20% - Accent5 4 4 3 3" xfId="9771" xr:uid="{00000000-0005-0000-0000-0000CE250000}"/>
    <cellStyle name="20% - Accent5 4 4 3 3 2" xfId="9772" xr:uid="{00000000-0005-0000-0000-0000CF250000}"/>
    <cellStyle name="20% - Accent5 4 4 3 3 3" xfId="9773" xr:uid="{00000000-0005-0000-0000-0000D0250000}"/>
    <cellStyle name="20% - Accent5 4 4 3 4" xfId="9774" xr:uid="{00000000-0005-0000-0000-0000D1250000}"/>
    <cellStyle name="20% - Accent5 4 4 3 5" xfId="9775" xr:uid="{00000000-0005-0000-0000-0000D2250000}"/>
    <cellStyle name="20% - Accent5 4 4 3 6" xfId="9776" xr:uid="{00000000-0005-0000-0000-0000D3250000}"/>
    <cellStyle name="20% - Accent5 4 4 4" xfId="9777" xr:uid="{00000000-0005-0000-0000-0000D4250000}"/>
    <cellStyle name="20% - Accent5 4 4 4 2" xfId="9778" xr:uid="{00000000-0005-0000-0000-0000D5250000}"/>
    <cellStyle name="20% - Accent5 4 4 4 2 2" xfId="9779" xr:uid="{00000000-0005-0000-0000-0000D6250000}"/>
    <cellStyle name="20% - Accent5 4 4 4 2 3" xfId="9780" xr:uid="{00000000-0005-0000-0000-0000D7250000}"/>
    <cellStyle name="20% - Accent5 4 4 4 3" xfId="9781" xr:uid="{00000000-0005-0000-0000-0000D8250000}"/>
    <cellStyle name="20% - Accent5 4 4 4 4" xfId="9782" xr:uid="{00000000-0005-0000-0000-0000D9250000}"/>
    <cellStyle name="20% - Accent5 4 4 5" xfId="9783" xr:uid="{00000000-0005-0000-0000-0000DA250000}"/>
    <cellStyle name="20% - Accent5 4 4 5 2" xfId="9784" xr:uid="{00000000-0005-0000-0000-0000DB250000}"/>
    <cellStyle name="20% - Accent5 4 4 5 3" xfId="9785" xr:uid="{00000000-0005-0000-0000-0000DC250000}"/>
    <cellStyle name="20% - Accent5 4 4 6" xfId="9786" xr:uid="{00000000-0005-0000-0000-0000DD250000}"/>
    <cellStyle name="20% - Accent5 4 4 7" xfId="9787" xr:uid="{00000000-0005-0000-0000-0000DE250000}"/>
    <cellStyle name="20% - Accent5 4 4 8" xfId="9788" xr:uid="{00000000-0005-0000-0000-0000DF250000}"/>
    <cellStyle name="20% - Accent5 4 5" xfId="9789" xr:uid="{00000000-0005-0000-0000-0000E0250000}"/>
    <cellStyle name="20% - Accent5 4 5 2" xfId="9790" xr:uid="{00000000-0005-0000-0000-0000E1250000}"/>
    <cellStyle name="20% - Accent5 4 5 2 2" xfId="9791" xr:uid="{00000000-0005-0000-0000-0000E2250000}"/>
    <cellStyle name="20% - Accent5 4 5 2 2 2" xfId="9792" xr:uid="{00000000-0005-0000-0000-0000E3250000}"/>
    <cellStyle name="20% - Accent5 4 5 2 2 2 2" xfId="9793" xr:uid="{00000000-0005-0000-0000-0000E4250000}"/>
    <cellStyle name="20% - Accent5 4 5 2 2 2 3" xfId="9794" xr:uid="{00000000-0005-0000-0000-0000E5250000}"/>
    <cellStyle name="20% - Accent5 4 5 2 2 3" xfId="9795" xr:uid="{00000000-0005-0000-0000-0000E6250000}"/>
    <cellStyle name="20% - Accent5 4 5 2 2 4" xfId="9796" xr:uid="{00000000-0005-0000-0000-0000E7250000}"/>
    <cellStyle name="20% - Accent5 4 5 2 3" xfId="9797" xr:uid="{00000000-0005-0000-0000-0000E8250000}"/>
    <cellStyle name="20% - Accent5 4 5 2 3 2" xfId="9798" xr:uid="{00000000-0005-0000-0000-0000E9250000}"/>
    <cellStyle name="20% - Accent5 4 5 2 3 3" xfId="9799" xr:uid="{00000000-0005-0000-0000-0000EA250000}"/>
    <cellStyle name="20% - Accent5 4 5 2 4" xfId="9800" xr:uid="{00000000-0005-0000-0000-0000EB250000}"/>
    <cellStyle name="20% - Accent5 4 5 2 5" xfId="9801" xr:uid="{00000000-0005-0000-0000-0000EC250000}"/>
    <cellStyle name="20% - Accent5 4 5 2 6" xfId="9802" xr:uid="{00000000-0005-0000-0000-0000ED250000}"/>
    <cellStyle name="20% - Accent5 4 5 3" xfId="9803" xr:uid="{00000000-0005-0000-0000-0000EE250000}"/>
    <cellStyle name="20% - Accent5 4 5 3 2" xfId="9804" xr:uid="{00000000-0005-0000-0000-0000EF250000}"/>
    <cellStyle name="20% - Accent5 4 5 3 2 2" xfId="9805" xr:uid="{00000000-0005-0000-0000-0000F0250000}"/>
    <cellStyle name="20% - Accent5 4 5 3 2 3" xfId="9806" xr:uid="{00000000-0005-0000-0000-0000F1250000}"/>
    <cellStyle name="20% - Accent5 4 5 3 3" xfId="9807" xr:uid="{00000000-0005-0000-0000-0000F2250000}"/>
    <cellStyle name="20% - Accent5 4 5 3 4" xfId="9808" xr:uid="{00000000-0005-0000-0000-0000F3250000}"/>
    <cellStyle name="20% - Accent5 4 5 4" xfId="9809" xr:uid="{00000000-0005-0000-0000-0000F4250000}"/>
    <cellStyle name="20% - Accent5 4 5 4 2" xfId="9810" xr:uid="{00000000-0005-0000-0000-0000F5250000}"/>
    <cellStyle name="20% - Accent5 4 5 4 3" xfId="9811" xr:uid="{00000000-0005-0000-0000-0000F6250000}"/>
    <cellStyle name="20% - Accent5 4 5 5" xfId="9812" xr:uid="{00000000-0005-0000-0000-0000F7250000}"/>
    <cellStyle name="20% - Accent5 4 5 6" xfId="9813" xr:uid="{00000000-0005-0000-0000-0000F8250000}"/>
    <cellStyle name="20% - Accent5 4 5 7" xfId="9814" xr:uid="{00000000-0005-0000-0000-0000F9250000}"/>
    <cellStyle name="20% - Accent5 4 6" xfId="9815" xr:uid="{00000000-0005-0000-0000-0000FA250000}"/>
    <cellStyle name="20% - Accent5 4 6 2" xfId="9816" xr:uid="{00000000-0005-0000-0000-0000FB250000}"/>
    <cellStyle name="20% - Accent5 4 6 2 2" xfId="9817" xr:uid="{00000000-0005-0000-0000-0000FC250000}"/>
    <cellStyle name="20% - Accent5 4 6 2 2 2" xfId="9818" xr:uid="{00000000-0005-0000-0000-0000FD250000}"/>
    <cellStyle name="20% - Accent5 4 6 2 2 3" xfId="9819" xr:uid="{00000000-0005-0000-0000-0000FE250000}"/>
    <cellStyle name="20% - Accent5 4 6 2 3" xfId="9820" xr:uid="{00000000-0005-0000-0000-0000FF250000}"/>
    <cellStyle name="20% - Accent5 4 6 2 4" xfId="9821" xr:uid="{00000000-0005-0000-0000-000000260000}"/>
    <cellStyle name="20% - Accent5 4 6 3" xfId="9822" xr:uid="{00000000-0005-0000-0000-000001260000}"/>
    <cellStyle name="20% - Accent5 4 6 3 2" xfId="9823" xr:uid="{00000000-0005-0000-0000-000002260000}"/>
    <cellStyle name="20% - Accent5 4 6 3 3" xfId="9824" xr:uid="{00000000-0005-0000-0000-000003260000}"/>
    <cellStyle name="20% - Accent5 4 6 4" xfId="9825" xr:uid="{00000000-0005-0000-0000-000004260000}"/>
    <cellStyle name="20% - Accent5 4 6 5" xfId="9826" xr:uid="{00000000-0005-0000-0000-000005260000}"/>
    <cellStyle name="20% - Accent5 4 6 6" xfId="9827" xr:uid="{00000000-0005-0000-0000-000006260000}"/>
    <cellStyle name="20% - Accent5 4 7" xfId="9828" xr:uid="{00000000-0005-0000-0000-000007260000}"/>
    <cellStyle name="20% - Accent5 4 7 2" xfId="9829" xr:uid="{00000000-0005-0000-0000-000008260000}"/>
    <cellStyle name="20% - Accent5 4 7 2 2" xfId="9830" xr:uid="{00000000-0005-0000-0000-000009260000}"/>
    <cellStyle name="20% - Accent5 4 7 2 3" xfId="9831" xr:uid="{00000000-0005-0000-0000-00000A260000}"/>
    <cellStyle name="20% - Accent5 4 7 3" xfId="9832" xr:uid="{00000000-0005-0000-0000-00000B260000}"/>
    <cellStyle name="20% - Accent5 4 7 4" xfId="9833" xr:uid="{00000000-0005-0000-0000-00000C260000}"/>
    <cellStyle name="20% - Accent5 4 8" xfId="9834" xr:uid="{00000000-0005-0000-0000-00000D260000}"/>
    <cellStyle name="20% - Accent5 4 8 2" xfId="9835" xr:uid="{00000000-0005-0000-0000-00000E260000}"/>
    <cellStyle name="20% - Accent5 4 8 3" xfId="9836" xr:uid="{00000000-0005-0000-0000-00000F260000}"/>
    <cellStyle name="20% - Accent5 4 9" xfId="9837" xr:uid="{00000000-0005-0000-0000-000010260000}"/>
    <cellStyle name="20% - Accent5 5" xfId="9838" xr:uid="{00000000-0005-0000-0000-000011260000}"/>
    <cellStyle name="20% - Accent5 5 10" xfId="9839" xr:uid="{00000000-0005-0000-0000-000012260000}"/>
    <cellStyle name="20% - Accent5 5 2" xfId="9840" xr:uid="{00000000-0005-0000-0000-000013260000}"/>
    <cellStyle name="20% - Accent5 5 2 2" xfId="9841" xr:uid="{00000000-0005-0000-0000-000014260000}"/>
    <cellStyle name="20% - Accent5 5 2 2 2" xfId="9842" xr:uid="{00000000-0005-0000-0000-000015260000}"/>
    <cellStyle name="20% - Accent5 5 2 2 2 2" xfId="9843" xr:uid="{00000000-0005-0000-0000-000016260000}"/>
    <cellStyle name="20% - Accent5 5 2 2 2 2 2" xfId="9844" xr:uid="{00000000-0005-0000-0000-000017260000}"/>
    <cellStyle name="20% - Accent5 5 2 2 2 2 2 2" xfId="9845" xr:uid="{00000000-0005-0000-0000-000018260000}"/>
    <cellStyle name="20% - Accent5 5 2 2 2 2 2 2 2" xfId="9846" xr:uid="{00000000-0005-0000-0000-000019260000}"/>
    <cellStyle name="20% - Accent5 5 2 2 2 2 2 2 3" xfId="9847" xr:uid="{00000000-0005-0000-0000-00001A260000}"/>
    <cellStyle name="20% - Accent5 5 2 2 2 2 2 3" xfId="9848" xr:uid="{00000000-0005-0000-0000-00001B260000}"/>
    <cellStyle name="20% - Accent5 5 2 2 2 2 2 4" xfId="9849" xr:uid="{00000000-0005-0000-0000-00001C260000}"/>
    <cellStyle name="20% - Accent5 5 2 2 2 2 3" xfId="9850" xr:uid="{00000000-0005-0000-0000-00001D260000}"/>
    <cellStyle name="20% - Accent5 5 2 2 2 2 3 2" xfId="9851" xr:uid="{00000000-0005-0000-0000-00001E260000}"/>
    <cellStyle name="20% - Accent5 5 2 2 2 2 3 3" xfId="9852" xr:uid="{00000000-0005-0000-0000-00001F260000}"/>
    <cellStyle name="20% - Accent5 5 2 2 2 2 4" xfId="9853" xr:uid="{00000000-0005-0000-0000-000020260000}"/>
    <cellStyle name="20% - Accent5 5 2 2 2 2 5" xfId="9854" xr:uid="{00000000-0005-0000-0000-000021260000}"/>
    <cellStyle name="20% - Accent5 5 2 2 2 2 6" xfId="9855" xr:uid="{00000000-0005-0000-0000-000022260000}"/>
    <cellStyle name="20% - Accent5 5 2 2 2 3" xfId="9856" xr:uid="{00000000-0005-0000-0000-000023260000}"/>
    <cellStyle name="20% - Accent5 5 2 2 2 3 2" xfId="9857" xr:uid="{00000000-0005-0000-0000-000024260000}"/>
    <cellStyle name="20% - Accent5 5 2 2 2 3 2 2" xfId="9858" xr:uid="{00000000-0005-0000-0000-000025260000}"/>
    <cellStyle name="20% - Accent5 5 2 2 2 3 2 3" xfId="9859" xr:uid="{00000000-0005-0000-0000-000026260000}"/>
    <cellStyle name="20% - Accent5 5 2 2 2 3 3" xfId="9860" xr:uid="{00000000-0005-0000-0000-000027260000}"/>
    <cellStyle name="20% - Accent5 5 2 2 2 3 4" xfId="9861" xr:uid="{00000000-0005-0000-0000-000028260000}"/>
    <cellStyle name="20% - Accent5 5 2 2 2 4" xfId="9862" xr:uid="{00000000-0005-0000-0000-000029260000}"/>
    <cellStyle name="20% - Accent5 5 2 2 2 4 2" xfId="9863" xr:uid="{00000000-0005-0000-0000-00002A260000}"/>
    <cellStyle name="20% - Accent5 5 2 2 2 4 3" xfId="9864" xr:uid="{00000000-0005-0000-0000-00002B260000}"/>
    <cellStyle name="20% - Accent5 5 2 2 2 5" xfId="9865" xr:uid="{00000000-0005-0000-0000-00002C260000}"/>
    <cellStyle name="20% - Accent5 5 2 2 2 6" xfId="9866" xr:uid="{00000000-0005-0000-0000-00002D260000}"/>
    <cellStyle name="20% - Accent5 5 2 2 2 7" xfId="9867" xr:uid="{00000000-0005-0000-0000-00002E260000}"/>
    <cellStyle name="20% - Accent5 5 2 2 3" xfId="9868" xr:uid="{00000000-0005-0000-0000-00002F260000}"/>
    <cellStyle name="20% - Accent5 5 2 2 3 2" xfId="9869" xr:uid="{00000000-0005-0000-0000-000030260000}"/>
    <cellStyle name="20% - Accent5 5 2 2 3 2 2" xfId="9870" xr:uid="{00000000-0005-0000-0000-000031260000}"/>
    <cellStyle name="20% - Accent5 5 2 2 3 2 2 2" xfId="9871" xr:uid="{00000000-0005-0000-0000-000032260000}"/>
    <cellStyle name="20% - Accent5 5 2 2 3 2 2 3" xfId="9872" xr:uid="{00000000-0005-0000-0000-000033260000}"/>
    <cellStyle name="20% - Accent5 5 2 2 3 2 3" xfId="9873" xr:uid="{00000000-0005-0000-0000-000034260000}"/>
    <cellStyle name="20% - Accent5 5 2 2 3 2 4" xfId="9874" xr:uid="{00000000-0005-0000-0000-000035260000}"/>
    <cellStyle name="20% - Accent5 5 2 2 3 3" xfId="9875" xr:uid="{00000000-0005-0000-0000-000036260000}"/>
    <cellStyle name="20% - Accent5 5 2 2 3 3 2" xfId="9876" xr:uid="{00000000-0005-0000-0000-000037260000}"/>
    <cellStyle name="20% - Accent5 5 2 2 3 3 3" xfId="9877" xr:uid="{00000000-0005-0000-0000-000038260000}"/>
    <cellStyle name="20% - Accent5 5 2 2 3 4" xfId="9878" xr:uid="{00000000-0005-0000-0000-000039260000}"/>
    <cellStyle name="20% - Accent5 5 2 2 3 5" xfId="9879" xr:uid="{00000000-0005-0000-0000-00003A260000}"/>
    <cellStyle name="20% - Accent5 5 2 2 3 6" xfId="9880" xr:uid="{00000000-0005-0000-0000-00003B260000}"/>
    <cellStyle name="20% - Accent5 5 2 2 4" xfId="9881" xr:uid="{00000000-0005-0000-0000-00003C260000}"/>
    <cellStyle name="20% - Accent5 5 2 2 4 2" xfId="9882" xr:uid="{00000000-0005-0000-0000-00003D260000}"/>
    <cellStyle name="20% - Accent5 5 2 2 4 2 2" xfId="9883" xr:uid="{00000000-0005-0000-0000-00003E260000}"/>
    <cellStyle name="20% - Accent5 5 2 2 4 2 3" xfId="9884" xr:uid="{00000000-0005-0000-0000-00003F260000}"/>
    <cellStyle name="20% - Accent5 5 2 2 4 3" xfId="9885" xr:uid="{00000000-0005-0000-0000-000040260000}"/>
    <cellStyle name="20% - Accent5 5 2 2 4 4" xfId="9886" xr:uid="{00000000-0005-0000-0000-000041260000}"/>
    <cellStyle name="20% - Accent5 5 2 2 5" xfId="9887" xr:uid="{00000000-0005-0000-0000-000042260000}"/>
    <cellStyle name="20% - Accent5 5 2 2 5 2" xfId="9888" xr:uid="{00000000-0005-0000-0000-000043260000}"/>
    <cellStyle name="20% - Accent5 5 2 2 5 3" xfId="9889" xr:uid="{00000000-0005-0000-0000-000044260000}"/>
    <cellStyle name="20% - Accent5 5 2 2 6" xfId="9890" xr:uid="{00000000-0005-0000-0000-000045260000}"/>
    <cellStyle name="20% - Accent5 5 2 2 7" xfId="9891" xr:uid="{00000000-0005-0000-0000-000046260000}"/>
    <cellStyle name="20% - Accent5 5 2 2 8" xfId="9892" xr:uid="{00000000-0005-0000-0000-000047260000}"/>
    <cellStyle name="20% - Accent5 5 2 3" xfId="9893" xr:uid="{00000000-0005-0000-0000-000048260000}"/>
    <cellStyle name="20% - Accent5 5 2 3 2" xfId="9894" xr:uid="{00000000-0005-0000-0000-000049260000}"/>
    <cellStyle name="20% - Accent5 5 2 3 2 2" xfId="9895" xr:uid="{00000000-0005-0000-0000-00004A260000}"/>
    <cellStyle name="20% - Accent5 5 2 3 2 2 2" xfId="9896" xr:uid="{00000000-0005-0000-0000-00004B260000}"/>
    <cellStyle name="20% - Accent5 5 2 3 2 2 2 2" xfId="9897" xr:uid="{00000000-0005-0000-0000-00004C260000}"/>
    <cellStyle name="20% - Accent5 5 2 3 2 2 2 3" xfId="9898" xr:uid="{00000000-0005-0000-0000-00004D260000}"/>
    <cellStyle name="20% - Accent5 5 2 3 2 2 3" xfId="9899" xr:uid="{00000000-0005-0000-0000-00004E260000}"/>
    <cellStyle name="20% - Accent5 5 2 3 2 2 4" xfId="9900" xr:uid="{00000000-0005-0000-0000-00004F260000}"/>
    <cellStyle name="20% - Accent5 5 2 3 2 3" xfId="9901" xr:uid="{00000000-0005-0000-0000-000050260000}"/>
    <cellStyle name="20% - Accent5 5 2 3 2 3 2" xfId="9902" xr:uid="{00000000-0005-0000-0000-000051260000}"/>
    <cellStyle name="20% - Accent5 5 2 3 2 3 3" xfId="9903" xr:uid="{00000000-0005-0000-0000-000052260000}"/>
    <cellStyle name="20% - Accent5 5 2 3 2 4" xfId="9904" xr:uid="{00000000-0005-0000-0000-000053260000}"/>
    <cellStyle name="20% - Accent5 5 2 3 2 5" xfId="9905" xr:uid="{00000000-0005-0000-0000-000054260000}"/>
    <cellStyle name="20% - Accent5 5 2 3 2 6" xfId="9906" xr:uid="{00000000-0005-0000-0000-000055260000}"/>
    <cellStyle name="20% - Accent5 5 2 3 3" xfId="9907" xr:uid="{00000000-0005-0000-0000-000056260000}"/>
    <cellStyle name="20% - Accent5 5 2 3 3 2" xfId="9908" xr:uid="{00000000-0005-0000-0000-000057260000}"/>
    <cellStyle name="20% - Accent5 5 2 3 3 2 2" xfId="9909" xr:uid="{00000000-0005-0000-0000-000058260000}"/>
    <cellStyle name="20% - Accent5 5 2 3 3 2 3" xfId="9910" xr:uid="{00000000-0005-0000-0000-000059260000}"/>
    <cellStyle name="20% - Accent5 5 2 3 3 3" xfId="9911" xr:uid="{00000000-0005-0000-0000-00005A260000}"/>
    <cellStyle name="20% - Accent5 5 2 3 3 4" xfId="9912" xr:uid="{00000000-0005-0000-0000-00005B260000}"/>
    <cellStyle name="20% - Accent5 5 2 3 4" xfId="9913" xr:uid="{00000000-0005-0000-0000-00005C260000}"/>
    <cellStyle name="20% - Accent5 5 2 3 4 2" xfId="9914" xr:uid="{00000000-0005-0000-0000-00005D260000}"/>
    <cellStyle name="20% - Accent5 5 2 3 4 3" xfId="9915" xr:uid="{00000000-0005-0000-0000-00005E260000}"/>
    <cellStyle name="20% - Accent5 5 2 3 5" xfId="9916" xr:uid="{00000000-0005-0000-0000-00005F260000}"/>
    <cellStyle name="20% - Accent5 5 2 3 6" xfId="9917" xr:uid="{00000000-0005-0000-0000-000060260000}"/>
    <cellStyle name="20% - Accent5 5 2 3 7" xfId="9918" xr:uid="{00000000-0005-0000-0000-000061260000}"/>
    <cellStyle name="20% - Accent5 5 2 4" xfId="9919" xr:uid="{00000000-0005-0000-0000-000062260000}"/>
    <cellStyle name="20% - Accent5 5 2 4 2" xfId="9920" xr:uid="{00000000-0005-0000-0000-000063260000}"/>
    <cellStyle name="20% - Accent5 5 2 4 2 2" xfId="9921" xr:uid="{00000000-0005-0000-0000-000064260000}"/>
    <cellStyle name="20% - Accent5 5 2 4 2 2 2" xfId="9922" xr:uid="{00000000-0005-0000-0000-000065260000}"/>
    <cellStyle name="20% - Accent5 5 2 4 2 2 3" xfId="9923" xr:uid="{00000000-0005-0000-0000-000066260000}"/>
    <cellStyle name="20% - Accent5 5 2 4 2 3" xfId="9924" xr:uid="{00000000-0005-0000-0000-000067260000}"/>
    <cellStyle name="20% - Accent5 5 2 4 2 4" xfId="9925" xr:uid="{00000000-0005-0000-0000-000068260000}"/>
    <cellStyle name="20% - Accent5 5 2 4 3" xfId="9926" xr:uid="{00000000-0005-0000-0000-000069260000}"/>
    <cellStyle name="20% - Accent5 5 2 4 3 2" xfId="9927" xr:uid="{00000000-0005-0000-0000-00006A260000}"/>
    <cellStyle name="20% - Accent5 5 2 4 3 3" xfId="9928" xr:uid="{00000000-0005-0000-0000-00006B260000}"/>
    <cellStyle name="20% - Accent5 5 2 4 4" xfId="9929" xr:uid="{00000000-0005-0000-0000-00006C260000}"/>
    <cellStyle name="20% - Accent5 5 2 4 5" xfId="9930" xr:uid="{00000000-0005-0000-0000-00006D260000}"/>
    <cellStyle name="20% - Accent5 5 2 4 6" xfId="9931" xr:uid="{00000000-0005-0000-0000-00006E260000}"/>
    <cellStyle name="20% - Accent5 5 2 5" xfId="9932" xr:uid="{00000000-0005-0000-0000-00006F260000}"/>
    <cellStyle name="20% - Accent5 5 2 5 2" xfId="9933" xr:uid="{00000000-0005-0000-0000-000070260000}"/>
    <cellStyle name="20% - Accent5 5 2 5 2 2" xfId="9934" xr:uid="{00000000-0005-0000-0000-000071260000}"/>
    <cellStyle name="20% - Accent5 5 2 5 2 3" xfId="9935" xr:uid="{00000000-0005-0000-0000-000072260000}"/>
    <cellStyle name="20% - Accent5 5 2 5 3" xfId="9936" xr:uid="{00000000-0005-0000-0000-000073260000}"/>
    <cellStyle name="20% - Accent5 5 2 5 4" xfId="9937" xr:uid="{00000000-0005-0000-0000-000074260000}"/>
    <cellStyle name="20% - Accent5 5 2 6" xfId="9938" xr:uid="{00000000-0005-0000-0000-000075260000}"/>
    <cellStyle name="20% - Accent5 5 2 6 2" xfId="9939" xr:uid="{00000000-0005-0000-0000-000076260000}"/>
    <cellStyle name="20% - Accent5 5 2 6 3" xfId="9940" xr:uid="{00000000-0005-0000-0000-000077260000}"/>
    <cellStyle name="20% - Accent5 5 2 7" xfId="9941" xr:uid="{00000000-0005-0000-0000-000078260000}"/>
    <cellStyle name="20% - Accent5 5 2 8" xfId="9942" xr:uid="{00000000-0005-0000-0000-000079260000}"/>
    <cellStyle name="20% - Accent5 5 2 9" xfId="9943" xr:uid="{00000000-0005-0000-0000-00007A260000}"/>
    <cellStyle name="20% - Accent5 5 3" xfId="9944" xr:uid="{00000000-0005-0000-0000-00007B260000}"/>
    <cellStyle name="20% - Accent5 5 3 2" xfId="9945" xr:uid="{00000000-0005-0000-0000-00007C260000}"/>
    <cellStyle name="20% - Accent5 5 3 2 2" xfId="9946" xr:uid="{00000000-0005-0000-0000-00007D260000}"/>
    <cellStyle name="20% - Accent5 5 3 2 2 2" xfId="9947" xr:uid="{00000000-0005-0000-0000-00007E260000}"/>
    <cellStyle name="20% - Accent5 5 3 2 2 2 2" xfId="9948" xr:uid="{00000000-0005-0000-0000-00007F260000}"/>
    <cellStyle name="20% - Accent5 5 3 2 2 2 2 2" xfId="9949" xr:uid="{00000000-0005-0000-0000-000080260000}"/>
    <cellStyle name="20% - Accent5 5 3 2 2 2 2 3" xfId="9950" xr:uid="{00000000-0005-0000-0000-000081260000}"/>
    <cellStyle name="20% - Accent5 5 3 2 2 2 3" xfId="9951" xr:uid="{00000000-0005-0000-0000-000082260000}"/>
    <cellStyle name="20% - Accent5 5 3 2 2 2 4" xfId="9952" xr:uid="{00000000-0005-0000-0000-000083260000}"/>
    <cellStyle name="20% - Accent5 5 3 2 2 3" xfId="9953" xr:uid="{00000000-0005-0000-0000-000084260000}"/>
    <cellStyle name="20% - Accent5 5 3 2 2 3 2" xfId="9954" xr:uid="{00000000-0005-0000-0000-000085260000}"/>
    <cellStyle name="20% - Accent5 5 3 2 2 3 3" xfId="9955" xr:uid="{00000000-0005-0000-0000-000086260000}"/>
    <cellStyle name="20% - Accent5 5 3 2 2 4" xfId="9956" xr:uid="{00000000-0005-0000-0000-000087260000}"/>
    <cellStyle name="20% - Accent5 5 3 2 2 5" xfId="9957" xr:uid="{00000000-0005-0000-0000-000088260000}"/>
    <cellStyle name="20% - Accent5 5 3 2 2 6" xfId="9958" xr:uid="{00000000-0005-0000-0000-000089260000}"/>
    <cellStyle name="20% - Accent5 5 3 2 3" xfId="9959" xr:uid="{00000000-0005-0000-0000-00008A260000}"/>
    <cellStyle name="20% - Accent5 5 3 2 3 2" xfId="9960" xr:uid="{00000000-0005-0000-0000-00008B260000}"/>
    <cellStyle name="20% - Accent5 5 3 2 3 2 2" xfId="9961" xr:uid="{00000000-0005-0000-0000-00008C260000}"/>
    <cellStyle name="20% - Accent5 5 3 2 3 2 3" xfId="9962" xr:uid="{00000000-0005-0000-0000-00008D260000}"/>
    <cellStyle name="20% - Accent5 5 3 2 3 3" xfId="9963" xr:uid="{00000000-0005-0000-0000-00008E260000}"/>
    <cellStyle name="20% - Accent5 5 3 2 3 4" xfId="9964" xr:uid="{00000000-0005-0000-0000-00008F260000}"/>
    <cellStyle name="20% - Accent5 5 3 2 4" xfId="9965" xr:uid="{00000000-0005-0000-0000-000090260000}"/>
    <cellStyle name="20% - Accent5 5 3 2 4 2" xfId="9966" xr:uid="{00000000-0005-0000-0000-000091260000}"/>
    <cellStyle name="20% - Accent5 5 3 2 4 3" xfId="9967" xr:uid="{00000000-0005-0000-0000-000092260000}"/>
    <cellStyle name="20% - Accent5 5 3 2 5" xfId="9968" xr:uid="{00000000-0005-0000-0000-000093260000}"/>
    <cellStyle name="20% - Accent5 5 3 2 6" xfId="9969" xr:uid="{00000000-0005-0000-0000-000094260000}"/>
    <cellStyle name="20% - Accent5 5 3 2 7" xfId="9970" xr:uid="{00000000-0005-0000-0000-000095260000}"/>
    <cellStyle name="20% - Accent5 5 3 3" xfId="9971" xr:uid="{00000000-0005-0000-0000-000096260000}"/>
    <cellStyle name="20% - Accent5 5 3 3 2" xfId="9972" xr:uid="{00000000-0005-0000-0000-000097260000}"/>
    <cellStyle name="20% - Accent5 5 3 3 2 2" xfId="9973" xr:uid="{00000000-0005-0000-0000-000098260000}"/>
    <cellStyle name="20% - Accent5 5 3 3 2 2 2" xfId="9974" xr:uid="{00000000-0005-0000-0000-000099260000}"/>
    <cellStyle name="20% - Accent5 5 3 3 2 2 3" xfId="9975" xr:uid="{00000000-0005-0000-0000-00009A260000}"/>
    <cellStyle name="20% - Accent5 5 3 3 2 3" xfId="9976" xr:uid="{00000000-0005-0000-0000-00009B260000}"/>
    <cellStyle name="20% - Accent5 5 3 3 2 4" xfId="9977" xr:uid="{00000000-0005-0000-0000-00009C260000}"/>
    <cellStyle name="20% - Accent5 5 3 3 3" xfId="9978" xr:uid="{00000000-0005-0000-0000-00009D260000}"/>
    <cellStyle name="20% - Accent5 5 3 3 3 2" xfId="9979" xr:uid="{00000000-0005-0000-0000-00009E260000}"/>
    <cellStyle name="20% - Accent5 5 3 3 3 3" xfId="9980" xr:uid="{00000000-0005-0000-0000-00009F260000}"/>
    <cellStyle name="20% - Accent5 5 3 3 4" xfId="9981" xr:uid="{00000000-0005-0000-0000-0000A0260000}"/>
    <cellStyle name="20% - Accent5 5 3 3 5" xfId="9982" xr:uid="{00000000-0005-0000-0000-0000A1260000}"/>
    <cellStyle name="20% - Accent5 5 3 3 6" xfId="9983" xr:uid="{00000000-0005-0000-0000-0000A2260000}"/>
    <cellStyle name="20% - Accent5 5 3 4" xfId="9984" xr:uid="{00000000-0005-0000-0000-0000A3260000}"/>
    <cellStyle name="20% - Accent5 5 3 4 2" xfId="9985" xr:uid="{00000000-0005-0000-0000-0000A4260000}"/>
    <cellStyle name="20% - Accent5 5 3 4 2 2" xfId="9986" xr:uid="{00000000-0005-0000-0000-0000A5260000}"/>
    <cellStyle name="20% - Accent5 5 3 4 2 3" xfId="9987" xr:uid="{00000000-0005-0000-0000-0000A6260000}"/>
    <cellStyle name="20% - Accent5 5 3 4 3" xfId="9988" xr:uid="{00000000-0005-0000-0000-0000A7260000}"/>
    <cellStyle name="20% - Accent5 5 3 4 4" xfId="9989" xr:uid="{00000000-0005-0000-0000-0000A8260000}"/>
    <cellStyle name="20% - Accent5 5 3 5" xfId="9990" xr:uid="{00000000-0005-0000-0000-0000A9260000}"/>
    <cellStyle name="20% - Accent5 5 3 5 2" xfId="9991" xr:uid="{00000000-0005-0000-0000-0000AA260000}"/>
    <cellStyle name="20% - Accent5 5 3 5 3" xfId="9992" xr:uid="{00000000-0005-0000-0000-0000AB260000}"/>
    <cellStyle name="20% - Accent5 5 3 6" xfId="9993" xr:uid="{00000000-0005-0000-0000-0000AC260000}"/>
    <cellStyle name="20% - Accent5 5 3 7" xfId="9994" xr:uid="{00000000-0005-0000-0000-0000AD260000}"/>
    <cellStyle name="20% - Accent5 5 3 8" xfId="9995" xr:uid="{00000000-0005-0000-0000-0000AE260000}"/>
    <cellStyle name="20% - Accent5 5 4" xfId="9996" xr:uid="{00000000-0005-0000-0000-0000AF260000}"/>
    <cellStyle name="20% - Accent5 5 4 2" xfId="9997" xr:uid="{00000000-0005-0000-0000-0000B0260000}"/>
    <cellStyle name="20% - Accent5 5 4 2 2" xfId="9998" xr:uid="{00000000-0005-0000-0000-0000B1260000}"/>
    <cellStyle name="20% - Accent5 5 4 2 2 2" xfId="9999" xr:uid="{00000000-0005-0000-0000-0000B2260000}"/>
    <cellStyle name="20% - Accent5 5 4 2 2 2 2" xfId="10000" xr:uid="{00000000-0005-0000-0000-0000B3260000}"/>
    <cellStyle name="20% - Accent5 5 4 2 2 2 3" xfId="10001" xr:uid="{00000000-0005-0000-0000-0000B4260000}"/>
    <cellStyle name="20% - Accent5 5 4 2 2 3" xfId="10002" xr:uid="{00000000-0005-0000-0000-0000B5260000}"/>
    <cellStyle name="20% - Accent5 5 4 2 2 4" xfId="10003" xr:uid="{00000000-0005-0000-0000-0000B6260000}"/>
    <cellStyle name="20% - Accent5 5 4 2 3" xfId="10004" xr:uid="{00000000-0005-0000-0000-0000B7260000}"/>
    <cellStyle name="20% - Accent5 5 4 2 3 2" xfId="10005" xr:uid="{00000000-0005-0000-0000-0000B8260000}"/>
    <cellStyle name="20% - Accent5 5 4 2 3 3" xfId="10006" xr:uid="{00000000-0005-0000-0000-0000B9260000}"/>
    <cellStyle name="20% - Accent5 5 4 2 4" xfId="10007" xr:uid="{00000000-0005-0000-0000-0000BA260000}"/>
    <cellStyle name="20% - Accent5 5 4 2 5" xfId="10008" xr:uid="{00000000-0005-0000-0000-0000BB260000}"/>
    <cellStyle name="20% - Accent5 5 4 2 6" xfId="10009" xr:uid="{00000000-0005-0000-0000-0000BC260000}"/>
    <cellStyle name="20% - Accent5 5 4 3" xfId="10010" xr:uid="{00000000-0005-0000-0000-0000BD260000}"/>
    <cellStyle name="20% - Accent5 5 4 3 2" xfId="10011" xr:uid="{00000000-0005-0000-0000-0000BE260000}"/>
    <cellStyle name="20% - Accent5 5 4 3 2 2" xfId="10012" xr:uid="{00000000-0005-0000-0000-0000BF260000}"/>
    <cellStyle name="20% - Accent5 5 4 3 2 3" xfId="10013" xr:uid="{00000000-0005-0000-0000-0000C0260000}"/>
    <cellStyle name="20% - Accent5 5 4 3 3" xfId="10014" xr:uid="{00000000-0005-0000-0000-0000C1260000}"/>
    <cellStyle name="20% - Accent5 5 4 3 4" xfId="10015" xr:uid="{00000000-0005-0000-0000-0000C2260000}"/>
    <cellStyle name="20% - Accent5 5 4 4" xfId="10016" xr:uid="{00000000-0005-0000-0000-0000C3260000}"/>
    <cellStyle name="20% - Accent5 5 4 4 2" xfId="10017" xr:uid="{00000000-0005-0000-0000-0000C4260000}"/>
    <cellStyle name="20% - Accent5 5 4 4 3" xfId="10018" xr:uid="{00000000-0005-0000-0000-0000C5260000}"/>
    <cellStyle name="20% - Accent5 5 4 5" xfId="10019" xr:uid="{00000000-0005-0000-0000-0000C6260000}"/>
    <cellStyle name="20% - Accent5 5 4 6" xfId="10020" xr:uid="{00000000-0005-0000-0000-0000C7260000}"/>
    <cellStyle name="20% - Accent5 5 4 7" xfId="10021" xr:uid="{00000000-0005-0000-0000-0000C8260000}"/>
    <cellStyle name="20% - Accent5 5 5" xfId="10022" xr:uid="{00000000-0005-0000-0000-0000C9260000}"/>
    <cellStyle name="20% - Accent5 5 5 2" xfId="10023" xr:uid="{00000000-0005-0000-0000-0000CA260000}"/>
    <cellStyle name="20% - Accent5 5 5 2 2" xfId="10024" xr:uid="{00000000-0005-0000-0000-0000CB260000}"/>
    <cellStyle name="20% - Accent5 5 5 2 2 2" xfId="10025" xr:uid="{00000000-0005-0000-0000-0000CC260000}"/>
    <cellStyle name="20% - Accent5 5 5 2 2 3" xfId="10026" xr:uid="{00000000-0005-0000-0000-0000CD260000}"/>
    <cellStyle name="20% - Accent5 5 5 2 3" xfId="10027" xr:uid="{00000000-0005-0000-0000-0000CE260000}"/>
    <cellStyle name="20% - Accent5 5 5 2 4" xfId="10028" xr:uid="{00000000-0005-0000-0000-0000CF260000}"/>
    <cellStyle name="20% - Accent5 5 5 3" xfId="10029" xr:uid="{00000000-0005-0000-0000-0000D0260000}"/>
    <cellStyle name="20% - Accent5 5 5 3 2" xfId="10030" xr:uid="{00000000-0005-0000-0000-0000D1260000}"/>
    <cellStyle name="20% - Accent5 5 5 3 3" xfId="10031" xr:uid="{00000000-0005-0000-0000-0000D2260000}"/>
    <cellStyle name="20% - Accent5 5 5 4" xfId="10032" xr:uid="{00000000-0005-0000-0000-0000D3260000}"/>
    <cellStyle name="20% - Accent5 5 5 5" xfId="10033" xr:uid="{00000000-0005-0000-0000-0000D4260000}"/>
    <cellStyle name="20% - Accent5 5 5 6" xfId="10034" xr:uid="{00000000-0005-0000-0000-0000D5260000}"/>
    <cellStyle name="20% - Accent5 5 6" xfId="10035" xr:uid="{00000000-0005-0000-0000-0000D6260000}"/>
    <cellStyle name="20% - Accent5 5 6 2" xfId="10036" xr:uid="{00000000-0005-0000-0000-0000D7260000}"/>
    <cellStyle name="20% - Accent5 5 6 2 2" xfId="10037" xr:uid="{00000000-0005-0000-0000-0000D8260000}"/>
    <cellStyle name="20% - Accent5 5 6 2 3" xfId="10038" xr:uid="{00000000-0005-0000-0000-0000D9260000}"/>
    <cellStyle name="20% - Accent5 5 6 3" xfId="10039" xr:uid="{00000000-0005-0000-0000-0000DA260000}"/>
    <cellStyle name="20% - Accent5 5 6 4" xfId="10040" xr:uid="{00000000-0005-0000-0000-0000DB260000}"/>
    <cellStyle name="20% - Accent5 5 7" xfId="10041" xr:uid="{00000000-0005-0000-0000-0000DC260000}"/>
    <cellStyle name="20% - Accent5 5 7 2" xfId="10042" xr:uid="{00000000-0005-0000-0000-0000DD260000}"/>
    <cellStyle name="20% - Accent5 5 7 3" xfId="10043" xr:uid="{00000000-0005-0000-0000-0000DE260000}"/>
    <cellStyle name="20% - Accent5 5 8" xfId="10044" xr:uid="{00000000-0005-0000-0000-0000DF260000}"/>
    <cellStyle name="20% - Accent5 5 9" xfId="10045" xr:uid="{00000000-0005-0000-0000-0000E0260000}"/>
    <cellStyle name="20% - Accent5 6" xfId="10046" xr:uid="{00000000-0005-0000-0000-0000E1260000}"/>
    <cellStyle name="20% - Accent5 6 2" xfId="10047" xr:uid="{00000000-0005-0000-0000-0000E2260000}"/>
    <cellStyle name="20% - Accent5 6 2 2" xfId="10048" xr:uid="{00000000-0005-0000-0000-0000E3260000}"/>
    <cellStyle name="20% - Accent5 6 2 2 2" xfId="10049" xr:uid="{00000000-0005-0000-0000-0000E4260000}"/>
    <cellStyle name="20% - Accent5 6 2 2 2 2" xfId="10050" xr:uid="{00000000-0005-0000-0000-0000E5260000}"/>
    <cellStyle name="20% - Accent5 6 2 2 2 2 2" xfId="10051" xr:uid="{00000000-0005-0000-0000-0000E6260000}"/>
    <cellStyle name="20% - Accent5 6 2 2 2 2 2 2" xfId="10052" xr:uid="{00000000-0005-0000-0000-0000E7260000}"/>
    <cellStyle name="20% - Accent5 6 2 2 2 2 2 3" xfId="10053" xr:uid="{00000000-0005-0000-0000-0000E8260000}"/>
    <cellStyle name="20% - Accent5 6 2 2 2 2 3" xfId="10054" xr:uid="{00000000-0005-0000-0000-0000E9260000}"/>
    <cellStyle name="20% - Accent5 6 2 2 2 2 4" xfId="10055" xr:uid="{00000000-0005-0000-0000-0000EA260000}"/>
    <cellStyle name="20% - Accent5 6 2 2 2 3" xfId="10056" xr:uid="{00000000-0005-0000-0000-0000EB260000}"/>
    <cellStyle name="20% - Accent5 6 2 2 2 3 2" xfId="10057" xr:uid="{00000000-0005-0000-0000-0000EC260000}"/>
    <cellStyle name="20% - Accent5 6 2 2 2 3 3" xfId="10058" xr:uid="{00000000-0005-0000-0000-0000ED260000}"/>
    <cellStyle name="20% - Accent5 6 2 2 2 4" xfId="10059" xr:uid="{00000000-0005-0000-0000-0000EE260000}"/>
    <cellStyle name="20% - Accent5 6 2 2 2 5" xfId="10060" xr:uid="{00000000-0005-0000-0000-0000EF260000}"/>
    <cellStyle name="20% - Accent5 6 2 2 2 6" xfId="10061" xr:uid="{00000000-0005-0000-0000-0000F0260000}"/>
    <cellStyle name="20% - Accent5 6 2 2 3" xfId="10062" xr:uid="{00000000-0005-0000-0000-0000F1260000}"/>
    <cellStyle name="20% - Accent5 6 2 2 3 2" xfId="10063" xr:uid="{00000000-0005-0000-0000-0000F2260000}"/>
    <cellStyle name="20% - Accent5 6 2 2 3 2 2" xfId="10064" xr:uid="{00000000-0005-0000-0000-0000F3260000}"/>
    <cellStyle name="20% - Accent5 6 2 2 3 2 3" xfId="10065" xr:uid="{00000000-0005-0000-0000-0000F4260000}"/>
    <cellStyle name="20% - Accent5 6 2 2 3 3" xfId="10066" xr:uid="{00000000-0005-0000-0000-0000F5260000}"/>
    <cellStyle name="20% - Accent5 6 2 2 3 4" xfId="10067" xr:uid="{00000000-0005-0000-0000-0000F6260000}"/>
    <cellStyle name="20% - Accent5 6 2 2 4" xfId="10068" xr:uid="{00000000-0005-0000-0000-0000F7260000}"/>
    <cellStyle name="20% - Accent5 6 2 2 4 2" xfId="10069" xr:uid="{00000000-0005-0000-0000-0000F8260000}"/>
    <cellStyle name="20% - Accent5 6 2 2 4 3" xfId="10070" xr:uid="{00000000-0005-0000-0000-0000F9260000}"/>
    <cellStyle name="20% - Accent5 6 2 2 5" xfId="10071" xr:uid="{00000000-0005-0000-0000-0000FA260000}"/>
    <cellStyle name="20% - Accent5 6 2 2 6" xfId="10072" xr:uid="{00000000-0005-0000-0000-0000FB260000}"/>
    <cellStyle name="20% - Accent5 6 2 2 7" xfId="10073" xr:uid="{00000000-0005-0000-0000-0000FC260000}"/>
    <cellStyle name="20% - Accent5 6 2 3" xfId="10074" xr:uid="{00000000-0005-0000-0000-0000FD260000}"/>
    <cellStyle name="20% - Accent5 6 2 3 2" xfId="10075" xr:uid="{00000000-0005-0000-0000-0000FE260000}"/>
    <cellStyle name="20% - Accent5 6 2 3 2 2" xfId="10076" xr:uid="{00000000-0005-0000-0000-0000FF260000}"/>
    <cellStyle name="20% - Accent5 6 2 3 2 2 2" xfId="10077" xr:uid="{00000000-0005-0000-0000-000000270000}"/>
    <cellStyle name="20% - Accent5 6 2 3 2 2 3" xfId="10078" xr:uid="{00000000-0005-0000-0000-000001270000}"/>
    <cellStyle name="20% - Accent5 6 2 3 2 3" xfId="10079" xr:uid="{00000000-0005-0000-0000-000002270000}"/>
    <cellStyle name="20% - Accent5 6 2 3 2 4" xfId="10080" xr:uid="{00000000-0005-0000-0000-000003270000}"/>
    <cellStyle name="20% - Accent5 6 2 3 3" xfId="10081" xr:uid="{00000000-0005-0000-0000-000004270000}"/>
    <cellStyle name="20% - Accent5 6 2 3 3 2" xfId="10082" xr:uid="{00000000-0005-0000-0000-000005270000}"/>
    <cellStyle name="20% - Accent5 6 2 3 3 3" xfId="10083" xr:uid="{00000000-0005-0000-0000-000006270000}"/>
    <cellStyle name="20% - Accent5 6 2 3 4" xfId="10084" xr:uid="{00000000-0005-0000-0000-000007270000}"/>
    <cellStyle name="20% - Accent5 6 2 3 5" xfId="10085" xr:uid="{00000000-0005-0000-0000-000008270000}"/>
    <cellStyle name="20% - Accent5 6 2 3 6" xfId="10086" xr:uid="{00000000-0005-0000-0000-000009270000}"/>
    <cellStyle name="20% - Accent5 6 2 4" xfId="10087" xr:uid="{00000000-0005-0000-0000-00000A270000}"/>
    <cellStyle name="20% - Accent5 6 2 4 2" xfId="10088" xr:uid="{00000000-0005-0000-0000-00000B270000}"/>
    <cellStyle name="20% - Accent5 6 2 4 2 2" xfId="10089" xr:uid="{00000000-0005-0000-0000-00000C270000}"/>
    <cellStyle name="20% - Accent5 6 2 4 2 3" xfId="10090" xr:uid="{00000000-0005-0000-0000-00000D270000}"/>
    <cellStyle name="20% - Accent5 6 2 4 3" xfId="10091" xr:uid="{00000000-0005-0000-0000-00000E270000}"/>
    <cellStyle name="20% - Accent5 6 2 4 4" xfId="10092" xr:uid="{00000000-0005-0000-0000-00000F270000}"/>
    <cellStyle name="20% - Accent5 6 2 5" xfId="10093" xr:uid="{00000000-0005-0000-0000-000010270000}"/>
    <cellStyle name="20% - Accent5 6 2 5 2" xfId="10094" xr:uid="{00000000-0005-0000-0000-000011270000}"/>
    <cellStyle name="20% - Accent5 6 2 5 3" xfId="10095" xr:uid="{00000000-0005-0000-0000-000012270000}"/>
    <cellStyle name="20% - Accent5 6 2 6" xfId="10096" xr:uid="{00000000-0005-0000-0000-000013270000}"/>
    <cellStyle name="20% - Accent5 6 2 7" xfId="10097" xr:uid="{00000000-0005-0000-0000-000014270000}"/>
    <cellStyle name="20% - Accent5 6 2 8" xfId="10098" xr:uid="{00000000-0005-0000-0000-000015270000}"/>
    <cellStyle name="20% - Accent5 6 3" xfId="10099" xr:uid="{00000000-0005-0000-0000-000016270000}"/>
    <cellStyle name="20% - Accent5 6 3 2" xfId="10100" xr:uid="{00000000-0005-0000-0000-000017270000}"/>
    <cellStyle name="20% - Accent5 6 3 2 2" xfId="10101" xr:uid="{00000000-0005-0000-0000-000018270000}"/>
    <cellStyle name="20% - Accent5 6 3 2 2 2" xfId="10102" xr:uid="{00000000-0005-0000-0000-000019270000}"/>
    <cellStyle name="20% - Accent5 6 3 2 2 2 2" xfId="10103" xr:uid="{00000000-0005-0000-0000-00001A270000}"/>
    <cellStyle name="20% - Accent5 6 3 2 2 2 3" xfId="10104" xr:uid="{00000000-0005-0000-0000-00001B270000}"/>
    <cellStyle name="20% - Accent5 6 3 2 2 3" xfId="10105" xr:uid="{00000000-0005-0000-0000-00001C270000}"/>
    <cellStyle name="20% - Accent5 6 3 2 2 4" xfId="10106" xr:uid="{00000000-0005-0000-0000-00001D270000}"/>
    <cellStyle name="20% - Accent5 6 3 2 3" xfId="10107" xr:uid="{00000000-0005-0000-0000-00001E270000}"/>
    <cellStyle name="20% - Accent5 6 3 2 3 2" xfId="10108" xr:uid="{00000000-0005-0000-0000-00001F270000}"/>
    <cellStyle name="20% - Accent5 6 3 2 3 3" xfId="10109" xr:uid="{00000000-0005-0000-0000-000020270000}"/>
    <cellStyle name="20% - Accent5 6 3 2 4" xfId="10110" xr:uid="{00000000-0005-0000-0000-000021270000}"/>
    <cellStyle name="20% - Accent5 6 3 2 5" xfId="10111" xr:uid="{00000000-0005-0000-0000-000022270000}"/>
    <cellStyle name="20% - Accent5 6 3 2 6" xfId="10112" xr:uid="{00000000-0005-0000-0000-000023270000}"/>
    <cellStyle name="20% - Accent5 6 3 3" xfId="10113" xr:uid="{00000000-0005-0000-0000-000024270000}"/>
    <cellStyle name="20% - Accent5 6 3 3 2" xfId="10114" xr:uid="{00000000-0005-0000-0000-000025270000}"/>
    <cellStyle name="20% - Accent5 6 3 3 2 2" xfId="10115" xr:uid="{00000000-0005-0000-0000-000026270000}"/>
    <cellStyle name="20% - Accent5 6 3 3 2 3" xfId="10116" xr:uid="{00000000-0005-0000-0000-000027270000}"/>
    <cellStyle name="20% - Accent5 6 3 3 3" xfId="10117" xr:uid="{00000000-0005-0000-0000-000028270000}"/>
    <cellStyle name="20% - Accent5 6 3 3 4" xfId="10118" xr:uid="{00000000-0005-0000-0000-000029270000}"/>
    <cellStyle name="20% - Accent5 6 3 4" xfId="10119" xr:uid="{00000000-0005-0000-0000-00002A270000}"/>
    <cellStyle name="20% - Accent5 6 3 4 2" xfId="10120" xr:uid="{00000000-0005-0000-0000-00002B270000}"/>
    <cellStyle name="20% - Accent5 6 3 4 3" xfId="10121" xr:uid="{00000000-0005-0000-0000-00002C270000}"/>
    <cellStyle name="20% - Accent5 6 3 5" xfId="10122" xr:uid="{00000000-0005-0000-0000-00002D270000}"/>
    <cellStyle name="20% - Accent5 6 3 6" xfId="10123" xr:uid="{00000000-0005-0000-0000-00002E270000}"/>
    <cellStyle name="20% - Accent5 6 3 7" xfId="10124" xr:uid="{00000000-0005-0000-0000-00002F270000}"/>
    <cellStyle name="20% - Accent5 6 4" xfId="10125" xr:uid="{00000000-0005-0000-0000-000030270000}"/>
    <cellStyle name="20% - Accent5 6 4 2" xfId="10126" xr:uid="{00000000-0005-0000-0000-000031270000}"/>
    <cellStyle name="20% - Accent5 6 4 2 2" xfId="10127" xr:uid="{00000000-0005-0000-0000-000032270000}"/>
    <cellStyle name="20% - Accent5 6 4 2 2 2" xfId="10128" xr:uid="{00000000-0005-0000-0000-000033270000}"/>
    <cellStyle name="20% - Accent5 6 4 2 2 3" xfId="10129" xr:uid="{00000000-0005-0000-0000-000034270000}"/>
    <cellStyle name="20% - Accent5 6 4 2 3" xfId="10130" xr:uid="{00000000-0005-0000-0000-000035270000}"/>
    <cellStyle name="20% - Accent5 6 4 2 4" xfId="10131" xr:uid="{00000000-0005-0000-0000-000036270000}"/>
    <cellStyle name="20% - Accent5 6 4 3" xfId="10132" xr:uid="{00000000-0005-0000-0000-000037270000}"/>
    <cellStyle name="20% - Accent5 6 4 3 2" xfId="10133" xr:uid="{00000000-0005-0000-0000-000038270000}"/>
    <cellStyle name="20% - Accent5 6 4 3 3" xfId="10134" xr:uid="{00000000-0005-0000-0000-000039270000}"/>
    <cellStyle name="20% - Accent5 6 4 4" xfId="10135" xr:uid="{00000000-0005-0000-0000-00003A270000}"/>
    <cellStyle name="20% - Accent5 6 4 5" xfId="10136" xr:uid="{00000000-0005-0000-0000-00003B270000}"/>
    <cellStyle name="20% - Accent5 6 4 6" xfId="10137" xr:uid="{00000000-0005-0000-0000-00003C270000}"/>
    <cellStyle name="20% - Accent5 6 5" xfId="10138" xr:uid="{00000000-0005-0000-0000-00003D270000}"/>
    <cellStyle name="20% - Accent5 6 5 2" xfId="10139" xr:uid="{00000000-0005-0000-0000-00003E270000}"/>
    <cellStyle name="20% - Accent5 6 5 2 2" xfId="10140" xr:uid="{00000000-0005-0000-0000-00003F270000}"/>
    <cellStyle name="20% - Accent5 6 5 2 3" xfId="10141" xr:uid="{00000000-0005-0000-0000-000040270000}"/>
    <cellStyle name="20% - Accent5 6 5 3" xfId="10142" xr:uid="{00000000-0005-0000-0000-000041270000}"/>
    <cellStyle name="20% - Accent5 6 5 4" xfId="10143" xr:uid="{00000000-0005-0000-0000-000042270000}"/>
    <cellStyle name="20% - Accent5 6 6" xfId="10144" xr:uid="{00000000-0005-0000-0000-000043270000}"/>
    <cellStyle name="20% - Accent5 6 6 2" xfId="10145" xr:uid="{00000000-0005-0000-0000-000044270000}"/>
    <cellStyle name="20% - Accent5 6 6 3" xfId="10146" xr:uid="{00000000-0005-0000-0000-000045270000}"/>
    <cellStyle name="20% - Accent5 6 7" xfId="10147" xr:uid="{00000000-0005-0000-0000-000046270000}"/>
    <cellStyle name="20% - Accent5 6 8" xfId="10148" xr:uid="{00000000-0005-0000-0000-000047270000}"/>
    <cellStyle name="20% - Accent5 6 9" xfId="10149" xr:uid="{00000000-0005-0000-0000-000048270000}"/>
    <cellStyle name="20% - Accent5 7" xfId="10150" xr:uid="{00000000-0005-0000-0000-000049270000}"/>
    <cellStyle name="20% - Accent5 7 2" xfId="10151" xr:uid="{00000000-0005-0000-0000-00004A270000}"/>
    <cellStyle name="20% - Accent5 7 2 2" xfId="10152" xr:uid="{00000000-0005-0000-0000-00004B270000}"/>
    <cellStyle name="20% - Accent5 7 2 2 2" xfId="10153" xr:uid="{00000000-0005-0000-0000-00004C270000}"/>
    <cellStyle name="20% - Accent5 7 2 2 2 2" xfId="10154" xr:uid="{00000000-0005-0000-0000-00004D270000}"/>
    <cellStyle name="20% - Accent5 7 2 2 2 2 2" xfId="10155" xr:uid="{00000000-0005-0000-0000-00004E270000}"/>
    <cellStyle name="20% - Accent5 7 2 2 2 2 2 2" xfId="10156" xr:uid="{00000000-0005-0000-0000-00004F270000}"/>
    <cellStyle name="20% - Accent5 7 2 2 2 2 2 3" xfId="10157" xr:uid="{00000000-0005-0000-0000-000050270000}"/>
    <cellStyle name="20% - Accent5 7 2 2 2 2 3" xfId="10158" xr:uid="{00000000-0005-0000-0000-000051270000}"/>
    <cellStyle name="20% - Accent5 7 2 2 2 2 4" xfId="10159" xr:uid="{00000000-0005-0000-0000-000052270000}"/>
    <cellStyle name="20% - Accent5 7 2 2 2 3" xfId="10160" xr:uid="{00000000-0005-0000-0000-000053270000}"/>
    <cellStyle name="20% - Accent5 7 2 2 2 3 2" xfId="10161" xr:uid="{00000000-0005-0000-0000-000054270000}"/>
    <cellStyle name="20% - Accent5 7 2 2 2 3 3" xfId="10162" xr:uid="{00000000-0005-0000-0000-000055270000}"/>
    <cellStyle name="20% - Accent5 7 2 2 2 4" xfId="10163" xr:uid="{00000000-0005-0000-0000-000056270000}"/>
    <cellStyle name="20% - Accent5 7 2 2 2 5" xfId="10164" xr:uid="{00000000-0005-0000-0000-000057270000}"/>
    <cellStyle name="20% - Accent5 7 2 2 2 6" xfId="10165" xr:uid="{00000000-0005-0000-0000-000058270000}"/>
    <cellStyle name="20% - Accent5 7 2 2 3" xfId="10166" xr:uid="{00000000-0005-0000-0000-000059270000}"/>
    <cellStyle name="20% - Accent5 7 2 2 3 2" xfId="10167" xr:uid="{00000000-0005-0000-0000-00005A270000}"/>
    <cellStyle name="20% - Accent5 7 2 2 3 2 2" xfId="10168" xr:uid="{00000000-0005-0000-0000-00005B270000}"/>
    <cellStyle name="20% - Accent5 7 2 2 3 2 3" xfId="10169" xr:uid="{00000000-0005-0000-0000-00005C270000}"/>
    <cellStyle name="20% - Accent5 7 2 2 3 3" xfId="10170" xr:uid="{00000000-0005-0000-0000-00005D270000}"/>
    <cellStyle name="20% - Accent5 7 2 2 3 4" xfId="10171" xr:uid="{00000000-0005-0000-0000-00005E270000}"/>
    <cellStyle name="20% - Accent5 7 2 2 4" xfId="10172" xr:uid="{00000000-0005-0000-0000-00005F270000}"/>
    <cellStyle name="20% - Accent5 7 2 2 4 2" xfId="10173" xr:uid="{00000000-0005-0000-0000-000060270000}"/>
    <cellStyle name="20% - Accent5 7 2 2 4 3" xfId="10174" xr:uid="{00000000-0005-0000-0000-000061270000}"/>
    <cellStyle name="20% - Accent5 7 2 2 5" xfId="10175" xr:uid="{00000000-0005-0000-0000-000062270000}"/>
    <cellStyle name="20% - Accent5 7 2 2 6" xfId="10176" xr:uid="{00000000-0005-0000-0000-000063270000}"/>
    <cellStyle name="20% - Accent5 7 2 2 7" xfId="10177" xr:uid="{00000000-0005-0000-0000-000064270000}"/>
    <cellStyle name="20% - Accent5 7 2 3" xfId="10178" xr:uid="{00000000-0005-0000-0000-000065270000}"/>
    <cellStyle name="20% - Accent5 7 2 3 2" xfId="10179" xr:uid="{00000000-0005-0000-0000-000066270000}"/>
    <cellStyle name="20% - Accent5 7 2 3 2 2" xfId="10180" xr:uid="{00000000-0005-0000-0000-000067270000}"/>
    <cellStyle name="20% - Accent5 7 2 3 2 2 2" xfId="10181" xr:uid="{00000000-0005-0000-0000-000068270000}"/>
    <cellStyle name="20% - Accent5 7 2 3 2 2 3" xfId="10182" xr:uid="{00000000-0005-0000-0000-000069270000}"/>
    <cellStyle name="20% - Accent5 7 2 3 2 3" xfId="10183" xr:uid="{00000000-0005-0000-0000-00006A270000}"/>
    <cellStyle name="20% - Accent5 7 2 3 2 4" xfId="10184" xr:uid="{00000000-0005-0000-0000-00006B270000}"/>
    <cellStyle name="20% - Accent5 7 2 3 3" xfId="10185" xr:uid="{00000000-0005-0000-0000-00006C270000}"/>
    <cellStyle name="20% - Accent5 7 2 3 3 2" xfId="10186" xr:uid="{00000000-0005-0000-0000-00006D270000}"/>
    <cellStyle name="20% - Accent5 7 2 3 3 3" xfId="10187" xr:uid="{00000000-0005-0000-0000-00006E270000}"/>
    <cellStyle name="20% - Accent5 7 2 3 4" xfId="10188" xr:uid="{00000000-0005-0000-0000-00006F270000}"/>
    <cellStyle name="20% - Accent5 7 2 3 5" xfId="10189" xr:uid="{00000000-0005-0000-0000-000070270000}"/>
    <cellStyle name="20% - Accent5 7 2 3 6" xfId="10190" xr:uid="{00000000-0005-0000-0000-000071270000}"/>
    <cellStyle name="20% - Accent5 7 2 4" xfId="10191" xr:uid="{00000000-0005-0000-0000-000072270000}"/>
    <cellStyle name="20% - Accent5 7 2 4 2" xfId="10192" xr:uid="{00000000-0005-0000-0000-000073270000}"/>
    <cellStyle name="20% - Accent5 7 2 4 2 2" xfId="10193" xr:uid="{00000000-0005-0000-0000-000074270000}"/>
    <cellStyle name="20% - Accent5 7 2 4 2 3" xfId="10194" xr:uid="{00000000-0005-0000-0000-000075270000}"/>
    <cellStyle name="20% - Accent5 7 2 4 3" xfId="10195" xr:uid="{00000000-0005-0000-0000-000076270000}"/>
    <cellStyle name="20% - Accent5 7 2 4 4" xfId="10196" xr:uid="{00000000-0005-0000-0000-000077270000}"/>
    <cellStyle name="20% - Accent5 7 2 5" xfId="10197" xr:uid="{00000000-0005-0000-0000-000078270000}"/>
    <cellStyle name="20% - Accent5 7 2 5 2" xfId="10198" xr:uid="{00000000-0005-0000-0000-000079270000}"/>
    <cellStyle name="20% - Accent5 7 2 5 3" xfId="10199" xr:uid="{00000000-0005-0000-0000-00007A270000}"/>
    <cellStyle name="20% - Accent5 7 2 6" xfId="10200" xr:uid="{00000000-0005-0000-0000-00007B270000}"/>
    <cellStyle name="20% - Accent5 7 2 7" xfId="10201" xr:uid="{00000000-0005-0000-0000-00007C270000}"/>
    <cellStyle name="20% - Accent5 7 2 8" xfId="10202" xr:uid="{00000000-0005-0000-0000-00007D270000}"/>
    <cellStyle name="20% - Accent5 7 3" xfId="10203" xr:uid="{00000000-0005-0000-0000-00007E270000}"/>
    <cellStyle name="20% - Accent5 7 3 2" xfId="10204" xr:uid="{00000000-0005-0000-0000-00007F270000}"/>
    <cellStyle name="20% - Accent5 7 3 2 2" xfId="10205" xr:uid="{00000000-0005-0000-0000-000080270000}"/>
    <cellStyle name="20% - Accent5 7 3 2 2 2" xfId="10206" xr:uid="{00000000-0005-0000-0000-000081270000}"/>
    <cellStyle name="20% - Accent5 7 3 2 2 2 2" xfId="10207" xr:uid="{00000000-0005-0000-0000-000082270000}"/>
    <cellStyle name="20% - Accent5 7 3 2 2 2 3" xfId="10208" xr:uid="{00000000-0005-0000-0000-000083270000}"/>
    <cellStyle name="20% - Accent5 7 3 2 2 3" xfId="10209" xr:uid="{00000000-0005-0000-0000-000084270000}"/>
    <cellStyle name="20% - Accent5 7 3 2 2 4" xfId="10210" xr:uid="{00000000-0005-0000-0000-000085270000}"/>
    <cellStyle name="20% - Accent5 7 3 2 3" xfId="10211" xr:uid="{00000000-0005-0000-0000-000086270000}"/>
    <cellStyle name="20% - Accent5 7 3 2 3 2" xfId="10212" xr:uid="{00000000-0005-0000-0000-000087270000}"/>
    <cellStyle name="20% - Accent5 7 3 2 3 3" xfId="10213" xr:uid="{00000000-0005-0000-0000-000088270000}"/>
    <cellStyle name="20% - Accent5 7 3 2 4" xfId="10214" xr:uid="{00000000-0005-0000-0000-000089270000}"/>
    <cellStyle name="20% - Accent5 7 3 2 5" xfId="10215" xr:uid="{00000000-0005-0000-0000-00008A270000}"/>
    <cellStyle name="20% - Accent5 7 3 2 6" xfId="10216" xr:uid="{00000000-0005-0000-0000-00008B270000}"/>
    <cellStyle name="20% - Accent5 7 3 3" xfId="10217" xr:uid="{00000000-0005-0000-0000-00008C270000}"/>
    <cellStyle name="20% - Accent5 7 3 3 2" xfId="10218" xr:uid="{00000000-0005-0000-0000-00008D270000}"/>
    <cellStyle name="20% - Accent5 7 3 3 2 2" xfId="10219" xr:uid="{00000000-0005-0000-0000-00008E270000}"/>
    <cellStyle name="20% - Accent5 7 3 3 2 3" xfId="10220" xr:uid="{00000000-0005-0000-0000-00008F270000}"/>
    <cellStyle name="20% - Accent5 7 3 3 3" xfId="10221" xr:uid="{00000000-0005-0000-0000-000090270000}"/>
    <cellStyle name="20% - Accent5 7 3 3 4" xfId="10222" xr:uid="{00000000-0005-0000-0000-000091270000}"/>
    <cellStyle name="20% - Accent5 7 3 4" xfId="10223" xr:uid="{00000000-0005-0000-0000-000092270000}"/>
    <cellStyle name="20% - Accent5 7 3 4 2" xfId="10224" xr:uid="{00000000-0005-0000-0000-000093270000}"/>
    <cellStyle name="20% - Accent5 7 3 4 3" xfId="10225" xr:uid="{00000000-0005-0000-0000-000094270000}"/>
    <cellStyle name="20% - Accent5 7 3 5" xfId="10226" xr:uid="{00000000-0005-0000-0000-000095270000}"/>
    <cellStyle name="20% - Accent5 7 3 6" xfId="10227" xr:uid="{00000000-0005-0000-0000-000096270000}"/>
    <cellStyle name="20% - Accent5 7 3 7" xfId="10228" xr:uid="{00000000-0005-0000-0000-000097270000}"/>
    <cellStyle name="20% - Accent5 7 4" xfId="10229" xr:uid="{00000000-0005-0000-0000-000098270000}"/>
    <cellStyle name="20% - Accent5 7 4 2" xfId="10230" xr:uid="{00000000-0005-0000-0000-000099270000}"/>
    <cellStyle name="20% - Accent5 7 4 2 2" xfId="10231" xr:uid="{00000000-0005-0000-0000-00009A270000}"/>
    <cellStyle name="20% - Accent5 7 4 2 2 2" xfId="10232" xr:uid="{00000000-0005-0000-0000-00009B270000}"/>
    <cellStyle name="20% - Accent5 7 4 2 2 3" xfId="10233" xr:uid="{00000000-0005-0000-0000-00009C270000}"/>
    <cellStyle name="20% - Accent5 7 4 2 3" xfId="10234" xr:uid="{00000000-0005-0000-0000-00009D270000}"/>
    <cellStyle name="20% - Accent5 7 4 2 4" xfId="10235" xr:uid="{00000000-0005-0000-0000-00009E270000}"/>
    <cellStyle name="20% - Accent5 7 4 3" xfId="10236" xr:uid="{00000000-0005-0000-0000-00009F270000}"/>
    <cellStyle name="20% - Accent5 7 4 3 2" xfId="10237" xr:uid="{00000000-0005-0000-0000-0000A0270000}"/>
    <cellStyle name="20% - Accent5 7 4 3 3" xfId="10238" xr:uid="{00000000-0005-0000-0000-0000A1270000}"/>
    <cellStyle name="20% - Accent5 7 4 4" xfId="10239" xr:uid="{00000000-0005-0000-0000-0000A2270000}"/>
    <cellStyle name="20% - Accent5 7 4 5" xfId="10240" xr:uid="{00000000-0005-0000-0000-0000A3270000}"/>
    <cellStyle name="20% - Accent5 7 4 6" xfId="10241" xr:uid="{00000000-0005-0000-0000-0000A4270000}"/>
    <cellStyle name="20% - Accent5 7 5" xfId="10242" xr:uid="{00000000-0005-0000-0000-0000A5270000}"/>
    <cellStyle name="20% - Accent5 7 5 2" xfId="10243" xr:uid="{00000000-0005-0000-0000-0000A6270000}"/>
    <cellStyle name="20% - Accent5 7 5 2 2" xfId="10244" xr:uid="{00000000-0005-0000-0000-0000A7270000}"/>
    <cellStyle name="20% - Accent5 7 5 2 3" xfId="10245" xr:uid="{00000000-0005-0000-0000-0000A8270000}"/>
    <cellStyle name="20% - Accent5 7 5 3" xfId="10246" xr:uid="{00000000-0005-0000-0000-0000A9270000}"/>
    <cellStyle name="20% - Accent5 7 5 4" xfId="10247" xr:uid="{00000000-0005-0000-0000-0000AA270000}"/>
    <cellStyle name="20% - Accent5 7 6" xfId="10248" xr:uid="{00000000-0005-0000-0000-0000AB270000}"/>
    <cellStyle name="20% - Accent5 7 6 2" xfId="10249" xr:uid="{00000000-0005-0000-0000-0000AC270000}"/>
    <cellStyle name="20% - Accent5 7 6 3" xfId="10250" xr:uid="{00000000-0005-0000-0000-0000AD270000}"/>
    <cellStyle name="20% - Accent5 7 7" xfId="10251" xr:uid="{00000000-0005-0000-0000-0000AE270000}"/>
    <cellStyle name="20% - Accent5 7 8" xfId="10252" xr:uid="{00000000-0005-0000-0000-0000AF270000}"/>
    <cellStyle name="20% - Accent5 7 9" xfId="10253" xr:uid="{00000000-0005-0000-0000-0000B0270000}"/>
    <cellStyle name="20% - Accent5 8" xfId="10254" xr:uid="{00000000-0005-0000-0000-0000B1270000}"/>
    <cellStyle name="20% - Accent5 8 2" xfId="10255" xr:uid="{00000000-0005-0000-0000-0000B2270000}"/>
    <cellStyle name="20% - Accent5 8 2 2" xfId="10256" xr:uid="{00000000-0005-0000-0000-0000B3270000}"/>
    <cellStyle name="20% - Accent5 8 2 2 2" xfId="10257" xr:uid="{00000000-0005-0000-0000-0000B4270000}"/>
    <cellStyle name="20% - Accent5 8 2 2 2 2" xfId="10258" xr:uid="{00000000-0005-0000-0000-0000B5270000}"/>
    <cellStyle name="20% - Accent5 8 2 2 2 2 2" xfId="10259" xr:uid="{00000000-0005-0000-0000-0000B6270000}"/>
    <cellStyle name="20% - Accent5 8 2 2 2 2 3" xfId="10260" xr:uid="{00000000-0005-0000-0000-0000B7270000}"/>
    <cellStyle name="20% - Accent5 8 2 2 2 3" xfId="10261" xr:uid="{00000000-0005-0000-0000-0000B8270000}"/>
    <cellStyle name="20% - Accent5 8 2 2 2 4" xfId="10262" xr:uid="{00000000-0005-0000-0000-0000B9270000}"/>
    <cellStyle name="20% - Accent5 8 2 2 3" xfId="10263" xr:uid="{00000000-0005-0000-0000-0000BA270000}"/>
    <cellStyle name="20% - Accent5 8 2 2 3 2" xfId="10264" xr:uid="{00000000-0005-0000-0000-0000BB270000}"/>
    <cellStyle name="20% - Accent5 8 2 2 3 3" xfId="10265" xr:uid="{00000000-0005-0000-0000-0000BC270000}"/>
    <cellStyle name="20% - Accent5 8 2 2 4" xfId="10266" xr:uid="{00000000-0005-0000-0000-0000BD270000}"/>
    <cellStyle name="20% - Accent5 8 2 2 5" xfId="10267" xr:uid="{00000000-0005-0000-0000-0000BE270000}"/>
    <cellStyle name="20% - Accent5 8 2 2 6" xfId="10268" xr:uid="{00000000-0005-0000-0000-0000BF270000}"/>
    <cellStyle name="20% - Accent5 8 2 3" xfId="10269" xr:uid="{00000000-0005-0000-0000-0000C0270000}"/>
    <cellStyle name="20% - Accent5 8 2 3 2" xfId="10270" xr:uid="{00000000-0005-0000-0000-0000C1270000}"/>
    <cellStyle name="20% - Accent5 8 2 3 2 2" xfId="10271" xr:uid="{00000000-0005-0000-0000-0000C2270000}"/>
    <cellStyle name="20% - Accent5 8 2 3 2 3" xfId="10272" xr:uid="{00000000-0005-0000-0000-0000C3270000}"/>
    <cellStyle name="20% - Accent5 8 2 3 3" xfId="10273" xr:uid="{00000000-0005-0000-0000-0000C4270000}"/>
    <cellStyle name="20% - Accent5 8 2 3 4" xfId="10274" xr:uid="{00000000-0005-0000-0000-0000C5270000}"/>
    <cellStyle name="20% - Accent5 8 2 4" xfId="10275" xr:uid="{00000000-0005-0000-0000-0000C6270000}"/>
    <cellStyle name="20% - Accent5 8 2 4 2" xfId="10276" xr:uid="{00000000-0005-0000-0000-0000C7270000}"/>
    <cellStyle name="20% - Accent5 8 2 4 3" xfId="10277" xr:uid="{00000000-0005-0000-0000-0000C8270000}"/>
    <cellStyle name="20% - Accent5 8 2 5" xfId="10278" xr:uid="{00000000-0005-0000-0000-0000C9270000}"/>
    <cellStyle name="20% - Accent5 8 2 6" xfId="10279" xr:uid="{00000000-0005-0000-0000-0000CA270000}"/>
    <cellStyle name="20% - Accent5 8 2 7" xfId="10280" xr:uid="{00000000-0005-0000-0000-0000CB270000}"/>
    <cellStyle name="20% - Accent5 8 3" xfId="10281" xr:uid="{00000000-0005-0000-0000-0000CC270000}"/>
    <cellStyle name="20% - Accent5 8 3 2" xfId="10282" xr:uid="{00000000-0005-0000-0000-0000CD270000}"/>
    <cellStyle name="20% - Accent5 8 3 2 2" xfId="10283" xr:uid="{00000000-0005-0000-0000-0000CE270000}"/>
    <cellStyle name="20% - Accent5 8 3 2 2 2" xfId="10284" xr:uid="{00000000-0005-0000-0000-0000CF270000}"/>
    <cellStyle name="20% - Accent5 8 3 2 2 3" xfId="10285" xr:uid="{00000000-0005-0000-0000-0000D0270000}"/>
    <cellStyle name="20% - Accent5 8 3 2 3" xfId="10286" xr:uid="{00000000-0005-0000-0000-0000D1270000}"/>
    <cellStyle name="20% - Accent5 8 3 2 4" xfId="10287" xr:uid="{00000000-0005-0000-0000-0000D2270000}"/>
    <cellStyle name="20% - Accent5 8 3 3" xfId="10288" xr:uid="{00000000-0005-0000-0000-0000D3270000}"/>
    <cellStyle name="20% - Accent5 8 3 3 2" xfId="10289" xr:uid="{00000000-0005-0000-0000-0000D4270000}"/>
    <cellStyle name="20% - Accent5 8 3 3 3" xfId="10290" xr:uid="{00000000-0005-0000-0000-0000D5270000}"/>
    <cellStyle name="20% - Accent5 8 3 4" xfId="10291" xr:uid="{00000000-0005-0000-0000-0000D6270000}"/>
    <cellStyle name="20% - Accent5 8 3 5" xfId="10292" xr:uid="{00000000-0005-0000-0000-0000D7270000}"/>
    <cellStyle name="20% - Accent5 8 3 6" xfId="10293" xr:uid="{00000000-0005-0000-0000-0000D8270000}"/>
    <cellStyle name="20% - Accent5 8 4" xfId="10294" xr:uid="{00000000-0005-0000-0000-0000D9270000}"/>
    <cellStyle name="20% - Accent5 8 4 2" xfId="10295" xr:uid="{00000000-0005-0000-0000-0000DA270000}"/>
    <cellStyle name="20% - Accent5 8 4 2 2" xfId="10296" xr:uid="{00000000-0005-0000-0000-0000DB270000}"/>
    <cellStyle name="20% - Accent5 8 4 2 3" xfId="10297" xr:uid="{00000000-0005-0000-0000-0000DC270000}"/>
    <cellStyle name="20% - Accent5 8 4 3" xfId="10298" xr:uid="{00000000-0005-0000-0000-0000DD270000}"/>
    <cellStyle name="20% - Accent5 8 4 4" xfId="10299" xr:uid="{00000000-0005-0000-0000-0000DE270000}"/>
    <cellStyle name="20% - Accent5 8 5" xfId="10300" xr:uid="{00000000-0005-0000-0000-0000DF270000}"/>
    <cellStyle name="20% - Accent5 8 5 2" xfId="10301" xr:uid="{00000000-0005-0000-0000-0000E0270000}"/>
    <cellStyle name="20% - Accent5 8 5 3" xfId="10302" xr:uid="{00000000-0005-0000-0000-0000E1270000}"/>
    <cellStyle name="20% - Accent5 8 6" xfId="10303" xr:uid="{00000000-0005-0000-0000-0000E2270000}"/>
    <cellStyle name="20% - Accent5 8 7" xfId="10304" xr:uid="{00000000-0005-0000-0000-0000E3270000}"/>
    <cellStyle name="20% - Accent5 8 8" xfId="10305" xr:uid="{00000000-0005-0000-0000-0000E4270000}"/>
    <cellStyle name="20% - Accent5 9" xfId="10306" xr:uid="{00000000-0005-0000-0000-0000E5270000}"/>
    <cellStyle name="20% - Accent5 9 2" xfId="10307" xr:uid="{00000000-0005-0000-0000-0000E6270000}"/>
    <cellStyle name="20% - Accent5 9 2 2" xfId="10308" xr:uid="{00000000-0005-0000-0000-0000E7270000}"/>
    <cellStyle name="20% - Accent5 9 2 2 2" xfId="10309" xr:uid="{00000000-0005-0000-0000-0000E8270000}"/>
    <cellStyle name="20% - Accent5 9 2 2 2 2" xfId="10310" xr:uid="{00000000-0005-0000-0000-0000E9270000}"/>
    <cellStyle name="20% - Accent5 9 2 2 2 2 2" xfId="10311" xr:uid="{00000000-0005-0000-0000-0000EA270000}"/>
    <cellStyle name="20% - Accent5 9 2 2 2 2 3" xfId="10312" xr:uid="{00000000-0005-0000-0000-0000EB270000}"/>
    <cellStyle name="20% - Accent5 9 2 2 2 3" xfId="10313" xr:uid="{00000000-0005-0000-0000-0000EC270000}"/>
    <cellStyle name="20% - Accent5 9 2 2 2 4" xfId="10314" xr:uid="{00000000-0005-0000-0000-0000ED270000}"/>
    <cellStyle name="20% - Accent5 9 2 2 3" xfId="10315" xr:uid="{00000000-0005-0000-0000-0000EE270000}"/>
    <cellStyle name="20% - Accent5 9 2 2 3 2" xfId="10316" xr:uid="{00000000-0005-0000-0000-0000EF270000}"/>
    <cellStyle name="20% - Accent5 9 2 2 3 3" xfId="10317" xr:uid="{00000000-0005-0000-0000-0000F0270000}"/>
    <cellStyle name="20% - Accent5 9 2 2 4" xfId="10318" xr:uid="{00000000-0005-0000-0000-0000F1270000}"/>
    <cellStyle name="20% - Accent5 9 2 2 5" xfId="10319" xr:uid="{00000000-0005-0000-0000-0000F2270000}"/>
    <cellStyle name="20% - Accent5 9 2 2 6" xfId="10320" xr:uid="{00000000-0005-0000-0000-0000F3270000}"/>
    <cellStyle name="20% - Accent5 9 2 3" xfId="10321" xr:uid="{00000000-0005-0000-0000-0000F4270000}"/>
    <cellStyle name="20% - Accent5 9 2 3 2" xfId="10322" xr:uid="{00000000-0005-0000-0000-0000F5270000}"/>
    <cellStyle name="20% - Accent5 9 2 3 2 2" xfId="10323" xr:uid="{00000000-0005-0000-0000-0000F6270000}"/>
    <cellStyle name="20% - Accent5 9 2 3 2 3" xfId="10324" xr:uid="{00000000-0005-0000-0000-0000F7270000}"/>
    <cellStyle name="20% - Accent5 9 2 3 3" xfId="10325" xr:uid="{00000000-0005-0000-0000-0000F8270000}"/>
    <cellStyle name="20% - Accent5 9 2 3 4" xfId="10326" xr:uid="{00000000-0005-0000-0000-0000F9270000}"/>
    <cellStyle name="20% - Accent5 9 2 4" xfId="10327" xr:uid="{00000000-0005-0000-0000-0000FA270000}"/>
    <cellStyle name="20% - Accent5 9 2 4 2" xfId="10328" xr:uid="{00000000-0005-0000-0000-0000FB270000}"/>
    <cellStyle name="20% - Accent5 9 2 4 3" xfId="10329" xr:uid="{00000000-0005-0000-0000-0000FC270000}"/>
    <cellStyle name="20% - Accent5 9 2 5" xfId="10330" xr:uid="{00000000-0005-0000-0000-0000FD270000}"/>
    <cellStyle name="20% - Accent5 9 2 6" xfId="10331" xr:uid="{00000000-0005-0000-0000-0000FE270000}"/>
    <cellStyle name="20% - Accent5 9 2 7" xfId="10332" xr:uid="{00000000-0005-0000-0000-0000FF270000}"/>
    <cellStyle name="20% - Accent5 9 3" xfId="10333" xr:uid="{00000000-0005-0000-0000-000000280000}"/>
    <cellStyle name="20% - Accent5 9 3 2" xfId="10334" xr:uid="{00000000-0005-0000-0000-000001280000}"/>
    <cellStyle name="20% - Accent5 9 3 2 2" xfId="10335" xr:uid="{00000000-0005-0000-0000-000002280000}"/>
    <cellStyle name="20% - Accent5 9 3 2 2 2" xfId="10336" xr:uid="{00000000-0005-0000-0000-000003280000}"/>
    <cellStyle name="20% - Accent5 9 3 2 2 3" xfId="10337" xr:uid="{00000000-0005-0000-0000-000004280000}"/>
    <cellStyle name="20% - Accent5 9 3 2 3" xfId="10338" xr:uid="{00000000-0005-0000-0000-000005280000}"/>
    <cellStyle name="20% - Accent5 9 3 2 4" xfId="10339" xr:uid="{00000000-0005-0000-0000-000006280000}"/>
    <cellStyle name="20% - Accent5 9 3 3" xfId="10340" xr:uid="{00000000-0005-0000-0000-000007280000}"/>
    <cellStyle name="20% - Accent5 9 3 3 2" xfId="10341" xr:uid="{00000000-0005-0000-0000-000008280000}"/>
    <cellStyle name="20% - Accent5 9 3 3 3" xfId="10342" xr:uid="{00000000-0005-0000-0000-000009280000}"/>
    <cellStyle name="20% - Accent5 9 3 4" xfId="10343" xr:uid="{00000000-0005-0000-0000-00000A280000}"/>
    <cellStyle name="20% - Accent5 9 3 5" xfId="10344" xr:uid="{00000000-0005-0000-0000-00000B280000}"/>
    <cellStyle name="20% - Accent5 9 3 6" xfId="10345" xr:uid="{00000000-0005-0000-0000-00000C280000}"/>
    <cellStyle name="20% - Accent5 9 4" xfId="10346" xr:uid="{00000000-0005-0000-0000-00000D280000}"/>
    <cellStyle name="20% - Accent5 9 4 2" xfId="10347" xr:uid="{00000000-0005-0000-0000-00000E280000}"/>
    <cellStyle name="20% - Accent5 9 4 2 2" xfId="10348" xr:uid="{00000000-0005-0000-0000-00000F280000}"/>
    <cellStyle name="20% - Accent5 9 4 2 3" xfId="10349" xr:uid="{00000000-0005-0000-0000-000010280000}"/>
    <cellStyle name="20% - Accent5 9 4 3" xfId="10350" xr:uid="{00000000-0005-0000-0000-000011280000}"/>
    <cellStyle name="20% - Accent5 9 4 4" xfId="10351" xr:uid="{00000000-0005-0000-0000-000012280000}"/>
    <cellStyle name="20% - Accent5 9 5" xfId="10352" xr:uid="{00000000-0005-0000-0000-000013280000}"/>
    <cellStyle name="20% - Accent5 9 5 2" xfId="10353" xr:uid="{00000000-0005-0000-0000-000014280000}"/>
    <cellStyle name="20% - Accent5 9 5 3" xfId="10354" xr:uid="{00000000-0005-0000-0000-000015280000}"/>
    <cellStyle name="20% - Accent5 9 6" xfId="10355" xr:uid="{00000000-0005-0000-0000-000016280000}"/>
    <cellStyle name="20% - Accent5 9 7" xfId="10356" xr:uid="{00000000-0005-0000-0000-000017280000}"/>
    <cellStyle name="20% - Accent5 9 8" xfId="10357" xr:uid="{00000000-0005-0000-0000-000018280000}"/>
    <cellStyle name="20% - Accent6 10" xfId="10358" xr:uid="{00000000-0005-0000-0000-000019280000}"/>
    <cellStyle name="20% - Accent6 10 2" xfId="10359" xr:uid="{00000000-0005-0000-0000-00001A280000}"/>
    <cellStyle name="20% - Accent6 10 2 2" xfId="10360" xr:uid="{00000000-0005-0000-0000-00001B280000}"/>
    <cellStyle name="20% - Accent6 10 2 2 2" xfId="10361" xr:uid="{00000000-0005-0000-0000-00001C280000}"/>
    <cellStyle name="20% - Accent6 10 2 2 2 2" xfId="10362" xr:uid="{00000000-0005-0000-0000-00001D280000}"/>
    <cellStyle name="20% - Accent6 10 2 2 2 2 2" xfId="10363" xr:uid="{00000000-0005-0000-0000-00001E280000}"/>
    <cellStyle name="20% - Accent6 10 2 2 2 2 3" xfId="10364" xr:uid="{00000000-0005-0000-0000-00001F280000}"/>
    <cellStyle name="20% - Accent6 10 2 2 2 3" xfId="10365" xr:uid="{00000000-0005-0000-0000-000020280000}"/>
    <cellStyle name="20% - Accent6 10 2 2 2 4" xfId="10366" xr:uid="{00000000-0005-0000-0000-000021280000}"/>
    <cellStyle name="20% - Accent6 10 2 2 3" xfId="10367" xr:uid="{00000000-0005-0000-0000-000022280000}"/>
    <cellStyle name="20% - Accent6 10 2 2 3 2" xfId="10368" xr:uid="{00000000-0005-0000-0000-000023280000}"/>
    <cellStyle name="20% - Accent6 10 2 2 3 3" xfId="10369" xr:uid="{00000000-0005-0000-0000-000024280000}"/>
    <cellStyle name="20% - Accent6 10 2 2 4" xfId="10370" xr:uid="{00000000-0005-0000-0000-000025280000}"/>
    <cellStyle name="20% - Accent6 10 2 2 5" xfId="10371" xr:uid="{00000000-0005-0000-0000-000026280000}"/>
    <cellStyle name="20% - Accent6 10 2 2 6" xfId="10372" xr:uid="{00000000-0005-0000-0000-000027280000}"/>
    <cellStyle name="20% - Accent6 10 2 3" xfId="10373" xr:uid="{00000000-0005-0000-0000-000028280000}"/>
    <cellStyle name="20% - Accent6 10 2 3 2" xfId="10374" xr:uid="{00000000-0005-0000-0000-000029280000}"/>
    <cellStyle name="20% - Accent6 10 2 3 2 2" xfId="10375" xr:uid="{00000000-0005-0000-0000-00002A280000}"/>
    <cellStyle name="20% - Accent6 10 2 3 2 3" xfId="10376" xr:uid="{00000000-0005-0000-0000-00002B280000}"/>
    <cellStyle name="20% - Accent6 10 2 3 3" xfId="10377" xr:uid="{00000000-0005-0000-0000-00002C280000}"/>
    <cellStyle name="20% - Accent6 10 2 3 4" xfId="10378" xr:uid="{00000000-0005-0000-0000-00002D280000}"/>
    <cellStyle name="20% - Accent6 10 2 4" xfId="10379" xr:uid="{00000000-0005-0000-0000-00002E280000}"/>
    <cellStyle name="20% - Accent6 10 2 4 2" xfId="10380" xr:uid="{00000000-0005-0000-0000-00002F280000}"/>
    <cellStyle name="20% - Accent6 10 2 4 3" xfId="10381" xr:uid="{00000000-0005-0000-0000-000030280000}"/>
    <cellStyle name="20% - Accent6 10 2 5" xfId="10382" xr:uid="{00000000-0005-0000-0000-000031280000}"/>
    <cellStyle name="20% - Accent6 10 2 6" xfId="10383" xr:uid="{00000000-0005-0000-0000-000032280000}"/>
    <cellStyle name="20% - Accent6 10 2 7" xfId="10384" xr:uid="{00000000-0005-0000-0000-000033280000}"/>
    <cellStyle name="20% - Accent6 10 3" xfId="10385" xr:uid="{00000000-0005-0000-0000-000034280000}"/>
    <cellStyle name="20% - Accent6 10 3 2" xfId="10386" xr:uid="{00000000-0005-0000-0000-000035280000}"/>
    <cellStyle name="20% - Accent6 10 3 2 2" xfId="10387" xr:uid="{00000000-0005-0000-0000-000036280000}"/>
    <cellStyle name="20% - Accent6 10 3 2 2 2" xfId="10388" xr:uid="{00000000-0005-0000-0000-000037280000}"/>
    <cellStyle name="20% - Accent6 10 3 2 2 3" xfId="10389" xr:uid="{00000000-0005-0000-0000-000038280000}"/>
    <cellStyle name="20% - Accent6 10 3 2 3" xfId="10390" xr:uid="{00000000-0005-0000-0000-000039280000}"/>
    <cellStyle name="20% - Accent6 10 3 2 4" xfId="10391" xr:uid="{00000000-0005-0000-0000-00003A280000}"/>
    <cellStyle name="20% - Accent6 10 3 3" xfId="10392" xr:uid="{00000000-0005-0000-0000-00003B280000}"/>
    <cellStyle name="20% - Accent6 10 3 3 2" xfId="10393" xr:uid="{00000000-0005-0000-0000-00003C280000}"/>
    <cellStyle name="20% - Accent6 10 3 3 3" xfId="10394" xr:uid="{00000000-0005-0000-0000-00003D280000}"/>
    <cellStyle name="20% - Accent6 10 3 4" xfId="10395" xr:uid="{00000000-0005-0000-0000-00003E280000}"/>
    <cellStyle name="20% - Accent6 10 3 5" xfId="10396" xr:uid="{00000000-0005-0000-0000-00003F280000}"/>
    <cellStyle name="20% - Accent6 10 3 6" xfId="10397" xr:uid="{00000000-0005-0000-0000-000040280000}"/>
    <cellStyle name="20% - Accent6 10 4" xfId="10398" xr:uid="{00000000-0005-0000-0000-000041280000}"/>
    <cellStyle name="20% - Accent6 10 4 2" xfId="10399" xr:uid="{00000000-0005-0000-0000-000042280000}"/>
    <cellStyle name="20% - Accent6 10 4 2 2" xfId="10400" xr:uid="{00000000-0005-0000-0000-000043280000}"/>
    <cellStyle name="20% - Accent6 10 4 2 3" xfId="10401" xr:uid="{00000000-0005-0000-0000-000044280000}"/>
    <cellStyle name="20% - Accent6 10 4 3" xfId="10402" xr:uid="{00000000-0005-0000-0000-000045280000}"/>
    <cellStyle name="20% - Accent6 10 4 4" xfId="10403" xr:uid="{00000000-0005-0000-0000-000046280000}"/>
    <cellStyle name="20% - Accent6 10 5" xfId="10404" xr:uid="{00000000-0005-0000-0000-000047280000}"/>
    <cellStyle name="20% - Accent6 10 5 2" xfId="10405" xr:uid="{00000000-0005-0000-0000-000048280000}"/>
    <cellStyle name="20% - Accent6 10 5 3" xfId="10406" xr:uid="{00000000-0005-0000-0000-000049280000}"/>
    <cellStyle name="20% - Accent6 10 6" xfId="10407" xr:uid="{00000000-0005-0000-0000-00004A280000}"/>
    <cellStyle name="20% - Accent6 10 7" xfId="10408" xr:uid="{00000000-0005-0000-0000-00004B280000}"/>
    <cellStyle name="20% - Accent6 10 8" xfId="10409" xr:uid="{00000000-0005-0000-0000-00004C280000}"/>
    <cellStyle name="20% - Accent6 11" xfId="10410" xr:uid="{00000000-0005-0000-0000-00004D280000}"/>
    <cellStyle name="20% - Accent6 11 2" xfId="10411" xr:uid="{00000000-0005-0000-0000-00004E280000}"/>
    <cellStyle name="20% - Accent6 11 2 2" xfId="10412" xr:uid="{00000000-0005-0000-0000-00004F280000}"/>
    <cellStyle name="20% - Accent6 11 2 2 2" xfId="10413" xr:uid="{00000000-0005-0000-0000-000050280000}"/>
    <cellStyle name="20% - Accent6 11 2 2 2 2" xfId="10414" xr:uid="{00000000-0005-0000-0000-000051280000}"/>
    <cellStyle name="20% - Accent6 11 2 2 2 3" xfId="10415" xr:uid="{00000000-0005-0000-0000-000052280000}"/>
    <cellStyle name="20% - Accent6 11 2 2 3" xfId="10416" xr:uid="{00000000-0005-0000-0000-000053280000}"/>
    <cellStyle name="20% - Accent6 11 2 2 4" xfId="10417" xr:uid="{00000000-0005-0000-0000-000054280000}"/>
    <cellStyle name="20% - Accent6 11 2 3" xfId="10418" xr:uid="{00000000-0005-0000-0000-000055280000}"/>
    <cellStyle name="20% - Accent6 11 2 3 2" xfId="10419" xr:uid="{00000000-0005-0000-0000-000056280000}"/>
    <cellStyle name="20% - Accent6 11 2 3 3" xfId="10420" xr:uid="{00000000-0005-0000-0000-000057280000}"/>
    <cellStyle name="20% - Accent6 11 2 4" xfId="10421" xr:uid="{00000000-0005-0000-0000-000058280000}"/>
    <cellStyle name="20% - Accent6 11 2 5" xfId="10422" xr:uid="{00000000-0005-0000-0000-000059280000}"/>
    <cellStyle name="20% - Accent6 11 2 6" xfId="10423" xr:uid="{00000000-0005-0000-0000-00005A280000}"/>
    <cellStyle name="20% - Accent6 11 3" xfId="10424" xr:uid="{00000000-0005-0000-0000-00005B280000}"/>
    <cellStyle name="20% - Accent6 11 3 2" xfId="10425" xr:uid="{00000000-0005-0000-0000-00005C280000}"/>
    <cellStyle name="20% - Accent6 11 3 2 2" xfId="10426" xr:uid="{00000000-0005-0000-0000-00005D280000}"/>
    <cellStyle name="20% - Accent6 11 3 2 3" xfId="10427" xr:uid="{00000000-0005-0000-0000-00005E280000}"/>
    <cellStyle name="20% - Accent6 11 3 3" xfId="10428" xr:uid="{00000000-0005-0000-0000-00005F280000}"/>
    <cellStyle name="20% - Accent6 11 3 4" xfId="10429" xr:uid="{00000000-0005-0000-0000-000060280000}"/>
    <cellStyle name="20% - Accent6 11 4" xfId="10430" xr:uid="{00000000-0005-0000-0000-000061280000}"/>
    <cellStyle name="20% - Accent6 11 4 2" xfId="10431" xr:uid="{00000000-0005-0000-0000-000062280000}"/>
    <cellStyle name="20% - Accent6 11 4 3" xfId="10432" xr:uid="{00000000-0005-0000-0000-000063280000}"/>
    <cellStyle name="20% - Accent6 11 5" xfId="10433" xr:uid="{00000000-0005-0000-0000-000064280000}"/>
    <cellStyle name="20% - Accent6 11 6" xfId="10434" xr:uid="{00000000-0005-0000-0000-000065280000}"/>
    <cellStyle name="20% - Accent6 11 7" xfId="10435" xr:uid="{00000000-0005-0000-0000-000066280000}"/>
    <cellStyle name="20% - Accent6 12" xfId="10436" xr:uid="{00000000-0005-0000-0000-000067280000}"/>
    <cellStyle name="20% - Accent6 12 2" xfId="10437" xr:uid="{00000000-0005-0000-0000-000068280000}"/>
    <cellStyle name="20% - Accent6 12 2 2" xfId="10438" xr:uid="{00000000-0005-0000-0000-000069280000}"/>
    <cellStyle name="20% - Accent6 12 2 2 2" xfId="10439" xr:uid="{00000000-0005-0000-0000-00006A280000}"/>
    <cellStyle name="20% - Accent6 12 2 2 3" xfId="10440" xr:uid="{00000000-0005-0000-0000-00006B280000}"/>
    <cellStyle name="20% - Accent6 12 2 3" xfId="10441" xr:uid="{00000000-0005-0000-0000-00006C280000}"/>
    <cellStyle name="20% - Accent6 12 2 4" xfId="10442" xr:uid="{00000000-0005-0000-0000-00006D280000}"/>
    <cellStyle name="20% - Accent6 12 3" xfId="10443" xr:uid="{00000000-0005-0000-0000-00006E280000}"/>
    <cellStyle name="20% - Accent6 12 3 2" xfId="10444" xr:uid="{00000000-0005-0000-0000-00006F280000}"/>
    <cellStyle name="20% - Accent6 12 3 3" xfId="10445" xr:uid="{00000000-0005-0000-0000-000070280000}"/>
    <cellStyle name="20% - Accent6 12 4" xfId="10446" xr:uid="{00000000-0005-0000-0000-000071280000}"/>
    <cellStyle name="20% - Accent6 12 5" xfId="10447" xr:uid="{00000000-0005-0000-0000-000072280000}"/>
    <cellStyle name="20% - Accent6 12 6" xfId="10448" xr:uid="{00000000-0005-0000-0000-000073280000}"/>
    <cellStyle name="20% - Accent6 13" xfId="10449" xr:uid="{00000000-0005-0000-0000-000074280000}"/>
    <cellStyle name="20% - Accent6 13 2" xfId="10450" xr:uid="{00000000-0005-0000-0000-000075280000}"/>
    <cellStyle name="20% - Accent6 13 2 2" xfId="10451" xr:uid="{00000000-0005-0000-0000-000076280000}"/>
    <cellStyle name="20% - Accent6 13 2 2 2" xfId="10452" xr:uid="{00000000-0005-0000-0000-000077280000}"/>
    <cellStyle name="20% - Accent6 13 2 2 3" xfId="10453" xr:uid="{00000000-0005-0000-0000-000078280000}"/>
    <cellStyle name="20% - Accent6 13 2 3" xfId="10454" xr:uid="{00000000-0005-0000-0000-000079280000}"/>
    <cellStyle name="20% - Accent6 13 2 4" xfId="10455" xr:uid="{00000000-0005-0000-0000-00007A280000}"/>
    <cellStyle name="20% - Accent6 13 3" xfId="10456" xr:uid="{00000000-0005-0000-0000-00007B280000}"/>
    <cellStyle name="20% - Accent6 13 3 2" xfId="10457" xr:uid="{00000000-0005-0000-0000-00007C280000}"/>
    <cellStyle name="20% - Accent6 13 3 3" xfId="10458" xr:uid="{00000000-0005-0000-0000-00007D280000}"/>
    <cellStyle name="20% - Accent6 13 4" xfId="10459" xr:uid="{00000000-0005-0000-0000-00007E280000}"/>
    <cellStyle name="20% - Accent6 13 5" xfId="10460" xr:uid="{00000000-0005-0000-0000-00007F280000}"/>
    <cellStyle name="20% - Accent6 13 6" xfId="10461" xr:uid="{00000000-0005-0000-0000-000080280000}"/>
    <cellStyle name="20% - Accent6 14" xfId="10462" xr:uid="{00000000-0005-0000-0000-000081280000}"/>
    <cellStyle name="20% - Accent6 14 2" xfId="10463" xr:uid="{00000000-0005-0000-0000-000082280000}"/>
    <cellStyle name="20% - Accent6 14 2 2" xfId="10464" xr:uid="{00000000-0005-0000-0000-000083280000}"/>
    <cellStyle name="20% - Accent6 14 2 3" xfId="10465" xr:uid="{00000000-0005-0000-0000-000084280000}"/>
    <cellStyle name="20% - Accent6 14 3" xfId="10466" xr:uid="{00000000-0005-0000-0000-000085280000}"/>
    <cellStyle name="20% - Accent6 14 4" xfId="10467" xr:uid="{00000000-0005-0000-0000-000086280000}"/>
    <cellStyle name="20% - Accent6 15" xfId="10468" xr:uid="{00000000-0005-0000-0000-000087280000}"/>
    <cellStyle name="20% - Accent6 16" xfId="10469" xr:uid="{00000000-0005-0000-0000-000088280000}"/>
    <cellStyle name="20% - Accent6 17" xfId="10470" xr:uid="{00000000-0005-0000-0000-000089280000}"/>
    <cellStyle name="20% - Accent6 2" xfId="10471" xr:uid="{00000000-0005-0000-0000-00008A280000}"/>
    <cellStyle name="20% - Accent6 2 2" xfId="10472" xr:uid="{00000000-0005-0000-0000-00008B280000}"/>
    <cellStyle name="20% - Accent6 3" xfId="10473" xr:uid="{00000000-0005-0000-0000-00008C280000}"/>
    <cellStyle name="20% - Accent6 3 10" xfId="10474" xr:uid="{00000000-0005-0000-0000-00008D280000}"/>
    <cellStyle name="20% - Accent6 3 10 2" xfId="10475" xr:uid="{00000000-0005-0000-0000-00008E280000}"/>
    <cellStyle name="20% - Accent6 3 10 2 2" xfId="10476" xr:uid="{00000000-0005-0000-0000-00008F280000}"/>
    <cellStyle name="20% - Accent6 3 10 2 2 2" xfId="10477" xr:uid="{00000000-0005-0000-0000-000090280000}"/>
    <cellStyle name="20% - Accent6 3 10 2 2 3" xfId="10478" xr:uid="{00000000-0005-0000-0000-000091280000}"/>
    <cellStyle name="20% - Accent6 3 10 2 3" xfId="10479" xr:uid="{00000000-0005-0000-0000-000092280000}"/>
    <cellStyle name="20% - Accent6 3 10 2 4" xfId="10480" xr:uid="{00000000-0005-0000-0000-000093280000}"/>
    <cellStyle name="20% - Accent6 3 10 3" xfId="10481" xr:uid="{00000000-0005-0000-0000-000094280000}"/>
    <cellStyle name="20% - Accent6 3 10 3 2" xfId="10482" xr:uid="{00000000-0005-0000-0000-000095280000}"/>
    <cellStyle name="20% - Accent6 3 10 3 3" xfId="10483" xr:uid="{00000000-0005-0000-0000-000096280000}"/>
    <cellStyle name="20% - Accent6 3 10 4" xfId="10484" xr:uid="{00000000-0005-0000-0000-000097280000}"/>
    <cellStyle name="20% - Accent6 3 10 5" xfId="10485" xr:uid="{00000000-0005-0000-0000-000098280000}"/>
    <cellStyle name="20% - Accent6 3 10 6" xfId="10486" xr:uid="{00000000-0005-0000-0000-000099280000}"/>
    <cellStyle name="20% - Accent6 3 11" xfId="10487" xr:uid="{00000000-0005-0000-0000-00009A280000}"/>
    <cellStyle name="20% - Accent6 3 11 2" xfId="10488" xr:uid="{00000000-0005-0000-0000-00009B280000}"/>
    <cellStyle name="20% - Accent6 3 11 2 2" xfId="10489" xr:uid="{00000000-0005-0000-0000-00009C280000}"/>
    <cellStyle name="20% - Accent6 3 11 2 3" xfId="10490" xr:uid="{00000000-0005-0000-0000-00009D280000}"/>
    <cellStyle name="20% - Accent6 3 11 3" xfId="10491" xr:uid="{00000000-0005-0000-0000-00009E280000}"/>
    <cellStyle name="20% - Accent6 3 11 4" xfId="10492" xr:uid="{00000000-0005-0000-0000-00009F280000}"/>
    <cellStyle name="20% - Accent6 3 12" xfId="10493" xr:uid="{00000000-0005-0000-0000-0000A0280000}"/>
    <cellStyle name="20% - Accent6 3 12 2" xfId="10494" xr:uid="{00000000-0005-0000-0000-0000A1280000}"/>
    <cellStyle name="20% - Accent6 3 12 3" xfId="10495" xr:uid="{00000000-0005-0000-0000-0000A2280000}"/>
    <cellStyle name="20% - Accent6 3 13" xfId="10496" xr:uid="{00000000-0005-0000-0000-0000A3280000}"/>
    <cellStyle name="20% - Accent6 3 14" xfId="10497" xr:uid="{00000000-0005-0000-0000-0000A4280000}"/>
    <cellStyle name="20% - Accent6 3 15" xfId="10498" xr:uid="{00000000-0005-0000-0000-0000A5280000}"/>
    <cellStyle name="20% - Accent6 3 2" xfId="10499" xr:uid="{00000000-0005-0000-0000-0000A6280000}"/>
    <cellStyle name="20% - Accent6 3 2 10" xfId="10500" xr:uid="{00000000-0005-0000-0000-0000A7280000}"/>
    <cellStyle name="20% - Accent6 3 2 11" xfId="10501" xr:uid="{00000000-0005-0000-0000-0000A8280000}"/>
    <cellStyle name="20% - Accent6 3 2 2" xfId="10502" xr:uid="{00000000-0005-0000-0000-0000A9280000}"/>
    <cellStyle name="20% - Accent6 3 2 2 10" xfId="10503" xr:uid="{00000000-0005-0000-0000-0000AA280000}"/>
    <cellStyle name="20% - Accent6 3 2 2 2" xfId="10504" xr:uid="{00000000-0005-0000-0000-0000AB280000}"/>
    <cellStyle name="20% - Accent6 3 2 2 2 2" xfId="10505" xr:uid="{00000000-0005-0000-0000-0000AC280000}"/>
    <cellStyle name="20% - Accent6 3 2 2 2 2 2" xfId="10506" xr:uid="{00000000-0005-0000-0000-0000AD280000}"/>
    <cellStyle name="20% - Accent6 3 2 2 2 2 2 2" xfId="10507" xr:uid="{00000000-0005-0000-0000-0000AE280000}"/>
    <cellStyle name="20% - Accent6 3 2 2 2 2 2 2 2" xfId="10508" xr:uid="{00000000-0005-0000-0000-0000AF280000}"/>
    <cellStyle name="20% - Accent6 3 2 2 2 2 2 2 2 2" xfId="10509" xr:uid="{00000000-0005-0000-0000-0000B0280000}"/>
    <cellStyle name="20% - Accent6 3 2 2 2 2 2 2 2 2 2" xfId="10510" xr:uid="{00000000-0005-0000-0000-0000B1280000}"/>
    <cellStyle name="20% - Accent6 3 2 2 2 2 2 2 2 2 3" xfId="10511" xr:uid="{00000000-0005-0000-0000-0000B2280000}"/>
    <cellStyle name="20% - Accent6 3 2 2 2 2 2 2 2 3" xfId="10512" xr:uid="{00000000-0005-0000-0000-0000B3280000}"/>
    <cellStyle name="20% - Accent6 3 2 2 2 2 2 2 2 4" xfId="10513" xr:uid="{00000000-0005-0000-0000-0000B4280000}"/>
    <cellStyle name="20% - Accent6 3 2 2 2 2 2 2 3" xfId="10514" xr:uid="{00000000-0005-0000-0000-0000B5280000}"/>
    <cellStyle name="20% - Accent6 3 2 2 2 2 2 2 3 2" xfId="10515" xr:uid="{00000000-0005-0000-0000-0000B6280000}"/>
    <cellStyle name="20% - Accent6 3 2 2 2 2 2 2 3 3" xfId="10516" xr:uid="{00000000-0005-0000-0000-0000B7280000}"/>
    <cellStyle name="20% - Accent6 3 2 2 2 2 2 2 4" xfId="10517" xr:uid="{00000000-0005-0000-0000-0000B8280000}"/>
    <cellStyle name="20% - Accent6 3 2 2 2 2 2 2 5" xfId="10518" xr:uid="{00000000-0005-0000-0000-0000B9280000}"/>
    <cellStyle name="20% - Accent6 3 2 2 2 2 2 2 6" xfId="10519" xr:uid="{00000000-0005-0000-0000-0000BA280000}"/>
    <cellStyle name="20% - Accent6 3 2 2 2 2 2 3" xfId="10520" xr:uid="{00000000-0005-0000-0000-0000BB280000}"/>
    <cellStyle name="20% - Accent6 3 2 2 2 2 2 3 2" xfId="10521" xr:uid="{00000000-0005-0000-0000-0000BC280000}"/>
    <cellStyle name="20% - Accent6 3 2 2 2 2 2 3 2 2" xfId="10522" xr:uid="{00000000-0005-0000-0000-0000BD280000}"/>
    <cellStyle name="20% - Accent6 3 2 2 2 2 2 3 2 3" xfId="10523" xr:uid="{00000000-0005-0000-0000-0000BE280000}"/>
    <cellStyle name="20% - Accent6 3 2 2 2 2 2 3 3" xfId="10524" xr:uid="{00000000-0005-0000-0000-0000BF280000}"/>
    <cellStyle name="20% - Accent6 3 2 2 2 2 2 3 4" xfId="10525" xr:uid="{00000000-0005-0000-0000-0000C0280000}"/>
    <cellStyle name="20% - Accent6 3 2 2 2 2 2 4" xfId="10526" xr:uid="{00000000-0005-0000-0000-0000C1280000}"/>
    <cellStyle name="20% - Accent6 3 2 2 2 2 2 4 2" xfId="10527" xr:uid="{00000000-0005-0000-0000-0000C2280000}"/>
    <cellStyle name="20% - Accent6 3 2 2 2 2 2 4 3" xfId="10528" xr:uid="{00000000-0005-0000-0000-0000C3280000}"/>
    <cellStyle name="20% - Accent6 3 2 2 2 2 2 5" xfId="10529" xr:uid="{00000000-0005-0000-0000-0000C4280000}"/>
    <cellStyle name="20% - Accent6 3 2 2 2 2 2 6" xfId="10530" xr:uid="{00000000-0005-0000-0000-0000C5280000}"/>
    <cellStyle name="20% - Accent6 3 2 2 2 2 2 7" xfId="10531" xr:uid="{00000000-0005-0000-0000-0000C6280000}"/>
    <cellStyle name="20% - Accent6 3 2 2 2 2 3" xfId="10532" xr:uid="{00000000-0005-0000-0000-0000C7280000}"/>
    <cellStyle name="20% - Accent6 3 2 2 2 2 3 2" xfId="10533" xr:uid="{00000000-0005-0000-0000-0000C8280000}"/>
    <cellStyle name="20% - Accent6 3 2 2 2 2 3 2 2" xfId="10534" xr:uid="{00000000-0005-0000-0000-0000C9280000}"/>
    <cellStyle name="20% - Accent6 3 2 2 2 2 3 2 2 2" xfId="10535" xr:uid="{00000000-0005-0000-0000-0000CA280000}"/>
    <cellStyle name="20% - Accent6 3 2 2 2 2 3 2 2 3" xfId="10536" xr:uid="{00000000-0005-0000-0000-0000CB280000}"/>
    <cellStyle name="20% - Accent6 3 2 2 2 2 3 2 3" xfId="10537" xr:uid="{00000000-0005-0000-0000-0000CC280000}"/>
    <cellStyle name="20% - Accent6 3 2 2 2 2 3 2 4" xfId="10538" xr:uid="{00000000-0005-0000-0000-0000CD280000}"/>
    <cellStyle name="20% - Accent6 3 2 2 2 2 3 3" xfId="10539" xr:uid="{00000000-0005-0000-0000-0000CE280000}"/>
    <cellStyle name="20% - Accent6 3 2 2 2 2 3 3 2" xfId="10540" xr:uid="{00000000-0005-0000-0000-0000CF280000}"/>
    <cellStyle name="20% - Accent6 3 2 2 2 2 3 3 3" xfId="10541" xr:uid="{00000000-0005-0000-0000-0000D0280000}"/>
    <cellStyle name="20% - Accent6 3 2 2 2 2 3 4" xfId="10542" xr:uid="{00000000-0005-0000-0000-0000D1280000}"/>
    <cellStyle name="20% - Accent6 3 2 2 2 2 3 5" xfId="10543" xr:uid="{00000000-0005-0000-0000-0000D2280000}"/>
    <cellStyle name="20% - Accent6 3 2 2 2 2 3 6" xfId="10544" xr:uid="{00000000-0005-0000-0000-0000D3280000}"/>
    <cellStyle name="20% - Accent6 3 2 2 2 2 4" xfId="10545" xr:uid="{00000000-0005-0000-0000-0000D4280000}"/>
    <cellStyle name="20% - Accent6 3 2 2 2 2 4 2" xfId="10546" xr:uid="{00000000-0005-0000-0000-0000D5280000}"/>
    <cellStyle name="20% - Accent6 3 2 2 2 2 4 2 2" xfId="10547" xr:uid="{00000000-0005-0000-0000-0000D6280000}"/>
    <cellStyle name="20% - Accent6 3 2 2 2 2 4 2 3" xfId="10548" xr:uid="{00000000-0005-0000-0000-0000D7280000}"/>
    <cellStyle name="20% - Accent6 3 2 2 2 2 4 3" xfId="10549" xr:uid="{00000000-0005-0000-0000-0000D8280000}"/>
    <cellStyle name="20% - Accent6 3 2 2 2 2 4 4" xfId="10550" xr:uid="{00000000-0005-0000-0000-0000D9280000}"/>
    <cellStyle name="20% - Accent6 3 2 2 2 2 5" xfId="10551" xr:uid="{00000000-0005-0000-0000-0000DA280000}"/>
    <cellStyle name="20% - Accent6 3 2 2 2 2 5 2" xfId="10552" xr:uid="{00000000-0005-0000-0000-0000DB280000}"/>
    <cellStyle name="20% - Accent6 3 2 2 2 2 5 3" xfId="10553" xr:uid="{00000000-0005-0000-0000-0000DC280000}"/>
    <cellStyle name="20% - Accent6 3 2 2 2 2 6" xfId="10554" xr:uid="{00000000-0005-0000-0000-0000DD280000}"/>
    <cellStyle name="20% - Accent6 3 2 2 2 2 7" xfId="10555" xr:uid="{00000000-0005-0000-0000-0000DE280000}"/>
    <cellStyle name="20% - Accent6 3 2 2 2 2 8" xfId="10556" xr:uid="{00000000-0005-0000-0000-0000DF280000}"/>
    <cellStyle name="20% - Accent6 3 2 2 2 3" xfId="10557" xr:uid="{00000000-0005-0000-0000-0000E0280000}"/>
    <cellStyle name="20% - Accent6 3 2 2 2 3 2" xfId="10558" xr:uid="{00000000-0005-0000-0000-0000E1280000}"/>
    <cellStyle name="20% - Accent6 3 2 2 2 3 2 2" xfId="10559" xr:uid="{00000000-0005-0000-0000-0000E2280000}"/>
    <cellStyle name="20% - Accent6 3 2 2 2 3 2 2 2" xfId="10560" xr:uid="{00000000-0005-0000-0000-0000E3280000}"/>
    <cellStyle name="20% - Accent6 3 2 2 2 3 2 2 2 2" xfId="10561" xr:uid="{00000000-0005-0000-0000-0000E4280000}"/>
    <cellStyle name="20% - Accent6 3 2 2 2 3 2 2 2 3" xfId="10562" xr:uid="{00000000-0005-0000-0000-0000E5280000}"/>
    <cellStyle name="20% - Accent6 3 2 2 2 3 2 2 3" xfId="10563" xr:uid="{00000000-0005-0000-0000-0000E6280000}"/>
    <cellStyle name="20% - Accent6 3 2 2 2 3 2 2 4" xfId="10564" xr:uid="{00000000-0005-0000-0000-0000E7280000}"/>
    <cellStyle name="20% - Accent6 3 2 2 2 3 2 3" xfId="10565" xr:uid="{00000000-0005-0000-0000-0000E8280000}"/>
    <cellStyle name="20% - Accent6 3 2 2 2 3 2 3 2" xfId="10566" xr:uid="{00000000-0005-0000-0000-0000E9280000}"/>
    <cellStyle name="20% - Accent6 3 2 2 2 3 2 3 3" xfId="10567" xr:uid="{00000000-0005-0000-0000-0000EA280000}"/>
    <cellStyle name="20% - Accent6 3 2 2 2 3 2 4" xfId="10568" xr:uid="{00000000-0005-0000-0000-0000EB280000}"/>
    <cellStyle name="20% - Accent6 3 2 2 2 3 2 5" xfId="10569" xr:uid="{00000000-0005-0000-0000-0000EC280000}"/>
    <cellStyle name="20% - Accent6 3 2 2 2 3 2 6" xfId="10570" xr:uid="{00000000-0005-0000-0000-0000ED280000}"/>
    <cellStyle name="20% - Accent6 3 2 2 2 3 3" xfId="10571" xr:uid="{00000000-0005-0000-0000-0000EE280000}"/>
    <cellStyle name="20% - Accent6 3 2 2 2 3 3 2" xfId="10572" xr:uid="{00000000-0005-0000-0000-0000EF280000}"/>
    <cellStyle name="20% - Accent6 3 2 2 2 3 3 2 2" xfId="10573" xr:uid="{00000000-0005-0000-0000-0000F0280000}"/>
    <cellStyle name="20% - Accent6 3 2 2 2 3 3 2 3" xfId="10574" xr:uid="{00000000-0005-0000-0000-0000F1280000}"/>
    <cellStyle name="20% - Accent6 3 2 2 2 3 3 3" xfId="10575" xr:uid="{00000000-0005-0000-0000-0000F2280000}"/>
    <cellStyle name="20% - Accent6 3 2 2 2 3 3 4" xfId="10576" xr:uid="{00000000-0005-0000-0000-0000F3280000}"/>
    <cellStyle name="20% - Accent6 3 2 2 2 3 4" xfId="10577" xr:uid="{00000000-0005-0000-0000-0000F4280000}"/>
    <cellStyle name="20% - Accent6 3 2 2 2 3 4 2" xfId="10578" xr:uid="{00000000-0005-0000-0000-0000F5280000}"/>
    <cellStyle name="20% - Accent6 3 2 2 2 3 4 3" xfId="10579" xr:uid="{00000000-0005-0000-0000-0000F6280000}"/>
    <cellStyle name="20% - Accent6 3 2 2 2 3 5" xfId="10580" xr:uid="{00000000-0005-0000-0000-0000F7280000}"/>
    <cellStyle name="20% - Accent6 3 2 2 2 3 6" xfId="10581" xr:uid="{00000000-0005-0000-0000-0000F8280000}"/>
    <cellStyle name="20% - Accent6 3 2 2 2 3 7" xfId="10582" xr:uid="{00000000-0005-0000-0000-0000F9280000}"/>
    <cellStyle name="20% - Accent6 3 2 2 2 4" xfId="10583" xr:uid="{00000000-0005-0000-0000-0000FA280000}"/>
    <cellStyle name="20% - Accent6 3 2 2 2 4 2" xfId="10584" xr:uid="{00000000-0005-0000-0000-0000FB280000}"/>
    <cellStyle name="20% - Accent6 3 2 2 2 4 2 2" xfId="10585" xr:uid="{00000000-0005-0000-0000-0000FC280000}"/>
    <cellStyle name="20% - Accent6 3 2 2 2 4 2 2 2" xfId="10586" xr:uid="{00000000-0005-0000-0000-0000FD280000}"/>
    <cellStyle name="20% - Accent6 3 2 2 2 4 2 2 3" xfId="10587" xr:uid="{00000000-0005-0000-0000-0000FE280000}"/>
    <cellStyle name="20% - Accent6 3 2 2 2 4 2 3" xfId="10588" xr:uid="{00000000-0005-0000-0000-0000FF280000}"/>
    <cellStyle name="20% - Accent6 3 2 2 2 4 2 4" xfId="10589" xr:uid="{00000000-0005-0000-0000-000000290000}"/>
    <cellStyle name="20% - Accent6 3 2 2 2 4 3" xfId="10590" xr:uid="{00000000-0005-0000-0000-000001290000}"/>
    <cellStyle name="20% - Accent6 3 2 2 2 4 3 2" xfId="10591" xr:uid="{00000000-0005-0000-0000-000002290000}"/>
    <cellStyle name="20% - Accent6 3 2 2 2 4 3 3" xfId="10592" xr:uid="{00000000-0005-0000-0000-000003290000}"/>
    <cellStyle name="20% - Accent6 3 2 2 2 4 4" xfId="10593" xr:uid="{00000000-0005-0000-0000-000004290000}"/>
    <cellStyle name="20% - Accent6 3 2 2 2 4 5" xfId="10594" xr:uid="{00000000-0005-0000-0000-000005290000}"/>
    <cellStyle name="20% - Accent6 3 2 2 2 4 6" xfId="10595" xr:uid="{00000000-0005-0000-0000-000006290000}"/>
    <cellStyle name="20% - Accent6 3 2 2 2 5" xfId="10596" xr:uid="{00000000-0005-0000-0000-000007290000}"/>
    <cellStyle name="20% - Accent6 3 2 2 2 5 2" xfId="10597" xr:uid="{00000000-0005-0000-0000-000008290000}"/>
    <cellStyle name="20% - Accent6 3 2 2 2 5 2 2" xfId="10598" xr:uid="{00000000-0005-0000-0000-000009290000}"/>
    <cellStyle name="20% - Accent6 3 2 2 2 5 2 3" xfId="10599" xr:uid="{00000000-0005-0000-0000-00000A290000}"/>
    <cellStyle name="20% - Accent6 3 2 2 2 5 3" xfId="10600" xr:uid="{00000000-0005-0000-0000-00000B290000}"/>
    <cellStyle name="20% - Accent6 3 2 2 2 5 4" xfId="10601" xr:uid="{00000000-0005-0000-0000-00000C290000}"/>
    <cellStyle name="20% - Accent6 3 2 2 2 6" xfId="10602" xr:uid="{00000000-0005-0000-0000-00000D290000}"/>
    <cellStyle name="20% - Accent6 3 2 2 2 6 2" xfId="10603" xr:uid="{00000000-0005-0000-0000-00000E290000}"/>
    <cellStyle name="20% - Accent6 3 2 2 2 6 3" xfId="10604" xr:uid="{00000000-0005-0000-0000-00000F290000}"/>
    <cellStyle name="20% - Accent6 3 2 2 2 7" xfId="10605" xr:uid="{00000000-0005-0000-0000-000010290000}"/>
    <cellStyle name="20% - Accent6 3 2 2 2 8" xfId="10606" xr:uid="{00000000-0005-0000-0000-000011290000}"/>
    <cellStyle name="20% - Accent6 3 2 2 2 9" xfId="10607" xr:uid="{00000000-0005-0000-0000-000012290000}"/>
    <cellStyle name="20% - Accent6 3 2 2 3" xfId="10608" xr:uid="{00000000-0005-0000-0000-000013290000}"/>
    <cellStyle name="20% - Accent6 3 2 2 3 2" xfId="10609" xr:uid="{00000000-0005-0000-0000-000014290000}"/>
    <cellStyle name="20% - Accent6 3 2 2 3 2 2" xfId="10610" xr:uid="{00000000-0005-0000-0000-000015290000}"/>
    <cellStyle name="20% - Accent6 3 2 2 3 2 2 2" xfId="10611" xr:uid="{00000000-0005-0000-0000-000016290000}"/>
    <cellStyle name="20% - Accent6 3 2 2 3 2 2 2 2" xfId="10612" xr:uid="{00000000-0005-0000-0000-000017290000}"/>
    <cellStyle name="20% - Accent6 3 2 2 3 2 2 2 2 2" xfId="10613" xr:uid="{00000000-0005-0000-0000-000018290000}"/>
    <cellStyle name="20% - Accent6 3 2 2 3 2 2 2 2 3" xfId="10614" xr:uid="{00000000-0005-0000-0000-000019290000}"/>
    <cellStyle name="20% - Accent6 3 2 2 3 2 2 2 3" xfId="10615" xr:uid="{00000000-0005-0000-0000-00001A290000}"/>
    <cellStyle name="20% - Accent6 3 2 2 3 2 2 2 4" xfId="10616" xr:uid="{00000000-0005-0000-0000-00001B290000}"/>
    <cellStyle name="20% - Accent6 3 2 2 3 2 2 3" xfId="10617" xr:uid="{00000000-0005-0000-0000-00001C290000}"/>
    <cellStyle name="20% - Accent6 3 2 2 3 2 2 3 2" xfId="10618" xr:uid="{00000000-0005-0000-0000-00001D290000}"/>
    <cellStyle name="20% - Accent6 3 2 2 3 2 2 3 3" xfId="10619" xr:uid="{00000000-0005-0000-0000-00001E290000}"/>
    <cellStyle name="20% - Accent6 3 2 2 3 2 2 4" xfId="10620" xr:uid="{00000000-0005-0000-0000-00001F290000}"/>
    <cellStyle name="20% - Accent6 3 2 2 3 2 2 5" xfId="10621" xr:uid="{00000000-0005-0000-0000-000020290000}"/>
    <cellStyle name="20% - Accent6 3 2 2 3 2 2 6" xfId="10622" xr:uid="{00000000-0005-0000-0000-000021290000}"/>
    <cellStyle name="20% - Accent6 3 2 2 3 2 3" xfId="10623" xr:uid="{00000000-0005-0000-0000-000022290000}"/>
    <cellStyle name="20% - Accent6 3 2 2 3 2 3 2" xfId="10624" xr:uid="{00000000-0005-0000-0000-000023290000}"/>
    <cellStyle name="20% - Accent6 3 2 2 3 2 3 2 2" xfId="10625" xr:uid="{00000000-0005-0000-0000-000024290000}"/>
    <cellStyle name="20% - Accent6 3 2 2 3 2 3 2 3" xfId="10626" xr:uid="{00000000-0005-0000-0000-000025290000}"/>
    <cellStyle name="20% - Accent6 3 2 2 3 2 3 3" xfId="10627" xr:uid="{00000000-0005-0000-0000-000026290000}"/>
    <cellStyle name="20% - Accent6 3 2 2 3 2 3 4" xfId="10628" xr:uid="{00000000-0005-0000-0000-000027290000}"/>
    <cellStyle name="20% - Accent6 3 2 2 3 2 4" xfId="10629" xr:uid="{00000000-0005-0000-0000-000028290000}"/>
    <cellStyle name="20% - Accent6 3 2 2 3 2 4 2" xfId="10630" xr:uid="{00000000-0005-0000-0000-000029290000}"/>
    <cellStyle name="20% - Accent6 3 2 2 3 2 4 3" xfId="10631" xr:uid="{00000000-0005-0000-0000-00002A290000}"/>
    <cellStyle name="20% - Accent6 3 2 2 3 2 5" xfId="10632" xr:uid="{00000000-0005-0000-0000-00002B290000}"/>
    <cellStyle name="20% - Accent6 3 2 2 3 2 6" xfId="10633" xr:uid="{00000000-0005-0000-0000-00002C290000}"/>
    <cellStyle name="20% - Accent6 3 2 2 3 2 7" xfId="10634" xr:uid="{00000000-0005-0000-0000-00002D290000}"/>
    <cellStyle name="20% - Accent6 3 2 2 3 3" xfId="10635" xr:uid="{00000000-0005-0000-0000-00002E290000}"/>
    <cellStyle name="20% - Accent6 3 2 2 3 3 2" xfId="10636" xr:uid="{00000000-0005-0000-0000-00002F290000}"/>
    <cellStyle name="20% - Accent6 3 2 2 3 3 2 2" xfId="10637" xr:uid="{00000000-0005-0000-0000-000030290000}"/>
    <cellStyle name="20% - Accent6 3 2 2 3 3 2 2 2" xfId="10638" xr:uid="{00000000-0005-0000-0000-000031290000}"/>
    <cellStyle name="20% - Accent6 3 2 2 3 3 2 2 3" xfId="10639" xr:uid="{00000000-0005-0000-0000-000032290000}"/>
    <cellStyle name="20% - Accent6 3 2 2 3 3 2 3" xfId="10640" xr:uid="{00000000-0005-0000-0000-000033290000}"/>
    <cellStyle name="20% - Accent6 3 2 2 3 3 2 4" xfId="10641" xr:uid="{00000000-0005-0000-0000-000034290000}"/>
    <cellStyle name="20% - Accent6 3 2 2 3 3 3" xfId="10642" xr:uid="{00000000-0005-0000-0000-000035290000}"/>
    <cellStyle name="20% - Accent6 3 2 2 3 3 3 2" xfId="10643" xr:uid="{00000000-0005-0000-0000-000036290000}"/>
    <cellStyle name="20% - Accent6 3 2 2 3 3 3 3" xfId="10644" xr:uid="{00000000-0005-0000-0000-000037290000}"/>
    <cellStyle name="20% - Accent6 3 2 2 3 3 4" xfId="10645" xr:uid="{00000000-0005-0000-0000-000038290000}"/>
    <cellStyle name="20% - Accent6 3 2 2 3 3 5" xfId="10646" xr:uid="{00000000-0005-0000-0000-000039290000}"/>
    <cellStyle name="20% - Accent6 3 2 2 3 3 6" xfId="10647" xr:uid="{00000000-0005-0000-0000-00003A290000}"/>
    <cellStyle name="20% - Accent6 3 2 2 3 4" xfId="10648" xr:uid="{00000000-0005-0000-0000-00003B290000}"/>
    <cellStyle name="20% - Accent6 3 2 2 3 4 2" xfId="10649" xr:uid="{00000000-0005-0000-0000-00003C290000}"/>
    <cellStyle name="20% - Accent6 3 2 2 3 4 2 2" xfId="10650" xr:uid="{00000000-0005-0000-0000-00003D290000}"/>
    <cellStyle name="20% - Accent6 3 2 2 3 4 2 3" xfId="10651" xr:uid="{00000000-0005-0000-0000-00003E290000}"/>
    <cellStyle name="20% - Accent6 3 2 2 3 4 3" xfId="10652" xr:uid="{00000000-0005-0000-0000-00003F290000}"/>
    <cellStyle name="20% - Accent6 3 2 2 3 4 4" xfId="10653" xr:uid="{00000000-0005-0000-0000-000040290000}"/>
    <cellStyle name="20% - Accent6 3 2 2 3 5" xfId="10654" xr:uid="{00000000-0005-0000-0000-000041290000}"/>
    <cellStyle name="20% - Accent6 3 2 2 3 5 2" xfId="10655" xr:uid="{00000000-0005-0000-0000-000042290000}"/>
    <cellStyle name="20% - Accent6 3 2 2 3 5 3" xfId="10656" xr:uid="{00000000-0005-0000-0000-000043290000}"/>
    <cellStyle name="20% - Accent6 3 2 2 3 6" xfId="10657" xr:uid="{00000000-0005-0000-0000-000044290000}"/>
    <cellStyle name="20% - Accent6 3 2 2 3 7" xfId="10658" xr:uid="{00000000-0005-0000-0000-000045290000}"/>
    <cellStyle name="20% - Accent6 3 2 2 3 8" xfId="10659" xr:uid="{00000000-0005-0000-0000-000046290000}"/>
    <cellStyle name="20% - Accent6 3 2 2 4" xfId="10660" xr:uid="{00000000-0005-0000-0000-000047290000}"/>
    <cellStyle name="20% - Accent6 3 2 2 4 2" xfId="10661" xr:uid="{00000000-0005-0000-0000-000048290000}"/>
    <cellStyle name="20% - Accent6 3 2 2 4 2 2" xfId="10662" xr:uid="{00000000-0005-0000-0000-000049290000}"/>
    <cellStyle name="20% - Accent6 3 2 2 4 2 2 2" xfId="10663" xr:uid="{00000000-0005-0000-0000-00004A290000}"/>
    <cellStyle name="20% - Accent6 3 2 2 4 2 2 2 2" xfId="10664" xr:uid="{00000000-0005-0000-0000-00004B290000}"/>
    <cellStyle name="20% - Accent6 3 2 2 4 2 2 2 3" xfId="10665" xr:uid="{00000000-0005-0000-0000-00004C290000}"/>
    <cellStyle name="20% - Accent6 3 2 2 4 2 2 3" xfId="10666" xr:uid="{00000000-0005-0000-0000-00004D290000}"/>
    <cellStyle name="20% - Accent6 3 2 2 4 2 2 4" xfId="10667" xr:uid="{00000000-0005-0000-0000-00004E290000}"/>
    <cellStyle name="20% - Accent6 3 2 2 4 2 3" xfId="10668" xr:uid="{00000000-0005-0000-0000-00004F290000}"/>
    <cellStyle name="20% - Accent6 3 2 2 4 2 3 2" xfId="10669" xr:uid="{00000000-0005-0000-0000-000050290000}"/>
    <cellStyle name="20% - Accent6 3 2 2 4 2 3 3" xfId="10670" xr:uid="{00000000-0005-0000-0000-000051290000}"/>
    <cellStyle name="20% - Accent6 3 2 2 4 2 4" xfId="10671" xr:uid="{00000000-0005-0000-0000-000052290000}"/>
    <cellStyle name="20% - Accent6 3 2 2 4 2 5" xfId="10672" xr:uid="{00000000-0005-0000-0000-000053290000}"/>
    <cellStyle name="20% - Accent6 3 2 2 4 2 6" xfId="10673" xr:uid="{00000000-0005-0000-0000-000054290000}"/>
    <cellStyle name="20% - Accent6 3 2 2 4 3" xfId="10674" xr:uid="{00000000-0005-0000-0000-000055290000}"/>
    <cellStyle name="20% - Accent6 3 2 2 4 3 2" xfId="10675" xr:uid="{00000000-0005-0000-0000-000056290000}"/>
    <cellStyle name="20% - Accent6 3 2 2 4 3 2 2" xfId="10676" xr:uid="{00000000-0005-0000-0000-000057290000}"/>
    <cellStyle name="20% - Accent6 3 2 2 4 3 2 3" xfId="10677" xr:uid="{00000000-0005-0000-0000-000058290000}"/>
    <cellStyle name="20% - Accent6 3 2 2 4 3 3" xfId="10678" xr:uid="{00000000-0005-0000-0000-000059290000}"/>
    <cellStyle name="20% - Accent6 3 2 2 4 3 4" xfId="10679" xr:uid="{00000000-0005-0000-0000-00005A290000}"/>
    <cellStyle name="20% - Accent6 3 2 2 4 4" xfId="10680" xr:uid="{00000000-0005-0000-0000-00005B290000}"/>
    <cellStyle name="20% - Accent6 3 2 2 4 4 2" xfId="10681" xr:uid="{00000000-0005-0000-0000-00005C290000}"/>
    <cellStyle name="20% - Accent6 3 2 2 4 4 3" xfId="10682" xr:uid="{00000000-0005-0000-0000-00005D290000}"/>
    <cellStyle name="20% - Accent6 3 2 2 4 5" xfId="10683" xr:uid="{00000000-0005-0000-0000-00005E290000}"/>
    <cellStyle name="20% - Accent6 3 2 2 4 6" xfId="10684" xr:uid="{00000000-0005-0000-0000-00005F290000}"/>
    <cellStyle name="20% - Accent6 3 2 2 4 7" xfId="10685" xr:uid="{00000000-0005-0000-0000-000060290000}"/>
    <cellStyle name="20% - Accent6 3 2 2 5" xfId="10686" xr:uid="{00000000-0005-0000-0000-000061290000}"/>
    <cellStyle name="20% - Accent6 3 2 2 5 2" xfId="10687" xr:uid="{00000000-0005-0000-0000-000062290000}"/>
    <cellStyle name="20% - Accent6 3 2 2 5 2 2" xfId="10688" xr:uid="{00000000-0005-0000-0000-000063290000}"/>
    <cellStyle name="20% - Accent6 3 2 2 5 2 2 2" xfId="10689" xr:uid="{00000000-0005-0000-0000-000064290000}"/>
    <cellStyle name="20% - Accent6 3 2 2 5 2 2 3" xfId="10690" xr:uid="{00000000-0005-0000-0000-000065290000}"/>
    <cellStyle name="20% - Accent6 3 2 2 5 2 3" xfId="10691" xr:uid="{00000000-0005-0000-0000-000066290000}"/>
    <cellStyle name="20% - Accent6 3 2 2 5 2 4" xfId="10692" xr:uid="{00000000-0005-0000-0000-000067290000}"/>
    <cellStyle name="20% - Accent6 3 2 2 5 3" xfId="10693" xr:uid="{00000000-0005-0000-0000-000068290000}"/>
    <cellStyle name="20% - Accent6 3 2 2 5 3 2" xfId="10694" xr:uid="{00000000-0005-0000-0000-000069290000}"/>
    <cellStyle name="20% - Accent6 3 2 2 5 3 3" xfId="10695" xr:uid="{00000000-0005-0000-0000-00006A290000}"/>
    <cellStyle name="20% - Accent6 3 2 2 5 4" xfId="10696" xr:uid="{00000000-0005-0000-0000-00006B290000}"/>
    <cellStyle name="20% - Accent6 3 2 2 5 5" xfId="10697" xr:uid="{00000000-0005-0000-0000-00006C290000}"/>
    <cellStyle name="20% - Accent6 3 2 2 5 6" xfId="10698" xr:uid="{00000000-0005-0000-0000-00006D290000}"/>
    <cellStyle name="20% - Accent6 3 2 2 6" xfId="10699" xr:uid="{00000000-0005-0000-0000-00006E290000}"/>
    <cellStyle name="20% - Accent6 3 2 2 6 2" xfId="10700" xr:uid="{00000000-0005-0000-0000-00006F290000}"/>
    <cellStyle name="20% - Accent6 3 2 2 6 2 2" xfId="10701" xr:uid="{00000000-0005-0000-0000-000070290000}"/>
    <cellStyle name="20% - Accent6 3 2 2 6 2 3" xfId="10702" xr:uid="{00000000-0005-0000-0000-000071290000}"/>
    <cellStyle name="20% - Accent6 3 2 2 6 3" xfId="10703" xr:uid="{00000000-0005-0000-0000-000072290000}"/>
    <cellStyle name="20% - Accent6 3 2 2 6 4" xfId="10704" xr:uid="{00000000-0005-0000-0000-000073290000}"/>
    <cellStyle name="20% - Accent6 3 2 2 7" xfId="10705" xr:uid="{00000000-0005-0000-0000-000074290000}"/>
    <cellStyle name="20% - Accent6 3 2 2 7 2" xfId="10706" xr:uid="{00000000-0005-0000-0000-000075290000}"/>
    <cellStyle name="20% - Accent6 3 2 2 7 3" xfId="10707" xr:uid="{00000000-0005-0000-0000-000076290000}"/>
    <cellStyle name="20% - Accent6 3 2 2 8" xfId="10708" xr:uid="{00000000-0005-0000-0000-000077290000}"/>
    <cellStyle name="20% - Accent6 3 2 2 9" xfId="10709" xr:uid="{00000000-0005-0000-0000-000078290000}"/>
    <cellStyle name="20% - Accent6 3 2 3" xfId="10710" xr:uid="{00000000-0005-0000-0000-000079290000}"/>
    <cellStyle name="20% - Accent6 3 2 3 2" xfId="10711" xr:uid="{00000000-0005-0000-0000-00007A290000}"/>
    <cellStyle name="20% - Accent6 3 2 3 2 2" xfId="10712" xr:uid="{00000000-0005-0000-0000-00007B290000}"/>
    <cellStyle name="20% - Accent6 3 2 3 2 2 2" xfId="10713" xr:uid="{00000000-0005-0000-0000-00007C290000}"/>
    <cellStyle name="20% - Accent6 3 2 3 2 2 2 2" xfId="10714" xr:uid="{00000000-0005-0000-0000-00007D290000}"/>
    <cellStyle name="20% - Accent6 3 2 3 2 2 2 2 2" xfId="10715" xr:uid="{00000000-0005-0000-0000-00007E290000}"/>
    <cellStyle name="20% - Accent6 3 2 3 2 2 2 2 2 2" xfId="10716" xr:uid="{00000000-0005-0000-0000-00007F290000}"/>
    <cellStyle name="20% - Accent6 3 2 3 2 2 2 2 2 3" xfId="10717" xr:uid="{00000000-0005-0000-0000-000080290000}"/>
    <cellStyle name="20% - Accent6 3 2 3 2 2 2 2 3" xfId="10718" xr:uid="{00000000-0005-0000-0000-000081290000}"/>
    <cellStyle name="20% - Accent6 3 2 3 2 2 2 2 4" xfId="10719" xr:uid="{00000000-0005-0000-0000-000082290000}"/>
    <cellStyle name="20% - Accent6 3 2 3 2 2 2 3" xfId="10720" xr:uid="{00000000-0005-0000-0000-000083290000}"/>
    <cellStyle name="20% - Accent6 3 2 3 2 2 2 3 2" xfId="10721" xr:uid="{00000000-0005-0000-0000-000084290000}"/>
    <cellStyle name="20% - Accent6 3 2 3 2 2 2 3 3" xfId="10722" xr:uid="{00000000-0005-0000-0000-000085290000}"/>
    <cellStyle name="20% - Accent6 3 2 3 2 2 2 4" xfId="10723" xr:uid="{00000000-0005-0000-0000-000086290000}"/>
    <cellStyle name="20% - Accent6 3 2 3 2 2 2 5" xfId="10724" xr:uid="{00000000-0005-0000-0000-000087290000}"/>
    <cellStyle name="20% - Accent6 3 2 3 2 2 2 6" xfId="10725" xr:uid="{00000000-0005-0000-0000-000088290000}"/>
    <cellStyle name="20% - Accent6 3 2 3 2 2 3" xfId="10726" xr:uid="{00000000-0005-0000-0000-000089290000}"/>
    <cellStyle name="20% - Accent6 3 2 3 2 2 3 2" xfId="10727" xr:uid="{00000000-0005-0000-0000-00008A290000}"/>
    <cellStyle name="20% - Accent6 3 2 3 2 2 3 2 2" xfId="10728" xr:uid="{00000000-0005-0000-0000-00008B290000}"/>
    <cellStyle name="20% - Accent6 3 2 3 2 2 3 2 3" xfId="10729" xr:uid="{00000000-0005-0000-0000-00008C290000}"/>
    <cellStyle name="20% - Accent6 3 2 3 2 2 3 3" xfId="10730" xr:uid="{00000000-0005-0000-0000-00008D290000}"/>
    <cellStyle name="20% - Accent6 3 2 3 2 2 3 4" xfId="10731" xr:uid="{00000000-0005-0000-0000-00008E290000}"/>
    <cellStyle name="20% - Accent6 3 2 3 2 2 4" xfId="10732" xr:uid="{00000000-0005-0000-0000-00008F290000}"/>
    <cellStyle name="20% - Accent6 3 2 3 2 2 4 2" xfId="10733" xr:uid="{00000000-0005-0000-0000-000090290000}"/>
    <cellStyle name="20% - Accent6 3 2 3 2 2 4 3" xfId="10734" xr:uid="{00000000-0005-0000-0000-000091290000}"/>
    <cellStyle name="20% - Accent6 3 2 3 2 2 5" xfId="10735" xr:uid="{00000000-0005-0000-0000-000092290000}"/>
    <cellStyle name="20% - Accent6 3 2 3 2 2 6" xfId="10736" xr:uid="{00000000-0005-0000-0000-000093290000}"/>
    <cellStyle name="20% - Accent6 3 2 3 2 2 7" xfId="10737" xr:uid="{00000000-0005-0000-0000-000094290000}"/>
    <cellStyle name="20% - Accent6 3 2 3 2 3" xfId="10738" xr:uid="{00000000-0005-0000-0000-000095290000}"/>
    <cellStyle name="20% - Accent6 3 2 3 2 3 2" xfId="10739" xr:uid="{00000000-0005-0000-0000-000096290000}"/>
    <cellStyle name="20% - Accent6 3 2 3 2 3 2 2" xfId="10740" xr:uid="{00000000-0005-0000-0000-000097290000}"/>
    <cellStyle name="20% - Accent6 3 2 3 2 3 2 2 2" xfId="10741" xr:uid="{00000000-0005-0000-0000-000098290000}"/>
    <cellStyle name="20% - Accent6 3 2 3 2 3 2 2 3" xfId="10742" xr:uid="{00000000-0005-0000-0000-000099290000}"/>
    <cellStyle name="20% - Accent6 3 2 3 2 3 2 3" xfId="10743" xr:uid="{00000000-0005-0000-0000-00009A290000}"/>
    <cellStyle name="20% - Accent6 3 2 3 2 3 2 4" xfId="10744" xr:uid="{00000000-0005-0000-0000-00009B290000}"/>
    <cellStyle name="20% - Accent6 3 2 3 2 3 3" xfId="10745" xr:uid="{00000000-0005-0000-0000-00009C290000}"/>
    <cellStyle name="20% - Accent6 3 2 3 2 3 3 2" xfId="10746" xr:uid="{00000000-0005-0000-0000-00009D290000}"/>
    <cellStyle name="20% - Accent6 3 2 3 2 3 3 3" xfId="10747" xr:uid="{00000000-0005-0000-0000-00009E290000}"/>
    <cellStyle name="20% - Accent6 3 2 3 2 3 4" xfId="10748" xr:uid="{00000000-0005-0000-0000-00009F290000}"/>
    <cellStyle name="20% - Accent6 3 2 3 2 3 5" xfId="10749" xr:uid="{00000000-0005-0000-0000-0000A0290000}"/>
    <cellStyle name="20% - Accent6 3 2 3 2 3 6" xfId="10750" xr:uid="{00000000-0005-0000-0000-0000A1290000}"/>
    <cellStyle name="20% - Accent6 3 2 3 2 4" xfId="10751" xr:uid="{00000000-0005-0000-0000-0000A2290000}"/>
    <cellStyle name="20% - Accent6 3 2 3 2 4 2" xfId="10752" xr:uid="{00000000-0005-0000-0000-0000A3290000}"/>
    <cellStyle name="20% - Accent6 3 2 3 2 4 2 2" xfId="10753" xr:uid="{00000000-0005-0000-0000-0000A4290000}"/>
    <cellStyle name="20% - Accent6 3 2 3 2 4 2 3" xfId="10754" xr:uid="{00000000-0005-0000-0000-0000A5290000}"/>
    <cellStyle name="20% - Accent6 3 2 3 2 4 3" xfId="10755" xr:uid="{00000000-0005-0000-0000-0000A6290000}"/>
    <cellStyle name="20% - Accent6 3 2 3 2 4 4" xfId="10756" xr:uid="{00000000-0005-0000-0000-0000A7290000}"/>
    <cellStyle name="20% - Accent6 3 2 3 2 5" xfId="10757" xr:uid="{00000000-0005-0000-0000-0000A8290000}"/>
    <cellStyle name="20% - Accent6 3 2 3 2 5 2" xfId="10758" xr:uid="{00000000-0005-0000-0000-0000A9290000}"/>
    <cellStyle name="20% - Accent6 3 2 3 2 5 3" xfId="10759" xr:uid="{00000000-0005-0000-0000-0000AA290000}"/>
    <cellStyle name="20% - Accent6 3 2 3 2 6" xfId="10760" xr:uid="{00000000-0005-0000-0000-0000AB290000}"/>
    <cellStyle name="20% - Accent6 3 2 3 2 7" xfId="10761" xr:uid="{00000000-0005-0000-0000-0000AC290000}"/>
    <cellStyle name="20% - Accent6 3 2 3 2 8" xfId="10762" xr:uid="{00000000-0005-0000-0000-0000AD290000}"/>
    <cellStyle name="20% - Accent6 3 2 3 3" xfId="10763" xr:uid="{00000000-0005-0000-0000-0000AE290000}"/>
    <cellStyle name="20% - Accent6 3 2 3 3 2" xfId="10764" xr:uid="{00000000-0005-0000-0000-0000AF290000}"/>
    <cellStyle name="20% - Accent6 3 2 3 3 2 2" xfId="10765" xr:uid="{00000000-0005-0000-0000-0000B0290000}"/>
    <cellStyle name="20% - Accent6 3 2 3 3 2 2 2" xfId="10766" xr:uid="{00000000-0005-0000-0000-0000B1290000}"/>
    <cellStyle name="20% - Accent6 3 2 3 3 2 2 2 2" xfId="10767" xr:uid="{00000000-0005-0000-0000-0000B2290000}"/>
    <cellStyle name="20% - Accent6 3 2 3 3 2 2 2 3" xfId="10768" xr:uid="{00000000-0005-0000-0000-0000B3290000}"/>
    <cellStyle name="20% - Accent6 3 2 3 3 2 2 3" xfId="10769" xr:uid="{00000000-0005-0000-0000-0000B4290000}"/>
    <cellStyle name="20% - Accent6 3 2 3 3 2 2 4" xfId="10770" xr:uid="{00000000-0005-0000-0000-0000B5290000}"/>
    <cellStyle name="20% - Accent6 3 2 3 3 2 3" xfId="10771" xr:uid="{00000000-0005-0000-0000-0000B6290000}"/>
    <cellStyle name="20% - Accent6 3 2 3 3 2 3 2" xfId="10772" xr:uid="{00000000-0005-0000-0000-0000B7290000}"/>
    <cellStyle name="20% - Accent6 3 2 3 3 2 3 3" xfId="10773" xr:uid="{00000000-0005-0000-0000-0000B8290000}"/>
    <cellStyle name="20% - Accent6 3 2 3 3 2 4" xfId="10774" xr:uid="{00000000-0005-0000-0000-0000B9290000}"/>
    <cellStyle name="20% - Accent6 3 2 3 3 2 5" xfId="10775" xr:uid="{00000000-0005-0000-0000-0000BA290000}"/>
    <cellStyle name="20% - Accent6 3 2 3 3 2 6" xfId="10776" xr:uid="{00000000-0005-0000-0000-0000BB290000}"/>
    <cellStyle name="20% - Accent6 3 2 3 3 3" xfId="10777" xr:uid="{00000000-0005-0000-0000-0000BC290000}"/>
    <cellStyle name="20% - Accent6 3 2 3 3 3 2" xfId="10778" xr:uid="{00000000-0005-0000-0000-0000BD290000}"/>
    <cellStyle name="20% - Accent6 3 2 3 3 3 2 2" xfId="10779" xr:uid="{00000000-0005-0000-0000-0000BE290000}"/>
    <cellStyle name="20% - Accent6 3 2 3 3 3 2 3" xfId="10780" xr:uid="{00000000-0005-0000-0000-0000BF290000}"/>
    <cellStyle name="20% - Accent6 3 2 3 3 3 3" xfId="10781" xr:uid="{00000000-0005-0000-0000-0000C0290000}"/>
    <cellStyle name="20% - Accent6 3 2 3 3 3 4" xfId="10782" xr:uid="{00000000-0005-0000-0000-0000C1290000}"/>
    <cellStyle name="20% - Accent6 3 2 3 3 4" xfId="10783" xr:uid="{00000000-0005-0000-0000-0000C2290000}"/>
    <cellStyle name="20% - Accent6 3 2 3 3 4 2" xfId="10784" xr:uid="{00000000-0005-0000-0000-0000C3290000}"/>
    <cellStyle name="20% - Accent6 3 2 3 3 4 3" xfId="10785" xr:uid="{00000000-0005-0000-0000-0000C4290000}"/>
    <cellStyle name="20% - Accent6 3 2 3 3 5" xfId="10786" xr:uid="{00000000-0005-0000-0000-0000C5290000}"/>
    <cellStyle name="20% - Accent6 3 2 3 3 6" xfId="10787" xr:uid="{00000000-0005-0000-0000-0000C6290000}"/>
    <cellStyle name="20% - Accent6 3 2 3 3 7" xfId="10788" xr:uid="{00000000-0005-0000-0000-0000C7290000}"/>
    <cellStyle name="20% - Accent6 3 2 3 4" xfId="10789" xr:uid="{00000000-0005-0000-0000-0000C8290000}"/>
    <cellStyle name="20% - Accent6 3 2 3 4 2" xfId="10790" xr:uid="{00000000-0005-0000-0000-0000C9290000}"/>
    <cellStyle name="20% - Accent6 3 2 3 4 2 2" xfId="10791" xr:uid="{00000000-0005-0000-0000-0000CA290000}"/>
    <cellStyle name="20% - Accent6 3 2 3 4 2 2 2" xfId="10792" xr:uid="{00000000-0005-0000-0000-0000CB290000}"/>
    <cellStyle name="20% - Accent6 3 2 3 4 2 2 3" xfId="10793" xr:uid="{00000000-0005-0000-0000-0000CC290000}"/>
    <cellStyle name="20% - Accent6 3 2 3 4 2 3" xfId="10794" xr:uid="{00000000-0005-0000-0000-0000CD290000}"/>
    <cellStyle name="20% - Accent6 3 2 3 4 2 4" xfId="10795" xr:uid="{00000000-0005-0000-0000-0000CE290000}"/>
    <cellStyle name="20% - Accent6 3 2 3 4 3" xfId="10796" xr:uid="{00000000-0005-0000-0000-0000CF290000}"/>
    <cellStyle name="20% - Accent6 3 2 3 4 3 2" xfId="10797" xr:uid="{00000000-0005-0000-0000-0000D0290000}"/>
    <cellStyle name="20% - Accent6 3 2 3 4 3 3" xfId="10798" xr:uid="{00000000-0005-0000-0000-0000D1290000}"/>
    <cellStyle name="20% - Accent6 3 2 3 4 4" xfId="10799" xr:uid="{00000000-0005-0000-0000-0000D2290000}"/>
    <cellStyle name="20% - Accent6 3 2 3 4 5" xfId="10800" xr:uid="{00000000-0005-0000-0000-0000D3290000}"/>
    <cellStyle name="20% - Accent6 3 2 3 4 6" xfId="10801" xr:uid="{00000000-0005-0000-0000-0000D4290000}"/>
    <cellStyle name="20% - Accent6 3 2 3 5" xfId="10802" xr:uid="{00000000-0005-0000-0000-0000D5290000}"/>
    <cellStyle name="20% - Accent6 3 2 3 5 2" xfId="10803" xr:uid="{00000000-0005-0000-0000-0000D6290000}"/>
    <cellStyle name="20% - Accent6 3 2 3 5 2 2" xfId="10804" xr:uid="{00000000-0005-0000-0000-0000D7290000}"/>
    <cellStyle name="20% - Accent6 3 2 3 5 2 3" xfId="10805" xr:uid="{00000000-0005-0000-0000-0000D8290000}"/>
    <cellStyle name="20% - Accent6 3 2 3 5 3" xfId="10806" xr:uid="{00000000-0005-0000-0000-0000D9290000}"/>
    <cellStyle name="20% - Accent6 3 2 3 5 4" xfId="10807" xr:uid="{00000000-0005-0000-0000-0000DA290000}"/>
    <cellStyle name="20% - Accent6 3 2 3 6" xfId="10808" xr:uid="{00000000-0005-0000-0000-0000DB290000}"/>
    <cellStyle name="20% - Accent6 3 2 3 6 2" xfId="10809" xr:uid="{00000000-0005-0000-0000-0000DC290000}"/>
    <cellStyle name="20% - Accent6 3 2 3 6 3" xfId="10810" xr:uid="{00000000-0005-0000-0000-0000DD290000}"/>
    <cellStyle name="20% - Accent6 3 2 3 7" xfId="10811" xr:uid="{00000000-0005-0000-0000-0000DE290000}"/>
    <cellStyle name="20% - Accent6 3 2 3 8" xfId="10812" xr:uid="{00000000-0005-0000-0000-0000DF290000}"/>
    <cellStyle name="20% - Accent6 3 2 3 9" xfId="10813" xr:uid="{00000000-0005-0000-0000-0000E0290000}"/>
    <cellStyle name="20% - Accent6 3 2 4" xfId="10814" xr:uid="{00000000-0005-0000-0000-0000E1290000}"/>
    <cellStyle name="20% - Accent6 3 2 4 2" xfId="10815" xr:uid="{00000000-0005-0000-0000-0000E2290000}"/>
    <cellStyle name="20% - Accent6 3 2 4 2 2" xfId="10816" xr:uid="{00000000-0005-0000-0000-0000E3290000}"/>
    <cellStyle name="20% - Accent6 3 2 4 2 2 2" xfId="10817" xr:uid="{00000000-0005-0000-0000-0000E4290000}"/>
    <cellStyle name="20% - Accent6 3 2 4 2 2 2 2" xfId="10818" xr:uid="{00000000-0005-0000-0000-0000E5290000}"/>
    <cellStyle name="20% - Accent6 3 2 4 2 2 2 2 2" xfId="10819" xr:uid="{00000000-0005-0000-0000-0000E6290000}"/>
    <cellStyle name="20% - Accent6 3 2 4 2 2 2 2 3" xfId="10820" xr:uid="{00000000-0005-0000-0000-0000E7290000}"/>
    <cellStyle name="20% - Accent6 3 2 4 2 2 2 3" xfId="10821" xr:uid="{00000000-0005-0000-0000-0000E8290000}"/>
    <cellStyle name="20% - Accent6 3 2 4 2 2 2 4" xfId="10822" xr:uid="{00000000-0005-0000-0000-0000E9290000}"/>
    <cellStyle name="20% - Accent6 3 2 4 2 2 3" xfId="10823" xr:uid="{00000000-0005-0000-0000-0000EA290000}"/>
    <cellStyle name="20% - Accent6 3 2 4 2 2 3 2" xfId="10824" xr:uid="{00000000-0005-0000-0000-0000EB290000}"/>
    <cellStyle name="20% - Accent6 3 2 4 2 2 3 3" xfId="10825" xr:uid="{00000000-0005-0000-0000-0000EC290000}"/>
    <cellStyle name="20% - Accent6 3 2 4 2 2 4" xfId="10826" xr:uid="{00000000-0005-0000-0000-0000ED290000}"/>
    <cellStyle name="20% - Accent6 3 2 4 2 2 5" xfId="10827" xr:uid="{00000000-0005-0000-0000-0000EE290000}"/>
    <cellStyle name="20% - Accent6 3 2 4 2 2 6" xfId="10828" xr:uid="{00000000-0005-0000-0000-0000EF290000}"/>
    <cellStyle name="20% - Accent6 3 2 4 2 3" xfId="10829" xr:uid="{00000000-0005-0000-0000-0000F0290000}"/>
    <cellStyle name="20% - Accent6 3 2 4 2 3 2" xfId="10830" xr:uid="{00000000-0005-0000-0000-0000F1290000}"/>
    <cellStyle name="20% - Accent6 3 2 4 2 3 2 2" xfId="10831" xr:uid="{00000000-0005-0000-0000-0000F2290000}"/>
    <cellStyle name="20% - Accent6 3 2 4 2 3 2 3" xfId="10832" xr:uid="{00000000-0005-0000-0000-0000F3290000}"/>
    <cellStyle name="20% - Accent6 3 2 4 2 3 3" xfId="10833" xr:uid="{00000000-0005-0000-0000-0000F4290000}"/>
    <cellStyle name="20% - Accent6 3 2 4 2 3 4" xfId="10834" xr:uid="{00000000-0005-0000-0000-0000F5290000}"/>
    <cellStyle name="20% - Accent6 3 2 4 2 4" xfId="10835" xr:uid="{00000000-0005-0000-0000-0000F6290000}"/>
    <cellStyle name="20% - Accent6 3 2 4 2 4 2" xfId="10836" xr:uid="{00000000-0005-0000-0000-0000F7290000}"/>
    <cellStyle name="20% - Accent6 3 2 4 2 4 3" xfId="10837" xr:uid="{00000000-0005-0000-0000-0000F8290000}"/>
    <cellStyle name="20% - Accent6 3 2 4 2 5" xfId="10838" xr:uid="{00000000-0005-0000-0000-0000F9290000}"/>
    <cellStyle name="20% - Accent6 3 2 4 2 6" xfId="10839" xr:uid="{00000000-0005-0000-0000-0000FA290000}"/>
    <cellStyle name="20% - Accent6 3 2 4 2 7" xfId="10840" xr:uid="{00000000-0005-0000-0000-0000FB290000}"/>
    <cellStyle name="20% - Accent6 3 2 4 3" xfId="10841" xr:uid="{00000000-0005-0000-0000-0000FC290000}"/>
    <cellStyle name="20% - Accent6 3 2 4 3 2" xfId="10842" xr:uid="{00000000-0005-0000-0000-0000FD290000}"/>
    <cellStyle name="20% - Accent6 3 2 4 3 2 2" xfId="10843" xr:uid="{00000000-0005-0000-0000-0000FE290000}"/>
    <cellStyle name="20% - Accent6 3 2 4 3 2 2 2" xfId="10844" xr:uid="{00000000-0005-0000-0000-0000FF290000}"/>
    <cellStyle name="20% - Accent6 3 2 4 3 2 2 3" xfId="10845" xr:uid="{00000000-0005-0000-0000-0000002A0000}"/>
    <cellStyle name="20% - Accent6 3 2 4 3 2 3" xfId="10846" xr:uid="{00000000-0005-0000-0000-0000012A0000}"/>
    <cellStyle name="20% - Accent6 3 2 4 3 2 4" xfId="10847" xr:uid="{00000000-0005-0000-0000-0000022A0000}"/>
    <cellStyle name="20% - Accent6 3 2 4 3 3" xfId="10848" xr:uid="{00000000-0005-0000-0000-0000032A0000}"/>
    <cellStyle name="20% - Accent6 3 2 4 3 3 2" xfId="10849" xr:uid="{00000000-0005-0000-0000-0000042A0000}"/>
    <cellStyle name="20% - Accent6 3 2 4 3 3 3" xfId="10850" xr:uid="{00000000-0005-0000-0000-0000052A0000}"/>
    <cellStyle name="20% - Accent6 3 2 4 3 4" xfId="10851" xr:uid="{00000000-0005-0000-0000-0000062A0000}"/>
    <cellStyle name="20% - Accent6 3 2 4 3 5" xfId="10852" xr:uid="{00000000-0005-0000-0000-0000072A0000}"/>
    <cellStyle name="20% - Accent6 3 2 4 3 6" xfId="10853" xr:uid="{00000000-0005-0000-0000-0000082A0000}"/>
    <cellStyle name="20% - Accent6 3 2 4 4" xfId="10854" xr:uid="{00000000-0005-0000-0000-0000092A0000}"/>
    <cellStyle name="20% - Accent6 3 2 4 4 2" xfId="10855" xr:uid="{00000000-0005-0000-0000-00000A2A0000}"/>
    <cellStyle name="20% - Accent6 3 2 4 4 2 2" xfId="10856" xr:uid="{00000000-0005-0000-0000-00000B2A0000}"/>
    <cellStyle name="20% - Accent6 3 2 4 4 2 3" xfId="10857" xr:uid="{00000000-0005-0000-0000-00000C2A0000}"/>
    <cellStyle name="20% - Accent6 3 2 4 4 3" xfId="10858" xr:uid="{00000000-0005-0000-0000-00000D2A0000}"/>
    <cellStyle name="20% - Accent6 3 2 4 4 4" xfId="10859" xr:uid="{00000000-0005-0000-0000-00000E2A0000}"/>
    <cellStyle name="20% - Accent6 3 2 4 5" xfId="10860" xr:uid="{00000000-0005-0000-0000-00000F2A0000}"/>
    <cellStyle name="20% - Accent6 3 2 4 5 2" xfId="10861" xr:uid="{00000000-0005-0000-0000-0000102A0000}"/>
    <cellStyle name="20% - Accent6 3 2 4 5 3" xfId="10862" xr:uid="{00000000-0005-0000-0000-0000112A0000}"/>
    <cellStyle name="20% - Accent6 3 2 4 6" xfId="10863" xr:uid="{00000000-0005-0000-0000-0000122A0000}"/>
    <cellStyle name="20% - Accent6 3 2 4 7" xfId="10864" xr:uid="{00000000-0005-0000-0000-0000132A0000}"/>
    <cellStyle name="20% - Accent6 3 2 4 8" xfId="10865" xr:uid="{00000000-0005-0000-0000-0000142A0000}"/>
    <cellStyle name="20% - Accent6 3 2 5" xfId="10866" xr:uid="{00000000-0005-0000-0000-0000152A0000}"/>
    <cellStyle name="20% - Accent6 3 2 5 2" xfId="10867" xr:uid="{00000000-0005-0000-0000-0000162A0000}"/>
    <cellStyle name="20% - Accent6 3 2 5 2 2" xfId="10868" xr:uid="{00000000-0005-0000-0000-0000172A0000}"/>
    <cellStyle name="20% - Accent6 3 2 5 2 2 2" xfId="10869" xr:uid="{00000000-0005-0000-0000-0000182A0000}"/>
    <cellStyle name="20% - Accent6 3 2 5 2 2 2 2" xfId="10870" xr:uid="{00000000-0005-0000-0000-0000192A0000}"/>
    <cellStyle name="20% - Accent6 3 2 5 2 2 2 3" xfId="10871" xr:uid="{00000000-0005-0000-0000-00001A2A0000}"/>
    <cellStyle name="20% - Accent6 3 2 5 2 2 3" xfId="10872" xr:uid="{00000000-0005-0000-0000-00001B2A0000}"/>
    <cellStyle name="20% - Accent6 3 2 5 2 2 4" xfId="10873" xr:uid="{00000000-0005-0000-0000-00001C2A0000}"/>
    <cellStyle name="20% - Accent6 3 2 5 2 3" xfId="10874" xr:uid="{00000000-0005-0000-0000-00001D2A0000}"/>
    <cellStyle name="20% - Accent6 3 2 5 2 3 2" xfId="10875" xr:uid="{00000000-0005-0000-0000-00001E2A0000}"/>
    <cellStyle name="20% - Accent6 3 2 5 2 3 3" xfId="10876" xr:uid="{00000000-0005-0000-0000-00001F2A0000}"/>
    <cellStyle name="20% - Accent6 3 2 5 2 4" xfId="10877" xr:uid="{00000000-0005-0000-0000-0000202A0000}"/>
    <cellStyle name="20% - Accent6 3 2 5 2 5" xfId="10878" xr:uid="{00000000-0005-0000-0000-0000212A0000}"/>
    <cellStyle name="20% - Accent6 3 2 5 2 6" xfId="10879" xr:uid="{00000000-0005-0000-0000-0000222A0000}"/>
    <cellStyle name="20% - Accent6 3 2 5 3" xfId="10880" xr:uid="{00000000-0005-0000-0000-0000232A0000}"/>
    <cellStyle name="20% - Accent6 3 2 5 3 2" xfId="10881" xr:uid="{00000000-0005-0000-0000-0000242A0000}"/>
    <cellStyle name="20% - Accent6 3 2 5 3 2 2" xfId="10882" xr:uid="{00000000-0005-0000-0000-0000252A0000}"/>
    <cellStyle name="20% - Accent6 3 2 5 3 2 3" xfId="10883" xr:uid="{00000000-0005-0000-0000-0000262A0000}"/>
    <cellStyle name="20% - Accent6 3 2 5 3 3" xfId="10884" xr:uid="{00000000-0005-0000-0000-0000272A0000}"/>
    <cellStyle name="20% - Accent6 3 2 5 3 4" xfId="10885" xr:uid="{00000000-0005-0000-0000-0000282A0000}"/>
    <cellStyle name="20% - Accent6 3 2 5 4" xfId="10886" xr:uid="{00000000-0005-0000-0000-0000292A0000}"/>
    <cellStyle name="20% - Accent6 3 2 5 4 2" xfId="10887" xr:uid="{00000000-0005-0000-0000-00002A2A0000}"/>
    <cellStyle name="20% - Accent6 3 2 5 4 3" xfId="10888" xr:uid="{00000000-0005-0000-0000-00002B2A0000}"/>
    <cellStyle name="20% - Accent6 3 2 5 5" xfId="10889" xr:uid="{00000000-0005-0000-0000-00002C2A0000}"/>
    <cellStyle name="20% - Accent6 3 2 5 6" xfId="10890" xr:uid="{00000000-0005-0000-0000-00002D2A0000}"/>
    <cellStyle name="20% - Accent6 3 2 5 7" xfId="10891" xr:uid="{00000000-0005-0000-0000-00002E2A0000}"/>
    <cellStyle name="20% - Accent6 3 2 6" xfId="10892" xr:uid="{00000000-0005-0000-0000-00002F2A0000}"/>
    <cellStyle name="20% - Accent6 3 2 6 2" xfId="10893" xr:uid="{00000000-0005-0000-0000-0000302A0000}"/>
    <cellStyle name="20% - Accent6 3 2 6 2 2" xfId="10894" xr:uid="{00000000-0005-0000-0000-0000312A0000}"/>
    <cellStyle name="20% - Accent6 3 2 6 2 2 2" xfId="10895" xr:uid="{00000000-0005-0000-0000-0000322A0000}"/>
    <cellStyle name="20% - Accent6 3 2 6 2 2 3" xfId="10896" xr:uid="{00000000-0005-0000-0000-0000332A0000}"/>
    <cellStyle name="20% - Accent6 3 2 6 2 3" xfId="10897" xr:uid="{00000000-0005-0000-0000-0000342A0000}"/>
    <cellStyle name="20% - Accent6 3 2 6 2 4" xfId="10898" xr:uid="{00000000-0005-0000-0000-0000352A0000}"/>
    <cellStyle name="20% - Accent6 3 2 6 3" xfId="10899" xr:uid="{00000000-0005-0000-0000-0000362A0000}"/>
    <cellStyle name="20% - Accent6 3 2 6 3 2" xfId="10900" xr:uid="{00000000-0005-0000-0000-0000372A0000}"/>
    <cellStyle name="20% - Accent6 3 2 6 3 3" xfId="10901" xr:uid="{00000000-0005-0000-0000-0000382A0000}"/>
    <cellStyle name="20% - Accent6 3 2 6 4" xfId="10902" xr:uid="{00000000-0005-0000-0000-0000392A0000}"/>
    <cellStyle name="20% - Accent6 3 2 6 5" xfId="10903" xr:uid="{00000000-0005-0000-0000-00003A2A0000}"/>
    <cellStyle name="20% - Accent6 3 2 6 6" xfId="10904" xr:uid="{00000000-0005-0000-0000-00003B2A0000}"/>
    <cellStyle name="20% - Accent6 3 2 7" xfId="10905" xr:uid="{00000000-0005-0000-0000-00003C2A0000}"/>
    <cellStyle name="20% - Accent6 3 2 7 2" xfId="10906" xr:uid="{00000000-0005-0000-0000-00003D2A0000}"/>
    <cellStyle name="20% - Accent6 3 2 7 2 2" xfId="10907" xr:uid="{00000000-0005-0000-0000-00003E2A0000}"/>
    <cellStyle name="20% - Accent6 3 2 7 2 3" xfId="10908" xr:uid="{00000000-0005-0000-0000-00003F2A0000}"/>
    <cellStyle name="20% - Accent6 3 2 7 3" xfId="10909" xr:uid="{00000000-0005-0000-0000-0000402A0000}"/>
    <cellStyle name="20% - Accent6 3 2 7 4" xfId="10910" xr:uid="{00000000-0005-0000-0000-0000412A0000}"/>
    <cellStyle name="20% - Accent6 3 2 8" xfId="10911" xr:uid="{00000000-0005-0000-0000-0000422A0000}"/>
    <cellStyle name="20% - Accent6 3 2 8 2" xfId="10912" xr:uid="{00000000-0005-0000-0000-0000432A0000}"/>
    <cellStyle name="20% - Accent6 3 2 8 3" xfId="10913" xr:uid="{00000000-0005-0000-0000-0000442A0000}"/>
    <cellStyle name="20% - Accent6 3 2 9" xfId="10914" xr:uid="{00000000-0005-0000-0000-0000452A0000}"/>
    <cellStyle name="20% - Accent6 3 3" xfId="10915" xr:uid="{00000000-0005-0000-0000-0000462A0000}"/>
    <cellStyle name="20% - Accent6 3 3 10" xfId="10916" xr:uid="{00000000-0005-0000-0000-0000472A0000}"/>
    <cellStyle name="20% - Accent6 3 3 2" xfId="10917" xr:uid="{00000000-0005-0000-0000-0000482A0000}"/>
    <cellStyle name="20% - Accent6 3 3 2 2" xfId="10918" xr:uid="{00000000-0005-0000-0000-0000492A0000}"/>
    <cellStyle name="20% - Accent6 3 3 2 2 2" xfId="10919" xr:uid="{00000000-0005-0000-0000-00004A2A0000}"/>
    <cellStyle name="20% - Accent6 3 3 2 2 2 2" xfId="10920" xr:uid="{00000000-0005-0000-0000-00004B2A0000}"/>
    <cellStyle name="20% - Accent6 3 3 2 2 2 2 2" xfId="10921" xr:uid="{00000000-0005-0000-0000-00004C2A0000}"/>
    <cellStyle name="20% - Accent6 3 3 2 2 2 2 2 2" xfId="10922" xr:uid="{00000000-0005-0000-0000-00004D2A0000}"/>
    <cellStyle name="20% - Accent6 3 3 2 2 2 2 2 2 2" xfId="10923" xr:uid="{00000000-0005-0000-0000-00004E2A0000}"/>
    <cellStyle name="20% - Accent6 3 3 2 2 2 2 2 2 3" xfId="10924" xr:uid="{00000000-0005-0000-0000-00004F2A0000}"/>
    <cellStyle name="20% - Accent6 3 3 2 2 2 2 2 3" xfId="10925" xr:uid="{00000000-0005-0000-0000-0000502A0000}"/>
    <cellStyle name="20% - Accent6 3 3 2 2 2 2 2 4" xfId="10926" xr:uid="{00000000-0005-0000-0000-0000512A0000}"/>
    <cellStyle name="20% - Accent6 3 3 2 2 2 2 3" xfId="10927" xr:uid="{00000000-0005-0000-0000-0000522A0000}"/>
    <cellStyle name="20% - Accent6 3 3 2 2 2 2 3 2" xfId="10928" xr:uid="{00000000-0005-0000-0000-0000532A0000}"/>
    <cellStyle name="20% - Accent6 3 3 2 2 2 2 3 3" xfId="10929" xr:uid="{00000000-0005-0000-0000-0000542A0000}"/>
    <cellStyle name="20% - Accent6 3 3 2 2 2 2 4" xfId="10930" xr:uid="{00000000-0005-0000-0000-0000552A0000}"/>
    <cellStyle name="20% - Accent6 3 3 2 2 2 2 5" xfId="10931" xr:uid="{00000000-0005-0000-0000-0000562A0000}"/>
    <cellStyle name="20% - Accent6 3 3 2 2 2 2 6" xfId="10932" xr:uid="{00000000-0005-0000-0000-0000572A0000}"/>
    <cellStyle name="20% - Accent6 3 3 2 2 2 3" xfId="10933" xr:uid="{00000000-0005-0000-0000-0000582A0000}"/>
    <cellStyle name="20% - Accent6 3 3 2 2 2 3 2" xfId="10934" xr:uid="{00000000-0005-0000-0000-0000592A0000}"/>
    <cellStyle name="20% - Accent6 3 3 2 2 2 3 2 2" xfId="10935" xr:uid="{00000000-0005-0000-0000-00005A2A0000}"/>
    <cellStyle name="20% - Accent6 3 3 2 2 2 3 2 3" xfId="10936" xr:uid="{00000000-0005-0000-0000-00005B2A0000}"/>
    <cellStyle name="20% - Accent6 3 3 2 2 2 3 3" xfId="10937" xr:uid="{00000000-0005-0000-0000-00005C2A0000}"/>
    <cellStyle name="20% - Accent6 3 3 2 2 2 3 4" xfId="10938" xr:uid="{00000000-0005-0000-0000-00005D2A0000}"/>
    <cellStyle name="20% - Accent6 3 3 2 2 2 4" xfId="10939" xr:uid="{00000000-0005-0000-0000-00005E2A0000}"/>
    <cellStyle name="20% - Accent6 3 3 2 2 2 4 2" xfId="10940" xr:uid="{00000000-0005-0000-0000-00005F2A0000}"/>
    <cellStyle name="20% - Accent6 3 3 2 2 2 4 3" xfId="10941" xr:uid="{00000000-0005-0000-0000-0000602A0000}"/>
    <cellStyle name="20% - Accent6 3 3 2 2 2 5" xfId="10942" xr:uid="{00000000-0005-0000-0000-0000612A0000}"/>
    <cellStyle name="20% - Accent6 3 3 2 2 2 6" xfId="10943" xr:uid="{00000000-0005-0000-0000-0000622A0000}"/>
    <cellStyle name="20% - Accent6 3 3 2 2 2 7" xfId="10944" xr:uid="{00000000-0005-0000-0000-0000632A0000}"/>
    <cellStyle name="20% - Accent6 3 3 2 2 3" xfId="10945" xr:uid="{00000000-0005-0000-0000-0000642A0000}"/>
    <cellStyle name="20% - Accent6 3 3 2 2 3 2" xfId="10946" xr:uid="{00000000-0005-0000-0000-0000652A0000}"/>
    <cellStyle name="20% - Accent6 3 3 2 2 3 2 2" xfId="10947" xr:uid="{00000000-0005-0000-0000-0000662A0000}"/>
    <cellStyle name="20% - Accent6 3 3 2 2 3 2 2 2" xfId="10948" xr:uid="{00000000-0005-0000-0000-0000672A0000}"/>
    <cellStyle name="20% - Accent6 3 3 2 2 3 2 2 3" xfId="10949" xr:uid="{00000000-0005-0000-0000-0000682A0000}"/>
    <cellStyle name="20% - Accent6 3 3 2 2 3 2 3" xfId="10950" xr:uid="{00000000-0005-0000-0000-0000692A0000}"/>
    <cellStyle name="20% - Accent6 3 3 2 2 3 2 4" xfId="10951" xr:uid="{00000000-0005-0000-0000-00006A2A0000}"/>
    <cellStyle name="20% - Accent6 3 3 2 2 3 3" xfId="10952" xr:uid="{00000000-0005-0000-0000-00006B2A0000}"/>
    <cellStyle name="20% - Accent6 3 3 2 2 3 3 2" xfId="10953" xr:uid="{00000000-0005-0000-0000-00006C2A0000}"/>
    <cellStyle name="20% - Accent6 3 3 2 2 3 3 3" xfId="10954" xr:uid="{00000000-0005-0000-0000-00006D2A0000}"/>
    <cellStyle name="20% - Accent6 3 3 2 2 3 4" xfId="10955" xr:uid="{00000000-0005-0000-0000-00006E2A0000}"/>
    <cellStyle name="20% - Accent6 3 3 2 2 3 5" xfId="10956" xr:uid="{00000000-0005-0000-0000-00006F2A0000}"/>
    <cellStyle name="20% - Accent6 3 3 2 2 3 6" xfId="10957" xr:uid="{00000000-0005-0000-0000-0000702A0000}"/>
    <cellStyle name="20% - Accent6 3 3 2 2 4" xfId="10958" xr:uid="{00000000-0005-0000-0000-0000712A0000}"/>
    <cellStyle name="20% - Accent6 3 3 2 2 4 2" xfId="10959" xr:uid="{00000000-0005-0000-0000-0000722A0000}"/>
    <cellStyle name="20% - Accent6 3 3 2 2 4 2 2" xfId="10960" xr:uid="{00000000-0005-0000-0000-0000732A0000}"/>
    <cellStyle name="20% - Accent6 3 3 2 2 4 2 3" xfId="10961" xr:uid="{00000000-0005-0000-0000-0000742A0000}"/>
    <cellStyle name="20% - Accent6 3 3 2 2 4 3" xfId="10962" xr:uid="{00000000-0005-0000-0000-0000752A0000}"/>
    <cellStyle name="20% - Accent6 3 3 2 2 4 4" xfId="10963" xr:uid="{00000000-0005-0000-0000-0000762A0000}"/>
    <cellStyle name="20% - Accent6 3 3 2 2 5" xfId="10964" xr:uid="{00000000-0005-0000-0000-0000772A0000}"/>
    <cellStyle name="20% - Accent6 3 3 2 2 5 2" xfId="10965" xr:uid="{00000000-0005-0000-0000-0000782A0000}"/>
    <cellStyle name="20% - Accent6 3 3 2 2 5 3" xfId="10966" xr:uid="{00000000-0005-0000-0000-0000792A0000}"/>
    <cellStyle name="20% - Accent6 3 3 2 2 6" xfId="10967" xr:uid="{00000000-0005-0000-0000-00007A2A0000}"/>
    <cellStyle name="20% - Accent6 3 3 2 2 7" xfId="10968" xr:uid="{00000000-0005-0000-0000-00007B2A0000}"/>
    <cellStyle name="20% - Accent6 3 3 2 2 8" xfId="10969" xr:uid="{00000000-0005-0000-0000-00007C2A0000}"/>
    <cellStyle name="20% - Accent6 3 3 2 3" xfId="10970" xr:uid="{00000000-0005-0000-0000-00007D2A0000}"/>
    <cellStyle name="20% - Accent6 3 3 2 3 2" xfId="10971" xr:uid="{00000000-0005-0000-0000-00007E2A0000}"/>
    <cellStyle name="20% - Accent6 3 3 2 3 2 2" xfId="10972" xr:uid="{00000000-0005-0000-0000-00007F2A0000}"/>
    <cellStyle name="20% - Accent6 3 3 2 3 2 2 2" xfId="10973" xr:uid="{00000000-0005-0000-0000-0000802A0000}"/>
    <cellStyle name="20% - Accent6 3 3 2 3 2 2 2 2" xfId="10974" xr:uid="{00000000-0005-0000-0000-0000812A0000}"/>
    <cellStyle name="20% - Accent6 3 3 2 3 2 2 2 3" xfId="10975" xr:uid="{00000000-0005-0000-0000-0000822A0000}"/>
    <cellStyle name="20% - Accent6 3 3 2 3 2 2 3" xfId="10976" xr:uid="{00000000-0005-0000-0000-0000832A0000}"/>
    <cellStyle name="20% - Accent6 3 3 2 3 2 2 4" xfId="10977" xr:uid="{00000000-0005-0000-0000-0000842A0000}"/>
    <cellStyle name="20% - Accent6 3 3 2 3 2 3" xfId="10978" xr:uid="{00000000-0005-0000-0000-0000852A0000}"/>
    <cellStyle name="20% - Accent6 3 3 2 3 2 3 2" xfId="10979" xr:uid="{00000000-0005-0000-0000-0000862A0000}"/>
    <cellStyle name="20% - Accent6 3 3 2 3 2 3 3" xfId="10980" xr:uid="{00000000-0005-0000-0000-0000872A0000}"/>
    <cellStyle name="20% - Accent6 3 3 2 3 2 4" xfId="10981" xr:uid="{00000000-0005-0000-0000-0000882A0000}"/>
    <cellStyle name="20% - Accent6 3 3 2 3 2 5" xfId="10982" xr:uid="{00000000-0005-0000-0000-0000892A0000}"/>
    <cellStyle name="20% - Accent6 3 3 2 3 2 6" xfId="10983" xr:uid="{00000000-0005-0000-0000-00008A2A0000}"/>
    <cellStyle name="20% - Accent6 3 3 2 3 3" xfId="10984" xr:uid="{00000000-0005-0000-0000-00008B2A0000}"/>
    <cellStyle name="20% - Accent6 3 3 2 3 3 2" xfId="10985" xr:uid="{00000000-0005-0000-0000-00008C2A0000}"/>
    <cellStyle name="20% - Accent6 3 3 2 3 3 2 2" xfId="10986" xr:uid="{00000000-0005-0000-0000-00008D2A0000}"/>
    <cellStyle name="20% - Accent6 3 3 2 3 3 2 3" xfId="10987" xr:uid="{00000000-0005-0000-0000-00008E2A0000}"/>
    <cellStyle name="20% - Accent6 3 3 2 3 3 3" xfId="10988" xr:uid="{00000000-0005-0000-0000-00008F2A0000}"/>
    <cellStyle name="20% - Accent6 3 3 2 3 3 4" xfId="10989" xr:uid="{00000000-0005-0000-0000-0000902A0000}"/>
    <cellStyle name="20% - Accent6 3 3 2 3 4" xfId="10990" xr:uid="{00000000-0005-0000-0000-0000912A0000}"/>
    <cellStyle name="20% - Accent6 3 3 2 3 4 2" xfId="10991" xr:uid="{00000000-0005-0000-0000-0000922A0000}"/>
    <cellStyle name="20% - Accent6 3 3 2 3 4 3" xfId="10992" xr:uid="{00000000-0005-0000-0000-0000932A0000}"/>
    <cellStyle name="20% - Accent6 3 3 2 3 5" xfId="10993" xr:uid="{00000000-0005-0000-0000-0000942A0000}"/>
    <cellStyle name="20% - Accent6 3 3 2 3 6" xfId="10994" xr:uid="{00000000-0005-0000-0000-0000952A0000}"/>
    <cellStyle name="20% - Accent6 3 3 2 3 7" xfId="10995" xr:uid="{00000000-0005-0000-0000-0000962A0000}"/>
    <cellStyle name="20% - Accent6 3 3 2 4" xfId="10996" xr:uid="{00000000-0005-0000-0000-0000972A0000}"/>
    <cellStyle name="20% - Accent6 3 3 2 4 2" xfId="10997" xr:uid="{00000000-0005-0000-0000-0000982A0000}"/>
    <cellStyle name="20% - Accent6 3 3 2 4 2 2" xfId="10998" xr:uid="{00000000-0005-0000-0000-0000992A0000}"/>
    <cellStyle name="20% - Accent6 3 3 2 4 2 2 2" xfId="10999" xr:uid="{00000000-0005-0000-0000-00009A2A0000}"/>
    <cellStyle name="20% - Accent6 3 3 2 4 2 2 3" xfId="11000" xr:uid="{00000000-0005-0000-0000-00009B2A0000}"/>
    <cellStyle name="20% - Accent6 3 3 2 4 2 3" xfId="11001" xr:uid="{00000000-0005-0000-0000-00009C2A0000}"/>
    <cellStyle name="20% - Accent6 3 3 2 4 2 4" xfId="11002" xr:uid="{00000000-0005-0000-0000-00009D2A0000}"/>
    <cellStyle name="20% - Accent6 3 3 2 4 3" xfId="11003" xr:uid="{00000000-0005-0000-0000-00009E2A0000}"/>
    <cellStyle name="20% - Accent6 3 3 2 4 3 2" xfId="11004" xr:uid="{00000000-0005-0000-0000-00009F2A0000}"/>
    <cellStyle name="20% - Accent6 3 3 2 4 3 3" xfId="11005" xr:uid="{00000000-0005-0000-0000-0000A02A0000}"/>
    <cellStyle name="20% - Accent6 3 3 2 4 4" xfId="11006" xr:uid="{00000000-0005-0000-0000-0000A12A0000}"/>
    <cellStyle name="20% - Accent6 3 3 2 4 5" xfId="11007" xr:uid="{00000000-0005-0000-0000-0000A22A0000}"/>
    <cellStyle name="20% - Accent6 3 3 2 4 6" xfId="11008" xr:uid="{00000000-0005-0000-0000-0000A32A0000}"/>
    <cellStyle name="20% - Accent6 3 3 2 5" xfId="11009" xr:uid="{00000000-0005-0000-0000-0000A42A0000}"/>
    <cellStyle name="20% - Accent6 3 3 2 5 2" xfId="11010" xr:uid="{00000000-0005-0000-0000-0000A52A0000}"/>
    <cellStyle name="20% - Accent6 3 3 2 5 2 2" xfId="11011" xr:uid="{00000000-0005-0000-0000-0000A62A0000}"/>
    <cellStyle name="20% - Accent6 3 3 2 5 2 3" xfId="11012" xr:uid="{00000000-0005-0000-0000-0000A72A0000}"/>
    <cellStyle name="20% - Accent6 3 3 2 5 3" xfId="11013" xr:uid="{00000000-0005-0000-0000-0000A82A0000}"/>
    <cellStyle name="20% - Accent6 3 3 2 5 4" xfId="11014" xr:uid="{00000000-0005-0000-0000-0000A92A0000}"/>
    <cellStyle name="20% - Accent6 3 3 2 6" xfId="11015" xr:uid="{00000000-0005-0000-0000-0000AA2A0000}"/>
    <cellStyle name="20% - Accent6 3 3 2 6 2" xfId="11016" xr:uid="{00000000-0005-0000-0000-0000AB2A0000}"/>
    <cellStyle name="20% - Accent6 3 3 2 6 3" xfId="11017" xr:uid="{00000000-0005-0000-0000-0000AC2A0000}"/>
    <cellStyle name="20% - Accent6 3 3 2 7" xfId="11018" xr:uid="{00000000-0005-0000-0000-0000AD2A0000}"/>
    <cellStyle name="20% - Accent6 3 3 2 8" xfId="11019" xr:uid="{00000000-0005-0000-0000-0000AE2A0000}"/>
    <cellStyle name="20% - Accent6 3 3 2 9" xfId="11020" xr:uid="{00000000-0005-0000-0000-0000AF2A0000}"/>
    <cellStyle name="20% - Accent6 3 3 3" xfId="11021" xr:uid="{00000000-0005-0000-0000-0000B02A0000}"/>
    <cellStyle name="20% - Accent6 3 3 3 2" xfId="11022" xr:uid="{00000000-0005-0000-0000-0000B12A0000}"/>
    <cellStyle name="20% - Accent6 3 3 3 2 2" xfId="11023" xr:uid="{00000000-0005-0000-0000-0000B22A0000}"/>
    <cellStyle name="20% - Accent6 3 3 3 2 2 2" xfId="11024" xr:uid="{00000000-0005-0000-0000-0000B32A0000}"/>
    <cellStyle name="20% - Accent6 3 3 3 2 2 2 2" xfId="11025" xr:uid="{00000000-0005-0000-0000-0000B42A0000}"/>
    <cellStyle name="20% - Accent6 3 3 3 2 2 2 2 2" xfId="11026" xr:uid="{00000000-0005-0000-0000-0000B52A0000}"/>
    <cellStyle name="20% - Accent6 3 3 3 2 2 2 2 3" xfId="11027" xr:uid="{00000000-0005-0000-0000-0000B62A0000}"/>
    <cellStyle name="20% - Accent6 3 3 3 2 2 2 3" xfId="11028" xr:uid="{00000000-0005-0000-0000-0000B72A0000}"/>
    <cellStyle name="20% - Accent6 3 3 3 2 2 2 4" xfId="11029" xr:uid="{00000000-0005-0000-0000-0000B82A0000}"/>
    <cellStyle name="20% - Accent6 3 3 3 2 2 3" xfId="11030" xr:uid="{00000000-0005-0000-0000-0000B92A0000}"/>
    <cellStyle name="20% - Accent6 3 3 3 2 2 3 2" xfId="11031" xr:uid="{00000000-0005-0000-0000-0000BA2A0000}"/>
    <cellStyle name="20% - Accent6 3 3 3 2 2 3 3" xfId="11032" xr:uid="{00000000-0005-0000-0000-0000BB2A0000}"/>
    <cellStyle name="20% - Accent6 3 3 3 2 2 4" xfId="11033" xr:uid="{00000000-0005-0000-0000-0000BC2A0000}"/>
    <cellStyle name="20% - Accent6 3 3 3 2 2 5" xfId="11034" xr:uid="{00000000-0005-0000-0000-0000BD2A0000}"/>
    <cellStyle name="20% - Accent6 3 3 3 2 2 6" xfId="11035" xr:uid="{00000000-0005-0000-0000-0000BE2A0000}"/>
    <cellStyle name="20% - Accent6 3 3 3 2 3" xfId="11036" xr:uid="{00000000-0005-0000-0000-0000BF2A0000}"/>
    <cellStyle name="20% - Accent6 3 3 3 2 3 2" xfId="11037" xr:uid="{00000000-0005-0000-0000-0000C02A0000}"/>
    <cellStyle name="20% - Accent6 3 3 3 2 3 2 2" xfId="11038" xr:uid="{00000000-0005-0000-0000-0000C12A0000}"/>
    <cellStyle name="20% - Accent6 3 3 3 2 3 2 3" xfId="11039" xr:uid="{00000000-0005-0000-0000-0000C22A0000}"/>
    <cellStyle name="20% - Accent6 3 3 3 2 3 3" xfId="11040" xr:uid="{00000000-0005-0000-0000-0000C32A0000}"/>
    <cellStyle name="20% - Accent6 3 3 3 2 3 4" xfId="11041" xr:uid="{00000000-0005-0000-0000-0000C42A0000}"/>
    <cellStyle name="20% - Accent6 3 3 3 2 4" xfId="11042" xr:uid="{00000000-0005-0000-0000-0000C52A0000}"/>
    <cellStyle name="20% - Accent6 3 3 3 2 4 2" xfId="11043" xr:uid="{00000000-0005-0000-0000-0000C62A0000}"/>
    <cellStyle name="20% - Accent6 3 3 3 2 4 3" xfId="11044" xr:uid="{00000000-0005-0000-0000-0000C72A0000}"/>
    <cellStyle name="20% - Accent6 3 3 3 2 5" xfId="11045" xr:uid="{00000000-0005-0000-0000-0000C82A0000}"/>
    <cellStyle name="20% - Accent6 3 3 3 2 6" xfId="11046" xr:uid="{00000000-0005-0000-0000-0000C92A0000}"/>
    <cellStyle name="20% - Accent6 3 3 3 2 7" xfId="11047" xr:uid="{00000000-0005-0000-0000-0000CA2A0000}"/>
    <cellStyle name="20% - Accent6 3 3 3 3" xfId="11048" xr:uid="{00000000-0005-0000-0000-0000CB2A0000}"/>
    <cellStyle name="20% - Accent6 3 3 3 3 2" xfId="11049" xr:uid="{00000000-0005-0000-0000-0000CC2A0000}"/>
    <cellStyle name="20% - Accent6 3 3 3 3 2 2" xfId="11050" xr:uid="{00000000-0005-0000-0000-0000CD2A0000}"/>
    <cellStyle name="20% - Accent6 3 3 3 3 2 2 2" xfId="11051" xr:uid="{00000000-0005-0000-0000-0000CE2A0000}"/>
    <cellStyle name="20% - Accent6 3 3 3 3 2 2 3" xfId="11052" xr:uid="{00000000-0005-0000-0000-0000CF2A0000}"/>
    <cellStyle name="20% - Accent6 3 3 3 3 2 3" xfId="11053" xr:uid="{00000000-0005-0000-0000-0000D02A0000}"/>
    <cellStyle name="20% - Accent6 3 3 3 3 2 4" xfId="11054" xr:uid="{00000000-0005-0000-0000-0000D12A0000}"/>
    <cellStyle name="20% - Accent6 3 3 3 3 3" xfId="11055" xr:uid="{00000000-0005-0000-0000-0000D22A0000}"/>
    <cellStyle name="20% - Accent6 3 3 3 3 3 2" xfId="11056" xr:uid="{00000000-0005-0000-0000-0000D32A0000}"/>
    <cellStyle name="20% - Accent6 3 3 3 3 3 3" xfId="11057" xr:uid="{00000000-0005-0000-0000-0000D42A0000}"/>
    <cellStyle name="20% - Accent6 3 3 3 3 4" xfId="11058" xr:uid="{00000000-0005-0000-0000-0000D52A0000}"/>
    <cellStyle name="20% - Accent6 3 3 3 3 5" xfId="11059" xr:uid="{00000000-0005-0000-0000-0000D62A0000}"/>
    <cellStyle name="20% - Accent6 3 3 3 3 6" xfId="11060" xr:uid="{00000000-0005-0000-0000-0000D72A0000}"/>
    <cellStyle name="20% - Accent6 3 3 3 4" xfId="11061" xr:uid="{00000000-0005-0000-0000-0000D82A0000}"/>
    <cellStyle name="20% - Accent6 3 3 3 4 2" xfId="11062" xr:uid="{00000000-0005-0000-0000-0000D92A0000}"/>
    <cellStyle name="20% - Accent6 3 3 3 4 2 2" xfId="11063" xr:uid="{00000000-0005-0000-0000-0000DA2A0000}"/>
    <cellStyle name="20% - Accent6 3 3 3 4 2 3" xfId="11064" xr:uid="{00000000-0005-0000-0000-0000DB2A0000}"/>
    <cellStyle name="20% - Accent6 3 3 3 4 3" xfId="11065" xr:uid="{00000000-0005-0000-0000-0000DC2A0000}"/>
    <cellStyle name="20% - Accent6 3 3 3 4 4" xfId="11066" xr:uid="{00000000-0005-0000-0000-0000DD2A0000}"/>
    <cellStyle name="20% - Accent6 3 3 3 5" xfId="11067" xr:uid="{00000000-0005-0000-0000-0000DE2A0000}"/>
    <cellStyle name="20% - Accent6 3 3 3 5 2" xfId="11068" xr:uid="{00000000-0005-0000-0000-0000DF2A0000}"/>
    <cellStyle name="20% - Accent6 3 3 3 5 3" xfId="11069" xr:uid="{00000000-0005-0000-0000-0000E02A0000}"/>
    <cellStyle name="20% - Accent6 3 3 3 6" xfId="11070" xr:uid="{00000000-0005-0000-0000-0000E12A0000}"/>
    <cellStyle name="20% - Accent6 3 3 3 7" xfId="11071" xr:uid="{00000000-0005-0000-0000-0000E22A0000}"/>
    <cellStyle name="20% - Accent6 3 3 3 8" xfId="11072" xr:uid="{00000000-0005-0000-0000-0000E32A0000}"/>
    <cellStyle name="20% - Accent6 3 3 4" xfId="11073" xr:uid="{00000000-0005-0000-0000-0000E42A0000}"/>
    <cellStyle name="20% - Accent6 3 3 4 2" xfId="11074" xr:uid="{00000000-0005-0000-0000-0000E52A0000}"/>
    <cellStyle name="20% - Accent6 3 3 4 2 2" xfId="11075" xr:uid="{00000000-0005-0000-0000-0000E62A0000}"/>
    <cellStyle name="20% - Accent6 3 3 4 2 2 2" xfId="11076" xr:uid="{00000000-0005-0000-0000-0000E72A0000}"/>
    <cellStyle name="20% - Accent6 3 3 4 2 2 2 2" xfId="11077" xr:uid="{00000000-0005-0000-0000-0000E82A0000}"/>
    <cellStyle name="20% - Accent6 3 3 4 2 2 2 3" xfId="11078" xr:uid="{00000000-0005-0000-0000-0000E92A0000}"/>
    <cellStyle name="20% - Accent6 3 3 4 2 2 3" xfId="11079" xr:uid="{00000000-0005-0000-0000-0000EA2A0000}"/>
    <cellStyle name="20% - Accent6 3 3 4 2 2 4" xfId="11080" xr:uid="{00000000-0005-0000-0000-0000EB2A0000}"/>
    <cellStyle name="20% - Accent6 3 3 4 2 3" xfId="11081" xr:uid="{00000000-0005-0000-0000-0000EC2A0000}"/>
    <cellStyle name="20% - Accent6 3 3 4 2 3 2" xfId="11082" xr:uid="{00000000-0005-0000-0000-0000ED2A0000}"/>
    <cellStyle name="20% - Accent6 3 3 4 2 3 3" xfId="11083" xr:uid="{00000000-0005-0000-0000-0000EE2A0000}"/>
    <cellStyle name="20% - Accent6 3 3 4 2 4" xfId="11084" xr:uid="{00000000-0005-0000-0000-0000EF2A0000}"/>
    <cellStyle name="20% - Accent6 3 3 4 2 5" xfId="11085" xr:uid="{00000000-0005-0000-0000-0000F02A0000}"/>
    <cellStyle name="20% - Accent6 3 3 4 2 6" xfId="11086" xr:uid="{00000000-0005-0000-0000-0000F12A0000}"/>
    <cellStyle name="20% - Accent6 3 3 4 3" xfId="11087" xr:uid="{00000000-0005-0000-0000-0000F22A0000}"/>
    <cellStyle name="20% - Accent6 3 3 4 3 2" xfId="11088" xr:uid="{00000000-0005-0000-0000-0000F32A0000}"/>
    <cellStyle name="20% - Accent6 3 3 4 3 2 2" xfId="11089" xr:uid="{00000000-0005-0000-0000-0000F42A0000}"/>
    <cellStyle name="20% - Accent6 3 3 4 3 2 3" xfId="11090" xr:uid="{00000000-0005-0000-0000-0000F52A0000}"/>
    <cellStyle name="20% - Accent6 3 3 4 3 3" xfId="11091" xr:uid="{00000000-0005-0000-0000-0000F62A0000}"/>
    <cellStyle name="20% - Accent6 3 3 4 3 4" xfId="11092" xr:uid="{00000000-0005-0000-0000-0000F72A0000}"/>
    <cellStyle name="20% - Accent6 3 3 4 4" xfId="11093" xr:uid="{00000000-0005-0000-0000-0000F82A0000}"/>
    <cellStyle name="20% - Accent6 3 3 4 4 2" xfId="11094" xr:uid="{00000000-0005-0000-0000-0000F92A0000}"/>
    <cellStyle name="20% - Accent6 3 3 4 4 3" xfId="11095" xr:uid="{00000000-0005-0000-0000-0000FA2A0000}"/>
    <cellStyle name="20% - Accent6 3 3 4 5" xfId="11096" xr:uid="{00000000-0005-0000-0000-0000FB2A0000}"/>
    <cellStyle name="20% - Accent6 3 3 4 6" xfId="11097" xr:uid="{00000000-0005-0000-0000-0000FC2A0000}"/>
    <cellStyle name="20% - Accent6 3 3 4 7" xfId="11098" xr:uid="{00000000-0005-0000-0000-0000FD2A0000}"/>
    <cellStyle name="20% - Accent6 3 3 5" xfId="11099" xr:uid="{00000000-0005-0000-0000-0000FE2A0000}"/>
    <cellStyle name="20% - Accent6 3 3 5 2" xfId="11100" xr:uid="{00000000-0005-0000-0000-0000FF2A0000}"/>
    <cellStyle name="20% - Accent6 3 3 5 2 2" xfId="11101" xr:uid="{00000000-0005-0000-0000-0000002B0000}"/>
    <cellStyle name="20% - Accent6 3 3 5 2 2 2" xfId="11102" xr:uid="{00000000-0005-0000-0000-0000012B0000}"/>
    <cellStyle name="20% - Accent6 3 3 5 2 2 3" xfId="11103" xr:uid="{00000000-0005-0000-0000-0000022B0000}"/>
    <cellStyle name="20% - Accent6 3 3 5 2 3" xfId="11104" xr:uid="{00000000-0005-0000-0000-0000032B0000}"/>
    <cellStyle name="20% - Accent6 3 3 5 2 4" xfId="11105" xr:uid="{00000000-0005-0000-0000-0000042B0000}"/>
    <cellStyle name="20% - Accent6 3 3 5 3" xfId="11106" xr:uid="{00000000-0005-0000-0000-0000052B0000}"/>
    <cellStyle name="20% - Accent6 3 3 5 3 2" xfId="11107" xr:uid="{00000000-0005-0000-0000-0000062B0000}"/>
    <cellStyle name="20% - Accent6 3 3 5 3 3" xfId="11108" xr:uid="{00000000-0005-0000-0000-0000072B0000}"/>
    <cellStyle name="20% - Accent6 3 3 5 4" xfId="11109" xr:uid="{00000000-0005-0000-0000-0000082B0000}"/>
    <cellStyle name="20% - Accent6 3 3 5 5" xfId="11110" xr:uid="{00000000-0005-0000-0000-0000092B0000}"/>
    <cellStyle name="20% - Accent6 3 3 5 6" xfId="11111" xr:uid="{00000000-0005-0000-0000-00000A2B0000}"/>
    <cellStyle name="20% - Accent6 3 3 6" xfId="11112" xr:uid="{00000000-0005-0000-0000-00000B2B0000}"/>
    <cellStyle name="20% - Accent6 3 3 6 2" xfId="11113" xr:uid="{00000000-0005-0000-0000-00000C2B0000}"/>
    <cellStyle name="20% - Accent6 3 3 6 2 2" xfId="11114" xr:uid="{00000000-0005-0000-0000-00000D2B0000}"/>
    <cellStyle name="20% - Accent6 3 3 6 2 3" xfId="11115" xr:uid="{00000000-0005-0000-0000-00000E2B0000}"/>
    <cellStyle name="20% - Accent6 3 3 6 3" xfId="11116" xr:uid="{00000000-0005-0000-0000-00000F2B0000}"/>
    <cellStyle name="20% - Accent6 3 3 6 4" xfId="11117" xr:uid="{00000000-0005-0000-0000-0000102B0000}"/>
    <cellStyle name="20% - Accent6 3 3 7" xfId="11118" xr:uid="{00000000-0005-0000-0000-0000112B0000}"/>
    <cellStyle name="20% - Accent6 3 3 7 2" xfId="11119" xr:uid="{00000000-0005-0000-0000-0000122B0000}"/>
    <cellStyle name="20% - Accent6 3 3 7 3" xfId="11120" xr:uid="{00000000-0005-0000-0000-0000132B0000}"/>
    <cellStyle name="20% - Accent6 3 3 8" xfId="11121" xr:uid="{00000000-0005-0000-0000-0000142B0000}"/>
    <cellStyle name="20% - Accent6 3 3 9" xfId="11122" xr:uid="{00000000-0005-0000-0000-0000152B0000}"/>
    <cellStyle name="20% - Accent6 3 4" xfId="11123" xr:uid="{00000000-0005-0000-0000-0000162B0000}"/>
    <cellStyle name="20% - Accent6 3 4 2" xfId="11124" xr:uid="{00000000-0005-0000-0000-0000172B0000}"/>
    <cellStyle name="20% - Accent6 3 4 2 2" xfId="11125" xr:uid="{00000000-0005-0000-0000-0000182B0000}"/>
    <cellStyle name="20% - Accent6 3 4 2 2 2" xfId="11126" xr:uid="{00000000-0005-0000-0000-0000192B0000}"/>
    <cellStyle name="20% - Accent6 3 4 2 2 2 2" xfId="11127" xr:uid="{00000000-0005-0000-0000-00001A2B0000}"/>
    <cellStyle name="20% - Accent6 3 4 2 2 2 2 2" xfId="11128" xr:uid="{00000000-0005-0000-0000-00001B2B0000}"/>
    <cellStyle name="20% - Accent6 3 4 2 2 2 2 2 2" xfId="11129" xr:uid="{00000000-0005-0000-0000-00001C2B0000}"/>
    <cellStyle name="20% - Accent6 3 4 2 2 2 2 2 3" xfId="11130" xr:uid="{00000000-0005-0000-0000-00001D2B0000}"/>
    <cellStyle name="20% - Accent6 3 4 2 2 2 2 3" xfId="11131" xr:uid="{00000000-0005-0000-0000-00001E2B0000}"/>
    <cellStyle name="20% - Accent6 3 4 2 2 2 2 4" xfId="11132" xr:uid="{00000000-0005-0000-0000-00001F2B0000}"/>
    <cellStyle name="20% - Accent6 3 4 2 2 2 3" xfId="11133" xr:uid="{00000000-0005-0000-0000-0000202B0000}"/>
    <cellStyle name="20% - Accent6 3 4 2 2 2 3 2" xfId="11134" xr:uid="{00000000-0005-0000-0000-0000212B0000}"/>
    <cellStyle name="20% - Accent6 3 4 2 2 2 3 3" xfId="11135" xr:uid="{00000000-0005-0000-0000-0000222B0000}"/>
    <cellStyle name="20% - Accent6 3 4 2 2 2 4" xfId="11136" xr:uid="{00000000-0005-0000-0000-0000232B0000}"/>
    <cellStyle name="20% - Accent6 3 4 2 2 2 5" xfId="11137" xr:uid="{00000000-0005-0000-0000-0000242B0000}"/>
    <cellStyle name="20% - Accent6 3 4 2 2 2 6" xfId="11138" xr:uid="{00000000-0005-0000-0000-0000252B0000}"/>
    <cellStyle name="20% - Accent6 3 4 2 2 3" xfId="11139" xr:uid="{00000000-0005-0000-0000-0000262B0000}"/>
    <cellStyle name="20% - Accent6 3 4 2 2 3 2" xfId="11140" xr:uid="{00000000-0005-0000-0000-0000272B0000}"/>
    <cellStyle name="20% - Accent6 3 4 2 2 3 2 2" xfId="11141" xr:uid="{00000000-0005-0000-0000-0000282B0000}"/>
    <cellStyle name="20% - Accent6 3 4 2 2 3 2 3" xfId="11142" xr:uid="{00000000-0005-0000-0000-0000292B0000}"/>
    <cellStyle name="20% - Accent6 3 4 2 2 3 3" xfId="11143" xr:uid="{00000000-0005-0000-0000-00002A2B0000}"/>
    <cellStyle name="20% - Accent6 3 4 2 2 3 4" xfId="11144" xr:uid="{00000000-0005-0000-0000-00002B2B0000}"/>
    <cellStyle name="20% - Accent6 3 4 2 2 4" xfId="11145" xr:uid="{00000000-0005-0000-0000-00002C2B0000}"/>
    <cellStyle name="20% - Accent6 3 4 2 2 4 2" xfId="11146" xr:uid="{00000000-0005-0000-0000-00002D2B0000}"/>
    <cellStyle name="20% - Accent6 3 4 2 2 4 3" xfId="11147" xr:uid="{00000000-0005-0000-0000-00002E2B0000}"/>
    <cellStyle name="20% - Accent6 3 4 2 2 5" xfId="11148" xr:uid="{00000000-0005-0000-0000-00002F2B0000}"/>
    <cellStyle name="20% - Accent6 3 4 2 2 6" xfId="11149" xr:uid="{00000000-0005-0000-0000-0000302B0000}"/>
    <cellStyle name="20% - Accent6 3 4 2 2 7" xfId="11150" xr:uid="{00000000-0005-0000-0000-0000312B0000}"/>
    <cellStyle name="20% - Accent6 3 4 2 3" xfId="11151" xr:uid="{00000000-0005-0000-0000-0000322B0000}"/>
    <cellStyle name="20% - Accent6 3 4 2 3 2" xfId="11152" xr:uid="{00000000-0005-0000-0000-0000332B0000}"/>
    <cellStyle name="20% - Accent6 3 4 2 3 2 2" xfId="11153" xr:uid="{00000000-0005-0000-0000-0000342B0000}"/>
    <cellStyle name="20% - Accent6 3 4 2 3 2 2 2" xfId="11154" xr:uid="{00000000-0005-0000-0000-0000352B0000}"/>
    <cellStyle name="20% - Accent6 3 4 2 3 2 2 3" xfId="11155" xr:uid="{00000000-0005-0000-0000-0000362B0000}"/>
    <cellStyle name="20% - Accent6 3 4 2 3 2 3" xfId="11156" xr:uid="{00000000-0005-0000-0000-0000372B0000}"/>
    <cellStyle name="20% - Accent6 3 4 2 3 2 4" xfId="11157" xr:uid="{00000000-0005-0000-0000-0000382B0000}"/>
    <cellStyle name="20% - Accent6 3 4 2 3 3" xfId="11158" xr:uid="{00000000-0005-0000-0000-0000392B0000}"/>
    <cellStyle name="20% - Accent6 3 4 2 3 3 2" xfId="11159" xr:uid="{00000000-0005-0000-0000-00003A2B0000}"/>
    <cellStyle name="20% - Accent6 3 4 2 3 3 3" xfId="11160" xr:uid="{00000000-0005-0000-0000-00003B2B0000}"/>
    <cellStyle name="20% - Accent6 3 4 2 3 4" xfId="11161" xr:uid="{00000000-0005-0000-0000-00003C2B0000}"/>
    <cellStyle name="20% - Accent6 3 4 2 3 5" xfId="11162" xr:uid="{00000000-0005-0000-0000-00003D2B0000}"/>
    <cellStyle name="20% - Accent6 3 4 2 3 6" xfId="11163" xr:uid="{00000000-0005-0000-0000-00003E2B0000}"/>
    <cellStyle name="20% - Accent6 3 4 2 4" xfId="11164" xr:uid="{00000000-0005-0000-0000-00003F2B0000}"/>
    <cellStyle name="20% - Accent6 3 4 2 4 2" xfId="11165" xr:uid="{00000000-0005-0000-0000-0000402B0000}"/>
    <cellStyle name="20% - Accent6 3 4 2 4 2 2" xfId="11166" xr:uid="{00000000-0005-0000-0000-0000412B0000}"/>
    <cellStyle name="20% - Accent6 3 4 2 4 2 3" xfId="11167" xr:uid="{00000000-0005-0000-0000-0000422B0000}"/>
    <cellStyle name="20% - Accent6 3 4 2 4 3" xfId="11168" xr:uid="{00000000-0005-0000-0000-0000432B0000}"/>
    <cellStyle name="20% - Accent6 3 4 2 4 4" xfId="11169" xr:uid="{00000000-0005-0000-0000-0000442B0000}"/>
    <cellStyle name="20% - Accent6 3 4 2 5" xfId="11170" xr:uid="{00000000-0005-0000-0000-0000452B0000}"/>
    <cellStyle name="20% - Accent6 3 4 2 5 2" xfId="11171" xr:uid="{00000000-0005-0000-0000-0000462B0000}"/>
    <cellStyle name="20% - Accent6 3 4 2 5 3" xfId="11172" xr:uid="{00000000-0005-0000-0000-0000472B0000}"/>
    <cellStyle name="20% - Accent6 3 4 2 6" xfId="11173" xr:uid="{00000000-0005-0000-0000-0000482B0000}"/>
    <cellStyle name="20% - Accent6 3 4 2 7" xfId="11174" xr:uid="{00000000-0005-0000-0000-0000492B0000}"/>
    <cellStyle name="20% - Accent6 3 4 2 8" xfId="11175" xr:uid="{00000000-0005-0000-0000-00004A2B0000}"/>
    <cellStyle name="20% - Accent6 3 4 3" xfId="11176" xr:uid="{00000000-0005-0000-0000-00004B2B0000}"/>
    <cellStyle name="20% - Accent6 3 4 3 2" xfId="11177" xr:uid="{00000000-0005-0000-0000-00004C2B0000}"/>
    <cellStyle name="20% - Accent6 3 4 3 2 2" xfId="11178" xr:uid="{00000000-0005-0000-0000-00004D2B0000}"/>
    <cellStyle name="20% - Accent6 3 4 3 2 2 2" xfId="11179" xr:uid="{00000000-0005-0000-0000-00004E2B0000}"/>
    <cellStyle name="20% - Accent6 3 4 3 2 2 2 2" xfId="11180" xr:uid="{00000000-0005-0000-0000-00004F2B0000}"/>
    <cellStyle name="20% - Accent6 3 4 3 2 2 2 3" xfId="11181" xr:uid="{00000000-0005-0000-0000-0000502B0000}"/>
    <cellStyle name="20% - Accent6 3 4 3 2 2 3" xfId="11182" xr:uid="{00000000-0005-0000-0000-0000512B0000}"/>
    <cellStyle name="20% - Accent6 3 4 3 2 2 4" xfId="11183" xr:uid="{00000000-0005-0000-0000-0000522B0000}"/>
    <cellStyle name="20% - Accent6 3 4 3 2 3" xfId="11184" xr:uid="{00000000-0005-0000-0000-0000532B0000}"/>
    <cellStyle name="20% - Accent6 3 4 3 2 3 2" xfId="11185" xr:uid="{00000000-0005-0000-0000-0000542B0000}"/>
    <cellStyle name="20% - Accent6 3 4 3 2 3 3" xfId="11186" xr:uid="{00000000-0005-0000-0000-0000552B0000}"/>
    <cellStyle name="20% - Accent6 3 4 3 2 4" xfId="11187" xr:uid="{00000000-0005-0000-0000-0000562B0000}"/>
    <cellStyle name="20% - Accent6 3 4 3 2 5" xfId="11188" xr:uid="{00000000-0005-0000-0000-0000572B0000}"/>
    <cellStyle name="20% - Accent6 3 4 3 2 6" xfId="11189" xr:uid="{00000000-0005-0000-0000-0000582B0000}"/>
    <cellStyle name="20% - Accent6 3 4 3 3" xfId="11190" xr:uid="{00000000-0005-0000-0000-0000592B0000}"/>
    <cellStyle name="20% - Accent6 3 4 3 3 2" xfId="11191" xr:uid="{00000000-0005-0000-0000-00005A2B0000}"/>
    <cellStyle name="20% - Accent6 3 4 3 3 2 2" xfId="11192" xr:uid="{00000000-0005-0000-0000-00005B2B0000}"/>
    <cellStyle name="20% - Accent6 3 4 3 3 2 3" xfId="11193" xr:uid="{00000000-0005-0000-0000-00005C2B0000}"/>
    <cellStyle name="20% - Accent6 3 4 3 3 3" xfId="11194" xr:uid="{00000000-0005-0000-0000-00005D2B0000}"/>
    <cellStyle name="20% - Accent6 3 4 3 3 4" xfId="11195" xr:uid="{00000000-0005-0000-0000-00005E2B0000}"/>
    <cellStyle name="20% - Accent6 3 4 3 4" xfId="11196" xr:uid="{00000000-0005-0000-0000-00005F2B0000}"/>
    <cellStyle name="20% - Accent6 3 4 3 4 2" xfId="11197" xr:uid="{00000000-0005-0000-0000-0000602B0000}"/>
    <cellStyle name="20% - Accent6 3 4 3 4 3" xfId="11198" xr:uid="{00000000-0005-0000-0000-0000612B0000}"/>
    <cellStyle name="20% - Accent6 3 4 3 5" xfId="11199" xr:uid="{00000000-0005-0000-0000-0000622B0000}"/>
    <cellStyle name="20% - Accent6 3 4 3 6" xfId="11200" xr:uid="{00000000-0005-0000-0000-0000632B0000}"/>
    <cellStyle name="20% - Accent6 3 4 3 7" xfId="11201" xr:uid="{00000000-0005-0000-0000-0000642B0000}"/>
    <cellStyle name="20% - Accent6 3 4 4" xfId="11202" xr:uid="{00000000-0005-0000-0000-0000652B0000}"/>
    <cellStyle name="20% - Accent6 3 4 4 2" xfId="11203" xr:uid="{00000000-0005-0000-0000-0000662B0000}"/>
    <cellStyle name="20% - Accent6 3 4 4 2 2" xfId="11204" xr:uid="{00000000-0005-0000-0000-0000672B0000}"/>
    <cellStyle name="20% - Accent6 3 4 4 2 2 2" xfId="11205" xr:uid="{00000000-0005-0000-0000-0000682B0000}"/>
    <cellStyle name="20% - Accent6 3 4 4 2 2 3" xfId="11206" xr:uid="{00000000-0005-0000-0000-0000692B0000}"/>
    <cellStyle name="20% - Accent6 3 4 4 2 3" xfId="11207" xr:uid="{00000000-0005-0000-0000-00006A2B0000}"/>
    <cellStyle name="20% - Accent6 3 4 4 2 4" xfId="11208" xr:uid="{00000000-0005-0000-0000-00006B2B0000}"/>
    <cellStyle name="20% - Accent6 3 4 4 3" xfId="11209" xr:uid="{00000000-0005-0000-0000-00006C2B0000}"/>
    <cellStyle name="20% - Accent6 3 4 4 3 2" xfId="11210" xr:uid="{00000000-0005-0000-0000-00006D2B0000}"/>
    <cellStyle name="20% - Accent6 3 4 4 3 3" xfId="11211" xr:uid="{00000000-0005-0000-0000-00006E2B0000}"/>
    <cellStyle name="20% - Accent6 3 4 4 4" xfId="11212" xr:uid="{00000000-0005-0000-0000-00006F2B0000}"/>
    <cellStyle name="20% - Accent6 3 4 4 5" xfId="11213" xr:uid="{00000000-0005-0000-0000-0000702B0000}"/>
    <cellStyle name="20% - Accent6 3 4 4 6" xfId="11214" xr:uid="{00000000-0005-0000-0000-0000712B0000}"/>
    <cellStyle name="20% - Accent6 3 4 5" xfId="11215" xr:uid="{00000000-0005-0000-0000-0000722B0000}"/>
    <cellStyle name="20% - Accent6 3 4 5 2" xfId="11216" xr:uid="{00000000-0005-0000-0000-0000732B0000}"/>
    <cellStyle name="20% - Accent6 3 4 5 2 2" xfId="11217" xr:uid="{00000000-0005-0000-0000-0000742B0000}"/>
    <cellStyle name="20% - Accent6 3 4 5 2 3" xfId="11218" xr:uid="{00000000-0005-0000-0000-0000752B0000}"/>
    <cellStyle name="20% - Accent6 3 4 5 3" xfId="11219" xr:uid="{00000000-0005-0000-0000-0000762B0000}"/>
    <cellStyle name="20% - Accent6 3 4 5 4" xfId="11220" xr:uid="{00000000-0005-0000-0000-0000772B0000}"/>
    <cellStyle name="20% - Accent6 3 4 6" xfId="11221" xr:uid="{00000000-0005-0000-0000-0000782B0000}"/>
    <cellStyle name="20% - Accent6 3 4 6 2" xfId="11222" xr:uid="{00000000-0005-0000-0000-0000792B0000}"/>
    <cellStyle name="20% - Accent6 3 4 6 3" xfId="11223" xr:uid="{00000000-0005-0000-0000-00007A2B0000}"/>
    <cellStyle name="20% - Accent6 3 4 7" xfId="11224" xr:uid="{00000000-0005-0000-0000-00007B2B0000}"/>
    <cellStyle name="20% - Accent6 3 4 8" xfId="11225" xr:uid="{00000000-0005-0000-0000-00007C2B0000}"/>
    <cellStyle name="20% - Accent6 3 4 9" xfId="11226" xr:uid="{00000000-0005-0000-0000-00007D2B0000}"/>
    <cellStyle name="20% - Accent6 3 5" xfId="11227" xr:uid="{00000000-0005-0000-0000-00007E2B0000}"/>
    <cellStyle name="20% - Accent6 3 5 2" xfId="11228" xr:uid="{00000000-0005-0000-0000-00007F2B0000}"/>
    <cellStyle name="20% - Accent6 3 5 2 2" xfId="11229" xr:uid="{00000000-0005-0000-0000-0000802B0000}"/>
    <cellStyle name="20% - Accent6 3 5 2 2 2" xfId="11230" xr:uid="{00000000-0005-0000-0000-0000812B0000}"/>
    <cellStyle name="20% - Accent6 3 5 2 2 2 2" xfId="11231" xr:uid="{00000000-0005-0000-0000-0000822B0000}"/>
    <cellStyle name="20% - Accent6 3 5 2 2 2 2 2" xfId="11232" xr:uid="{00000000-0005-0000-0000-0000832B0000}"/>
    <cellStyle name="20% - Accent6 3 5 2 2 2 2 2 2" xfId="11233" xr:uid="{00000000-0005-0000-0000-0000842B0000}"/>
    <cellStyle name="20% - Accent6 3 5 2 2 2 2 2 3" xfId="11234" xr:uid="{00000000-0005-0000-0000-0000852B0000}"/>
    <cellStyle name="20% - Accent6 3 5 2 2 2 2 3" xfId="11235" xr:uid="{00000000-0005-0000-0000-0000862B0000}"/>
    <cellStyle name="20% - Accent6 3 5 2 2 2 2 4" xfId="11236" xr:uid="{00000000-0005-0000-0000-0000872B0000}"/>
    <cellStyle name="20% - Accent6 3 5 2 2 2 3" xfId="11237" xr:uid="{00000000-0005-0000-0000-0000882B0000}"/>
    <cellStyle name="20% - Accent6 3 5 2 2 2 3 2" xfId="11238" xr:uid="{00000000-0005-0000-0000-0000892B0000}"/>
    <cellStyle name="20% - Accent6 3 5 2 2 2 3 3" xfId="11239" xr:uid="{00000000-0005-0000-0000-00008A2B0000}"/>
    <cellStyle name="20% - Accent6 3 5 2 2 2 4" xfId="11240" xr:uid="{00000000-0005-0000-0000-00008B2B0000}"/>
    <cellStyle name="20% - Accent6 3 5 2 2 2 5" xfId="11241" xr:uid="{00000000-0005-0000-0000-00008C2B0000}"/>
    <cellStyle name="20% - Accent6 3 5 2 2 2 6" xfId="11242" xr:uid="{00000000-0005-0000-0000-00008D2B0000}"/>
    <cellStyle name="20% - Accent6 3 5 2 2 3" xfId="11243" xr:uid="{00000000-0005-0000-0000-00008E2B0000}"/>
    <cellStyle name="20% - Accent6 3 5 2 2 3 2" xfId="11244" xr:uid="{00000000-0005-0000-0000-00008F2B0000}"/>
    <cellStyle name="20% - Accent6 3 5 2 2 3 2 2" xfId="11245" xr:uid="{00000000-0005-0000-0000-0000902B0000}"/>
    <cellStyle name="20% - Accent6 3 5 2 2 3 2 3" xfId="11246" xr:uid="{00000000-0005-0000-0000-0000912B0000}"/>
    <cellStyle name="20% - Accent6 3 5 2 2 3 3" xfId="11247" xr:uid="{00000000-0005-0000-0000-0000922B0000}"/>
    <cellStyle name="20% - Accent6 3 5 2 2 3 4" xfId="11248" xr:uid="{00000000-0005-0000-0000-0000932B0000}"/>
    <cellStyle name="20% - Accent6 3 5 2 2 4" xfId="11249" xr:uid="{00000000-0005-0000-0000-0000942B0000}"/>
    <cellStyle name="20% - Accent6 3 5 2 2 4 2" xfId="11250" xr:uid="{00000000-0005-0000-0000-0000952B0000}"/>
    <cellStyle name="20% - Accent6 3 5 2 2 4 3" xfId="11251" xr:uid="{00000000-0005-0000-0000-0000962B0000}"/>
    <cellStyle name="20% - Accent6 3 5 2 2 5" xfId="11252" xr:uid="{00000000-0005-0000-0000-0000972B0000}"/>
    <cellStyle name="20% - Accent6 3 5 2 2 6" xfId="11253" xr:uid="{00000000-0005-0000-0000-0000982B0000}"/>
    <cellStyle name="20% - Accent6 3 5 2 2 7" xfId="11254" xr:uid="{00000000-0005-0000-0000-0000992B0000}"/>
    <cellStyle name="20% - Accent6 3 5 2 3" xfId="11255" xr:uid="{00000000-0005-0000-0000-00009A2B0000}"/>
    <cellStyle name="20% - Accent6 3 5 2 3 2" xfId="11256" xr:uid="{00000000-0005-0000-0000-00009B2B0000}"/>
    <cellStyle name="20% - Accent6 3 5 2 3 2 2" xfId="11257" xr:uid="{00000000-0005-0000-0000-00009C2B0000}"/>
    <cellStyle name="20% - Accent6 3 5 2 3 2 2 2" xfId="11258" xr:uid="{00000000-0005-0000-0000-00009D2B0000}"/>
    <cellStyle name="20% - Accent6 3 5 2 3 2 2 3" xfId="11259" xr:uid="{00000000-0005-0000-0000-00009E2B0000}"/>
    <cellStyle name="20% - Accent6 3 5 2 3 2 3" xfId="11260" xr:uid="{00000000-0005-0000-0000-00009F2B0000}"/>
    <cellStyle name="20% - Accent6 3 5 2 3 2 4" xfId="11261" xr:uid="{00000000-0005-0000-0000-0000A02B0000}"/>
    <cellStyle name="20% - Accent6 3 5 2 3 3" xfId="11262" xr:uid="{00000000-0005-0000-0000-0000A12B0000}"/>
    <cellStyle name="20% - Accent6 3 5 2 3 3 2" xfId="11263" xr:uid="{00000000-0005-0000-0000-0000A22B0000}"/>
    <cellStyle name="20% - Accent6 3 5 2 3 3 3" xfId="11264" xr:uid="{00000000-0005-0000-0000-0000A32B0000}"/>
    <cellStyle name="20% - Accent6 3 5 2 3 4" xfId="11265" xr:uid="{00000000-0005-0000-0000-0000A42B0000}"/>
    <cellStyle name="20% - Accent6 3 5 2 3 5" xfId="11266" xr:uid="{00000000-0005-0000-0000-0000A52B0000}"/>
    <cellStyle name="20% - Accent6 3 5 2 3 6" xfId="11267" xr:uid="{00000000-0005-0000-0000-0000A62B0000}"/>
    <cellStyle name="20% - Accent6 3 5 2 4" xfId="11268" xr:uid="{00000000-0005-0000-0000-0000A72B0000}"/>
    <cellStyle name="20% - Accent6 3 5 2 4 2" xfId="11269" xr:uid="{00000000-0005-0000-0000-0000A82B0000}"/>
    <cellStyle name="20% - Accent6 3 5 2 4 2 2" xfId="11270" xr:uid="{00000000-0005-0000-0000-0000A92B0000}"/>
    <cellStyle name="20% - Accent6 3 5 2 4 2 3" xfId="11271" xr:uid="{00000000-0005-0000-0000-0000AA2B0000}"/>
    <cellStyle name="20% - Accent6 3 5 2 4 3" xfId="11272" xr:uid="{00000000-0005-0000-0000-0000AB2B0000}"/>
    <cellStyle name="20% - Accent6 3 5 2 4 4" xfId="11273" xr:uid="{00000000-0005-0000-0000-0000AC2B0000}"/>
    <cellStyle name="20% - Accent6 3 5 2 5" xfId="11274" xr:uid="{00000000-0005-0000-0000-0000AD2B0000}"/>
    <cellStyle name="20% - Accent6 3 5 2 5 2" xfId="11275" xr:uid="{00000000-0005-0000-0000-0000AE2B0000}"/>
    <cellStyle name="20% - Accent6 3 5 2 5 3" xfId="11276" xr:uid="{00000000-0005-0000-0000-0000AF2B0000}"/>
    <cellStyle name="20% - Accent6 3 5 2 6" xfId="11277" xr:uid="{00000000-0005-0000-0000-0000B02B0000}"/>
    <cellStyle name="20% - Accent6 3 5 2 7" xfId="11278" xr:uid="{00000000-0005-0000-0000-0000B12B0000}"/>
    <cellStyle name="20% - Accent6 3 5 2 8" xfId="11279" xr:uid="{00000000-0005-0000-0000-0000B22B0000}"/>
    <cellStyle name="20% - Accent6 3 5 3" xfId="11280" xr:uid="{00000000-0005-0000-0000-0000B32B0000}"/>
    <cellStyle name="20% - Accent6 3 5 3 2" xfId="11281" xr:uid="{00000000-0005-0000-0000-0000B42B0000}"/>
    <cellStyle name="20% - Accent6 3 5 3 2 2" xfId="11282" xr:uid="{00000000-0005-0000-0000-0000B52B0000}"/>
    <cellStyle name="20% - Accent6 3 5 3 2 2 2" xfId="11283" xr:uid="{00000000-0005-0000-0000-0000B62B0000}"/>
    <cellStyle name="20% - Accent6 3 5 3 2 2 2 2" xfId="11284" xr:uid="{00000000-0005-0000-0000-0000B72B0000}"/>
    <cellStyle name="20% - Accent6 3 5 3 2 2 2 3" xfId="11285" xr:uid="{00000000-0005-0000-0000-0000B82B0000}"/>
    <cellStyle name="20% - Accent6 3 5 3 2 2 3" xfId="11286" xr:uid="{00000000-0005-0000-0000-0000B92B0000}"/>
    <cellStyle name="20% - Accent6 3 5 3 2 2 4" xfId="11287" xr:uid="{00000000-0005-0000-0000-0000BA2B0000}"/>
    <cellStyle name="20% - Accent6 3 5 3 2 3" xfId="11288" xr:uid="{00000000-0005-0000-0000-0000BB2B0000}"/>
    <cellStyle name="20% - Accent6 3 5 3 2 3 2" xfId="11289" xr:uid="{00000000-0005-0000-0000-0000BC2B0000}"/>
    <cellStyle name="20% - Accent6 3 5 3 2 3 3" xfId="11290" xr:uid="{00000000-0005-0000-0000-0000BD2B0000}"/>
    <cellStyle name="20% - Accent6 3 5 3 2 4" xfId="11291" xr:uid="{00000000-0005-0000-0000-0000BE2B0000}"/>
    <cellStyle name="20% - Accent6 3 5 3 2 5" xfId="11292" xr:uid="{00000000-0005-0000-0000-0000BF2B0000}"/>
    <cellStyle name="20% - Accent6 3 5 3 2 6" xfId="11293" xr:uid="{00000000-0005-0000-0000-0000C02B0000}"/>
    <cellStyle name="20% - Accent6 3 5 3 3" xfId="11294" xr:uid="{00000000-0005-0000-0000-0000C12B0000}"/>
    <cellStyle name="20% - Accent6 3 5 3 3 2" xfId="11295" xr:uid="{00000000-0005-0000-0000-0000C22B0000}"/>
    <cellStyle name="20% - Accent6 3 5 3 3 2 2" xfId="11296" xr:uid="{00000000-0005-0000-0000-0000C32B0000}"/>
    <cellStyle name="20% - Accent6 3 5 3 3 2 3" xfId="11297" xr:uid="{00000000-0005-0000-0000-0000C42B0000}"/>
    <cellStyle name="20% - Accent6 3 5 3 3 3" xfId="11298" xr:uid="{00000000-0005-0000-0000-0000C52B0000}"/>
    <cellStyle name="20% - Accent6 3 5 3 3 4" xfId="11299" xr:uid="{00000000-0005-0000-0000-0000C62B0000}"/>
    <cellStyle name="20% - Accent6 3 5 3 4" xfId="11300" xr:uid="{00000000-0005-0000-0000-0000C72B0000}"/>
    <cellStyle name="20% - Accent6 3 5 3 4 2" xfId="11301" xr:uid="{00000000-0005-0000-0000-0000C82B0000}"/>
    <cellStyle name="20% - Accent6 3 5 3 4 3" xfId="11302" xr:uid="{00000000-0005-0000-0000-0000C92B0000}"/>
    <cellStyle name="20% - Accent6 3 5 3 5" xfId="11303" xr:uid="{00000000-0005-0000-0000-0000CA2B0000}"/>
    <cellStyle name="20% - Accent6 3 5 3 6" xfId="11304" xr:uid="{00000000-0005-0000-0000-0000CB2B0000}"/>
    <cellStyle name="20% - Accent6 3 5 3 7" xfId="11305" xr:uid="{00000000-0005-0000-0000-0000CC2B0000}"/>
    <cellStyle name="20% - Accent6 3 5 4" xfId="11306" xr:uid="{00000000-0005-0000-0000-0000CD2B0000}"/>
    <cellStyle name="20% - Accent6 3 5 4 2" xfId="11307" xr:uid="{00000000-0005-0000-0000-0000CE2B0000}"/>
    <cellStyle name="20% - Accent6 3 5 4 2 2" xfId="11308" xr:uid="{00000000-0005-0000-0000-0000CF2B0000}"/>
    <cellStyle name="20% - Accent6 3 5 4 2 2 2" xfId="11309" xr:uid="{00000000-0005-0000-0000-0000D02B0000}"/>
    <cellStyle name="20% - Accent6 3 5 4 2 2 3" xfId="11310" xr:uid="{00000000-0005-0000-0000-0000D12B0000}"/>
    <cellStyle name="20% - Accent6 3 5 4 2 3" xfId="11311" xr:uid="{00000000-0005-0000-0000-0000D22B0000}"/>
    <cellStyle name="20% - Accent6 3 5 4 2 4" xfId="11312" xr:uid="{00000000-0005-0000-0000-0000D32B0000}"/>
    <cellStyle name="20% - Accent6 3 5 4 3" xfId="11313" xr:uid="{00000000-0005-0000-0000-0000D42B0000}"/>
    <cellStyle name="20% - Accent6 3 5 4 3 2" xfId="11314" xr:uid="{00000000-0005-0000-0000-0000D52B0000}"/>
    <cellStyle name="20% - Accent6 3 5 4 3 3" xfId="11315" xr:uid="{00000000-0005-0000-0000-0000D62B0000}"/>
    <cellStyle name="20% - Accent6 3 5 4 4" xfId="11316" xr:uid="{00000000-0005-0000-0000-0000D72B0000}"/>
    <cellStyle name="20% - Accent6 3 5 4 5" xfId="11317" xr:uid="{00000000-0005-0000-0000-0000D82B0000}"/>
    <cellStyle name="20% - Accent6 3 5 4 6" xfId="11318" xr:uid="{00000000-0005-0000-0000-0000D92B0000}"/>
    <cellStyle name="20% - Accent6 3 5 5" xfId="11319" xr:uid="{00000000-0005-0000-0000-0000DA2B0000}"/>
    <cellStyle name="20% - Accent6 3 5 5 2" xfId="11320" xr:uid="{00000000-0005-0000-0000-0000DB2B0000}"/>
    <cellStyle name="20% - Accent6 3 5 5 2 2" xfId="11321" xr:uid="{00000000-0005-0000-0000-0000DC2B0000}"/>
    <cellStyle name="20% - Accent6 3 5 5 2 3" xfId="11322" xr:uid="{00000000-0005-0000-0000-0000DD2B0000}"/>
    <cellStyle name="20% - Accent6 3 5 5 3" xfId="11323" xr:uid="{00000000-0005-0000-0000-0000DE2B0000}"/>
    <cellStyle name="20% - Accent6 3 5 5 4" xfId="11324" xr:uid="{00000000-0005-0000-0000-0000DF2B0000}"/>
    <cellStyle name="20% - Accent6 3 5 6" xfId="11325" xr:uid="{00000000-0005-0000-0000-0000E02B0000}"/>
    <cellStyle name="20% - Accent6 3 5 6 2" xfId="11326" xr:uid="{00000000-0005-0000-0000-0000E12B0000}"/>
    <cellStyle name="20% - Accent6 3 5 6 3" xfId="11327" xr:uid="{00000000-0005-0000-0000-0000E22B0000}"/>
    <cellStyle name="20% - Accent6 3 5 7" xfId="11328" xr:uid="{00000000-0005-0000-0000-0000E32B0000}"/>
    <cellStyle name="20% - Accent6 3 5 8" xfId="11329" xr:uid="{00000000-0005-0000-0000-0000E42B0000}"/>
    <cellStyle name="20% - Accent6 3 5 9" xfId="11330" xr:uid="{00000000-0005-0000-0000-0000E52B0000}"/>
    <cellStyle name="20% - Accent6 3 6" xfId="11331" xr:uid="{00000000-0005-0000-0000-0000E62B0000}"/>
    <cellStyle name="20% - Accent6 3 6 2" xfId="11332" xr:uid="{00000000-0005-0000-0000-0000E72B0000}"/>
    <cellStyle name="20% - Accent6 3 6 2 2" xfId="11333" xr:uid="{00000000-0005-0000-0000-0000E82B0000}"/>
    <cellStyle name="20% - Accent6 3 6 2 2 2" xfId="11334" xr:uid="{00000000-0005-0000-0000-0000E92B0000}"/>
    <cellStyle name="20% - Accent6 3 6 2 2 2 2" xfId="11335" xr:uid="{00000000-0005-0000-0000-0000EA2B0000}"/>
    <cellStyle name="20% - Accent6 3 6 2 2 2 2 2" xfId="11336" xr:uid="{00000000-0005-0000-0000-0000EB2B0000}"/>
    <cellStyle name="20% - Accent6 3 6 2 2 2 2 3" xfId="11337" xr:uid="{00000000-0005-0000-0000-0000EC2B0000}"/>
    <cellStyle name="20% - Accent6 3 6 2 2 2 3" xfId="11338" xr:uid="{00000000-0005-0000-0000-0000ED2B0000}"/>
    <cellStyle name="20% - Accent6 3 6 2 2 2 4" xfId="11339" xr:uid="{00000000-0005-0000-0000-0000EE2B0000}"/>
    <cellStyle name="20% - Accent6 3 6 2 2 3" xfId="11340" xr:uid="{00000000-0005-0000-0000-0000EF2B0000}"/>
    <cellStyle name="20% - Accent6 3 6 2 2 3 2" xfId="11341" xr:uid="{00000000-0005-0000-0000-0000F02B0000}"/>
    <cellStyle name="20% - Accent6 3 6 2 2 3 3" xfId="11342" xr:uid="{00000000-0005-0000-0000-0000F12B0000}"/>
    <cellStyle name="20% - Accent6 3 6 2 2 4" xfId="11343" xr:uid="{00000000-0005-0000-0000-0000F22B0000}"/>
    <cellStyle name="20% - Accent6 3 6 2 2 5" xfId="11344" xr:uid="{00000000-0005-0000-0000-0000F32B0000}"/>
    <cellStyle name="20% - Accent6 3 6 2 2 6" xfId="11345" xr:uid="{00000000-0005-0000-0000-0000F42B0000}"/>
    <cellStyle name="20% - Accent6 3 6 2 3" xfId="11346" xr:uid="{00000000-0005-0000-0000-0000F52B0000}"/>
    <cellStyle name="20% - Accent6 3 6 2 3 2" xfId="11347" xr:uid="{00000000-0005-0000-0000-0000F62B0000}"/>
    <cellStyle name="20% - Accent6 3 6 2 3 2 2" xfId="11348" xr:uid="{00000000-0005-0000-0000-0000F72B0000}"/>
    <cellStyle name="20% - Accent6 3 6 2 3 2 3" xfId="11349" xr:uid="{00000000-0005-0000-0000-0000F82B0000}"/>
    <cellStyle name="20% - Accent6 3 6 2 3 3" xfId="11350" xr:uid="{00000000-0005-0000-0000-0000F92B0000}"/>
    <cellStyle name="20% - Accent6 3 6 2 3 4" xfId="11351" xr:uid="{00000000-0005-0000-0000-0000FA2B0000}"/>
    <cellStyle name="20% - Accent6 3 6 2 4" xfId="11352" xr:uid="{00000000-0005-0000-0000-0000FB2B0000}"/>
    <cellStyle name="20% - Accent6 3 6 2 4 2" xfId="11353" xr:uid="{00000000-0005-0000-0000-0000FC2B0000}"/>
    <cellStyle name="20% - Accent6 3 6 2 4 3" xfId="11354" xr:uid="{00000000-0005-0000-0000-0000FD2B0000}"/>
    <cellStyle name="20% - Accent6 3 6 2 5" xfId="11355" xr:uid="{00000000-0005-0000-0000-0000FE2B0000}"/>
    <cellStyle name="20% - Accent6 3 6 2 6" xfId="11356" xr:uid="{00000000-0005-0000-0000-0000FF2B0000}"/>
    <cellStyle name="20% - Accent6 3 6 2 7" xfId="11357" xr:uid="{00000000-0005-0000-0000-0000002C0000}"/>
    <cellStyle name="20% - Accent6 3 6 3" xfId="11358" xr:uid="{00000000-0005-0000-0000-0000012C0000}"/>
    <cellStyle name="20% - Accent6 3 6 3 2" xfId="11359" xr:uid="{00000000-0005-0000-0000-0000022C0000}"/>
    <cellStyle name="20% - Accent6 3 6 3 2 2" xfId="11360" xr:uid="{00000000-0005-0000-0000-0000032C0000}"/>
    <cellStyle name="20% - Accent6 3 6 3 2 2 2" xfId="11361" xr:uid="{00000000-0005-0000-0000-0000042C0000}"/>
    <cellStyle name="20% - Accent6 3 6 3 2 2 3" xfId="11362" xr:uid="{00000000-0005-0000-0000-0000052C0000}"/>
    <cellStyle name="20% - Accent6 3 6 3 2 3" xfId="11363" xr:uid="{00000000-0005-0000-0000-0000062C0000}"/>
    <cellStyle name="20% - Accent6 3 6 3 2 4" xfId="11364" xr:uid="{00000000-0005-0000-0000-0000072C0000}"/>
    <cellStyle name="20% - Accent6 3 6 3 3" xfId="11365" xr:uid="{00000000-0005-0000-0000-0000082C0000}"/>
    <cellStyle name="20% - Accent6 3 6 3 3 2" xfId="11366" xr:uid="{00000000-0005-0000-0000-0000092C0000}"/>
    <cellStyle name="20% - Accent6 3 6 3 3 3" xfId="11367" xr:uid="{00000000-0005-0000-0000-00000A2C0000}"/>
    <cellStyle name="20% - Accent6 3 6 3 4" xfId="11368" xr:uid="{00000000-0005-0000-0000-00000B2C0000}"/>
    <cellStyle name="20% - Accent6 3 6 3 5" xfId="11369" xr:uid="{00000000-0005-0000-0000-00000C2C0000}"/>
    <cellStyle name="20% - Accent6 3 6 3 6" xfId="11370" xr:uid="{00000000-0005-0000-0000-00000D2C0000}"/>
    <cellStyle name="20% - Accent6 3 6 4" xfId="11371" xr:uid="{00000000-0005-0000-0000-00000E2C0000}"/>
    <cellStyle name="20% - Accent6 3 6 4 2" xfId="11372" xr:uid="{00000000-0005-0000-0000-00000F2C0000}"/>
    <cellStyle name="20% - Accent6 3 6 4 2 2" xfId="11373" xr:uid="{00000000-0005-0000-0000-0000102C0000}"/>
    <cellStyle name="20% - Accent6 3 6 4 2 3" xfId="11374" xr:uid="{00000000-0005-0000-0000-0000112C0000}"/>
    <cellStyle name="20% - Accent6 3 6 4 3" xfId="11375" xr:uid="{00000000-0005-0000-0000-0000122C0000}"/>
    <cellStyle name="20% - Accent6 3 6 4 4" xfId="11376" xr:uid="{00000000-0005-0000-0000-0000132C0000}"/>
    <cellStyle name="20% - Accent6 3 6 5" xfId="11377" xr:uid="{00000000-0005-0000-0000-0000142C0000}"/>
    <cellStyle name="20% - Accent6 3 6 5 2" xfId="11378" xr:uid="{00000000-0005-0000-0000-0000152C0000}"/>
    <cellStyle name="20% - Accent6 3 6 5 3" xfId="11379" xr:uid="{00000000-0005-0000-0000-0000162C0000}"/>
    <cellStyle name="20% - Accent6 3 6 6" xfId="11380" xr:uid="{00000000-0005-0000-0000-0000172C0000}"/>
    <cellStyle name="20% - Accent6 3 6 7" xfId="11381" xr:uid="{00000000-0005-0000-0000-0000182C0000}"/>
    <cellStyle name="20% - Accent6 3 6 8" xfId="11382" xr:uid="{00000000-0005-0000-0000-0000192C0000}"/>
    <cellStyle name="20% - Accent6 3 7" xfId="11383" xr:uid="{00000000-0005-0000-0000-00001A2C0000}"/>
    <cellStyle name="20% - Accent6 3 7 2" xfId="11384" xr:uid="{00000000-0005-0000-0000-00001B2C0000}"/>
    <cellStyle name="20% - Accent6 3 7 2 2" xfId="11385" xr:uid="{00000000-0005-0000-0000-00001C2C0000}"/>
    <cellStyle name="20% - Accent6 3 7 2 2 2" xfId="11386" xr:uid="{00000000-0005-0000-0000-00001D2C0000}"/>
    <cellStyle name="20% - Accent6 3 7 2 2 2 2" xfId="11387" xr:uid="{00000000-0005-0000-0000-00001E2C0000}"/>
    <cellStyle name="20% - Accent6 3 7 2 2 2 2 2" xfId="11388" xr:uid="{00000000-0005-0000-0000-00001F2C0000}"/>
    <cellStyle name="20% - Accent6 3 7 2 2 2 2 3" xfId="11389" xr:uid="{00000000-0005-0000-0000-0000202C0000}"/>
    <cellStyle name="20% - Accent6 3 7 2 2 2 3" xfId="11390" xr:uid="{00000000-0005-0000-0000-0000212C0000}"/>
    <cellStyle name="20% - Accent6 3 7 2 2 2 4" xfId="11391" xr:uid="{00000000-0005-0000-0000-0000222C0000}"/>
    <cellStyle name="20% - Accent6 3 7 2 2 3" xfId="11392" xr:uid="{00000000-0005-0000-0000-0000232C0000}"/>
    <cellStyle name="20% - Accent6 3 7 2 2 3 2" xfId="11393" xr:uid="{00000000-0005-0000-0000-0000242C0000}"/>
    <cellStyle name="20% - Accent6 3 7 2 2 3 3" xfId="11394" xr:uid="{00000000-0005-0000-0000-0000252C0000}"/>
    <cellStyle name="20% - Accent6 3 7 2 2 4" xfId="11395" xr:uid="{00000000-0005-0000-0000-0000262C0000}"/>
    <cellStyle name="20% - Accent6 3 7 2 2 5" xfId="11396" xr:uid="{00000000-0005-0000-0000-0000272C0000}"/>
    <cellStyle name="20% - Accent6 3 7 2 2 6" xfId="11397" xr:uid="{00000000-0005-0000-0000-0000282C0000}"/>
    <cellStyle name="20% - Accent6 3 7 2 3" xfId="11398" xr:uid="{00000000-0005-0000-0000-0000292C0000}"/>
    <cellStyle name="20% - Accent6 3 7 2 3 2" xfId="11399" xr:uid="{00000000-0005-0000-0000-00002A2C0000}"/>
    <cellStyle name="20% - Accent6 3 7 2 3 2 2" xfId="11400" xr:uid="{00000000-0005-0000-0000-00002B2C0000}"/>
    <cellStyle name="20% - Accent6 3 7 2 3 2 3" xfId="11401" xr:uid="{00000000-0005-0000-0000-00002C2C0000}"/>
    <cellStyle name="20% - Accent6 3 7 2 3 3" xfId="11402" xr:uid="{00000000-0005-0000-0000-00002D2C0000}"/>
    <cellStyle name="20% - Accent6 3 7 2 3 4" xfId="11403" xr:uid="{00000000-0005-0000-0000-00002E2C0000}"/>
    <cellStyle name="20% - Accent6 3 7 2 4" xfId="11404" xr:uid="{00000000-0005-0000-0000-00002F2C0000}"/>
    <cellStyle name="20% - Accent6 3 7 2 4 2" xfId="11405" xr:uid="{00000000-0005-0000-0000-0000302C0000}"/>
    <cellStyle name="20% - Accent6 3 7 2 4 3" xfId="11406" xr:uid="{00000000-0005-0000-0000-0000312C0000}"/>
    <cellStyle name="20% - Accent6 3 7 2 5" xfId="11407" xr:uid="{00000000-0005-0000-0000-0000322C0000}"/>
    <cellStyle name="20% - Accent6 3 7 2 6" xfId="11408" xr:uid="{00000000-0005-0000-0000-0000332C0000}"/>
    <cellStyle name="20% - Accent6 3 7 2 7" xfId="11409" xr:uid="{00000000-0005-0000-0000-0000342C0000}"/>
    <cellStyle name="20% - Accent6 3 7 3" xfId="11410" xr:uid="{00000000-0005-0000-0000-0000352C0000}"/>
    <cellStyle name="20% - Accent6 3 7 3 2" xfId="11411" xr:uid="{00000000-0005-0000-0000-0000362C0000}"/>
    <cellStyle name="20% - Accent6 3 7 3 2 2" xfId="11412" xr:uid="{00000000-0005-0000-0000-0000372C0000}"/>
    <cellStyle name="20% - Accent6 3 7 3 2 2 2" xfId="11413" xr:uid="{00000000-0005-0000-0000-0000382C0000}"/>
    <cellStyle name="20% - Accent6 3 7 3 2 2 3" xfId="11414" xr:uid="{00000000-0005-0000-0000-0000392C0000}"/>
    <cellStyle name="20% - Accent6 3 7 3 2 3" xfId="11415" xr:uid="{00000000-0005-0000-0000-00003A2C0000}"/>
    <cellStyle name="20% - Accent6 3 7 3 2 4" xfId="11416" xr:uid="{00000000-0005-0000-0000-00003B2C0000}"/>
    <cellStyle name="20% - Accent6 3 7 3 3" xfId="11417" xr:uid="{00000000-0005-0000-0000-00003C2C0000}"/>
    <cellStyle name="20% - Accent6 3 7 3 3 2" xfId="11418" xr:uid="{00000000-0005-0000-0000-00003D2C0000}"/>
    <cellStyle name="20% - Accent6 3 7 3 3 3" xfId="11419" xr:uid="{00000000-0005-0000-0000-00003E2C0000}"/>
    <cellStyle name="20% - Accent6 3 7 3 4" xfId="11420" xr:uid="{00000000-0005-0000-0000-00003F2C0000}"/>
    <cellStyle name="20% - Accent6 3 7 3 5" xfId="11421" xr:uid="{00000000-0005-0000-0000-0000402C0000}"/>
    <cellStyle name="20% - Accent6 3 7 3 6" xfId="11422" xr:uid="{00000000-0005-0000-0000-0000412C0000}"/>
    <cellStyle name="20% - Accent6 3 7 4" xfId="11423" xr:uid="{00000000-0005-0000-0000-0000422C0000}"/>
    <cellStyle name="20% - Accent6 3 7 4 2" xfId="11424" xr:uid="{00000000-0005-0000-0000-0000432C0000}"/>
    <cellStyle name="20% - Accent6 3 7 4 2 2" xfId="11425" xr:uid="{00000000-0005-0000-0000-0000442C0000}"/>
    <cellStyle name="20% - Accent6 3 7 4 2 3" xfId="11426" xr:uid="{00000000-0005-0000-0000-0000452C0000}"/>
    <cellStyle name="20% - Accent6 3 7 4 3" xfId="11427" xr:uid="{00000000-0005-0000-0000-0000462C0000}"/>
    <cellStyle name="20% - Accent6 3 7 4 4" xfId="11428" xr:uid="{00000000-0005-0000-0000-0000472C0000}"/>
    <cellStyle name="20% - Accent6 3 7 5" xfId="11429" xr:uid="{00000000-0005-0000-0000-0000482C0000}"/>
    <cellStyle name="20% - Accent6 3 7 5 2" xfId="11430" xr:uid="{00000000-0005-0000-0000-0000492C0000}"/>
    <cellStyle name="20% - Accent6 3 7 5 3" xfId="11431" xr:uid="{00000000-0005-0000-0000-00004A2C0000}"/>
    <cellStyle name="20% - Accent6 3 7 6" xfId="11432" xr:uid="{00000000-0005-0000-0000-00004B2C0000}"/>
    <cellStyle name="20% - Accent6 3 7 7" xfId="11433" xr:uid="{00000000-0005-0000-0000-00004C2C0000}"/>
    <cellStyle name="20% - Accent6 3 7 8" xfId="11434" xr:uid="{00000000-0005-0000-0000-00004D2C0000}"/>
    <cellStyle name="20% - Accent6 3 8" xfId="11435" xr:uid="{00000000-0005-0000-0000-00004E2C0000}"/>
    <cellStyle name="20% - Accent6 3 8 2" xfId="11436" xr:uid="{00000000-0005-0000-0000-00004F2C0000}"/>
    <cellStyle name="20% - Accent6 3 8 2 2" xfId="11437" xr:uid="{00000000-0005-0000-0000-0000502C0000}"/>
    <cellStyle name="20% - Accent6 3 8 2 2 2" xfId="11438" xr:uid="{00000000-0005-0000-0000-0000512C0000}"/>
    <cellStyle name="20% - Accent6 3 8 2 2 2 2" xfId="11439" xr:uid="{00000000-0005-0000-0000-0000522C0000}"/>
    <cellStyle name="20% - Accent6 3 8 2 2 2 3" xfId="11440" xr:uid="{00000000-0005-0000-0000-0000532C0000}"/>
    <cellStyle name="20% - Accent6 3 8 2 2 3" xfId="11441" xr:uid="{00000000-0005-0000-0000-0000542C0000}"/>
    <cellStyle name="20% - Accent6 3 8 2 2 4" xfId="11442" xr:uid="{00000000-0005-0000-0000-0000552C0000}"/>
    <cellStyle name="20% - Accent6 3 8 2 3" xfId="11443" xr:uid="{00000000-0005-0000-0000-0000562C0000}"/>
    <cellStyle name="20% - Accent6 3 8 2 3 2" xfId="11444" xr:uid="{00000000-0005-0000-0000-0000572C0000}"/>
    <cellStyle name="20% - Accent6 3 8 2 3 3" xfId="11445" xr:uid="{00000000-0005-0000-0000-0000582C0000}"/>
    <cellStyle name="20% - Accent6 3 8 2 4" xfId="11446" xr:uid="{00000000-0005-0000-0000-0000592C0000}"/>
    <cellStyle name="20% - Accent6 3 8 2 5" xfId="11447" xr:uid="{00000000-0005-0000-0000-00005A2C0000}"/>
    <cellStyle name="20% - Accent6 3 8 2 6" xfId="11448" xr:uid="{00000000-0005-0000-0000-00005B2C0000}"/>
    <cellStyle name="20% - Accent6 3 8 3" xfId="11449" xr:uid="{00000000-0005-0000-0000-00005C2C0000}"/>
    <cellStyle name="20% - Accent6 3 8 3 2" xfId="11450" xr:uid="{00000000-0005-0000-0000-00005D2C0000}"/>
    <cellStyle name="20% - Accent6 3 8 3 2 2" xfId="11451" xr:uid="{00000000-0005-0000-0000-00005E2C0000}"/>
    <cellStyle name="20% - Accent6 3 8 3 2 3" xfId="11452" xr:uid="{00000000-0005-0000-0000-00005F2C0000}"/>
    <cellStyle name="20% - Accent6 3 8 3 3" xfId="11453" xr:uid="{00000000-0005-0000-0000-0000602C0000}"/>
    <cellStyle name="20% - Accent6 3 8 3 4" xfId="11454" xr:uid="{00000000-0005-0000-0000-0000612C0000}"/>
    <cellStyle name="20% - Accent6 3 8 4" xfId="11455" xr:uid="{00000000-0005-0000-0000-0000622C0000}"/>
    <cellStyle name="20% - Accent6 3 8 4 2" xfId="11456" xr:uid="{00000000-0005-0000-0000-0000632C0000}"/>
    <cellStyle name="20% - Accent6 3 8 4 3" xfId="11457" xr:uid="{00000000-0005-0000-0000-0000642C0000}"/>
    <cellStyle name="20% - Accent6 3 8 5" xfId="11458" xr:uid="{00000000-0005-0000-0000-0000652C0000}"/>
    <cellStyle name="20% - Accent6 3 8 6" xfId="11459" xr:uid="{00000000-0005-0000-0000-0000662C0000}"/>
    <cellStyle name="20% - Accent6 3 8 7" xfId="11460" xr:uid="{00000000-0005-0000-0000-0000672C0000}"/>
    <cellStyle name="20% - Accent6 3 9" xfId="11461" xr:uid="{00000000-0005-0000-0000-0000682C0000}"/>
    <cellStyle name="20% - Accent6 3 9 2" xfId="11462" xr:uid="{00000000-0005-0000-0000-0000692C0000}"/>
    <cellStyle name="20% - Accent6 3 9 2 2" xfId="11463" xr:uid="{00000000-0005-0000-0000-00006A2C0000}"/>
    <cellStyle name="20% - Accent6 3 9 2 2 2" xfId="11464" xr:uid="{00000000-0005-0000-0000-00006B2C0000}"/>
    <cellStyle name="20% - Accent6 3 9 2 2 3" xfId="11465" xr:uid="{00000000-0005-0000-0000-00006C2C0000}"/>
    <cellStyle name="20% - Accent6 3 9 2 3" xfId="11466" xr:uid="{00000000-0005-0000-0000-00006D2C0000}"/>
    <cellStyle name="20% - Accent6 3 9 2 4" xfId="11467" xr:uid="{00000000-0005-0000-0000-00006E2C0000}"/>
    <cellStyle name="20% - Accent6 3 9 3" xfId="11468" xr:uid="{00000000-0005-0000-0000-00006F2C0000}"/>
    <cellStyle name="20% - Accent6 3 9 3 2" xfId="11469" xr:uid="{00000000-0005-0000-0000-0000702C0000}"/>
    <cellStyle name="20% - Accent6 3 9 3 3" xfId="11470" xr:uid="{00000000-0005-0000-0000-0000712C0000}"/>
    <cellStyle name="20% - Accent6 3 9 4" xfId="11471" xr:uid="{00000000-0005-0000-0000-0000722C0000}"/>
    <cellStyle name="20% - Accent6 3 9 5" xfId="11472" xr:uid="{00000000-0005-0000-0000-0000732C0000}"/>
    <cellStyle name="20% - Accent6 3 9 6" xfId="11473" xr:uid="{00000000-0005-0000-0000-0000742C0000}"/>
    <cellStyle name="20% - Accent6 4" xfId="11474" xr:uid="{00000000-0005-0000-0000-0000752C0000}"/>
    <cellStyle name="20% - Accent6 4 10" xfId="11475" xr:uid="{00000000-0005-0000-0000-0000762C0000}"/>
    <cellStyle name="20% - Accent6 4 11" xfId="11476" xr:uid="{00000000-0005-0000-0000-0000772C0000}"/>
    <cellStyle name="20% - Accent6 4 2" xfId="11477" xr:uid="{00000000-0005-0000-0000-0000782C0000}"/>
    <cellStyle name="20% - Accent6 4 2 10" xfId="11478" xr:uid="{00000000-0005-0000-0000-0000792C0000}"/>
    <cellStyle name="20% - Accent6 4 2 2" xfId="11479" xr:uid="{00000000-0005-0000-0000-00007A2C0000}"/>
    <cellStyle name="20% - Accent6 4 2 2 2" xfId="11480" xr:uid="{00000000-0005-0000-0000-00007B2C0000}"/>
    <cellStyle name="20% - Accent6 4 2 2 2 2" xfId="11481" xr:uid="{00000000-0005-0000-0000-00007C2C0000}"/>
    <cellStyle name="20% - Accent6 4 2 2 2 2 2" xfId="11482" xr:uid="{00000000-0005-0000-0000-00007D2C0000}"/>
    <cellStyle name="20% - Accent6 4 2 2 2 2 2 2" xfId="11483" xr:uid="{00000000-0005-0000-0000-00007E2C0000}"/>
    <cellStyle name="20% - Accent6 4 2 2 2 2 2 2 2" xfId="11484" xr:uid="{00000000-0005-0000-0000-00007F2C0000}"/>
    <cellStyle name="20% - Accent6 4 2 2 2 2 2 2 2 2" xfId="11485" xr:uid="{00000000-0005-0000-0000-0000802C0000}"/>
    <cellStyle name="20% - Accent6 4 2 2 2 2 2 2 2 3" xfId="11486" xr:uid="{00000000-0005-0000-0000-0000812C0000}"/>
    <cellStyle name="20% - Accent6 4 2 2 2 2 2 2 3" xfId="11487" xr:uid="{00000000-0005-0000-0000-0000822C0000}"/>
    <cellStyle name="20% - Accent6 4 2 2 2 2 2 2 4" xfId="11488" xr:uid="{00000000-0005-0000-0000-0000832C0000}"/>
    <cellStyle name="20% - Accent6 4 2 2 2 2 2 3" xfId="11489" xr:uid="{00000000-0005-0000-0000-0000842C0000}"/>
    <cellStyle name="20% - Accent6 4 2 2 2 2 2 3 2" xfId="11490" xr:uid="{00000000-0005-0000-0000-0000852C0000}"/>
    <cellStyle name="20% - Accent6 4 2 2 2 2 2 3 3" xfId="11491" xr:uid="{00000000-0005-0000-0000-0000862C0000}"/>
    <cellStyle name="20% - Accent6 4 2 2 2 2 2 4" xfId="11492" xr:uid="{00000000-0005-0000-0000-0000872C0000}"/>
    <cellStyle name="20% - Accent6 4 2 2 2 2 2 5" xfId="11493" xr:uid="{00000000-0005-0000-0000-0000882C0000}"/>
    <cellStyle name="20% - Accent6 4 2 2 2 2 2 6" xfId="11494" xr:uid="{00000000-0005-0000-0000-0000892C0000}"/>
    <cellStyle name="20% - Accent6 4 2 2 2 2 3" xfId="11495" xr:uid="{00000000-0005-0000-0000-00008A2C0000}"/>
    <cellStyle name="20% - Accent6 4 2 2 2 2 3 2" xfId="11496" xr:uid="{00000000-0005-0000-0000-00008B2C0000}"/>
    <cellStyle name="20% - Accent6 4 2 2 2 2 3 2 2" xfId="11497" xr:uid="{00000000-0005-0000-0000-00008C2C0000}"/>
    <cellStyle name="20% - Accent6 4 2 2 2 2 3 2 3" xfId="11498" xr:uid="{00000000-0005-0000-0000-00008D2C0000}"/>
    <cellStyle name="20% - Accent6 4 2 2 2 2 3 3" xfId="11499" xr:uid="{00000000-0005-0000-0000-00008E2C0000}"/>
    <cellStyle name="20% - Accent6 4 2 2 2 2 3 4" xfId="11500" xr:uid="{00000000-0005-0000-0000-00008F2C0000}"/>
    <cellStyle name="20% - Accent6 4 2 2 2 2 4" xfId="11501" xr:uid="{00000000-0005-0000-0000-0000902C0000}"/>
    <cellStyle name="20% - Accent6 4 2 2 2 2 4 2" xfId="11502" xr:uid="{00000000-0005-0000-0000-0000912C0000}"/>
    <cellStyle name="20% - Accent6 4 2 2 2 2 4 3" xfId="11503" xr:uid="{00000000-0005-0000-0000-0000922C0000}"/>
    <cellStyle name="20% - Accent6 4 2 2 2 2 5" xfId="11504" xr:uid="{00000000-0005-0000-0000-0000932C0000}"/>
    <cellStyle name="20% - Accent6 4 2 2 2 2 6" xfId="11505" xr:uid="{00000000-0005-0000-0000-0000942C0000}"/>
    <cellStyle name="20% - Accent6 4 2 2 2 2 7" xfId="11506" xr:uid="{00000000-0005-0000-0000-0000952C0000}"/>
    <cellStyle name="20% - Accent6 4 2 2 2 3" xfId="11507" xr:uid="{00000000-0005-0000-0000-0000962C0000}"/>
    <cellStyle name="20% - Accent6 4 2 2 2 3 2" xfId="11508" xr:uid="{00000000-0005-0000-0000-0000972C0000}"/>
    <cellStyle name="20% - Accent6 4 2 2 2 3 2 2" xfId="11509" xr:uid="{00000000-0005-0000-0000-0000982C0000}"/>
    <cellStyle name="20% - Accent6 4 2 2 2 3 2 2 2" xfId="11510" xr:uid="{00000000-0005-0000-0000-0000992C0000}"/>
    <cellStyle name="20% - Accent6 4 2 2 2 3 2 2 3" xfId="11511" xr:uid="{00000000-0005-0000-0000-00009A2C0000}"/>
    <cellStyle name="20% - Accent6 4 2 2 2 3 2 3" xfId="11512" xr:uid="{00000000-0005-0000-0000-00009B2C0000}"/>
    <cellStyle name="20% - Accent6 4 2 2 2 3 2 4" xfId="11513" xr:uid="{00000000-0005-0000-0000-00009C2C0000}"/>
    <cellStyle name="20% - Accent6 4 2 2 2 3 3" xfId="11514" xr:uid="{00000000-0005-0000-0000-00009D2C0000}"/>
    <cellStyle name="20% - Accent6 4 2 2 2 3 3 2" xfId="11515" xr:uid="{00000000-0005-0000-0000-00009E2C0000}"/>
    <cellStyle name="20% - Accent6 4 2 2 2 3 3 3" xfId="11516" xr:uid="{00000000-0005-0000-0000-00009F2C0000}"/>
    <cellStyle name="20% - Accent6 4 2 2 2 3 4" xfId="11517" xr:uid="{00000000-0005-0000-0000-0000A02C0000}"/>
    <cellStyle name="20% - Accent6 4 2 2 2 3 5" xfId="11518" xr:uid="{00000000-0005-0000-0000-0000A12C0000}"/>
    <cellStyle name="20% - Accent6 4 2 2 2 3 6" xfId="11519" xr:uid="{00000000-0005-0000-0000-0000A22C0000}"/>
    <cellStyle name="20% - Accent6 4 2 2 2 4" xfId="11520" xr:uid="{00000000-0005-0000-0000-0000A32C0000}"/>
    <cellStyle name="20% - Accent6 4 2 2 2 4 2" xfId="11521" xr:uid="{00000000-0005-0000-0000-0000A42C0000}"/>
    <cellStyle name="20% - Accent6 4 2 2 2 4 2 2" xfId="11522" xr:uid="{00000000-0005-0000-0000-0000A52C0000}"/>
    <cellStyle name="20% - Accent6 4 2 2 2 4 2 3" xfId="11523" xr:uid="{00000000-0005-0000-0000-0000A62C0000}"/>
    <cellStyle name="20% - Accent6 4 2 2 2 4 3" xfId="11524" xr:uid="{00000000-0005-0000-0000-0000A72C0000}"/>
    <cellStyle name="20% - Accent6 4 2 2 2 4 4" xfId="11525" xr:uid="{00000000-0005-0000-0000-0000A82C0000}"/>
    <cellStyle name="20% - Accent6 4 2 2 2 5" xfId="11526" xr:uid="{00000000-0005-0000-0000-0000A92C0000}"/>
    <cellStyle name="20% - Accent6 4 2 2 2 5 2" xfId="11527" xr:uid="{00000000-0005-0000-0000-0000AA2C0000}"/>
    <cellStyle name="20% - Accent6 4 2 2 2 5 3" xfId="11528" xr:uid="{00000000-0005-0000-0000-0000AB2C0000}"/>
    <cellStyle name="20% - Accent6 4 2 2 2 6" xfId="11529" xr:uid="{00000000-0005-0000-0000-0000AC2C0000}"/>
    <cellStyle name="20% - Accent6 4 2 2 2 7" xfId="11530" xr:uid="{00000000-0005-0000-0000-0000AD2C0000}"/>
    <cellStyle name="20% - Accent6 4 2 2 2 8" xfId="11531" xr:uid="{00000000-0005-0000-0000-0000AE2C0000}"/>
    <cellStyle name="20% - Accent6 4 2 2 3" xfId="11532" xr:uid="{00000000-0005-0000-0000-0000AF2C0000}"/>
    <cellStyle name="20% - Accent6 4 2 2 3 2" xfId="11533" xr:uid="{00000000-0005-0000-0000-0000B02C0000}"/>
    <cellStyle name="20% - Accent6 4 2 2 3 2 2" xfId="11534" xr:uid="{00000000-0005-0000-0000-0000B12C0000}"/>
    <cellStyle name="20% - Accent6 4 2 2 3 2 2 2" xfId="11535" xr:uid="{00000000-0005-0000-0000-0000B22C0000}"/>
    <cellStyle name="20% - Accent6 4 2 2 3 2 2 2 2" xfId="11536" xr:uid="{00000000-0005-0000-0000-0000B32C0000}"/>
    <cellStyle name="20% - Accent6 4 2 2 3 2 2 2 3" xfId="11537" xr:uid="{00000000-0005-0000-0000-0000B42C0000}"/>
    <cellStyle name="20% - Accent6 4 2 2 3 2 2 3" xfId="11538" xr:uid="{00000000-0005-0000-0000-0000B52C0000}"/>
    <cellStyle name="20% - Accent6 4 2 2 3 2 2 4" xfId="11539" xr:uid="{00000000-0005-0000-0000-0000B62C0000}"/>
    <cellStyle name="20% - Accent6 4 2 2 3 2 3" xfId="11540" xr:uid="{00000000-0005-0000-0000-0000B72C0000}"/>
    <cellStyle name="20% - Accent6 4 2 2 3 2 3 2" xfId="11541" xr:uid="{00000000-0005-0000-0000-0000B82C0000}"/>
    <cellStyle name="20% - Accent6 4 2 2 3 2 3 3" xfId="11542" xr:uid="{00000000-0005-0000-0000-0000B92C0000}"/>
    <cellStyle name="20% - Accent6 4 2 2 3 2 4" xfId="11543" xr:uid="{00000000-0005-0000-0000-0000BA2C0000}"/>
    <cellStyle name="20% - Accent6 4 2 2 3 2 5" xfId="11544" xr:uid="{00000000-0005-0000-0000-0000BB2C0000}"/>
    <cellStyle name="20% - Accent6 4 2 2 3 2 6" xfId="11545" xr:uid="{00000000-0005-0000-0000-0000BC2C0000}"/>
    <cellStyle name="20% - Accent6 4 2 2 3 3" xfId="11546" xr:uid="{00000000-0005-0000-0000-0000BD2C0000}"/>
    <cellStyle name="20% - Accent6 4 2 2 3 3 2" xfId="11547" xr:uid="{00000000-0005-0000-0000-0000BE2C0000}"/>
    <cellStyle name="20% - Accent6 4 2 2 3 3 2 2" xfId="11548" xr:uid="{00000000-0005-0000-0000-0000BF2C0000}"/>
    <cellStyle name="20% - Accent6 4 2 2 3 3 2 3" xfId="11549" xr:uid="{00000000-0005-0000-0000-0000C02C0000}"/>
    <cellStyle name="20% - Accent6 4 2 2 3 3 3" xfId="11550" xr:uid="{00000000-0005-0000-0000-0000C12C0000}"/>
    <cellStyle name="20% - Accent6 4 2 2 3 3 4" xfId="11551" xr:uid="{00000000-0005-0000-0000-0000C22C0000}"/>
    <cellStyle name="20% - Accent6 4 2 2 3 4" xfId="11552" xr:uid="{00000000-0005-0000-0000-0000C32C0000}"/>
    <cellStyle name="20% - Accent6 4 2 2 3 4 2" xfId="11553" xr:uid="{00000000-0005-0000-0000-0000C42C0000}"/>
    <cellStyle name="20% - Accent6 4 2 2 3 4 3" xfId="11554" xr:uid="{00000000-0005-0000-0000-0000C52C0000}"/>
    <cellStyle name="20% - Accent6 4 2 2 3 5" xfId="11555" xr:uid="{00000000-0005-0000-0000-0000C62C0000}"/>
    <cellStyle name="20% - Accent6 4 2 2 3 6" xfId="11556" xr:uid="{00000000-0005-0000-0000-0000C72C0000}"/>
    <cellStyle name="20% - Accent6 4 2 2 3 7" xfId="11557" xr:uid="{00000000-0005-0000-0000-0000C82C0000}"/>
    <cellStyle name="20% - Accent6 4 2 2 4" xfId="11558" xr:uid="{00000000-0005-0000-0000-0000C92C0000}"/>
    <cellStyle name="20% - Accent6 4 2 2 4 2" xfId="11559" xr:uid="{00000000-0005-0000-0000-0000CA2C0000}"/>
    <cellStyle name="20% - Accent6 4 2 2 4 2 2" xfId="11560" xr:uid="{00000000-0005-0000-0000-0000CB2C0000}"/>
    <cellStyle name="20% - Accent6 4 2 2 4 2 2 2" xfId="11561" xr:uid="{00000000-0005-0000-0000-0000CC2C0000}"/>
    <cellStyle name="20% - Accent6 4 2 2 4 2 2 3" xfId="11562" xr:uid="{00000000-0005-0000-0000-0000CD2C0000}"/>
    <cellStyle name="20% - Accent6 4 2 2 4 2 3" xfId="11563" xr:uid="{00000000-0005-0000-0000-0000CE2C0000}"/>
    <cellStyle name="20% - Accent6 4 2 2 4 2 4" xfId="11564" xr:uid="{00000000-0005-0000-0000-0000CF2C0000}"/>
    <cellStyle name="20% - Accent6 4 2 2 4 3" xfId="11565" xr:uid="{00000000-0005-0000-0000-0000D02C0000}"/>
    <cellStyle name="20% - Accent6 4 2 2 4 3 2" xfId="11566" xr:uid="{00000000-0005-0000-0000-0000D12C0000}"/>
    <cellStyle name="20% - Accent6 4 2 2 4 3 3" xfId="11567" xr:uid="{00000000-0005-0000-0000-0000D22C0000}"/>
    <cellStyle name="20% - Accent6 4 2 2 4 4" xfId="11568" xr:uid="{00000000-0005-0000-0000-0000D32C0000}"/>
    <cellStyle name="20% - Accent6 4 2 2 4 5" xfId="11569" xr:uid="{00000000-0005-0000-0000-0000D42C0000}"/>
    <cellStyle name="20% - Accent6 4 2 2 4 6" xfId="11570" xr:uid="{00000000-0005-0000-0000-0000D52C0000}"/>
    <cellStyle name="20% - Accent6 4 2 2 5" xfId="11571" xr:uid="{00000000-0005-0000-0000-0000D62C0000}"/>
    <cellStyle name="20% - Accent6 4 2 2 5 2" xfId="11572" xr:uid="{00000000-0005-0000-0000-0000D72C0000}"/>
    <cellStyle name="20% - Accent6 4 2 2 5 2 2" xfId="11573" xr:uid="{00000000-0005-0000-0000-0000D82C0000}"/>
    <cellStyle name="20% - Accent6 4 2 2 5 2 3" xfId="11574" xr:uid="{00000000-0005-0000-0000-0000D92C0000}"/>
    <cellStyle name="20% - Accent6 4 2 2 5 3" xfId="11575" xr:uid="{00000000-0005-0000-0000-0000DA2C0000}"/>
    <cellStyle name="20% - Accent6 4 2 2 5 4" xfId="11576" xr:uid="{00000000-0005-0000-0000-0000DB2C0000}"/>
    <cellStyle name="20% - Accent6 4 2 2 6" xfId="11577" xr:uid="{00000000-0005-0000-0000-0000DC2C0000}"/>
    <cellStyle name="20% - Accent6 4 2 2 6 2" xfId="11578" xr:uid="{00000000-0005-0000-0000-0000DD2C0000}"/>
    <cellStyle name="20% - Accent6 4 2 2 6 3" xfId="11579" xr:uid="{00000000-0005-0000-0000-0000DE2C0000}"/>
    <cellStyle name="20% - Accent6 4 2 2 7" xfId="11580" xr:uid="{00000000-0005-0000-0000-0000DF2C0000}"/>
    <cellStyle name="20% - Accent6 4 2 2 8" xfId="11581" xr:uid="{00000000-0005-0000-0000-0000E02C0000}"/>
    <cellStyle name="20% - Accent6 4 2 2 9" xfId="11582" xr:uid="{00000000-0005-0000-0000-0000E12C0000}"/>
    <cellStyle name="20% - Accent6 4 2 3" xfId="11583" xr:uid="{00000000-0005-0000-0000-0000E22C0000}"/>
    <cellStyle name="20% - Accent6 4 2 3 2" xfId="11584" xr:uid="{00000000-0005-0000-0000-0000E32C0000}"/>
    <cellStyle name="20% - Accent6 4 2 3 2 2" xfId="11585" xr:uid="{00000000-0005-0000-0000-0000E42C0000}"/>
    <cellStyle name="20% - Accent6 4 2 3 2 2 2" xfId="11586" xr:uid="{00000000-0005-0000-0000-0000E52C0000}"/>
    <cellStyle name="20% - Accent6 4 2 3 2 2 2 2" xfId="11587" xr:uid="{00000000-0005-0000-0000-0000E62C0000}"/>
    <cellStyle name="20% - Accent6 4 2 3 2 2 2 2 2" xfId="11588" xr:uid="{00000000-0005-0000-0000-0000E72C0000}"/>
    <cellStyle name="20% - Accent6 4 2 3 2 2 2 2 3" xfId="11589" xr:uid="{00000000-0005-0000-0000-0000E82C0000}"/>
    <cellStyle name="20% - Accent6 4 2 3 2 2 2 3" xfId="11590" xr:uid="{00000000-0005-0000-0000-0000E92C0000}"/>
    <cellStyle name="20% - Accent6 4 2 3 2 2 2 4" xfId="11591" xr:uid="{00000000-0005-0000-0000-0000EA2C0000}"/>
    <cellStyle name="20% - Accent6 4 2 3 2 2 3" xfId="11592" xr:uid="{00000000-0005-0000-0000-0000EB2C0000}"/>
    <cellStyle name="20% - Accent6 4 2 3 2 2 3 2" xfId="11593" xr:uid="{00000000-0005-0000-0000-0000EC2C0000}"/>
    <cellStyle name="20% - Accent6 4 2 3 2 2 3 3" xfId="11594" xr:uid="{00000000-0005-0000-0000-0000ED2C0000}"/>
    <cellStyle name="20% - Accent6 4 2 3 2 2 4" xfId="11595" xr:uid="{00000000-0005-0000-0000-0000EE2C0000}"/>
    <cellStyle name="20% - Accent6 4 2 3 2 2 5" xfId="11596" xr:uid="{00000000-0005-0000-0000-0000EF2C0000}"/>
    <cellStyle name="20% - Accent6 4 2 3 2 2 6" xfId="11597" xr:uid="{00000000-0005-0000-0000-0000F02C0000}"/>
    <cellStyle name="20% - Accent6 4 2 3 2 3" xfId="11598" xr:uid="{00000000-0005-0000-0000-0000F12C0000}"/>
    <cellStyle name="20% - Accent6 4 2 3 2 3 2" xfId="11599" xr:uid="{00000000-0005-0000-0000-0000F22C0000}"/>
    <cellStyle name="20% - Accent6 4 2 3 2 3 2 2" xfId="11600" xr:uid="{00000000-0005-0000-0000-0000F32C0000}"/>
    <cellStyle name="20% - Accent6 4 2 3 2 3 2 3" xfId="11601" xr:uid="{00000000-0005-0000-0000-0000F42C0000}"/>
    <cellStyle name="20% - Accent6 4 2 3 2 3 3" xfId="11602" xr:uid="{00000000-0005-0000-0000-0000F52C0000}"/>
    <cellStyle name="20% - Accent6 4 2 3 2 3 4" xfId="11603" xr:uid="{00000000-0005-0000-0000-0000F62C0000}"/>
    <cellStyle name="20% - Accent6 4 2 3 2 4" xfId="11604" xr:uid="{00000000-0005-0000-0000-0000F72C0000}"/>
    <cellStyle name="20% - Accent6 4 2 3 2 4 2" xfId="11605" xr:uid="{00000000-0005-0000-0000-0000F82C0000}"/>
    <cellStyle name="20% - Accent6 4 2 3 2 4 3" xfId="11606" xr:uid="{00000000-0005-0000-0000-0000F92C0000}"/>
    <cellStyle name="20% - Accent6 4 2 3 2 5" xfId="11607" xr:uid="{00000000-0005-0000-0000-0000FA2C0000}"/>
    <cellStyle name="20% - Accent6 4 2 3 2 6" xfId="11608" xr:uid="{00000000-0005-0000-0000-0000FB2C0000}"/>
    <cellStyle name="20% - Accent6 4 2 3 2 7" xfId="11609" xr:uid="{00000000-0005-0000-0000-0000FC2C0000}"/>
    <cellStyle name="20% - Accent6 4 2 3 3" xfId="11610" xr:uid="{00000000-0005-0000-0000-0000FD2C0000}"/>
    <cellStyle name="20% - Accent6 4 2 3 3 2" xfId="11611" xr:uid="{00000000-0005-0000-0000-0000FE2C0000}"/>
    <cellStyle name="20% - Accent6 4 2 3 3 2 2" xfId="11612" xr:uid="{00000000-0005-0000-0000-0000FF2C0000}"/>
    <cellStyle name="20% - Accent6 4 2 3 3 2 2 2" xfId="11613" xr:uid="{00000000-0005-0000-0000-0000002D0000}"/>
    <cellStyle name="20% - Accent6 4 2 3 3 2 2 3" xfId="11614" xr:uid="{00000000-0005-0000-0000-0000012D0000}"/>
    <cellStyle name="20% - Accent6 4 2 3 3 2 3" xfId="11615" xr:uid="{00000000-0005-0000-0000-0000022D0000}"/>
    <cellStyle name="20% - Accent6 4 2 3 3 2 4" xfId="11616" xr:uid="{00000000-0005-0000-0000-0000032D0000}"/>
    <cellStyle name="20% - Accent6 4 2 3 3 3" xfId="11617" xr:uid="{00000000-0005-0000-0000-0000042D0000}"/>
    <cellStyle name="20% - Accent6 4 2 3 3 3 2" xfId="11618" xr:uid="{00000000-0005-0000-0000-0000052D0000}"/>
    <cellStyle name="20% - Accent6 4 2 3 3 3 3" xfId="11619" xr:uid="{00000000-0005-0000-0000-0000062D0000}"/>
    <cellStyle name="20% - Accent6 4 2 3 3 4" xfId="11620" xr:uid="{00000000-0005-0000-0000-0000072D0000}"/>
    <cellStyle name="20% - Accent6 4 2 3 3 5" xfId="11621" xr:uid="{00000000-0005-0000-0000-0000082D0000}"/>
    <cellStyle name="20% - Accent6 4 2 3 3 6" xfId="11622" xr:uid="{00000000-0005-0000-0000-0000092D0000}"/>
    <cellStyle name="20% - Accent6 4 2 3 4" xfId="11623" xr:uid="{00000000-0005-0000-0000-00000A2D0000}"/>
    <cellStyle name="20% - Accent6 4 2 3 4 2" xfId="11624" xr:uid="{00000000-0005-0000-0000-00000B2D0000}"/>
    <cellStyle name="20% - Accent6 4 2 3 4 2 2" xfId="11625" xr:uid="{00000000-0005-0000-0000-00000C2D0000}"/>
    <cellStyle name="20% - Accent6 4 2 3 4 2 3" xfId="11626" xr:uid="{00000000-0005-0000-0000-00000D2D0000}"/>
    <cellStyle name="20% - Accent6 4 2 3 4 3" xfId="11627" xr:uid="{00000000-0005-0000-0000-00000E2D0000}"/>
    <cellStyle name="20% - Accent6 4 2 3 4 4" xfId="11628" xr:uid="{00000000-0005-0000-0000-00000F2D0000}"/>
    <cellStyle name="20% - Accent6 4 2 3 5" xfId="11629" xr:uid="{00000000-0005-0000-0000-0000102D0000}"/>
    <cellStyle name="20% - Accent6 4 2 3 5 2" xfId="11630" xr:uid="{00000000-0005-0000-0000-0000112D0000}"/>
    <cellStyle name="20% - Accent6 4 2 3 5 3" xfId="11631" xr:uid="{00000000-0005-0000-0000-0000122D0000}"/>
    <cellStyle name="20% - Accent6 4 2 3 6" xfId="11632" xr:uid="{00000000-0005-0000-0000-0000132D0000}"/>
    <cellStyle name="20% - Accent6 4 2 3 7" xfId="11633" xr:uid="{00000000-0005-0000-0000-0000142D0000}"/>
    <cellStyle name="20% - Accent6 4 2 3 8" xfId="11634" xr:uid="{00000000-0005-0000-0000-0000152D0000}"/>
    <cellStyle name="20% - Accent6 4 2 4" xfId="11635" xr:uid="{00000000-0005-0000-0000-0000162D0000}"/>
    <cellStyle name="20% - Accent6 4 2 4 2" xfId="11636" xr:uid="{00000000-0005-0000-0000-0000172D0000}"/>
    <cellStyle name="20% - Accent6 4 2 4 2 2" xfId="11637" xr:uid="{00000000-0005-0000-0000-0000182D0000}"/>
    <cellStyle name="20% - Accent6 4 2 4 2 2 2" xfId="11638" xr:uid="{00000000-0005-0000-0000-0000192D0000}"/>
    <cellStyle name="20% - Accent6 4 2 4 2 2 2 2" xfId="11639" xr:uid="{00000000-0005-0000-0000-00001A2D0000}"/>
    <cellStyle name="20% - Accent6 4 2 4 2 2 2 3" xfId="11640" xr:uid="{00000000-0005-0000-0000-00001B2D0000}"/>
    <cellStyle name="20% - Accent6 4 2 4 2 2 3" xfId="11641" xr:uid="{00000000-0005-0000-0000-00001C2D0000}"/>
    <cellStyle name="20% - Accent6 4 2 4 2 2 4" xfId="11642" xr:uid="{00000000-0005-0000-0000-00001D2D0000}"/>
    <cellStyle name="20% - Accent6 4 2 4 2 3" xfId="11643" xr:uid="{00000000-0005-0000-0000-00001E2D0000}"/>
    <cellStyle name="20% - Accent6 4 2 4 2 3 2" xfId="11644" xr:uid="{00000000-0005-0000-0000-00001F2D0000}"/>
    <cellStyle name="20% - Accent6 4 2 4 2 3 3" xfId="11645" xr:uid="{00000000-0005-0000-0000-0000202D0000}"/>
    <cellStyle name="20% - Accent6 4 2 4 2 4" xfId="11646" xr:uid="{00000000-0005-0000-0000-0000212D0000}"/>
    <cellStyle name="20% - Accent6 4 2 4 2 5" xfId="11647" xr:uid="{00000000-0005-0000-0000-0000222D0000}"/>
    <cellStyle name="20% - Accent6 4 2 4 2 6" xfId="11648" xr:uid="{00000000-0005-0000-0000-0000232D0000}"/>
    <cellStyle name="20% - Accent6 4 2 4 3" xfId="11649" xr:uid="{00000000-0005-0000-0000-0000242D0000}"/>
    <cellStyle name="20% - Accent6 4 2 4 3 2" xfId="11650" xr:uid="{00000000-0005-0000-0000-0000252D0000}"/>
    <cellStyle name="20% - Accent6 4 2 4 3 2 2" xfId="11651" xr:uid="{00000000-0005-0000-0000-0000262D0000}"/>
    <cellStyle name="20% - Accent6 4 2 4 3 2 3" xfId="11652" xr:uid="{00000000-0005-0000-0000-0000272D0000}"/>
    <cellStyle name="20% - Accent6 4 2 4 3 3" xfId="11653" xr:uid="{00000000-0005-0000-0000-0000282D0000}"/>
    <cellStyle name="20% - Accent6 4 2 4 3 4" xfId="11654" xr:uid="{00000000-0005-0000-0000-0000292D0000}"/>
    <cellStyle name="20% - Accent6 4 2 4 4" xfId="11655" xr:uid="{00000000-0005-0000-0000-00002A2D0000}"/>
    <cellStyle name="20% - Accent6 4 2 4 4 2" xfId="11656" xr:uid="{00000000-0005-0000-0000-00002B2D0000}"/>
    <cellStyle name="20% - Accent6 4 2 4 4 3" xfId="11657" xr:uid="{00000000-0005-0000-0000-00002C2D0000}"/>
    <cellStyle name="20% - Accent6 4 2 4 5" xfId="11658" xr:uid="{00000000-0005-0000-0000-00002D2D0000}"/>
    <cellStyle name="20% - Accent6 4 2 4 6" xfId="11659" xr:uid="{00000000-0005-0000-0000-00002E2D0000}"/>
    <cellStyle name="20% - Accent6 4 2 4 7" xfId="11660" xr:uid="{00000000-0005-0000-0000-00002F2D0000}"/>
    <cellStyle name="20% - Accent6 4 2 5" xfId="11661" xr:uid="{00000000-0005-0000-0000-0000302D0000}"/>
    <cellStyle name="20% - Accent6 4 2 5 2" xfId="11662" xr:uid="{00000000-0005-0000-0000-0000312D0000}"/>
    <cellStyle name="20% - Accent6 4 2 5 2 2" xfId="11663" xr:uid="{00000000-0005-0000-0000-0000322D0000}"/>
    <cellStyle name="20% - Accent6 4 2 5 2 2 2" xfId="11664" xr:uid="{00000000-0005-0000-0000-0000332D0000}"/>
    <cellStyle name="20% - Accent6 4 2 5 2 2 3" xfId="11665" xr:uid="{00000000-0005-0000-0000-0000342D0000}"/>
    <cellStyle name="20% - Accent6 4 2 5 2 3" xfId="11666" xr:uid="{00000000-0005-0000-0000-0000352D0000}"/>
    <cellStyle name="20% - Accent6 4 2 5 2 4" xfId="11667" xr:uid="{00000000-0005-0000-0000-0000362D0000}"/>
    <cellStyle name="20% - Accent6 4 2 5 3" xfId="11668" xr:uid="{00000000-0005-0000-0000-0000372D0000}"/>
    <cellStyle name="20% - Accent6 4 2 5 3 2" xfId="11669" xr:uid="{00000000-0005-0000-0000-0000382D0000}"/>
    <cellStyle name="20% - Accent6 4 2 5 3 3" xfId="11670" xr:uid="{00000000-0005-0000-0000-0000392D0000}"/>
    <cellStyle name="20% - Accent6 4 2 5 4" xfId="11671" xr:uid="{00000000-0005-0000-0000-00003A2D0000}"/>
    <cellStyle name="20% - Accent6 4 2 5 5" xfId="11672" xr:uid="{00000000-0005-0000-0000-00003B2D0000}"/>
    <cellStyle name="20% - Accent6 4 2 5 6" xfId="11673" xr:uid="{00000000-0005-0000-0000-00003C2D0000}"/>
    <cellStyle name="20% - Accent6 4 2 6" xfId="11674" xr:uid="{00000000-0005-0000-0000-00003D2D0000}"/>
    <cellStyle name="20% - Accent6 4 2 6 2" xfId="11675" xr:uid="{00000000-0005-0000-0000-00003E2D0000}"/>
    <cellStyle name="20% - Accent6 4 2 6 2 2" xfId="11676" xr:uid="{00000000-0005-0000-0000-00003F2D0000}"/>
    <cellStyle name="20% - Accent6 4 2 6 2 3" xfId="11677" xr:uid="{00000000-0005-0000-0000-0000402D0000}"/>
    <cellStyle name="20% - Accent6 4 2 6 3" xfId="11678" xr:uid="{00000000-0005-0000-0000-0000412D0000}"/>
    <cellStyle name="20% - Accent6 4 2 6 4" xfId="11679" xr:uid="{00000000-0005-0000-0000-0000422D0000}"/>
    <cellStyle name="20% - Accent6 4 2 7" xfId="11680" xr:uid="{00000000-0005-0000-0000-0000432D0000}"/>
    <cellStyle name="20% - Accent6 4 2 7 2" xfId="11681" xr:uid="{00000000-0005-0000-0000-0000442D0000}"/>
    <cellStyle name="20% - Accent6 4 2 7 3" xfId="11682" xr:uid="{00000000-0005-0000-0000-0000452D0000}"/>
    <cellStyle name="20% - Accent6 4 2 8" xfId="11683" xr:uid="{00000000-0005-0000-0000-0000462D0000}"/>
    <cellStyle name="20% - Accent6 4 2 9" xfId="11684" xr:uid="{00000000-0005-0000-0000-0000472D0000}"/>
    <cellStyle name="20% - Accent6 4 3" xfId="11685" xr:uid="{00000000-0005-0000-0000-0000482D0000}"/>
    <cellStyle name="20% - Accent6 4 3 2" xfId="11686" xr:uid="{00000000-0005-0000-0000-0000492D0000}"/>
    <cellStyle name="20% - Accent6 4 3 2 2" xfId="11687" xr:uid="{00000000-0005-0000-0000-00004A2D0000}"/>
    <cellStyle name="20% - Accent6 4 3 2 2 2" xfId="11688" xr:uid="{00000000-0005-0000-0000-00004B2D0000}"/>
    <cellStyle name="20% - Accent6 4 3 2 2 2 2" xfId="11689" xr:uid="{00000000-0005-0000-0000-00004C2D0000}"/>
    <cellStyle name="20% - Accent6 4 3 2 2 2 2 2" xfId="11690" xr:uid="{00000000-0005-0000-0000-00004D2D0000}"/>
    <cellStyle name="20% - Accent6 4 3 2 2 2 2 2 2" xfId="11691" xr:uid="{00000000-0005-0000-0000-00004E2D0000}"/>
    <cellStyle name="20% - Accent6 4 3 2 2 2 2 2 3" xfId="11692" xr:uid="{00000000-0005-0000-0000-00004F2D0000}"/>
    <cellStyle name="20% - Accent6 4 3 2 2 2 2 3" xfId="11693" xr:uid="{00000000-0005-0000-0000-0000502D0000}"/>
    <cellStyle name="20% - Accent6 4 3 2 2 2 2 4" xfId="11694" xr:uid="{00000000-0005-0000-0000-0000512D0000}"/>
    <cellStyle name="20% - Accent6 4 3 2 2 2 3" xfId="11695" xr:uid="{00000000-0005-0000-0000-0000522D0000}"/>
    <cellStyle name="20% - Accent6 4 3 2 2 2 3 2" xfId="11696" xr:uid="{00000000-0005-0000-0000-0000532D0000}"/>
    <cellStyle name="20% - Accent6 4 3 2 2 2 3 3" xfId="11697" xr:uid="{00000000-0005-0000-0000-0000542D0000}"/>
    <cellStyle name="20% - Accent6 4 3 2 2 2 4" xfId="11698" xr:uid="{00000000-0005-0000-0000-0000552D0000}"/>
    <cellStyle name="20% - Accent6 4 3 2 2 2 5" xfId="11699" xr:uid="{00000000-0005-0000-0000-0000562D0000}"/>
    <cellStyle name="20% - Accent6 4 3 2 2 2 6" xfId="11700" xr:uid="{00000000-0005-0000-0000-0000572D0000}"/>
    <cellStyle name="20% - Accent6 4 3 2 2 3" xfId="11701" xr:uid="{00000000-0005-0000-0000-0000582D0000}"/>
    <cellStyle name="20% - Accent6 4 3 2 2 3 2" xfId="11702" xr:uid="{00000000-0005-0000-0000-0000592D0000}"/>
    <cellStyle name="20% - Accent6 4 3 2 2 3 2 2" xfId="11703" xr:uid="{00000000-0005-0000-0000-00005A2D0000}"/>
    <cellStyle name="20% - Accent6 4 3 2 2 3 2 3" xfId="11704" xr:uid="{00000000-0005-0000-0000-00005B2D0000}"/>
    <cellStyle name="20% - Accent6 4 3 2 2 3 3" xfId="11705" xr:uid="{00000000-0005-0000-0000-00005C2D0000}"/>
    <cellStyle name="20% - Accent6 4 3 2 2 3 4" xfId="11706" xr:uid="{00000000-0005-0000-0000-00005D2D0000}"/>
    <cellStyle name="20% - Accent6 4 3 2 2 4" xfId="11707" xr:uid="{00000000-0005-0000-0000-00005E2D0000}"/>
    <cellStyle name="20% - Accent6 4 3 2 2 4 2" xfId="11708" xr:uid="{00000000-0005-0000-0000-00005F2D0000}"/>
    <cellStyle name="20% - Accent6 4 3 2 2 4 3" xfId="11709" xr:uid="{00000000-0005-0000-0000-0000602D0000}"/>
    <cellStyle name="20% - Accent6 4 3 2 2 5" xfId="11710" xr:uid="{00000000-0005-0000-0000-0000612D0000}"/>
    <cellStyle name="20% - Accent6 4 3 2 2 6" xfId="11711" xr:uid="{00000000-0005-0000-0000-0000622D0000}"/>
    <cellStyle name="20% - Accent6 4 3 2 2 7" xfId="11712" xr:uid="{00000000-0005-0000-0000-0000632D0000}"/>
    <cellStyle name="20% - Accent6 4 3 2 3" xfId="11713" xr:uid="{00000000-0005-0000-0000-0000642D0000}"/>
    <cellStyle name="20% - Accent6 4 3 2 3 2" xfId="11714" xr:uid="{00000000-0005-0000-0000-0000652D0000}"/>
    <cellStyle name="20% - Accent6 4 3 2 3 2 2" xfId="11715" xr:uid="{00000000-0005-0000-0000-0000662D0000}"/>
    <cellStyle name="20% - Accent6 4 3 2 3 2 2 2" xfId="11716" xr:uid="{00000000-0005-0000-0000-0000672D0000}"/>
    <cellStyle name="20% - Accent6 4 3 2 3 2 2 3" xfId="11717" xr:uid="{00000000-0005-0000-0000-0000682D0000}"/>
    <cellStyle name="20% - Accent6 4 3 2 3 2 3" xfId="11718" xr:uid="{00000000-0005-0000-0000-0000692D0000}"/>
    <cellStyle name="20% - Accent6 4 3 2 3 2 4" xfId="11719" xr:uid="{00000000-0005-0000-0000-00006A2D0000}"/>
    <cellStyle name="20% - Accent6 4 3 2 3 3" xfId="11720" xr:uid="{00000000-0005-0000-0000-00006B2D0000}"/>
    <cellStyle name="20% - Accent6 4 3 2 3 3 2" xfId="11721" xr:uid="{00000000-0005-0000-0000-00006C2D0000}"/>
    <cellStyle name="20% - Accent6 4 3 2 3 3 3" xfId="11722" xr:uid="{00000000-0005-0000-0000-00006D2D0000}"/>
    <cellStyle name="20% - Accent6 4 3 2 3 4" xfId="11723" xr:uid="{00000000-0005-0000-0000-00006E2D0000}"/>
    <cellStyle name="20% - Accent6 4 3 2 3 5" xfId="11724" xr:uid="{00000000-0005-0000-0000-00006F2D0000}"/>
    <cellStyle name="20% - Accent6 4 3 2 3 6" xfId="11725" xr:uid="{00000000-0005-0000-0000-0000702D0000}"/>
    <cellStyle name="20% - Accent6 4 3 2 4" xfId="11726" xr:uid="{00000000-0005-0000-0000-0000712D0000}"/>
    <cellStyle name="20% - Accent6 4 3 2 4 2" xfId="11727" xr:uid="{00000000-0005-0000-0000-0000722D0000}"/>
    <cellStyle name="20% - Accent6 4 3 2 4 2 2" xfId="11728" xr:uid="{00000000-0005-0000-0000-0000732D0000}"/>
    <cellStyle name="20% - Accent6 4 3 2 4 2 3" xfId="11729" xr:uid="{00000000-0005-0000-0000-0000742D0000}"/>
    <cellStyle name="20% - Accent6 4 3 2 4 3" xfId="11730" xr:uid="{00000000-0005-0000-0000-0000752D0000}"/>
    <cellStyle name="20% - Accent6 4 3 2 4 4" xfId="11731" xr:uid="{00000000-0005-0000-0000-0000762D0000}"/>
    <cellStyle name="20% - Accent6 4 3 2 5" xfId="11732" xr:uid="{00000000-0005-0000-0000-0000772D0000}"/>
    <cellStyle name="20% - Accent6 4 3 2 5 2" xfId="11733" xr:uid="{00000000-0005-0000-0000-0000782D0000}"/>
    <cellStyle name="20% - Accent6 4 3 2 5 3" xfId="11734" xr:uid="{00000000-0005-0000-0000-0000792D0000}"/>
    <cellStyle name="20% - Accent6 4 3 2 6" xfId="11735" xr:uid="{00000000-0005-0000-0000-00007A2D0000}"/>
    <cellStyle name="20% - Accent6 4 3 2 7" xfId="11736" xr:uid="{00000000-0005-0000-0000-00007B2D0000}"/>
    <cellStyle name="20% - Accent6 4 3 2 8" xfId="11737" xr:uid="{00000000-0005-0000-0000-00007C2D0000}"/>
    <cellStyle name="20% - Accent6 4 3 3" xfId="11738" xr:uid="{00000000-0005-0000-0000-00007D2D0000}"/>
    <cellStyle name="20% - Accent6 4 3 3 2" xfId="11739" xr:uid="{00000000-0005-0000-0000-00007E2D0000}"/>
    <cellStyle name="20% - Accent6 4 3 3 2 2" xfId="11740" xr:uid="{00000000-0005-0000-0000-00007F2D0000}"/>
    <cellStyle name="20% - Accent6 4 3 3 2 2 2" xfId="11741" xr:uid="{00000000-0005-0000-0000-0000802D0000}"/>
    <cellStyle name="20% - Accent6 4 3 3 2 2 2 2" xfId="11742" xr:uid="{00000000-0005-0000-0000-0000812D0000}"/>
    <cellStyle name="20% - Accent6 4 3 3 2 2 2 3" xfId="11743" xr:uid="{00000000-0005-0000-0000-0000822D0000}"/>
    <cellStyle name="20% - Accent6 4 3 3 2 2 3" xfId="11744" xr:uid="{00000000-0005-0000-0000-0000832D0000}"/>
    <cellStyle name="20% - Accent6 4 3 3 2 2 4" xfId="11745" xr:uid="{00000000-0005-0000-0000-0000842D0000}"/>
    <cellStyle name="20% - Accent6 4 3 3 2 3" xfId="11746" xr:uid="{00000000-0005-0000-0000-0000852D0000}"/>
    <cellStyle name="20% - Accent6 4 3 3 2 3 2" xfId="11747" xr:uid="{00000000-0005-0000-0000-0000862D0000}"/>
    <cellStyle name="20% - Accent6 4 3 3 2 3 3" xfId="11748" xr:uid="{00000000-0005-0000-0000-0000872D0000}"/>
    <cellStyle name="20% - Accent6 4 3 3 2 4" xfId="11749" xr:uid="{00000000-0005-0000-0000-0000882D0000}"/>
    <cellStyle name="20% - Accent6 4 3 3 2 5" xfId="11750" xr:uid="{00000000-0005-0000-0000-0000892D0000}"/>
    <cellStyle name="20% - Accent6 4 3 3 2 6" xfId="11751" xr:uid="{00000000-0005-0000-0000-00008A2D0000}"/>
    <cellStyle name="20% - Accent6 4 3 3 3" xfId="11752" xr:uid="{00000000-0005-0000-0000-00008B2D0000}"/>
    <cellStyle name="20% - Accent6 4 3 3 3 2" xfId="11753" xr:uid="{00000000-0005-0000-0000-00008C2D0000}"/>
    <cellStyle name="20% - Accent6 4 3 3 3 2 2" xfId="11754" xr:uid="{00000000-0005-0000-0000-00008D2D0000}"/>
    <cellStyle name="20% - Accent6 4 3 3 3 2 3" xfId="11755" xr:uid="{00000000-0005-0000-0000-00008E2D0000}"/>
    <cellStyle name="20% - Accent6 4 3 3 3 3" xfId="11756" xr:uid="{00000000-0005-0000-0000-00008F2D0000}"/>
    <cellStyle name="20% - Accent6 4 3 3 3 4" xfId="11757" xr:uid="{00000000-0005-0000-0000-0000902D0000}"/>
    <cellStyle name="20% - Accent6 4 3 3 4" xfId="11758" xr:uid="{00000000-0005-0000-0000-0000912D0000}"/>
    <cellStyle name="20% - Accent6 4 3 3 4 2" xfId="11759" xr:uid="{00000000-0005-0000-0000-0000922D0000}"/>
    <cellStyle name="20% - Accent6 4 3 3 4 3" xfId="11760" xr:uid="{00000000-0005-0000-0000-0000932D0000}"/>
    <cellStyle name="20% - Accent6 4 3 3 5" xfId="11761" xr:uid="{00000000-0005-0000-0000-0000942D0000}"/>
    <cellStyle name="20% - Accent6 4 3 3 6" xfId="11762" xr:uid="{00000000-0005-0000-0000-0000952D0000}"/>
    <cellStyle name="20% - Accent6 4 3 3 7" xfId="11763" xr:uid="{00000000-0005-0000-0000-0000962D0000}"/>
    <cellStyle name="20% - Accent6 4 3 4" xfId="11764" xr:uid="{00000000-0005-0000-0000-0000972D0000}"/>
    <cellStyle name="20% - Accent6 4 3 4 2" xfId="11765" xr:uid="{00000000-0005-0000-0000-0000982D0000}"/>
    <cellStyle name="20% - Accent6 4 3 4 2 2" xfId="11766" xr:uid="{00000000-0005-0000-0000-0000992D0000}"/>
    <cellStyle name="20% - Accent6 4 3 4 2 2 2" xfId="11767" xr:uid="{00000000-0005-0000-0000-00009A2D0000}"/>
    <cellStyle name="20% - Accent6 4 3 4 2 2 3" xfId="11768" xr:uid="{00000000-0005-0000-0000-00009B2D0000}"/>
    <cellStyle name="20% - Accent6 4 3 4 2 3" xfId="11769" xr:uid="{00000000-0005-0000-0000-00009C2D0000}"/>
    <cellStyle name="20% - Accent6 4 3 4 2 4" xfId="11770" xr:uid="{00000000-0005-0000-0000-00009D2D0000}"/>
    <cellStyle name="20% - Accent6 4 3 4 3" xfId="11771" xr:uid="{00000000-0005-0000-0000-00009E2D0000}"/>
    <cellStyle name="20% - Accent6 4 3 4 3 2" xfId="11772" xr:uid="{00000000-0005-0000-0000-00009F2D0000}"/>
    <cellStyle name="20% - Accent6 4 3 4 3 3" xfId="11773" xr:uid="{00000000-0005-0000-0000-0000A02D0000}"/>
    <cellStyle name="20% - Accent6 4 3 4 4" xfId="11774" xr:uid="{00000000-0005-0000-0000-0000A12D0000}"/>
    <cellStyle name="20% - Accent6 4 3 4 5" xfId="11775" xr:uid="{00000000-0005-0000-0000-0000A22D0000}"/>
    <cellStyle name="20% - Accent6 4 3 4 6" xfId="11776" xr:uid="{00000000-0005-0000-0000-0000A32D0000}"/>
    <cellStyle name="20% - Accent6 4 3 5" xfId="11777" xr:uid="{00000000-0005-0000-0000-0000A42D0000}"/>
    <cellStyle name="20% - Accent6 4 3 5 2" xfId="11778" xr:uid="{00000000-0005-0000-0000-0000A52D0000}"/>
    <cellStyle name="20% - Accent6 4 3 5 2 2" xfId="11779" xr:uid="{00000000-0005-0000-0000-0000A62D0000}"/>
    <cellStyle name="20% - Accent6 4 3 5 2 3" xfId="11780" xr:uid="{00000000-0005-0000-0000-0000A72D0000}"/>
    <cellStyle name="20% - Accent6 4 3 5 3" xfId="11781" xr:uid="{00000000-0005-0000-0000-0000A82D0000}"/>
    <cellStyle name="20% - Accent6 4 3 5 4" xfId="11782" xr:uid="{00000000-0005-0000-0000-0000A92D0000}"/>
    <cellStyle name="20% - Accent6 4 3 6" xfId="11783" xr:uid="{00000000-0005-0000-0000-0000AA2D0000}"/>
    <cellStyle name="20% - Accent6 4 3 6 2" xfId="11784" xr:uid="{00000000-0005-0000-0000-0000AB2D0000}"/>
    <cellStyle name="20% - Accent6 4 3 6 3" xfId="11785" xr:uid="{00000000-0005-0000-0000-0000AC2D0000}"/>
    <cellStyle name="20% - Accent6 4 3 7" xfId="11786" xr:uid="{00000000-0005-0000-0000-0000AD2D0000}"/>
    <cellStyle name="20% - Accent6 4 3 8" xfId="11787" xr:uid="{00000000-0005-0000-0000-0000AE2D0000}"/>
    <cellStyle name="20% - Accent6 4 3 9" xfId="11788" xr:uid="{00000000-0005-0000-0000-0000AF2D0000}"/>
    <cellStyle name="20% - Accent6 4 4" xfId="11789" xr:uid="{00000000-0005-0000-0000-0000B02D0000}"/>
    <cellStyle name="20% - Accent6 4 4 2" xfId="11790" xr:uid="{00000000-0005-0000-0000-0000B12D0000}"/>
    <cellStyle name="20% - Accent6 4 4 2 2" xfId="11791" xr:uid="{00000000-0005-0000-0000-0000B22D0000}"/>
    <cellStyle name="20% - Accent6 4 4 2 2 2" xfId="11792" xr:uid="{00000000-0005-0000-0000-0000B32D0000}"/>
    <cellStyle name="20% - Accent6 4 4 2 2 2 2" xfId="11793" xr:uid="{00000000-0005-0000-0000-0000B42D0000}"/>
    <cellStyle name="20% - Accent6 4 4 2 2 2 2 2" xfId="11794" xr:uid="{00000000-0005-0000-0000-0000B52D0000}"/>
    <cellStyle name="20% - Accent6 4 4 2 2 2 2 3" xfId="11795" xr:uid="{00000000-0005-0000-0000-0000B62D0000}"/>
    <cellStyle name="20% - Accent6 4 4 2 2 2 3" xfId="11796" xr:uid="{00000000-0005-0000-0000-0000B72D0000}"/>
    <cellStyle name="20% - Accent6 4 4 2 2 2 4" xfId="11797" xr:uid="{00000000-0005-0000-0000-0000B82D0000}"/>
    <cellStyle name="20% - Accent6 4 4 2 2 3" xfId="11798" xr:uid="{00000000-0005-0000-0000-0000B92D0000}"/>
    <cellStyle name="20% - Accent6 4 4 2 2 3 2" xfId="11799" xr:uid="{00000000-0005-0000-0000-0000BA2D0000}"/>
    <cellStyle name="20% - Accent6 4 4 2 2 3 3" xfId="11800" xr:uid="{00000000-0005-0000-0000-0000BB2D0000}"/>
    <cellStyle name="20% - Accent6 4 4 2 2 4" xfId="11801" xr:uid="{00000000-0005-0000-0000-0000BC2D0000}"/>
    <cellStyle name="20% - Accent6 4 4 2 2 5" xfId="11802" xr:uid="{00000000-0005-0000-0000-0000BD2D0000}"/>
    <cellStyle name="20% - Accent6 4 4 2 2 6" xfId="11803" xr:uid="{00000000-0005-0000-0000-0000BE2D0000}"/>
    <cellStyle name="20% - Accent6 4 4 2 3" xfId="11804" xr:uid="{00000000-0005-0000-0000-0000BF2D0000}"/>
    <cellStyle name="20% - Accent6 4 4 2 3 2" xfId="11805" xr:uid="{00000000-0005-0000-0000-0000C02D0000}"/>
    <cellStyle name="20% - Accent6 4 4 2 3 2 2" xfId="11806" xr:uid="{00000000-0005-0000-0000-0000C12D0000}"/>
    <cellStyle name="20% - Accent6 4 4 2 3 2 3" xfId="11807" xr:uid="{00000000-0005-0000-0000-0000C22D0000}"/>
    <cellStyle name="20% - Accent6 4 4 2 3 3" xfId="11808" xr:uid="{00000000-0005-0000-0000-0000C32D0000}"/>
    <cellStyle name="20% - Accent6 4 4 2 3 4" xfId="11809" xr:uid="{00000000-0005-0000-0000-0000C42D0000}"/>
    <cellStyle name="20% - Accent6 4 4 2 4" xfId="11810" xr:uid="{00000000-0005-0000-0000-0000C52D0000}"/>
    <cellStyle name="20% - Accent6 4 4 2 4 2" xfId="11811" xr:uid="{00000000-0005-0000-0000-0000C62D0000}"/>
    <cellStyle name="20% - Accent6 4 4 2 4 3" xfId="11812" xr:uid="{00000000-0005-0000-0000-0000C72D0000}"/>
    <cellStyle name="20% - Accent6 4 4 2 5" xfId="11813" xr:uid="{00000000-0005-0000-0000-0000C82D0000}"/>
    <cellStyle name="20% - Accent6 4 4 2 6" xfId="11814" xr:uid="{00000000-0005-0000-0000-0000C92D0000}"/>
    <cellStyle name="20% - Accent6 4 4 2 7" xfId="11815" xr:uid="{00000000-0005-0000-0000-0000CA2D0000}"/>
    <cellStyle name="20% - Accent6 4 4 3" xfId="11816" xr:uid="{00000000-0005-0000-0000-0000CB2D0000}"/>
    <cellStyle name="20% - Accent6 4 4 3 2" xfId="11817" xr:uid="{00000000-0005-0000-0000-0000CC2D0000}"/>
    <cellStyle name="20% - Accent6 4 4 3 2 2" xfId="11818" xr:uid="{00000000-0005-0000-0000-0000CD2D0000}"/>
    <cellStyle name="20% - Accent6 4 4 3 2 2 2" xfId="11819" xr:uid="{00000000-0005-0000-0000-0000CE2D0000}"/>
    <cellStyle name="20% - Accent6 4 4 3 2 2 3" xfId="11820" xr:uid="{00000000-0005-0000-0000-0000CF2D0000}"/>
    <cellStyle name="20% - Accent6 4 4 3 2 3" xfId="11821" xr:uid="{00000000-0005-0000-0000-0000D02D0000}"/>
    <cellStyle name="20% - Accent6 4 4 3 2 4" xfId="11822" xr:uid="{00000000-0005-0000-0000-0000D12D0000}"/>
    <cellStyle name="20% - Accent6 4 4 3 3" xfId="11823" xr:uid="{00000000-0005-0000-0000-0000D22D0000}"/>
    <cellStyle name="20% - Accent6 4 4 3 3 2" xfId="11824" xr:uid="{00000000-0005-0000-0000-0000D32D0000}"/>
    <cellStyle name="20% - Accent6 4 4 3 3 3" xfId="11825" xr:uid="{00000000-0005-0000-0000-0000D42D0000}"/>
    <cellStyle name="20% - Accent6 4 4 3 4" xfId="11826" xr:uid="{00000000-0005-0000-0000-0000D52D0000}"/>
    <cellStyle name="20% - Accent6 4 4 3 5" xfId="11827" xr:uid="{00000000-0005-0000-0000-0000D62D0000}"/>
    <cellStyle name="20% - Accent6 4 4 3 6" xfId="11828" xr:uid="{00000000-0005-0000-0000-0000D72D0000}"/>
    <cellStyle name="20% - Accent6 4 4 4" xfId="11829" xr:uid="{00000000-0005-0000-0000-0000D82D0000}"/>
    <cellStyle name="20% - Accent6 4 4 4 2" xfId="11830" xr:uid="{00000000-0005-0000-0000-0000D92D0000}"/>
    <cellStyle name="20% - Accent6 4 4 4 2 2" xfId="11831" xr:uid="{00000000-0005-0000-0000-0000DA2D0000}"/>
    <cellStyle name="20% - Accent6 4 4 4 2 3" xfId="11832" xr:uid="{00000000-0005-0000-0000-0000DB2D0000}"/>
    <cellStyle name="20% - Accent6 4 4 4 3" xfId="11833" xr:uid="{00000000-0005-0000-0000-0000DC2D0000}"/>
    <cellStyle name="20% - Accent6 4 4 4 4" xfId="11834" xr:uid="{00000000-0005-0000-0000-0000DD2D0000}"/>
    <cellStyle name="20% - Accent6 4 4 5" xfId="11835" xr:uid="{00000000-0005-0000-0000-0000DE2D0000}"/>
    <cellStyle name="20% - Accent6 4 4 5 2" xfId="11836" xr:uid="{00000000-0005-0000-0000-0000DF2D0000}"/>
    <cellStyle name="20% - Accent6 4 4 5 3" xfId="11837" xr:uid="{00000000-0005-0000-0000-0000E02D0000}"/>
    <cellStyle name="20% - Accent6 4 4 6" xfId="11838" xr:uid="{00000000-0005-0000-0000-0000E12D0000}"/>
    <cellStyle name="20% - Accent6 4 4 7" xfId="11839" xr:uid="{00000000-0005-0000-0000-0000E22D0000}"/>
    <cellStyle name="20% - Accent6 4 4 8" xfId="11840" xr:uid="{00000000-0005-0000-0000-0000E32D0000}"/>
    <cellStyle name="20% - Accent6 4 5" xfId="11841" xr:uid="{00000000-0005-0000-0000-0000E42D0000}"/>
    <cellStyle name="20% - Accent6 4 5 2" xfId="11842" xr:uid="{00000000-0005-0000-0000-0000E52D0000}"/>
    <cellStyle name="20% - Accent6 4 5 2 2" xfId="11843" xr:uid="{00000000-0005-0000-0000-0000E62D0000}"/>
    <cellStyle name="20% - Accent6 4 5 2 2 2" xfId="11844" xr:uid="{00000000-0005-0000-0000-0000E72D0000}"/>
    <cellStyle name="20% - Accent6 4 5 2 2 2 2" xfId="11845" xr:uid="{00000000-0005-0000-0000-0000E82D0000}"/>
    <cellStyle name="20% - Accent6 4 5 2 2 2 3" xfId="11846" xr:uid="{00000000-0005-0000-0000-0000E92D0000}"/>
    <cellStyle name="20% - Accent6 4 5 2 2 3" xfId="11847" xr:uid="{00000000-0005-0000-0000-0000EA2D0000}"/>
    <cellStyle name="20% - Accent6 4 5 2 2 4" xfId="11848" xr:uid="{00000000-0005-0000-0000-0000EB2D0000}"/>
    <cellStyle name="20% - Accent6 4 5 2 3" xfId="11849" xr:uid="{00000000-0005-0000-0000-0000EC2D0000}"/>
    <cellStyle name="20% - Accent6 4 5 2 3 2" xfId="11850" xr:uid="{00000000-0005-0000-0000-0000ED2D0000}"/>
    <cellStyle name="20% - Accent6 4 5 2 3 3" xfId="11851" xr:uid="{00000000-0005-0000-0000-0000EE2D0000}"/>
    <cellStyle name="20% - Accent6 4 5 2 4" xfId="11852" xr:uid="{00000000-0005-0000-0000-0000EF2D0000}"/>
    <cellStyle name="20% - Accent6 4 5 2 5" xfId="11853" xr:uid="{00000000-0005-0000-0000-0000F02D0000}"/>
    <cellStyle name="20% - Accent6 4 5 2 6" xfId="11854" xr:uid="{00000000-0005-0000-0000-0000F12D0000}"/>
    <cellStyle name="20% - Accent6 4 5 3" xfId="11855" xr:uid="{00000000-0005-0000-0000-0000F22D0000}"/>
    <cellStyle name="20% - Accent6 4 5 3 2" xfId="11856" xr:uid="{00000000-0005-0000-0000-0000F32D0000}"/>
    <cellStyle name="20% - Accent6 4 5 3 2 2" xfId="11857" xr:uid="{00000000-0005-0000-0000-0000F42D0000}"/>
    <cellStyle name="20% - Accent6 4 5 3 2 3" xfId="11858" xr:uid="{00000000-0005-0000-0000-0000F52D0000}"/>
    <cellStyle name="20% - Accent6 4 5 3 3" xfId="11859" xr:uid="{00000000-0005-0000-0000-0000F62D0000}"/>
    <cellStyle name="20% - Accent6 4 5 3 4" xfId="11860" xr:uid="{00000000-0005-0000-0000-0000F72D0000}"/>
    <cellStyle name="20% - Accent6 4 5 4" xfId="11861" xr:uid="{00000000-0005-0000-0000-0000F82D0000}"/>
    <cellStyle name="20% - Accent6 4 5 4 2" xfId="11862" xr:uid="{00000000-0005-0000-0000-0000F92D0000}"/>
    <cellStyle name="20% - Accent6 4 5 4 3" xfId="11863" xr:uid="{00000000-0005-0000-0000-0000FA2D0000}"/>
    <cellStyle name="20% - Accent6 4 5 5" xfId="11864" xr:uid="{00000000-0005-0000-0000-0000FB2D0000}"/>
    <cellStyle name="20% - Accent6 4 5 6" xfId="11865" xr:uid="{00000000-0005-0000-0000-0000FC2D0000}"/>
    <cellStyle name="20% - Accent6 4 5 7" xfId="11866" xr:uid="{00000000-0005-0000-0000-0000FD2D0000}"/>
    <cellStyle name="20% - Accent6 4 6" xfId="11867" xr:uid="{00000000-0005-0000-0000-0000FE2D0000}"/>
    <cellStyle name="20% - Accent6 4 6 2" xfId="11868" xr:uid="{00000000-0005-0000-0000-0000FF2D0000}"/>
    <cellStyle name="20% - Accent6 4 6 2 2" xfId="11869" xr:uid="{00000000-0005-0000-0000-0000002E0000}"/>
    <cellStyle name="20% - Accent6 4 6 2 2 2" xfId="11870" xr:uid="{00000000-0005-0000-0000-0000012E0000}"/>
    <cellStyle name="20% - Accent6 4 6 2 2 3" xfId="11871" xr:uid="{00000000-0005-0000-0000-0000022E0000}"/>
    <cellStyle name="20% - Accent6 4 6 2 3" xfId="11872" xr:uid="{00000000-0005-0000-0000-0000032E0000}"/>
    <cellStyle name="20% - Accent6 4 6 2 4" xfId="11873" xr:uid="{00000000-0005-0000-0000-0000042E0000}"/>
    <cellStyle name="20% - Accent6 4 6 3" xfId="11874" xr:uid="{00000000-0005-0000-0000-0000052E0000}"/>
    <cellStyle name="20% - Accent6 4 6 3 2" xfId="11875" xr:uid="{00000000-0005-0000-0000-0000062E0000}"/>
    <cellStyle name="20% - Accent6 4 6 3 3" xfId="11876" xr:uid="{00000000-0005-0000-0000-0000072E0000}"/>
    <cellStyle name="20% - Accent6 4 6 4" xfId="11877" xr:uid="{00000000-0005-0000-0000-0000082E0000}"/>
    <cellStyle name="20% - Accent6 4 6 5" xfId="11878" xr:uid="{00000000-0005-0000-0000-0000092E0000}"/>
    <cellStyle name="20% - Accent6 4 6 6" xfId="11879" xr:uid="{00000000-0005-0000-0000-00000A2E0000}"/>
    <cellStyle name="20% - Accent6 4 7" xfId="11880" xr:uid="{00000000-0005-0000-0000-00000B2E0000}"/>
    <cellStyle name="20% - Accent6 4 7 2" xfId="11881" xr:uid="{00000000-0005-0000-0000-00000C2E0000}"/>
    <cellStyle name="20% - Accent6 4 7 2 2" xfId="11882" xr:uid="{00000000-0005-0000-0000-00000D2E0000}"/>
    <cellStyle name="20% - Accent6 4 7 2 3" xfId="11883" xr:uid="{00000000-0005-0000-0000-00000E2E0000}"/>
    <cellStyle name="20% - Accent6 4 7 3" xfId="11884" xr:uid="{00000000-0005-0000-0000-00000F2E0000}"/>
    <cellStyle name="20% - Accent6 4 7 4" xfId="11885" xr:uid="{00000000-0005-0000-0000-0000102E0000}"/>
    <cellStyle name="20% - Accent6 4 8" xfId="11886" xr:uid="{00000000-0005-0000-0000-0000112E0000}"/>
    <cellStyle name="20% - Accent6 4 8 2" xfId="11887" xr:uid="{00000000-0005-0000-0000-0000122E0000}"/>
    <cellStyle name="20% - Accent6 4 8 3" xfId="11888" xr:uid="{00000000-0005-0000-0000-0000132E0000}"/>
    <cellStyle name="20% - Accent6 4 9" xfId="11889" xr:uid="{00000000-0005-0000-0000-0000142E0000}"/>
    <cellStyle name="20% - Accent6 5" xfId="11890" xr:uid="{00000000-0005-0000-0000-0000152E0000}"/>
    <cellStyle name="20% - Accent6 5 10" xfId="11891" xr:uid="{00000000-0005-0000-0000-0000162E0000}"/>
    <cellStyle name="20% - Accent6 5 2" xfId="11892" xr:uid="{00000000-0005-0000-0000-0000172E0000}"/>
    <cellStyle name="20% - Accent6 5 2 2" xfId="11893" xr:uid="{00000000-0005-0000-0000-0000182E0000}"/>
    <cellStyle name="20% - Accent6 5 2 2 2" xfId="11894" xr:uid="{00000000-0005-0000-0000-0000192E0000}"/>
    <cellStyle name="20% - Accent6 5 2 2 2 2" xfId="11895" xr:uid="{00000000-0005-0000-0000-00001A2E0000}"/>
    <cellStyle name="20% - Accent6 5 2 2 2 2 2" xfId="11896" xr:uid="{00000000-0005-0000-0000-00001B2E0000}"/>
    <cellStyle name="20% - Accent6 5 2 2 2 2 2 2" xfId="11897" xr:uid="{00000000-0005-0000-0000-00001C2E0000}"/>
    <cellStyle name="20% - Accent6 5 2 2 2 2 2 2 2" xfId="11898" xr:uid="{00000000-0005-0000-0000-00001D2E0000}"/>
    <cellStyle name="20% - Accent6 5 2 2 2 2 2 2 3" xfId="11899" xr:uid="{00000000-0005-0000-0000-00001E2E0000}"/>
    <cellStyle name="20% - Accent6 5 2 2 2 2 2 3" xfId="11900" xr:uid="{00000000-0005-0000-0000-00001F2E0000}"/>
    <cellStyle name="20% - Accent6 5 2 2 2 2 2 4" xfId="11901" xr:uid="{00000000-0005-0000-0000-0000202E0000}"/>
    <cellStyle name="20% - Accent6 5 2 2 2 2 3" xfId="11902" xr:uid="{00000000-0005-0000-0000-0000212E0000}"/>
    <cellStyle name="20% - Accent6 5 2 2 2 2 3 2" xfId="11903" xr:uid="{00000000-0005-0000-0000-0000222E0000}"/>
    <cellStyle name="20% - Accent6 5 2 2 2 2 3 3" xfId="11904" xr:uid="{00000000-0005-0000-0000-0000232E0000}"/>
    <cellStyle name="20% - Accent6 5 2 2 2 2 4" xfId="11905" xr:uid="{00000000-0005-0000-0000-0000242E0000}"/>
    <cellStyle name="20% - Accent6 5 2 2 2 2 5" xfId="11906" xr:uid="{00000000-0005-0000-0000-0000252E0000}"/>
    <cellStyle name="20% - Accent6 5 2 2 2 2 6" xfId="11907" xr:uid="{00000000-0005-0000-0000-0000262E0000}"/>
    <cellStyle name="20% - Accent6 5 2 2 2 3" xfId="11908" xr:uid="{00000000-0005-0000-0000-0000272E0000}"/>
    <cellStyle name="20% - Accent6 5 2 2 2 3 2" xfId="11909" xr:uid="{00000000-0005-0000-0000-0000282E0000}"/>
    <cellStyle name="20% - Accent6 5 2 2 2 3 2 2" xfId="11910" xr:uid="{00000000-0005-0000-0000-0000292E0000}"/>
    <cellStyle name="20% - Accent6 5 2 2 2 3 2 3" xfId="11911" xr:uid="{00000000-0005-0000-0000-00002A2E0000}"/>
    <cellStyle name="20% - Accent6 5 2 2 2 3 3" xfId="11912" xr:uid="{00000000-0005-0000-0000-00002B2E0000}"/>
    <cellStyle name="20% - Accent6 5 2 2 2 3 4" xfId="11913" xr:uid="{00000000-0005-0000-0000-00002C2E0000}"/>
    <cellStyle name="20% - Accent6 5 2 2 2 4" xfId="11914" xr:uid="{00000000-0005-0000-0000-00002D2E0000}"/>
    <cellStyle name="20% - Accent6 5 2 2 2 4 2" xfId="11915" xr:uid="{00000000-0005-0000-0000-00002E2E0000}"/>
    <cellStyle name="20% - Accent6 5 2 2 2 4 3" xfId="11916" xr:uid="{00000000-0005-0000-0000-00002F2E0000}"/>
    <cellStyle name="20% - Accent6 5 2 2 2 5" xfId="11917" xr:uid="{00000000-0005-0000-0000-0000302E0000}"/>
    <cellStyle name="20% - Accent6 5 2 2 2 6" xfId="11918" xr:uid="{00000000-0005-0000-0000-0000312E0000}"/>
    <cellStyle name="20% - Accent6 5 2 2 2 7" xfId="11919" xr:uid="{00000000-0005-0000-0000-0000322E0000}"/>
    <cellStyle name="20% - Accent6 5 2 2 3" xfId="11920" xr:uid="{00000000-0005-0000-0000-0000332E0000}"/>
    <cellStyle name="20% - Accent6 5 2 2 3 2" xfId="11921" xr:uid="{00000000-0005-0000-0000-0000342E0000}"/>
    <cellStyle name="20% - Accent6 5 2 2 3 2 2" xfId="11922" xr:uid="{00000000-0005-0000-0000-0000352E0000}"/>
    <cellStyle name="20% - Accent6 5 2 2 3 2 2 2" xfId="11923" xr:uid="{00000000-0005-0000-0000-0000362E0000}"/>
    <cellStyle name="20% - Accent6 5 2 2 3 2 2 3" xfId="11924" xr:uid="{00000000-0005-0000-0000-0000372E0000}"/>
    <cellStyle name="20% - Accent6 5 2 2 3 2 3" xfId="11925" xr:uid="{00000000-0005-0000-0000-0000382E0000}"/>
    <cellStyle name="20% - Accent6 5 2 2 3 2 4" xfId="11926" xr:uid="{00000000-0005-0000-0000-0000392E0000}"/>
    <cellStyle name="20% - Accent6 5 2 2 3 3" xfId="11927" xr:uid="{00000000-0005-0000-0000-00003A2E0000}"/>
    <cellStyle name="20% - Accent6 5 2 2 3 3 2" xfId="11928" xr:uid="{00000000-0005-0000-0000-00003B2E0000}"/>
    <cellStyle name="20% - Accent6 5 2 2 3 3 3" xfId="11929" xr:uid="{00000000-0005-0000-0000-00003C2E0000}"/>
    <cellStyle name="20% - Accent6 5 2 2 3 4" xfId="11930" xr:uid="{00000000-0005-0000-0000-00003D2E0000}"/>
    <cellStyle name="20% - Accent6 5 2 2 3 5" xfId="11931" xr:uid="{00000000-0005-0000-0000-00003E2E0000}"/>
    <cellStyle name="20% - Accent6 5 2 2 3 6" xfId="11932" xr:uid="{00000000-0005-0000-0000-00003F2E0000}"/>
    <cellStyle name="20% - Accent6 5 2 2 4" xfId="11933" xr:uid="{00000000-0005-0000-0000-0000402E0000}"/>
    <cellStyle name="20% - Accent6 5 2 2 4 2" xfId="11934" xr:uid="{00000000-0005-0000-0000-0000412E0000}"/>
    <cellStyle name="20% - Accent6 5 2 2 4 2 2" xfId="11935" xr:uid="{00000000-0005-0000-0000-0000422E0000}"/>
    <cellStyle name="20% - Accent6 5 2 2 4 2 3" xfId="11936" xr:uid="{00000000-0005-0000-0000-0000432E0000}"/>
    <cellStyle name="20% - Accent6 5 2 2 4 3" xfId="11937" xr:uid="{00000000-0005-0000-0000-0000442E0000}"/>
    <cellStyle name="20% - Accent6 5 2 2 4 4" xfId="11938" xr:uid="{00000000-0005-0000-0000-0000452E0000}"/>
    <cellStyle name="20% - Accent6 5 2 2 5" xfId="11939" xr:uid="{00000000-0005-0000-0000-0000462E0000}"/>
    <cellStyle name="20% - Accent6 5 2 2 5 2" xfId="11940" xr:uid="{00000000-0005-0000-0000-0000472E0000}"/>
    <cellStyle name="20% - Accent6 5 2 2 5 3" xfId="11941" xr:uid="{00000000-0005-0000-0000-0000482E0000}"/>
    <cellStyle name="20% - Accent6 5 2 2 6" xfId="11942" xr:uid="{00000000-0005-0000-0000-0000492E0000}"/>
    <cellStyle name="20% - Accent6 5 2 2 7" xfId="11943" xr:uid="{00000000-0005-0000-0000-00004A2E0000}"/>
    <cellStyle name="20% - Accent6 5 2 2 8" xfId="11944" xr:uid="{00000000-0005-0000-0000-00004B2E0000}"/>
    <cellStyle name="20% - Accent6 5 2 3" xfId="11945" xr:uid="{00000000-0005-0000-0000-00004C2E0000}"/>
    <cellStyle name="20% - Accent6 5 2 3 2" xfId="11946" xr:uid="{00000000-0005-0000-0000-00004D2E0000}"/>
    <cellStyle name="20% - Accent6 5 2 3 2 2" xfId="11947" xr:uid="{00000000-0005-0000-0000-00004E2E0000}"/>
    <cellStyle name="20% - Accent6 5 2 3 2 2 2" xfId="11948" xr:uid="{00000000-0005-0000-0000-00004F2E0000}"/>
    <cellStyle name="20% - Accent6 5 2 3 2 2 2 2" xfId="11949" xr:uid="{00000000-0005-0000-0000-0000502E0000}"/>
    <cellStyle name="20% - Accent6 5 2 3 2 2 2 3" xfId="11950" xr:uid="{00000000-0005-0000-0000-0000512E0000}"/>
    <cellStyle name="20% - Accent6 5 2 3 2 2 3" xfId="11951" xr:uid="{00000000-0005-0000-0000-0000522E0000}"/>
    <cellStyle name="20% - Accent6 5 2 3 2 2 4" xfId="11952" xr:uid="{00000000-0005-0000-0000-0000532E0000}"/>
    <cellStyle name="20% - Accent6 5 2 3 2 3" xfId="11953" xr:uid="{00000000-0005-0000-0000-0000542E0000}"/>
    <cellStyle name="20% - Accent6 5 2 3 2 3 2" xfId="11954" xr:uid="{00000000-0005-0000-0000-0000552E0000}"/>
    <cellStyle name="20% - Accent6 5 2 3 2 3 3" xfId="11955" xr:uid="{00000000-0005-0000-0000-0000562E0000}"/>
    <cellStyle name="20% - Accent6 5 2 3 2 4" xfId="11956" xr:uid="{00000000-0005-0000-0000-0000572E0000}"/>
    <cellStyle name="20% - Accent6 5 2 3 2 5" xfId="11957" xr:uid="{00000000-0005-0000-0000-0000582E0000}"/>
    <cellStyle name="20% - Accent6 5 2 3 2 6" xfId="11958" xr:uid="{00000000-0005-0000-0000-0000592E0000}"/>
    <cellStyle name="20% - Accent6 5 2 3 3" xfId="11959" xr:uid="{00000000-0005-0000-0000-00005A2E0000}"/>
    <cellStyle name="20% - Accent6 5 2 3 3 2" xfId="11960" xr:uid="{00000000-0005-0000-0000-00005B2E0000}"/>
    <cellStyle name="20% - Accent6 5 2 3 3 2 2" xfId="11961" xr:uid="{00000000-0005-0000-0000-00005C2E0000}"/>
    <cellStyle name="20% - Accent6 5 2 3 3 2 3" xfId="11962" xr:uid="{00000000-0005-0000-0000-00005D2E0000}"/>
    <cellStyle name="20% - Accent6 5 2 3 3 3" xfId="11963" xr:uid="{00000000-0005-0000-0000-00005E2E0000}"/>
    <cellStyle name="20% - Accent6 5 2 3 3 4" xfId="11964" xr:uid="{00000000-0005-0000-0000-00005F2E0000}"/>
    <cellStyle name="20% - Accent6 5 2 3 4" xfId="11965" xr:uid="{00000000-0005-0000-0000-0000602E0000}"/>
    <cellStyle name="20% - Accent6 5 2 3 4 2" xfId="11966" xr:uid="{00000000-0005-0000-0000-0000612E0000}"/>
    <cellStyle name="20% - Accent6 5 2 3 4 3" xfId="11967" xr:uid="{00000000-0005-0000-0000-0000622E0000}"/>
    <cellStyle name="20% - Accent6 5 2 3 5" xfId="11968" xr:uid="{00000000-0005-0000-0000-0000632E0000}"/>
    <cellStyle name="20% - Accent6 5 2 3 6" xfId="11969" xr:uid="{00000000-0005-0000-0000-0000642E0000}"/>
    <cellStyle name="20% - Accent6 5 2 3 7" xfId="11970" xr:uid="{00000000-0005-0000-0000-0000652E0000}"/>
    <cellStyle name="20% - Accent6 5 2 4" xfId="11971" xr:uid="{00000000-0005-0000-0000-0000662E0000}"/>
    <cellStyle name="20% - Accent6 5 2 4 2" xfId="11972" xr:uid="{00000000-0005-0000-0000-0000672E0000}"/>
    <cellStyle name="20% - Accent6 5 2 4 2 2" xfId="11973" xr:uid="{00000000-0005-0000-0000-0000682E0000}"/>
    <cellStyle name="20% - Accent6 5 2 4 2 2 2" xfId="11974" xr:uid="{00000000-0005-0000-0000-0000692E0000}"/>
    <cellStyle name="20% - Accent6 5 2 4 2 2 3" xfId="11975" xr:uid="{00000000-0005-0000-0000-00006A2E0000}"/>
    <cellStyle name="20% - Accent6 5 2 4 2 3" xfId="11976" xr:uid="{00000000-0005-0000-0000-00006B2E0000}"/>
    <cellStyle name="20% - Accent6 5 2 4 2 4" xfId="11977" xr:uid="{00000000-0005-0000-0000-00006C2E0000}"/>
    <cellStyle name="20% - Accent6 5 2 4 3" xfId="11978" xr:uid="{00000000-0005-0000-0000-00006D2E0000}"/>
    <cellStyle name="20% - Accent6 5 2 4 3 2" xfId="11979" xr:uid="{00000000-0005-0000-0000-00006E2E0000}"/>
    <cellStyle name="20% - Accent6 5 2 4 3 3" xfId="11980" xr:uid="{00000000-0005-0000-0000-00006F2E0000}"/>
    <cellStyle name="20% - Accent6 5 2 4 4" xfId="11981" xr:uid="{00000000-0005-0000-0000-0000702E0000}"/>
    <cellStyle name="20% - Accent6 5 2 4 5" xfId="11982" xr:uid="{00000000-0005-0000-0000-0000712E0000}"/>
    <cellStyle name="20% - Accent6 5 2 4 6" xfId="11983" xr:uid="{00000000-0005-0000-0000-0000722E0000}"/>
    <cellStyle name="20% - Accent6 5 2 5" xfId="11984" xr:uid="{00000000-0005-0000-0000-0000732E0000}"/>
    <cellStyle name="20% - Accent6 5 2 5 2" xfId="11985" xr:uid="{00000000-0005-0000-0000-0000742E0000}"/>
    <cellStyle name="20% - Accent6 5 2 5 2 2" xfId="11986" xr:uid="{00000000-0005-0000-0000-0000752E0000}"/>
    <cellStyle name="20% - Accent6 5 2 5 2 3" xfId="11987" xr:uid="{00000000-0005-0000-0000-0000762E0000}"/>
    <cellStyle name="20% - Accent6 5 2 5 3" xfId="11988" xr:uid="{00000000-0005-0000-0000-0000772E0000}"/>
    <cellStyle name="20% - Accent6 5 2 5 4" xfId="11989" xr:uid="{00000000-0005-0000-0000-0000782E0000}"/>
    <cellStyle name="20% - Accent6 5 2 6" xfId="11990" xr:uid="{00000000-0005-0000-0000-0000792E0000}"/>
    <cellStyle name="20% - Accent6 5 2 6 2" xfId="11991" xr:uid="{00000000-0005-0000-0000-00007A2E0000}"/>
    <cellStyle name="20% - Accent6 5 2 6 3" xfId="11992" xr:uid="{00000000-0005-0000-0000-00007B2E0000}"/>
    <cellStyle name="20% - Accent6 5 2 7" xfId="11993" xr:uid="{00000000-0005-0000-0000-00007C2E0000}"/>
    <cellStyle name="20% - Accent6 5 2 8" xfId="11994" xr:uid="{00000000-0005-0000-0000-00007D2E0000}"/>
    <cellStyle name="20% - Accent6 5 2 9" xfId="11995" xr:uid="{00000000-0005-0000-0000-00007E2E0000}"/>
    <cellStyle name="20% - Accent6 5 3" xfId="11996" xr:uid="{00000000-0005-0000-0000-00007F2E0000}"/>
    <cellStyle name="20% - Accent6 5 3 2" xfId="11997" xr:uid="{00000000-0005-0000-0000-0000802E0000}"/>
    <cellStyle name="20% - Accent6 5 3 2 2" xfId="11998" xr:uid="{00000000-0005-0000-0000-0000812E0000}"/>
    <cellStyle name="20% - Accent6 5 3 2 2 2" xfId="11999" xr:uid="{00000000-0005-0000-0000-0000822E0000}"/>
    <cellStyle name="20% - Accent6 5 3 2 2 2 2" xfId="12000" xr:uid="{00000000-0005-0000-0000-0000832E0000}"/>
    <cellStyle name="20% - Accent6 5 3 2 2 2 2 2" xfId="12001" xr:uid="{00000000-0005-0000-0000-0000842E0000}"/>
    <cellStyle name="20% - Accent6 5 3 2 2 2 2 3" xfId="12002" xr:uid="{00000000-0005-0000-0000-0000852E0000}"/>
    <cellStyle name="20% - Accent6 5 3 2 2 2 3" xfId="12003" xr:uid="{00000000-0005-0000-0000-0000862E0000}"/>
    <cellStyle name="20% - Accent6 5 3 2 2 2 4" xfId="12004" xr:uid="{00000000-0005-0000-0000-0000872E0000}"/>
    <cellStyle name="20% - Accent6 5 3 2 2 3" xfId="12005" xr:uid="{00000000-0005-0000-0000-0000882E0000}"/>
    <cellStyle name="20% - Accent6 5 3 2 2 3 2" xfId="12006" xr:uid="{00000000-0005-0000-0000-0000892E0000}"/>
    <cellStyle name="20% - Accent6 5 3 2 2 3 3" xfId="12007" xr:uid="{00000000-0005-0000-0000-00008A2E0000}"/>
    <cellStyle name="20% - Accent6 5 3 2 2 4" xfId="12008" xr:uid="{00000000-0005-0000-0000-00008B2E0000}"/>
    <cellStyle name="20% - Accent6 5 3 2 2 5" xfId="12009" xr:uid="{00000000-0005-0000-0000-00008C2E0000}"/>
    <cellStyle name="20% - Accent6 5 3 2 2 6" xfId="12010" xr:uid="{00000000-0005-0000-0000-00008D2E0000}"/>
    <cellStyle name="20% - Accent6 5 3 2 3" xfId="12011" xr:uid="{00000000-0005-0000-0000-00008E2E0000}"/>
    <cellStyle name="20% - Accent6 5 3 2 3 2" xfId="12012" xr:uid="{00000000-0005-0000-0000-00008F2E0000}"/>
    <cellStyle name="20% - Accent6 5 3 2 3 2 2" xfId="12013" xr:uid="{00000000-0005-0000-0000-0000902E0000}"/>
    <cellStyle name="20% - Accent6 5 3 2 3 2 3" xfId="12014" xr:uid="{00000000-0005-0000-0000-0000912E0000}"/>
    <cellStyle name="20% - Accent6 5 3 2 3 3" xfId="12015" xr:uid="{00000000-0005-0000-0000-0000922E0000}"/>
    <cellStyle name="20% - Accent6 5 3 2 3 4" xfId="12016" xr:uid="{00000000-0005-0000-0000-0000932E0000}"/>
    <cellStyle name="20% - Accent6 5 3 2 4" xfId="12017" xr:uid="{00000000-0005-0000-0000-0000942E0000}"/>
    <cellStyle name="20% - Accent6 5 3 2 4 2" xfId="12018" xr:uid="{00000000-0005-0000-0000-0000952E0000}"/>
    <cellStyle name="20% - Accent6 5 3 2 4 3" xfId="12019" xr:uid="{00000000-0005-0000-0000-0000962E0000}"/>
    <cellStyle name="20% - Accent6 5 3 2 5" xfId="12020" xr:uid="{00000000-0005-0000-0000-0000972E0000}"/>
    <cellStyle name="20% - Accent6 5 3 2 6" xfId="12021" xr:uid="{00000000-0005-0000-0000-0000982E0000}"/>
    <cellStyle name="20% - Accent6 5 3 2 7" xfId="12022" xr:uid="{00000000-0005-0000-0000-0000992E0000}"/>
    <cellStyle name="20% - Accent6 5 3 3" xfId="12023" xr:uid="{00000000-0005-0000-0000-00009A2E0000}"/>
    <cellStyle name="20% - Accent6 5 3 3 2" xfId="12024" xr:uid="{00000000-0005-0000-0000-00009B2E0000}"/>
    <cellStyle name="20% - Accent6 5 3 3 2 2" xfId="12025" xr:uid="{00000000-0005-0000-0000-00009C2E0000}"/>
    <cellStyle name="20% - Accent6 5 3 3 2 2 2" xfId="12026" xr:uid="{00000000-0005-0000-0000-00009D2E0000}"/>
    <cellStyle name="20% - Accent6 5 3 3 2 2 3" xfId="12027" xr:uid="{00000000-0005-0000-0000-00009E2E0000}"/>
    <cellStyle name="20% - Accent6 5 3 3 2 3" xfId="12028" xr:uid="{00000000-0005-0000-0000-00009F2E0000}"/>
    <cellStyle name="20% - Accent6 5 3 3 2 4" xfId="12029" xr:uid="{00000000-0005-0000-0000-0000A02E0000}"/>
    <cellStyle name="20% - Accent6 5 3 3 3" xfId="12030" xr:uid="{00000000-0005-0000-0000-0000A12E0000}"/>
    <cellStyle name="20% - Accent6 5 3 3 3 2" xfId="12031" xr:uid="{00000000-0005-0000-0000-0000A22E0000}"/>
    <cellStyle name="20% - Accent6 5 3 3 3 3" xfId="12032" xr:uid="{00000000-0005-0000-0000-0000A32E0000}"/>
    <cellStyle name="20% - Accent6 5 3 3 4" xfId="12033" xr:uid="{00000000-0005-0000-0000-0000A42E0000}"/>
    <cellStyle name="20% - Accent6 5 3 3 5" xfId="12034" xr:uid="{00000000-0005-0000-0000-0000A52E0000}"/>
    <cellStyle name="20% - Accent6 5 3 3 6" xfId="12035" xr:uid="{00000000-0005-0000-0000-0000A62E0000}"/>
    <cellStyle name="20% - Accent6 5 3 4" xfId="12036" xr:uid="{00000000-0005-0000-0000-0000A72E0000}"/>
    <cellStyle name="20% - Accent6 5 3 4 2" xfId="12037" xr:uid="{00000000-0005-0000-0000-0000A82E0000}"/>
    <cellStyle name="20% - Accent6 5 3 4 2 2" xfId="12038" xr:uid="{00000000-0005-0000-0000-0000A92E0000}"/>
    <cellStyle name="20% - Accent6 5 3 4 2 3" xfId="12039" xr:uid="{00000000-0005-0000-0000-0000AA2E0000}"/>
    <cellStyle name="20% - Accent6 5 3 4 3" xfId="12040" xr:uid="{00000000-0005-0000-0000-0000AB2E0000}"/>
    <cellStyle name="20% - Accent6 5 3 4 4" xfId="12041" xr:uid="{00000000-0005-0000-0000-0000AC2E0000}"/>
    <cellStyle name="20% - Accent6 5 3 5" xfId="12042" xr:uid="{00000000-0005-0000-0000-0000AD2E0000}"/>
    <cellStyle name="20% - Accent6 5 3 5 2" xfId="12043" xr:uid="{00000000-0005-0000-0000-0000AE2E0000}"/>
    <cellStyle name="20% - Accent6 5 3 5 3" xfId="12044" xr:uid="{00000000-0005-0000-0000-0000AF2E0000}"/>
    <cellStyle name="20% - Accent6 5 3 6" xfId="12045" xr:uid="{00000000-0005-0000-0000-0000B02E0000}"/>
    <cellStyle name="20% - Accent6 5 3 7" xfId="12046" xr:uid="{00000000-0005-0000-0000-0000B12E0000}"/>
    <cellStyle name="20% - Accent6 5 3 8" xfId="12047" xr:uid="{00000000-0005-0000-0000-0000B22E0000}"/>
    <cellStyle name="20% - Accent6 5 4" xfId="12048" xr:uid="{00000000-0005-0000-0000-0000B32E0000}"/>
    <cellStyle name="20% - Accent6 5 4 2" xfId="12049" xr:uid="{00000000-0005-0000-0000-0000B42E0000}"/>
    <cellStyle name="20% - Accent6 5 4 2 2" xfId="12050" xr:uid="{00000000-0005-0000-0000-0000B52E0000}"/>
    <cellStyle name="20% - Accent6 5 4 2 2 2" xfId="12051" xr:uid="{00000000-0005-0000-0000-0000B62E0000}"/>
    <cellStyle name="20% - Accent6 5 4 2 2 2 2" xfId="12052" xr:uid="{00000000-0005-0000-0000-0000B72E0000}"/>
    <cellStyle name="20% - Accent6 5 4 2 2 2 3" xfId="12053" xr:uid="{00000000-0005-0000-0000-0000B82E0000}"/>
    <cellStyle name="20% - Accent6 5 4 2 2 3" xfId="12054" xr:uid="{00000000-0005-0000-0000-0000B92E0000}"/>
    <cellStyle name="20% - Accent6 5 4 2 2 4" xfId="12055" xr:uid="{00000000-0005-0000-0000-0000BA2E0000}"/>
    <cellStyle name="20% - Accent6 5 4 2 3" xfId="12056" xr:uid="{00000000-0005-0000-0000-0000BB2E0000}"/>
    <cellStyle name="20% - Accent6 5 4 2 3 2" xfId="12057" xr:uid="{00000000-0005-0000-0000-0000BC2E0000}"/>
    <cellStyle name="20% - Accent6 5 4 2 3 3" xfId="12058" xr:uid="{00000000-0005-0000-0000-0000BD2E0000}"/>
    <cellStyle name="20% - Accent6 5 4 2 4" xfId="12059" xr:uid="{00000000-0005-0000-0000-0000BE2E0000}"/>
    <cellStyle name="20% - Accent6 5 4 2 5" xfId="12060" xr:uid="{00000000-0005-0000-0000-0000BF2E0000}"/>
    <cellStyle name="20% - Accent6 5 4 2 6" xfId="12061" xr:uid="{00000000-0005-0000-0000-0000C02E0000}"/>
    <cellStyle name="20% - Accent6 5 4 3" xfId="12062" xr:uid="{00000000-0005-0000-0000-0000C12E0000}"/>
    <cellStyle name="20% - Accent6 5 4 3 2" xfId="12063" xr:uid="{00000000-0005-0000-0000-0000C22E0000}"/>
    <cellStyle name="20% - Accent6 5 4 3 2 2" xfId="12064" xr:uid="{00000000-0005-0000-0000-0000C32E0000}"/>
    <cellStyle name="20% - Accent6 5 4 3 2 3" xfId="12065" xr:uid="{00000000-0005-0000-0000-0000C42E0000}"/>
    <cellStyle name="20% - Accent6 5 4 3 3" xfId="12066" xr:uid="{00000000-0005-0000-0000-0000C52E0000}"/>
    <cellStyle name="20% - Accent6 5 4 3 4" xfId="12067" xr:uid="{00000000-0005-0000-0000-0000C62E0000}"/>
    <cellStyle name="20% - Accent6 5 4 4" xfId="12068" xr:uid="{00000000-0005-0000-0000-0000C72E0000}"/>
    <cellStyle name="20% - Accent6 5 4 4 2" xfId="12069" xr:uid="{00000000-0005-0000-0000-0000C82E0000}"/>
    <cellStyle name="20% - Accent6 5 4 4 3" xfId="12070" xr:uid="{00000000-0005-0000-0000-0000C92E0000}"/>
    <cellStyle name="20% - Accent6 5 4 5" xfId="12071" xr:uid="{00000000-0005-0000-0000-0000CA2E0000}"/>
    <cellStyle name="20% - Accent6 5 4 6" xfId="12072" xr:uid="{00000000-0005-0000-0000-0000CB2E0000}"/>
    <cellStyle name="20% - Accent6 5 4 7" xfId="12073" xr:uid="{00000000-0005-0000-0000-0000CC2E0000}"/>
    <cellStyle name="20% - Accent6 5 5" xfId="12074" xr:uid="{00000000-0005-0000-0000-0000CD2E0000}"/>
    <cellStyle name="20% - Accent6 5 5 2" xfId="12075" xr:uid="{00000000-0005-0000-0000-0000CE2E0000}"/>
    <cellStyle name="20% - Accent6 5 5 2 2" xfId="12076" xr:uid="{00000000-0005-0000-0000-0000CF2E0000}"/>
    <cellStyle name="20% - Accent6 5 5 2 2 2" xfId="12077" xr:uid="{00000000-0005-0000-0000-0000D02E0000}"/>
    <cellStyle name="20% - Accent6 5 5 2 2 3" xfId="12078" xr:uid="{00000000-0005-0000-0000-0000D12E0000}"/>
    <cellStyle name="20% - Accent6 5 5 2 3" xfId="12079" xr:uid="{00000000-0005-0000-0000-0000D22E0000}"/>
    <cellStyle name="20% - Accent6 5 5 2 4" xfId="12080" xr:uid="{00000000-0005-0000-0000-0000D32E0000}"/>
    <cellStyle name="20% - Accent6 5 5 3" xfId="12081" xr:uid="{00000000-0005-0000-0000-0000D42E0000}"/>
    <cellStyle name="20% - Accent6 5 5 3 2" xfId="12082" xr:uid="{00000000-0005-0000-0000-0000D52E0000}"/>
    <cellStyle name="20% - Accent6 5 5 3 3" xfId="12083" xr:uid="{00000000-0005-0000-0000-0000D62E0000}"/>
    <cellStyle name="20% - Accent6 5 5 4" xfId="12084" xr:uid="{00000000-0005-0000-0000-0000D72E0000}"/>
    <cellStyle name="20% - Accent6 5 5 5" xfId="12085" xr:uid="{00000000-0005-0000-0000-0000D82E0000}"/>
    <cellStyle name="20% - Accent6 5 5 6" xfId="12086" xr:uid="{00000000-0005-0000-0000-0000D92E0000}"/>
    <cellStyle name="20% - Accent6 5 6" xfId="12087" xr:uid="{00000000-0005-0000-0000-0000DA2E0000}"/>
    <cellStyle name="20% - Accent6 5 6 2" xfId="12088" xr:uid="{00000000-0005-0000-0000-0000DB2E0000}"/>
    <cellStyle name="20% - Accent6 5 6 2 2" xfId="12089" xr:uid="{00000000-0005-0000-0000-0000DC2E0000}"/>
    <cellStyle name="20% - Accent6 5 6 2 3" xfId="12090" xr:uid="{00000000-0005-0000-0000-0000DD2E0000}"/>
    <cellStyle name="20% - Accent6 5 6 3" xfId="12091" xr:uid="{00000000-0005-0000-0000-0000DE2E0000}"/>
    <cellStyle name="20% - Accent6 5 6 4" xfId="12092" xr:uid="{00000000-0005-0000-0000-0000DF2E0000}"/>
    <cellStyle name="20% - Accent6 5 7" xfId="12093" xr:uid="{00000000-0005-0000-0000-0000E02E0000}"/>
    <cellStyle name="20% - Accent6 5 7 2" xfId="12094" xr:uid="{00000000-0005-0000-0000-0000E12E0000}"/>
    <cellStyle name="20% - Accent6 5 7 3" xfId="12095" xr:uid="{00000000-0005-0000-0000-0000E22E0000}"/>
    <cellStyle name="20% - Accent6 5 8" xfId="12096" xr:uid="{00000000-0005-0000-0000-0000E32E0000}"/>
    <cellStyle name="20% - Accent6 5 9" xfId="12097" xr:uid="{00000000-0005-0000-0000-0000E42E0000}"/>
    <cellStyle name="20% - Accent6 6" xfId="12098" xr:uid="{00000000-0005-0000-0000-0000E52E0000}"/>
    <cellStyle name="20% - Accent6 6 2" xfId="12099" xr:uid="{00000000-0005-0000-0000-0000E62E0000}"/>
    <cellStyle name="20% - Accent6 6 2 2" xfId="12100" xr:uid="{00000000-0005-0000-0000-0000E72E0000}"/>
    <cellStyle name="20% - Accent6 6 2 2 2" xfId="12101" xr:uid="{00000000-0005-0000-0000-0000E82E0000}"/>
    <cellStyle name="20% - Accent6 6 2 2 2 2" xfId="12102" xr:uid="{00000000-0005-0000-0000-0000E92E0000}"/>
    <cellStyle name="20% - Accent6 6 2 2 2 2 2" xfId="12103" xr:uid="{00000000-0005-0000-0000-0000EA2E0000}"/>
    <cellStyle name="20% - Accent6 6 2 2 2 2 2 2" xfId="12104" xr:uid="{00000000-0005-0000-0000-0000EB2E0000}"/>
    <cellStyle name="20% - Accent6 6 2 2 2 2 2 3" xfId="12105" xr:uid="{00000000-0005-0000-0000-0000EC2E0000}"/>
    <cellStyle name="20% - Accent6 6 2 2 2 2 3" xfId="12106" xr:uid="{00000000-0005-0000-0000-0000ED2E0000}"/>
    <cellStyle name="20% - Accent6 6 2 2 2 2 4" xfId="12107" xr:uid="{00000000-0005-0000-0000-0000EE2E0000}"/>
    <cellStyle name="20% - Accent6 6 2 2 2 3" xfId="12108" xr:uid="{00000000-0005-0000-0000-0000EF2E0000}"/>
    <cellStyle name="20% - Accent6 6 2 2 2 3 2" xfId="12109" xr:uid="{00000000-0005-0000-0000-0000F02E0000}"/>
    <cellStyle name="20% - Accent6 6 2 2 2 3 3" xfId="12110" xr:uid="{00000000-0005-0000-0000-0000F12E0000}"/>
    <cellStyle name="20% - Accent6 6 2 2 2 4" xfId="12111" xr:uid="{00000000-0005-0000-0000-0000F22E0000}"/>
    <cellStyle name="20% - Accent6 6 2 2 2 5" xfId="12112" xr:uid="{00000000-0005-0000-0000-0000F32E0000}"/>
    <cellStyle name="20% - Accent6 6 2 2 2 6" xfId="12113" xr:uid="{00000000-0005-0000-0000-0000F42E0000}"/>
    <cellStyle name="20% - Accent6 6 2 2 3" xfId="12114" xr:uid="{00000000-0005-0000-0000-0000F52E0000}"/>
    <cellStyle name="20% - Accent6 6 2 2 3 2" xfId="12115" xr:uid="{00000000-0005-0000-0000-0000F62E0000}"/>
    <cellStyle name="20% - Accent6 6 2 2 3 2 2" xfId="12116" xr:uid="{00000000-0005-0000-0000-0000F72E0000}"/>
    <cellStyle name="20% - Accent6 6 2 2 3 2 3" xfId="12117" xr:uid="{00000000-0005-0000-0000-0000F82E0000}"/>
    <cellStyle name="20% - Accent6 6 2 2 3 3" xfId="12118" xr:uid="{00000000-0005-0000-0000-0000F92E0000}"/>
    <cellStyle name="20% - Accent6 6 2 2 3 4" xfId="12119" xr:uid="{00000000-0005-0000-0000-0000FA2E0000}"/>
    <cellStyle name="20% - Accent6 6 2 2 4" xfId="12120" xr:uid="{00000000-0005-0000-0000-0000FB2E0000}"/>
    <cellStyle name="20% - Accent6 6 2 2 4 2" xfId="12121" xr:uid="{00000000-0005-0000-0000-0000FC2E0000}"/>
    <cellStyle name="20% - Accent6 6 2 2 4 3" xfId="12122" xr:uid="{00000000-0005-0000-0000-0000FD2E0000}"/>
    <cellStyle name="20% - Accent6 6 2 2 5" xfId="12123" xr:uid="{00000000-0005-0000-0000-0000FE2E0000}"/>
    <cellStyle name="20% - Accent6 6 2 2 6" xfId="12124" xr:uid="{00000000-0005-0000-0000-0000FF2E0000}"/>
    <cellStyle name="20% - Accent6 6 2 2 7" xfId="12125" xr:uid="{00000000-0005-0000-0000-0000002F0000}"/>
    <cellStyle name="20% - Accent6 6 2 3" xfId="12126" xr:uid="{00000000-0005-0000-0000-0000012F0000}"/>
    <cellStyle name="20% - Accent6 6 2 3 2" xfId="12127" xr:uid="{00000000-0005-0000-0000-0000022F0000}"/>
    <cellStyle name="20% - Accent6 6 2 3 2 2" xfId="12128" xr:uid="{00000000-0005-0000-0000-0000032F0000}"/>
    <cellStyle name="20% - Accent6 6 2 3 2 2 2" xfId="12129" xr:uid="{00000000-0005-0000-0000-0000042F0000}"/>
    <cellStyle name="20% - Accent6 6 2 3 2 2 3" xfId="12130" xr:uid="{00000000-0005-0000-0000-0000052F0000}"/>
    <cellStyle name="20% - Accent6 6 2 3 2 3" xfId="12131" xr:uid="{00000000-0005-0000-0000-0000062F0000}"/>
    <cellStyle name="20% - Accent6 6 2 3 2 4" xfId="12132" xr:uid="{00000000-0005-0000-0000-0000072F0000}"/>
    <cellStyle name="20% - Accent6 6 2 3 3" xfId="12133" xr:uid="{00000000-0005-0000-0000-0000082F0000}"/>
    <cellStyle name="20% - Accent6 6 2 3 3 2" xfId="12134" xr:uid="{00000000-0005-0000-0000-0000092F0000}"/>
    <cellStyle name="20% - Accent6 6 2 3 3 3" xfId="12135" xr:uid="{00000000-0005-0000-0000-00000A2F0000}"/>
    <cellStyle name="20% - Accent6 6 2 3 4" xfId="12136" xr:uid="{00000000-0005-0000-0000-00000B2F0000}"/>
    <cellStyle name="20% - Accent6 6 2 3 5" xfId="12137" xr:uid="{00000000-0005-0000-0000-00000C2F0000}"/>
    <cellStyle name="20% - Accent6 6 2 3 6" xfId="12138" xr:uid="{00000000-0005-0000-0000-00000D2F0000}"/>
    <cellStyle name="20% - Accent6 6 2 4" xfId="12139" xr:uid="{00000000-0005-0000-0000-00000E2F0000}"/>
    <cellStyle name="20% - Accent6 6 2 4 2" xfId="12140" xr:uid="{00000000-0005-0000-0000-00000F2F0000}"/>
    <cellStyle name="20% - Accent6 6 2 4 2 2" xfId="12141" xr:uid="{00000000-0005-0000-0000-0000102F0000}"/>
    <cellStyle name="20% - Accent6 6 2 4 2 3" xfId="12142" xr:uid="{00000000-0005-0000-0000-0000112F0000}"/>
    <cellStyle name="20% - Accent6 6 2 4 3" xfId="12143" xr:uid="{00000000-0005-0000-0000-0000122F0000}"/>
    <cellStyle name="20% - Accent6 6 2 4 4" xfId="12144" xr:uid="{00000000-0005-0000-0000-0000132F0000}"/>
    <cellStyle name="20% - Accent6 6 2 5" xfId="12145" xr:uid="{00000000-0005-0000-0000-0000142F0000}"/>
    <cellStyle name="20% - Accent6 6 2 5 2" xfId="12146" xr:uid="{00000000-0005-0000-0000-0000152F0000}"/>
    <cellStyle name="20% - Accent6 6 2 5 3" xfId="12147" xr:uid="{00000000-0005-0000-0000-0000162F0000}"/>
    <cellStyle name="20% - Accent6 6 2 6" xfId="12148" xr:uid="{00000000-0005-0000-0000-0000172F0000}"/>
    <cellStyle name="20% - Accent6 6 2 7" xfId="12149" xr:uid="{00000000-0005-0000-0000-0000182F0000}"/>
    <cellStyle name="20% - Accent6 6 2 8" xfId="12150" xr:uid="{00000000-0005-0000-0000-0000192F0000}"/>
    <cellStyle name="20% - Accent6 6 3" xfId="12151" xr:uid="{00000000-0005-0000-0000-00001A2F0000}"/>
    <cellStyle name="20% - Accent6 6 3 2" xfId="12152" xr:uid="{00000000-0005-0000-0000-00001B2F0000}"/>
    <cellStyle name="20% - Accent6 6 3 2 2" xfId="12153" xr:uid="{00000000-0005-0000-0000-00001C2F0000}"/>
    <cellStyle name="20% - Accent6 6 3 2 2 2" xfId="12154" xr:uid="{00000000-0005-0000-0000-00001D2F0000}"/>
    <cellStyle name="20% - Accent6 6 3 2 2 2 2" xfId="12155" xr:uid="{00000000-0005-0000-0000-00001E2F0000}"/>
    <cellStyle name="20% - Accent6 6 3 2 2 2 3" xfId="12156" xr:uid="{00000000-0005-0000-0000-00001F2F0000}"/>
    <cellStyle name="20% - Accent6 6 3 2 2 3" xfId="12157" xr:uid="{00000000-0005-0000-0000-0000202F0000}"/>
    <cellStyle name="20% - Accent6 6 3 2 2 4" xfId="12158" xr:uid="{00000000-0005-0000-0000-0000212F0000}"/>
    <cellStyle name="20% - Accent6 6 3 2 3" xfId="12159" xr:uid="{00000000-0005-0000-0000-0000222F0000}"/>
    <cellStyle name="20% - Accent6 6 3 2 3 2" xfId="12160" xr:uid="{00000000-0005-0000-0000-0000232F0000}"/>
    <cellStyle name="20% - Accent6 6 3 2 3 3" xfId="12161" xr:uid="{00000000-0005-0000-0000-0000242F0000}"/>
    <cellStyle name="20% - Accent6 6 3 2 4" xfId="12162" xr:uid="{00000000-0005-0000-0000-0000252F0000}"/>
    <cellStyle name="20% - Accent6 6 3 2 5" xfId="12163" xr:uid="{00000000-0005-0000-0000-0000262F0000}"/>
    <cellStyle name="20% - Accent6 6 3 2 6" xfId="12164" xr:uid="{00000000-0005-0000-0000-0000272F0000}"/>
    <cellStyle name="20% - Accent6 6 3 3" xfId="12165" xr:uid="{00000000-0005-0000-0000-0000282F0000}"/>
    <cellStyle name="20% - Accent6 6 3 3 2" xfId="12166" xr:uid="{00000000-0005-0000-0000-0000292F0000}"/>
    <cellStyle name="20% - Accent6 6 3 3 2 2" xfId="12167" xr:uid="{00000000-0005-0000-0000-00002A2F0000}"/>
    <cellStyle name="20% - Accent6 6 3 3 2 3" xfId="12168" xr:uid="{00000000-0005-0000-0000-00002B2F0000}"/>
    <cellStyle name="20% - Accent6 6 3 3 3" xfId="12169" xr:uid="{00000000-0005-0000-0000-00002C2F0000}"/>
    <cellStyle name="20% - Accent6 6 3 3 4" xfId="12170" xr:uid="{00000000-0005-0000-0000-00002D2F0000}"/>
    <cellStyle name="20% - Accent6 6 3 4" xfId="12171" xr:uid="{00000000-0005-0000-0000-00002E2F0000}"/>
    <cellStyle name="20% - Accent6 6 3 4 2" xfId="12172" xr:uid="{00000000-0005-0000-0000-00002F2F0000}"/>
    <cellStyle name="20% - Accent6 6 3 4 3" xfId="12173" xr:uid="{00000000-0005-0000-0000-0000302F0000}"/>
    <cellStyle name="20% - Accent6 6 3 5" xfId="12174" xr:uid="{00000000-0005-0000-0000-0000312F0000}"/>
    <cellStyle name="20% - Accent6 6 3 6" xfId="12175" xr:uid="{00000000-0005-0000-0000-0000322F0000}"/>
    <cellStyle name="20% - Accent6 6 3 7" xfId="12176" xr:uid="{00000000-0005-0000-0000-0000332F0000}"/>
    <cellStyle name="20% - Accent6 6 4" xfId="12177" xr:uid="{00000000-0005-0000-0000-0000342F0000}"/>
    <cellStyle name="20% - Accent6 6 4 2" xfId="12178" xr:uid="{00000000-0005-0000-0000-0000352F0000}"/>
    <cellStyle name="20% - Accent6 6 4 2 2" xfId="12179" xr:uid="{00000000-0005-0000-0000-0000362F0000}"/>
    <cellStyle name="20% - Accent6 6 4 2 2 2" xfId="12180" xr:uid="{00000000-0005-0000-0000-0000372F0000}"/>
    <cellStyle name="20% - Accent6 6 4 2 2 3" xfId="12181" xr:uid="{00000000-0005-0000-0000-0000382F0000}"/>
    <cellStyle name="20% - Accent6 6 4 2 3" xfId="12182" xr:uid="{00000000-0005-0000-0000-0000392F0000}"/>
    <cellStyle name="20% - Accent6 6 4 2 4" xfId="12183" xr:uid="{00000000-0005-0000-0000-00003A2F0000}"/>
    <cellStyle name="20% - Accent6 6 4 3" xfId="12184" xr:uid="{00000000-0005-0000-0000-00003B2F0000}"/>
    <cellStyle name="20% - Accent6 6 4 3 2" xfId="12185" xr:uid="{00000000-0005-0000-0000-00003C2F0000}"/>
    <cellStyle name="20% - Accent6 6 4 3 3" xfId="12186" xr:uid="{00000000-0005-0000-0000-00003D2F0000}"/>
    <cellStyle name="20% - Accent6 6 4 4" xfId="12187" xr:uid="{00000000-0005-0000-0000-00003E2F0000}"/>
    <cellStyle name="20% - Accent6 6 4 5" xfId="12188" xr:uid="{00000000-0005-0000-0000-00003F2F0000}"/>
    <cellStyle name="20% - Accent6 6 4 6" xfId="12189" xr:uid="{00000000-0005-0000-0000-0000402F0000}"/>
    <cellStyle name="20% - Accent6 6 5" xfId="12190" xr:uid="{00000000-0005-0000-0000-0000412F0000}"/>
    <cellStyle name="20% - Accent6 6 5 2" xfId="12191" xr:uid="{00000000-0005-0000-0000-0000422F0000}"/>
    <cellStyle name="20% - Accent6 6 5 2 2" xfId="12192" xr:uid="{00000000-0005-0000-0000-0000432F0000}"/>
    <cellStyle name="20% - Accent6 6 5 2 3" xfId="12193" xr:uid="{00000000-0005-0000-0000-0000442F0000}"/>
    <cellStyle name="20% - Accent6 6 5 3" xfId="12194" xr:uid="{00000000-0005-0000-0000-0000452F0000}"/>
    <cellStyle name="20% - Accent6 6 5 4" xfId="12195" xr:uid="{00000000-0005-0000-0000-0000462F0000}"/>
    <cellStyle name="20% - Accent6 6 6" xfId="12196" xr:uid="{00000000-0005-0000-0000-0000472F0000}"/>
    <cellStyle name="20% - Accent6 6 6 2" xfId="12197" xr:uid="{00000000-0005-0000-0000-0000482F0000}"/>
    <cellStyle name="20% - Accent6 6 6 3" xfId="12198" xr:uid="{00000000-0005-0000-0000-0000492F0000}"/>
    <cellStyle name="20% - Accent6 6 7" xfId="12199" xr:uid="{00000000-0005-0000-0000-00004A2F0000}"/>
    <cellStyle name="20% - Accent6 6 8" xfId="12200" xr:uid="{00000000-0005-0000-0000-00004B2F0000}"/>
    <cellStyle name="20% - Accent6 6 9" xfId="12201" xr:uid="{00000000-0005-0000-0000-00004C2F0000}"/>
    <cellStyle name="20% - Accent6 7" xfId="12202" xr:uid="{00000000-0005-0000-0000-00004D2F0000}"/>
    <cellStyle name="20% - Accent6 7 2" xfId="12203" xr:uid="{00000000-0005-0000-0000-00004E2F0000}"/>
    <cellStyle name="20% - Accent6 7 2 2" xfId="12204" xr:uid="{00000000-0005-0000-0000-00004F2F0000}"/>
    <cellStyle name="20% - Accent6 7 2 2 2" xfId="12205" xr:uid="{00000000-0005-0000-0000-0000502F0000}"/>
    <cellStyle name="20% - Accent6 7 2 2 2 2" xfId="12206" xr:uid="{00000000-0005-0000-0000-0000512F0000}"/>
    <cellStyle name="20% - Accent6 7 2 2 2 2 2" xfId="12207" xr:uid="{00000000-0005-0000-0000-0000522F0000}"/>
    <cellStyle name="20% - Accent6 7 2 2 2 2 2 2" xfId="12208" xr:uid="{00000000-0005-0000-0000-0000532F0000}"/>
    <cellStyle name="20% - Accent6 7 2 2 2 2 2 3" xfId="12209" xr:uid="{00000000-0005-0000-0000-0000542F0000}"/>
    <cellStyle name="20% - Accent6 7 2 2 2 2 3" xfId="12210" xr:uid="{00000000-0005-0000-0000-0000552F0000}"/>
    <cellStyle name="20% - Accent6 7 2 2 2 2 4" xfId="12211" xr:uid="{00000000-0005-0000-0000-0000562F0000}"/>
    <cellStyle name="20% - Accent6 7 2 2 2 3" xfId="12212" xr:uid="{00000000-0005-0000-0000-0000572F0000}"/>
    <cellStyle name="20% - Accent6 7 2 2 2 3 2" xfId="12213" xr:uid="{00000000-0005-0000-0000-0000582F0000}"/>
    <cellStyle name="20% - Accent6 7 2 2 2 3 3" xfId="12214" xr:uid="{00000000-0005-0000-0000-0000592F0000}"/>
    <cellStyle name="20% - Accent6 7 2 2 2 4" xfId="12215" xr:uid="{00000000-0005-0000-0000-00005A2F0000}"/>
    <cellStyle name="20% - Accent6 7 2 2 2 5" xfId="12216" xr:uid="{00000000-0005-0000-0000-00005B2F0000}"/>
    <cellStyle name="20% - Accent6 7 2 2 2 6" xfId="12217" xr:uid="{00000000-0005-0000-0000-00005C2F0000}"/>
    <cellStyle name="20% - Accent6 7 2 2 3" xfId="12218" xr:uid="{00000000-0005-0000-0000-00005D2F0000}"/>
    <cellStyle name="20% - Accent6 7 2 2 3 2" xfId="12219" xr:uid="{00000000-0005-0000-0000-00005E2F0000}"/>
    <cellStyle name="20% - Accent6 7 2 2 3 2 2" xfId="12220" xr:uid="{00000000-0005-0000-0000-00005F2F0000}"/>
    <cellStyle name="20% - Accent6 7 2 2 3 2 3" xfId="12221" xr:uid="{00000000-0005-0000-0000-0000602F0000}"/>
    <cellStyle name="20% - Accent6 7 2 2 3 3" xfId="12222" xr:uid="{00000000-0005-0000-0000-0000612F0000}"/>
    <cellStyle name="20% - Accent6 7 2 2 3 4" xfId="12223" xr:uid="{00000000-0005-0000-0000-0000622F0000}"/>
    <cellStyle name="20% - Accent6 7 2 2 4" xfId="12224" xr:uid="{00000000-0005-0000-0000-0000632F0000}"/>
    <cellStyle name="20% - Accent6 7 2 2 4 2" xfId="12225" xr:uid="{00000000-0005-0000-0000-0000642F0000}"/>
    <cellStyle name="20% - Accent6 7 2 2 4 3" xfId="12226" xr:uid="{00000000-0005-0000-0000-0000652F0000}"/>
    <cellStyle name="20% - Accent6 7 2 2 5" xfId="12227" xr:uid="{00000000-0005-0000-0000-0000662F0000}"/>
    <cellStyle name="20% - Accent6 7 2 2 6" xfId="12228" xr:uid="{00000000-0005-0000-0000-0000672F0000}"/>
    <cellStyle name="20% - Accent6 7 2 2 7" xfId="12229" xr:uid="{00000000-0005-0000-0000-0000682F0000}"/>
    <cellStyle name="20% - Accent6 7 2 3" xfId="12230" xr:uid="{00000000-0005-0000-0000-0000692F0000}"/>
    <cellStyle name="20% - Accent6 7 2 3 2" xfId="12231" xr:uid="{00000000-0005-0000-0000-00006A2F0000}"/>
    <cellStyle name="20% - Accent6 7 2 3 2 2" xfId="12232" xr:uid="{00000000-0005-0000-0000-00006B2F0000}"/>
    <cellStyle name="20% - Accent6 7 2 3 2 2 2" xfId="12233" xr:uid="{00000000-0005-0000-0000-00006C2F0000}"/>
    <cellStyle name="20% - Accent6 7 2 3 2 2 3" xfId="12234" xr:uid="{00000000-0005-0000-0000-00006D2F0000}"/>
    <cellStyle name="20% - Accent6 7 2 3 2 3" xfId="12235" xr:uid="{00000000-0005-0000-0000-00006E2F0000}"/>
    <cellStyle name="20% - Accent6 7 2 3 2 4" xfId="12236" xr:uid="{00000000-0005-0000-0000-00006F2F0000}"/>
    <cellStyle name="20% - Accent6 7 2 3 3" xfId="12237" xr:uid="{00000000-0005-0000-0000-0000702F0000}"/>
    <cellStyle name="20% - Accent6 7 2 3 3 2" xfId="12238" xr:uid="{00000000-0005-0000-0000-0000712F0000}"/>
    <cellStyle name="20% - Accent6 7 2 3 3 3" xfId="12239" xr:uid="{00000000-0005-0000-0000-0000722F0000}"/>
    <cellStyle name="20% - Accent6 7 2 3 4" xfId="12240" xr:uid="{00000000-0005-0000-0000-0000732F0000}"/>
    <cellStyle name="20% - Accent6 7 2 3 5" xfId="12241" xr:uid="{00000000-0005-0000-0000-0000742F0000}"/>
    <cellStyle name="20% - Accent6 7 2 3 6" xfId="12242" xr:uid="{00000000-0005-0000-0000-0000752F0000}"/>
    <cellStyle name="20% - Accent6 7 2 4" xfId="12243" xr:uid="{00000000-0005-0000-0000-0000762F0000}"/>
    <cellStyle name="20% - Accent6 7 2 4 2" xfId="12244" xr:uid="{00000000-0005-0000-0000-0000772F0000}"/>
    <cellStyle name="20% - Accent6 7 2 4 2 2" xfId="12245" xr:uid="{00000000-0005-0000-0000-0000782F0000}"/>
    <cellStyle name="20% - Accent6 7 2 4 2 3" xfId="12246" xr:uid="{00000000-0005-0000-0000-0000792F0000}"/>
    <cellStyle name="20% - Accent6 7 2 4 3" xfId="12247" xr:uid="{00000000-0005-0000-0000-00007A2F0000}"/>
    <cellStyle name="20% - Accent6 7 2 4 4" xfId="12248" xr:uid="{00000000-0005-0000-0000-00007B2F0000}"/>
    <cellStyle name="20% - Accent6 7 2 5" xfId="12249" xr:uid="{00000000-0005-0000-0000-00007C2F0000}"/>
    <cellStyle name="20% - Accent6 7 2 5 2" xfId="12250" xr:uid="{00000000-0005-0000-0000-00007D2F0000}"/>
    <cellStyle name="20% - Accent6 7 2 5 3" xfId="12251" xr:uid="{00000000-0005-0000-0000-00007E2F0000}"/>
    <cellStyle name="20% - Accent6 7 2 6" xfId="12252" xr:uid="{00000000-0005-0000-0000-00007F2F0000}"/>
    <cellStyle name="20% - Accent6 7 2 7" xfId="12253" xr:uid="{00000000-0005-0000-0000-0000802F0000}"/>
    <cellStyle name="20% - Accent6 7 2 8" xfId="12254" xr:uid="{00000000-0005-0000-0000-0000812F0000}"/>
    <cellStyle name="20% - Accent6 7 3" xfId="12255" xr:uid="{00000000-0005-0000-0000-0000822F0000}"/>
    <cellStyle name="20% - Accent6 7 3 2" xfId="12256" xr:uid="{00000000-0005-0000-0000-0000832F0000}"/>
    <cellStyle name="20% - Accent6 7 3 2 2" xfId="12257" xr:uid="{00000000-0005-0000-0000-0000842F0000}"/>
    <cellStyle name="20% - Accent6 7 3 2 2 2" xfId="12258" xr:uid="{00000000-0005-0000-0000-0000852F0000}"/>
    <cellStyle name="20% - Accent6 7 3 2 2 2 2" xfId="12259" xr:uid="{00000000-0005-0000-0000-0000862F0000}"/>
    <cellStyle name="20% - Accent6 7 3 2 2 2 3" xfId="12260" xr:uid="{00000000-0005-0000-0000-0000872F0000}"/>
    <cellStyle name="20% - Accent6 7 3 2 2 3" xfId="12261" xr:uid="{00000000-0005-0000-0000-0000882F0000}"/>
    <cellStyle name="20% - Accent6 7 3 2 2 4" xfId="12262" xr:uid="{00000000-0005-0000-0000-0000892F0000}"/>
    <cellStyle name="20% - Accent6 7 3 2 3" xfId="12263" xr:uid="{00000000-0005-0000-0000-00008A2F0000}"/>
    <cellStyle name="20% - Accent6 7 3 2 3 2" xfId="12264" xr:uid="{00000000-0005-0000-0000-00008B2F0000}"/>
    <cellStyle name="20% - Accent6 7 3 2 3 3" xfId="12265" xr:uid="{00000000-0005-0000-0000-00008C2F0000}"/>
    <cellStyle name="20% - Accent6 7 3 2 4" xfId="12266" xr:uid="{00000000-0005-0000-0000-00008D2F0000}"/>
    <cellStyle name="20% - Accent6 7 3 2 5" xfId="12267" xr:uid="{00000000-0005-0000-0000-00008E2F0000}"/>
    <cellStyle name="20% - Accent6 7 3 2 6" xfId="12268" xr:uid="{00000000-0005-0000-0000-00008F2F0000}"/>
    <cellStyle name="20% - Accent6 7 3 3" xfId="12269" xr:uid="{00000000-0005-0000-0000-0000902F0000}"/>
    <cellStyle name="20% - Accent6 7 3 3 2" xfId="12270" xr:uid="{00000000-0005-0000-0000-0000912F0000}"/>
    <cellStyle name="20% - Accent6 7 3 3 2 2" xfId="12271" xr:uid="{00000000-0005-0000-0000-0000922F0000}"/>
    <cellStyle name="20% - Accent6 7 3 3 2 3" xfId="12272" xr:uid="{00000000-0005-0000-0000-0000932F0000}"/>
    <cellStyle name="20% - Accent6 7 3 3 3" xfId="12273" xr:uid="{00000000-0005-0000-0000-0000942F0000}"/>
    <cellStyle name="20% - Accent6 7 3 3 4" xfId="12274" xr:uid="{00000000-0005-0000-0000-0000952F0000}"/>
    <cellStyle name="20% - Accent6 7 3 4" xfId="12275" xr:uid="{00000000-0005-0000-0000-0000962F0000}"/>
    <cellStyle name="20% - Accent6 7 3 4 2" xfId="12276" xr:uid="{00000000-0005-0000-0000-0000972F0000}"/>
    <cellStyle name="20% - Accent6 7 3 4 3" xfId="12277" xr:uid="{00000000-0005-0000-0000-0000982F0000}"/>
    <cellStyle name="20% - Accent6 7 3 5" xfId="12278" xr:uid="{00000000-0005-0000-0000-0000992F0000}"/>
    <cellStyle name="20% - Accent6 7 3 6" xfId="12279" xr:uid="{00000000-0005-0000-0000-00009A2F0000}"/>
    <cellStyle name="20% - Accent6 7 3 7" xfId="12280" xr:uid="{00000000-0005-0000-0000-00009B2F0000}"/>
    <cellStyle name="20% - Accent6 7 4" xfId="12281" xr:uid="{00000000-0005-0000-0000-00009C2F0000}"/>
    <cellStyle name="20% - Accent6 7 4 2" xfId="12282" xr:uid="{00000000-0005-0000-0000-00009D2F0000}"/>
    <cellStyle name="20% - Accent6 7 4 2 2" xfId="12283" xr:uid="{00000000-0005-0000-0000-00009E2F0000}"/>
    <cellStyle name="20% - Accent6 7 4 2 2 2" xfId="12284" xr:uid="{00000000-0005-0000-0000-00009F2F0000}"/>
    <cellStyle name="20% - Accent6 7 4 2 2 3" xfId="12285" xr:uid="{00000000-0005-0000-0000-0000A02F0000}"/>
    <cellStyle name="20% - Accent6 7 4 2 3" xfId="12286" xr:uid="{00000000-0005-0000-0000-0000A12F0000}"/>
    <cellStyle name="20% - Accent6 7 4 2 4" xfId="12287" xr:uid="{00000000-0005-0000-0000-0000A22F0000}"/>
    <cellStyle name="20% - Accent6 7 4 3" xfId="12288" xr:uid="{00000000-0005-0000-0000-0000A32F0000}"/>
    <cellStyle name="20% - Accent6 7 4 3 2" xfId="12289" xr:uid="{00000000-0005-0000-0000-0000A42F0000}"/>
    <cellStyle name="20% - Accent6 7 4 3 3" xfId="12290" xr:uid="{00000000-0005-0000-0000-0000A52F0000}"/>
    <cellStyle name="20% - Accent6 7 4 4" xfId="12291" xr:uid="{00000000-0005-0000-0000-0000A62F0000}"/>
    <cellStyle name="20% - Accent6 7 4 5" xfId="12292" xr:uid="{00000000-0005-0000-0000-0000A72F0000}"/>
    <cellStyle name="20% - Accent6 7 4 6" xfId="12293" xr:uid="{00000000-0005-0000-0000-0000A82F0000}"/>
    <cellStyle name="20% - Accent6 7 5" xfId="12294" xr:uid="{00000000-0005-0000-0000-0000A92F0000}"/>
    <cellStyle name="20% - Accent6 7 5 2" xfId="12295" xr:uid="{00000000-0005-0000-0000-0000AA2F0000}"/>
    <cellStyle name="20% - Accent6 7 5 2 2" xfId="12296" xr:uid="{00000000-0005-0000-0000-0000AB2F0000}"/>
    <cellStyle name="20% - Accent6 7 5 2 3" xfId="12297" xr:uid="{00000000-0005-0000-0000-0000AC2F0000}"/>
    <cellStyle name="20% - Accent6 7 5 3" xfId="12298" xr:uid="{00000000-0005-0000-0000-0000AD2F0000}"/>
    <cellStyle name="20% - Accent6 7 5 4" xfId="12299" xr:uid="{00000000-0005-0000-0000-0000AE2F0000}"/>
    <cellStyle name="20% - Accent6 7 6" xfId="12300" xr:uid="{00000000-0005-0000-0000-0000AF2F0000}"/>
    <cellStyle name="20% - Accent6 7 6 2" xfId="12301" xr:uid="{00000000-0005-0000-0000-0000B02F0000}"/>
    <cellStyle name="20% - Accent6 7 6 3" xfId="12302" xr:uid="{00000000-0005-0000-0000-0000B12F0000}"/>
    <cellStyle name="20% - Accent6 7 7" xfId="12303" xr:uid="{00000000-0005-0000-0000-0000B22F0000}"/>
    <cellStyle name="20% - Accent6 7 8" xfId="12304" xr:uid="{00000000-0005-0000-0000-0000B32F0000}"/>
    <cellStyle name="20% - Accent6 7 9" xfId="12305" xr:uid="{00000000-0005-0000-0000-0000B42F0000}"/>
    <cellStyle name="20% - Accent6 8" xfId="12306" xr:uid="{00000000-0005-0000-0000-0000B52F0000}"/>
    <cellStyle name="20% - Accent6 8 2" xfId="12307" xr:uid="{00000000-0005-0000-0000-0000B62F0000}"/>
    <cellStyle name="20% - Accent6 8 2 2" xfId="12308" xr:uid="{00000000-0005-0000-0000-0000B72F0000}"/>
    <cellStyle name="20% - Accent6 8 2 2 2" xfId="12309" xr:uid="{00000000-0005-0000-0000-0000B82F0000}"/>
    <cellStyle name="20% - Accent6 8 2 2 2 2" xfId="12310" xr:uid="{00000000-0005-0000-0000-0000B92F0000}"/>
    <cellStyle name="20% - Accent6 8 2 2 2 2 2" xfId="12311" xr:uid="{00000000-0005-0000-0000-0000BA2F0000}"/>
    <cellStyle name="20% - Accent6 8 2 2 2 2 3" xfId="12312" xr:uid="{00000000-0005-0000-0000-0000BB2F0000}"/>
    <cellStyle name="20% - Accent6 8 2 2 2 3" xfId="12313" xr:uid="{00000000-0005-0000-0000-0000BC2F0000}"/>
    <cellStyle name="20% - Accent6 8 2 2 2 4" xfId="12314" xr:uid="{00000000-0005-0000-0000-0000BD2F0000}"/>
    <cellStyle name="20% - Accent6 8 2 2 3" xfId="12315" xr:uid="{00000000-0005-0000-0000-0000BE2F0000}"/>
    <cellStyle name="20% - Accent6 8 2 2 3 2" xfId="12316" xr:uid="{00000000-0005-0000-0000-0000BF2F0000}"/>
    <cellStyle name="20% - Accent6 8 2 2 3 3" xfId="12317" xr:uid="{00000000-0005-0000-0000-0000C02F0000}"/>
    <cellStyle name="20% - Accent6 8 2 2 4" xfId="12318" xr:uid="{00000000-0005-0000-0000-0000C12F0000}"/>
    <cellStyle name="20% - Accent6 8 2 2 5" xfId="12319" xr:uid="{00000000-0005-0000-0000-0000C22F0000}"/>
    <cellStyle name="20% - Accent6 8 2 2 6" xfId="12320" xr:uid="{00000000-0005-0000-0000-0000C32F0000}"/>
    <cellStyle name="20% - Accent6 8 2 3" xfId="12321" xr:uid="{00000000-0005-0000-0000-0000C42F0000}"/>
    <cellStyle name="20% - Accent6 8 2 3 2" xfId="12322" xr:uid="{00000000-0005-0000-0000-0000C52F0000}"/>
    <cellStyle name="20% - Accent6 8 2 3 2 2" xfId="12323" xr:uid="{00000000-0005-0000-0000-0000C62F0000}"/>
    <cellStyle name="20% - Accent6 8 2 3 2 3" xfId="12324" xr:uid="{00000000-0005-0000-0000-0000C72F0000}"/>
    <cellStyle name="20% - Accent6 8 2 3 3" xfId="12325" xr:uid="{00000000-0005-0000-0000-0000C82F0000}"/>
    <cellStyle name="20% - Accent6 8 2 3 4" xfId="12326" xr:uid="{00000000-0005-0000-0000-0000C92F0000}"/>
    <cellStyle name="20% - Accent6 8 2 4" xfId="12327" xr:uid="{00000000-0005-0000-0000-0000CA2F0000}"/>
    <cellStyle name="20% - Accent6 8 2 4 2" xfId="12328" xr:uid="{00000000-0005-0000-0000-0000CB2F0000}"/>
    <cellStyle name="20% - Accent6 8 2 4 3" xfId="12329" xr:uid="{00000000-0005-0000-0000-0000CC2F0000}"/>
    <cellStyle name="20% - Accent6 8 2 5" xfId="12330" xr:uid="{00000000-0005-0000-0000-0000CD2F0000}"/>
    <cellStyle name="20% - Accent6 8 2 6" xfId="12331" xr:uid="{00000000-0005-0000-0000-0000CE2F0000}"/>
    <cellStyle name="20% - Accent6 8 2 7" xfId="12332" xr:uid="{00000000-0005-0000-0000-0000CF2F0000}"/>
    <cellStyle name="20% - Accent6 8 3" xfId="12333" xr:uid="{00000000-0005-0000-0000-0000D02F0000}"/>
    <cellStyle name="20% - Accent6 8 3 2" xfId="12334" xr:uid="{00000000-0005-0000-0000-0000D12F0000}"/>
    <cellStyle name="20% - Accent6 8 3 2 2" xfId="12335" xr:uid="{00000000-0005-0000-0000-0000D22F0000}"/>
    <cellStyle name="20% - Accent6 8 3 2 2 2" xfId="12336" xr:uid="{00000000-0005-0000-0000-0000D32F0000}"/>
    <cellStyle name="20% - Accent6 8 3 2 2 3" xfId="12337" xr:uid="{00000000-0005-0000-0000-0000D42F0000}"/>
    <cellStyle name="20% - Accent6 8 3 2 3" xfId="12338" xr:uid="{00000000-0005-0000-0000-0000D52F0000}"/>
    <cellStyle name="20% - Accent6 8 3 2 4" xfId="12339" xr:uid="{00000000-0005-0000-0000-0000D62F0000}"/>
    <cellStyle name="20% - Accent6 8 3 3" xfId="12340" xr:uid="{00000000-0005-0000-0000-0000D72F0000}"/>
    <cellStyle name="20% - Accent6 8 3 3 2" xfId="12341" xr:uid="{00000000-0005-0000-0000-0000D82F0000}"/>
    <cellStyle name="20% - Accent6 8 3 3 3" xfId="12342" xr:uid="{00000000-0005-0000-0000-0000D92F0000}"/>
    <cellStyle name="20% - Accent6 8 3 4" xfId="12343" xr:uid="{00000000-0005-0000-0000-0000DA2F0000}"/>
    <cellStyle name="20% - Accent6 8 3 5" xfId="12344" xr:uid="{00000000-0005-0000-0000-0000DB2F0000}"/>
    <cellStyle name="20% - Accent6 8 3 6" xfId="12345" xr:uid="{00000000-0005-0000-0000-0000DC2F0000}"/>
    <cellStyle name="20% - Accent6 8 4" xfId="12346" xr:uid="{00000000-0005-0000-0000-0000DD2F0000}"/>
    <cellStyle name="20% - Accent6 8 4 2" xfId="12347" xr:uid="{00000000-0005-0000-0000-0000DE2F0000}"/>
    <cellStyle name="20% - Accent6 8 4 2 2" xfId="12348" xr:uid="{00000000-0005-0000-0000-0000DF2F0000}"/>
    <cellStyle name="20% - Accent6 8 4 2 3" xfId="12349" xr:uid="{00000000-0005-0000-0000-0000E02F0000}"/>
    <cellStyle name="20% - Accent6 8 4 3" xfId="12350" xr:uid="{00000000-0005-0000-0000-0000E12F0000}"/>
    <cellStyle name="20% - Accent6 8 4 4" xfId="12351" xr:uid="{00000000-0005-0000-0000-0000E22F0000}"/>
    <cellStyle name="20% - Accent6 8 5" xfId="12352" xr:uid="{00000000-0005-0000-0000-0000E32F0000}"/>
    <cellStyle name="20% - Accent6 8 5 2" xfId="12353" xr:uid="{00000000-0005-0000-0000-0000E42F0000}"/>
    <cellStyle name="20% - Accent6 8 5 3" xfId="12354" xr:uid="{00000000-0005-0000-0000-0000E52F0000}"/>
    <cellStyle name="20% - Accent6 8 6" xfId="12355" xr:uid="{00000000-0005-0000-0000-0000E62F0000}"/>
    <cellStyle name="20% - Accent6 8 7" xfId="12356" xr:uid="{00000000-0005-0000-0000-0000E72F0000}"/>
    <cellStyle name="20% - Accent6 8 8" xfId="12357" xr:uid="{00000000-0005-0000-0000-0000E82F0000}"/>
    <cellStyle name="20% - Accent6 9" xfId="12358" xr:uid="{00000000-0005-0000-0000-0000E92F0000}"/>
    <cellStyle name="20% - Accent6 9 2" xfId="12359" xr:uid="{00000000-0005-0000-0000-0000EA2F0000}"/>
    <cellStyle name="20% - Accent6 9 2 2" xfId="12360" xr:uid="{00000000-0005-0000-0000-0000EB2F0000}"/>
    <cellStyle name="20% - Accent6 9 2 2 2" xfId="12361" xr:uid="{00000000-0005-0000-0000-0000EC2F0000}"/>
    <cellStyle name="20% - Accent6 9 2 2 2 2" xfId="12362" xr:uid="{00000000-0005-0000-0000-0000ED2F0000}"/>
    <cellStyle name="20% - Accent6 9 2 2 2 2 2" xfId="12363" xr:uid="{00000000-0005-0000-0000-0000EE2F0000}"/>
    <cellStyle name="20% - Accent6 9 2 2 2 2 3" xfId="12364" xr:uid="{00000000-0005-0000-0000-0000EF2F0000}"/>
    <cellStyle name="20% - Accent6 9 2 2 2 3" xfId="12365" xr:uid="{00000000-0005-0000-0000-0000F02F0000}"/>
    <cellStyle name="20% - Accent6 9 2 2 2 4" xfId="12366" xr:uid="{00000000-0005-0000-0000-0000F12F0000}"/>
    <cellStyle name="20% - Accent6 9 2 2 3" xfId="12367" xr:uid="{00000000-0005-0000-0000-0000F22F0000}"/>
    <cellStyle name="20% - Accent6 9 2 2 3 2" xfId="12368" xr:uid="{00000000-0005-0000-0000-0000F32F0000}"/>
    <cellStyle name="20% - Accent6 9 2 2 3 3" xfId="12369" xr:uid="{00000000-0005-0000-0000-0000F42F0000}"/>
    <cellStyle name="20% - Accent6 9 2 2 4" xfId="12370" xr:uid="{00000000-0005-0000-0000-0000F52F0000}"/>
    <cellStyle name="20% - Accent6 9 2 2 5" xfId="12371" xr:uid="{00000000-0005-0000-0000-0000F62F0000}"/>
    <cellStyle name="20% - Accent6 9 2 2 6" xfId="12372" xr:uid="{00000000-0005-0000-0000-0000F72F0000}"/>
    <cellStyle name="20% - Accent6 9 2 3" xfId="12373" xr:uid="{00000000-0005-0000-0000-0000F82F0000}"/>
    <cellStyle name="20% - Accent6 9 2 3 2" xfId="12374" xr:uid="{00000000-0005-0000-0000-0000F92F0000}"/>
    <cellStyle name="20% - Accent6 9 2 3 2 2" xfId="12375" xr:uid="{00000000-0005-0000-0000-0000FA2F0000}"/>
    <cellStyle name="20% - Accent6 9 2 3 2 3" xfId="12376" xr:uid="{00000000-0005-0000-0000-0000FB2F0000}"/>
    <cellStyle name="20% - Accent6 9 2 3 3" xfId="12377" xr:uid="{00000000-0005-0000-0000-0000FC2F0000}"/>
    <cellStyle name="20% - Accent6 9 2 3 4" xfId="12378" xr:uid="{00000000-0005-0000-0000-0000FD2F0000}"/>
    <cellStyle name="20% - Accent6 9 2 4" xfId="12379" xr:uid="{00000000-0005-0000-0000-0000FE2F0000}"/>
    <cellStyle name="20% - Accent6 9 2 4 2" xfId="12380" xr:uid="{00000000-0005-0000-0000-0000FF2F0000}"/>
    <cellStyle name="20% - Accent6 9 2 4 3" xfId="12381" xr:uid="{00000000-0005-0000-0000-000000300000}"/>
    <cellStyle name="20% - Accent6 9 2 5" xfId="12382" xr:uid="{00000000-0005-0000-0000-000001300000}"/>
    <cellStyle name="20% - Accent6 9 2 6" xfId="12383" xr:uid="{00000000-0005-0000-0000-000002300000}"/>
    <cellStyle name="20% - Accent6 9 2 7" xfId="12384" xr:uid="{00000000-0005-0000-0000-000003300000}"/>
    <cellStyle name="20% - Accent6 9 3" xfId="12385" xr:uid="{00000000-0005-0000-0000-000004300000}"/>
    <cellStyle name="20% - Accent6 9 3 2" xfId="12386" xr:uid="{00000000-0005-0000-0000-000005300000}"/>
    <cellStyle name="20% - Accent6 9 3 2 2" xfId="12387" xr:uid="{00000000-0005-0000-0000-000006300000}"/>
    <cellStyle name="20% - Accent6 9 3 2 2 2" xfId="12388" xr:uid="{00000000-0005-0000-0000-000007300000}"/>
    <cellStyle name="20% - Accent6 9 3 2 2 3" xfId="12389" xr:uid="{00000000-0005-0000-0000-000008300000}"/>
    <cellStyle name="20% - Accent6 9 3 2 3" xfId="12390" xr:uid="{00000000-0005-0000-0000-000009300000}"/>
    <cellStyle name="20% - Accent6 9 3 2 4" xfId="12391" xr:uid="{00000000-0005-0000-0000-00000A300000}"/>
    <cellStyle name="20% - Accent6 9 3 3" xfId="12392" xr:uid="{00000000-0005-0000-0000-00000B300000}"/>
    <cellStyle name="20% - Accent6 9 3 3 2" xfId="12393" xr:uid="{00000000-0005-0000-0000-00000C300000}"/>
    <cellStyle name="20% - Accent6 9 3 3 3" xfId="12394" xr:uid="{00000000-0005-0000-0000-00000D300000}"/>
    <cellStyle name="20% - Accent6 9 3 4" xfId="12395" xr:uid="{00000000-0005-0000-0000-00000E300000}"/>
    <cellStyle name="20% - Accent6 9 3 5" xfId="12396" xr:uid="{00000000-0005-0000-0000-00000F300000}"/>
    <cellStyle name="20% - Accent6 9 3 6" xfId="12397" xr:uid="{00000000-0005-0000-0000-000010300000}"/>
    <cellStyle name="20% - Accent6 9 4" xfId="12398" xr:uid="{00000000-0005-0000-0000-000011300000}"/>
    <cellStyle name="20% - Accent6 9 4 2" xfId="12399" xr:uid="{00000000-0005-0000-0000-000012300000}"/>
    <cellStyle name="20% - Accent6 9 4 2 2" xfId="12400" xr:uid="{00000000-0005-0000-0000-000013300000}"/>
    <cellStyle name="20% - Accent6 9 4 2 3" xfId="12401" xr:uid="{00000000-0005-0000-0000-000014300000}"/>
    <cellStyle name="20% - Accent6 9 4 3" xfId="12402" xr:uid="{00000000-0005-0000-0000-000015300000}"/>
    <cellStyle name="20% - Accent6 9 4 4" xfId="12403" xr:uid="{00000000-0005-0000-0000-000016300000}"/>
    <cellStyle name="20% - Accent6 9 5" xfId="12404" xr:uid="{00000000-0005-0000-0000-000017300000}"/>
    <cellStyle name="20% - Accent6 9 5 2" xfId="12405" xr:uid="{00000000-0005-0000-0000-000018300000}"/>
    <cellStyle name="20% - Accent6 9 5 3" xfId="12406" xr:uid="{00000000-0005-0000-0000-000019300000}"/>
    <cellStyle name="20% - Accent6 9 6" xfId="12407" xr:uid="{00000000-0005-0000-0000-00001A300000}"/>
    <cellStyle name="20% - Accent6 9 7" xfId="12408" xr:uid="{00000000-0005-0000-0000-00001B300000}"/>
    <cellStyle name="20% - Accent6 9 8" xfId="12409" xr:uid="{00000000-0005-0000-0000-00001C300000}"/>
    <cellStyle name="40% - Accent1 10" xfId="12410" xr:uid="{00000000-0005-0000-0000-00001D300000}"/>
    <cellStyle name="40% - Accent1 10 2" xfId="12411" xr:uid="{00000000-0005-0000-0000-00001E300000}"/>
    <cellStyle name="40% - Accent1 10 2 2" xfId="12412" xr:uid="{00000000-0005-0000-0000-00001F300000}"/>
    <cellStyle name="40% - Accent1 10 2 2 2" xfId="12413" xr:uid="{00000000-0005-0000-0000-000020300000}"/>
    <cellStyle name="40% - Accent1 10 2 2 2 2" xfId="12414" xr:uid="{00000000-0005-0000-0000-000021300000}"/>
    <cellStyle name="40% - Accent1 10 2 2 2 2 2" xfId="12415" xr:uid="{00000000-0005-0000-0000-000022300000}"/>
    <cellStyle name="40% - Accent1 10 2 2 2 2 3" xfId="12416" xr:uid="{00000000-0005-0000-0000-000023300000}"/>
    <cellStyle name="40% - Accent1 10 2 2 2 3" xfId="12417" xr:uid="{00000000-0005-0000-0000-000024300000}"/>
    <cellStyle name="40% - Accent1 10 2 2 2 4" xfId="12418" xr:uid="{00000000-0005-0000-0000-000025300000}"/>
    <cellStyle name="40% - Accent1 10 2 2 3" xfId="12419" xr:uid="{00000000-0005-0000-0000-000026300000}"/>
    <cellStyle name="40% - Accent1 10 2 2 3 2" xfId="12420" xr:uid="{00000000-0005-0000-0000-000027300000}"/>
    <cellStyle name="40% - Accent1 10 2 2 3 3" xfId="12421" xr:uid="{00000000-0005-0000-0000-000028300000}"/>
    <cellStyle name="40% - Accent1 10 2 2 4" xfId="12422" xr:uid="{00000000-0005-0000-0000-000029300000}"/>
    <cellStyle name="40% - Accent1 10 2 2 5" xfId="12423" xr:uid="{00000000-0005-0000-0000-00002A300000}"/>
    <cellStyle name="40% - Accent1 10 2 2 6" xfId="12424" xr:uid="{00000000-0005-0000-0000-00002B300000}"/>
    <cellStyle name="40% - Accent1 10 2 3" xfId="12425" xr:uid="{00000000-0005-0000-0000-00002C300000}"/>
    <cellStyle name="40% - Accent1 10 2 3 2" xfId="12426" xr:uid="{00000000-0005-0000-0000-00002D300000}"/>
    <cellStyle name="40% - Accent1 10 2 3 2 2" xfId="12427" xr:uid="{00000000-0005-0000-0000-00002E300000}"/>
    <cellStyle name="40% - Accent1 10 2 3 2 3" xfId="12428" xr:uid="{00000000-0005-0000-0000-00002F300000}"/>
    <cellStyle name="40% - Accent1 10 2 3 3" xfId="12429" xr:uid="{00000000-0005-0000-0000-000030300000}"/>
    <cellStyle name="40% - Accent1 10 2 3 4" xfId="12430" xr:uid="{00000000-0005-0000-0000-000031300000}"/>
    <cellStyle name="40% - Accent1 10 2 4" xfId="12431" xr:uid="{00000000-0005-0000-0000-000032300000}"/>
    <cellStyle name="40% - Accent1 10 2 4 2" xfId="12432" xr:uid="{00000000-0005-0000-0000-000033300000}"/>
    <cellStyle name="40% - Accent1 10 2 4 3" xfId="12433" xr:uid="{00000000-0005-0000-0000-000034300000}"/>
    <cellStyle name="40% - Accent1 10 2 5" xfId="12434" xr:uid="{00000000-0005-0000-0000-000035300000}"/>
    <cellStyle name="40% - Accent1 10 2 6" xfId="12435" xr:uid="{00000000-0005-0000-0000-000036300000}"/>
    <cellStyle name="40% - Accent1 10 2 7" xfId="12436" xr:uid="{00000000-0005-0000-0000-000037300000}"/>
    <cellStyle name="40% - Accent1 10 3" xfId="12437" xr:uid="{00000000-0005-0000-0000-000038300000}"/>
    <cellStyle name="40% - Accent1 10 3 2" xfId="12438" xr:uid="{00000000-0005-0000-0000-000039300000}"/>
    <cellStyle name="40% - Accent1 10 3 2 2" xfId="12439" xr:uid="{00000000-0005-0000-0000-00003A300000}"/>
    <cellStyle name="40% - Accent1 10 3 2 2 2" xfId="12440" xr:uid="{00000000-0005-0000-0000-00003B300000}"/>
    <cellStyle name="40% - Accent1 10 3 2 2 3" xfId="12441" xr:uid="{00000000-0005-0000-0000-00003C300000}"/>
    <cellStyle name="40% - Accent1 10 3 2 3" xfId="12442" xr:uid="{00000000-0005-0000-0000-00003D300000}"/>
    <cellStyle name="40% - Accent1 10 3 2 4" xfId="12443" xr:uid="{00000000-0005-0000-0000-00003E300000}"/>
    <cellStyle name="40% - Accent1 10 3 3" xfId="12444" xr:uid="{00000000-0005-0000-0000-00003F300000}"/>
    <cellStyle name="40% - Accent1 10 3 3 2" xfId="12445" xr:uid="{00000000-0005-0000-0000-000040300000}"/>
    <cellStyle name="40% - Accent1 10 3 3 3" xfId="12446" xr:uid="{00000000-0005-0000-0000-000041300000}"/>
    <cellStyle name="40% - Accent1 10 3 4" xfId="12447" xr:uid="{00000000-0005-0000-0000-000042300000}"/>
    <cellStyle name="40% - Accent1 10 3 5" xfId="12448" xr:uid="{00000000-0005-0000-0000-000043300000}"/>
    <cellStyle name="40% - Accent1 10 3 6" xfId="12449" xr:uid="{00000000-0005-0000-0000-000044300000}"/>
    <cellStyle name="40% - Accent1 10 4" xfId="12450" xr:uid="{00000000-0005-0000-0000-000045300000}"/>
    <cellStyle name="40% - Accent1 10 4 2" xfId="12451" xr:uid="{00000000-0005-0000-0000-000046300000}"/>
    <cellStyle name="40% - Accent1 10 4 2 2" xfId="12452" xr:uid="{00000000-0005-0000-0000-000047300000}"/>
    <cellStyle name="40% - Accent1 10 4 2 3" xfId="12453" xr:uid="{00000000-0005-0000-0000-000048300000}"/>
    <cellStyle name="40% - Accent1 10 4 3" xfId="12454" xr:uid="{00000000-0005-0000-0000-000049300000}"/>
    <cellStyle name="40% - Accent1 10 4 4" xfId="12455" xr:uid="{00000000-0005-0000-0000-00004A300000}"/>
    <cellStyle name="40% - Accent1 10 5" xfId="12456" xr:uid="{00000000-0005-0000-0000-00004B300000}"/>
    <cellStyle name="40% - Accent1 10 5 2" xfId="12457" xr:uid="{00000000-0005-0000-0000-00004C300000}"/>
    <cellStyle name="40% - Accent1 10 5 3" xfId="12458" xr:uid="{00000000-0005-0000-0000-00004D300000}"/>
    <cellStyle name="40% - Accent1 10 6" xfId="12459" xr:uid="{00000000-0005-0000-0000-00004E300000}"/>
    <cellStyle name="40% - Accent1 10 7" xfId="12460" xr:uid="{00000000-0005-0000-0000-00004F300000}"/>
    <cellStyle name="40% - Accent1 10 8" xfId="12461" xr:uid="{00000000-0005-0000-0000-000050300000}"/>
    <cellStyle name="40% - Accent1 11" xfId="12462" xr:uid="{00000000-0005-0000-0000-000051300000}"/>
    <cellStyle name="40% - Accent1 11 2" xfId="12463" xr:uid="{00000000-0005-0000-0000-000052300000}"/>
    <cellStyle name="40% - Accent1 11 2 2" xfId="12464" xr:uid="{00000000-0005-0000-0000-000053300000}"/>
    <cellStyle name="40% - Accent1 11 2 2 2" xfId="12465" xr:uid="{00000000-0005-0000-0000-000054300000}"/>
    <cellStyle name="40% - Accent1 11 2 2 2 2" xfId="12466" xr:uid="{00000000-0005-0000-0000-000055300000}"/>
    <cellStyle name="40% - Accent1 11 2 2 2 3" xfId="12467" xr:uid="{00000000-0005-0000-0000-000056300000}"/>
    <cellStyle name="40% - Accent1 11 2 2 3" xfId="12468" xr:uid="{00000000-0005-0000-0000-000057300000}"/>
    <cellStyle name="40% - Accent1 11 2 2 4" xfId="12469" xr:uid="{00000000-0005-0000-0000-000058300000}"/>
    <cellStyle name="40% - Accent1 11 2 3" xfId="12470" xr:uid="{00000000-0005-0000-0000-000059300000}"/>
    <cellStyle name="40% - Accent1 11 2 3 2" xfId="12471" xr:uid="{00000000-0005-0000-0000-00005A300000}"/>
    <cellStyle name="40% - Accent1 11 2 3 3" xfId="12472" xr:uid="{00000000-0005-0000-0000-00005B300000}"/>
    <cellStyle name="40% - Accent1 11 2 4" xfId="12473" xr:uid="{00000000-0005-0000-0000-00005C300000}"/>
    <cellStyle name="40% - Accent1 11 2 5" xfId="12474" xr:uid="{00000000-0005-0000-0000-00005D300000}"/>
    <cellStyle name="40% - Accent1 11 2 6" xfId="12475" xr:uid="{00000000-0005-0000-0000-00005E300000}"/>
    <cellStyle name="40% - Accent1 11 3" xfId="12476" xr:uid="{00000000-0005-0000-0000-00005F300000}"/>
    <cellStyle name="40% - Accent1 11 3 2" xfId="12477" xr:uid="{00000000-0005-0000-0000-000060300000}"/>
    <cellStyle name="40% - Accent1 11 3 2 2" xfId="12478" xr:uid="{00000000-0005-0000-0000-000061300000}"/>
    <cellStyle name="40% - Accent1 11 3 2 3" xfId="12479" xr:uid="{00000000-0005-0000-0000-000062300000}"/>
    <cellStyle name="40% - Accent1 11 3 3" xfId="12480" xr:uid="{00000000-0005-0000-0000-000063300000}"/>
    <cellStyle name="40% - Accent1 11 3 4" xfId="12481" xr:uid="{00000000-0005-0000-0000-000064300000}"/>
    <cellStyle name="40% - Accent1 11 4" xfId="12482" xr:uid="{00000000-0005-0000-0000-000065300000}"/>
    <cellStyle name="40% - Accent1 11 4 2" xfId="12483" xr:uid="{00000000-0005-0000-0000-000066300000}"/>
    <cellStyle name="40% - Accent1 11 4 3" xfId="12484" xr:uid="{00000000-0005-0000-0000-000067300000}"/>
    <cellStyle name="40% - Accent1 11 5" xfId="12485" xr:uid="{00000000-0005-0000-0000-000068300000}"/>
    <cellStyle name="40% - Accent1 11 6" xfId="12486" xr:uid="{00000000-0005-0000-0000-000069300000}"/>
    <cellStyle name="40% - Accent1 11 7" xfId="12487" xr:uid="{00000000-0005-0000-0000-00006A300000}"/>
    <cellStyle name="40% - Accent1 12" xfId="12488" xr:uid="{00000000-0005-0000-0000-00006B300000}"/>
    <cellStyle name="40% - Accent1 12 2" xfId="12489" xr:uid="{00000000-0005-0000-0000-00006C300000}"/>
    <cellStyle name="40% - Accent1 12 2 2" xfId="12490" xr:uid="{00000000-0005-0000-0000-00006D300000}"/>
    <cellStyle name="40% - Accent1 12 2 2 2" xfId="12491" xr:uid="{00000000-0005-0000-0000-00006E300000}"/>
    <cellStyle name="40% - Accent1 12 2 2 3" xfId="12492" xr:uid="{00000000-0005-0000-0000-00006F300000}"/>
    <cellStyle name="40% - Accent1 12 2 3" xfId="12493" xr:uid="{00000000-0005-0000-0000-000070300000}"/>
    <cellStyle name="40% - Accent1 12 2 4" xfId="12494" xr:uid="{00000000-0005-0000-0000-000071300000}"/>
    <cellStyle name="40% - Accent1 12 3" xfId="12495" xr:uid="{00000000-0005-0000-0000-000072300000}"/>
    <cellStyle name="40% - Accent1 12 3 2" xfId="12496" xr:uid="{00000000-0005-0000-0000-000073300000}"/>
    <cellStyle name="40% - Accent1 12 3 3" xfId="12497" xr:uid="{00000000-0005-0000-0000-000074300000}"/>
    <cellStyle name="40% - Accent1 12 4" xfId="12498" xr:uid="{00000000-0005-0000-0000-000075300000}"/>
    <cellStyle name="40% - Accent1 12 5" xfId="12499" xr:uid="{00000000-0005-0000-0000-000076300000}"/>
    <cellStyle name="40% - Accent1 12 6" xfId="12500" xr:uid="{00000000-0005-0000-0000-000077300000}"/>
    <cellStyle name="40% - Accent1 13" xfId="12501" xr:uid="{00000000-0005-0000-0000-000078300000}"/>
    <cellStyle name="40% - Accent1 13 2" xfId="12502" xr:uid="{00000000-0005-0000-0000-000079300000}"/>
    <cellStyle name="40% - Accent1 13 2 2" xfId="12503" xr:uid="{00000000-0005-0000-0000-00007A300000}"/>
    <cellStyle name="40% - Accent1 13 2 2 2" xfId="12504" xr:uid="{00000000-0005-0000-0000-00007B300000}"/>
    <cellStyle name="40% - Accent1 13 2 2 3" xfId="12505" xr:uid="{00000000-0005-0000-0000-00007C300000}"/>
    <cellStyle name="40% - Accent1 13 2 3" xfId="12506" xr:uid="{00000000-0005-0000-0000-00007D300000}"/>
    <cellStyle name="40% - Accent1 13 2 4" xfId="12507" xr:uid="{00000000-0005-0000-0000-00007E300000}"/>
    <cellStyle name="40% - Accent1 13 3" xfId="12508" xr:uid="{00000000-0005-0000-0000-00007F300000}"/>
    <cellStyle name="40% - Accent1 13 3 2" xfId="12509" xr:uid="{00000000-0005-0000-0000-000080300000}"/>
    <cellStyle name="40% - Accent1 13 3 3" xfId="12510" xr:uid="{00000000-0005-0000-0000-000081300000}"/>
    <cellStyle name="40% - Accent1 13 4" xfId="12511" xr:uid="{00000000-0005-0000-0000-000082300000}"/>
    <cellStyle name="40% - Accent1 13 5" xfId="12512" xr:uid="{00000000-0005-0000-0000-000083300000}"/>
    <cellStyle name="40% - Accent1 13 6" xfId="12513" xr:uid="{00000000-0005-0000-0000-000084300000}"/>
    <cellStyle name="40% - Accent1 14" xfId="12514" xr:uid="{00000000-0005-0000-0000-000085300000}"/>
    <cellStyle name="40% - Accent1 14 2" xfId="12515" xr:uid="{00000000-0005-0000-0000-000086300000}"/>
    <cellStyle name="40% - Accent1 14 2 2" xfId="12516" xr:uid="{00000000-0005-0000-0000-000087300000}"/>
    <cellStyle name="40% - Accent1 14 2 3" xfId="12517" xr:uid="{00000000-0005-0000-0000-000088300000}"/>
    <cellStyle name="40% - Accent1 14 3" xfId="12518" xr:uid="{00000000-0005-0000-0000-000089300000}"/>
    <cellStyle name="40% - Accent1 14 4" xfId="12519" xr:uid="{00000000-0005-0000-0000-00008A300000}"/>
    <cellStyle name="40% - Accent1 15" xfId="12520" xr:uid="{00000000-0005-0000-0000-00008B300000}"/>
    <cellStyle name="40% - Accent1 16" xfId="12521" xr:uid="{00000000-0005-0000-0000-00008C300000}"/>
    <cellStyle name="40% - Accent1 17" xfId="12522" xr:uid="{00000000-0005-0000-0000-00008D300000}"/>
    <cellStyle name="40% - Accent1 2" xfId="12523" xr:uid="{00000000-0005-0000-0000-00008E300000}"/>
    <cellStyle name="40% - Accent1 2 2" xfId="12524" xr:uid="{00000000-0005-0000-0000-00008F300000}"/>
    <cellStyle name="40% - Accent1 3" xfId="12525" xr:uid="{00000000-0005-0000-0000-000090300000}"/>
    <cellStyle name="40% - Accent1 3 10" xfId="12526" xr:uid="{00000000-0005-0000-0000-000091300000}"/>
    <cellStyle name="40% - Accent1 3 10 2" xfId="12527" xr:uid="{00000000-0005-0000-0000-000092300000}"/>
    <cellStyle name="40% - Accent1 3 10 2 2" xfId="12528" xr:uid="{00000000-0005-0000-0000-000093300000}"/>
    <cellStyle name="40% - Accent1 3 10 2 2 2" xfId="12529" xr:uid="{00000000-0005-0000-0000-000094300000}"/>
    <cellStyle name="40% - Accent1 3 10 2 2 3" xfId="12530" xr:uid="{00000000-0005-0000-0000-000095300000}"/>
    <cellStyle name="40% - Accent1 3 10 2 3" xfId="12531" xr:uid="{00000000-0005-0000-0000-000096300000}"/>
    <cellStyle name="40% - Accent1 3 10 2 4" xfId="12532" xr:uid="{00000000-0005-0000-0000-000097300000}"/>
    <cellStyle name="40% - Accent1 3 10 3" xfId="12533" xr:uid="{00000000-0005-0000-0000-000098300000}"/>
    <cellStyle name="40% - Accent1 3 10 3 2" xfId="12534" xr:uid="{00000000-0005-0000-0000-000099300000}"/>
    <cellStyle name="40% - Accent1 3 10 3 3" xfId="12535" xr:uid="{00000000-0005-0000-0000-00009A300000}"/>
    <cellStyle name="40% - Accent1 3 10 4" xfId="12536" xr:uid="{00000000-0005-0000-0000-00009B300000}"/>
    <cellStyle name="40% - Accent1 3 10 5" xfId="12537" xr:uid="{00000000-0005-0000-0000-00009C300000}"/>
    <cellStyle name="40% - Accent1 3 10 6" xfId="12538" xr:uid="{00000000-0005-0000-0000-00009D300000}"/>
    <cellStyle name="40% - Accent1 3 11" xfId="12539" xr:uid="{00000000-0005-0000-0000-00009E300000}"/>
    <cellStyle name="40% - Accent1 3 11 2" xfId="12540" xr:uid="{00000000-0005-0000-0000-00009F300000}"/>
    <cellStyle name="40% - Accent1 3 11 2 2" xfId="12541" xr:uid="{00000000-0005-0000-0000-0000A0300000}"/>
    <cellStyle name="40% - Accent1 3 11 2 3" xfId="12542" xr:uid="{00000000-0005-0000-0000-0000A1300000}"/>
    <cellStyle name="40% - Accent1 3 11 3" xfId="12543" xr:uid="{00000000-0005-0000-0000-0000A2300000}"/>
    <cellStyle name="40% - Accent1 3 11 4" xfId="12544" xr:uid="{00000000-0005-0000-0000-0000A3300000}"/>
    <cellStyle name="40% - Accent1 3 12" xfId="12545" xr:uid="{00000000-0005-0000-0000-0000A4300000}"/>
    <cellStyle name="40% - Accent1 3 12 2" xfId="12546" xr:uid="{00000000-0005-0000-0000-0000A5300000}"/>
    <cellStyle name="40% - Accent1 3 12 3" xfId="12547" xr:uid="{00000000-0005-0000-0000-0000A6300000}"/>
    <cellStyle name="40% - Accent1 3 13" xfId="12548" xr:uid="{00000000-0005-0000-0000-0000A7300000}"/>
    <cellStyle name="40% - Accent1 3 14" xfId="12549" xr:uid="{00000000-0005-0000-0000-0000A8300000}"/>
    <cellStyle name="40% - Accent1 3 15" xfId="12550" xr:uid="{00000000-0005-0000-0000-0000A9300000}"/>
    <cellStyle name="40% - Accent1 3 2" xfId="12551" xr:uid="{00000000-0005-0000-0000-0000AA300000}"/>
    <cellStyle name="40% - Accent1 3 2 10" xfId="12552" xr:uid="{00000000-0005-0000-0000-0000AB300000}"/>
    <cellStyle name="40% - Accent1 3 2 11" xfId="12553" xr:uid="{00000000-0005-0000-0000-0000AC300000}"/>
    <cellStyle name="40% - Accent1 3 2 2" xfId="12554" xr:uid="{00000000-0005-0000-0000-0000AD300000}"/>
    <cellStyle name="40% - Accent1 3 2 2 10" xfId="12555" xr:uid="{00000000-0005-0000-0000-0000AE300000}"/>
    <cellStyle name="40% - Accent1 3 2 2 2" xfId="12556" xr:uid="{00000000-0005-0000-0000-0000AF300000}"/>
    <cellStyle name="40% - Accent1 3 2 2 2 2" xfId="12557" xr:uid="{00000000-0005-0000-0000-0000B0300000}"/>
    <cellStyle name="40% - Accent1 3 2 2 2 2 2" xfId="12558" xr:uid="{00000000-0005-0000-0000-0000B1300000}"/>
    <cellStyle name="40% - Accent1 3 2 2 2 2 2 2" xfId="12559" xr:uid="{00000000-0005-0000-0000-0000B2300000}"/>
    <cellStyle name="40% - Accent1 3 2 2 2 2 2 2 2" xfId="12560" xr:uid="{00000000-0005-0000-0000-0000B3300000}"/>
    <cellStyle name="40% - Accent1 3 2 2 2 2 2 2 2 2" xfId="12561" xr:uid="{00000000-0005-0000-0000-0000B4300000}"/>
    <cellStyle name="40% - Accent1 3 2 2 2 2 2 2 2 2 2" xfId="12562" xr:uid="{00000000-0005-0000-0000-0000B5300000}"/>
    <cellStyle name="40% - Accent1 3 2 2 2 2 2 2 2 2 3" xfId="12563" xr:uid="{00000000-0005-0000-0000-0000B6300000}"/>
    <cellStyle name="40% - Accent1 3 2 2 2 2 2 2 2 3" xfId="12564" xr:uid="{00000000-0005-0000-0000-0000B7300000}"/>
    <cellStyle name="40% - Accent1 3 2 2 2 2 2 2 2 4" xfId="12565" xr:uid="{00000000-0005-0000-0000-0000B8300000}"/>
    <cellStyle name="40% - Accent1 3 2 2 2 2 2 2 3" xfId="12566" xr:uid="{00000000-0005-0000-0000-0000B9300000}"/>
    <cellStyle name="40% - Accent1 3 2 2 2 2 2 2 3 2" xfId="12567" xr:uid="{00000000-0005-0000-0000-0000BA300000}"/>
    <cellStyle name="40% - Accent1 3 2 2 2 2 2 2 3 3" xfId="12568" xr:uid="{00000000-0005-0000-0000-0000BB300000}"/>
    <cellStyle name="40% - Accent1 3 2 2 2 2 2 2 4" xfId="12569" xr:uid="{00000000-0005-0000-0000-0000BC300000}"/>
    <cellStyle name="40% - Accent1 3 2 2 2 2 2 2 5" xfId="12570" xr:uid="{00000000-0005-0000-0000-0000BD300000}"/>
    <cellStyle name="40% - Accent1 3 2 2 2 2 2 2 6" xfId="12571" xr:uid="{00000000-0005-0000-0000-0000BE300000}"/>
    <cellStyle name="40% - Accent1 3 2 2 2 2 2 3" xfId="12572" xr:uid="{00000000-0005-0000-0000-0000BF300000}"/>
    <cellStyle name="40% - Accent1 3 2 2 2 2 2 3 2" xfId="12573" xr:uid="{00000000-0005-0000-0000-0000C0300000}"/>
    <cellStyle name="40% - Accent1 3 2 2 2 2 2 3 2 2" xfId="12574" xr:uid="{00000000-0005-0000-0000-0000C1300000}"/>
    <cellStyle name="40% - Accent1 3 2 2 2 2 2 3 2 3" xfId="12575" xr:uid="{00000000-0005-0000-0000-0000C2300000}"/>
    <cellStyle name="40% - Accent1 3 2 2 2 2 2 3 3" xfId="12576" xr:uid="{00000000-0005-0000-0000-0000C3300000}"/>
    <cellStyle name="40% - Accent1 3 2 2 2 2 2 3 4" xfId="12577" xr:uid="{00000000-0005-0000-0000-0000C4300000}"/>
    <cellStyle name="40% - Accent1 3 2 2 2 2 2 4" xfId="12578" xr:uid="{00000000-0005-0000-0000-0000C5300000}"/>
    <cellStyle name="40% - Accent1 3 2 2 2 2 2 4 2" xfId="12579" xr:uid="{00000000-0005-0000-0000-0000C6300000}"/>
    <cellStyle name="40% - Accent1 3 2 2 2 2 2 4 3" xfId="12580" xr:uid="{00000000-0005-0000-0000-0000C7300000}"/>
    <cellStyle name="40% - Accent1 3 2 2 2 2 2 5" xfId="12581" xr:uid="{00000000-0005-0000-0000-0000C8300000}"/>
    <cellStyle name="40% - Accent1 3 2 2 2 2 2 6" xfId="12582" xr:uid="{00000000-0005-0000-0000-0000C9300000}"/>
    <cellStyle name="40% - Accent1 3 2 2 2 2 2 7" xfId="12583" xr:uid="{00000000-0005-0000-0000-0000CA300000}"/>
    <cellStyle name="40% - Accent1 3 2 2 2 2 3" xfId="12584" xr:uid="{00000000-0005-0000-0000-0000CB300000}"/>
    <cellStyle name="40% - Accent1 3 2 2 2 2 3 2" xfId="12585" xr:uid="{00000000-0005-0000-0000-0000CC300000}"/>
    <cellStyle name="40% - Accent1 3 2 2 2 2 3 2 2" xfId="12586" xr:uid="{00000000-0005-0000-0000-0000CD300000}"/>
    <cellStyle name="40% - Accent1 3 2 2 2 2 3 2 2 2" xfId="12587" xr:uid="{00000000-0005-0000-0000-0000CE300000}"/>
    <cellStyle name="40% - Accent1 3 2 2 2 2 3 2 2 3" xfId="12588" xr:uid="{00000000-0005-0000-0000-0000CF300000}"/>
    <cellStyle name="40% - Accent1 3 2 2 2 2 3 2 3" xfId="12589" xr:uid="{00000000-0005-0000-0000-0000D0300000}"/>
    <cellStyle name="40% - Accent1 3 2 2 2 2 3 2 4" xfId="12590" xr:uid="{00000000-0005-0000-0000-0000D1300000}"/>
    <cellStyle name="40% - Accent1 3 2 2 2 2 3 3" xfId="12591" xr:uid="{00000000-0005-0000-0000-0000D2300000}"/>
    <cellStyle name="40% - Accent1 3 2 2 2 2 3 3 2" xfId="12592" xr:uid="{00000000-0005-0000-0000-0000D3300000}"/>
    <cellStyle name="40% - Accent1 3 2 2 2 2 3 3 3" xfId="12593" xr:uid="{00000000-0005-0000-0000-0000D4300000}"/>
    <cellStyle name="40% - Accent1 3 2 2 2 2 3 4" xfId="12594" xr:uid="{00000000-0005-0000-0000-0000D5300000}"/>
    <cellStyle name="40% - Accent1 3 2 2 2 2 3 5" xfId="12595" xr:uid="{00000000-0005-0000-0000-0000D6300000}"/>
    <cellStyle name="40% - Accent1 3 2 2 2 2 3 6" xfId="12596" xr:uid="{00000000-0005-0000-0000-0000D7300000}"/>
    <cellStyle name="40% - Accent1 3 2 2 2 2 4" xfId="12597" xr:uid="{00000000-0005-0000-0000-0000D8300000}"/>
    <cellStyle name="40% - Accent1 3 2 2 2 2 4 2" xfId="12598" xr:uid="{00000000-0005-0000-0000-0000D9300000}"/>
    <cellStyle name="40% - Accent1 3 2 2 2 2 4 2 2" xfId="12599" xr:uid="{00000000-0005-0000-0000-0000DA300000}"/>
    <cellStyle name="40% - Accent1 3 2 2 2 2 4 2 3" xfId="12600" xr:uid="{00000000-0005-0000-0000-0000DB300000}"/>
    <cellStyle name="40% - Accent1 3 2 2 2 2 4 3" xfId="12601" xr:uid="{00000000-0005-0000-0000-0000DC300000}"/>
    <cellStyle name="40% - Accent1 3 2 2 2 2 4 4" xfId="12602" xr:uid="{00000000-0005-0000-0000-0000DD300000}"/>
    <cellStyle name="40% - Accent1 3 2 2 2 2 5" xfId="12603" xr:uid="{00000000-0005-0000-0000-0000DE300000}"/>
    <cellStyle name="40% - Accent1 3 2 2 2 2 5 2" xfId="12604" xr:uid="{00000000-0005-0000-0000-0000DF300000}"/>
    <cellStyle name="40% - Accent1 3 2 2 2 2 5 3" xfId="12605" xr:uid="{00000000-0005-0000-0000-0000E0300000}"/>
    <cellStyle name="40% - Accent1 3 2 2 2 2 6" xfId="12606" xr:uid="{00000000-0005-0000-0000-0000E1300000}"/>
    <cellStyle name="40% - Accent1 3 2 2 2 2 7" xfId="12607" xr:uid="{00000000-0005-0000-0000-0000E2300000}"/>
    <cellStyle name="40% - Accent1 3 2 2 2 2 8" xfId="12608" xr:uid="{00000000-0005-0000-0000-0000E3300000}"/>
    <cellStyle name="40% - Accent1 3 2 2 2 3" xfId="12609" xr:uid="{00000000-0005-0000-0000-0000E4300000}"/>
    <cellStyle name="40% - Accent1 3 2 2 2 3 2" xfId="12610" xr:uid="{00000000-0005-0000-0000-0000E5300000}"/>
    <cellStyle name="40% - Accent1 3 2 2 2 3 2 2" xfId="12611" xr:uid="{00000000-0005-0000-0000-0000E6300000}"/>
    <cellStyle name="40% - Accent1 3 2 2 2 3 2 2 2" xfId="12612" xr:uid="{00000000-0005-0000-0000-0000E7300000}"/>
    <cellStyle name="40% - Accent1 3 2 2 2 3 2 2 2 2" xfId="12613" xr:uid="{00000000-0005-0000-0000-0000E8300000}"/>
    <cellStyle name="40% - Accent1 3 2 2 2 3 2 2 2 3" xfId="12614" xr:uid="{00000000-0005-0000-0000-0000E9300000}"/>
    <cellStyle name="40% - Accent1 3 2 2 2 3 2 2 3" xfId="12615" xr:uid="{00000000-0005-0000-0000-0000EA300000}"/>
    <cellStyle name="40% - Accent1 3 2 2 2 3 2 2 4" xfId="12616" xr:uid="{00000000-0005-0000-0000-0000EB300000}"/>
    <cellStyle name="40% - Accent1 3 2 2 2 3 2 3" xfId="12617" xr:uid="{00000000-0005-0000-0000-0000EC300000}"/>
    <cellStyle name="40% - Accent1 3 2 2 2 3 2 3 2" xfId="12618" xr:uid="{00000000-0005-0000-0000-0000ED300000}"/>
    <cellStyle name="40% - Accent1 3 2 2 2 3 2 3 3" xfId="12619" xr:uid="{00000000-0005-0000-0000-0000EE300000}"/>
    <cellStyle name="40% - Accent1 3 2 2 2 3 2 4" xfId="12620" xr:uid="{00000000-0005-0000-0000-0000EF300000}"/>
    <cellStyle name="40% - Accent1 3 2 2 2 3 2 5" xfId="12621" xr:uid="{00000000-0005-0000-0000-0000F0300000}"/>
    <cellStyle name="40% - Accent1 3 2 2 2 3 2 6" xfId="12622" xr:uid="{00000000-0005-0000-0000-0000F1300000}"/>
    <cellStyle name="40% - Accent1 3 2 2 2 3 3" xfId="12623" xr:uid="{00000000-0005-0000-0000-0000F2300000}"/>
    <cellStyle name="40% - Accent1 3 2 2 2 3 3 2" xfId="12624" xr:uid="{00000000-0005-0000-0000-0000F3300000}"/>
    <cellStyle name="40% - Accent1 3 2 2 2 3 3 2 2" xfId="12625" xr:uid="{00000000-0005-0000-0000-0000F4300000}"/>
    <cellStyle name="40% - Accent1 3 2 2 2 3 3 2 3" xfId="12626" xr:uid="{00000000-0005-0000-0000-0000F5300000}"/>
    <cellStyle name="40% - Accent1 3 2 2 2 3 3 3" xfId="12627" xr:uid="{00000000-0005-0000-0000-0000F6300000}"/>
    <cellStyle name="40% - Accent1 3 2 2 2 3 3 4" xfId="12628" xr:uid="{00000000-0005-0000-0000-0000F7300000}"/>
    <cellStyle name="40% - Accent1 3 2 2 2 3 4" xfId="12629" xr:uid="{00000000-0005-0000-0000-0000F8300000}"/>
    <cellStyle name="40% - Accent1 3 2 2 2 3 4 2" xfId="12630" xr:uid="{00000000-0005-0000-0000-0000F9300000}"/>
    <cellStyle name="40% - Accent1 3 2 2 2 3 4 3" xfId="12631" xr:uid="{00000000-0005-0000-0000-0000FA300000}"/>
    <cellStyle name="40% - Accent1 3 2 2 2 3 5" xfId="12632" xr:uid="{00000000-0005-0000-0000-0000FB300000}"/>
    <cellStyle name="40% - Accent1 3 2 2 2 3 6" xfId="12633" xr:uid="{00000000-0005-0000-0000-0000FC300000}"/>
    <cellStyle name="40% - Accent1 3 2 2 2 3 7" xfId="12634" xr:uid="{00000000-0005-0000-0000-0000FD300000}"/>
    <cellStyle name="40% - Accent1 3 2 2 2 4" xfId="12635" xr:uid="{00000000-0005-0000-0000-0000FE300000}"/>
    <cellStyle name="40% - Accent1 3 2 2 2 4 2" xfId="12636" xr:uid="{00000000-0005-0000-0000-0000FF300000}"/>
    <cellStyle name="40% - Accent1 3 2 2 2 4 2 2" xfId="12637" xr:uid="{00000000-0005-0000-0000-000000310000}"/>
    <cellStyle name="40% - Accent1 3 2 2 2 4 2 2 2" xfId="12638" xr:uid="{00000000-0005-0000-0000-000001310000}"/>
    <cellStyle name="40% - Accent1 3 2 2 2 4 2 2 3" xfId="12639" xr:uid="{00000000-0005-0000-0000-000002310000}"/>
    <cellStyle name="40% - Accent1 3 2 2 2 4 2 3" xfId="12640" xr:uid="{00000000-0005-0000-0000-000003310000}"/>
    <cellStyle name="40% - Accent1 3 2 2 2 4 2 4" xfId="12641" xr:uid="{00000000-0005-0000-0000-000004310000}"/>
    <cellStyle name="40% - Accent1 3 2 2 2 4 3" xfId="12642" xr:uid="{00000000-0005-0000-0000-000005310000}"/>
    <cellStyle name="40% - Accent1 3 2 2 2 4 3 2" xfId="12643" xr:uid="{00000000-0005-0000-0000-000006310000}"/>
    <cellStyle name="40% - Accent1 3 2 2 2 4 3 3" xfId="12644" xr:uid="{00000000-0005-0000-0000-000007310000}"/>
    <cellStyle name="40% - Accent1 3 2 2 2 4 4" xfId="12645" xr:uid="{00000000-0005-0000-0000-000008310000}"/>
    <cellStyle name="40% - Accent1 3 2 2 2 4 5" xfId="12646" xr:uid="{00000000-0005-0000-0000-000009310000}"/>
    <cellStyle name="40% - Accent1 3 2 2 2 4 6" xfId="12647" xr:uid="{00000000-0005-0000-0000-00000A310000}"/>
    <cellStyle name="40% - Accent1 3 2 2 2 5" xfId="12648" xr:uid="{00000000-0005-0000-0000-00000B310000}"/>
    <cellStyle name="40% - Accent1 3 2 2 2 5 2" xfId="12649" xr:uid="{00000000-0005-0000-0000-00000C310000}"/>
    <cellStyle name="40% - Accent1 3 2 2 2 5 2 2" xfId="12650" xr:uid="{00000000-0005-0000-0000-00000D310000}"/>
    <cellStyle name="40% - Accent1 3 2 2 2 5 2 3" xfId="12651" xr:uid="{00000000-0005-0000-0000-00000E310000}"/>
    <cellStyle name="40% - Accent1 3 2 2 2 5 3" xfId="12652" xr:uid="{00000000-0005-0000-0000-00000F310000}"/>
    <cellStyle name="40% - Accent1 3 2 2 2 5 4" xfId="12653" xr:uid="{00000000-0005-0000-0000-000010310000}"/>
    <cellStyle name="40% - Accent1 3 2 2 2 6" xfId="12654" xr:uid="{00000000-0005-0000-0000-000011310000}"/>
    <cellStyle name="40% - Accent1 3 2 2 2 6 2" xfId="12655" xr:uid="{00000000-0005-0000-0000-000012310000}"/>
    <cellStyle name="40% - Accent1 3 2 2 2 6 3" xfId="12656" xr:uid="{00000000-0005-0000-0000-000013310000}"/>
    <cellStyle name="40% - Accent1 3 2 2 2 7" xfId="12657" xr:uid="{00000000-0005-0000-0000-000014310000}"/>
    <cellStyle name="40% - Accent1 3 2 2 2 8" xfId="12658" xr:uid="{00000000-0005-0000-0000-000015310000}"/>
    <cellStyle name="40% - Accent1 3 2 2 2 9" xfId="12659" xr:uid="{00000000-0005-0000-0000-000016310000}"/>
    <cellStyle name="40% - Accent1 3 2 2 3" xfId="12660" xr:uid="{00000000-0005-0000-0000-000017310000}"/>
    <cellStyle name="40% - Accent1 3 2 2 3 2" xfId="12661" xr:uid="{00000000-0005-0000-0000-000018310000}"/>
    <cellStyle name="40% - Accent1 3 2 2 3 2 2" xfId="12662" xr:uid="{00000000-0005-0000-0000-000019310000}"/>
    <cellStyle name="40% - Accent1 3 2 2 3 2 2 2" xfId="12663" xr:uid="{00000000-0005-0000-0000-00001A310000}"/>
    <cellStyle name="40% - Accent1 3 2 2 3 2 2 2 2" xfId="12664" xr:uid="{00000000-0005-0000-0000-00001B310000}"/>
    <cellStyle name="40% - Accent1 3 2 2 3 2 2 2 2 2" xfId="12665" xr:uid="{00000000-0005-0000-0000-00001C310000}"/>
    <cellStyle name="40% - Accent1 3 2 2 3 2 2 2 2 3" xfId="12666" xr:uid="{00000000-0005-0000-0000-00001D310000}"/>
    <cellStyle name="40% - Accent1 3 2 2 3 2 2 2 3" xfId="12667" xr:uid="{00000000-0005-0000-0000-00001E310000}"/>
    <cellStyle name="40% - Accent1 3 2 2 3 2 2 2 4" xfId="12668" xr:uid="{00000000-0005-0000-0000-00001F310000}"/>
    <cellStyle name="40% - Accent1 3 2 2 3 2 2 3" xfId="12669" xr:uid="{00000000-0005-0000-0000-000020310000}"/>
    <cellStyle name="40% - Accent1 3 2 2 3 2 2 3 2" xfId="12670" xr:uid="{00000000-0005-0000-0000-000021310000}"/>
    <cellStyle name="40% - Accent1 3 2 2 3 2 2 3 3" xfId="12671" xr:uid="{00000000-0005-0000-0000-000022310000}"/>
    <cellStyle name="40% - Accent1 3 2 2 3 2 2 4" xfId="12672" xr:uid="{00000000-0005-0000-0000-000023310000}"/>
    <cellStyle name="40% - Accent1 3 2 2 3 2 2 5" xfId="12673" xr:uid="{00000000-0005-0000-0000-000024310000}"/>
    <cellStyle name="40% - Accent1 3 2 2 3 2 2 6" xfId="12674" xr:uid="{00000000-0005-0000-0000-000025310000}"/>
    <cellStyle name="40% - Accent1 3 2 2 3 2 3" xfId="12675" xr:uid="{00000000-0005-0000-0000-000026310000}"/>
    <cellStyle name="40% - Accent1 3 2 2 3 2 3 2" xfId="12676" xr:uid="{00000000-0005-0000-0000-000027310000}"/>
    <cellStyle name="40% - Accent1 3 2 2 3 2 3 2 2" xfId="12677" xr:uid="{00000000-0005-0000-0000-000028310000}"/>
    <cellStyle name="40% - Accent1 3 2 2 3 2 3 2 3" xfId="12678" xr:uid="{00000000-0005-0000-0000-000029310000}"/>
    <cellStyle name="40% - Accent1 3 2 2 3 2 3 3" xfId="12679" xr:uid="{00000000-0005-0000-0000-00002A310000}"/>
    <cellStyle name="40% - Accent1 3 2 2 3 2 3 4" xfId="12680" xr:uid="{00000000-0005-0000-0000-00002B310000}"/>
    <cellStyle name="40% - Accent1 3 2 2 3 2 4" xfId="12681" xr:uid="{00000000-0005-0000-0000-00002C310000}"/>
    <cellStyle name="40% - Accent1 3 2 2 3 2 4 2" xfId="12682" xr:uid="{00000000-0005-0000-0000-00002D310000}"/>
    <cellStyle name="40% - Accent1 3 2 2 3 2 4 3" xfId="12683" xr:uid="{00000000-0005-0000-0000-00002E310000}"/>
    <cellStyle name="40% - Accent1 3 2 2 3 2 5" xfId="12684" xr:uid="{00000000-0005-0000-0000-00002F310000}"/>
    <cellStyle name="40% - Accent1 3 2 2 3 2 6" xfId="12685" xr:uid="{00000000-0005-0000-0000-000030310000}"/>
    <cellStyle name="40% - Accent1 3 2 2 3 2 7" xfId="12686" xr:uid="{00000000-0005-0000-0000-000031310000}"/>
    <cellStyle name="40% - Accent1 3 2 2 3 3" xfId="12687" xr:uid="{00000000-0005-0000-0000-000032310000}"/>
    <cellStyle name="40% - Accent1 3 2 2 3 3 2" xfId="12688" xr:uid="{00000000-0005-0000-0000-000033310000}"/>
    <cellStyle name="40% - Accent1 3 2 2 3 3 2 2" xfId="12689" xr:uid="{00000000-0005-0000-0000-000034310000}"/>
    <cellStyle name="40% - Accent1 3 2 2 3 3 2 2 2" xfId="12690" xr:uid="{00000000-0005-0000-0000-000035310000}"/>
    <cellStyle name="40% - Accent1 3 2 2 3 3 2 2 3" xfId="12691" xr:uid="{00000000-0005-0000-0000-000036310000}"/>
    <cellStyle name="40% - Accent1 3 2 2 3 3 2 3" xfId="12692" xr:uid="{00000000-0005-0000-0000-000037310000}"/>
    <cellStyle name="40% - Accent1 3 2 2 3 3 2 4" xfId="12693" xr:uid="{00000000-0005-0000-0000-000038310000}"/>
    <cellStyle name="40% - Accent1 3 2 2 3 3 3" xfId="12694" xr:uid="{00000000-0005-0000-0000-000039310000}"/>
    <cellStyle name="40% - Accent1 3 2 2 3 3 3 2" xfId="12695" xr:uid="{00000000-0005-0000-0000-00003A310000}"/>
    <cellStyle name="40% - Accent1 3 2 2 3 3 3 3" xfId="12696" xr:uid="{00000000-0005-0000-0000-00003B310000}"/>
    <cellStyle name="40% - Accent1 3 2 2 3 3 4" xfId="12697" xr:uid="{00000000-0005-0000-0000-00003C310000}"/>
    <cellStyle name="40% - Accent1 3 2 2 3 3 5" xfId="12698" xr:uid="{00000000-0005-0000-0000-00003D310000}"/>
    <cellStyle name="40% - Accent1 3 2 2 3 3 6" xfId="12699" xr:uid="{00000000-0005-0000-0000-00003E310000}"/>
    <cellStyle name="40% - Accent1 3 2 2 3 4" xfId="12700" xr:uid="{00000000-0005-0000-0000-00003F310000}"/>
    <cellStyle name="40% - Accent1 3 2 2 3 4 2" xfId="12701" xr:uid="{00000000-0005-0000-0000-000040310000}"/>
    <cellStyle name="40% - Accent1 3 2 2 3 4 2 2" xfId="12702" xr:uid="{00000000-0005-0000-0000-000041310000}"/>
    <cellStyle name="40% - Accent1 3 2 2 3 4 2 3" xfId="12703" xr:uid="{00000000-0005-0000-0000-000042310000}"/>
    <cellStyle name="40% - Accent1 3 2 2 3 4 3" xfId="12704" xr:uid="{00000000-0005-0000-0000-000043310000}"/>
    <cellStyle name="40% - Accent1 3 2 2 3 4 4" xfId="12705" xr:uid="{00000000-0005-0000-0000-000044310000}"/>
    <cellStyle name="40% - Accent1 3 2 2 3 5" xfId="12706" xr:uid="{00000000-0005-0000-0000-000045310000}"/>
    <cellStyle name="40% - Accent1 3 2 2 3 5 2" xfId="12707" xr:uid="{00000000-0005-0000-0000-000046310000}"/>
    <cellStyle name="40% - Accent1 3 2 2 3 5 3" xfId="12708" xr:uid="{00000000-0005-0000-0000-000047310000}"/>
    <cellStyle name="40% - Accent1 3 2 2 3 6" xfId="12709" xr:uid="{00000000-0005-0000-0000-000048310000}"/>
    <cellStyle name="40% - Accent1 3 2 2 3 7" xfId="12710" xr:uid="{00000000-0005-0000-0000-000049310000}"/>
    <cellStyle name="40% - Accent1 3 2 2 3 8" xfId="12711" xr:uid="{00000000-0005-0000-0000-00004A310000}"/>
    <cellStyle name="40% - Accent1 3 2 2 4" xfId="12712" xr:uid="{00000000-0005-0000-0000-00004B310000}"/>
    <cellStyle name="40% - Accent1 3 2 2 4 2" xfId="12713" xr:uid="{00000000-0005-0000-0000-00004C310000}"/>
    <cellStyle name="40% - Accent1 3 2 2 4 2 2" xfId="12714" xr:uid="{00000000-0005-0000-0000-00004D310000}"/>
    <cellStyle name="40% - Accent1 3 2 2 4 2 2 2" xfId="12715" xr:uid="{00000000-0005-0000-0000-00004E310000}"/>
    <cellStyle name="40% - Accent1 3 2 2 4 2 2 2 2" xfId="12716" xr:uid="{00000000-0005-0000-0000-00004F310000}"/>
    <cellStyle name="40% - Accent1 3 2 2 4 2 2 2 3" xfId="12717" xr:uid="{00000000-0005-0000-0000-000050310000}"/>
    <cellStyle name="40% - Accent1 3 2 2 4 2 2 3" xfId="12718" xr:uid="{00000000-0005-0000-0000-000051310000}"/>
    <cellStyle name="40% - Accent1 3 2 2 4 2 2 4" xfId="12719" xr:uid="{00000000-0005-0000-0000-000052310000}"/>
    <cellStyle name="40% - Accent1 3 2 2 4 2 3" xfId="12720" xr:uid="{00000000-0005-0000-0000-000053310000}"/>
    <cellStyle name="40% - Accent1 3 2 2 4 2 3 2" xfId="12721" xr:uid="{00000000-0005-0000-0000-000054310000}"/>
    <cellStyle name="40% - Accent1 3 2 2 4 2 3 3" xfId="12722" xr:uid="{00000000-0005-0000-0000-000055310000}"/>
    <cellStyle name="40% - Accent1 3 2 2 4 2 4" xfId="12723" xr:uid="{00000000-0005-0000-0000-000056310000}"/>
    <cellStyle name="40% - Accent1 3 2 2 4 2 5" xfId="12724" xr:uid="{00000000-0005-0000-0000-000057310000}"/>
    <cellStyle name="40% - Accent1 3 2 2 4 2 6" xfId="12725" xr:uid="{00000000-0005-0000-0000-000058310000}"/>
    <cellStyle name="40% - Accent1 3 2 2 4 3" xfId="12726" xr:uid="{00000000-0005-0000-0000-000059310000}"/>
    <cellStyle name="40% - Accent1 3 2 2 4 3 2" xfId="12727" xr:uid="{00000000-0005-0000-0000-00005A310000}"/>
    <cellStyle name="40% - Accent1 3 2 2 4 3 2 2" xfId="12728" xr:uid="{00000000-0005-0000-0000-00005B310000}"/>
    <cellStyle name="40% - Accent1 3 2 2 4 3 2 3" xfId="12729" xr:uid="{00000000-0005-0000-0000-00005C310000}"/>
    <cellStyle name="40% - Accent1 3 2 2 4 3 3" xfId="12730" xr:uid="{00000000-0005-0000-0000-00005D310000}"/>
    <cellStyle name="40% - Accent1 3 2 2 4 3 4" xfId="12731" xr:uid="{00000000-0005-0000-0000-00005E310000}"/>
    <cellStyle name="40% - Accent1 3 2 2 4 4" xfId="12732" xr:uid="{00000000-0005-0000-0000-00005F310000}"/>
    <cellStyle name="40% - Accent1 3 2 2 4 4 2" xfId="12733" xr:uid="{00000000-0005-0000-0000-000060310000}"/>
    <cellStyle name="40% - Accent1 3 2 2 4 4 3" xfId="12734" xr:uid="{00000000-0005-0000-0000-000061310000}"/>
    <cellStyle name="40% - Accent1 3 2 2 4 5" xfId="12735" xr:uid="{00000000-0005-0000-0000-000062310000}"/>
    <cellStyle name="40% - Accent1 3 2 2 4 6" xfId="12736" xr:uid="{00000000-0005-0000-0000-000063310000}"/>
    <cellStyle name="40% - Accent1 3 2 2 4 7" xfId="12737" xr:uid="{00000000-0005-0000-0000-000064310000}"/>
    <cellStyle name="40% - Accent1 3 2 2 5" xfId="12738" xr:uid="{00000000-0005-0000-0000-000065310000}"/>
    <cellStyle name="40% - Accent1 3 2 2 5 2" xfId="12739" xr:uid="{00000000-0005-0000-0000-000066310000}"/>
    <cellStyle name="40% - Accent1 3 2 2 5 2 2" xfId="12740" xr:uid="{00000000-0005-0000-0000-000067310000}"/>
    <cellStyle name="40% - Accent1 3 2 2 5 2 2 2" xfId="12741" xr:uid="{00000000-0005-0000-0000-000068310000}"/>
    <cellStyle name="40% - Accent1 3 2 2 5 2 2 3" xfId="12742" xr:uid="{00000000-0005-0000-0000-000069310000}"/>
    <cellStyle name="40% - Accent1 3 2 2 5 2 3" xfId="12743" xr:uid="{00000000-0005-0000-0000-00006A310000}"/>
    <cellStyle name="40% - Accent1 3 2 2 5 2 4" xfId="12744" xr:uid="{00000000-0005-0000-0000-00006B310000}"/>
    <cellStyle name="40% - Accent1 3 2 2 5 3" xfId="12745" xr:uid="{00000000-0005-0000-0000-00006C310000}"/>
    <cellStyle name="40% - Accent1 3 2 2 5 3 2" xfId="12746" xr:uid="{00000000-0005-0000-0000-00006D310000}"/>
    <cellStyle name="40% - Accent1 3 2 2 5 3 3" xfId="12747" xr:uid="{00000000-0005-0000-0000-00006E310000}"/>
    <cellStyle name="40% - Accent1 3 2 2 5 4" xfId="12748" xr:uid="{00000000-0005-0000-0000-00006F310000}"/>
    <cellStyle name="40% - Accent1 3 2 2 5 5" xfId="12749" xr:uid="{00000000-0005-0000-0000-000070310000}"/>
    <cellStyle name="40% - Accent1 3 2 2 5 6" xfId="12750" xr:uid="{00000000-0005-0000-0000-000071310000}"/>
    <cellStyle name="40% - Accent1 3 2 2 6" xfId="12751" xr:uid="{00000000-0005-0000-0000-000072310000}"/>
    <cellStyle name="40% - Accent1 3 2 2 6 2" xfId="12752" xr:uid="{00000000-0005-0000-0000-000073310000}"/>
    <cellStyle name="40% - Accent1 3 2 2 6 2 2" xfId="12753" xr:uid="{00000000-0005-0000-0000-000074310000}"/>
    <cellStyle name="40% - Accent1 3 2 2 6 2 3" xfId="12754" xr:uid="{00000000-0005-0000-0000-000075310000}"/>
    <cellStyle name="40% - Accent1 3 2 2 6 3" xfId="12755" xr:uid="{00000000-0005-0000-0000-000076310000}"/>
    <cellStyle name="40% - Accent1 3 2 2 6 4" xfId="12756" xr:uid="{00000000-0005-0000-0000-000077310000}"/>
    <cellStyle name="40% - Accent1 3 2 2 7" xfId="12757" xr:uid="{00000000-0005-0000-0000-000078310000}"/>
    <cellStyle name="40% - Accent1 3 2 2 7 2" xfId="12758" xr:uid="{00000000-0005-0000-0000-000079310000}"/>
    <cellStyle name="40% - Accent1 3 2 2 7 3" xfId="12759" xr:uid="{00000000-0005-0000-0000-00007A310000}"/>
    <cellStyle name="40% - Accent1 3 2 2 8" xfId="12760" xr:uid="{00000000-0005-0000-0000-00007B310000}"/>
    <cellStyle name="40% - Accent1 3 2 2 9" xfId="12761" xr:uid="{00000000-0005-0000-0000-00007C310000}"/>
    <cellStyle name="40% - Accent1 3 2 3" xfId="12762" xr:uid="{00000000-0005-0000-0000-00007D310000}"/>
    <cellStyle name="40% - Accent1 3 2 3 2" xfId="12763" xr:uid="{00000000-0005-0000-0000-00007E310000}"/>
    <cellStyle name="40% - Accent1 3 2 3 2 2" xfId="12764" xr:uid="{00000000-0005-0000-0000-00007F310000}"/>
    <cellStyle name="40% - Accent1 3 2 3 2 2 2" xfId="12765" xr:uid="{00000000-0005-0000-0000-000080310000}"/>
    <cellStyle name="40% - Accent1 3 2 3 2 2 2 2" xfId="12766" xr:uid="{00000000-0005-0000-0000-000081310000}"/>
    <cellStyle name="40% - Accent1 3 2 3 2 2 2 2 2" xfId="12767" xr:uid="{00000000-0005-0000-0000-000082310000}"/>
    <cellStyle name="40% - Accent1 3 2 3 2 2 2 2 2 2" xfId="12768" xr:uid="{00000000-0005-0000-0000-000083310000}"/>
    <cellStyle name="40% - Accent1 3 2 3 2 2 2 2 2 3" xfId="12769" xr:uid="{00000000-0005-0000-0000-000084310000}"/>
    <cellStyle name="40% - Accent1 3 2 3 2 2 2 2 3" xfId="12770" xr:uid="{00000000-0005-0000-0000-000085310000}"/>
    <cellStyle name="40% - Accent1 3 2 3 2 2 2 2 4" xfId="12771" xr:uid="{00000000-0005-0000-0000-000086310000}"/>
    <cellStyle name="40% - Accent1 3 2 3 2 2 2 3" xfId="12772" xr:uid="{00000000-0005-0000-0000-000087310000}"/>
    <cellStyle name="40% - Accent1 3 2 3 2 2 2 3 2" xfId="12773" xr:uid="{00000000-0005-0000-0000-000088310000}"/>
    <cellStyle name="40% - Accent1 3 2 3 2 2 2 3 3" xfId="12774" xr:uid="{00000000-0005-0000-0000-000089310000}"/>
    <cellStyle name="40% - Accent1 3 2 3 2 2 2 4" xfId="12775" xr:uid="{00000000-0005-0000-0000-00008A310000}"/>
    <cellStyle name="40% - Accent1 3 2 3 2 2 2 5" xfId="12776" xr:uid="{00000000-0005-0000-0000-00008B310000}"/>
    <cellStyle name="40% - Accent1 3 2 3 2 2 2 6" xfId="12777" xr:uid="{00000000-0005-0000-0000-00008C310000}"/>
    <cellStyle name="40% - Accent1 3 2 3 2 2 3" xfId="12778" xr:uid="{00000000-0005-0000-0000-00008D310000}"/>
    <cellStyle name="40% - Accent1 3 2 3 2 2 3 2" xfId="12779" xr:uid="{00000000-0005-0000-0000-00008E310000}"/>
    <cellStyle name="40% - Accent1 3 2 3 2 2 3 2 2" xfId="12780" xr:uid="{00000000-0005-0000-0000-00008F310000}"/>
    <cellStyle name="40% - Accent1 3 2 3 2 2 3 2 3" xfId="12781" xr:uid="{00000000-0005-0000-0000-000090310000}"/>
    <cellStyle name="40% - Accent1 3 2 3 2 2 3 3" xfId="12782" xr:uid="{00000000-0005-0000-0000-000091310000}"/>
    <cellStyle name="40% - Accent1 3 2 3 2 2 3 4" xfId="12783" xr:uid="{00000000-0005-0000-0000-000092310000}"/>
    <cellStyle name="40% - Accent1 3 2 3 2 2 4" xfId="12784" xr:uid="{00000000-0005-0000-0000-000093310000}"/>
    <cellStyle name="40% - Accent1 3 2 3 2 2 4 2" xfId="12785" xr:uid="{00000000-0005-0000-0000-000094310000}"/>
    <cellStyle name="40% - Accent1 3 2 3 2 2 4 3" xfId="12786" xr:uid="{00000000-0005-0000-0000-000095310000}"/>
    <cellStyle name="40% - Accent1 3 2 3 2 2 5" xfId="12787" xr:uid="{00000000-0005-0000-0000-000096310000}"/>
    <cellStyle name="40% - Accent1 3 2 3 2 2 6" xfId="12788" xr:uid="{00000000-0005-0000-0000-000097310000}"/>
    <cellStyle name="40% - Accent1 3 2 3 2 2 7" xfId="12789" xr:uid="{00000000-0005-0000-0000-000098310000}"/>
    <cellStyle name="40% - Accent1 3 2 3 2 3" xfId="12790" xr:uid="{00000000-0005-0000-0000-000099310000}"/>
    <cellStyle name="40% - Accent1 3 2 3 2 3 2" xfId="12791" xr:uid="{00000000-0005-0000-0000-00009A310000}"/>
    <cellStyle name="40% - Accent1 3 2 3 2 3 2 2" xfId="12792" xr:uid="{00000000-0005-0000-0000-00009B310000}"/>
    <cellStyle name="40% - Accent1 3 2 3 2 3 2 2 2" xfId="12793" xr:uid="{00000000-0005-0000-0000-00009C310000}"/>
    <cellStyle name="40% - Accent1 3 2 3 2 3 2 2 3" xfId="12794" xr:uid="{00000000-0005-0000-0000-00009D310000}"/>
    <cellStyle name="40% - Accent1 3 2 3 2 3 2 3" xfId="12795" xr:uid="{00000000-0005-0000-0000-00009E310000}"/>
    <cellStyle name="40% - Accent1 3 2 3 2 3 2 4" xfId="12796" xr:uid="{00000000-0005-0000-0000-00009F310000}"/>
    <cellStyle name="40% - Accent1 3 2 3 2 3 3" xfId="12797" xr:uid="{00000000-0005-0000-0000-0000A0310000}"/>
    <cellStyle name="40% - Accent1 3 2 3 2 3 3 2" xfId="12798" xr:uid="{00000000-0005-0000-0000-0000A1310000}"/>
    <cellStyle name="40% - Accent1 3 2 3 2 3 3 3" xfId="12799" xr:uid="{00000000-0005-0000-0000-0000A2310000}"/>
    <cellStyle name="40% - Accent1 3 2 3 2 3 4" xfId="12800" xr:uid="{00000000-0005-0000-0000-0000A3310000}"/>
    <cellStyle name="40% - Accent1 3 2 3 2 3 5" xfId="12801" xr:uid="{00000000-0005-0000-0000-0000A4310000}"/>
    <cellStyle name="40% - Accent1 3 2 3 2 3 6" xfId="12802" xr:uid="{00000000-0005-0000-0000-0000A5310000}"/>
    <cellStyle name="40% - Accent1 3 2 3 2 4" xfId="12803" xr:uid="{00000000-0005-0000-0000-0000A6310000}"/>
    <cellStyle name="40% - Accent1 3 2 3 2 4 2" xfId="12804" xr:uid="{00000000-0005-0000-0000-0000A7310000}"/>
    <cellStyle name="40% - Accent1 3 2 3 2 4 2 2" xfId="12805" xr:uid="{00000000-0005-0000-0000-0000A8310000}"/>
    <cellStyle name="40% - Accent1 3 2 3 2 4 2 3" xfId="12806" xr:uid="{00000000-0005-0000-0000-0000A9310000}"/>
    <cellStyle name="40% - Accent1 3 2 3 2 4 3" xfId="12807" xr:uid="{00000000-0005-0000-0000-0000AA310000}"/>
    <cellStyle name="40% - Accent1 3 2 3 2 4 4" xfId="12808" xr:uid="{00000000-0005-0000-0000-0000AB310000}"/>
    <cellStyle name="40% - Accent1 3 2 3 2 5" xfId="12809" xr:uid="{00000000-0005-0000-0000-0000AC310000}"/>
    <cellStyle name="40% - Accent1 3 2 3 2 5 2" xfId="12810" xr:uid="{00000000-0005-0000-0000-0000AD310000}"/>
    <cellStyle name="40% - Accent1 3 2 3 2 5 3" xfId="12811" xr:uid="{00000000-0005-0000-0000-0000AE310000}"/>
    <cellStyle name="40% - Accent1 3 2 3 2 6" xfId="12812" xr:uid="{00000000-0005-0000-0000-0000AF310000}"/>
    <cellStyle name="40% - Accent1 3 2 3 2 7" xfId="12813" xr:uid="{00000000-0005-0000-0000-0000B0310000}"/>
    <cellStyle name="40% - Accent1 3 2 3 2 8" xfId="12814" xr:uid="{00000000-0005-0000-0000-0000B1310000}"/>
    <cellStyle name="40% - Accent1 3 2 3 3" xfId="12815" xr:uid="{00000000-0005-0000-0000-0000B2310000}"/>
    <cellStyle name="40% - Accent1 3 2 3 3 2" xfId="12816" xr:uid="{00000000-0005-0000-0000-0000B3310000}"/>
    <cellStyle name="40% - Accent1 3 2 3 3 2 2" xfId="12817" xr:uid="{00000000-0005-0000-0000-0000B4310000}"/>
    <cellStyle name="40% - Accent1 3 2 3 3 2 2 2" xfId="12818" xr:uid="{00000000-0005-0000-0000-0000B5310000}"/>
    <cellStyle name="40% - Accent1 3 2 3 3 2 2 2 2" xfId="12819" xr:uid="{00000000-0005-0000-0000-0000B6310000}"/>
    <cellStyle name="40% - Accent1 3 2 3 3 2 2 2 3" xfId="12820" xr:uid="{00000000-0005-0000-0000-0000B7310000}"/>
    <cellStyle name="40% - Accent1 3 2 3 3 2 2 3" xfId="12821" xr:uid="{00000000-0005-0000-0000-0000B8310000}"/>
    <cellStyle name="40% - Accent1 3 2 3 3 2 2 4" xfId="12822" xr:uid="{00000000-0005-0000-0000-0000B9310000}"/>
    <cellStyle name="40% - Accent1 3 2 3 3 2 3" xfId="12823" xr:uid="{00000000-0005-0000-0000-0000BA310000}"/>
    <cellStyle name="40% - Accent1 3 2 3 3 2 3 2" xfId="12824" xr:uid="{00000000-0005-0000-0000-0000BB310000}"/>
    <cellStyle name="40% - Accent1 3 2 3 3 2 3 3" xfId="12825" xr:uid="{00000000-0005-0000-0000-0000BC310000}"/>
    <cellStyle name="40% - Accent1 3 2 3 3 2 4" xfId="12826" xr:uid="{00000000-0005-0000-0000-0000BD310000}"/>
    <cellStyle name="40% - Accent1 3 2 3 3 2 5" xfId="12827" xr:uid="{00000000-0005-0000-0000-0000BE310000}"/>
    <cellStyle name="40% - Accent1 3 2 3 3 2 6" xfId="12828" xr:uid="{00000000-0005-0000-0000-0000BF310000}"/>
    <cellStyle name="40% - Accent1 3 2 3 3 3" xfId="12829" xr:uid="{00000000-0005-0000-0000-0000C0310000}"/>
    <cellStyle name="40% - Accent1 3 2 3 3 3 2" xfId="12830" xr:uid="{00000000-0005-0000-0000-0000C1310000}"/>
    <cellStyle name="40% - Accent1 3 2 3 3 3 2 2" xfId="12831" xr:uid="{00000000-0005-0000-0000-0000C2310000}"/>
    <cellStyle name="40% - Accent1 3 2 3 3 3 2 3" xfId="12832" xr:uid="{00000000-0005-0000-0000-0000C3310000}"/>
    <cellStyle name="40% - Accent1 3 2 3 3 3 3" xfId="12833" xr:uid="{00000000-0005-0000-0000-0000C4310000}"/>
    <cellStyle name="40% - Accent1 3 2 3 3 3 4" xfId="12834" xr:uid="{00000000-0005-0000-0000-0000C5310000}"/>
    <cellStyle name="40% - Accent1 3 2 3 3 4" xfId="12835" xr:uid="{00000000-0005-0000-0000-0000C6310000}"/>
    <cellStyle name="40% - Accent1 3 2 3 3 4 2" xfId="12836" xr:uid="{00000000-0005-0000-0000-0000C7310000}"/>
    <cellStyle name="40% - Accent1 3 2 3 3 4 3" xfId="12837" xr:uid="{00000000-0005-0000-0000-0000C8310000}"/>
    <cellStyle name="40% - Accent1 3 2 3 3 5" xfId="12838" xr:uid="{00000000-0005-0000-0000-0000C9310000}"/>
    <cellStyle name="40% - Accent1 3 2 3 3 6" xfId="12839" xr:uid="{00000000-0005-0000-0000-0000CA310000}"/>
    <cellStyle name="40% - Accent1 3 2 3 3 7" xfId="12840" xr:uid="{00000000-0005-0000-0000-0000CB310000}"/>
    <cellStyle name="40% - Accent1 3 2 3 4" xfId="12841" xr:uid="{00000000-0005-0000-0000-0000CC310000}"/>
    <cellStyle name="40% - Accent1 3 2 3 4 2" xfId="12842" xr:uid="{00000000-0005-0000-0000-0000CD310000}"/>
    <cellStyle name="40% - Accent1 3 2 3 4 2 2" xfId="12843" xr:uid="{00000000-0005-0000-0000-0000CE310000}"/>
    <cellStyle name="40% - Accent1 3 2 3 4 2 2 2" xfId="12844" xr:uid="{00000000-0005-0000-0000-0000CF310000}"/>
    <cellStyle name="40% - Accent1 3 2 3 4 2 2 3" xfId="12845" xr:uid="{00000000-0005-0000-0000-0000D0310000}"/>
    <cellStyle name="40% - Accent1 3 2 3 4 2 3" xfId="12846" xr:uid="{00000000-0005-0000-0000-0000D1310000}"/>
    <cellStyle name="40% - Accent1 3 2 3 4 2 4" xfId="12847" xr:uid="{00000000-0005-0000-0000-0000D2310000}"/>
    <cellStyle name="40% - Accent1 3 2 3 4 3" xfId="12848" xr:uid="{00000000-0005-0000-0000-0000D3310000}"/>
    <cellStyle name="40% - Accent1 3 2 3 4 3 2" xfId="12849" xr:uid="{00000000-0005-0000-0000-0000D4310000}"/>
    <cellStyle name="40% - Accent1 3 2 3 4 3 3" xfId="12850" xr:uid="{00000000-0005-0000-0000-0000D5310000}"/>
    <cellStyle name="40% - Accent1 3 2 3 4 4" xfId="12851" xr:uid="{00000000-0005-0000-0000-0000D6310000}"/>
    <cellStyle name="40% - Accent1 3 2 3 4 5" xfId="12852" xr:uid="{00000000-0005-0000-0000-0000D7310000}"/>
    <cellStyle name="40% - Accent1 3 2 3 4 6" xfId="12853" xr:uid="{00000000-0005-0000-0000-0000D8310000}"/>
    <cellStyle name="40% - Accent1 3 2 3 5" xfId="12854" xr:uid="{00000000-0005-0000-0000-0000D9310000}"/>
    <cellStyle name="40% - Accent1 3 2 3 5 2" xfId="12855" xr:uid="{00000000-0005-0000-0000-0000DA310000}"/>
    <cellStyle name="40% - Accent1 3 2 3 5 2 2" xfId="12856" xr:uid="{00000000-0005-0000-0000-0000DB310000}"/>
    <cellStyle name="40% - Accent1 3 2 3 5 2 3" xfId="12857" xr:uid="{00000000-0005-0000-0000-0000DC310000}"/>
    <cellStyle name="40% - Accent1 3 2 3 5 3" xfId="12858" xr:uid="{00000000-0005-0000-0000-0000DD310000}"/>
    <cellStyle name="40% - Accent1 3 2 3 5 4" xfId="12859" xr:uid="{00000000-0005-0000-0000-0000DE310000}"/>
    <cellStyle name="40% - Accent1 3 2 3 6" xfId="12860" xr:uid="{00000000-0005-0000-0000-0000DF310000}"/>
    <cellStyle name="40% - Accent1 3 2 3 6 2" xfId="12861" xr:uid="{00000000-0005-0000-0000-0000E0310000}"/>
    <cellStyle name="40% - Accent1 3 2 3 6 3" xfId="12862" xr:uid="{00000000-0005-0000-0000-0000E1310000}"/>
    <cellStyle name="40% - Accent1 3 2 3 7" xfId="12863" xr:uid="{00000000-0005-0000-0000-0000E2310000}"/>
    <cellStyle name="40% - Accent1 3 2 3 8" xfId="12864" xr:uid="{00000000-0005-0000-0000-0000E3310000}"/>
    <cellStyle name="40% - Accent1 3 2 3 9" xfId="12865" xr:uid="{00000000-0005-0000-0000-0000E4310000}"/>
    <cellStyle name="40% - Accent1 3 2 4" xfId="12866" xr:uid="{00000000-0005-0000-0000-0000E5310000}"/>
    <cellStyle name="40% - Accent1 3 2 4 2" xfId="12867" xr:uid="{00000000-0005-0000-0000-0000E6310000}"/>
    <cellStyle name="40% - Accent1 3 2 4 2 2" xfId="12868" xr:uid="{00000000-0005-0000-0000-0000E7310000}"/>
    <cellStyle name="40% - Accent1 3 2 4 2 2 2" xfId="12869" xr:uid="{00000000-0005-0000-0000-0000E8310000}"/>
    <cellStyle name="40% - Accent1 3 2 4 2 2 2 2" xfId="12870" xr:uid="{00000000-0005-0000-0000-0000E9310000}"/>
    <cellStyle name="40% - Accent1 3 2 4 2 2 2 2 2" xfId="12871" xr:uid="{00000000-0005-0000-0000-0000EA310000}"/>
    <cellStyle name="40% - Accent1 3 2 4 2 2 2 2 3" xfId="12872" xr:uid="{00000000-0005-0000-0000-0000EB310000}"/>
    <cellStyle name="40% - Accent1 3 2 4 2 2 2 3" xfId="12873" xr:uid="{00000000-0005-0000-0000-0000EC310000}"/>
    <cellStyle name="40% - Accent1 3 2 4 2 2 2 4" xfId="12874" xr:uid="{00000000-0005-0000-0000-0000ED310000}"/>
    <cellStyle name="40% - Accent1 3 2 4 2 2 3" xfId="12875" xr:uid="{00000000-0005-0000-0000-0000EE310000}"/>
    <cellStyle name="40% - Accent1 3 2 4 2 2 3 2" xfId="12876" xr:uid="{00000000-0005-0000-0000-0000EF310000}"/>
    <cellStyle name="40% - Accent1 3 2 4 2 2 3 3" xfId="12877" xr:uid="{00000000-0005-0000-0000-0000F0310000}"/>
    <cellStyle name="40% - Accent1 3 2 4 2 2 4" xfId="12878" xr:uid="{00000000-0005-0000-0000-0000F1310000}"/>
    <cellStyle name="40% - Accent1 3 2 4 2 2 5" xfId="12879" xr:uid="{00000000-0005-0000-0000-0000F2310000}"/>
    <cellStyle name="40% - Accent1 3 2 4 2 2 6" xfId="12880" xr:uid="{00000000-0005-0000-0000-0000F3310000}"/>
    <cellStyle name="40% - Accent1 3 2 4 2 3" xfId="12881" xr:uid="{00000000-0005-0000-0000-0000F4310000}"/>
    <cellStyle name="40% - Accent1 3 2 4 2 3 2" xfId="12882" xr:uid="{00000000-0005-0000-0000-0000F5310000}"/>
    <cellStyle name="40% - Accent1 3 2 4 2 3 2 2" xfId="12883" xr:uid="{00000000-0005-0000-0000-0000F6310000}"/>
    <cellStyle name="40% - Accent1 3 2 4 2 3 2 3" xfId="12884" xr:uid="{00000000-0005-0000-0000-0000F7310000}"/>
    <cellStyle name="40% - Accent1 3 2 4 2 3 3" xfId="12885" xr:uid="{00000000-0005-0000-0000-0000F8310000}"/>
    <cellStyle name="40% - Accent1 3 2 4 2 3 4" xfId="12886" xr:uid="{00000000-0005-0000-0000-0000F9310000}"/>
    <cellStyle name="40% - Accent1 3 2 4 2 4" xfId="12887" xr:uid="{00000000-0005-0000-0000-0000FA310000}"/>
    <cellStyle name="40% - Accent1 3 2 4 2 4 2" xfId="12888" xr:uid="{00000000-0005-0000-0000-0000FB310000}"/>
    <cellStyle name="40% - Accent1 3 2 4 2 4 3" xfId="12889" xr:uid="{00000000-0005-0000-0000-0000FC310000}"/>
    <cellStyle name="40% - Accent1 3 2 4 2 5" xfId="12890" xr:uid="{00000000-0005-0000-0000-0000FD310000}"/>
    <cellStyle name="40% - Accent1 3 2 4 2 6" xfId="12891" xr:uid="{00000000-0005-0000-0000-0000FE310000}"/>
    <cellStyle name="40% - Accent1 3 2 4 2 7" xfId="12892" xr:uid="{00000000-0005-0000-0000-0000FF310000}"/>
    <cellStyle name="40% - Accent1 3 2 4 3" xfId="12893" xr:uid="{00000000-0005-0000-0000-000000320000}"/>
    <cellStyle name="40% - Accent1 3 2 4 3 2" xfId="12894" xr:uid="{00000000-0005-0000-0000-000001320000}"/>
    <cellStyle name="40% - Accent1 3 2 4 3 2 2" xfId="12895" xr:uid="{00000000-0005-0000-0000-000002320000}"/>
    <cellStyle name="40% - Accent1 3 2 4 3 2 2 2" xfId="12896" xr:uid="{00000000-0005-0000-0000-000003320000}"/>
    <cellStyle name="40% - Accent1 3 2 4 3 2 2 3" xfId="12897" xr:uid="{00000000-0005-0000-0000-000004320000}"/>
    <cellStyle name="40% - Accent1 3 2 4 3 2 3" xfId="12898" xr:uid="{00000000-0005-0000-0000-000005320000}"/>
    <cellStyle name="40% - Accent1 3 2 4 3 2 4" xfId="12899" xr:uid="{00000000-0005-0000-0000-000006320000}"/>
    <cellStyle name="40% - Accent1 3 2 4 3 3" xfId="12900" xr:uid="{00000000-0005-0000-0000-000007320000}"/>
    <cellStyle name="40% - Accent1 3 2 4 3 3 2" xfId="12901" xr:uid="{00000000-0005-0000-0000-000008320000}"/>
    <cellStyle name="40% - Accent1 3 2 4 3 3 3" xfId="12902" xr:uid="{00000000-0005-0000-0000-000009320000}"/>
    <cellStyle name="40% - Accent1 3 2 4 3 4" xfId="12903" xr:uid="{00000000-0005-0000-0000-00000A320000}"/>
    <cellStyle name="40% - Accent1 3 2 4 3 5" xfId="12904" xr:uid="{00000000-0005-0000-0000-00000B320000}"/>
    <cellStyle name="40% - Accent1 3 2 4 3 6" xfId="12905" xr:uid="{00000000-0005-0000-0000-00000C320000}"/>
    <cellStyle name="40% - Accent1 3 2 4 4" xfId="12906" xr:uid="{00000000-0005-0000-0000-00000D320000}"/>
    <cellStyle name="40% - Accent1 3 2 4 4 2" xfId="12907" xr:uid="{00000000-0005-0000-0000-00000E320000}"/>
    <cellStyle name="40% - Accent1 3 2 4 4 2 2" xfId="12908" xr:uid="{00000000-0005-0000-0000-00000F320000}"/>
    <cellStyle name="40% - Accent1 3 2 4 4 2 3" xfId="12909" xr:uid="{00000000-0005-0000-0000-000010320000}"/>
    <cellStyle name="40% - Accent1 3 2 4 4 3" xfId="12910" xr:uid="{00000000-0005-0000-0000-000011320000}"/>
    <cellStyle name="40% - Accent1 3 2 4 4 4" xfId="12911" xr:uid="{00000000-0005-0000-0000-000012320000}"/>
    <cellStyle name="40% - Accent1 3 2 4 5" xfId="12912" xr:uid="{00000000-0005-0000-0000-000013320000}"/>
    <cellStyle name="40% - Accent1 3 2 4 5 2" xfId="12913" xr:uid="{00000000-0005-0000-0000-000014320000}"/>
    <cellStyle name="40% - Accent1 3 2 4 5 3" xfId="12914" xr:uid="{00000000-0005-0000-0000-000015320000}"/>
    <cellStyle name="40% - Accent1 3 2 4 6" xfId="12915" xr:uid="{00000000-0005-0000-0000-000016320000}"/>
    <cellStyle name="40% - Accent1 3 2 4 7" xfId="12916" xr:uid="{00000000-0005-0000-0000-000017320000}"/>
    <cellStyle name="40% - Accent1 3 2 4 8" xfId="12917" xr:uid="{00000000-0005-0000-0000-000018320000}"/>
    <cellStyle name="40% - Accent1 3 2 5" xfId="12918" xr:uid="{00000000-0005-0000-0000-000019320000}"/>
    <cellStyle name="40% - Accent1 3 2 5 2" xfId="12919" xr:uid="{00000000-0005-0000-0000-00001A320000}"/>
    <cellStyle name="40% - Accent1 3 2 5 2 2" xfId="12920" xr:uid="{00000000-0005-0000-0000-00001B320000}"/>
    <cellStyle name="40% - Accent1 3 2 5 2 2 2" xfId="12921" xr:uid="{00000000-0005-0000-0000-00001C320000}"/>
    <cellStyle name="40% - Accent1 3 2 5 2 2 2 2" xfId="12922" xr:uid="{00000000-0005-0000-0000-00001D320000}"/>
    <cellStyle name="40% - Accent1 3 2 5 2 2 2 3" xfId="12923" xr:uid="{00000000-0005-0000-0000-00001E320000}"/>
    <cellStyle name="40% - Accent1 3 2 5 2 2 3" xfId="12924" xr:uid="{00000000-0005-0000-0000-00001F320000}"/>
    <cellStyle name="40% - Accent1 3 2 5 2 2 4" xfId="12925" xr:uid="{00000000-0005-0000-0000-000020320000}"/>
    <cellStyle name="40% - Accent1 3 2 5 2 3" xfId="12926" xr:uid="{00000000-0005-0000-0000-000021320000}"/>
    <cellStyle name="40% - Accent1 3 2 5 2 3 2" xfId="12927" xr:uid="{00000000-0005-0000-0000-000022320000}"/>
    <cellStyle name="40% - Accent1 3 2 5 2 3 3" xfId="12928" xr:uid="{00000000-0005-0000-0000-000023320000}"/>
    <cellStyle name="40% - Accent1 3 2 5 2 4" xfId="12929" xr:uid="{00000000-0005-0000-0000-000024320000}"/>
    <cellStyle name="40% - Accent1 3 2 5 2 5" xfId="12930" xr:uid="{00000000-0005-0000-0000-000025320000}"/>
    <cellStyle name="40% - Accent1 3 2 5 2 6" xfId="12931" xr:uid="{00000000-0005-0000-0000-000026320000}"/>
    <cellStyle name="40% - Accent1 3 2 5 3" xfId="12932" xr:uid="{00000000-0005-0000-0000-000027320000}"/>
    <cellStyle name="40% - Accent1 3 2 5 3 2" xfId="12933" xr:uid="{00000000-0005-0000-0000-000028320000}"/>
    <cellStyle name="40% - Accent1 3 2 5 3 2 2" xfId="12934" xr:uid="{00000000-0005-0000-0000-000029320000}"/>
    <cellStyle name="40% - Accent1 3 2 5 3 2 3" xfId="12935" xr:uid="{00000000-0005-0000-0000-00002A320000}"/>
    <cellStyle name="40% - Accent1 3 2 5 3 3" xfId="12936" xr:uid="{00000000-0005-0000-0000-00002B320000}"/>
    <cellStyle name="40% - Accent1 3 2 5 3 4" xfId="12937" xr:uid="{00000000-0005-0000-0000-00002C320000}"/>
    <cellStyle name="40% - Accent1 3 2 5 4" xfId="12938" xr:uid="{00000000-0005-0000-0000-00002D320000}"/>
    <cellStyle name="40% - Accent1 3 2 5 4 2" xfId="12939" xr:uid="{00000000-0005-0000-0000-00002E320000}"/>
    <cellStyle name="40% - Accent1 3 2 5 4 3" xfId="12940" xr:uid="{00000000-0005-0000-0000-00002F320000}"/>
    <cellStyle name="40% - Accent1 3 2 5 5" xfId="12941" xr:uid="{00000000-0005-0000-0000-000030320000}"/>
    <cellStyle name="40% - Accent1 3 2 5 6" xfId="12942" xr:uid="{00000000-0005-0000-0000-000031320000}"/>
    <cellStyle name="40% - Accent1 3 2 5 7" xfId="12943" xr:uid="{00000000-0005-0000-0000-000032320000}"/>
    <cellStyle name="40% - Accent1 3 2 6" xfId="12944" xr:uid="{00000000-0005-0000-0000-000033320000}"/>
    <cellStyle name="40% - Accent1 3 2 6 2" xfId="12945" xr:uid="{00000000-0005-0000-0000-000034320000}"/>
    <cellStyle name="40% - Accent1 3 2 6 2 2" xfId="12946" xr:uid="{00000000-0005-0000-0000-000035320000}"/>
    <cellStyle name="40% - Accent1 3 2 6 2 2 2" xfId="12947" xr:uid="{00000000-0005-0000-0000-000036320000}"/>
    <cellStyle name="40% - Accent1 3 2 6 2 2 3" xfId="12948" xr:uid="{00000000-0005-0000-0000-000037320000}"/>
    <cellStyle name="40% - Accent1 3 2 6 2 3" xfId="12949" xr:uid="{00000000-0005-0000-0000-000038320000}"/>
    <cellStyle name="40% - Accent1 3 2 6 2 4" xfId="12950" xr:uid="{00000000-0005-0000-0000-000039320000}"/>
    <cellStyle name="40% - Accent1 3 2 6 3" xfId="12951" xr:uid="{00000000-0005-0000-0000-00003A320000}"/>
    <cellStyle name="40% - Accent1 3 2 6 3 2" xfId="12952" xr:uid="{00000000-0005-0000-0000-00003B320000}"/>
    <cellStyle name="40% - Accent1 3 2 6 3 3" xfId="12953" xr:uid="{00000000-0005-0000-0000-00003C320000}"/>
    <cellStyle name="40% - Accent1 3 2 6 4" xfId="12954" xr:uid="{00000000-0005-0000-0000-00003D320000}"/>
    <cellStyle name="40% - Accent1 3 2 6 5" xfId="12955" xr:uid="{00000000-0005-0000-0000-00003E320000}"/>
    <cellStyle name="40% - Accent1 3 2 6 6" xfId="12956" xr:uid="{00000000-0005-0000-0000-00003F320000}"/>
    <cellStyle name="40% - Accent1 3 2 7" xfId="12957" xr:uid="{00000000-0005-0000-0000-000040320000}"/>
    <cellStyle name="40% - Accent1 3 2 7 2" xfId="12958" xr:uid="{00000000-0005-0000-0000-000041320000}"/>
    <cellStyle name="40% - Accent1 3 2 7 2 2" xfId="12959" xr:uid="{00000000-0005-0000-0000-000042320000}"/>
    <cellStyle name="40% - Accent1 3 2 7 2 3" xfId="12960" xr:uid="{00000000-0005-0000-0000-000043320000}"/>
    <cellStyle name="40% - Accent1 3 2 7 3" xfId="12961" xr:uid="{00000000-0005-0000-0000-000044320000}"/>
    <cellStyle name="40% - Accent1 3 2 7 4" xfId="12962" xr:uid="{00000000-0005-0000-0000-000045320000}"/>
    <cellStyle name="40% - Accent1 3 2 8" xfId="12963" xr:uid="{00000000-0005-0000-0000-000046320000}"/>
    <cellStyle name="40% - Accent1 3 2 8 2" xfId="12964" xr:uid="{00000000-0005-0000-0000-000047320000}"/>
    <cellStyle name="40% - Accent1 3 2 8 3" xfId="12965" xr:uid="{00000000-0005-0000-0000-000048320000}"/>
    <cellStyle name="40% - Accent1 3 2 9" xfId="12966" xr:uid="{00000000-0005-0000-0000-000049320000}"/>
    <cellStyle name="40% - Accent1 3 3" xfId="12967" xr:uid="{00000000-0005-0000-0000-00004A320000}"/>
    <cellStyle name="40% - Accent1 3 3 10" xfId="12968" xr:uid="{00000000-0005-0000-0000-00004B320000}"/>
    <cellStyle name="40% - Accent1 3 3 2" xfId="12969" xr:uid="{00000000-0005-0000-0000-00004C320000}"/>
    <cellStyle name="40% - Accent1 3 3 2 2" xfId="12970" xr:uid="{00000000-0005-0000-0000-00004D320000}"/>
    <cellStyle name="40% - Accent1 3 3 2 2 2" xfId="12971" xr:uid="{00000000-0005-0000-0000-00004E320000}"/>
    <cellStyle name="40% - Accent1 3 3 2 2 2 2" xfId="12972" xr:uid="{00000000-0005-0000-0000-00004F320000}"/>
    <cellStyle name="40% - Accent1 3 3 2 2 2 2 2" xfId="12973" xr:uid="{00000000-0005-0000-0000-000050320000}"/>
    <cellStyle name="40% - Accent1 3 3 2 2 2 2 2 2" xfId="12974" xr:uid="{00000000-0005-0000-0000-000051320000}"/>
    <cellStyle name="40% - Accent1 3 3 2 2 2 2 2 2 2" xfId="12975" xr:uid="{00000000-0005-0000-0000-000052320000}"/>
    <cellStyle name="40% - Accent1 3 3 2 2 2 2 2 2 3" xfId="12976" xr:uid="{00000000-0005-0000-0000-000053320000}"/>
    <cellStyle name="40% - Accent1 3 3 2 2 2 2 2 3" xfId="12977" xr:uid="{00000000-0005-0000-0000-000054320000}"/>
    <cellStyle name="40% - Accent1 3 3 2 2 2 2 2 4" xfId="12978" xr:uid="{00000000-0005-0000-0000-000055320000}"/>
    <cellStyle name="40% - Accent1 3 3 2 2 2 2 3" xfId="12979" xr:uid="{00000000-0005-0000-0000-000056320000}"/>
    <cellStyle name="40% - Accent1 3 3 2 2 2 2 3 2" xfId="12980" xr:uid="{00000000-0005-0000-0000-000057320000}"/>
    <cellStyle name="40% - Accent1 3 3 2 2 2 2 3 3" xfId="12981" xr:uid="{00000000-0005-0000-0000-000058320000}"/>
    <cellStyle name="40% - Accent1 3 3 2 2 2 2 4" xfId="12982" xr:uid="{00000000-0005-0000-0000-000059320000}"/>
    <cellStyle name="40% - Accent1 3 3 2 2 2 2 5" xfId="12983" xr:uid="{00000000-0005-0000-0000-00005A320000}"/>
    <cellStyle name="40% - Accent1 3 3 2 2 2 2 6" xfId="12984" xr:uid="{00000000-0005-0000-0000-00005B320000}"/>
    <cellStyle name="40% - Accent1 3 3 2 2 2 3" xfId="12985" xr:uid="{00000000-0005-0000-0000-00005C320000}"/>
    <cellStyle name="40% - Accent1 3 3 2 2 2 3 2" xfId="12986" xr:uid="{00000000-0005-0000-0000-00005D320000}"/>
    <cellStyle name="40% - Accent1 3 3 2 2 2 3 2 2" xfId="12987" xr:uid="{00000000-0005-0000-0000-00005E320000}"/>
    <cellStyle name="40% - Accent1 3 3 2 2 2 3 2 3" xfId="12988" xr:uid="{00000000-0005-0000-0000-00005F320000}"/>
    <cellStyle name="40% - Accent1 3 3 2 2 2 3 3" xfId="12989" xr:uid="{00000000-0005-0000-0000-000060320000}"/>
    <cellStyle name="40% - Accent1 3 3 2 2 2 3 4" xfId="12990" xr:uid="{00000000-0005-0000-0000-000061320000}"/>
    <cellStyle name="40% - Accent1 3 3 2 2 2 4" xfId="12991" xr:uid="{00000000-0005-0000-0000-000062320000}"/>
    <cellStyle name="40% - Accent1 3 3 2 2 2 4 2" xfId="12992" xr:uid="{00000000-0005-0000-0000-000063320000}"/>
    <cellStyle name="40% - Accent1 3 3 2 2 2 4 3" xfId="12993" xr:uid="{00000000-0005-0000-0000-000064320000}"/>
    <cellStyle name="40% - Accent1 3 3 2 2 2 5" xfId="12994" xr:uid="{00000000-0005-0000-0000-000065320000}"/>
    <cellStyle name="40% - Accent1 3 3 2 2 2 6" xfId="12995" xr:uid="{00000000-0005-0000-0000-000066320000}"/>
    <cellStyle name="40% - Accent1 3 3 2 2 2 7" xfId="12996" xr:uid="{00000000-0005-0000-0000-000067320000}"/>
    <cellStyle name="40% - Accent1 3 3 2 2 3" xfId="12997" xr:uid="{00000000-0005-0000-0000-000068320000}"/>
    <cellStyle name="40% - Accent1 3 3 2 2 3 2" xfId="12998" xr:uid="{00000000-0005-0000-0000-000069320000}"/>
    <cellStyle name="40% - Accent1 3 3 2 2 3 2 2" xfId="12999" xr:uid="{00000000-0005-0000-0000-00006A320000}"/>
    <cellStyle name="40% - Accent1 3 3 2 2 3 2 2 2" xfId="13000" xr:uid="{00000000-0005-0000-0000-00006B320000}"/>
    <cellStyle name="40% - Accent1 3 3 2 2 3 2 2 3" xfId="13001" xr:uid="{00000000-0005-0000-0000-00006C320000}"/>
    <cellStyle name="40% - Accent1 3 3 2 2 3 2 3" xfId="13002" xr:uid="{00000000-0005-0000-0000-00006D320000}"/>
    <cellStyle name="40% - Accent1 3 3 2 2 3 2 4" xfId="13003" xr:uid="{00000000-0005-0000-0000-00006E320000}"/>
    <cellStyle name="40% - Accent1 3 3 2 2 3 3" xfId="13004" xr:uid="{00000000-0005-0000-0000-00006F320000}"/>
    <cellStyle name="40% - Accent1 3 3 2 2 3 3 2" xfId="13005" xr:uid="{00000000-0005-0000-0000-000070320000}"/>
    <cellStyle name="40% - Accent1 3 3 2 2 3 3 3" xfId="13006" xr:uid="{00000000-0005-0000-0000-000071320000}"/>
    <cellStyle name="40% - Accent1 3 3 2 2 3 4" xfId="13007" xr:uid="{00000000-0005-0000-0000-000072320000}"/>
    <cellStyle name="40% - Accent1 3 3 2 2 3 5" xfId="13008" xr:uid="{00000000-0005-0000-0000-000073320000}"/>
    <cellStyle name="40% - Accent1 3 3 2 2 3 6" xfId="13009" xr:uid="{00000000-0005-0000-0000-000074320000}"/>
    <cellStyle name="40% - Accent1 3 3 2 2 4" xfId="13010" xr:uid="{00000000-0005-0000-0000-000075320000}"/>
    <cellStyle name="40% - Accent1 3 3 2 2 4 2" xfId="13011" xr:uid="{00000000-0005-0000-0000-000076320000}"/>
    <cellStyle name="40% - Accent1 3 3 2 2 4 2 2" xfId="13012" xr:uid="{00000000-0005-0000-0000-000077320000}"/>
    <cellStyle name="40% - Accent1 3 3 2 2 4 2 3" xfId="13013" xr:uid="{00000000-0005-0000-0000-000078320000}"/>
    <cellStyle name="40% - Accent1 3 3 2 2 4 3" xfId="13014" xr:uid="{00000000-0005-0000-0000-000079320000}"/>
    <cellStyle name="40% - Accent1 3 3 2 2 4 4" xfId="13015" xr:uid="{00000000-0005-0000-0000-00007A320000}"/>
    <cellStyle name="40% - Accent1 3 3 2 2 5" xfId="13016" xr:uid="{00000000-0005-0000-0000-00007B320000}"/>
    <cellStyle name="40% - Accent1 3 3 2 2 5 2" xfId="13017" xr:uid="{00000000-0005-0000-0000-00007C320000}"/>
    <cellStyle name="40% - Accent1 3 3 2 2 5 3" xfId="13018" xr:uid="{00000000-0005-0000-0000-00007D320000}"/>
    <cellStyle name="40% - Accent1 3 3 2 2 6" xfId="13019" xr:uid="{00000000-0005-0000-0000-00007E320000}"/>
    <cellStyle name="40% - Accent1 3 3 2 2 7" xfId="13020" xr:uid="{00000000-0005-0000-0000-00007F320000}"/>
    <cellStyle name="40% - Accent1 3 3 2 2 8" xfId="13021" xr:uid="{00000000-0005-0000-0000-000080320000}"/>
    <cellStyle name="40% - Accent1 3 3 2 3" xfId="13022" xr:uid="{00000000-0005-0000-0000-000081320000}"/>
    <cellStyle name="40% - Accent1 3 3 2 3 2" xfId="13023" xr:uid="{00000000-0005-0000-0000-000082320000}"/>
    <cellStyle name="40% - Accent1 3 3 2 3 2 2" xfId="13024" xr:uid="{00000000-0005-0000-0000-000083320000}"/>
    <cellStyle name="40% - Accent1 3 3 2 3 2 2 2" xfId="13025" xr:uid="{00000000-0005-0000-0000-000084320000}"/>
    <cellStyle name="40% - Accent1 3 3 2 3 2 2 2 2" xfId="13026" xr:uid="{00000000-0005-0000-0000-000085320000}"/>
    <cellStyle name="40% - Accent1 3 3 2 3 2 2 2 3" xfId="13027" xr:uid="{00000000-0005-0000-0000-000086320000}"/>
    <cellStyle name="40% - Accent1 3 3 2 3 2 2 3" xfId="13028" xr:uid="{00000000-0005-0000-0000-000087320000}"/>
    <cellStyle name="40% - Accent1 3 3 2 3 2 2 4" xfId="13029" xr:uid="{00000000-0005-0000-0000-000088320000}"/>
    <cellStyle name="40% - Accent1 3 3 2 3 2 3" xfId="13030" xr:uid="{00000000-0005-0000-0000-000089320000}"/>
    <cellStyle name="40% - Accent1 3 3 2 3 2 3 2" xfId="13031" xr:uid="{00000000-0005-0000-0000-00008A320000}"/>
    <cellStyle name="40% - Accent1 3 3 2 3 2 3 3" xfId="13032" xr:uid="{00000000-0005-0000-0000-00008B320000}"/>
    <cellStyle name="40% - Accent1 3 3 2 3 2 4" xfId="13033" xr:uid="{00000000-0005-0000-0000-00008C320000}"/>
    <cellStyle name="40% - Accent1 3 3 2 3 2 5" xfId="13034" xr:uid="{00000000-0005-0000-0000-00008D320000}"/>
    <cellStyle name="40% - Accent1 3 3 2 3 2 6" xfId="13035" xr:uid="{00000000-0005-0000-0000-00008E320000}"/>
    <cellStyle name="40% - Accent1 3 3 2 3 3" xfId="13036" xr:uid="{00000000-0005-0000-0000-00008F320000}"/>
    <cellStyle name="40% - Accent1 3 3 2 3 3 2" xfId="13037" xr:uid="{00000000-0005-0000-0000-000090320000}"/>
    <cellStyle name="40% - Accent1 3 3 2 3 3 2 2" xfId="13038" xr:uid="{00000000-0005-0000-0000-000091320000}"/>
    <cellStyle name="40% - Accent1 3 3 2 3 3 2 3" xfId="13039" xr:uid="{00000000-0005-0000-0000-000092320000}"/>
    <cellStyle name="40% - Accent1 3 3 2 3 3 3" xfId="13040" xr:uid="{00000000-0005-0000-0000-000093320000}"/>
    <cellStyle name="40% - Accent1 3 3 2 3 3 4" xfId="13041" xr:uid="{00000000-0005-0000-0000-000094320000}"/>
    <cellStyle name="40% - Accent1 3 3 2 3 4" xfId="13042" xr:uid="{00000000-0005-0000-0000-000095320000}"/>
    <cellStyle name="40% - Accent1 3 3 2 3 4 2" xfId="13043" xr:uid="{00000000-0005-0000-0000-000096320000}"/>
    <cellStyle name="40% - Accent1 3 3 2 3 4 3" xfId="13044" xr:uid="{00000000-0005-0000-0000-000097320000}"/>
    <cellStyle name="40% - Accent1 3 3 2 3 5" xfId="13045" xr:uid="{00000000-0005-0000-0000-000098320000}"/>
    <cellStyle name="40% - Accent1 3 3 2 3 6" xfId="13046" xr:uid="{00000000-0005-0000-0000-000099320000}"/>
    <cellStyle name="40% - Accent1 3 3 2 3 7" xfId="13047" xr:uid="{00000000-0005-0000-0000-00009A320000}"/>
    <cellStyle name="40% - Accent1 3 3 2 4" xfId="13048" xr:uid="{00000000-0005-0000-0000-00009B320000}"/>
    <cellStyle name="40% - Accent1 3 3 2 4 2" xfId="13049" xr:uid="{00000000-0005-0000-0000-00009C320000}"/>
    <cellStyle name="40% - Accent1 3 3 2 4 2 2" xfId="13050" xr:uid="{00000000-0005-0000-0000-00009D320000}"/>
    <cellStyle name="40% - Accent1 3 3 2 4 2 2 2" xfId="13051" xr:uid="{00000000-0005-0000-0000-00009E320000}"/>
    <cellStyle name="40% - Accent1 3 3 2 4 2 2 3" xfId="13052" xr:uid="{00000000-0005-0000-0000-00009F320000}"/>
    <cellStyle name="40% - Accent1 3 3 2 4 2 3" xfId="13053" xr:uid="{00000000-0005-0000-0000-0000A0320000}"/>
    <cellStyle name="40% - Accent1 3 3 2 4 2 4" xfId="13054" xr:uid="{00000000-0005-0000-0000-0000A1320000}"/>
    <cellStyle name="40% - Accent1 3 3 2 4 3" xfId="13055" xr:uid="{00000000-0005-0000-0000-0000A2320000}"/>
    <cellStyle name="40% - Accent1 3 3 2 4 3 2" xfId="13056" xr:uid="{00000000-0005-0000-0000-0000A3320000}"/>
    <cellStyle name="40% - Accent1 3 3 2 4 3 3" xfId="13057" xr:uid="{00000000-0005-0000-0000-0000A4320000}"/>
    <cellStyle name="40% - Accent1 3 3 2 4 4" xfId="13058" xr:uid="{00000000-0005-0000-0000-0000A5320000}"/>
    <cellStyle name="40% - Accent1 3 3 2 4 5" xfId="13059" xr:uid="{00000000-0005-0000-0000-0000A6320000}"/>
    <cellStyle name="40% - Accent1 3 3 2 4 6" xfId="13060" xr:uid="{00000000-0005-0000-0000-0000A7320000}"/>
    <cellStyle name="40% - Accent1 3 3 2 5" xfId="13061" xr:uid="{00000000-0005-0000-0000-0000A8320000}"/>
    <cellStyle name="40% - Accent1 3 3 2 5 2" xfId="13062" xr:uid="{00000000-0005-0000-0000-0000A9320000}"/>
    <cellStyle name="40% - Accent1 3 3 2 5 2 2" xfId="13063" xr:uid="{00000000-0005-0000-0000-0000AA320000}"/>
    <cellStyle name="40% - Accent1 3 3 2 5 2 3" xfId="13064" xr:uid="{00000000-0005-0000-0000-0000AB320000}"/>
    <cellStyle name="40% - Accent1 3 3 2 5 3" xfId="13065" xr:uid="{00000000-0005-0000-0000-0000AC320000}"/>
    <cellStyle name="40% - Accent1 3 3 2 5 4" xfId="13066" xr:uid="{00000000-0005-0000-0000-0000AD320000}"/>
    <cellStyle name="40% - Accent1 3 3 2 6" xfId="13067" xr:uid="{00000000-0005-0000-0000-0000AE320000}"/>
    <cellStyle name="40% - Accent1 3 3 2 6 2" xfId="13068" xr:uid="{00000000-0005-0000-0000-0000AF320000}"/>
    <cellStyle name="40% - Accent1 3 3 2 6 3" xfId="13069" xr:uid="{00000000-0005-0000-0000-0000B0320000}"/>
    <cellStyle name="40% - Accent1 3 3 2 7" xfId="13070" xr:uid="{00000000-0005-0000-0000-0000B1320000}"/>
    <cellStyle name="40% - Accent1 3 3 2 8" xfId="13071" xr:uid="{00000000-0005-0000-0000-0000B2320000}"/>
    <cellStyle name="40% - Accent1 3 3 2 9" xfId="13072" xr:uid="{00000000-0005-0000-0000-0000B3320000}"/>
    <cellStyle name="40% - Accent1 3 3 3" xfId="13073" xr:uid="{00000000-0005-0000-0000-0000B4320000}"/>
    <cellStyle name="40% - Accent1 3 3 3 2" xfId="13074" xr:uid="{00000000-0005-0000-0000-0000B5320000}"/>
    <cellStyle name="40% - Accent1 3 3 3 2 2" xfId="13075" xr:uid="{00000000-0005-0000-0000-0000B6320000}"/>
    <cellStyle name="40% - Accent1 3 3 3 2 2 2" xfId="13076" xr:uid="{00000000-0005-0000-0000-0000B7320000}"/>
    <cellStyle name="40% - Accent1 3 3 3 2 2 2 2" xfId="13077" xr:uid="{00000000-0005-0000-0000-0000B8320000}"/>
    <cellStyle name="40% - Accent1 3 3 3 2 2 2 2 2" xfId="13078" xr:uid="{00000000-0005-0000-0000-0000B9320000}"/>
    <cellStyle name="40% - Accent1 3 3 3 2 2 2 2 3" xfId="13079" xr:uid="{00000000-0005-0000-0000-0000BA320000}"/>
    <cellStyle name="40% - Accent1 3 3 3 2 2 2 3" xfId="13080" xr:uid="{00000000-0005-0000-0000-0000BB320000}"/>
    <cellStyle name="40% - Accent1 3 3 3 2 2 2 4" xfId="13081" xr:uid="{00000000-0005-0000-0000-0000BC320000}"/>
    <cellStyle name="40% - Accent1 3 3 3 2 2 3" xfId="13082" xr:uid="{00000000-0005-0000-0000-0000BD320000}"/>
    <cellStyle name="40% - Accent1 3 3 3 2 2 3 2" xfId="13083" xr:uid="{00000000-0005-0000-0000-0000BE320000}"/>
    <cellStyle name="40% - Accent1 3 3 3 2 2 3 3" xfId="13084" xr:uid="{00000000-0005-0000-0000-0000BF320000}"/>
    <cellStyle name="40% - Accent1 3 3 3 2 2 4" xfId="13085" xr:uid="{00000000-0005-0000-0000-0000C0320000}"/>
    <cellStyle name="40% - Accent1 3 3 3 2 2 5" xfId="13086" xr:uid="{00000000-0005-0000-0000-0000C1320000}"/>
    <cellStyle name="40% - Accent1 3 3 3 2 2 6" xfId="13087" xr:uid="{00000000-0005-0000-0000-0000C2320000}"/>
    <cellStyle name="40% - Accent1 3 3 3 2 3" xfId="13088" xr:uid="{00000000-0005-0000-0000-0000C3320000}"/>
    <cellStyle name="40% - Accent1 3 3 3 2 3 2" xfId="13089" xr:uid="{00000000-0005-0000-0000-0000C4320000}"/>
    <cellStyle name="40% - Accent1 3 3 3 2 3 2 2" xfId="13090" xr:uid="{00000000-0005-0000-0000-0000C5320000}"/>
    <cellStyle name="40% - Accent1 3 3 3 2 3 2 3" xfId="13091" xr:uid="{00000000-0005-0000-0000-0000C6320000}"/>
    <cellStyle name="40% - Accent1 3 3 3 2 3 3" xfId="13092" xr:uid="{00000000-0005-0000-0000-0000C7320000}"/>
    <cellStyle name="40% - Accent1 3 3 3 2 3 4" xfId="13093" xr:uid="{00000000-0005-0000-0000-0000C8320000}"/>
    <cellStyle name="40% - Accent1 3 3 3 2 4" xfId="13094" xr:uid="{00000000-0005-0000-0000-0000C9320000}"/>
    <cellStyle name="40% - Accent1 3 3 3 2 4 2" xfId="13095" xr:uid="{00000000-0005-0000-0000-0000CA320000}"/>
    <cellStyle name="40% - Accent1 3 3 3 2 4 3" xfId="13096" xr:uid="{00000000-0005-0000-0000-0000CB320000}"/>
    <cellStyle name="40% - Accent1 3 3 3 2 5" xfId="13097" xr:uid="{00000000-0005-0000-0000-0000CC320000}"/>
    <cellStyle name="40% - Accent1 3 3 3 2 6" xfId="13098" xr:uid="{00000000-0005-0000-0000-0000CD320000}"/>
    <cellStyle name="40% - Accent1 3 3 3 2 7" xfId="13099" xr:uid="{00000000-0005-0000-0000-0000CE320000}"/>
    <cellStyle name="40% - Accent1 3 3 3 3" xfId="13100" xr:uid="{00000000-0005-0000-0000-0000CF320000}"/>
    <cellStyle name="40% - Accent1 3 3 3 3 2" xfId="13101" xr:uid="{00000000-0005-0000-0000-0000D0320000}"/>
    <cellStyle name="40% - Accent1 3 3 3 3 2 2" xfId="13102" xr:uid="{00000000-0005-0000-0000-0000D1320000}"/>
    <cellStyle name="40% - Accent1 3 3 3 3 2 2 2" xfId="13103" xr:uid="{00000000-0005-0000-0000-0000D2320000}"/>
    <cellStyle name="40% - Accent1 3 3 3 3 2 2 3" xfId="13104" xr:uid="{00000000-0005-0000-0000-0000D3320000}"/>
    <cellStyle name="40% - Accent1 3 3 3 3 2 3" xfId="13105" xr:uid="{00000000-0005-0000-0000-0000D4320000}"/>
    <cellStyle name="40% - Accent1 3 3 3 3 2 4" xfId="13106" xr:uid="{00000000-0005-0000-0000-0000D5320000}"/>
    <cellStyle name="40% - Accent1 3 3 3 3 3" xfId="13107" xr:uid="{00000000-0005-0000-0000-0000D6320000}"/>
    <cellStyle name="40% - Accent1 3 3 3 3 3 2" xfId="13108" xr:uid="{00000000-0005-0000-0000-0000D7320000}"/>
    <cellStyle name="40% - Accent1 3 3 3 3 3 3" xfId="13109" xr:uid="{00000000-0005-0000-0000-0000D8320000}"/>
    <cellStyle name="40% - Accent1 3 3 3 3 4" xfId="13110" xr:uid="{00000000-0005-0000-0000-0000D9320000}"/>
    <cellStyle name="40% - Accent1 3 3 3 3 5" xfId="13111" xr:uid="{00000000-0005-0000-0000-0000DA320000}"/>
    <cellStyle name="40% - Accent1 3 3 3 3 6" xfId="13112" xr:uid="{00000000-0005-0000-0000-0000DB320000}"/>
    <cellStyle name="40% - Accent1 3 3 3 4" xfId="13113" xr:uid="{00000000-0005-0000-0000-0000DC320000}"/>
    <cellStyle name="40% - Accent1 3 3 3 4 2" xfId="13114" xr:uid="{00000000-0005-0000-0000-0000DD320000}"/>
    <cellStyle name="40% - Accent1 3 3 3 4 2 2" xfId="13115" xr:uid="{00000000-0005-0000-0000-0000DE320000}"/>
    <cellStyle name="40% - Accent1 3 3 3 4 2 3" xfId="13116" xr:uid="{00000000-0005-0000-0000-0000DF320000}"/>
    <cellStyle name="40% - Accent1 3 3 3 4 3" xfId="13117" xr:uid="{00000000-0005-0000-0000-0000E0320000}"/>
    <cellStyle name="40% - Accent1 3 3 3 4 4" xfId="13118" xr:uid="{00000000-0005-0000-0000-0000E1320000}"/>
    <cellStyle name="40% - Accent1 3 3 3 5" xfId="13119" xr:uid="{00000000-0005-0000-0000-0000E2320000}"/>
    <cellStyle name="40% - Accent1 3 3 3 5 2" xfId="13120" xr:uid="{00000000-0005-0000-0000-0000E3320000}"/>
    <cellStyle name="40% - Accent1 3 3 3 5 3" xfId="13121" xr:uid="{00000000-0005-0000-0000-0000E4320000}"/>
    <cellStyle name="40% - Accent1 3 3 3 6" xfId="13122" xr:uid="{00000000-0005-0000-0000-0000E5320000}"/>
    <cellStyle name="40% - Accent1 3 3 3 7" xfId="13123" xr:uid="{00000000-0005-0000-0000-0000E6320000}"/>
    <cellStyle name="40% - Accent1 3 3 3 8" xfId="13124" xr:uid="{00000000-0005-0000-0000-0000E7320000}"/>
    <cellStyle name="40% - Accent1 3 3 4" xfId="13125" xr:uid="{00000000-0005-0000-0000-0000E8320000}"/>
    <cellStyle name="40% - Accent1 3 3 4 2" xfId="13126" xr:uid="{00000000-0005-0000-0000-0000E9320000}"/>
    <cellStyle name="40% - Accent1 3 3 4 2 2" xfId="13127" xr:uid="{00000000-0005-0000-0000-0000EA320000}"/>
    <cellStyle name="40% - Accent1 3 3 4 2 2 2" xfId="13128" xr:uid="{00000000-0005-0000-0000-0000EB320000}"/>
    <cellStyle name="40% - Accent1 3 3 4 2 2 2 2" xfId="13129" xr:uid="{00000000-0005-0000-0000-0000EC320000}"/>
    <cellStyle name="40% - Accent1 3 3 4 2 2 2 3" xfId="13130" xr:uid="{00000000-0005-0000-0000-0000ED320000}"/>
    <cellStyle name="40% - Accent1 3 3 4 2 2 3" xfId="13131" xr:uid="{00000000-0005-0000-0000-0000EE320000}"/>
    <cellStyle name="40% - Accent1 3 3 4 2 2 4" xfId="13132" xr:uid="{00000000-0005-0000-0000-0000EF320000}"/>
    <cellStyle name="40% - Accent1 3 3 4 2 3" xfId="13133" xr:uid="{00000000-0005-0000-0000-0000F0320000}"/>
    <cellStyle name="40% - Accent1 3 3 4 2 3 2" xfId="13134" xr:uid="{00000000-0005-0000-0000-0000F1320000}"/>
    <cellStyle name="40% - Accent1 3 3 4 2 3 3" xfId="13135" xr:uid="{00000000-0005-0000-0000-0000F2320000}"/>
    <cellStyle name="40% - Accent1 3 3 4 2 4" xfId="13136" xr:uid="{00000000-0005-0000-0000-0000F3320000}"/>
    <cellStyle name="40% - Accent1 3 3 4 2 5" xfId="13137" xr:uid="{00000000-0005-0000-0000-0000F4320000}"/>
    <cellStyle name="40% - Accent1 3 3 4 2 6" xfId="13138" xr:uid="{00000000-0005-0000-0000-0000F5320000}"/>
    <cellStyle name="40% - Accent1 3 3 4 3" xfId="13139" xr:uid="{00000000-0005-0000-0000-0000F6320000}"/>
    <cellStyle name="40% - Accent1 3 3 4 3 2" xfId="13140" xr:uid="{00000000-0005-0000-0000-0000F7320000}"/>
    <cellStyle name="40% - Accent1 3 3 4 3 2 2" xfId="13141" xr:uid="{00000000-0005-0000-0000-0000F8320000}"/>
    <cellStyle name="40% - Accent1 3 3 4 3 2 3" xfId="13142" xr:uid="{00000000-0005-0000-0000-0000F9320000}"/>
    <cellStyle name="40% - Accent1 3 3 4 3 3" xfId="13143" xr:uid="{00000000-0005-0000-0000-0000FA320000}"/>
    <cellStyle name="40% - Accent1 3 3 4 3 4" xfId="13144" xr:uid="{00000000-0005-0000-0000-0000FB320000}"/>
    <cellStyle name="40% - Accent1 3 3 4 4" xfId="13145" xr:uid="{00000000-0005-0000-0000-0000FC320000}"/>
    <cellStyle name="40% - Accent1 3 3 4 4 2" xfId="13146" xr:uid="{00000000-0005-0000-0000-0000FD320000}"/>
    <cellStyle name="40% - Accent1 3 3 4 4 3" xfId="13147" xr:uid="{00000000-0005-0000-0000-0000FE320000}"/>
    <cellStyle name="40% - Accent1 3 3 4 5" xfId="13148" xr:uid="{00000000-0005-0000-0000-0000FF320000}"/>
    <cellStyle name="40% - Accent1 3 3 4 6" xfId="13149" xr:uid="{00000000-0005-0000-0000-000000330000}"/>
    <cellStyle name="40% - Accent1 3 3 4 7" xfId="13150" xr:uid="{00000000-0005-0000-0000-000001330000}"/>
    <cellStyle name="40% - Accent1 3 3 5" xfId="13151" xr:uid="{00000000-0005-0000-0000-000002330000}"/>
    <cellStyle name="40% - Accent1 3 3 5 2" xfId="13152" xr:uid="{00000000-0005-0000-0000-000003330000}"/>
    <cellStyle name="40% - Accent1 3 3 5 2 2" xfId="13153" xr:uid="{00000000-0005-0000-0000-000004330000}"/>
    <cellStyle name="40% - Accent1 3 3 5 2 2 2" xfId="13154" xr:uid="{00000000-0005-0000-0000-000005330000}"/>
    <cellStyle name="40% - Accent1 3 3 5 2 2 3" xfId="13155" xr:uid="{00000000-0005-0000-0000-000006330000}"/>
    <cellStyle name="40% - Accent1 3 3 5 2 3" xfId="13156" xr:uid="{00000000-0005-0000-0000-000007330000}"/>
    <cellStyle name="40% - Accent1 3 3 5 2 4" xfId="13157" xr:uid="{00000000-0005-0000-0000-000008330000}"/>
    <cellStyle name="40% - Accent1 3 3 5 3" xfId="13158" xr:uid="{00000000-0005-0000-0000-000009330000}"/>
    <cellStyle name="40% - Accent1 3 3 5 3 2" xfId="13159" xr:uid="{00000000-0005-0000-0000-00000A330000}"/>
    <cellStyle name="40% - Accent1 3 3 5 3 3" xfId="13160" xr:uid="{00000000-0005-0000-0000-00000B330000}"/>
    <cellStyle name="40% - Accent1 3 3 5 4" xfId="13161" xr:uid="{00000000-0005-0000-0000-00000C330000}"/>
    <cellStyle name="40% - Accent1 3 3 5 5" xfId="13162" xr:uid="{00000000-0005-0000-0000-00000D330000}"/>
    <cellStyle name="40% - Accent1 3 3 5 6" xfId="13163" xr:uid="{00000000-0005-0000-0000-00000E330000}"/>
    <cellStyle name="40% - Accent1 3 3 6" xfId="13164" xr:uid="{00000000-0005-0000-0000-00000F330000}"/>
    <cellStyle name="40% - Accent1 3 3 6 2" xfId="13165" xr:uid="{00000000-0005-0000-0000-000010330000}"/>
    <cellStyle name="40% - Accent1 3 3 6 2 2" xfId="13166" xr:uid="{00000000-0005-0000-0000-000011330000}"/>
    <cellStyle name="40% - Accent1 3 3 6 2 3" xfId="13167" xr:uid="{00000000-0005-0000-0000-000012330000}"/>
    <cellStyle name="40% - Accent1 3 3 6 3" xfId="13168" xr:uid="{00000000-0005-0000-0000-000013330000}"/>
    <cellStyle name="40% - Accent1 3 3 6 4" xfId="13169" xr:uid="{00000000-0005-0000-0000-000014330000}"/>
    <cellStyle name="40% - Accent1 3 3 7" xfId="13170" xr:uid="{00000000-0005-0000-0000-000015330000}"/>
    <cellStyle name="40% - Accent1 3 3 7 2" xfId="13171" xr:uid="{00000000-0005-0000-0000-000016330000}"/>
    <cellStyle name="40% - Accent1 3 3 7 3" xfId="13172" xr:uid="{00000000-0005-0000-0000-000017330000}"/>
    <cellStyle name="40% - Accent1 3 3 8" xfId="13173" xr:uid="{00000000-0005-0000-0000-000018330000}"/>
    <cellStyle name="40% - Accent1 3 3 9" xfId="13174" xr:uid="{00000000-0005-0000-0000-000019330000}"/>
    <cellStyle name="40% - Accent1 3 4" xfId="13175" xr:uid="{00000000-0005-0000-0000-00001A330000}"/>
    <cellStyle name="40% - Accent1 3 4 2" xfId="13176" xr:uid="{00000000-0005-0000-0000-00001B330000}"/>
    <cellStyle name="40% - Accent1 3 4 2 2" xfId="13177" xr:uid="{00000000-0005-0000-0000-00001C330000}"/>
    <cellStyle name="40% - Accent1 3 4 2 2 2" xfId="13178" xr:uid="{00000000-0005-0000-0000-00001D330000}"/>
    <cellStyle name="40% - Accent1 3 4 2 2 2 2" xfId="13179" xr:uid="{00000000-0005-0000-0000-00001E330000}"/>
    <cellStyle name="40% - Accent1 3 4 2 2 2 2 2" xfId="13180" xr:uid="{00000000-0005-0000-0000-00001F330000}"/>
    <cellStyle name="40% - Accent1 3 4 2 2 2 2 2 2" xfId="13181" xr:uid="{00000000-0005-0000-0000-000020330000}"/>
    <cellStyle name="40% - Accent1 3 4 2 2 2 2 2 3" xfId="13182" xr:uid="{00000000-0005-0000-0000-000021330000}"/>
    <cellStyle name="40% - Accent1 3 4 2 2 2 2 3" xfId="13183" xr:uid="{00000000-0005-0000-0000-000022330000}"/>
    <cellStyle name="40% - Accent1 3 4 2 2 2 2 4" xfId="13184" xr:uid="{00000000-0005-0000-0000-000023330000}"/>
    <cellStyle name="40% - Accent1 3 4 2 2 2 3" xfId="13185" xr:uid="{00000000-0005-0000-0000-000024330000}"/>
    <cellStyle name="40% - Accent1 3 4 2 2 2 3 2" xfId="13186" xr:uid="{00000000-0005-0000-0000-000025330000}"/>
    <cellStyle name="40% - Accent1 3 4 2 2 2 3 3" xfId="13187" xr:uid="{00000000-0005-0000-0000-000026330000}"/>
    <cellStyle name="40% - Accent1 3 4 2 2 2 4" xfId="13188" xr:uid="{00000000-0005-0000-0000-000027330000}"/>
    <cellStyle name="40% - Accent1 3 4 2 2 2 5" xfId="13189" xr:uid="{00000000-0005-0000-0000-000028330000}"/>
    <cellStyle name="40% - Accent1 3 4 2 2 2 6" xfId="13190" xr:uid="{00000000-0005-0000-0000-000029330000}"/>
    <cellStyle name="40% - Accent1 3 4 2 2 3" xfId="13191" xr:uid="{00000000-0005-0000-0000-00002A330000}"/>
    <cellStyle name="40% - Accent1 3 4 2 2 3 2" xfId="13192" xr:uid="{00000000-0005-0000-0000-00002B330000}"/>
    <cellStyle name="40% - Accent1 3 4 2 2 3 2 2" xfId="13193" xr:uid="{00000000-0005-0000-0000-00002C330000}"/>
    <cellStyle name="40% - Accent1 3 4 2 2 3 2 3" xfId="13194" xr:uid="{00000000-0005-0000-0000-00002D330000}"/>
    <cellStyle name="40% - Accent1 3 4 2 2 3 3" xfId="13195" xr:uid="{00000000-0005-0000-0000-00002E330000}"/>
    <cellStyle name="40% - Accent1 3 4 2 2 3 4" xfId="13196" xr:uid="{00000000-0005-0000-0000-00002F330000}"/>
    <cellStyle name="40% - Accent1 3 4 2 2 4" xfId="13197" xr:uid="{00000000-0005-0000-0000-000030330000}"/>
    <cellStyle name="40% - Accent1 3 4 2 2 4 2" xfId="13198" xr:uid="{00000000-0005-0000-0000-000031330000}"/>
    <cellStyle name="40% - Accent1 3 4 2 2 4 3" xfId="13199" xr:uid="{00000000-0005-0000-0000-000032330000}"/>
    <cellStyle name="40% - Accent1 3 4 2 2 5" xfId="13200" xr:uid="{00000000-0005-0000-0000-000033330000}"/>
    <cellStyle name="40% - Accent1 3 4 2 2 6" xfId="13201" xr:uid="{00000000-0005-0000-0000-000034330000}"/>
    <cellStyle name="40% - Accent1 3 4 2 2 7" xfId="13202" xr:uid="{00000000-0005-0000-0000-000035330000}"/>
    <cellStyle name="40% - Accent1 3 4 2 3" xfId="13203" xr:uid="{00000000-0005-0000-0000-000036330000}"/>
    <cellStyle name="40% - Accent1 3 4 2 3 2" xfId="13204" xr:uid="{00000000-0005-0000-0000-000037330000}"/>
    <cellStyle name="40% - Accent1 3 4 2 3 2 2" xfId="13205" xr:uid="{00000000-0005-0000-0000-000038330000}"/>
    <cellStyle name="40% - Accent1 3 4 2 3 2 2 2" xfId="13206" xr:uid="{00000000-0005-0000-0000-000039330000}"/>
    <cellStyle name="40% - Accent1 3 4 2 3 2 2 3" xfId="13207" xr:uid="{00000000-0005-0000-0000-00003A330000}"/>
    <cellStyle name="40% - Accent1 3 4 2 3 2 3" xfId="13208" xr:uid="{00000000-0005-0000-0000-00003B330000}"/>
    <cellStyle name="40% - Accent1 3 4 2 3 2 4" xfId="13209" xr:uid="{00000000-0005-0000-0000-00003C330000}"/>
    <cellStyle name="40% - Accent1 3 4 2 3 3" xfId="13210" xr:uid="{00000000-0005-0000-0000-00003D330000}"/>
    <cellStyle name="40% - Accent1 3 4 2 3 3 2" xfId="13211" xr:uid="{00000000-0005-0000-0000-00003E330000}"/>
    <cellStyle name="40% - Accent1 3 4 2 3 3 3" xfId="13212" xr:uid="{00000000-0005-0000-0000-00003F330000}"/>
    <cellStyle name="40% - Accent1 3 4 2 3 4" xfId="13213" xr:uid="{00000000-0005-0000-0000-000040330000}"/>
    <cellStyle name="40% - Accent1 3 4 2 3 5" xfId="13214" xr:uid="{00000000-0005-0000-0000-000041330000}"/>
    <cellStyle name="40% - Accent1 3 4 2 3 6" xfId="13215" xr:uid="{00000000-0005-0000-0000-000042330000}"/>
    <cellStyle name="40% - Accent1 3 4 2 4" xfId="13216" xr:uid="{00000000-0005-0000-0000-000043330000}"/>
    <cellStyle name="40% - Accent1 3 4 2 4 2" xfId="13217" xr:uid="{00000000-0005-0000-0000-000044330000}"/>
    <cellStyle name="40% - Accent1 3 4 2 4 2 2" xfId="13218" xr:uid="{00000000-0005-0000-0000-000045330000}"/>
    <cellStyle name="40% - Accent1 3 4 2 4 2 3" xfId="13219" xr:uid="{00000000-0005-0000-0000-000046330000}"/>
    <cellStyle name="40% - Accent1 3 4 2 4 3" xfId="13220" xr:uid="{00000000-0005-0000-0000-000047330000}"/>
    <cellStyle name="40% - Accent1 3 4 2 4 4" xfId="13221" xr:uid="{00000000-0005-0000-0000-000048330000}"/>
    <cellStyle name="40% - Accent1 3 4 2 5" xfId="13222" xr:uid="{00000000-0005-0000-0000-000049330000}"/>
    <cellStyle name="40% - Accent1 3 4 2 5 2" xfId="13223" xr:uid="{00000000-0005-0000-0000-00004A330000}"/>
    <cellStyle name="40% - Accent1 3 4 2 5 3" xfId="13224" xr:uid="{00000000-0005-0000-0000-00004B330000}"/>
    <cellStyle name="40% - Accent1 3 4 2 6" xfId="13225" xr:uid="{00000000-0005-0000-0000-00004C330000}"/>
    <cellStyle name="40% - Accent1 3 4 2 7" xfId="13226" xr:uid="{00000000-0005-0000-0000-00004D330000}"/>
    <cellStyle name="40% - Accent1 3 4 2 8" xfId="13227" xr:uid="{00000000-0005-0000-0000-00004E330000}"/>
    <cellStyle name="40% - Accent1 3 4 3" xfId="13228" xr:uid="{00000000-0005-0000-0000-00004F330000}"/>
    <cellStyle name="40% - Accent1 3 4 3 2" xfId="13229" xr:uid="{00000000-0005-0000-0000-000050330000}"/>
    <cellStyle name="40% - Accent1 3 4 3 2 2" xfId="13230" xr:uid="{00000000-0005-0000-0000-000051330000}"/>
    <cellStyle name="40% - Accent1 3 4 3 2 2 2" xfId="13231" xr:uid="{00000000-0005-0000-0000-000052330000}"/>
    <cellStyle name="40% - Accent1 3 4 3 2 2 2 2" xfId="13232" xr:uid="{00000000-0005-0000-0000-000053330000}"/>
    <cellStyle name="40% - Accent1 3 4 3 2 2 2 3" xfId="13233" xr:uid="{00000000-0005-0000-0000-000054330000}"/>
    <cellStyle name="40% - Accent1 3 4 3 2 2 3" xfId="13234" xr:uid="{00000000-0005-0000-0000-000055330000}"/>
    <cellStyle name="40% - Accent1 3 4 3 2 2 4" xfId="13235" xr:uid="{00000000-0005-0000-0000-000056330000}"/>
    <cellStyle name="40% - Accent1 3 4 3 2 3" xfId="13236" xr:uid="{00000000-0005-0000-0000-000057330000}"/>
    <cellStyle name="40% - Accent1 3 4 3 2 3 2" xfId="13237" xr:uid="{00000000-0005-0000-0000-000058330000}"/>
    <cellStyle name="40% - Accent1 3 4 3 2 3 3" xfId="13238" xr:uid="{00000000-0005-0000-0000-000059330000}"/>
    <cellStyle name="40% - Accent1 3 4 3 2 4" xfId="13239" xr:uid="{00000000-0005-0000-0000-00005A330000}"/>
    <cellStyle name="40% - Accent1 3 4 3 2 5" xfId="13240" xr:uid="{00000000-0005-0000-0000-00005B330000}"/>
    <cellStyle name="40% - Accent1 3 4 3 2 6" xfId="13241" xr:uid="{00000000-0005-0000-0000-00005C330000}"/>
    <cellStyle name="40% - Accent1 3 4 3 3" xfId="13242" xr:uid="{00000000-0005-0000-0000-00005D330000}"/>
    <cellStyle name="40% - Accent1 3 4 3 3 2" xfId="13243" xr:uid="{00000000-0005-0000-0000-00005E330000}"/>
    <cellStyle name="40% - Accent1 3 4 3 3 2 2" xfId="13244" xr:uid="{00000000-0005-0000-0000-00005F330000}"/>
    <cellStyle name="40% - Accent1 3 4 3 3 2 3" xfId="13245" xr:uid="{00000000-0005-0000-0000-000060330000}"/>
    <cellStyle name="40% - Accent1 3 4 3 3 3" xfId="13246" xr:uid="{00000000-0005-0000-0000-000061330000}"/>
    <cellStyle name="40% - Accent1 3 4 3 3 4" xfId="13247" xr:uid="{00000000-0005-0000-0000-000062330000}"/>
    <cellStyle name="40% - Accent1 3 4 3 4" xfId="13248" xr:uid="{00000000-0005-0000-0000-000063330000}"/>
    <cellStyle name="40% - Accent1 3 4 3 4 2" xfId="13249" xr:uid="{00000000-0005-0000-0000-000064330000}"/>
    <cellStyle name="40% - Accent1 3 4 3 4 3" xfId="13250" xr:uid="{00000000-0005-0000-0000-000065330000}"/>
    <cellStyle name="40% - Accent1 3 4 3 5" xfId="13251" xr:uid="{00000000-0005-0000-0000-000066330000}"/>
    <cellStyle name="40% - Accent1 3 4 3 6" xfId="13252" xr:uid="{00000000-0005-0000-0000-000067330000}"/>
    <cellStyle name="40% - Accent1 3 4 3 7" xfId="13253" xr:uid="{00000000-0005-0000-0000-000068330000}"/>
    <cellStyle name="40% - Accent1 3 4 4" xfId="13254" xr:uid="{00000000-0005-0000-0000-000069330000}"/>
    <cellStyle name="40% - Accent1 3 4 4 2" xfId="13255" xr:uid="{00000000-0005-0000-0000-00006A330000}"/>
    <cellStyle name="40% - Accent1 3 4 4 2 2" xfId="13256" xr:uid="{00000000-0005-0000-0000-00006B330000}"/>
    <cellStyle name="40% - Accent1 3 4 4 2 2 2" xfId="13257" xr:uid="{00000000-0005-0000-0000-00006C330000}"/>
    <cellStyle name="40% - Accent1 3 4 4 2 2 3" xfId="13258" xr:uid="{00000000-0005-0000-0000-00006D330000}"/>
    <cellStyle name="40% - Accent1 3 4 4 2 3" xfId="13259" xr:uid="{00000000-0005-0000-0000-00006E330000}"/>
    <cellStyle name="40% - Accent1 3 4 4 2 4" xfId="13260" xr:uid="{00000000-0005-0000-0000-00006F330000}"/>
    <cellStyle name="40% - Accent1 3 4 4 3" xfId="13261" xr:uid="{00000000-0005-0000-0000-000070330000}"/>
    <cellStyle name="40% - Accent1 3 4 4 3 2" xfId="13262" xr:uid="{00000000-0005-0000-0000-000071330000}"/>
    <cellStyle name="40% - Accent1 3 4 4 3 3" xfId="13263" xr:uid="{00000000-0005-0000-0000-000072330000}"/>
    <cellStyle name="40% - Accent1 3 4 4 4" xfId="13264" xr:uid="{00000000-0005-0000-0000-000073330000}"/>
    <cellStyle name="40% - Accent1 3 4 4 5" xfId="13265" xr:uid="{00000000-0005-0000-0000-000074330000}"/>
    <cellStyle name="40% - Accent1 3 4 4 6" xfId="13266" xr:uid="{00000000-0005-0000-0000-000075330000}"/>
    <cellStyle name="40% - Accent1 3 4 5" xfId="13267" xr:uid="{00000000-0005-0000-0000-000076330000}"/>
    <cellStyle name="40% - Accent1 3 4 5 2" xfId="13268" xr:uid="{00000000-0005-0000-0000-000077330000}"/>
    <cellStyle name="40% - Accent1 3 4 5 2 2" xfId="13269" xr:uid="{00000000-0005-0000-0000-000078330000}"/>
    <cellStyle name="40% - Accent1 3 4 5 2 3" xfId="13270" xr:uid="{00000000-0005-0000-0000-000079330000}"/>
    <cellStyle name="40% - Accent1 3 4 5 3" xfId="13271" xr:uid="{00000000-0005-0000-0000-00007A330000}"/>
    <cellStyle name="40% - Accent1 3 4 5 4" xfId="13272" xr:uid="{00000000-0005-0000-0000-00007B330000}"/>
    <cellStyle name="40% - Accent1 3 4 6" xfId="13273" xr:uid="{00000000-0005-0000-0000-00007C330000}"/>
    <cellStyle name="40% - Accent1 3 4 6 2" xfId="13274" xr:uid="{00000000-0005-0000-0000-00007D330000}"/>
    <cellStyle name="40% - Accent1 3 4 6 3" xfId="13275" xr:uid="{00000000-0005-0000-0000-00007E330000}"/>
    <cellStyle name="40% - Accent1 3 4 7" xfId="13276" xr:uid="{00000000-0005-0000-0000-00007F330000}"/>
    <cellStyle name="40% - Accent1 3 4 8" xfId="13277" xr:uid="{00000000-0005-0000-0000-000080330000}"/>
    <cellStyle name="40% - Accent1 3 4 9" xfId="13278" xr:uid="{00000000-0005-0000-0000-000081330000}"/>
    <cellStyle name="40% - Accent1 3 5" xfId="13279" xr:uid="{00000000-0005-0000-0000-000082330000}"/>
    <cellStyle name="40% - Accent1 3 5 2" xfId="13280" xr:uid="{00000000-0005-0000-0000-000083330000}"/>
    <cellStyle name="40% - Accent1 3 5 2 2" xfId="13281" xr:uid="{00000000-0005-0000-0000-000084330000}"/>
    <cellStyle name="40% - Accent1 3 5 2 2 2" xfId="13282" xr:uid="{00000000-0005-0000-0000-000085330000}"/>
    <cellStyle name="40% - Accent1 3 5 2 2 2 2" xfId="13283" xr:uid="{00000000-0005-0000-0000-000086330000}"/>
    <cellStyle name="40% - Accent1 3 5 2 2 2 2 2" xfId="13284" xr:uid="{00000000-0005-0000-0000-000087330000}"/>
    <cellStyle name="40% - Accent1 3 5 2 2 2 2 2 2" xfId="13285" xr:uid="{00000000-0005-0000-0000-000088330000}"/>
    <cellStyle name="40% - Accent1 3 5 2 2 2 2 2 3" xfId="13286" xr:uid="{00000000-0005-0000-0000-000089330000}"/>
    <cellStyle name="40% - Accent1 3 5 2 2 2 2 3" xfId="13287" xr:uid="{00000000-0005-0000-0000-00008A330000}"/>
    <cellStyle name="40% - Accent1 3 5 2 2 2 2 4" xfId="13288" xr:uid="{00000000-0005-0000-0000-00008B330000}"/>
    <cellStyle name="40% - Accent1 3 5 2 2 2 3" xfId="13289" xr:uid="{00000000-0005-0000-0000-00008C330000}"/>
    <cellStyle name="40% - Accent1 3 5 2 2 2 3 2" xfId="13290" xr:uid="{00000000-0005-0000-0000-00008D330000}"/>
    <cellStyle name="40% - Accent1 3 5 2 2 2 3 3" xfId="13291" xr:uid="{00000000-0005-0000-0000-00008E330000}"/>
    <cellStyle name="40% - Accent1 3 5 2 2 2 4" xfId="13292" xr:uid="{00000000-0005-0000-0000-00008F330000}"/>
    <cellStyle name="40% - Accent1 3 5 2 2 2 5" xfId="13293" xr:uid="{00000000-0005-0000-0000-000090330000}"/>
    <cellStyle name="40% - Accent1 3 5 2 2 2 6" xfId="13294" xr:uid="{00000000-0005-0000-0000-000091330000}"/>
    <cellStyle name="40% - Accent1 3 5 2 2 3" xfId="13295" xr:uid="{00000000-0005-0000-0000-000092330000}"/>
    <cellStyle name="40% - Accent1 3 5 2 2 3 2" xfId="13296" xr:uid="{00000000-0005-0000-0000-000093330000}"/>
    <cellStyle name="40% - Accent1 3 5 2 2 3 2 2" xfId="13297" xr:uid="{00000000-0005-0000-0000-000094330000}"/>
    <cellStyle name="40% - Accent1 3 5 2 2 3 2 3" xfId="13298" xr:uid="{00000000-0005-0000-0000-000095330000}"/>
    <cellStyle name="40% - Accent1 3 5 2 2 3 3" xfId="13299" xr:uid="{00000000-0005-0000-0000-000096330000}"/>
    <cellStyle name="40% - Accent1 3 5 2 2 3 4" xfId="13300" xr:uid="{00000000-0005-0000-0000-000097330000}"/>
    <cellStyle name="40% - Accent1 3 5 2 2 4" xfId="13301" xr:uid="{00000000-0005-0000-0000-000098330000}"/>
    <cellStyle name="40% - Accent1 3 5 2 2 4 2" xfId="13302" xr:uid="{00000000-0005-0000-0000-000099330000}"/>
    <cellStyle name="40% - Accent1 3 5 2 2 4 3" xfId="13303" xr:uid="{00000000-0005-0000-0000-00009A330000}"/>
    <cellStyle name="40% - Accent1 3 5 2 2 5" xfId="13304" xr:uid="{00000000-0005-0000-0000-00009B330000}"/>
    <cellStyle name="40% - Accent1 3 5 2 2 6" xfId="13305" xr:uid="{00000000-0005-0000-0000-00009C330000}"/>
    <cellStyle name="40% - Accent1 3 5 2 2 7" xfId="13306" xr:uid="{00000000-0005-0000-0000-00009D330000}"/>
    <cellStyle name="40% - Accent1 3 5 2 3" xfId="13307" xr:uid="{00000000-0005-0000-0000-00009E330000}"/>
    <cellStyle name="40% - Accent1 3 5 2 3 2" xfId="13308" xr:uid="{00000000-0005-0000-0000-00009F330000}"/>
    <cellStyle name="40% - Accent1 3 5 2 3 2 2" xfId="13309" xr:uid="{00000000-0005-0000-0000-0000A0330000}"/>
    <cellStyle name="40% - Accent1 3 5 2 3 2 2 2" xfId="13310" xr:uid="{00000000-0005-0000-0000-0000A1330000}"/>
    <cellStyle name="40% - Accent1 3 5 2 3 2 2 3" xfId="13311" xr:uid="{00000000-0005-0000-0000-0000A2330000}"/>
    <cellStyle name="40% - Accent1 3 5 2 3 2 3" xfId="13312" xr:uid="{00000000-0005-0000-0000-0000A3330000}"/>
    <cellStyle name="40% - Accent1 3 5 2 3 2 4" xfId="13313" xr:uid="{00000000-0005-0000-0000-0000A4330000}"/>
    <cellStyle name="40% - Accent1 3 5 2 3 3" xfId="13314" xr:uid="{00000000-0005-0000-0000-0000A5330000}"/>
    <cellStyle name="40% - Accent1 3 5 2 3 3 2" xfId="13315" xr:uid="{00000000-0005-0000-0000-0000A6330000}"/>
    <cellStyle name="40% - Accent1 3 5 2 3 3 3" xfId="13316" xr:uid="{00000000-0005-0000-0000-0000A7330000}"/>
    <cellStyle name="40% - Accent1 3 5 2 3 4" xfId="13317" xr:uid="{00000000-0005-0000-0000-0000A8330000}"/>
    <cellStyle name="40% - Accent1 3 5 2 3 5" xfId="13318" xr:uid="{00000000-0005-0000-0000-0000A9330000}"/>
    <cellStyle name="40% - Accent1 3 5 2 3 6" xfId="13319" xr:uid="{00000000-0005-0000-0000-0000AA330000}"/>
    <cellStyle name="40% - Accent1 3 5 2 4" xfId="13320" xr:uid="{00000000-0005-0000-0000-0000AB330000}"/>
    <cellStyle name="40% - Accent1 3 5 2 4 2" xfId="13321" xr:uid="{00000000-0005-0000-0000-0000AC330000}"/>
    <cellStyle name="40% - Accent1 3 5 2 4 2 2" xfId="13322" xr:uid="{00000000-0005-0000-0000-0000AD330000}"/>
    <cellStyle name="40% - Accent1 3 5 2 4 2 3" xfId="13323" xr:uid="{00000000-0005-0000-0000-0000AE330000}"/>
    <cellStyle name="40% - Accent1 3 5 2 4 3" xfId="13324" xr:uid="{00000000-0005-0000-0000-0000AF330000}"/>
    <cellStyle name="40% - Accent1 3 5 2 4 4" xfId="13325" xr:uid="{00000000-0005-0000-0000-0000B0330000}"/>
    <cellStyle name="40% - Accent1 3 5 2 5" xfId="13326" xr:uid="{00000000-0005-0000-0000-0000B1330000}"/>
    <cellStyle name="40% - Accent1 3 5 2 5 2" xfId="13327" xr:uid="{00000000-0005-0000-0000-0000B2330000}"/>
    <cellStyle name="40% - Accent1 3 5 2 5 3" xfId="13328" xr:uid="{00000000-0005-0000-0000-0000B3330000}"/>
    <cellStyle name="40% - Accent1 3 5 2 6" xfId="13329" xr:uid="{00000000-0005-0000-0000-0000B4330000}"/>
    <cellStyle name="40% - Accent1 3 5 2 7" xfId="13330" xr:uid="{00000000-0005-0000-0000-0000B5330000}"/>
    <cellStyle name="40% - Accent1 3 5 2 8" xfId="13331" xr:uid="{00000000-0005-0000-0000-0000B6330000}"/>
    <cellStyle name="40% - Accent1 3 5 3" xfId="13332" xr:uid="{00000000-0005-0000-0000-0000B7330000}"/>
    <cellStyle name="40% - Accent1 3 5 3 2" xfId="13333" xr:uid="{00000000-0005-0000-0000-0000B8330000}"/>
    <cellStyle name="40% - Accent1 3 5 3 2 2" xfId="13334" xr:uid="{00000000-0005-0000-0000-0000B9330000}"/>
    <cellStyle name="40% - Accent1 3 5 3 2 2 2" xfId="13335" xr:uid="{00000000-0005-0000-0000-0000BA330000}"/>
    <cellStyle name="40% - Accent1 3 5 3 2 2 2 2" xfId="13336" xr:uid="{00000000-0005-0000-0000-0000BB330000}"/>
    <cellStyle name="40% - Accent1 3 5 3 2 2 2 3" xfId="13337" xr:uid="{00000000-0005-0000-0000-0000BC330000}"/>
    <cellStyle name="40% - Accent1 3 5 3 2 2 3" xfId="13338" xr:uid="{00000000-0005-0000-0000-0000BD330000}"/>
    <cellStyle name="40% - Accent1 3 5 3 2 2 4" xfId="13339" xr:uid="{00000000-0005-0000-0000-0000BE330000}"/>
    <cellStyle name="40% - Accent1 3 5 3 2 3" xfId="13340" xr:uid="{00000000-0005-0000-0000-0000BF330000}"/>
    <cellStyle name="40% - Accent1 3 5 3 2 3 2" xfId="13341" xr:uid="{00000000-0005-0000-0000-0000C0330000}"/>
    <cellStyle name="40% - Accent1 3 5 3 2 3 3" xfId="13342" xr:uid="{00000000-0005-0000-0000-0000C1330000}"/>
    <cellStyle name="40% - Accent1 3 5 3 2 4" xfId="13343" xr:uid="{00000000-0005-0000-0000-0000C2330000}"/>
    <cellStyle name="40% - Accent1 3 5 3 2 5" xfId="13344" xr:uid="{00000000-0005-0000-0000-0000C3330000}"/>
    <cellStyle name="40% - Accent1 3 5 3 2 6" xfId="13345" xr:uid="{00000000-0005-0000-0000-0000C4330000}"/>
    <cellStyle name="40% - Accent1 3 5 3 3" xfId="13346" xr:uid="{00000000-0005-0000-0000-0000C5330000}"/>
    <cellStyle name="40% - Accent1 3 5 3 3 2" xfId="13347" xr:uid="{00000000-0005-0000-0000-0000C6330000}"/>
    <cellStyle name="40% - Accent1 3 5 3 3 2 2" xfId="13348" xr:uid="{00000000-0005-0000-0000-0000C7330000}"/>
    <cellStyle name="40% - Accent1 3 5 3 3 2 3" xfId="13349" xr:uid="{00000000-0005-0000-0000-0000C8330000}"/>
    <cellStyle name="40% - Accent1 3 5 3 3 3" xfId="13350" xr:uid="{00000000-0005-0000-0000-0000C9330000}"/>
    <cellStyle name="40% - Accent1 3 5 3 3 4" xfId="13351" xr:uid="{00000000-0005-0000-0000-0000CA330000}"/>
    <cellStyle name="40% - Accent1 3 5 3 4" xfId="13352" xr:uid="{00000000-0005-0000-0000-0000CB330000}"/>
    <cellStyle name="40% - Accent1 3 5 3 4 2" xfId="13353" xr:uid="{00000000-0005-0000-0000-0000CC330000}"/>
    <cellStyle name="40% - Accent1 3 5 3 4 3" xfId="13354" xr:uid="{00000000-0005-0000-0000-0000CD330000}"/>
    <cellStyle name="40% - Accent1 3 5 3 5" xfId="13355" xr:uid="{00000000-0005-0000-0000-0000CE330000}"/>
    <cellStyle name="40% - Accent1 3 5 3 6" xfId="13356" xr:uid="{00000000-0005-0000-0000-0000CF330000}"/>
    <cellStyle name="40% - Accent1 3 5 3 7" xfId="13357" xr:uid="{00000000-0005-0000-0000-0000D0330000}"/>
    <cellStyle name="40% - Accent1 3 5 4" xfId="13358" xr:uid="{00000000-0005-0000-0000-0000D1330000}"/>
    <cellStyle name="40% - Accent1 3 5 4 2" xfId="13359" xr:uid="{00000000-0005-0000-0000-0000D2330000}"/>
    <cellStyle name="40% - Accent1 3 5 4 2 2" xfId="13360" xr:uid="{00000000-0005-0000-0000-0000D3330000}"/>
    <cellStyle name="40% - Accent1 3 5 4 2 2 2" xfId="13361" xr:uid="{00000000-0005-0000-0000-0000D4330000}"/>
    <cellStyle name="40% - Accent1 3 5 4 2 2 3" xfId="13362" xr:uid="{00000000-0005-0000-0000-0000D5330000}"/>
    <cellStyle name="40% - Accent1 3 5 4 2 3" xfId="13363" xr:uid="{00000000-0005-0000-0000-0000D6330000}"/>
    <cellStyle name="40% - Accent1 3 5 4 2 4" xfId="13364" xr:uid="{00000000-0005-0000-0000-0000D7330000}"/>
    <cellStyle name="40% - Accent1 3 5 4 3" xfId="13365" xr:uid="{00000000-0005-0000-0000-0000D8330000}"/>
    <cellStyle name="40% - Accent1 3 5 4 3 2" xfId="13366" xr:uid="{00000000-0005-0000-0000-0000D9330000}"/>
    <cellStyle name="40% - Accent1 3 5 4 3 3" xfId="13367" xr:uid="{00000000-0005-0000-0000-0000DA330000}"/>
    <cellStyle name="40% - Accent1 3 5 4 4" xfId="13368" xr:uid="{00000000-0005-0000-0000-0000DB330000}"/>
    <cellStyle name="40% - Accent1 3 5 4 5" xfId="13369" xr:uid="{00000000-0005-0000-0000-0000DC330000}"/>
    <cellStyle name="40% - Accent1 3 5 4 6" xfId="13370" xr:uid="{00000000-0005-0000-0000-0000DD330000}"/>
    <cellStyle name="40% - Accent1 3 5 5" xfId="13371" xr:uid="{00000000-0005-0000-0000-0000DE330000}"/>
    <cellStyle name="40% - Accent1 3 5 5 2" xfId="13372" xr:uid="{00000000-0005-0000-0000-0000DF330000}"/>
    <cellStyle name="40% - Accent1 3 5 5 2 2" xfId="13373" xr:uid="{00000000-0005-0000-0000-0000E0330000}"/>
    <cellStyle name="40% - Accent1 3 5 5 2 3" xfId="13374" xr:uid="{00000000-0005-0000-0000-0000E1330000}"/>
    <cellStyle name="40% - Accent1 3 5 5 3" xfId="13375" xr:uid="{00000000-0005-0000-0000-0000E2330000}"/>
    <cellStyle name="40% - Accent1 3 5 5 4" xfId="13376" xr:uid="{00000000-0005-0000-0000-0000E3330000}"/>
    <cellStyle name="40% - Accent1 3 5 6" xfId="13377" xr:uid="{00000000-0005-0000-0000-0000E4330000}"/>
    <cellStyle name="40% - Accent1 3 5 6 2" xfId="13378" xr:uid="{00000000-0005-0000-0000-0000E5330000}"/>
    <cellStyle name="40% - Accent1 3 5 6 3" xfId="13379" xr:uid="{00000000-0005-0000-0000-0000E6330000}"/>
    <cellStyle name="40% - Accent1 3 5 7" xfId="13380" xr:uid="{00000000-0005-0000-0000-0000E7330000}"/>
    <cellStyle name="40% - Accent1 3 5 8" xfId="13381" xr:uid="{00000000-0005-0000-0000-0000E8330000}"/>
    <cellStyle name="40% - Accent1 3 5 9" xfId="13382" xr:uid="{00000000-0005-0000-0000-0000E9330000}"/>
    <cellStyle name="40% - Accent1 3 6" xfId="13383" xr:uid="{00000000-0005-0000-0000-0000EA330000}"/>
    <cellStyle name="40% - Accent1 3 6 2" xfId="13384" xr:uid="{00000000-0005-0000-0000-0000EB330000}"/>
    <cellStyle name="40% - Accent1 3 6 2 2" xfId="13385" xr:uid="{00000000-0005-0000-0000-0000EC330000}"/>
    <cellStyle name="40% - Accent1 3 6 2 2 2" xfId="13386" xr:uid="{00000000-0005-0000-0000-0000ED330000}"/>
    <cellStyle name="40% - Accent1 3 6 2 2 2 2" xfId="13387" xr:uid="{00000000-0005-0000-0000-0000EE330000}"/>
    <cellStyle name="40% - Accent1 3 6 2 2 2 2 2" xfId="13388" xr:uid="{00000000-0005-0000-0000-0000EF330000}"/>
    <cellStyle name="40% - Accent1 3 6 2 2 2 2 3" xfId="13389" xr:uid="{00000000-0005-0000-0000-0000F0330000}"/>
    <cellStyle name="40% - Accent1 3 6 2 2 2 3" xfId="13390" xr:uid="{00000000-0005-0000-0000-0000F1330000}"/>
    <cellStyle name="40% - Accent1 3 6 2 2 2 4" xfId="13391" xr:uid="{00000000-0005-0000-0000-0000F2330000}"/>
    <cellStyle name="40% - Accent1 3 6 2 2 3" xfId="13392" xr:uid="{00000000-0005-0000-0000-0000F3330000}"/>
    <cellStyle name="40% - Accent1 3 6 2 2 3 2" xfId="13393" xr:uid="{00000000-0005-0000-0000-0000F4330000}"/>
    <cellStyle name="40% - Accent1 3 6 2 2 3 3" xfId="13394" xr:uid="{00000000-0005-0000-0000-0000F5330000}"/>
    <cellStyle name="40% - Accent1 3 6 2 2 4" xfId="13395" xr:uid="{00000000-0005-0000-0000-0000F6330000}"/>
    <cellStyle name="40% - Accent1 3 6 2 2 5" xfId="13396" xr:uid="{00000000-0005-0000-0000-0000F7330000}"/>
    <cellStyle name="40% - Accent1 3 6 2 2 6" xfId="13397" xr:uid="{00000000-0005-0000-0000-0000F8330000}"/>
    <cellStyle name="40% - Accent1 3 6 2 3" xfId="13398" xr:uid="{00000000-0005-0000-0000-0000F9330000}"/>
    <cellStyle name="40% - Accent1 3 6 2 3 2" xfId="13399" xr:uid="{00000000-0005-0000-0000-0000FA330000}"/>
    <cellStyle name="40% - Accent1 3 6 2 3 2 2" xfId="13400" xr:uid="{00000000-0005-0000-0000-0000FB330000}"/>
    <cellStyle name="40% - Accent1 3 6 2 3 2 3" xfId="13401" xr:uid="{00000000-0005-0000-0000-0000FC330000}"/>
    <cellStyle name="40% - Accent1 3 6 2 3 3" xfId="13402" xr:uid="{00000000-0005-0000-0000-0000FD330000}"/>
    <cellStyle name="40% - Accent1 3 6 2 3 4" xfId="13403" xr:uid="{00000000-0005-0000-0000-0000FE330000}"/>
    <cellStyle name="40% - Accent1 3 6 2 4" xfId="13404" xr:uid="{00000000-0005-0000-0000-0000FF330000}"/>
    <cellStyle name="40% - Accent1 3 6 2 4 2" xfId="13405" xr:uid="{00000000-0005-0000-0000-000000340000}"/>
    <cellStyle name="40% - Accent1 3 6 2 4 3" xfId="13406" xr:uid="{00000000-0005-0000-0000-000001340000}"/>
    <cellStyle name="40% - Accent1 3 6 2 5" xfId="13407" xr:uid="{00000000-0005-0000-0000-000002340000}"/>
    <cellStyle name="40% - Accent1 3 6 2 6" xfId="13408" xr:uid="{00000000-0005-0000-0000-000003340000}"/>
    <cellStyle name="40% - Accent1 3 6 2 7" xfId="13409" xr:uid="{00000000-0005-0000-0000-000004340000}"/>
    <cellStyle name="40% - Accent1 3 6 3" xfId="13410" xr:uid="{00000000-0005-0000-0000-000005340000}"/>
    <cellStyle name="40% - Accent1 3 6 3 2" xfId="13411" xr:uid="{00000000-0005-0000-0000-000006340000}"/>
    <cellStyle name="40% - Accent1 3 6 3 2 2" xfId="13412" xr:uid="{00000000-0005-0000-0000-000007340000}"/>
    <cellStyle name="40% - Accent1 3 6 3 2 2 2" xfId="13413" xr:uid="{00000000-0005-0000-0000-000008340000}"/>
    <cellStyle name="40% - Accent1 3 6 3 2 2 3" xfId="13414" xr:uid="{00000000-0005-0000-0000-000009340000}"/>
    <cellStyle name="40% - Accent1 3 6 3 2 3" xfId="13415" xr:uid="{00000000-0005-0000-0000-00000A340000}"/>
    <cellStyle name="40% - Accent1 3 6 3 2 4" xfId="13416" xr:uid="{00000000-0005-0000-0000-00000B340000}"/>
    <cellStyle name="40% - Accent1 3 6 3 3" xfId="13417" xr:uid="{00000000-0005-0000-0000-00000C340000}"/>
    <cellStyle name="40% - Accent1 3 6 3 3 2" xfId="13418" xr:uid="{00000000-0005-0000-0000-00000D340000}"/>
    <cellStyle name="40% - Accent1 3 6 3 3 3" xfId="13419" xr:uid="{00000000-0005-0000-0000-00000E340000}"/>
    <cellStyle name="40% - Accent1 3 6 3 4" xfId="13420" xr:uid="{00000000-0005-0000-0000-00000F340000}"/>
    <cellStyle name="40% - Accent1 3 6 3 5" xfId="13421" xr:uid="{00000000-0005-0000-0000-000010340000}"/>
    <cellStyle name="40% - Accent1 3 6 3 6" xfId="13422" xr:uid="{00000000-0005-0000-0000-000011340000}"/>
    <cellStyle name="40% - Accent1 3 6 4" xfId="13423" xr:uid="{00000000-0005-0000-0000-000012340000}"/>
    <cellStyle name="40% - Accent1 3 6 4 2" xfId="13424" xr:uid="{00000000-0005-0000-0000-000013340000}"/>
    <cellStyle name="40% - Accent1 3 6 4 2 2" xfId="13425" xr:uid="{00000000-0005-0000-0000-000014340000}"/>
    <cellStyle name="40% - Accent1 3 6 4 2 3" xfId="13426" xr:uid="{00000000-0005-0000-0000-000015340000}"/>
    <cellStyle name="40% - Accent1 3 6 4 3" xfId="13427" xr:uid="{00000000-0005-0000-0000-000016340000}"/>
    <cellStyle name="40% - Accent1 3 6 4 4" xfId="13428" xr:uid="{00000000-0005-0000-0000-000017340000}"/>
    <cellStyle name="40% - Accent1 3 6 5" xfId="13429" xr:uid="{00000000-0005-0000-0000-000018340000}"/>
    <cellStyle name="40% - Accent1 3 6 5 2" xfId="13430" xr:uid="{00000000-0005-0000-0000-000019340000}"/>
    <cellStyle name="40% - Accent1 3 6 5 3" xfId="13431" xr:uid="{00000000-0005-0000-0000-00001A340000}"/>
    <cellStyle name="40% - Accent1 3 6 6" xfId="13432" xr:uid="{00000000-0005-0000-0000-00001B340000}"/>
    <cellStyle name="40% - Accent1 3 6 7" xfId="13433" xr:uid="{00000000-0005-0000-0000-00001C340000}"/>
    <cellStyle name="40% - Accent1 3 6 8" xfId="13434" xr:uid="{00000000-0005-0000-0000-00001D340000}"/>
    <cellStyle name="40% - Accent1 3 7" xfId="13435" xr:uid="{00000000-0005-0000-0000-00001E340000}"/>
    <cellStyle name="40% - Accent1 3 7 2" xfId="13436" xr:uid="{00000000-0005-0000-0000-00001F340000}"/>
    <cellStyle name="40% - Accent1 3 7 2 2" xfId="13437" xr:uid="{00000000-0005-0000-0000-000020340000}"/>
    <cellStyle name="40% - Accent1 3 7 2 2 2" xfId="13438" xr:uid="{00000000-0005-0000-0000-000021340000}"/>
    <cellStyle name="40% - Accent1 3 7 2 2 2 2" xfId="13439" xr:uid="{00000000-0005-0000-0000-000022340000}"/>
    <cellStyle name="40% - Accent1 3 7 2 2 2 2 2" xfId="13440" xr:uid="{00000000-0005-0000-0000-000023340000}"/>
    <cellStyle name="40% - Accent1 3 7 2 2 2 2 3" xfId="13441" xr:uid="{00000000-0005-0000-0000-000024340000}"/>
    <cellStyle name="40% - Accent1 3 7 2 2 2 3" xfId="13442" xr:uid="{00000000-0005-0000-0000-000025340000}"/>
    <cellStyle name="40% - Accent1 3 7 2 2 2 4" xfId="13443" xr:uid="{00000000-0005-0000-0000-000026340000}"/>
    <cellStyle name="40% - Accent1 3 7 2 2 3" xfId="13444" xr:uid="{00000000-0005-0000-0000-000027340000}"/>
    <cellStyle name="40% - Accent1 3 7 2 2 3 2" xfId="13445" xr:uid="{00000000-0005-0000-0000-000028340000}"/>
    <cellStyle name="40% - Accent1 3 7 2 2 3 3" xfId="13446" xr:uid="{00000000-0005-0000-0000-000029340000}"/>
    <cellStyle name="40% - Accent1 3 7 2 2 4" xfId="13447" xr:uid="{00000000-0005-0000-0000-00002A340000}"/>
    <cellStyle name="40% - Accent1 3 7 2 2 5" xfId="13448" xr:uid="{00000000-0005-0000-0000-00002B340000}"/>
    <cellStyle name="40% - Accent1 3 7 2 2 6" xfId="13449" xr:uid="{00000000-0005-0000-0000-00002C340000}"/>
    <cellStyle name="40% - Accent1 3 7 2 3" xfId="13450" xr:uid="{00000000-0005-0000-0000-00002D340000}"/>
    <cellStyle name="40% - Accent1 3 7 2 3 2" xfId="13451" xr:uid="{00000000-0005-0000-0000-00002E340000}"/>
    <cellStyle name="40% - Accent1 3 7 2 3 2 2" xfId="13452" xr:uid="{00000000-0005-0000-0000-00002F340000}"/>
    <cellStyle name="40% - Accent1 3 7 2 3 2 3" xfId="13453" xr:uid="{00000000-0005-0000-0000-000030340000}"/>
    <cellStyle name="40% - Accent1 3 7 2 3 3" xfId="13454" xr:uid="{00000000-0005-0000-0000-000031340000}"/>
    <cellStyle name="40% - Accent1 3 7 2 3 4" xfId="13455" xr:uid="{00000000-0005-0000-0000-000032340000}"/>
    <cellStyle name="40% - Accent1 3 7 2 4" xfId="13456" xr:uid="{00000000-0005-0000-0000-000033340000}"/>
    <cellStyle name="40% - Accent1 3 7 2 4 2" xfId="13457" xr:uid="{00000000-0005-0000-0000-000034340000}"/>
    <cellStyle name="40% - Accent1 3 7 2 4 3" xfId="13458" xr:uid="{00000000-0005-0000-0000-000035340000}"/>
    <cellStyle name="40% - Accent1 3 7 2 5" xfId="13459" xr:uid="{00000000-0005-0000-0000-000036340000}"/>
    <cellStyle name="40% - Accent1 3 7 2 6" xfId="13460" xr:uid="{00000000-0005-0000-0000-000037340000}"/>
    <cellStyle name="40% - Accent1 3 7 2 7" xfId="13461" xr:uid="{00000000-0005-0000-0000-000038340000}"/>
    <cellStyle name="40% - Accent1 3 7 3" xfId="13462" xr:uid="{00000000-0005-0000-0000-000039340000}"/>
    <cellStyle name="40% - Accent1 3 7 3 2" xfId="13463" xr:uid="{00000000-0005-0000-0000-00003A340000}"/>
    <cellStyle name="40% - Accent1 3 7 3 2 2" xfId="13464" xr:uid="{00000000-0005-0000-0000-00003B340000}"/>
    <cellStyle name="40% - Accent1 3 7 3 2 2 2" xfId="13465" xr:uid="{00000000-0005-0000-0000-00003C340000}"/>
    <cellStyle name="40% - Accent1 3 7 3 2 2 3" xfId="13466" xr:uid="{00000000-0005-0000-0000-00003D340000}"/>
    <cellStyle name="40% - Accent1 3 7 3 2 3" xfId="13467" xr:uid="{00000000-0005-0000-0000-00003E340000}"/>
    <cellStyle name="40% - Accent1 3 7 3 2 4" xfId="13468" xr:uid="{00000000-0005-0000-0000-00003F340000}"/>
    <cellStyle name="40% - Accent1 3 7 3 3" xfId="13469" xr:uid="{00000000-0005-0000-0000-000040340000}"/>
    <cellStyle name="40% - Accent1 3 7 3 3 2" xfId="13470" xr:uid="{00000000-0005-0000-0000-000041340000}"/>
    <cellStyle name="40% - Accent1 3 7 3 3 3" xfId="13471" xr:uid="{00000000-0005-0000-0000-000042340000}"/>
    <cellStyle name="40% - Accent1 3 7 3 4" xfId="13472" xr:uid="{00000000-0005-0000-0000-000043340000}"/>
    <cellStyle name="40% - Accent1 3 7 3 5" xfId="13473" xr:uid="{00000000-0005-0000-0000-000044340000}"/>
    <cellStyle name="40% - Accent1 3 7 3 6" xfId="13474" xr:uid="{00000000-0005-0000-0000-000045340000}"/>
    <cellStyle name="40% - Accent1 3 7 4" xfId="13475" xr:uid="{00000000-0005-0000-0000-000046340000}"/>
    <cellStyle name="40% - Accent1 3 7 4 2" xfId="13476" xr:uid="{00000000-0005-0000-0000-000047340000}"/>
    <cellStyle name="40% - Accent1 3 7 4 2 2" xfId="13477" xr:uid="{00000000-0005-0000-0000-000048340000}"/>
    <cellStyle name="40% - Accent1 3 7 4 2 3" xfId="13478" xr:uid="{00000000-0005-0000-0000-000049340000}"/>
    <cellStyle name="40% - Accent1 3 7 4 3" xfId="13479" xr:uid="{00000000-0005-0000-0000-00004A340000}"/>
    <cellStyle name="40% - Accent1 3 7 4 4" xfId="13480" xr:uid="{00000000-0005-0000-0000-00004B340000}"/>
    <cellStyle name="40% - Accent1 3 7 5" xfId="13481" xr:uid="{00000000-0005-0000-0000-00004C340000}"/>
    <cellStyle name="40% - Accent1 3 7 5 2" xfId="13482" xr:uid="{00000000-0005-0000-0000-00004D340000}"/>
    <cellStyle name="40% - Accent1 3 7 5 3" xfId="13483" xr:uid="{00000000-0005-0000-0000-00004E340000}"/>
    <cellStyle name="40% - Accent1 3 7 6" xfId="13484" xr:uid="{00000000-0005-0000-0000-00004F340000}"/>
    <cellStyle name="40% - Accent1 3 7 7" xfId="13485" xr:uid="{00000000-0005-0000-0000-000050340000}"/>
    <cellStyle name="40% - Accent1 3 7 8" xfId="13486" xr:uid="{00000000-0005-0000-0000-000051340000}"/>
    <cellStyle name="40% - Accent1 3 8" xfId="13487" xr:uid="{00000000-0005-0000-0000-000052340000}"/>
    <cellStyle name="40% - Accent1 3 8 2" xfId="13488" xr:uid="{00000000-0005-0000-0000-000053340000}"/>
    <cellStyle name="40% - Accent1 3 8 2 2" xfId="13489" xr:uid="{00000000-0005-0000-0000-000054340000}"/>
    <cellStyle name="40% - Accent1 3 8 2 2 2" xfId="13490" xr:uid="{00000000-0005-0000-0000-000055340000}"/>
    <cellStyle name="40% - Accent1 3 8 2 2 2 2" xfId="13491" xr:uid="{00000000-0005-0000-0000-000056340000}"/>
    <cellStyle name="40% - Accent1 3 8 2 2 2 3" xfId="13492" xr:uid="{00000000-0005-0000-0000-000057340000}"/>
    <cellStyle name="40% - Accent1 3 8 2 2 3" xfId="13493" xr:uid="{00000000-0005-0000-0000-000058340000}"/>
    <cellStyle name="40% - Accent1 3 8 2 2 4" xfId="13494" xr:uid="{00000000-0005-0000-0000-000059340000}"/>
    <cellStyle name="40% - Accent1 3 8 2 3" xfId="13495" xr:uid="{00000000-0005-0000-0000-00005A340000}"/>
    <cellStyle name="40% - Accent1 3 8 2 3 2" xfId="13496" xr:uid="{00000000-0005-0000-0000-00005B340000}"/>
    <cellStyle name="40% - Accent1 3 8 2 3 3" xfId="13497" xr:uid="{00000000-0005-0000-0000-00005C340000}"/>
    <cellStyle name="40% - Accent1 3 8 2 4" xfId="13498" xr:uid="{00000000-0005-0000-0000-00005D340000}"/>
    <cellStyle name="40% - Accent1 3 8 2 5" xfId="13499" xr:uid="{00000000-0005-0000-0000-00005E340000}"/>
    <cellStyle name="40% - Accent1 3 8 2 6" xfId="13500" xr:uid="{00000000-0005-0000-0000-00005F340000}"/>
    <cellStyle name="40% - Accent1 3 8 3" xfId="13501" xr:uid="{00000000-0005-0000-0000-000060340000}"/>
    <cellStyle name="40% - Accent1 3 8 3 2" xfId="13502" xr:uid="{00000000-0005-0000-0000-000061340000}"/>
    <cellStyle name="40% - Accent1 3 8 3 2 2" xfId="13503" xr:uid="{00000000-0005-0000-0000-000062340000}"/>
    <cellStyle name="40% - Accent1 3 8 3 2 3" xfId="13504" xr:uid="{00000000-0005-0000-0000-000063340000}"/>
    <cellStyle name="40% - Accent1 3 8 3 3" xfId="13505" xr:uid="{00000000-0005-0000-0000-000064340000}"/>
    <cellStyle name="40% - Accent1 3 8 3 4" xfId="13506" xr:uid="{00000000-0005-0000-0000-000065340000}"/>
    <cellStyle name="40% - Accent1 3 8 4" xfId="13507" xr:uid="{00000000-0005-0000-0000-000066340000}"/>
    <cellStyle name="40% - Accent1 3 8 4 2" xfId="13508" xr:uid="{00000000-0005-0000-0000-000067340000}"/>
    <cellStyle name="40% - Accent1 3 8 4 3" xfId="13509" xr:uid="{00000000-0005-0000-0000-000068340000}"/>
    <cellStyle name="40% - Accent1 3 8 5" xfId="13510" xr:uid="{00000000-0005-0000-0000-000069340000}"/>
    <cellStyle name="40% - Accent1 3 8 6" xfId="13511" xr:uid="{00000000-0005-0000-0000-00006A340000}"/>
    <cellStyle name="40% - Accent1 3 8 7" xfId="13512" xr:uid="{00000000-0005-0000-0000-00006B340000}"/>
    <cellStyle name="40% - Accent1 3 9" xfId="13513" xr:uid="{00000000-0005-0000-0000-00006C340000}"/>
    <cellStyle name="40% - Accent1 3 9 2" xfId="13514" xr:uid="{00000000-0005-0000-0000-00006D340000}"/>
    <cellStyle name="40% - Accent1 3 9 2 2" xfId="13515" xr:uid="{00000000-0005-0000-0000-00006E340000}"/>
    <cellStyle name="40% - Accent1 3 9 2 2 2" xfId="13516" xr:uid="{00000000-0005-0000-0000-00006F340000}"/>
    <cellStyle name="40% - Accent1 3 9 2 2 3" xfId="13517" xr:uid="{00000000-0005-0000-0000-000070340000}"/>
    <cellStyle name="40% - Accent1 3 9 2 3" xfId="13518" xr:uid="{00000000-0005-0000-0000-000071340000}"/>
    <cellStyle name="40% - Accent1 3 9 2 4" xfId="13519" xr:uid="{00000000-0005-0000-0000-000072340000}"/>
    <cellStyle name="40% - Accent1 3 9 3" xfId="13520" xr:uid="{00000000-0005-0000-0000-000073340000}"/>
    <cellStyle name="40% - Accent1 3 9 3 2" xfId="13521" xr:uid="{00000000-0005-0000-0000-000074340000}"/>
    <cellStyle name="40% - Accent1 3 9 3 3" xfId="13522" xr:uid="{00000000-0005-0000-0000-000075340000}"/>
    <cellStyle name="40% - Accent1 3 9 4" xfId="13523" xr:uid="{00000000-0005-0000-0000-000076340000}"/>
    <cellStyle name="40% - Accent1 3 9 5" xfId="13524" xr:uid="{00000000-0005-0000-0000-000077340000}"/>
    <cellStyle name="40% - Accent1 3 9 6" xfId="13525" xr:uid="{00000000-0005-0000-0000-000078340000}"/>
    <cellStyle name="40% - Accent1 4" xfId="13526" xr:uid="{00000000-0005-0000-0000-000079340000}"/>
    <cellStyle name="40% - Accent1 4 10" xfId="13527" xr:uid="{00000000-0005-0000-0000-00007A340000}"/>
    <cellStyle name="40% - Accent1 4 11" xfId="13528" xr:uid="{00000000-0005-0000-0000-00007B340000}"/>
    <cellStyle name="40% - Accent1 4 2" xfId="13529" xr:uid="{00000000-0005-0000-0000-00007C340000}"/>
    <cellStyle name="40% - Accent1 4 2 10" xfId="13530" xr:uid="{00000000-0005-0000-0000-00007D340000}"/>
    <cellStyle name="40% - Accent1 4 2 2" xfId="13531" xr:uid="{00000000-0005-0000-0000-00007E340000}"/>
    <cellStyle name="40% - Accent1 4 2 2 2" xfId="13532" xr:uid="{00000000-0005-0000-0000-00007F340000}"/>
    <cellStyle name="40% - Accent1 4 2 2 2 2" xfId="13533" xr:uid="{00000000-0005-0000-0000-000080340000}"/>
    <cellStyle name="40% - Accent1 4 2 2 2 2 2" xfId="13534" xr:uid="{00000000-0005-0000-0000-000081340000}"/>
    <cellStyle name="40% - Accent1 4 2 2 2 2 2 2" xfId="13535" xr:uid="{00000000-0005-0000-0000-000082340000}"/>
    <cellStyle name="40% - Accent1 4 2 2 2 2 2 2 2" xfId="13536" xr:uid="{00000000-0005-0000-0000-000083340000}"/>
    <cellStyle name="40% - Accent1 4 2 2 2 2 2 2 2 2" xfId="13537" xr:uid="{00000000-0005-0000-0000-000084340000}"/>
    <cellStyle name="40% - Accent1 4 2 2 2 2 2 2 2 3" xfId="13538" xr:uid="{00000000-0005-0000-0000-000085340000}"/>
    <cellStyle name="40% - Accent1 4 2 2 2 2 2 2 3" xfId="13539" xr:uid="{00000000-0005-0000-0000-000086340000}"/>
    <cellStyle name="40% - Accent1 4 2 2 2 2 2 2 4" xfId="13540" xr:uid="{00000000-0005-0000-0000-000087340000}"/>
    <cellStyle name="40% - Accent1 4 2 2 2 2 2 3" xfId="13541" xr:uid="{00000000-0005-0000-0000-000088340000}"/>
    <cellStyle name="40% - Accent1 4 2 2 2 2 2 3 2" xfId="13542" xr:uid="{00000000-0005-0000-0000-000089340000}"/>
    <cellStyle name="40% - Accent1 4 2 2 2 2 2 3 3" xfId="13543" xr:uid="{00000000-0005-0000-0000-00008A340000}"/>
    <cellStyle name="40% - Accent1 4 2 2 2 2 2 4" xfId="13544" xr:uid="{00000000-0005-0000-0000-00008B340000}"/>
    <cellStyle name="40% - Accent1 4 2 2 2 2 2 5" xfId="13545" xr:uid="{00000000-0005-0000-0000-00008C340000}"/>
    <cellStyle name="40% - Accent1 4 2 2 2 2 2 6" xfId="13546" xr:uid="{00000000-0005-0000-0000-00008D340000}"/>
    <cellStyle name="40% - Accent1 4 2 2 2 2 3" xfId="13547" xr:uid="{00000000-0005-0000-0000-00008E340000}"/>
    <cellStyle name="40% - Accent1 4 2 2 2 2 3 2" xfId="13548" xr:uid="{00000000-0005-0000-0000-00008F340000}"/>
    <cellStyle name="40% - Accent1 4 2 2 2 2 3 2 2" xfId="13549" xr:uid="{00000000-0005-0000-0000-000090340000}"/>
    <cellStyle name="40% - Accent1 4 2 2 2 2 3 2 3" xfId="13550" xr:uid="{00000000-0005-0000-0000-000091340000}"/>
    <cellStyle name="40% - Accent1 4 2 2 2 2 3 3" xfId="13551" xr:uid="{00000000-0005-0000-0000-000092340000}"/>
    <cellStyle name="40% - Accent1 4 2 2 2 2 3 4" xfId="13552" xr:uid="{00000000-0005-0000-0000-000093340000}"/>
    <cellStyle name="40% - Accent1 4 2 2 2 2 4" xfId="13553" xr:uid="{00000000-0005-0000-0000-000094340000}"/>
    <cellStyle name="40% - Accent1 4 2 2 2 2 4 2" xfId="13554" xr:uid="{00000000-0005-0000-0000-000095340000}"/>
    <cellStyle name="40% - Accent1 4 2 2 2 2 4 3" xfId="13555" xr:uid="{00000000-0005-0000-0000-000096340000}"/>
    <cellStyle name="40% - Accent1 4 2 2 2 2 5" xfId="13556" xr:uid="{00000000-0005-0000-0000-000097340000}"/>
    <cellStyle name="40% - Accent1 4 2 2 2 2 6" xfId="13557" xr:uid="{00000000-0005-0000-0000-000098340000}"/>
    <cellStyle name="40% - Accent1 4 2 2 2 2 7" xfId="13558" xr:uid="{00000000-0005-0000-0000-000099340000}"/>
    <cellStyle name="40% - Accent1 4 2 2 2 3" xfId="13559" xr:uid="{00000000-0005-0000-0000-00009A340000}"/>
    <cellStyle name="40% - Accent1 4 2 2 2 3 2" xfId="13560" xr:uid="{00000000-0005-0000-0000-00009B340000}"/>
    <cellStyle name="40% - Accent1 4 2 2 2 3 2 2" xfId="13561" xr:uid="{00000000-0005-0000-0000-00009C340000}"/>
    <cellStyle name="40% - Accent1 4 2 2 2 3 2 2 2" xfId="13562" xr:uid="{00000000-0005-0000-0000-00009D340000}"/>
    <cellStyle name="40% - Accent1 4 2 2 2 3 2 2 3" xfId="13563" xr:uid="{00000000-0005-0000-0000-00009E340000}"/>
    <cellStyle name="40% - Accent1 4 2 2 2 3 2 3" xfId="13564" xr:uid="{00000000-0005-0000-0000-00009F340000}"/>
    <cellStyle name="40% - Accent1 4 2 2 2 3 2 4" xfId="13565" xr:uid="{00000000-0005-0000-0000-0000A0340000}"/>
    <cellStyle name="40% - Accent1 4 2 2 2 3 3" xfId="13566" xr:uid="{00000000-0005-0000-0000-0000A1340000}"/>
    <cellStyle name="40% - Accent1 4 2 2 2 3 3 2" xfId="13567" xr:uid="{00000000-0005-0000-0000-0000A2340000}"/>
    <cellStyle name="40% - Accent1 4 2 2 2 3 3 3" xfId="13568" xr:uid="{00000000-0005-0000-0000-0000A3340000}"/>
    <cellStyle name="40% - Accent1 4 2 2 2 3 4" xfId="13569" xr:uid="{00000000-0005-0000-0000-0000A4340000}"/>
    <cellStyle name="40% - Accent1 4 2 2 2 3 5" xfId="13570" xr:uid="{00000000-0005-0000-0000-0000A5340000}"/>
    <cellStyle name="40% - Accent1 4 2 2 2 3 6" xfId="13571" xr:uid="{00000000-0005-0000-0000-0000A6340000}"/>
    <cellStyle name="40% - Accent1 4 2 2 2 4" xfId="13572" xr:uid="{00000000-0005-0000-0000-0000A7340000}"/>
    <cellStyle name="40% - Accent1 4 2 2 2 4 2" xfId="13573" xr:uid="{00000000-0005-0000-0000-0000A8340000}"/>
    <cellStyle name="40% - Accent1 4 2 2 2 4 2 2" xfId="13574" xr:uid="{00000000-0005-0000-0000-0000A9340000}"/>
    <cellStyle name="40% - Accent1 4 2 2 2 4 2 3" xfId="13575" xr:uid="{00000000-0005-0000-0000-0000AA340000}"/>
    <cellStyle name="40% - Accent1 4 2 2 2 4 3" xfId="13576" xr:uid="{00000000-0005-0000-0000-0000AB340000}"/>
    <cellStyle name="40% - Accent1 4 2 2 2 4 4" xfId="13577" xr:uid="{00000000-0005-0000-0000-0000AC340000}"/>
    <cellStyle name="40% - Accent1 4 2 2 2 5" xfId="13578" xr:uid="{00000000-0005-0000-0000-0000AD340000}"/>
    <cellStyle name="40% - Accent1 4 2 2 2 5 2" xfId="13579" xr:uid="{00000000-0005-0000-0000-0000AE340000}"/>
    <cellStyle name="40% - Accent1 4 2 2 2 5 3" xfId="13580" xr:uid="{00000000-0005-0000-0000-0000AF340000}"/>
    <cellStyle name="40% - Accent1 4 2 2 2 6" xfId="13581" xr:uid="{00000000-0005-0000-0000-0000B0340000}"/>
    <cellStyle name="40% - Accent1 4 2 2 2 7" xfId="13582" xr:uid="{00000000-0005-0000-0000-0000B1340000}"/>
    <cellStyle name="40% - Accent1 4 2 2 2 8" xfId="13583" xr:uid="{00000000-0005-0000-0000-0000B2340000}"/>
    <cellStyle name="40% - Accent1 4 2 2 3" xfId="13584" xr:uid="{00000000-0005-0000-0000-0000B3340000}"/>
    <cellStyle name="40% - Accent1 4 2 2 3 2" xfId="13585" xr:uid="{00000000-0005-0000-0000-0000B4340000}"/>
    <cellStyle name="40% - Accent1 4 2 2 3 2 2" xfId="13586" xr:uid="{00000000-0005-0000-0000-0000B5340000}"/>
    <cellStyle name="40% - Accent1 4 2 2 3 2 2 2" xfId="13587" xr:uid="{00000000-0005-0000-0000-0000B6340000}"/>
    <cellStyle name="40% - Accent1 4 2 2 3 2 2 2 2" xfId="13588" xr:uid="{00000000-0005-0000-0000-0000B7340000}"/>
    <cellStyle name="40% - Accent1 4 2 2 3 2 2 2 3" xfId="13589" xr:uid="{00000000-0005-0000-0000-0000B8340000}"/>
    <cellStyle name="40% - Accent1 4 2 2 3 2 2 3" xfId="13590" xr:uid="{00000000-0005-0000-0000-0000B9340000}"/>
    <cellStyle name="40% - Accent1 4 2 2 3 2 2 4" xfId="13591" xr:uid="{00000000-0005-0000-0000-0000BA340000}"/>
    <cellStyle name="40% - Accent1 4 2 2 3 2 3" xfId="13592" xr:uid="{00000000-0005-0000-0000-0000BB340000}"/>
    <cellStyle name="40% - Accent1 4 2 2 3 2 3 2" xfId="13593" xr:uid="{00000000-0005-0000-0000-0000BC340000}"/>
    <cellStyle name="40% - Accent1 4 2 2 3 2 3 3" xfId="13594" xr:uid="{00000000-0005-0000-0000-0000BD340000}"/>
    <cellStyle name="40% - Accent1 4 2 2 3 2 4" xfId="13595" xr:uid="{00000000-0005-0000-0000-0000BE340000}"/>
    <cellStyle name="40% - Accent1 4 2 2 3 2 5" xfId="13596" xr:uid="{00000000-0005-0000-0000-0000BF340000}"/>
    <cellStyle name="40% - Accent1 4 2 2 3 2 6" xfId="13597" xr:uid="{00000000-0005-0000-0000-0000C0340000}"/>
    <cellStyle name="40% - Accent1 4 2 2 3 3" xfId="13598" xr:uid="{00000000-0005-0000-0000-0000C1340000}"/>
    <cellStyle name="40% - Accent1 4 2 2 3 3 2" xfId="13599" xr:uid="{00000000-0005-0000-0000-0000C2340000}"/>
    <cellStyle name="40% - Accent1 4 2 2 3 3 2 2" xfId="13600" xr:uid="{00000000-0005-0000-0000-0000C3340000}"/>
    <cellStyle name="40% - Accent1 4 2 2 3 3 2 3" xfId="13601" xr:uid="{00000000-0005-0000-0000-0000C4340000}"/>
    <cellStyle name="40% - Accent1 4 2 2 3 3 3" xfId="13602" xr:uid="{00000000-0005-0000-0000-0000C5340000}"/>
    <cellStyle name="40% - Accent1 4 2 2 3 3 4" xfId="13603" xr:uid="{00000000-0005-0000-0000-0000C6340000}"/>
    <cellStyle name="40% - Accent1 4 2 2 3 4" xfId="13604" xr:uid="{00000000-0005-0000-0000-0000C7340000}"/>
    <cellStyle name="40% - Accent1 4 2 2 3 4 2" xfId="13605" xr:uid="{00000000-0005-0000-0000-0000C8340000}"/>
    <cellStyle name="40% - Accent1 4 2 2 3 4 3" xfId="13606" xr:uid="{00000000-0005-0000-0000-0000C9340000}"/>
    <cellStyle name="40% - Accent1 4 2 2 3 5" xfId="13607" xr:uid="{00000000-0005-0000-0000-0000CA340000}"/>
    <cellStyle name="40% - Accent1 4 2 2 3 6" xfId="13608" xr:uid="{00000000-0005-0000-0000-0000CB340000}"/>
    <cellStyle name="40% - Accent1 4 2 2 3 7" xfId="13609" xr:uid="{00000000-0005-0000-0000-0000CC340000}"/>
    <cellStyle name="40% - Accent1 4 2 2 4" xfId="13610" xr:uid="{00000000-0005-0000-0000-0000CD340000}"/>
    <cellStyle name="40% - Accent1 4 2 2 4 2" xfId="13611" xr:uid="{00000000-0005-0000-0000-0000CE340000}"/>
    <cellStyle name="40% - Accent1 4 2 2 4 2 2" xfId="13612" xr:uid="{00000000-0005-0000-0000-0000CF340000}"/>
    <cellStyle name="40% - Accent1 4 2 2 4 2 2 2" xfId="13613" xr:uid="{00000000-0005-0000-0000-0000D0340000}"/>
    <cellStyle name="40% - Accent1 4 2 2 4 2 2 3" xfId="13614" xr:uid="{00000000-0005-0000-0000-0000D1340000}"/>
    <cellStyle name="40% - Accent1 4 2 2 4 2 3" xfId="13615" xr:uid="{00000000-0005-0000-0000-0000D2340000}"/>
    <cellStyle name="40% - Accent1 4 2 2 4 2 4" xfId="13616" xr:uid="{00000000-0005-0000-0000-0000D3340000}"/>
    <cellStyle name="40% - Accent1 4 2 2 4 3" xfId="13617" xr:uid="{00000000-0005-0000-0000-0000D4340000}"/>
    <cellStyle name="40% - Accent1 4 2 2 4 3 2" xfId="13618" xr:uid="{00000000-0005-0000-0000-0000D5340000}"/>
    <cellStyle name="40% - Accent1 4 2 2 4 3 3" xfId="13619" xr:uid="{00000000-0005-0000-0000-0000D6340000}"/>
    <cellStyle name="40% - Accent1 4 2 2 4 4" xfId="13620" xr:uid="{00000000-0005-0000-0000-0000D7340000}"/>
    <cellStyle name="40% - Accent1 4 2 2 4 5" xfId="13621" xr:uid="{00000000-0005-0000-0000-0000D8340000}"/>
    <cellStyle name="40% - Accent1 4 2 2 4 6" xfId="13622" xr:uid="{00000000-0005-0000-0000-0000D9340000}"/>
    <cellStyle name="40% - Accent1 4 2 2 5" xfId="13623" xr:uid="{00000000-0005-0000-0000-0000DA340000}"/>
    <cellStyle name="40% - Accent1 4 2 2 5 2" xfId="13624" xr:uid="{00000000-0005-0000-0000-0000DB340000}"/>
    <cellStyle name="40% - Accent1 4 2 2 5 2 2" xfId="13625" xr:uid="{00000000-0005-0000-0000-0000DC340000}"/>
    <cellStyle name="40% - Accent1 4 2 2 5 2 3" xfId="13626" xr:uid="{00000000-0005-0000-0000-0000DD340000}"/>
    <cellStyle name="40% - Accent1 4 2 2 5 3" xfId="13627" xr:uid="{00000000-0005-0000-0000-0000DE340000}"/>
    <cellStyle name="40% - Accent1 4 2 2 5 4" xfId="13628" xr:uid="{00000000-0005-0000-0000-0000DF340000}"/>
    <cellStyle name="40% - Accent1 4 2 2 6" xfId="13629" xr:uid="{00000000-0005-0000-0000-0000E0340000}"/>
    <cellStyle name="40% - Accent1 4 2 2 6 2" xfId="13630" xr:uid="{00000000-0005-0000-0000-0000E1340000}"/>
    <cellStyle name="40% - Accent1 4 2 2 6 3" xfId="13631" xr:uid="{00000000-0005-0000-0000-0000E2340000}"/>
    <cellStyle name="40% - Accent1 4 2 2 7" xfId="13632" xr:uid="{00000000-0005-0000-0000-0000E3340000}"/>
    <cellStyle name="40% - Accent1 4 2 2 8" xfId="13633" xr:uid="{00000000-0005-0000-0000-0000E4340000}"/>
    <cellStyle name="40% - Accent1 4 2 2 9" xfId="13634" xr:uid="{00000000-0005-0000-0000-0000E5340000}"/>
    <cellStyle name="40% - Accent1 4 2 3" xfId="13635" xr:uid="{00000000-0005-0000-0000-0000E6340000}"/>
    <cellStyle name="40% - Accent1 4 2 3 2" xfId="13636" xr:uid="{00000000-0005-0000-0000-0000E7340000}"/>
    <cellStyle name="40% - Accent1 4 2 3 2 2" xfId="13637" xr:uid="{00000000-0005-0000-0000-0000E8340000}"/>
    <cellStyle name="40% - Accent1 4 2 3 2 2 2" xfId="13638" xr:uid="{00000000-0005-0000-0000-0000E9340000}"/>
    <cellStyle name="40% - Accent1 4 2 3 2 2 2 2" xfId="13639" xr:uid="{00000000-0005-0000-0000-0000EA340000}"/>
    <cellStyle name="40% - Accent1 4 2 3 2 2 2 2 2" xfId="13640" xr:uid="{00000000-0005-0000-0000-0000EB340000}"/>
    <cellStyle name="40% - Accent1 4 2 3 2 2 2 2 3" xfId="13641" xr:uid="{00000000-0005-0000-0000-0000EC340000}"/>
    <cellStyle name="40% - Accent1 4 2 3 2 2 2 3" xfId="13642" xr:uid="{00000000-0005-0000-0000-0000ED340000}"/>
    <cellStyle name="40% - Accent1 4 2 3 2 2 2 4" xfId="13643" xr:uid="{00000000-0005-0000-0000-0000EE340000}"/>
    <cellStyle name="40% - Accent1 4 2 3 2 2 3" xfId="13644" xr:uid="{00000000-0005-0000-0000-0000EF340000}"/>
    <cellStyle name="40% - Accent1 4 2 3 2 2 3 2" xfId="13645" xr:uid="{00000000-0005-0000-0000-0000F0340000}"/>
    <cellStyle name="40% - Accent1 4 2 3 2 2 3 3" xfId="13646" xr:uid="{00000000-0005-0000-0000-0000F1340000}"/>
    <cellStyle name="40% - Accent1 4 2 3 2 2 4" xfId="13647" xr:uid="{00000000-0005-0000-0000-0000F2340000}"/>
    <cellStyle name="40% - Accent1 4 2 3 2 2 5" xfId="13648" xr:uid="{00000000-0005-0000-0000-0000F3340000}"/>
    <cellStyle name="40% - Accent1 4 2 3 2 2 6" xfId="13649" xr:uid="{00000000-0005-0000-0000-0000F4340000}"/>
    <cellStyle name="40% - Accent1 4 2 3 2 3" xfId="13650" xr:uid="{00000000-0005-0000-0000-0000F5340000}"/>
    <cellStyle name="40% - Accent1 4 2 3 2 3 2" xfId="13651" xr:uid="{00000000-0005-0000-0000-0000F6340000}"/>
    <cellStyle name="40% - Accent1 4 2 3 2 3 2 2" xfId="13652" xr:uid="{00000000-0005-0000-0000-0000F7340000}"/>
    <cellStyle name="40% - Accent1 4 2 3 2 3 2 3" xfId="13653" xr:uid="{00000000-0005-0000-0000-0000F8340000}"/>
    <cellStyle name="40% - Accent1 4 2 3 2 3 3" xfId="13654" xr:uid="{00000000-0005-0000-0000-0000F9340000}"/>
    <cellStyle name="40% - Accent1 4 2 3 2 3 4" xfId="13655" xr:uid="{00000000-0005-0000-0000-0000FA340000}"/>
    <cellStyle name="40% - Accent1 4 2 3 2 4" xfId="13656" xr:uid="{00000000-0005-0000-0000-0000FB340000}"/>
    <cellStyle name="40% - Accent1 4 2 3 2 4 2" xfId="13657" xr:uid="{00000000-0005-0000-0000-0000FC340000}"/>
    <cellStyle name="40% - Accent1 4 2 3 2 4 3" xfId="13658" xr:uid="{00000000-0005-0000-0000-0000FD340000}"/>
    <cellStyle name="40% - Accent1 4 2 3 2 5" xfId="13659" xr:uid="{00000000-0005-0000-0000-0000FE340000}"/>
    <cellStyle name="40% - Accent1 4 2 3 2 6" xfId="13660" xr:uid="{00000000-0005-0000-0000-0000FF340000}"/>
    <cellStyle name="40% - Accent1 4 2 3 2 7" xfId="13661" xr:uid="{00000000-0005-0000-0000-000000350000}"/>
    <cellStyle name="40% - Accent1 4 2 3 3" xfId="13662" xr:uid="{00000000-0005-0000-0000-000001350000}"/>
    <cellStyle name="40% - Accent1 4 2 3 3 2" xfId="13663" xr:uid="{00000000-0005-0000-0000-000002350000}"/>
    <cellStyle name="40% - Accent1 4 2 3 3 2 2" xfId="13664" xr:uid="{00000000-0005-0000-0000-000003350000}"/>
    <cellStyle name="40% - Accent1 4 2 3 3 2 2 2" xfId="13665" xr:uid="{00000000-0005-0000-0000-000004350000}"/>
    <cellStyle name="40% - Accent1 4 2 3 3 2 2 3" xfId="13666" xr:uid="{00000000-0005-0000-0000-000005350000}"/>
    <cellStyle name="40% - Accent1 4 2 3 3 2 3" xfId="13667" xr:uid="{00000000-0005-0000-0000-000006350000}"/>
    <cellStyle name="40% - Accent1 4 2 3 3 2 4" xfId="13668" xr:uid="{00000000-0005-0000-0000-000007350000}"/>
    <cellStyle name="40% - Accent1 4 2 3 3 3" xfId="13669" xr:uid="{00000000-0005-0000-0000-000008350000}"/>
    <cellStyle name="40% - Accent1 4 2 3 3 3 2" xfId="13670" xr:uid="{00000000-0005-0000-0000-000009350000}"/>
    <cellStyle name="40% - Accent1 4 2 3 3 3 3" xfId="13671" xr:uid="{00000000-0005-0000-0000-00000A350000}"/>
    <cellStyle name="40% - Accent1 4 2 3 3 4" xfId="13672" xr:uid="{00000000-0005-0000-0000-00000B350000}"/>
    <cellStyle name="40% - Accent1 4 2 3 3 5" xfId="13673" xr:uid="{00000000-0005-0000-0000-00000C350000}"/>
    <cellStyle name="40% - Accent1 4 2 3 3 6" xfId="13674" xr:uid="{00000000-0005-0000-0000-00000D350000}"/>
    <cellStyle name="40% - Accent1 4 2 3 4" xfId="13675" xr:uid="{00000000-0005-0000-0000-00000E350000}"/>
    <cellStyle name="40% - Accent1 4 2 3 4 2" xfId="13676" xr:uid="{00000000-0005-0000-0000-00000F350000}"/>
    <cellStyle name="40% - Accent1 4 2 3 4 2 2" xfId="13677" xr:uid="{00000000-0005-0000-0000-000010350000}"/>
    <cellStyle name="40% - Accent1 4 2 3 4 2 3" xfId="13678" xr:uid="{00000000-0005-0000-0000-000011350000}"/>
    <cellStyle name="40% - Accent1 4 2 3 4 3" xfId="13679" xr:uid="{00000000-0005-0000-0000-000012350000}"/>
    <cellStyle name="40% - Accent1 4 2 3 4 4" xfId="13680" xr:uid="{00000000-0005-0000-0000-000013350000}"/>
    <cellStyle name="40% - Accent1 4 2 3 5" xfId="13681" xr:uid="{00000000-0005-0000-0000-000014350000}"/>
    <cellStyle name="40% - Accent1 4 2 3 5 2" xfId="13682" xr:uid="{00000000-0005-0000-0000-000015350000}"/>
    <cellStyle name="40% - Accent1 4 2 3 5 3" xfId="13683" xr:uid="{00000000-0005-0000-0000-000016350000}"/>
    <cellStyle name="40% - Accent1 4 2 3 6" xfId="13684" xr:uid="{00000000-0005-0000-0000-000017350000}"/>
    <cellStyle name="40% - Accent1 4 2 3 7" xfId="13685" xr:uid="{00000000-0005-0000-0000-000018350000}"/>
    <cellStyle name="40% - Accent1 4 2 3 8" xfId="13686" xr:uid="{00000000-0005-0000-0000-000019350000}"/>
    <cellStyle name="40% - Accent1 4 2 4" xfId="13687" xr:uid="{00000000-0005-0000-0000-00001A350000}"/>
    <cellStyle name="40% - Accent1 4 2 4 2" xfId="13688" xr:uid="{00000000-0005-0000-0000-00001B350000}"/>
    <cellStyle name="40% - Accent1 4 2 4 2 2" xfId="13689" xr:uid="{00000000-0005-0000-0000-00001C350000}"/>
    <cellStyle name="40% - Accent1 4 2 4 2 2 2" xfId="13690" xr:uid="{00000000-0005-0000-0000-00001D350000}"/>
    <cellStyle name="40% - Accent1 4 2 4 2 2 2 2" xfId="13691" xr:uid="{00000000-0005-0000-0000-00001E350000}"/>
    <cellStyle name="40% - Accent1 4 2 4 2 2 2 3" xfId="13692" xr:uid="{00000000-0005-0000-0000-00001F350000}"/>
    <cellStyle name="40% - Accent1 4 2 4 2 2 3" xfId="13693" xr:uid="{00000000-0005-0000-0000-000020350000}"/>
    <cellStyle name="40% - Accent1 4 2 4 2 2 4" xfId="13694" xr:uid="{00000000-0005-0000-0000-000021350000}"/>
    <cellStyle name="40% - Accent1 4 2 4 2 3" xfId="13695" xr:uid="{00000000-0005-0000-0000-000022350000}"/>
    <cellStyle name="40% - Accent1 4 2 4 2 3 2" xfId="13696" xr:uid="{00000000-0005-0000-0000-000023350000}"/>
    <cellStyle name="40% - Accent1 4 2 4 2 3 3" xfId="13697" xr:uid="{00000000-0005-0000-0000-000024350000}"/>
    <cellStyle name="40% - Accent1 4 2 4 2 4" xfId="13698" xr:uid="{00000000-0005-0000-0000-000025350000}"/>
    <cellStyle name="40% - Accent1 4 2 4 2 5" xfId="13699" xr:uid="{00000000-0005-0000-0000-000026350000}"/>
    <cellStyle name="40% - Accent1 4 2 4 2 6" xfId="13700" xr:uid="{00000000-0005-0000-0000-000027350000}"/>
    <cellStyle name="40% - Accent1 4 2 4 3" xfId="13701" xr:uid="{00000000-0005-0000-0000-000028350000}"/>
    <cellStyle name="40% - Accent1 4 2 4 3 2" xfId="13702" xr:uid="{00000000-0005-0000-0000-000029350000}"/>
    <cellStyle name="40% - Accent1 4 2 4 3 2 2" xfId="13703" xr:uid="{00000000-0005-0000-0000-00002A350000}"/>
    <cellStyle name="40% - Accent1 4 2 4 3 2 3" xfId="13704" xr:uid="{00000000-0005-0000-0000-00002B350000}"/>
    <cellStyle name="40% - Accent1 4 2 4 3 3" xfId="13705" xr:uid="{00000000-0005-0000-0000-00002C350000}"/>
    <cellStyle name="40% - Accent1 4 2 4 3 4" xfId="13706" xr:uid="{00000000-0005-0000-0000-00002D350000}"/>
    <cellStyle name="40% - Accent1 4 2 4 4" xfId="13707" xr:uid="{00000000-0005-0000-0000-00002E350000}"/>
    <cellStyle name="40% - Accent1 4 2 4 4 2" xfId="13708" xr:uid="{00000000-0005-0000-0000-00002F350000}"/>
    <cellStyle name="40% - Accent1 4 2 4 4 3" xfId="13709" xr:uid="{00000000-0005-0000-0000-000030350000}"/>
    <cellStyle name="40% - Accent1 4 2 4 5" xfId="13710" xr:uid="{00000000-0005-0000-0000-000031350000}"/>
    <cellStyle name="40% - Accent1 4 2 4 6" xfId="13711" xr:uid="{00000000-0005-0000-0000-000032350000}"/>
    <cellStyle name="40% - Accent1 4 2 4 7" xfId="13712" xr:uid="{00000000-0005-0000-0000-000033350000}"/>
    <cellStyle name="40% - Accent1 4 2 5" xfId="13713" xr:uid="{00000000-0005-0000-0000-000034350000}"/>
    <cellStyle name="40% - Accent1 4 2 5 2" xfId="13714" xr:uid="{00000000-0005-0000-0000-000035350000}"/>
    <cellStyle name="40% - Accent1 4 2 5 2 2" xfId="13715" xr:uid="{00000000-0005-0000-0000-000036350000}"/>
    <cellStyle name="40% - Accent1 4 2 5 2 2 2" xfId="13716" xr:uid="{00000000-0005-0000-0000-000037350000}"/>
    <cellStyle name="40% - Accent1 4 2 5 2 2 3" xfId="13717" xr:uid="{00000000-0005-0000-0000-000038350000}"/>
    <cellStyle name="40% - Accent1 4 2 5 2 3" xfId="13718" xr:uid="{00000000-0005-0000-0000-000039350000}"/>
    <cellStyle name="40% - Accent1 4 2 5 2 4" xfId="13719" xr:uid="{00000000-0005-0000-0000-00003A350000}"/>
    <cellStyle name="40% - Accent1 4 2 5 3" xfId="13720" xr:uid="{00000000-0005-0000-0000-00003B350000}"/>
    <cellStyle name="40% - Accent1 4 2 5 3 2" xfId="13721" xr:uid="{00000000-0005-0000-0000-00003C350000}"/>
    <cellStyle name="40% - Accent1 4 2 5 3 3" xfId="13722" xr:uid="{00000000-0005-0000-0000-00003D350000}"/>
    <cellStyle name="40% - Accent1 4 2 5 4" xfId="13723" xr:uid="{00000000-0005-0000-0000-00003E350000}"/>
    <cellStyle name="40% - Accent1 4 2 5 5" xfId="13724" xr:uid="{00000000-0005-0000-0000-00003F350000}"/>
    <cellStyle name="40% - Accent1 4 2 5 6" xfId="13725" xr:uid="{00000000-0005-0000-0000-000040350000}"/>
    <cellStyle name="40% - Accent1 4 2 6" xfId="13726" xr:uid="{00000000-0005-0000-0000-000041350000}"/>
    <cellStyle name="40% - Accent1 4 2 6 2" xfId="13727" xr:uid="{00000000-0005-0000-0000-000042350000}"/>
    <cellStyle name="40% - Accent1 4 2 6 2 2" xfId="13728" xr:uid="{00000000-0005-0000-0000-000043350000}"/>
    <cellStyle name="40% - Accent1 4 2 6 2 3" xfId="13729" xr:uid="{00000000-0005-0000-0000-000044350000}"/>
    <cellStyle name="40% - Accent1 4 2 6 3" xfId="13730" xr:uid="{00000000-0005-0000-0000-000045350000}"/>
    <cellStyle name="40% - Accent1 4 2 6 4" xfId="13731" xr:uid="{00000000-0005-0000-0000-000046350000}"/>
    <cellStyle name="40% - Accent1 4 2 7" xfId="13732" xr:uid="{00000000-0005-0000-0000-000047350000}"/>
    <cellStyle name="40% - Accent1 4 2 7 2" xfId="13733" xr:uid="{00000000-0005-0000-0000-000048350000}"/>
    <cellStyle name="40% - Accent1 4 2 7 3" xfId="13734" xr:uid="{00000000-0005-0000-0000-000049350000}"/>
    <cellStyle name="40% - Accent1 4 2 8" xfId="13735" xr:uid="{00000000-0005-0000-0000-00004A350000}"/>
    <cellStyle name="40% - Accent1 4 2 9" xfId="13736" xr:uid="{00000000-0005-0000-0000-00004B350000}"/>
    <cellStyle name="40% - Accent1 4 3" xfId="13737" xr:uid="{00000000-0005-0000-0000-00004C350000}"/>
    <cellStyle name="40% - Accent1 4 3 2" xfId="13738" xr:uid="{00000000-0005-0000-0000-00004D350000}"/>
    <cellStyle name="40% - Accent1 4 3 2 2" xfId="13739" xr:uid="{00000000-0005-0000-0000-00004E350000}"/>
    <cellStyle name="40% - Accent1 4 3 2 2 2" xfId="13740" xr:uid="{00000000-0005-0000-0000-00004F350000}"/>
    <cellStyle name="40% - Accent1 4 3 2 2 2 2" xfId="13741" xr:uid="{00000000-0005-0000-0000-000050350000}"/>
    <cellStyle name="40% - Accent1 4 3 2 2 2 2 2" xfId="13742" xr:uid="{00000000-0005-0000-0000-000051350000}"/>
    <cellStyle name="40% - Accent1 4 3 2 2 2 2 2 2" xfId="13743" xr:uid="{00000000-0005-0000-0000-000052350000}"/>
    <cellStyle name="40% - Accent1 4 3 2 2 2 2 2 3" xfId="13744" xr:uid="{00000000-0005-0000-0000-000053350000}"/>
    <cellStyle name="40% - Accent1 4 3 2 2 2 2 3" xfId="13745" xr:uid="{00000000-0005-0000-0000-000054350000}"/>
    <cellStyle name="40% - Accent1 4 3 2 2 2 2 4" xfId="13746" xr:uid="{00000000-0005-0000-0000-000055350000}"/>
    <cellStyle name="40% - Accent1 4 3 2 2 2 3" xfId="13747" xr:uid="{00000000-0005-0000-0000-000056350000}"/>
    <cellStyle name="40% - Accent1 4 3 2 2 2 3 2" xfId="13748" xr:uid="{00000000-0005-0000-0000-000057350000}"/>
    <cellStyle name="40% - Accent1 4 3 2 2 2 3 3" xfId="13749" xr:uid="{00000000-0005-0000-0000-000058350000}"/>
    <cellStyle name="40% - Accent1 4 3 2 2 2 4" xfId="13750" xr:uid="{00000000-0005-0000-0000-000059350000}"/>
    <cellStyle name="40% - Accent1 4 3 2 2 2 5" xfId="13751" xr:uid="{00000000-0005-0000-0000-00005A350000}"/>
    <cellStyle name="40% - Accent1 4 3 2 2 2 6" xfId="13752" xr:uid="{00000000-0005-0000-0000-00005B350000}"/>
    <cellStyle name="40% - Accent1 4 3 2 2 3" xfId="13753" xr:uid="{00000000-0005-0000-0000-00005C350000}"/>
    <cellStyle name="40% - Accent1 4 3 2 2 3 2" xfId="13754" xr:uid="{00000000-0005-0000-0000-00005D350000}"/>
    <cellStyle name="40% - Accent1 4 3 2 2 3 2 2" xfId="13755" xr:uid="{00000000-0005-0000-0000-00005E350000}"/>
    <cellStyle name="40% - Accent1 4 3 2 2 3 2 3" xfId="13756" xr:uid="{00000000-0005-0000-0000-00005F350000}"/>
    <cellStyle name="40% - Accent1 4 3 2 2 3 3" xfId="13757" xr:uid="{00000000-0005-0000-0000-000060350000}"/>
    <cellStyle name="40% - Accent1 4 3 2 2 3 4" xfId="13758" xr:uid="{00000000-0005-0000-0000-000061350000}"/>
    <cellStyle name="40% - Accent1 4 3 2 2 4" xfId="13759" xr:uid="{00000000-0005-0000-0000-000062350000}"/>
    <cellStyle name="40% - Accent1 4 3 2 2 4 2" xfId="13760" xr:uid="{00000000-0005-0000-0000-000063350000}"/>
    <cellStyle name="40% - Accent1 4 3 2 2 4 3" xfId="13761" xr:uid="{00000000-0005-0000-0000-000064350000}"/>
    <cellStyle name="40% - Accent1 4 3 2 2 5" xfId="13762" xr:uid="{00000000-0005-0000-0000-000065350000}"/>
    <cellStyle name="40% - Accent1 4 3 2 2 6" xfId="13763" xr:uid="{00000000-0005-0000-0000-000066350000}"/>
    <cellStyle name="40% - Accent1 4 3 2 2 7" xfId="13764" xr:uid="{00000000-0005-0000-0000-000067350000}"/>
    <cellStyle name="40% - Accent1 4 3 2 3" xfId="13765" xr:uid="{00000000-0005-0000-0000-000068350000}"/>
    <cellStyle name="40% - Accent1 4 3 2 3 2" xfId="13766" xr:uid="{00000000-0005-0000-0000-000069350000}"/>
    <cellStyle name="40% - Accent1 4 3 2 3 2 2" xfId="13767" xr:uid="{00000000-0005-0000-0000-00006A350000}"/>
    <cellStyle name="40% - Accent1 4 3 2 3 2 2 2" xfId="13768" xr:uid="{00000000-0005-0000-0000-00006B350000}"/>
    <cellStyle name="40% - Accent1 4 3 2 3 2 2 3" xfId="13769" xr:uid="{00000000-0005-0000-0000-00006C350000}"/>
    <cellStyle name="40% - Accent1 4 3 2 3 2 3" xfId="13770" xr:uid="{00000000-0005-0000-0000-00006D350000}"/>
    <cellStyle name="40% - Accent1 4 3 2 3 2 4" xfId="13771" xr:uid="{00000000-0005-0000-0000-00006E350000}"/>
    <cellStyle name="40% - Accent1 4 3 2 3 3" xfId="13772" xr:uid="{00000000-0005-0000-0000-00006F350000}"/>
    <cellStyle name="40% - Accent1 4 3 2 3 3 2" xfId="13773" xr:uid="{00000000-0005-0000-0000-000070350000}"/>
    <cellStyle name="40% - Accent1 4 3 2 3 3 3" xfId="13774" xr:uid="{00000000-0005-0000-0000-000071350000}"/>
    <cellStyle name="40% - Accent1 4 3 2 3 4" xfId="13775" xr:uid="{00000000-0005-0000-0000-000072350000}"/>
    <cellStyle name="40% - Accent1 4 3 2 3 5" xfId="13776" xr:uid="{00000000-0005-0000-0000-000073350000}"/>
    <cellStyle name="40% - Accent1 4 3 2 3 6" xfId="13777" xr:uid="{00000000-0005-0000-0000-000074350000}"/>
    <cellStyle name="40% - Accent1 4 3 2 4" xfId="13778" xr:uid="{00000000-0005-0000-0000-000075350000}"/>
    <cellStyle name="40% - Accent1 4 3 2 4 2" xfId="13779" xr:uid="{00000000-0005-0000-0000-000076350000}"/>
    <cellStyle name="40% - Accent1 4 3 2 4 2 2" xfId="13780" xr:uid="{00000000-0005-0000-0000-000077350000}"/>
    <cellStyle name="40% - Accent1 4 3 2 4 2 3" xfId="13781" xr:uid="{00000000-0005-0000-0000-000078350000}"/>
    <cellStyle name="40% - Accent1 4 3 2 4 3" xfId="13782" xr:uid="{00000000-0005-0000-0000-000079350000}"/>
    <cellStyle name="40% - Accent1 4 3 2 4 4" xfId="13783" xr:uid="{00000000-0005-0000-0000-00007A350000}"/>
    <cellStyle name="40% - Accent1 4 3 2 5" xfId="13784" xr:uid="{00000000-0005-0000-0000-00007B350000}"/>
    <cellStyle name="40% - Accent1 4 3 2 5 2" xfId="13785" xr:uid="{00000000-0005-0000-0000-00007C350000}"/>
    <cellStyle name="40% - Accent1 4 3 2 5 3" xfId="13786" xr:uid="{00000000-0005-0000-0000-00007D350000}"/>
    <cellStyle name="40% - Accent1 4 3 2 6" xfId="13787" xr:uid="{00000000-0005-0000-0000-00007E350000}"/>
    <cellStyle name="40% - Accent1 4 3 2 7" xfId="13788" xr:uid="{00000000-0005-0000-0000-00007F350000}"/>
    <cellStyle name="40% - Accent1 4 3 2 8" xfId="13789" xr:uid="{00000000-0005-0000-0000-000080350000}"/>
    <cellStyle name="40% - Accent1 4 3 3" xfId="13790" xr:uid="{00000000-0005-0000-0000-000081350000}"/>
    <cellStyle name="40% - Accent1 4 3 3 2" xfId="13791" xr:uid="{00000000-0005-0000-0000-000082350000}"/>
    <cellStyle name="40% - Accent1 4 3 3 2 2" xfId="13792" xr:uid="{00000000-0005-0000-0000-000083350000}"/>
    <cellStyle name="40% - Accent1 4 3 3 2 2 2" xfId="13793" xr:uid="{00000000-0005-0000-0000-000084350000}"/>
    <cellStyle name="40% - Accent1 4 3 3 2 2 2 2" xfId="13794" xr:uid="{00000000-0005-0000-0000-000085350000}"/>
    <cellStyle name="40% - Accent1 4 3 3 2 2 2 3" xfId="13795" xr:uid="{00000000-0005-0000-0000-000086350000}"/>
    <cellStyle name="40% - Accent1 4 3 3 2 2 3" xfId="13796" xr:uid="{00000000-0005-0000-0000-000087350000}"/>
    <cellStyle name="40% - Accent1 4 3 3 2 2 4" xfId="13797" xr:uid="{00000000-0005-0000-0000-000088350000}"/>
    <cellStyle name="40% - Accent1 4 3 3 2 3" xfId="13798" xr:uid="{00000000-0005-0000-0000-000089350000}"/>
    <cellStyle name="40% - Accent1 4 3 3 2 3 2" xfId="13799" xr:uid="{00000000-0005-0000-0000-00008A350000}"/>
    <cellStyle name="40% - Accent1 4 3 3 2 3 3" xfId="13800" xr:uid="{00000000-0005-0000-0000-00008B350000}"/>
    <cellStyle name="40% - Accent1 4 3 3 2 4" xfId="13801" xr:uid="{00000000-0005-0000-0000-00008C350000}"/>
    <cellStyle name="40% - Accent1 4 3 3 2 5" xfId="13802" xr:uid="{00000000-0005-0000-0000-00008D350000}"/>
    <cellStyle name="40% - Accent1 4 3 3 2 6" xfId="13803" xr:uid="{00000000-0005-0000-0000-00008E350000}"/>
    <cellStyle name="40% - Accent1 4 3 3 3" xfId="13804" xr:uid="{00000000-0005-0000-0000-00008F350000}"/>
    <cellStyle name="40% - Accent1 4 3 3 3 2" xfId="13805" xr:uid="{00000000-0005-0000-0000-000090350000}"/>
    <cellStyle name="40% - Accent1 4 3 3 3 2 2" xfId="13806" xr:uid="{00000000-0005-0000-0000-000091350000}"/>
    <cellStyle name="40% - Accent1 4 3 3 3 2 3" xfId="13807" xr:uid="{00000000-0005-0000-0000-000092350000}"/>
    <cellStyle name="40% - Accent1 4 3 3 3 3" xfId="13808" xr:uid="{00000000-0005-0000-0000-000093350000}"/>
    <cellStyle name="40% - Accent1 4 3 3 3 4" xfId="13809" xr:uid="{00000000-0005-0000-0000-000094350000}"/>
    <cellStyle name="40% - Accent1 4 3 3 4" xfId="13810" xr:uid="{00000000-0005-0000-0000-000095350000}"/>
    <cellStyle name="40% - Accent1 4 3 3 4 2" xfId="13811" xr:uid="{00000000-0005-0000-0000-000096350000}"/>
    <cellStyle name="40% - Accent1 4 3 3 4 3" xfId="13812" xr:uid="{00000000-0005-0000-0000-000097350000}"/>
    <cellStyle name="40% - Accent1 4 3 3 5" xfId="13813" xr:uid="{00000000-0005-0000-0000-000098350000}"/>
    <cellStyle name="40% - Accent1 4 3 3 6" xfId="13814" xr:uid="{00000000-0005-0000-0000-000099350000}"/>
    <cellStyle name="40% - Accent1 4 3 3 7" xfId="13815" xr:uid="{00000000-0005-0000-0000-00009A350000}"/>
    <cellStyle name="40% - Accent1 4 3 4" xfId="13816" xr:uid="{00000000-0005-0000-0000-00009B350000}"/>
    <cellStyle name="40% - Accent1 4 3 4 2" xfId="13817" xr:uid="{00000000-0005-0000-0000-00009C350000}"/>
    <cellStyle name="40% - Accent1 4 3 4 2 2" xfId="13818" xr:uid="{00000000-0005-0000-0000-00009D350000}"/>
    <cellStyle name="40% - Accent1 4 3 4 2 2 2" xfId="13819" xr:uid="{00000000-0005-0000-0000-00009E350000}"/>
    <cellStyle name="40% - Accent1 4 3 4 2 2 3" xfId="13820" xr:uid="{00000000-0005-0000-0000-00009F350000}"/>
    <cellStyle name="40% - Accent1 4 3 4 2 3" xfId="13821" xr:uid="{00000000-0005-0000-0000-0000A0350000}"/>
    <cellStyle name="40% - Accent1 4 3 4 2 4" xfId="13822" xr:uid="{00000000-0005-0000-0000-0000A1350000}"/>
    <cellStyle name="40% - Accent1 4 3 4 3" xfId="13823" xr:uid="{00000000-0005-0000-0000-0000A2350000}"/>
    <cellStyle name="40% - Accent1 4 3 4 3 2" xfId="13824" xr:uid="{00000000-0005-0000-0000-0000A3350000}"/>
    <cellStyle name="40% - Accent1 4 3 4 3 3" xfId="13825" xr:uid="{00000000-0005-0000-0000-0000A4350000}"/>
    <cellStyle name="40% - Accent1 4 3 4 4" xfId="13826" xr:uid="{00000000-0005-0000-0000-0000A5350000}"/>
    <cellStyle name="40% - Accent1 4 3 4 5" xfId="13827" xr:uid="{00000000-0005-0000-0000-0000A6350000}"/>
    <cellStyle name="40% - Accent1 4 3 4 6" xfId="13828" xr:uid="{00000000-0005-0000-0000-0000A7350000}"/>
    <cellStyle name="40% - Accent1 4 3 5" xfId="13829" xr:uid="{00000000-0005-0000-0000-0000A8350000}"/>
    <cellStyle name="40% - Accent1 4 3 5 2" xfId="13830" xr:uid="{00000000-0005-0000-0000-0000A9350000}"/>
    <cellStyle name="40% - Accent1 4 3 5 2 2" xfId="13831" xr:uid="{00000000-0005-0000-0000-0000AA350000}"/>
    <cellStyle name="40% - Accent1 4 3 5 2 3" xfId="13832" xr:uid="{00000000-0005-0000-0000-0000AB350000}"/>
    <cellStyle name="40% - Accent1 4 3 5 3" xfId="13833" xr:uid="{00000000-0005-0000-0000-0000AC350000}"/>
    <cellStyle name="40% - Accent1 4 3 5 4" xfId="13834" xr:uid="{00000000-0005-0000-0000-0000AD350000}"/>
    <cellStyle name="40% - Accent1 4 3 6" xfId="13835" xr:uid="{00000000-0005-0000-0000-0000AE350000}"/>
    <cellStyle name="40% - Accent1 4 3 6 2" xfId="13836" xr:uid="{00000000-0005-0000-0000-0000AF350000}"/>
    <cellStyle name="40% - Accent1 4 3 6 3" xfId="13837" xr:uid="{00000000-0005-0000-0000-0000B0350000}"/>
    <cellStyle name="40% - Accent1 4 3 7" xfId="13838" xr:uid="{00000000-0005-0000-0000-0000B1350000}"/>
    <cellStyle name="40% - Accent1 4 3 8" xfId="13839" xr:uid="{00000000-0005-0000-0000-0000B2350000}"/>
    <cellStyle name="40% - Accent1 4 3 9" xfId="13840" xr:uid="{00000000-0005-0000-0000-0000B3350000}"/>
    <cellStyle name="40% - Accent1 4 4" xfId="13841" xr:uid="{00000000-0005-0000-0000-0000B4350000}"/>
    <cellStyle name="40% - Accent1 4 4 2" xfId="13842" xr:uid="{00000000-0005-0000-0000-0000B5350000}"/>
    <cellStyle name="40% - Accent1 4 4 2 2" xfId="13843" xr:uid="{00000000-0005-0000-0000-0000B6350000}"/>
    <cellStyle name="40% - Accent1 4 4 2 2 2" xfId="13844" xr:uid="{00000000-0005-0000-0000-0000B7350000}"/>
    <cellStyle name="40% - Accent1 4 4 2 2 2 2" xfId="13845" xr:uid="{00000000-0005-0000-0000-0000B8350000}"/>
    <cellStyle name="40% - Accent1 4 4 2 2 2 2 2" xfId="13846" xr:uid="{00000000-0005-0000-0000-0000B9350000}"/>
    <cellStyle name="40% - Accent1 4 4 2 2 2 2 3" xfId="13847" xr:uid="{00000000-0005-0000-0000-0000BA350000}"/>
    <cellStyle name="40% - Accent1 4 4 2 2 2 3" xfId="13848" xr:uid="{00000000-0005-0000-0000-0000BB350000}"/>
    <cellStyle name="40% - Accent1 4 4 2 2 2 4" xfId="13849" xr:uid="{00000000-0005-0000-0000-0000BC350000}"/>
    <cellStyle name="40% - Accent1 4 4 2 2 3" xfId="13850" xr:uid="{00000000-0005-0000-0000-0000BD350000}"/>
    <cellStyle name="40% - Accent1 4 4 2 2 3 2" xfId="13851" xr:uid="{00000000-0005-0000-0000-0000BE350000}"/>
    <cellStyle name="40% - Accent1 4 4 2 2 3 3" xfId="13852" xr:uid="{00000000-0005-0000-0000-0000BF350000}"/>
    <cellStyle name="40% - Accent1 4 4 2 2 4" xfId="13853" xr:uid="{00000000-0005-0000-0000-0000C0350000}"/>
    <cellStyle name="40% - Accent1 4 4 2 2 5" xfId="13854" xr:uid="{00000000-0005-0000-0000-0000C1350000}"/>
    <cellStyle name="40% - Accent1 4 4 2 2 6" xfId="13855" xr:uid="{00000000-0005-0000-0000-0000C2350000}"/>
    <cellStyle name="40% - Accent1 4 4 2 3" xfId="13856" xr:uid="{00000000-0005-0000-0000-0000C3350000}"/>
    <cellStyle name="40% - Accent1 4 4 2 3 2" xfId="13857" xr:uid="{00000000-0005-0000-0000-0000C4350000}"/>
    <cellStyle name="40% - Accent1 4 4 2 3 2 2" xfId="13858" xr:uid="{00000000-0005-0000-0000-0000C5350000}"/>
    <cellStyle name="40% - Accent1 4 4 2 3 2 3" xfId="13859" xr:uid="{00000000-0005-0000-0000-0000C6350000}"/>
    <cellStyle name="40% - Accent1 4 4 2 3 3" xfId="13860" xr:uid="{00000000-0005-0000-0000-0000C7350000}"/>
    <cellStyle name="40% - Accent1 4 4 2 3 4" xfId="13861" xr:uid="{00000000-0005-0000-0000-0000C8350000}"/>
    <cellStyle name="40% - Accent1 4 4 2 4" xfId="13862" xr:uid="{00000000-0005-0000-0000-0000C9350000}"/>
    <cellStyle name="40% - Accent1 4 4 2 4 2" xfId="13863" xr:uid="{00000000-0005-0000-0000-0000CA350000}"/>
    <cellStyle name="40% - Accent1 4 4 2 4 3" xfId="13864" xr:uid="{00000000-0005-0000-0000-0000CB350000}"/>
    <cellStyle name="40% - Accent1 4 4 2 5" xfId="13865" xr:uid="{00000000-0005-0000-0000-0000CC350000}"/>
    <cellStyle name="40% - Accent1 4 4 2 6" xfId="13866" xr:uid="{00000000-0005-0000-0000-0000CD350000}"/>
    <cellStyle name="40% - Accent1 4 4 2 7" xfId="13867" xr:uid="{00000000-0005-0000-0000-0000CE350000}"/>
    <cellStyle name="40% - Accent1 4 4 3" xfId="13868" xr:uid="{00000000-0005-0000-0000-0000CF350000}"/>
    <cellStyle name="40% - Accent1 4 4 3 2" xfId="13869" xr:uid="{00000000-0005-0000-0000-0000D0350000}"/>
    <cellStyle name="40% - Accent1 4 4 3 2 2" xfId="13870" xr:uid="{00000000-0005-0000-0000-0000D1350000}"/>
    <cellStyle name="40% - Accent1 4 4 3 2 2 2" xfId="13871" xr:uid="{00000000-0005-0000-0000-0000D2350000}"/>
    <cellStyle name="40% - Accent1 4 4 3 2 2 3" xfId="13872" xr:uid="{00000000-0005-0000-0000-0000D3350000}"/>
    <cellStyle name="40% - Accent1 4 4 3 2 3" xfId="13873" xr:uid="{00000000-0005-0000-0000-0000D4350000}"/>
    <cellStyle name="40% - Accent1 4 4 3 2 4" xfId="13874" xr:uid="{00000000-0005-0000-0000-0000D5350000}"/>
    <cellStyle name="40% - Accent1 4 4 3 3" xfId="13875" xr:uid="{00000000-0005-0000-0000-0000D6350000}"/>
    <cellStyle name="40% - Accent1 4 4 3 3 2" xfId="13876" xr:uid="{00000000-0005-0000-0000-0000D7350000}"/>
    <cellStyle name="40% - Accent1 4 4 3 3 3" xfId="13877" xr:uid="{00000000-0005-0000-0000-0000D8350000}"/>
    <cellStyle name="40% - Accent1 4 4 3 4" xfId="13878" xr:uid="{00000000-0005-0000-0000-0000D9350000}"/>
    <cellStyle name="40% - Accent1 4 4 3 5" xfId="13879" xr:uid="{00000000-0005-0000-0000-0000DA350000}"/>
    <cellStyle name="40% - Accent1 4 4 3 6" xfId="13880" xr:uid="{00000000-0005-0000-0000-0000DB350000}"/>
    <cellStyle name="40% - Accent1 4 4 4" xfId="13881" xr:uid="{00000000-0005-0000-0000-0000DC350000}"/>
    <cellStyle name="40% - Accent1 4 4 4 2" xfId="13882" xr:uid="{00000000-0005-0000-0000-0000DD350000}"/>
    <cellStyle name="40% - Accent1 4 4 4 2 2" xfId="13883" xr:uid="{00000000-0005-0000-0000-0000DE350000}"/>
    <cellStyle name="40% - Accent1 4 4 4 2 3" xfId="13884" xr:uid="{00000000-0005-0000-0000-0000DF350000}"/>
    <cellStyle name="40% - Accent1 4 4 4 3" xfId="13885" xr:uid="{00000000-0005-0000-0000-0000E0350000}"/>
    <cellStyle name="40% - Accent1 4 4 4 4" xfId="13886" xr:uid="{00000000-0005-0000-0000-0000E1350000}"/>
    <cellStyle name="40% - Accent1 4 4 5" xfId="13887" xr:uid="{00000000-0005-0000-0000-0000E2350000}"/>
    <cellStyle name="40% - Accent1 4 4 5 2" xfId="13888" xr:uid="{00000000-0005-0000-0000-0000E3350000}"/>
    <cellStyle name="40% - Accent1 4 4 5 3" xfId="13889" xr:uid="{00000000-0005-0000-0000-0000E4350000}"/>
    <cellStyle name="40% - Accent1 4 4 6" xfId="13890" xr:uid="{00000000-0005-0000-0000-0000E5350000}"/>
    <cellStyle name="40% - Accent1 4 4 7" xfId="13891" xr:uid="{00000000-0005-0000-0000-0000E6350000}"/>
    <cellStyle name="40% - Accent1 4 4 8" xfId="13892" xr:uid="{00000000-0005-0000-0000-0000E7350000}"/>
    <cellStyle name="40% - Accent1 4 5" xfId="13893" xr:uid="{00000000-0005-0000-0000-0000E8350000}"/>
    <cellStyle name="40% - Accent1 4 5 2" xfId="13894" xr:uid="{00000000-0005-0000-0000-0000E9350000}"/>
    <cellStyle name="40% - Accent1 4 5 2 2" xfId="13895" xr:uid="{00000000-0005-0000-0000-0000EA350000}"/>
    <cellStyle name="40% - Accent1 4 5 2 2 2" xfId="13896" xr:uid="{00000000-0005-0000-0000-0000EB350000}"/>
    <cellStyle name="40% - Accent1 4 5 2 2 2 2" xfId="13897" xr:uid="{00000000-0005-0000-0000-0000EC350000}"/>
    <cellStyle name="40% - Accent1 4 5 2 2 2 3" xfId="13898" xr:uid="{00000000-0005-0000-0000-0000ED350000}"/>
    <cellStyle name="40% - Accent1 4 5 2 2 3" xfId="13899" xr:uid="{00000000-0005-0000-0000-0000EE350000}"/>
    <cellStyle name="40% - Accent1 4 5 2 2 4" xfId="13900" xr:uid="{00000000-0005-0000-0000-0000EF350000}"/>
    <cellStyle name="40% - Accent1 4 5 2 3" xfId="13901" xr:uid="{00000000-0005-0000-0000-0000F0350000}"/>
    <cellStyle name="40% - Accent1 4 5 2 3 2" xfId="13902" xr:uid="{00000000-0005-0000-0000-0000F1350000}"/>
    <cellStyle name="40% - Accent1 4 5 2 3 3" xfId="13903" xr:uid="{00000000-0005-0000-0000-0000F2350000}"/>
    <cellStyle name="40% - Accent1 4 5 2 4" xfId="13904" xr:uid="{00000000-0005-0000-0000-0000F3350000}"/>
    <cellStyle name="40% - Accent1 4 5 2 5" xfId="13905" xr:uid="{00000000-0005-0000-0000-0000F4350000}"/>
    <cellStyle name="40% - Accent1 4 5 2 6" xfId="13906" xr:uid="{00000000-0005-0000-0000-0000F5350000}"/>
    <cellStyle name="40% - Accent1 4 5 3" xfId="13907" xr:uid="{00000000-0005-0000-0000-0000F6350000}"/>
    <cellStyle name="40% - Accent1 4 5 3 2" xfId="13908" xr:uid="{00000000-0005-0000-0000-0000F7350000}"/>
    <cellStyle name="40% - Accent1 4 5 3 2 2" xfId="13909" xr:uid="{00000000-0005-0000-0000-0000F8350000}"/>
    <cellStyle name="40% - Accent1 4 5 3 2 3" xfId="13910" xr:uid="{00000000-0005-0000-0000-0000F9350000}"/>
    <cellStyle name="40% - Accent1 4 5 3 3" xfId="13911" xr:uid="{00000000-0005-0000-0000-0000FA350000}"/>
    <cellStyle name="40% - Accent1 4 5 3 4" xfId="13912" xr:uid="{00000000-0005-0000-0000-0000FB350000}"/>
    <cellStyle name="40% - Accent1 4 5 4" xfId="13913" xr:uid="{00000000-0005-0000-0000-0000FC350000}"/>
    <cellStyle name="40% - Accent1 4 5 4 2" xfId="13914" xr:uid="{00000000-0005-0000-0000-0000FD350000}"/>
    <cellStyle name="40% - Accent1 4 5 4 3" xfId="13915" xr:uid="{00000000-0005-0000-0000-0000FE350000}"/>
    <cellStyle name="40% - Accent1 4 5 5" xfId="13916" xr:uid="{00000000-0005-0000-0000-0000FF350000}"/>
    <cellStyle name="40% - Accent1 4 5 6" xfId="13917" xr:uid="{00000000-0005-0000-0000-000000360000}"/>
    <cellStyle name="40% - Accent1 4 5 7" xfId="13918" xr:uid="{00000000-0005-0000-0000-000001360000}"/>
    <cellStyle name="40% - Accent1 4 6" xfId="13919" xr:uid="{00000000-0005-0000-0000-000002360000}"/>
    <cellStyle name="40% - Accent1 4 6 2" xfId="13920" xr:uid="{00000000-0005-0000-0000-000003360000}"/>
    <cellStyle name="40% - Accent1 4 6 2 2" xfId="13921" xr:uid="{00000000-0005-0000-0000-000004360000}"/>
    <cellStyle name="40% - Accent1 4 6 2 2 2" xfId="13922" xr:uid="{00000000-0005-0000-0000-000005360000}"/>
    <cellStyle name="40% - Accent1 4 6 2 2 3" xfId="13923" xr:uid="{00000000-0005-0000-0000-000006360000}"/>
    <cellStyle name="40% - Accent1 4 6 2 3" xfId="13924" xr:uid="{00000000-0005-0000-0000-000007360000}"/>
    <cellStyle name="40% - Accent1 4 6 2 4" xfId="13925" xr:uid="{00000000-0005-0000-0000-000008360000}"/>
    <cellStyle name="40% - Accent1 4 6 3" xfId="13926" xr:uid="{00000000-0005-0000-0000-000009360000}"/>
    <cellStyle name="40% - Accent1 4 6 3 2" xfId="13927" xr:uid="{00000000-0005-0000-0000-00000A360000}"/>
    <cellStyle name="40% - Accent1 4 6 3 3" xfId="13928" xr:uid="{00000000-0005-0000-0000-00000B360000}"/>
    <cellStyle name="40% - Accent1 4 6 4" xfId="13929" xr:uid="{00000000-0005-0000-0000-00000C360000}"/>
    <cellStyle name="40% - Accent1 4 6 5" xfId="13930" xr:uid="{00000000-0005-0000-0000-00000D360000}"/>
    <cellStyle name="40% - Accent1 4 6 6" xfId="13931" xr:uid="{00000000-0005-0000-0000-00000E360000}"/>
    <cellStyle name="40% - Accent1 4 7" xfId="13932" xr:uid="{00000000-0005-0000-0000-00000F360000}"/>
    <cellStyle name="40% - Accent1 4 7 2" xfId="13933" xr:uid="{00000000-0005-0000-0000-000010360000}"/>
    <cellStyle name="40% - Accent1 4 7 2 2" xfId="13934" xr:uid="{00000000-0005-0000-0000-000011360000}"/>
    <cellStyle name="40% - Accent1 4 7 2 3" xfId="13935" xr:uid="{00000000-0005-0000-0000-000012360000}"/>
    <cellStyle name="40% - Accent1 4 7 3" xfId="13936" xr:uid="{00000000-0005-0000-0000-000013360000}"/>
    <cellStyle name="40% - Accent1 4 7 4" xfId="13937" xr:uid="{00000000-0005-0000-0000-000014360000}"/>
    <cellStyle name="40% - Accent1 4 8" xfId="13938" xr:uid="{00000000-0005-0000-0000-000015360000}"/>
    <cellStyle name="40% - Accent1 4 8 2" xfId="13939" xr:uid="{00000000-0005-0000-0000-000016360000}"/>
    <cellStyle name="40% - Accent1 4 8 3" xfId="13940" xr:uid="{00000000-0005-0000-0000-000017360000}"/>
    <cellStyle name="40% - Accent1 4 9" xfId="13941" xr:uid="{00000000-0005-0000-0000-000018360000}"/>
    <cellStyle name="40% - Accent1 5" xfId="13942" xr:uid="{00000000-0005-0000-0000-000019360000}"/>
    <cellStyle name="40% - Accent1 5 10" xfId="13943" xr:uid="{00000000-0005-0000-0000-00001A360000}"/>
    <cellStyle name="40% - Accent1 5 2" xfId="13944" xr:uid="{00000000-0005-0000-0000-00001B360000}"/>
    <cellStyle name="40% - Accent1 5 2 2" xfId="13945" xr:uid="{00000000-0005-0000-0000-00001C360000}"/>
    <cellStyle name="40% - Accent1 5 2 2 2" xfId="13946" xr:uid="{00000000-0005-0000-0000-00001D360000}"/>
    <cellStyle name="40% - Accent1 5 2 2 2 2" xfId="13947" xr:uid="{00000000-0005-0000-0000-00001E360000}"/>
    <cellStyle name="40% - Accent1 5 2 2 2 2 2" xfId="13948" xr:uid="{00000000-0005-0000-0000-00001F360000}"/>
    <cellStyle name="40% - Accent1 5 2 2 2 2 2 2" xfId="13949" xr:uid="{00000000-0005-0000-0000-000020360000}"/>
    <cellStyle name="40% - Accent1 5 2 2 2 2 2 2 2" xfId="13950" xr:uid="{00000000-0005-0000-0000-000021360000}"/>
    <cellStyle name="40% - Accent1 5 2 2 2 2 2 2 3" xfId="13951" xr:uid="{00000000-0005-0000-0000-000022360000}"/>
    <cellStyle name="40% - Accent1 5 2 2 2 2 2 3" xfId="13952" xr:uid="{00000000-0005-0000-0000-000023360000}"/>
    <cellStyle name="40% - Accent1 5 2 2 2 2 2 4" xfId="13953" xr:uid="{00000000-0005-0000-0000-000024360000}"/>
    <cellStyle name="40% - Accent1 5 2 2 2 2 3" xfId="13954" xr:uid="{00000000-0005-0000-0000-000025360000}"/>
    <cellStyle name="40% - Accent1 5 2 2 2 2 3 2" xfId="13955" xr:uid="{00000000-0005-0000-0000-000026360000}"/>
    <cellStyle name="40% - Accent1 5 2 2 2 2 3 3" xfId="13956" xr:uid="{00000000-0005-0000-0000-000027360000}"/>
    <cellStyle name="40% - Accent1 5 2 2 2 2 4" xfId="13957" xr:uid="{00000000-0005-0000-0000-000028360000}"/>
    <cellStyle name="40% - Accent1 5 2 2 2 2 5" xfId="13958" xr:uid="{00000000-0005-0000-0000-000029360000}"/>
    <cellStyle name="40% - Accent1 5 2 2 2 2 6" xfId="13959" xr:uid="{00000000-0005-0000-0000-00002A360000}"/>
    <cellStyle name="40% - Accent1 5 2 2 2 3" xfId="13960" xr:uid="{00000000-0005-0000-0000-00002B360000}"/>
    <cellStyle name="40% - Accent1 5 2 2 2 3 2" xfId="13961" xr:uid="{00000000-0005-0000-0000-00002C360000}"/>
    <cellStyle name="40% - Accent1 5 2 2 2 3 2 2" xfId="13962" xr:uid="{00000000-0005-0000-0000-00002D360000}"/>
    <cellStyle name="40% - Accent1 5 2 2 2 3 2 3" xfId="13963" xr:uid="{00000000-0005-0000-0000-00002E360000}"/>
    <cellStyle name="40% - Accent1 5 2 2 2 3 3" xfId="13964" xr:uid="{00000000-0005-0000-0000-00002F360000}"/>
    <cellStyle name="40% - Accent1 5 2 2 2 3 4" xfId="13965" xr:uid="{00000000-0005-0000-0000-000030360000}"/>
    <cellStyle name="40% - Accent1 5 2 2 2 4" xfId="13966" xr:uid="{00000000-0005-0000-0000-000031360000}"/>
    <cellStyle name="40% - Accent1 5 2 2 2 4 2" xfId="13967" xr:uid="{00000000-0005-0000-0000-000032360000}"/>
    <cellStyle name="40% - Accent1 5 2 2 2 4 3" xfId="13968" xr:uid="{00000000-0005-0000-0000-000033360000}"/>
    <cellStyle name="40% - Accent1 5 2 2 2 5" xfId="13969" xr:uid="{00000000-0005-0000-0000-000034360000}"/>
    <cellStyle name="40% - Accent1 5 2 2 2 6" xfId="13970" xr:uid="{00000000-0005-0000-0000-000035360000}"/>
    <cellStyle name="40% - Accent1 5 2 2 2 7" xfId="13971" xr:uid="{00000000-0005-0000-0000-000036360000}"/>
    <cellStyle name="40% - Accent1 5 2 2 3" xfId="13972" xr:uid="{00000000-0005-0000-0000-000037360000}"/>
    <cellStyle name="40% - Accent1 5 2 2 3 2" xfId="13973" xr:uid="{00000000-0005-0000-0000-000038360000}"/>
    <cellStyle name="40% - Accent1 5 2 2 3 2 2" xfId="13974" xr:uid="{00000000-0005-0000-0000-000039360000}"/>
    <cellStyle name="40% - Accent1 5 2 2 3 2 2 2" xfId="13975" xr:uid="{00000000-0005-0000-0000-00003A360000}"/>
    <cellStyle name="40% - Accent1 5 2 2 3 2 2 3" xfId="13976" xr:uid="{00000000-0005-0000-0000-00003B360000}"/>
    <cellStyle name="40% - Accent1 5 2 2 3 2 3" xfId="13977" xr:uid="{00000000-0005-0000-0000-00003C360000}"/>
    <cellStyle name="40% - Accent1 5 2 2 3 2 4" xfId="13978" xr:uid="{00000000-0005-0000-0000-00003D360000}"/>
    <cellStyle name="40% - Accent1 5 2 2 3 3" xfId="13979" xr:uid="{00000000-0005-0000-0000-00003E360000}"/>
    <cellStyle name="40% - Accent1 5 2 2 3 3 2" xfId="13980" xr:uid="{00000000-0005-0000-0000-00003F360000}"/>
    <cellStyle name="40% - Accent1 5 2 2 3 3 3" xfId="13981" xr:uid="{00000000-0005-0000-0000-000040360000}"/>
    <cellStyle name="40% - Accent1 5 2 2 3 4" xfId="13982" xr:uid="{00000000-0005-0000-0000-000041360000}"/>
    <cellStyle name="40% - Accent1 5 2 2 3 5" xfId="13983" xr:uid="{00000000-0005-0000-0000-000042360000}"/>
    <cellStyle name="40% - Accent1 5 2 2 3 6" xfId="13984" xr:uid="{00000000-0005-0000-0000-000043360000}"/>
    <cellStyle name="40% - Accent1 5 2 2 4" xfId="13985" xr:uid="{00000000-0005-0000-0000-000044360000}"/>
    <cellStyle name="40% - Accent1 5 2 2 4 2" xfId="13986" xr:uid="{00000000-0005-0000-0000-000045360000}"/>
    <cellStyle name="40% - Accent1 5 2 2 4 2 2" xfId="13987" xr:uid="{00000000-0005-0000-0000-000046360000}"/>
    <cellStyle name="40% - Accent1 5 2 2 4 2 3" xfId="13988" xr:uid="{00000000-0005-0000-0000-000047360000}"/>
    <cellStyle name="40% - Accent1 5 2 2 4 3" xfId="13989" xr:uid="{00000000-0005-0000-0000-000048360000}"/>
    <cellStyle name="40% - Accent1 5 2 2 4 4" xfId="13990" xr:uid="{00000000-0005-0000-0000-000049360000}"/>
    <cellStyle name="40% - Accent1 5 2 2 5" xfId="13991" xr:uid="{00000000-0005-0000-0000-00004A360000}"/>
    <cellStyle name="40% - Accent1 5 2 2 5 2" xfId="13992" xr:uid="{00000000-0005-0000-0000-00004B360000}"/>
    <cellStyle name="40% - Accent1 5 2 2 5 3" xfId="13993" xr:uid="{00000000-0005-0000-0000-00004C360000}"/>
    <cellStyle name="40% - Accent1 5 2 2 6" xfId="13994" xr:uid="{00000000-0005-0000-0000-00004D360000}"/>
    <cellStyle name="40% - Accent1 5 2 2 7" xfId="13995" xr:uid="{00000000-0005-0000-0000-00004E360000}"/>
    <cellStyle name="40% - Accent1 5 2 2 8" xfId="13996" xr:uid="{00000000-0005-0000-0000-00004F360000}"/>
    <cellStyle name="40% - Accent1 5 2 3" xfId="13997" xr:uid="{00000000-0005-0000-0000-000050360000}"/>
    <cellStyle name="40% - Accent1 5 2 3 2" xfId="13998" xr:uid="{00000000-0005-0000-0000-000051360000}"/>
    <cellStyle name="40% - Accent1 5 2 3 2 2" xfId="13999" xr:uid="{00000000-0005-0000-0000-000052360000}"/>
    <cellStyle name="40% - Accent1 5 2 3 2 2 2" xfId="14000" xr:uid="{00000000-0005-0000-0000-000053360000}"/>
    <cellStyle name="40% - Accent1 5 2 3 2 2 2 2" xfId="14001" xr:uid="{00000000-0005-0000-0000-000054360000}"/>
    <cellStyle name="40% - Accent1 5 2 3 2 2 2 3" xfId="14002" xr:uid="{00000000-0005-0000-0000-000055360000}"/>
    <cellStyle name="40% - Accent1 5 2 3 2 2 3" xfId="14003" xr:uid="{00000000-0005-0000-0000-000056360000}"/>
    <cellStyle name="40% - Accent1 5 2 3 2 2 4" xfId="14004" xr:uid="{00000000-0005-0000-0000-000057360000}"/>
    <cellStyle name="40% - Accent1 5 2 3 2 3" xfId="14005" xr:uid="{00000000-0005-0000-0000-000058360000}"/>
    <cellStyle name="40% - Accent1 5 2 3 2 3 2" xfId="14006" xr:uid="{00000000-0005-0000-0000-000059360000}"/>
    <cellStyle name="40% - Accent1 5 2 3 2 3 3" xfId="14007" xr:uid="{00000000-0005-0000-0000-00005A360000}"/>
    <cellStyle name="40% - Accent1 5 2 3 2 4" xfId="14008" xr:uid="{00000000-0005-0000-0000-00005B360000}"/>
    <cellStyle name="40% - Accent1 5 2 3 2 5" xfId="14009" xr:uid="{00000000-0005-0000-0000-00005C360000}"/>
    <cellStyle name="40% - Accent1 5 2 3 2 6" xfId="14010" xr:uid="{00000000-0005-0000-0000-00005D360000}"/>
    <cellStyle name="40% - Accent1 5 2 3 3" xfId="14011" xr:uid="{00000000-0005-0000-0000-00005E360000}"/>
    <cellStyle name="40% - Accent1 5 2 3 3 2" xfId="14012" xr:uid="{00000000-0005-0000-0000-00005F360000}"/>
    <cellStyle name="40% - Accent1 5 2 3 3 2 2" xfId="14013" xr:uid="{00000000-0005-0000-0000-000060360000}"/>
    <cellStyle name="40% - Accent1 5 2 3 3 2 3" xfId="14014" xr:uid="{00000000-0005-0000-0000-000061360000}"/>
    <cellStyle name="40% - Accent1 5 2 3 3 3" xfId="14015" xr:uid="{00000000-0005-0000-0000-000062360000}"/>
    <cellStyle name="40% - Accent1 5 2 3 3 4" xfId="14016" xr:uid="{00000000-0005-0000-0000-000063360000}"/>
    <cellStyle name="40% - Accent1 5 2 3 4" xfId="14017" xr:uid="{00000000-0005-0000-0000-000064360000}"/>
    <cellStyle name="40% - Accent1 5 2 3 4 2" xfId="14018" xr:uid="{00000000-0005-0000-0000-000065360000}"/>
    <cellStyle name="40% - Accent1 5 2 3 4 3" xfId="14019" xr:uid="{00000000-0005-0000-0000-000066360000}"/>
    <cellStyle name="40% - Accent1 5 2 3 5" xfId="14020" xr:uid="{00000000-0005-0000-0000-000067360000}"/>
    <cellStyle name="40% - Accent1 5 2 3 6" xfId="14021" xr:uid="{00000000-0005-0000-0000-000068360000}"/>
    <cellStyle name="40% - Accent1 5 2 3 7" xfId="14022" xr:uid="{00000000-0005-0000-0000-000069360000}"/>
    <cellStyle name="40% - Accent1 5 2 4" xfId="14023" xr:uid="{00000000-0005-0000-0000-00006A360000}"/>
    <cellStyle name="40% - Accent1 5 2 4 2" xfId="14024" xr:uid="{00000000-0005-0000-0000-00006B360000}"/>
    <cellStyle name="40% - Accent1 5 2 4 2 2" xfId="14025" xr:uid="{00000000-0005-0000-0000-00006C360000}"/>
    <cellStyle name="40% - Accent1 5 2 4 2 2 2" xfId="14026" xr:uid="{00000000-0005-0000-0000-00006D360000}"/>
    <cellStyle name="40% - Accent1 5 2 4 2 2 3" xfId="14027" xr:uid="{00000000-0005-0000-0000-00006E360000}"/>
    <cellStyle name="40% - Accent1 5 2 4 2 3" xfId="14028" xr:uid="{00000000-0005-0000-0000-00006F360000}"/>
    <cellStyle name="40% - Accent1 5 2 4 2 4" xfId="14029" xr:uid="{00000000-0005-0000-0000-000070360000}"/>
    <cellStyle name="40% - Accent1 5 2 4 3" xfId="14030" xr:uid="{00000000-0005-0000-0000-000071360000}"/>
    <cellStyle name="40% - Accent1 5 2 4 3 2" xfId="14031" xr:uid="{00000000-0005-0000-0000-000072360000}"/>
    <cellStyle name="40% - Accent1 5 2 4 3 3" xfId="14032" xr:uid="{00000000-0005-0000-0000-000073360000}"/>
    <cellStyle name="40% - Accent1 5 2 4 4" xfId="14033" xr:uid="{00000000-0005-0000-0000-000074360000}"/>
    <cellStyle name="40% - Accent1 5 2 4 5" xfId="14034" xr:uid="{00000000-0005-0000-0000-000075360000}"/>
    <cellStyle name="40% - Accent1 5 2 4 6" xfId="14035" xr:uid="{00000000-0005-0000-0000-000076360000}"/>
    <cellStyle name="40% - Accent1 5 2 5" xfId="14036" xr:uid="{00000000-0005-0000-0000-000077360000}"/>
    <cellStyle name="40% - Accent1 5 2 5 2" xfId="14037" xr:uid="{00000000-0005-0000-0000-000078360000}"/>
    <cellStyle name="40% - Accent1 5 2 5 2 2" xfId="14038" xr:uid="{00000000-0005-0000-0000-000079360000}"/>
    <cellStyle name="40% - Accent1 5 2 5 2 3" xfId="14039" xr:uid="{00000000-0005-0000-0000-00007A360000}"/>
    <cellStyle name="40% - Accent1 5 2 5 3" xfId="14040" xr:uid="{00000000-0005-0000-0000-00007B360000}"/>
    <cellStyle name="40% - Accent1 5 2 5 4" xfId="14041" xr:uid="{00000000-0005-0000-0000-00007C360000}"/>
    <cellStyle name="40% - Accent1 5 2 6" xfId="14042" xr:uid="{00000000-0005-0000-0000-00007D360000}"/>
    <cellStyle name="40% - Accent1 5 2 6 2" xfId="14043" xr:uid="{00000000-0005-0000-0000-00007E360000}"/>
    <cellStyle name="40% - Accent1 5 2 6 3" xfId="14044" xr:uid="{00000000-0005-0000-0000-00007F360000}"/>
    <cellStyle name="40% - Accent1 5 2 7" xfId="14045" xr:uid="{00000000-0005-0000-0000-000080360000}"/>
    <cellStyle name="40% - Accent1 5 2 8" xfId="14046" xr:uid="{00000000-0005-0000-0000-000081360000}"/>
    <cellStyle name="40% - Accent1 5 2 9" xfId="14047" xr:uid="{00000000-0005-0000-0000-000082360000}"/>
    <cellStyle name="40% - Accent1 5 3" xfId="14048" xr:uid="{00000000-0005-0000-0000-000083360000}"/>
    <cellStyle name="40% - Accent1 5 3 2" xfId="14049" xr:uid="{00000000-0005-0000-0000-000084360000}"/>
    <cellStyle name="40% - Accent1 5 3 2 2" xfId="14050" xr:uid="{00000000-0005-0000-0000-000085360000}"/>
    <cellStyle name="40% - Accent1 5 3 2 2 2" xfId="14051" xr:uid="{00000000-0005-0000-0000-000086360000}"/>
    <cellStyle name="40% - Accent1 5 3 2 2 2 2" xfId="14052" xr:uid="{00000000-0005-0000-0000-000087360000}"/>
    <cellStyle name="40% - Accent1 5 3 2 2 2 2 2" xfId="14053" xr:uid="{00000000-0005-0000-0000-000088360000}"/>
    <cellStyle name="40% - Accent1 5 3 2 2 2 2 3" xfId="14054" xr:uid="{00000000-0005-0000-0000-000089360000}"/>
    <cellStyle name="40% - Accent1 5 3 2 2 2 3" xfId="14055" xr:uid="{00000000-0005-0000-0000-00008A360000}"/>
    <cellStyle name="40% - Accent1 5 3 2 2 2 4" xfId="14056" xr:uid="{00000000-0005-0000-0000-00008B360000}"/>
    <cellStyle name="40% - Accent1 5 3 2 2 3" xfId="14057" xr:uid="{00000000-0005-0000-0000-00008C360000}"/>
    <cellStyle name="40% - Accent1 5 3 2 2 3 2" xfId="14058" xr:uid="{00000000-0005-0000-0000-00008D360000}"/>
    <cellStyle name="40% - Accent1 5 3 2 2 3 3" xfId="14059" xr:uid="{00000000-0005-0000-0000-00008E360000}"/>
    <cellStyle name="40% - Accent1 5 3 2 2 4" xfId="14060" xr:uid="{00000000-0005-0000-0000-00008F360000}"/>
    <cellStyle name="40% - Accent1 5 3 2 2 5" xfId="14061" xr:uid="{00000000-0005-0000-0000-000090360000}"/>
    <cellStyle name="40% - Accent1 5 3 2 2 6" xfId="14062" xr:uid="{00000000-0005-0000-0000-000091360000}"/>
    <cellStyle name="40% - Accent1 5 3 2 3" xfId="14063" xr:uid="{00000000-0005-0000-0000-000092360000}"/>
    <cellStyle name="40% - Accent1 5 3 2 3 2" xfId="14064" xr:uid="{00000000-0005-0000-0000-000093360000}"/>
    <cellStyle name="40% - Accent1 5 3 2 3 2 2" xfId="14065" xr:uid="{00000000-0005-0000-0000-000094360000}"/>
    <cellStyle name="40% - Accent1 5 3 2 3 2 3" xfId="14066" xr:uid="{00000000-0005-0000-0000-000095360000}"/>
    <cellStyle name="40% - Accent1 5 3 2 3 3" xfId="14067" xr:uid="{00000000-0005-0000-0000-000096360000}"/>
    <cellStyle name="40% - Accent1 5 3 2 3 4" xfId="14068" xr:uid="{00000000-0005-0000-0000-000097360000}"/>
    <cellStyle name="40% - Accent1 5 3 2 4" xfId="14069" xr:uid="{00000000-0005-0000-0000-000098360000}"/>
    <cellStyle name="40% - Accent1 5 3 2 4 2" xfId="14070" xr:uid="{00000000-0005-0000-0000-000099360000}"/>
    <cellStyle name="40% - Accent1 5 3 2 4 3" xfId="14071" xr:uid="{00000000-0005-0000-0000-00009A360000}"/>
    <cellStyle name="40% - Accent1 5 3 2 5" xfId="14072" xr:uid="{00000000-0005-0000-0000-00009B360000}"/>
    <cellStyle name="40% - Accent1 5 3 2 6" xfId="14073" xr:uid="{00000000-0005-0000-0000-00009C360000}"/>
    <cellStyle name="40% - Accent1 5 3 2 7" xfId="14074" xr:uid="{00000000-0005-0000-0000-00009D360000}"/>
    <cellStyle name="40% - Accent1 5 3 3" xfId="14075" xr:uid="{00000000-0005-0000-0000-00009E360000}"/>
    <cellStyle name="40% - Accent1 5 3 3 2" xfId="14076" xr:uid="{00000000-0005-0000-0000-00009F360000}"/>
    <cellStyle name="40% - Accent1 5 3 3 2 2" xfId="14077" xr:uid="{00000000-0005-0000-0000-0000A0360000}"/>
    <cellStyle name="40% - Accent1 5 3 3 2 2 2" xfId="14078" xr:uid="{00000000-0005-0000-0000-0000A1360000}"/>
    <cellStyle name="40% - Accent1 5 3 3 2 2 3" xfId="14079" xr:uid="{00000000-0005-0000-0000-0000A2360000}"/>
    <cellStyle name="40% - Accent1 5 3 3 2 3" xfId="14080" xr:uid="{00000000-0005-0000-0000-0000A3360000}"/>
    <cellStyle name="40% - Accent1 5 3 3 2 4" xfId="14081" xr:uid="{00000000-0005-0000-0000-0000A4360000}"/>
    <cellStyle name="40% - Accent1 5 3 3 3" xfId="14082" xr:uid="{00000000-0005-0000-0000-0000A5360000}"/>
    <cellStyle name="40% - Accent1 5 3 3 3 2" xfId="14083" xr:uid="{00000000-0005-0000-0000-0000A6360000}"/>
    <cellStyle name="40% - Accent1 5 3 3 3 3" xfId="14084" xr:uid="{00000000-0005-0000-0000-0000A7360000}"/>
    <cellStyle name="40% - Accent1 5 3 3 4" xfId="14085" xr:uid="{00000000-0005-0000-0000-0000A8360000}"/>
    <cellStyle name="40% - Accent1 5 3 3 5" xfId="14086" xr:uid="{00000000-0005-0000-0000-0000A9360000}"/>
    <cellStyle name="40% - Accent1 5 3 3 6" xfId="14087" xr:uid="{00000000-0005-0000-0000-0000AA360000}"/>
    <cellStyle name="40% - Accent1 5 3 4" xfId="14088" xr:uid="{00000000-0005-0000-0000-0000AB360000}"/>
    <cellStyle name="40% - Accent1 5 3 4 2" xfId="14089" xr:uid="{00000000-0005-0000-0000-0000AC360000}"/>
    <cellStyle name="40% - Accent1 5 3 4 2 2" xfId="14090" xr:uid="{00000000-0005-0000-0000-0000AD360000}"/>
    <cellStyle name="40% - Accent1 5 3 4 2 3" xfId="14091" xr:uid="{00000000-0005-0000-0000-0000AE360000}"/>
    <cellStyle name="40% - Accent1 5 3 4 3" xfId="14092" xr:uid="{00000000-0005-0000-0000-0000AF360000}"/>
    <cellStyle name="40% - Accent1 5 3 4 4" xfId="14093" xr:uid="{00000000-0005-0000-0000-0000B0360000}"/>
    <cellStyle name="40% - Accent1 5 3 5" xfId="14094" xr:uid="{00000000-0005-0000-0000-0000B1360000}"/>
    <cellStyle name="40% - Accent1 5 3 5 2" xfId="14095" xr:uid="{00000000-0005-0000-0000-0000B2360000}"/>
    <cellStyle name="40% - Accent1 5 3 5 3" xfId="14096" xr:uid="{00000000-0005-0000-0000-0000B3360000}"/>
    <cellStyle name="40% - Accent1 5 3 6" xfId="14097" xr:uid="{00000000-0005-0000-0000-0000B4360000}"/>
    <cellStyle name="40% - Accent1 5 3 7" xfId="14098" xr:uid="{00000000-0005-0000-0000-0000B5360000}"/>
    <cellStyle name="40% - Accent1 5 3 8" xfId="14099" xr:uid="{00000000-0005-0000-0000-0000B6360000}"/>
    <cellStyle name="40% - Accent1 5 4" xfId="14100" xr:uid="{00000000-0005-0000-0000-0000B7360000}"/>
    <cellStyle name="40% - Accent1 5 4 2" xfId="14101" xr:uid="{00000000-0005-0000-0000-0000B8360000}"/>
    <cellStyle name="40% - Accent1 5 4 2 2" xfId="14102" xr:uid="{00000000-0005-0000-0000-0000B9360000}"/>
    <cellStyle name="40% - Accent1 5 4 2 2 2" xfId="14103" xr:uid="{00000000-0005-0000-0000-0000BA360000}"/>
    <cellStyle name="40% - Accent1 5 4 2 2 2 2" xfId="14104" xr:uid="{00000000-0005-0000-0000-0000BB360000}"/>
    <cellStyle name="40% - Accent1 5 4 2 2 2 3" xfId="14105" xr:uid="{00000000-0005-0000-0000-0000BC360000}"/>
    <cellStyle name="40% - Accent1 5 4 2 2 3" xfId="14106" xr:uid="{00000000-0005-0000-0000-0000BD360000}"/>
    <cellStyle name="40% - Accent1 5 4 2 2 4" xfId="14107" xr:uid="{00000000-0005-0000-0000-0000BE360000}"/>
    <cellStyle name="40% - Accent1 5 4 2 3" xfId="14108" xr:uid="{00000000-0005-0000-0000-0000BF360000}"/>
    <cellStyle name="40% - Accent1 5 4 2 3 2" xfId="14109" xr:uid="{00000000-0005-0000-0000-0000C0360000}"/>
    <cellStyle name="40% - Accent1 5 4 2 3 3" xfId="14110" xr:uid="{00000000-0005-0000-0000-0000C1360000}"/>
    <cellStyle name="40% - Accent1 5 4 2 4" xfId="14111" xr:uid="{00000000-0005-0000-0000-0000C2360000}"/>
    <cellStyle name="40% - Accent1 5 4 2 5" xfId="14112" xr:uid="{00000000-0005-0000-0000-0000C3360000}"/>
    <cellStyle name="40% - Accent1 5 4 2 6" xfId="14113" xr:uid="{00000000-0005-0000-0000-0000C4360000}"/>
    <cellStyle name="40% - Accent1 5 4 3" xfId="14114" xr:uid="{00000000-0005-0000-0000-0000C5360000}"/>
    <cellStyle name="40% - Accent1 5 4 3 2" xfId="14115" xr:uid="{00000000-0005-0000-0000-0000C6360000}"/>
    <cellStyle name="40% - Accent1 5 4 3 2 2" xfId="14116" xr:uid="{00000000-0005-0000-0000-0000C7360000}"/>
    <cellStyle name="40% - Accent1 5 4 3 2 3" xfId="14117" xr:uid="{00000000-0005-0000-0000-0000C8360000}"/>
    <cellStyle name="40% - Accent1 5 4 3 3" xfId="14118" xr:uid="{00000000-0005-0000-0000-0000C9360000}"/>
    <cellStyle name="40% - Accent1 5 4 3 4" xfId="14119" xr:uid="{00000000-0005-0000-0000-0000CA360000}"/>
    <cellStyle name="40% - Accent1 5 4 4" xfId="14120" xr:uid="{00000000-0005-0000-0000-0000CB360000}"/>
    <cellStyle name="40% - Accent1 5 4 4 2" xfId="14121" xr:uid="{00000000-0005-0000-0000-0000CC360000}"/>
    <cellStyle name="40% - Accent1 5 4 4 3" xfId="14122" xr:uid="{00000000-0005-0000-0000-0000CD360000}"/>
    <cellStyle name="40% - Accent1 5 4 5" xfId="14123" xr:uid="{00000000-0005-0000-0000-0000CE360000}"/>
    <cellStyle name="40% - Accent1 5 4 6" xfId="14124" xr:uid="{00000000-0005-0000-0000-0000CF360000}"/>
    <cellStyle name="40% - Accent1 5 4 7" xfId="14125" xr:uid="{00000000-0005-0000-0000-0000D0360000}"/>
    <cellStyle name="40% - Accent1 5 5" xfId="14126" xr:uid="{00000000-0005-0000-0000-0000D1360000}"/>
    <cellStyle name="40% - Accent1 5 5 2" xfId="14127" xr:uid="{00000000-0005-0000-0000-0000D2360000}"/>
    <cellStyle name="40% - Accent1 5 5 2 2" xfId="14128" xr:uid="{00000000-0005-0000-0000-0000D3360000}"/>
    <cellStyle name="40% - Accent1 5 5 2 2 2" xfId="14129" xr:uid="{00000000-0005-0000-0000-0000D4360000}"/>
    <cellStyle name="40% - Accent1 5 5 2 2 3" xfId="14130" xr:uid="{00000000-0005-0000-0000-0000D5360000}"/>
    <cellStyle name="40% - Accent1 5 5 2 3" xfId="14131" xr:uid="{00000000-0005-0000-0000-0000D6360000}"/>
    <cellStyle name="40% - Accent1 5 5 2 4" xfId="14132" xr:uid="{00000000-0005-0000-0000-0000D7360000}"/>
    <cellStyle name="40% - Accent1 5 5 3" xfId="14133" xr:uid="{00000000-0005-0000-0000-0000D8360000}"/>
    <cellStyle name="40% - Accent1 5 5 3 2" xfId="14134" xr:uid="{00000000-0005-0000-0000-0000D9360000}"/>
    <cellStyle name="40% - Accent1 5 5 3 3" xfId="14135" xr:uid="{00000000-0005-0000-0000-0000DA360000}"/>
    <cellStyle name="40% - Accent1 5 5 4" xfId="14136" xr:uid="{00000000-0005-0000-0000-0000DB360000}"/>
    <cellStyle name="40% - Accent1 5 5 5" xfId="14137" xr:uid="{00000000-0005-0000-0000-0000DC360000}"/>
    <cellStyle name="40% - Accent1 5 5 6" xfId="14138" xr:uid="{00000000-0005-0000-0000-0000DD360000}"/>
    <cellStyle name="40% - Accent1 5 6" xfId="14139" xr:uid="{00000000-0005-0000-0000-0000DE360000}"/>
    <cellStyle name="40% - Accent1 5 6 2" xfId="14140" xr:uid="{00000000-0005-0000-0000-0000DF360000}"/>
    <cellStyle name="40% - Accent1 5 6 2 2" xfId="14141" xr:uid="{00000000-0005-0000-0000-0000E0360000}"/>
    <cellStyle name="40% - Accent1 5 6 2 3" xfId="14142" xr:uid="{00000000-0005-0000-0000-0000E1360000}"/>
    <cellStyle name="40% - Accent1 5 6 3" xfId="14143" xr:uid="{00000000-0005-0000-0000-0000E2360000}"/>
    <cellStyle name="40% - Accent1 5 6 4" xfId="14144" xr:uid="{00000000-0005-0000-0000-0000E3360000}"/>
    <cellStyle name="40% - Accent1 5 7" xfId="14145" xr:uid="{00000000-0005-0000-0000-0000E4360000}"/>
    <cellStyle name="40% - Accent1 5 7 2" xfId="14146" xr:uid="{00000000-0005-0000-0000-0000E5360000}"/>
    <cellStyle name="40% - Accent1 5 7 3" xfId="14147" xr:uid="{00000000-0005-0000-0000-0000E6360000}"/>
    <cellStyle name="40% - Accent1 5 8" xfId="14148" xr:uid="{00000000-0005-0000-0000-0000E7360000}"/>
    <cellStyle name="40% - Accent1 5 9" xfId="14149" xr:uid="{00000000-0005-0000-0000-0000E8360000}"/>
    <cellStyle name="40% - Accent1 6" xfId="14150" xr:uid="{00000000-0005-0000-0000-0000E9360000}"/>
    <cellStyle name="40% - Accent1 6 2" xfId="14151" xr:uid="{00000000-0005-0000-0000-0000EA360000}"/>
    <cellStyle name="40% - Accent1 6 2 2" xfId="14152" xr:uid="{00000000-0005-0000-0000-0000EB360000}"/>
    <cellStyle name="40% - Accent1 6 2 2 2" xfId="14153" xr:uid="{00000000-0005-0000-0000-0000EC360000}"/>
    <cellStyle name="40% - Accent1 6 2 2 2 2" xfId="14154" xr:uid="{00000000-0005-0000-0000-0000ED360000}"/>
    <cellStyle name="40% - Accent1 6 2 2 2 2 2" xfId="14155" xr:uid="{00000000-0005-0000-0000-0000EE360000}"/>
    <cellStyle name="40% - Accent1 6 2 2 2 2 2 2" xfId="14156" xr:uid="{00000000-0005-0000-0000-0000EF360000}"/>
    <cellStyle name="40% - Accent1 6 2 2 2 2 2 3" xfId="14157" xr:uid="{00000000-0005-0000-0000-0000F0360000}"/>
    <cellStyle name="40% - Accent1 6 2 2 2 2 3" xfId="14158" xr:uid="{00000000-0005-0000-0000-0000F1360000}"/>
    <cellStyle name="40% - Accent1 6 2 2 2 2 4" xfId="14159" xr:uid="{00000000-0005-0000-0000-0000F2360000}"/>
    <cellStyle name="40% - Accent1 6 2 2 2 3" xfId="14160" xr:uid="{00000000-0005-0000-0000-0000F3360000}"/>
    <cellStyle name="40% - Accent1 6 2 2 2 3 2" xfId="14161" xr:uid="{00000000-0005-0000-0000-0000F4360000}"/>
    <cellStyle name="40% - Accent1 6 2 2 2 3 3" xfId="14162" xr:uid="{00000000-0005-0000-0000-0000F5360000}"/>
    <cellStyle name="40% - Accent1 6 2 2 2 4" xfId="14163" xr:uid="{00000000-0005-0000-0000-0000F6360000}"/>
    <cellStyle name="40% - Accent1 6 2 2 2 5" xfId="14164" xr:uid="{00000000-0005-0000-0000-0000F7360000}"/>
    <cellStyle name="40% - Accent1 6 2 2 2 6" xfId="14165" xr:uid="{00000000-0005-0000-0000-0000F8360000}"/>
    <cellStyle name="40% - Accent1 6 2 2 3" xfId="14166" xr:uid="{00000000-0005-0000-0000-0000F9360000}"/>
    <cellStyle name="40% - Accent1 6 2 2 3 2" xfId="14167" xr:uid="{00000000-0005-0000-0000-0000FA360000}"/>
    <cellStyle name="40% - Accent1 6 2 2 3 2 2" xfId="14168" xr:uid="{00000000-0005-0000-0000-0000FB360000}"/>
    <cellStyle name="40% - Accent1 6 2 2 3 2 3" xfId="14169" xr:uid="{00000000-0005-0000-0000-0000FC360000}"/>
    <cellStyle name="40% - Accent1 6 2 2 3 3" xfId="14170" xr:uid="{00000000-0005-0000-0000-0000FD360000}"/>
    <cellStyle name="40% - Accent1 6 2 2 3 4" xfId="14171" xr:uid="{00000000-0005-0000-0000-0000FE360000}"/>
    <cellStyle name="40% - Accent1 6 2 2 4" xfId="14172" xr:uid="{00000000-0005-0000-0000-0000FF360000}"/>
    <cellStyle name="40% - Accent1 6 2 2 4 2" xfId="14173" xr:uid="{00000000-0005-0000-0000-000000370000}"/>
    <cellStyle name="40% - Accent1 6 2 2 4 3" xfId="14174" xr:uid="{00000000-0005-0000-0000-000001370000}"/>
    <cellStyle name="40% - Accent1 6 2 2 5" xfId="14175" xr:uid="{00000000-0005-0000-0000-000002370000}"/>
    <cellStyle name="40% - Accent1 6 2 2 6" xfId="14176" xr:uid="{00000000-0005-0000-0000-000003370000}"/>
    <cellStyle name="40% - Accent1 6 2 2 7" xfId="14177" xr:uid="{00000000-0005-0000-0000-000004370000}"/>
    <cellStyle name="40% - Accent1 6 2 3" xfId="14178" xr:uid="{00000000-0005-0000-0000-000005370000}"/>
    <cellStyle name="40% - Accent1 6 2 3 2" xfId="14179" xr:uid="{00000000-0005-0000-0000-000006370000}"/>
    <cellStyle name="40% - Accent1 6 2 3 2 2" xfId="14180" xr:uid="{00000000-0005-0000-0000-000007370000}"/>
    <cellStyle name="40% - Accent1 6 2 3 2 2 2" xfId="14181" xr:uid="{00000000-0005-0000-0000-000008370000}"/>
    <cellStyle name="40% - Accent1 6 2 3 2 2 3" xfId="14182" xr:uid="{00000000-0005-0000-0000-000009370000}"/>
    <cellStyle name="40% - Accent1 6 2 3 2 3" xfId="14183" xr:uid="{00000000-0005-0000-0000-00000A370000}"/>
    <cellStyle name="40% - Accent1 6 2 3 2 4" xfId="14184" xr:uid="{00000000-0005-0000-0000-00000B370000}"/>
    <cellStyle name="40% - Accent1 6 2 3 3" xfId="14185" xr:uid="{00000000-0005-0000-0000-00000C370000}"/>
    <cellStyle name="40% - Accent1 6 2 3 3 2" xfId="14186" xr:uid="{00000000-0005-0000-0000-00000D370000}"/>
    <cellStyle name="40% - Accent1 6 2 3 3 3" xfId="14187" xr:uid="{00000000-0005-0000-0000-00000E370000}"/>
    <cellStyle name="40% - Accent1 6 2 3 4" xfId="14188" xr:uid="{00000000-0005-0000-0000-00000F370000}"/>
    <cellStyle name="40% - Accent1 6 2 3 5" xfId="14189" xr:uid="{00000000-0005-0000-0000-000010370000}"/>
    <cellStyle name="40% - Accent1 6 2 3 6" xfId="14190" xr:uid="{00000000-0005-0000-0000-000011370000}"/>
    <cellStyle name="40% - Accent1 6 2 4" xfId="14191" xr:uid="{00000000-0005-0000-0000-000012370000}"/>
    <cellStyle name="40% - Accent1 6 2 4 2" xfId="14192" xr:uid="{00000000-0005-0000-0000-000013370000}"/>
    <cellStyle name="40% - Accent1 6 2 4 2 2" xfId="14193" xr:uid="{00000000-0005-0000-0000-000014370000}"/>
    <cellStyle name="40% - Accent1 6 2 4 2 3" xfId="14194" xr:uid="{00000000-0005-0000-0000-000015370000}"/>
    <cellStyle name="40% - Accent1 6 2 4 3" xfId="14195" xr:uid="{00000000-0005-0000-0000-000016370000}"/>
    <cellStyle name="40% - Accent1 6 2 4 4" xfId="14196" xr:uid="{00000000-0005-0000-0000-000017370000}"/>
    <cellStyle name="40% - Accent1 6 2 5" xfId="14197" xr:uid="{00000000-0005-0000-0000-000018370000}"/>
    <cellStyle name="40% - Accent1 6 2 5 2" xfId="14198" xr:uid="{00000000-0005-0000-0000-000019370000}"/>
    <cellStyle name="40% - Accent1 6 2 5 3" xfId="14199" xr:uid="{00000000-0005-0000-0000-00001A370000}"/>
    <cellStyle name="40% - Accent1 6 2 6" xfId="14200" xr:uid="{00000000-0005-0000-0000-00001B370000}"/>
    <cellStyle name="40% - Accent1 6 2 7" xfId="14201" xr:uid="{00000000-0005-0000-0000-00001C370000}"/>
    <cellStyle name="40% - Accent1 6 2 8" xfId="14202" xr:uid="{00000000-0005-0000-0000-00001D370000}"/>
    <cellStyle name="40% - Accent1 6 3" xfId="14203" xr:uid="{00000000-0005-0000-0000-00001E370000}"/>
    <cellStyle name="40% - Accent1 6 3 2" xfId="14204" xr:uid="{00000000-0005-0000-0000-00001F370000}"/>
    <cellStyle name="40% - Accent1 6 3 2 2" xfId="14205" xr:uid="{00000000-0005-0000-0000-000020370000}"/>
    <cellStyle name="40% - Accent1 6 3 2 2 2" xfId="14206" xr:uid="{00000000-0005-0000-0000-000021370000}"/>
    <cellStyle name="40% - Accent1 6 3 2 2 2 2" xfId="14207" xr:uid="{00000000-0005-0000-0000-000022370000}"/>
    <cellStyle name="40% - Accent1 6 3 2 2 2 3" xfId="14208" xr:uid="{00000000-0005-0000-0000-000023370000}"/>
    <cellStyle name="40% - Accent1 6 3 2 2 3" xfId="14209" xr:uid="{00000000-0005-0000-0000-000024370000}"/>
    <cellStyle name="40% - Accent1 6 3 2 2 4" xfId="14210" xr:uid="{00000000-0005-0000-0000-000025370000}"/>
    <cellStyle name="40% - Accent1 6 3 2 3" xfId="14211" xr:uid="{00000000-0005-0000-0000-000026370000}"/>
    <cellStyle name="40% - Accent1 6 3 2 3 2" xfId="14212" xr:uid="{00000000-0005-0000-0000-000027370000}"/>
    <cellStyle name="40% - Accent1 6 3 2 3 3" xfId="14213" xr:uid="{00000000-0005-0000-0000-000028370000}"/>
    <cellStyle name="40% - Accent1 6 3 2 4" xfId="14214" xr:uid="{00000000-0005-0000-0000-000029370000}"/>
    <cellStyle name="40% - Accent1 6 3 2 5" xfId="14215" xr:uid="{00000000-0005-0000-0000-00002A370000}"/>
    <cellStyle name="40% - Accent1 6 3 2 6" xfId="14216" xr:uid="{00000000-0005-0000-0000-00002B370000}"/>
    <cellStyle name="40% - Accent1 6 3 3" xfId="14217" xr:uid="{00000000-0005-0000-0000-00002C370000}"/>
    <cellStyle name="40% - Accent1 6 3 3 2" xfId="14218" xr:uid="{00000000-0005-0000-0000-00002D370000}"/>
    <cellStyle name="40% - Accent1 6 3 3 2 2" xfId="14219" xr:uid="{00000000-0005-0000-0000-00002E370000}"/>
    <cellStyle name="40% - Accent1 6 3 3 2 3" xfId="14220" xr:uid="{00000000-0005-0000-0000-00002F370000}"/>
    <cellStyle name="40% - Accent1 6 3 3 3" xfId="14221" xr:uid="{00000000-0005-0000-0000-000030370000}"/>
    <cellStyle name="40% - Accent1 6 3 3 4" xfId="14222" xr:uid="{00000000-0005-0000-0000-000031370000}"/>
    <cellStyle name="40% - Accent1 6 3 4" xfId="14223" xr:uid="{00000000-0005-0000-0000-000032370000}"/>
    <cellStyle name="40% - Accent1 6 3 4 2" xfId="14224" xr:uid="{00000000-0005-0000-0000-000033370000}"/>
    <cellStyle name="40% - Accent1 6 3 4 3" xfId="14225" xr:uid="{00000000-0005-0000-0000-000034370000}"/>
    <cellStyle name="40% - Accent1 6 3 5" xfId="14226" xr:uid="{00000000-0005-0000-0000-000035370000}"/>
    <cellStyle name="40% - Accent1 6 3 6" xfId="14227" xr:uid="{00000000-0005-0000-0000-000036370000}"/>
    <cellStyle name="40% - Accent1 6 3 7" xfId="14228" xr:uid="{00000000-0005-0000-0000-000037370000}"/>
    <cellStyle name="40% - Accent1 6 4" xfId="14229" xr:uid="{00000000-0005-0000-0000-000038370000}"/>
    <cellStyle name="40% - Accent1 6 4 2" xfId="14230" xr:uid="{00000000-0005-0000-0000-000039370000}"/>
    <cellStyle name="40% - Accent1 6 4 2 2" xfId="14231" xr:uid="{00000000-0005-0000-0000-00003A370000}"/>
    <cellStyle name="40% - Accent1 6 4 2 2 2" xfId="14232" xr:uid="{00000000-0005-0000-0000-00003B370000}"/>
    <cellStyle name="40% - Accent1 6 4 2 2 3" xfId="14233" xr:uid="{00000000-0005-0000-0000-00003C370000}"/>
    <cellStyle name="40% - Accent1 6 4 2 3" xfId="14234" xr:uid="{00000000-0005-0000-0000-00003D370000}"/>
    <cellStyle name="40% - Accent1 6 4 2 4" xfId="14235" xr:uid="{00000000-0005-0000-0000-00003E370000}"/>
    <cellStyle name="40% - Accent1 6 4 3" xfId="14236" xr:uid="{00000000-0005-0000-0000-00003F370000}"/>
    <cellStyle name="40% - Accent1 6 4 3 2" xfId="14237" xr:uid="{00000000-0005-0000-0000-000040370000}"/>
    <cellStyle name="40% - Accent1 6 4 3 3" xfId="14238" xr:uid="{00000000-0005-0000-0000-000041370000}"/>
    <cellStyle name="40% - Accent1 6 4 4" xfId="14239" xr:uid="{00000000-0005-0000-0000-000042370000}"/>
    <cellStyle name="40% - Accent1 6 4 5" xfId="14240" xr:uid="{00000000-0005-0000-0000-000043370000}"/>
    <cellStyle name="40% - Accent1 6 4 6" xfId="14241" xr:uid="{00000000-0005-0000-0000-000044370000}"/>
    <cellStyle name="40% - Accent1 6 5" xfId="14242" xr:uid="{00000000-0005-0000-0000-000045370000}"/>
    <cellStyle name="40% - Accent1 6 5 2" xfId="14243" xr:uid="{00000000-0005-0000-0000-000046370000}"/>
    <cellStyle name="40% - Accent1 6 5 2 2" xfId="14244" xr:uid="{00000000-0005-0000-0000-000047370000}"/>
    <cellStyle name="40% - Accent1 6 5 2 3" xfId="14245" xr:uid="{00000000-0005-0000-0000-000048370000}"/>
    <cellStyle name="40% - Accent1 6 5 3" xfId="14246" xr:uid="{00000000-0005-0000-0000-000049370000}"/>
    <cellStyle name="40% - Accent1 6 5 4" xfId="14247" xr:uid="{00000000-0005-0000-0000-00004A370000}"/>
    <cellStyle name="40% - Accent1 6 6" xfId="14248" xr:uid="{00000000-0005-0000-0000-00004B370000}"/>
    <cellStyle name="40% - Accent1 6 6 2" xfId="14249" xr:uid="{00000000-0005-0000-0000-00004C370000}"/>
    <cellStyle name="40% - Accent1 6 6 3" xfId="14250" xr:uid="{00000000-0005-0000-0000-00004D370000}"/>
    <cellStyle name="40% - Accent1 6 7" xfId="14251" xr:uid="{00000000-0005-0000-0000-00004E370000}"/>
    <cellStyle name="40% - Accent1 6 8" xfId="14252" xr:uid="{00000000-0005-0000-0000-00004F370000}"/>
    <cellStyle name="40% - Accent1 6 9" xfId="14253" xr:uid="{00000000-0005-0000-0000-000050370000}"/>
    <cellStyle name="40% - Accent1 7" xfId="14254" xr:uid="{00000000-0005-0000-0000-000051370000}"/>
    <cellStyle name="40% - Accent1 7 2" xfId="14255" xr:uid="{00000000-0005-0000-0000-000052370000}"/>
    <cellStyle name="40% - Accent1 7 2 2" xfId="14256" xr:uid="{00000000-0005-0000-0000-000053370000}"/>
    <cellStyle name="40% - Accent1 7 2 2 2" xfId="14257" xr:uid="{00000000-0005-0000-0000-000054370000}"/>
    <cellStyle name="40% - Accent1 7 2 2 2 2" xfId="14258" xr:uid="{00000000-0005-0000-0000-000055370000}"/>
    <cellStyle name="40% - Accent1 7 2 2 2 2 2" xfId="14259" xr:uid="{00000000-0005-0000-0000-000056370000}"/>
    <cellStyle name="40% - Accent1 7 2 2 2 2 2 2" xfId="14260" xr:uid="{00000000-0005-0000-0000-000057370000}"/>
    <cellStyle name="40% - Accent1 7 2 2 2 2 2 3" xfId="14261" xr:uid="{00000000-0005-0000-0000-000058370000}"/>
    <cellStyle name="40% - Accent1 7 2 2 2 2 3" xfId="14262" xr:uid="{00000000-0005-0000-0000-000059370000}"/>
    <cellStyle name="40% - Accent1 7 2 2 2 2 4" xfId="14263" xr:uid="{00000000-0005-0000-0000-00005A370000}"/>
    <cellStyle name="40% - Accent1 7 2 2 2 3" xfId="14264" xr:uid="{00000000-0005-0000-0000-00005B370000}"/>
    <cellStyle name="40% - Accent1 7 2 2 2 3 2" xfId="14265" xr:uid="{00000000-0005-0000-0000-00005C370000}"/>
    <cellStyle name="40% - Accent1 7 2 2 2 3 3" xfId="14266" xr:uid="{00000000-0005-0000-0000-00005D370000}"/>
    <cellStyle name="40% - Accent1 7 2 2 2 4" xfId="14267" xr:uid="{00000000-0005-0000-0000-00005E370000}"/>
    <cellStyle name="40% - Accent1 7 2 2 2 5" xfId="14268" xr:uid="{00000000-0005-0000-0000-00005F370000}"/>
    <cellStyle name="40% - Accent1 7 2 2 2 6" xfId="14269" xr:uid="{00000000-0005-0000-0000-000060370000}"/>
    <cellStyle name="40% - Accent1 7 2 2 3" xfId="14270" xr:uid="{00000000-0005-0000-0000-000061370000}"/>
    <cellStyle name="40% - Accent1 7 2 2 3 2" xfId="14271" xr:uid="{00000000-0005-0000-0000-000062370000}"/>
    <cellStyle name="40% - Accent1 7 2 2 3 2 2" xfId="14272" xr:uid="{00000000-0005-0000-0000-000063370000}"/>
    <cellStyle name="40% - Accent1 7 2 2 3 2 3" xfId="14273" xr:uid="{00000000-0005-0000-0000-000064370000}"/>
    <cellStyle name="40% - Accent1 7 2 2 3 3" xfId="14274" xr:uid="{00000000-0005-0000-0000-000065370000}"/>
    <cellStyle name="40% - Accent1 7 2 2 3 4" xfId="14275" xr:uid="{00000000-0005-0000-0000-000066370000}"/>
    <cellStyle name="40% - Accent1 7 2 2 4" xfId="14276" xr:uid="{00000000-0005-0000-0000-000067370000}"/>
    <cellStyle name="40% - Accent1 7 2 2 4 2" xfId="14277" xr:uid="{00000000-0005-0000-0000-000068370000}"/>
    <cellStyle name="40% - Accent1 7 2 2 4 3" xfId="14278" xr:uid="{00000000-0005-0000-0000-000069370000}"/>
    <cellStyle name="40% - Accent1 7 2 2 5" xfId="14279" xr:uid="{00000000-0005-0000-0000-00006A370000}"/>
    <cellStyle name="40% - Accent1 7 2 2 6" xfId="14280" xr:uid="{00000000-0005-0000-0000-00006B370000}"/>
    <cellStyle name="40% - Accent1 7 2 2 7" xfId="14281" xr:uid="{00000000-0005-0000-0000-00006C370000}"/>
    <cellStyle name="40% - Accent1 7 2 3" xfId="14282" xr:uid="{00000000-0005-0000-0000-00006D370000}"/>
    <cellStyle name="40% - Accent1 7 2 3 2" xfId="14283" xr:uid="{00000000-0005-0000-0000-00006E370000}"/>
    <cellStyle name="40% - Accent1 7 2 3 2 2" xfId="14284" xr:uid="{00000000-0005-0000-0000-00006F370000}"/>
    <cellStyle name="40% - Accent1 7 2 3 2 2 2" xfId="14285" xr:uid="{00000000-0005-0000-0000-000070370000}"/>
    <cellStyle name="40% - Accent1 7 2 3 2 2 3" xfId="14286" xr:uid="{00000000-0005-0000-0000-000071370000}"/>
    <cellStyle name="40% - Accent1 7 2 3 2 3" xfId="14287" xr:uid="{00000000-0005-0000-0000-000072370000}"/>
    <cellStyle name="40% - Accent1 7 2 3 2 4" xfId="14288" xr:uid="{00000000-0005-0000-0000-000073370000}"/>
    <cellStyle name="40% - Accent1 7 2 3 3" xfId="14289" xr:uid="{00000000-0005-0000-0000-000074370000}"/>
    <cellStyle name="40% - Accent1 7 2 3 3 2" xfId="14290" xr:uid="{00000000-0005-0000-0000-000075370000}"/>
    <cellStyle name="40% - Accent1 7 2 3 3 3" xfId="14291" xr:uid="{00000000-0005-0000-0000-000076370000}"/>
    <cellStyle name="40% - Accent1 7 2 3 4" xfId="14292" xr:uid="{00000000-0005-0000-0000-000077370000}"/>
    <cellStyle name="40% - Accent1 7 2 3 5" xfId="14293" xr:uid="{00000000-0005-0000-0000-000078370000}"/>
    <cellStyle name="40% - Accent1 7 2 3 6" xfId="14294" xr:uid="{00000000-0005-0000-0000-000079370000}"/>
    <cellStyle name="40% - Accent1 7 2 4" xfId="14295" xr:uid="{00000000-0005-0000-0000-00007A370000}"/>
    <cellStyle name="40% - Accent1 7 2 4 2" xfId="14296" xr:uid="{00000000-0005-0000-0000-00007B370000}"/>
    <cellStyle name="40% - Accent1 7 2 4 2 2" xfId="14297" xr:uid="{00000000-0005-0000-0000-00007C370000}"/>
    <cellStyle name="40% - Accent1 7 2 4 2 3" xfId="14298" xr:uid="{00000000-0005-0000-0000-00007D370000}"/>
    <cellStyle name="40% - Accent1 7 2 4 3" xfId="14299" xr:uid="{00000000-0005-0000-0000-00007E370000}"/>
    <cellStyle name="40% - Accent1 7 2 4 4" xfId="14300" xr:uid="{00000000-0005-0000-0000-00007F370000}"/>
    <cellStyle name="40% - Accent1 7 2 5" xfId="14301" xr:uid="{00000000-0005-0000-0000-000080370000}"/>
    <cellStyle name="40% - Accent1 7 2 5 2" xfId="14302" xr:uid="{00000000-0005-0000-0000-000081370000}"/>
    <cellStyle name="40% - Accent1 7 2 5 3" xfId="14303" xr:uid="{00000000-0005-0000-0000-000082370000}"/>
    <cellStyle name="40% - Accent1 7 2 6" xfId="14304" xr:uid="{00000000-0005-0000-0000-000083370000}"/>
    <cellStyle name="40% - Accent1 7 2 7" xfId="14305" xr:uid="{00000000-0005-0000-0000-000084370000}"/>
    <cellStyle name="40% - Accent1 7 2 8" xfId="14306" xr:uid="{00000000-0005-0000-0000-000085370000}"/>
    <cellStyle name="40% - Accent1 7 3" xfId="14307" xr:uid="{00000000-0005-0000-0000-000086370000}"/>
    <cellStyle name="40% - Accent1 7 3 2" xfId="14308" xr:uid="{00000000-0005-0000-0000-000087370000}"/>
    <cellStyle name="40% - Accent1 7 3 2 2" xfId="14309" xr:uid="{00000000-0005-0000-0000-000088370000}"/>
    <cellStyle name="40% - Accent1 7 3 2 2 2" xfId="14310" xr:uid="{00000000-0005-0000-0000-000089370000}"/>
    <cellStyle name="40% - Accent1 7 3 2 2 2 2" xfId="14311" xr:uid="{00000000-0005-0000-0000-00008A370000}"/>
    <cellStyle name="40% - Accent1 7 3 2 2 2 3" xfId="14312" xr:uid="{00000000-0005-0000-0000-00008B370000}"/>
    <cellStyle name="40% - Accent1 7 3 2 2 3" xfId="14313" xr:uid="{00000000-0005-0000-0000-00008C370000}"/>
    <cellStyle name="40% - Accent1 7 3 2 2 4" xfId="14314" xr:uid="{00000000-0005-0000-0000-00008D370000}"/>
    <cellStyle name="40% - Accent1 7 3 2 3" xfId="14315" xr:uid="{00000000-0005-0000-0000-00008E370000}"/>
    <cellStyle name="40% - Accent1 7 3 2 3 2" xfId="14316" xr:uid="{00000000-0005-0000-0000-00008F370000}"/>
    <cellStyle name="40% - Accent1 7 3 2 3 3" xfId="14317" xr:uid="{00000000-0005-0000-0000-000090370000}"/>
    <cellStyle name="40% - Accent1 7 3 2 4" xfId="14318" xr:uid="{00000000-0005-0000-0000-000091370000}"/>
    <cellStyle name="40% - Accent1 7 3 2 5" xfId="14319" xr:uid="{00000000-0005-0000-0000-000092370000}"/>
    <cellStyle name="40% - Accent1 7 3 2 6" xfId="14320" xr:uid="{00000000-0005-0000-0000-000093370000}"/>
    <cellStyle name="40% - Accent1 7 3 3" xfId="14321" xr:uid="{00000000-0005-0000-0000-000094370000}"/>
    <cellStyle name="40% - Accent1 7 3 3 2" xfId="14322" xr:uid="{00000000-0005-0000-0000-000095370000}"/>
    <cellStyle name="40% - Accent1 7 3 3 2 2" xfId="14323" xr:uid="{00000000-0005-0000-0000-000096370000}"/>
    <cellStyle name="40% - Accent1 7 3 3 2 3" xfId="14324" xr:uid="{00000000-0005-0000-0000-000097370000}"/>
    <cellStyle name="40% - Accent1 7 3 3 3" xfId="14325" xr:uid="{00000000-0005-0000-0000-000098370000}"/>
    <cellStyle name="40% - Accent1 7 3 3 4" xfId="14326" xr:uid="{00000000-0005-0000-0000-000099370000}"/>
    <cellStyle name="40% - Accent1 7 3 4" xfId="14327" xr:uid="{00000000-0005-0000-0000-00009A370000}"/>
    <cellStyle name="40% - Accent1 7 3 4 2" xfId="14328" xr:uid="{00000000-0005-0000-0000-00009B370000}"/>
    <cellStyle name="40% - Accent1 7 3 4 3" xfId="14329" xr:uid="{00000000-0005-0000-0000-00009C370000}"/>
    <cellStyle name="40% - Accent1 7 3 5" xfId="14330" xr:uid="{00000000-0005-0000-0000-00009D370000}"/>
    <cellStyle name="40% - Accent1 7 3 6" xfId="14331" xr:uid="{00000000-0005-0000-0000-00009E370000}"/>
    <cellStyle name="40% - Accent1 7 3 7" xfId="14332" xr:uid="{00000000-0005-0000-0000-00009F370000}"/>
    <cellStyle name="40% - Accent1 7 4" xfId="14333" xr:uid="{00000000-0005-0000-0000-0000A0370000}"/>
    <cellStyle name="40% - Accent1 7 4 2" xfId="14334" xr:uid="{00000000-0005-0000-0000-0000A1370000}"/>
    <cellStyle name="40% - Accent1 7 4 2 2" xfId="14335" xr:uid="{00000000-0005-0000-0000-0000A2370000}"/>
    <cellStyle name="40% - Accent1 7 4 2 2 2" xfId="14336" xr:uid="{00000000-0005-0000-0000-0000A3370000}"/>
    <cellStyle name="40% - Accent1 7 4 2 2 3" xfId="14337" xr:uid="{00000000-0005-0000-0000-0000A4370000}"/>
    <cellStyle name="40% - Accent1 7 4 2 3" xfId="14338" xr:uid="{00000000-0005-0000-0000-0000A5370000}"/>
    <cellStyle name="40% - Accent1 7 4 2 4" xfId="14339" xr:uid="{00000000-0005-0000-0000-0000A6370000}"/>
    <cellStyle name="40% - Accent1 7 4 3" xfId="14340" xr:uid="{00000000-0005-0000-0000-0000A7370000}"/>
    <cellStyle name="40% - Accent1 7 4 3 2" xfId="14341" xr:uid="{00000000-0005-0000-0000-0000A8370000}"/>
    <cellStyle name="40% - Accent1 7 4 3 3" xfId="14342" xr:uid="{00000000-0005-0000-0000-0000A9370000}"/>
    <cellStyle name="40% - Accent1 7 4 4" xfId="14343" xr:uid="{00000000-0005-0000-0000-0000AA370000}"/>
    <cellStyle name="40% - Accent1 7 4 5" xfId="14344" xr:uid="{00000000-0005-0000-0000-0000AB370000}"/>
    <cellStyle name="40% - Accent1 7 4 6" xfId="14345" xr:uid="{00000000-0005-0000-0000-0000AC370000}"/>
    <cellStyle name="40% - Accent1 7 5" xfId="14346" xr:uid="{00000000-0005-0000-0000-0000AD370000}"/>
    <cellStyle name="40% - Accent1 7 5 2" xfId="14347" xr:uid="{00000000-0005-0000-0000-0000AE370000}"/>
    <cellStyle name="40% - Accent1 7 5 2 2" xfId="14348" xr:uid="{00000000-0005-0000-0000-0000AF370000}"/>
    <cellStyle name="40% - Accent1 7 5 2 3" xfId="14349" xr:uid="{00000000-0005-0000-0000-0000B0370000}"/>
    <cellStyle name="40% - Accent1 7 5 3" xfId="14350" xr:uid="{00000000-0005-0000-0000-0000B1370000}"/>
    <cellStyle name="40% - Accent1 7 5 4" xfId="14351" xr:uid="{00000000-0005-0000-0000-0000B2370000}"/>
    <cellStyle name="40% - Accent1 7 6" xfId="14352" xr:uid="{00000000-0005-0000-0000-0000B3370000}"/>
    <cellStyle name="40% - Accent1 7 6 2" xfId="14353" xr:uid="{00000000-0005-0000-0000-0000B4370000}"/>
    <cellStyle name="40% - Accent1 7 6 3" xfId="14354" xr:uid="{00000000-0005-0000-0000-0000B5370000}"/>
    <cellStyle name="40% - Accent1 7 7" xfId="14355" xr:uid="{00000000-0005-0000-0000-0000B6370000}"/>
    <cellStyle name="40% - Accent1 7 8" xfId="14356" xr:uid="{00000000-0005-0000-0000-0000B7370000}"/>
    <cellStyle name="40% - Accent1 7 9" xfId="14357" xr:uid="{00000000-0005-0000-0000-0000B8370000}"/>
    <cellStyle name="40% - Accent1 8" xfId="14358" xr:uid="{00000000-0005-0000-0000-0000B9370000}"/>
    <cellStyle name="40% - Accent1 8 2" xfId="14359" xr:uid="{00000000-0005-0000-0000-0000BA370000}"/>
    <cellStyle name="40% - Accent1 8 2 2" xfId="14360" xr:uid="{00000000-0005-0000-0000-0000BB370000}"/>
    <cellStyle name="40% - Accent1 8 2 2 2" xfId="14361" xr:uid="{00000000-0005-0000-0000-0000BC370000}"/>
    <cellStyle name="40% - Accent1 8 2 2 2 2" xfId="14362" xr:uid="{00000000-0005-0000-0000-0000BD370000}"/>
    <cellStyle name="40% - Accent1 8 2 2 2 2 2" xfId="14363" xr:uid="{00000000-0005-0000-0000-0000BE370000}"/>
    <cellStyle name="40% - Accent1 8 2 2 2 2 3" xfId="14364" xr:uid="{00000000-0005-0000-0000-0000BF370000}"/>
    <cellStyle name="40% - Accent1 8 2 2 2 3" xfId="14365" xr:uid="{00000000-0005-0000-0000-0000C0370000}"/>
    <cellStyle name="40% - Accent1 8 2 2 2 4" xfId="14366" xr:uid="{00000000-0005-0000-0000-0000C1370000}"/>
    <cellStyle name="40% - Accent1 8 2 2 3" xfId="14367" xr:uid="{00000000-0005-0000-0000-0000C2370000}"/>
    <cellStyle name="40% - Accent1 8 2 2 3 2" xfId="14368" xr:uid="{00000000-0005-0000-0000-0000C3370000}"/>
    <cellStyle name="40% - Accent1 8 2 2 3 3" xfId="14369" xr:uid="{00000000-0005-0000-0000-0000C4370000}"/>
    <cellStyle name="40% - Accent1 8 2 2 4" xfId="14370" xr:uid="{00000000-0005-0000-0000-0000C5370000}"/>
    <cellStyle name="40% - Accent1 8 2 2 5" xfId="14371" xr:uid="{00000000-0005-0000-0000-0000C6370000}"/>
    <cellStyle name="40% - Accent1 8 2 2 6" xfId="14372" xr:uid="{00000000-0005-0000-0000-0000C7370000}"/>
    <cellStyle name="40% - Accent1 8 2 3" xfId="14373" xr:uid="{00000000-0005-0000-0000-0000C8370000}"/>
    <cellStyle name="40% - Accent1 8 2 3 2" xfId="14374" xr:uid="{00000000-0005-0000-0000-0000C9370000}"/>
    <cellStyle name="40% - Accent1 8 2 3 2 2" xfId="14375" xr:uid="{00000000-0005-0000-0000-0000CA370000}"/>
    <cellStyle name="40% - Accent1 8 2 3 2 3" xfId="14376" xr:uid="{00000000-0005-0000-0000-0000CB370000}"/>
    <cellStyle name="40% - Accent1 8 2 3 3" xfId="14377" xr:uid="{00000000-0005-0000-0000-0000CC370000}"/>
    <cellStyle name="40% - Accent1 8 2 3 4" xfId="14378" xr:uid="{00000000-0005-0000-0000-0000CD370000}"/>
    <cellStyle name="40% - Accent1 8 2 4" xfId="14379" xr:uid="{00000000-0005-0000-0000-0000CE370000}"/>
    <cellStyle name="40% - Accent1 8 2 4 2" xfId="14380" xr:uid="{00000000-0005-0000-0000-0000CF370000}"/>
    <cellStyle name="40% - Accent1 8 2 4 3" xfId="14381" xr:uid="{00000000-0005-0000-0000-0000D0370000}"/>
    <cellStyle name="40% - Accent1 8 2 5" xfId="14382" xr:uid="{00000000-0005-0000-0000-0000D1370000}"/>
    <cellStyle name="40% - Accent1 8 2 6" xfId="14383" xr:uid="{00000000-0005-0000-0000-0000D2370000}"/>
    <cellStyle name="40% - Accent1 8 2 7" xfId="14384" xr:uid="{00000000-0005-0000-0000-0000D3370000}"/>
    <cellStyle name="40% - Accent1 8 3" xfId="14385" xr:uid="{00000000-0005-0000-0000-0000D4370000}"/>
    <cellStyle name="40% - Accent1 8 3 2" xfId="14386" xr:uid="{00000000-0005-0000-0000-0000D5370000}"/>
    <cellStyle name="40% - Accent1 8 3 2 2" xfId="14387" xr:uid="{00000000-0005-0000-0000-0000D6370000}"/>
    <cellStyle name="40% - Accent1 8 3 2 2 2" xfId="14388" xr:uid="{00000000-0005-0000-0000-0000D7370000}"/>
    <cellStyle name="40% - Accent1 8 3 2 2 3" xfId="14389" xr:uid="{00000000-0005-0000-0000-0000D8370000}"/>
    <cellStyle name="40% - Accent1 8 3 2 3" xfId="14390" xr:uid="{00000000-0005-0000-0000-0000D9370000}"/>
    <cellStyle name="40% - Accent1 8 3 2 4" xfId="14391" xr:uid="{00000000-0005-0000-0000-0000DA370000}"/>
    <cellStyle name="40% - Accent1 8 3 3" xfId="14392" xr:uid="{00000000-0005-0000-0000-0000DB370000}"/>
    <cellStyle name="40% - Accent1 8 3 3 2" xfId="14393" xr:uid="{00000000-0005-0000-0000-0000DC370000}"/>
    <cellStyle name="40% - Accent1 8 3 3 3" xfId="14394" xr:uid="{00000000-0005-0000-0000-0000DD370000}"/>
    <cellStyle name="40% - Accent1 8 3 4" xfId="14395" xr:uid="{00000000-0005-0000-0000-0000DE370000}"/>
    <cellStyle name="40% - Accent1 8 3 5" xfId="14396" xr:uid="{00000000-0005-0000-0000-0000DF370000}"/>
    <cellStyle name="40% - Accent1 8 3 6" xfId="14397" xr:uid="{00000000-0005-0000-0000-0000E0370000}"/>
    <cellStyle name="40% - Accent1 8 4" xfId="14398" xr:uid="{00000000-0005-0000-0000-0000E1370000}"/>
    <cellStyle name="40% - Accent1 8 4 2" xfId="14399" xr:uid="{00000000-0005-0000-0000-0000E2370000}"/>
    <cellStyle name="40% - Accent1 8 4 2 2" xfId="14400" xr:uid="{00000000-0005-0000-0000-0000E3370000}"/>
    <cellStyle name="40% - Accent1 8 4 2 3" xfId="14401" xr:uid="{00000000-0005-0000-0000-0000E4370000}"/>
    <cellStyle name="40% - Accent1 8 4 3" xfId="14402" xr:uid="{00000000-0005-0000-0000-0000E5370000}"/>
    <cellStyle name="40% - Accent1 8 4 4" xfId="14403" xr:uid="{00000000-0005-0000-0000-0000E6370000}"/>
    <cellStyle name="40% - Accent1 8 5" xfId="14404" xr:uid="{00000000-0005-0000-0000-0000E7370000}"/>
    <cellStyle name="40% - Accent1 8 5 2" xfId="14405" xr:uid="{00000000-0005-0000-0000-0000E8370000}"/>
    <cellStyle name="40% - Accent1 8 5 3" xfId="14406" xr:uid="{00000000-0005-0000-0000-0000E9370000}"/>
    <cellStyle name="40% - Accent1 8 6" xfId="14407" xr:uid="{00000000-0005-0000-0000-0000EA370000}"/>
    <cellStyle name="40% - Accent1 8 7" xfId="14408" xr:uid="{00000000-0005-0000-0000-0000EB370000}"/>
    <cellStyle name="40% - Accent1 8 8" xfId="14409" xr:uid="{00000000-0005-0000-0000-0000EC370000}"/>
    <cellStyle name="40% - Accent1 9" xfId="14410" xr:uid="{00000000-0005-0000-0000-0000ED370000}"/>
    <cellStyle name="40% - Accent1 9 2" xfId="14411" xr:uid="{00000000-0005-0000-0000-0000EE370000}"/>
    <cellStyle name="40% - Accent1 9 2 2" xfId="14412" xr:uid="{00000000-0005-0000-0000-0000EF370000}"/>
    <cellStyle name="40% - Accent1 9 2 2 2" xfId="14413" xr:uid="{00000000-0005-0000-0000-0000F0370000}"/>
    <cellStyle name="40% - Accent1 9 2 2 2 2" xfId="14414" xr:uid="{00000000-0005-0000-0000-0000F1370000}"/>
    <cellStyle name="40% - Accent1 9 2 2 2 2 2" xfId="14415" xr:uid="{00000000-0005-0000-0000-0000F2370000}"/>
    <cellStyle name="40% - Accent1 9 2 2 2 2 3" xfId="14416" xr:uid="{00000000-0005-0000-0000-0000F3370000}"/>
    <cellStyle name="40% - Accent1 9 2 2 2 3" xfId="14417" xr:uid="{00000000-0005-0000-0000-0000F4370000}"/>
    <cellStyle name="40% - Accent1 9 2 2 2 4" xfId="14418" xr:uid="{00000000-0005-0000-0000-0000F5370000}"/>
    <cellStyle name="40% - Accent1 9 2 2 3" xfId="14419" xr:uid="{00000000-0005-0000-0000-0000F6370000}"/>
    <cellStyle name="40% - Accent1 9 2 2 3 2" xfId="14420" xr:uid="{00000000-0005-0000-0000-0000F7370000}"/>
    <cellStyle name="40% - Accent1 9 2 2 3 3" xfId="14421" xr:uid="{00000000-0005-0000-0000-0000F8370000}"/>
    <cellStyle name="40% - Accent1 9 2 2 4" xfId="14422" xr:uid="{00000000-0005-0000-0000-0000F9370000}"/>
    <cellStyle name="40% - Accent1 9 2 2 5" xfId="14423" xr:uid="{00000000-0005-0000-0000-0000FA370000}"/>
    <cellStyle name="40% - Accent1 9 2 2 6" xfId="14424" xr:uid="{00000000-0005-0000-0000-0000FB370000}"/>
    <cellStyle name="40% - Accent1 9 2 3" xfId="14425" xr:uid="{00000000-0005-0000-0000-0000FC370000}"/>
    <cellStyle name="40% - Accent1 9 2 3 2" xfId="14426" xr:uid="{00000000-0005-0000-0000-0000FD370000}"/>
    <cellStyle name="40% - Accent1 9 2 3 2 2" xfId="14427" xr:uid="{00000000-0005-0000-0000-0000FE370000}"/>
    <cellStyle name="40% - Accent1 9 2 3 2 3" xfId="14428" xr:uid="{00000000-0005-0000-0000-0000FF370000}"/>
    <cellStyle name="40% - Accent1 9 2 3 3" xfId="14429" xr:uid="{00000000-0005-0000-0000-000000380000}"/>
    <cellStyle name="40% - Accent1 9 2 3 4" xfId="14430" xr:uid="{00000000-0005-0000-0000-000001380000}"/>
    <cellStyle name="40% - Accent1 9 2 4" xfId="14431" xr:uid="{00000000-0005-0000-0000-000002380000}"/>
    <cellStyle name="40% - Accent1 9 2 4 2" xfId="14432" xr:uid="{00000000-0005-0000-0000-000003380000}"/>
    <cellStyle name="40% - Accent1 9 2 4 3" xfId="14433" xr:uid="{00000000-0005-0000-0000-000004380000}"/>
    <cellStyle name="40% - Accent1 9 2 5" xfId="14434" xr:uid="{00000000-0005-0000-0000-000005380000}"/>
    <cellStyle name="40% - Accent1 9 2 6" xfId="14435" xr:uid="{00000000-0005-0000-0000-000006380000}"/>
    <cellStyle name="40% - Accent1 9 2 7" xfId="14436" xr:uid="{00000000-0005-0000-0000-000007380000}"/>
    <cellStyle name="40% - Accent1 9 3" xfId="14437" xr:uid="{00000000-0005-0000-0000-000008380000}"/>
    <cellStyle name="40% - Accent1 9 3 2" xfId="14438" xr:uid="{00000000-0005-0000-0000-000009380000}"/>
    <cellStyle name="40% - Accent1 9 3 2 2" xfId="14439" xr:uid="{00000000-0005-0000-0000-00000A380000}"/>
    <cellStyle name="40% - Accent1 9 3 2 2 2" xfId="14440" xr:uid="{00000000-0005-0000-0000-00000B380000}"/>
    <cellStyle name="40% - Accent1 9 3 2 2 3" xfId="14441" xr:uid="{00000000-0005-0000-0000-00000C380000}"/>
    <cellStyle name="40% - Accent1 9 3 2 3" xfId="14442" xr:uid="{00000000-0005-0000-0000-00000D380000}"/>
    <cellStyle name="40% - Accent1 9 3 2 4" xfId="14443" xr:uid="{00000000-0005-0000-0000-00000E380000}"/>
    <cellStyle name="40% - Accent1 9 3 3" xfId="14444" xr:uid="{00000000-0005-0000-0000-00000F380000}"/>
    <cellStyle name="40% - Accent1 9 3 3 2" xfId="14445" xr:uid="{00000000-0005-0000-0000-000010380000}"/>
    <cellStyle name="40% - Accent1 9 3 3 3" xfId="14446" xr:uid="{00000000-0005-0000-0000-000011380000}"/>
    <cellStyle name="40% - Accent1 9 3 4" xfId="14447" xr:uid="{00000000-0005-0000-0000-000012380000}"/>
    <cellStyle name="40% - Accent1 9 3 5" xfId="14448" xr:uid="{00000000-0005-0000-0000-000013380000}"/>
    <cellStyle name="40% - Accent1 9 3 6" xfId="14449" xr:uid="{00000000-0005-0000-0000-000014380000}"/>
    <cellStyle name="40% - Accent1 9 4" xfId="14450" xr:uid="{00000000-0005-0000-0000-000015380000}"/>
    <cellStyle name="40% - Accent1 9 4 2" xfId="14451" xr:uid="{00000000-0005-0000-0000-000016380000}"/>
    <cellStyle name="40% - Accent1 9 4 2 2" xfId="14452" xr:uid="{00000000-0005-0000-0000-000017380000}"/>
    <cellStyle name="40% - Accent1 9 4 2 3" xfId="14453" xr:uid="{00000000-0005-0000-0000-000018380000}"/>
    <cellStyle name="40% - Accent1 9 4 3" xfId="14454" xr:uid="{00000000-0005-0000-0000-000019380000}"/>
    <cellStyle name="40% - Accent1 9 4 4" xfId="14455" xr:uid="{00000000-0005-0000-0000-00001A380000}"/>
    <cellStyle name="40% - Accent1 9 5" xfId="14456" xr:uid="{00000000-0005-0000-0000-00001B380000}"/>
    <cellStyle name="40% - Accent1 9 5 2" xfId="14457" xr:uid="{00000000-0005-0000-0000-00001C380000}"/>
    <cellStyle name="40% - Accent1 9 5 3" xfId="14458" xr:uid="{00000000-0005-0000-0000-00001D380000}"/>
    <cellStyle name="40% - Accent1 9 6" xfId="14459" xr:uid="{00000000-0005-0000-0000-00001E380000}"/>
    <cellStyle name="40% - Accent1 9 7" xfId="14460" xr:uid="{00000000-0005-0000-0000-00001F380000}"/>
    <cellStyle name="40% - Accent1 9 8" xfId="14461" xr:uid="{00000000-0005-0000-0000-000020380000}"/>
    <cellStyle name="40% - Accent2 10" xfId="14462" xr:uid="{00000000-0005-0000-0000-000021380000}"/>
    <cellStyle name="40% - Accent2 10 2" xfId="14463" xr:uid="{00000000-0005-0000-0000-000022380000}"/>
    <cellStyle name="40% - Accent2 10 2 2" xfId="14464" xr:uid="{00000000-0005-0000-0000-000023380000}"/>
    <cellStyle name="40% - Accent2 10 2 2 2" xfId="14465" xr:uid="{00000000-0005-0000-0000-000024380000}"/>
    <cellStyle name="40% - Accent2 10 2 2 2 2" xfId="14466" xr:uid="{00000000-0005-0000-0000-000025380000}"/>
    <cellStyle name="40% - Accent2 10 2 2 2 2 2" xfId="14467" xr:uid="{00000000-0005-0000-0000-000026380000}"/>
    <cellStyle name="40% - Accent2 10 2 2 2 2 3" xfId="14468" xr:uid="{00000000-0005-0000-0000-000027380000}"/>
    <cellStyle name="40% - Accent2 10 2 2 2 3" xfId="14469" xr:uid="{00000000-0005-0000-0000-000028380000}"/>
    <cellStyle name="40% - Accent2 10 2 2 2 4" xfId="14470" xr:uid="{00000000-0005-0000-0000-000029380000}"/>
    <cellStyle name="40% - Accent2 10 2 2 3" xfId="14471" xr:uid="{00000000-0005-0000-0000-00002A380000}"/>
    <cellStyle name="40% - Accent2 10 2 2 3 2" xfId="14472" xr:uid="{00000000-0005-0000-0000-00002B380000}"/>
    <cellStyle name="40% - Accent2 10 2 2 3 3" xfId="14473" xr:uid="{00000000-0005-0000-0000-00002C380000}"/>
    <cellStyle name="40% - Accent2 10 2 2 4" xfId="14474" xr:uid="{00000000-0005-0000-0000-00002D380000}"/>
    <cellStyle name="40% - Accent2 10 2 2 5" xfId="14475" xr:uid="{00000000-0005-0000-0000-00002E380000}"/>
    <cellStyle name="40% - Accent2 10 2 2 6" xfId="14476" xr:uid="{00000000-0005-0000-0000-00002F380000}"/>
    <cellStyle name="40% - Accent2 10 2 3" xfId="14477" xr:uid="{00000000-0005-0000-0000-000030380000}"/>
    <cellStyle name="40% - Accent2 10 2 3 2" xfId="14478" xr:uid="{00000000-0005-0000-0000-000031380000}"/>
    <cellStyle name="40% - Accent2 10 2 3 2 2" xfId="14479" xr:uid="{00000000-0005-0000-0000-000032380000}"/>
    <cellStyle name="40% - Accent2 10 2 3 2 3" xfId="14480" xr:uid="{00000000-0005-0000-0000-000033380000}"/>
    <cellStyle name="40% - Accent2 10 2 3 3" xfId="14481" xr:uid="{00000000-0005-0000-0000-000034380000}"/>
    <cellStyle name="40% - Accent2 10 2 3 4" xfId="14482" xr:uid="{00000000-0005-0000-0000-000035380000}"/>
    <cellStyle name="40% - Accent2 10 2 4" xfId="14483" xr:uid="{00000000-0005-0000-0000-000036380000}"/>
    <cellStyle name="40% - Accent2 10 2 4 2" xfId="14484" xr:uid="{00000000-0005-0000-0000-000037380000}"/>
    <cellStyle name="40% - Accent2 10 2 4 3" xfId="14485" xr:uid="{00000000-0005-0000-0000-000038380000}"/>
    <cellStyle name="40% - Accent2 10 2 5" xfId="14486" xr:uid="{00000000-0005-0000-0000-000039380000}"/>
    <cellStyle name="40% - Accent2 10 2 6" xfId="14487" xr:uid="{00000000-0005-0000-0000-00003A380000}"/>
    <cellStyle name="40% - Accent2 10 2 7" xfId="14488" xr:uid="{00000000-0005-0000-0000-00003B380000}"/>
    <cellStyle name="40% - Accent2 10 3" xfId="14489" xr:uid="{00000000-0005-0000-0000-00003C380000}"/>
    <cellStyle name="40% - Accent2 10 3 2" xfId="14490" xr:uid="{00000000-0005-0000-0000-00003D380000}"/>
    <cellStyle name="40% - Accent2 10 3 2 2" xfId="14491" xr:uid="{00000000-0005-0000-0000-00003E380000}"/>
    <cellStyle name="40% - Accent2 10 3 2 2 2" xfId="14492" xr:uid="{00000000-0005-0000-0000-00003F380000}"/>
    <cellStyle name="40% - Accent2 10 3 2 2 3" xfId="14493" xr:uid="{00000000-0005-0000-0000-000040380000}"/>
    <cellStyle name="40% - Accent2 10 3 2 3" xfId="14494" xr:uid="{00000000-0005-0000-0000-000041380000}"/>
    <cellStyle name="40% - Accent2 10 3 2 4" xfId="14495" xr:uid="{00000000-0005-0000-0000-000042380000}"/>
    <cellStyle name="40% - Accent2 10 3 3" xfId="14496" xr:uid="{00000000-0005-0000-0000-000043380000}"/>
    <cellStyle name="40% - Accent2 10 3 3 2" xfId="14497" xr:uid="{00000000-0005-0000-0000-000044380000}"/>
    <cellStyle name="40% - Accent2 10 3 3 3" xfId="14498" xr:uid="{00000000-0005-0000-0000-000045380000}"/>
    <cellStyle name="40% - Accent2 10 3 4" xfId="14499" xr:uid="{00000000-0005-0000-0000-000046380000}"/>
    <cellStyle name="40% - Accent2 10 3 5" xfId="14500" xr:uid="{00000000-0005-0000-0000-000047380000}"/>
    <cellStyle name="40% - Accent2 10 3 6" xfId="14501" xr:uid="{00000000-0005-0000-0000-000048380000}"/>
    <cellStyle name="40% - Accent2 10 4" xfId="14502" xr:uid="{00000000-0005-0000-0000-000049380000}"/>
    <cellStyle name="40% - Accent2 10 4 2" xfId="14503" xr:uid="{00000000-0005-0000-0000-00004A380000}"/>
    <cellStyle name="40% - Accent2 10 4 2 2" xfId="14504" xr:uid="{00000000-0005-0000-0000-00004B380000}"/>
    <cellStyle name="40% - Accent2 10 4 2 3" xfId="14505" xr:uid="{00000000-0005-0000-0000-00004C380000}"/>
    <cellStyle name="40% - Accent2 10 4 3" xfId="14506" xr:uid="{00000000-0005-0000-0000-00004D380000}"/>
    <cellStyle name="40% - Accent2 10 4 4" xfId="14507" xr:uid="{00000000-0005-0000-0000-00004E380000}"/>
    <cellStyle name="40% - Accent2 10 5" xfId="14508" xr:uid="{00000000-0005-0000-0000-00004F380000}"/>
    <cellStyle name="40% - Accent2 10 5 2" xfId="14509" xr:uid="{00000000-0005-0000-0000-000050380000}"/>
    <cellStyle name="40% - Accent2 10 5 3" xfId="14510" xr:uid="{00000000-0005-0000-0000-000051380000}"/>
    <cellStyle name="40% - Accent2 10 6" xfId="14511" xr:uid="{00000000-0005-0000-0000-000052380000}"/>
    <cellStyle name="40% - Accent2 10 7" xfId="14512" xr:uid="{00000000-0005-0000-0000-000053380000}"/>
    <cellStyle name="40% - Accent2 10 8" xfId="14513" xr:uid="{00000000-0005-0000-0000-000054380000}"/>
    <cellStyle name="40% - Accent2 11" xfId="14514" xr:uid="{00000000-0005-0000-0000-000055380000}"/>
    <cellStyle name="40% - Accent2 11 2" xfId="14515" xr:uid="{00000000-0005-0000-0000-000056380000}"/>
    <cellStyle name="40% - Accent2 11 2 2" xfId="14516" xr:uid="{00000000-0005-0000-0000-000057380000}"/>
    <cellStyle name="40% - Accent2 11 2 2 2" xfId="14517" xr:uid="{00000000-0005-0000-0000-000058380000}"/>
    <cellStyle name="40% - Accent2 11 2 2 2 2" xfId="14518" xr:uid="{00000000-0005-0000-0000-000059380000}"/>
    <cellStyle name="40% - Accent2 11 2 2 2 3" xfId="14519" xr:uid="{00000000-0005-0000-0000-00005A380000}"/>
    <cellStyle name="40% - Accent2 11 2 2 3" xfId="14520" xr:uid="{00000000-0005-0000-0000-00005B380000}"/>
    <cellStyle name="40% - Accent2 11 2 2 4" xfId="14521" xr:uid="{00000000-0005-0000-0000-00005C380000}"/>
    <cellStyle name="40% - Accent2 11 2 3" xfId="14522" xr:uid="{00000000-0005-0000-0000-00005D380000}"/>
    <cellStyle name="40% - Accent2 11 2 3 2" xfId="14523" xr:uid="{00000000-0005-0000-0000-00005E380000}"/>
    <cellStyle name="40% - Accent2 11 2 3 3" xfId="14524" xr:uid="{00000000-0005-0000-0000-00005F380000}"/>
    <cellStyle name="40% - Accent2 11 2 4" xfId="14525" xr:uid="{00000000-0005-0000-0000-000060380000}"/>
    <cellStyle name="40% - Accent2 11 2 5" xfId="14526" xr:uid="{00000000-0005-0000-0000-000061380000}"/>
    <cellStyle name="40% - Accent2 11 2 6" xfId="14527" xr:uid="{00000000-0005-0000-0000-000062380000}"/>
    <cellStyle name="40% - Accent2 11 3" xfId="14528" xr:uid="{00000000-0005-0000-0000-000063380000}"/>
    <cellStyle name="40% - Accent2 11 3 2" xfId="14529" xr:uid="{00000000-0005-0000-0000-000064380000}"/>
    <cellStyle name="40% - Accent2 11 3 2 2" xfId="14530" xr:uid="{00000000-0005-0000-0000-000065380000}"/>
    <cellStyle name="40% - Accent2 11 3 2 3" xfId="14531" xr:uid="{00000000-0005-0000-0000-000066380000}"/>
    <cellStyle name="40% - Accent2 11 3 3" xfId="14532" xr:uid="{00000000-0005-0000-0000-000067380000}"/>
    <cellStyle name="40% - Accent2 11 3 4" xfId="14533" xr:uid="{00000000-0005-0000-0000-000068380000}"/>
    <cellStyle name="40% - Accent2 11 4" xfId="14534" xr:uid="{00000000-0005-0000-0000-000069380000}"/>
    <cellStyle name="40% - Accent2 11 4 2" xfId="14535" xr:uid="{00000000-0005-0000-0000-00006A380000}"/>
    <cellStyle name="40% - Accent2 11 4 3" xfId="14536" xr:uid="{00000000-0005-0000-0000-00006B380000}"/>
    <cellStyle name="40% - Accent2 11 5" xfId="14537" xr:uid="{00000000-0005-0000-0000-00006C380000}"/>
    <cellStyle name="40% - Accent2 11 6" xfId="14538" xr:uid="{00000000-0005-0000-0000-00006D380000}"/>
    <cellStyle name="40% - Accent2 11 7" xfId="14539" xr:uid="{00000000-0005-0000-0000-00006E380000}"/>
    <cellStyle name="40% - Accent2 12" xfId="14540" xr:uid="{00000000-0005-0000-0000-00006F380000}"/>
    <cellStyle name="40% - Accent2 12 2" xfId="14541" xr:uid="{00000000-0005-0000-0000-000070380000}"/>
    <cellStyle name="40% - Accent2 12 2 2" xfId="14542" xr:uid="{00000000-0005-0000-0000-000071380000}"/>
    <cellStyle name="40% - Accent2 12 2 2 2" xfId="14543" xr:uid="{00000000-0005-0000-0000-000072380000}"/>
    <cellStyle name="40% - Accent2 12 2 2 3" xfId="14544" xr:uid="{00000000-0005-0000-0000-000073380000}"/>
    <cellStyle name="40% - Accent2 12 2 3" xfId="14545" xr:uid="{00000000-0005-0000-0000-000074380000}"/>
    <cellStyle name="40% - Accent2 12 2 4" xfId="14546" xr:uid="{00000000-0005-0000-0000-000075380000}"/>
    <cellStyle name="40% - Accent2 12 3" xfId="14547" xr:uid="{00000000-0005-0000-0000-000076380000}"/>
    <cellStyle name="40% - Accent2 12 3 2" xfId="14548" xr:uid="{00000000-0005-0000-0000-000077380000}"/>
    <cellStyle name="40% - Accent2 12 3 3" xfId="14549" xr:uid="{00000000-0005-0000-0000-000078380000}"/>
    <cellStyle name="40% - Accent2 12 4" xfId="14550" xr:uid="{00000000-0005-0000-0000-000079380000}"/>
    <cellStyle name="40% - Accent2 12 5" xfId="14551" xr:uid="{00000000-0005-0000-0000-00007A380000}"/>
    <cellStyle name="40% - Accent2 12 6" xfId="14552" xr:uid="{00000000-0005-0000-0000-00007B380000}"/>
    <cellStyle name="40% - Accent2 13" xfId="14553" xr:uid="{00000000-0005-0000-0000-00007C380000}"/>
    <cellStyle name="40% - Accent2 13 2" xfId="14554" xr:uid="{00000000-0005-0000-0000-00007D380000}"/>
    <cellStyle name="40% - Accent2 13 2 2" xfId="14555" xr:uid="{00000000-0005-0000-0000-00007E380000}"/>
    <cellStyle name="40% - Accent2 13 2 2 2" xfId="14556" xr:uid="{00000000-0005-0000-0000-00007F380000}"/>
    <cellStyle name="40% - Accent2 13 2 2 3" xfId="14557" xr:uid="{00000000-0005-0000-0000-000080380000}"/>
    <cellStyle name="40% - Accent2 13 2 3" xfId="14558" xr:uid="{00000000-0005-0000-0000-000081380000}"/>
    <cellStyle name="40% - Accent2 13 2 4" xfId="14559" xr:uid="{00000000-0005-0000-0000-000082380000}"/>
    <cellStyle name="40% - Accent2 13 3" xfId="14560" xr:uid="{00000000-0005-0000-0000-000083380000}"/>
    <cellStyle name="40% - Accent2 13 3 2" xfId="14561" xr:uid="{00000000-0005-0000-0000-000084380000}"/>
    <cellStyle name="40% - Accent2 13 3 3" xfId="14562" xr:uid="{00000000-0005-0000-0000-000085380000}"/>
    <cellStyle name="40% - Accent2 13 4" xfId="14563" xr:uid="{00000000-0005-0000-0000-000086380000}"/>
    <cellStyle name="40% - Accent2 13 5" xfId="14564" xr:uid="{00000000-0005-0000-0000-000087380000}"/>
    <cellStyle name="40% - Accent2 13 6" xfId="14565" xr:uid="{00000000-0005-0000-0000-000088380000}"/>
    <cellStyle name="40% - Accent2 14" xfId="14566" xr:uid="{00000000-0005-0000-0000-000089380000}"/>
    <cellStyle name="40% - Accent2 14 2" xfId="14567" xr:uid="{00000000-0005-0000-0000-00008A380000}"/>
    <cellStyle name="40% - Accent2 14 2 2" xfId="14568" xr:uid="{00000000-0005-0000-0000-00008B380000}"/>
    <cellStyle name="40% - Accent2 14 2 3" xfId="14569" xr:uid="{00000000-0005-0000-0000-00008C380000}"/>
    <cellStyle name="40% - Accent2 14 3" xfId="14570" xr:uid="{00000000-0005-0000-0000-00008D380000}"/>
    <cellStyle name="40% - Accent2 14 4" xfId="14571" xr:uid="{00000000-0005-0000-0000-00008E380000}"/>
    <cellStyle name="40% - Accent2 15" xfId="14572" xr:uid="{00000000-0005-0000-0000-00008F380000}"/>
    <cellStyle name="40% - Accent2 16" xfId="14573" xr:uid="{00000000-0005-0000-0000-000090380000}"/>
    <cellStyle name="40% - Accent2 17" xfId="14574" xr:uid="{00000000-0005-0000-0000-000091380000}"/>
    <cellStyle name="40% - Accent2 2" xfId="14575" xr:uid="{00000000-0005-0000-0000-000092380000}"/>
    <cellStyle name="40% - Accent2 2 2" xfId="14576" xr:uid="{00000000-0005-0000-0000-000093380000}"/>
    <cellStyle name="40% - Accent2 3" xfId="14577" xr:uid="{00000000-0005-0000-0000-000094380000}"/>
    <cellStyle name="40% - Accent2 3 10" xfId="14578" xr:uid="{00000000-0005-0000-0000-000095380000}"/>
    <cellStyle name="40% - Accent2 3 10 2" xfId="14579" xr:uid="{00000000-0005-0000-0000-000096380000}"/>
    <cellStyle name="40% - Accent2 3 10 2 2" xfId="14580" xr:uid="{00000000-0005-0000-0000-000097380000}"/>
    <cellStyle name="40% - Accent2 3 10 2 2 2" xfId="14581" xr:uid="{00000000-0005-0000-0000-000098380000}"/>
    <cellStyle name="40% - Accent2 3 10 2 2 3" xfId="14582" xr:uid="{00000000-0005-0000-0000-000099380000}"/>
    <cellStyle name="40% - Accent2 3 10 2 3" xfId="14583" xr:uid="{00000000-0005-0000-0000-00009A380000}"/>
    <cellStyle name="40% - Accent2 3 10 2 4" xfId="14584" xr:uid="{00000000-0005-0000-0000-00009B380000}"/>
    <cellStyle name="40% - Accent2 3 10 3" xfId="14585" xr:uid="{00000000-0005-0000-0000-00009C380000}"/>
    <cellStyle name="40% - Accent2 3 10 3 2" xfId="14586" xr:uid="{00000000-0005-0000-0000-00009D380000}"/>
    <cellStyle name="40% - Accent2 3 10 3 3" xfId="14587" xr:uid="{00000000-0005-0000-0000-00009E380000}"/>
    <cellStyle name="40% - Accent2 3 10 4" xfId="14588" xr:uid="{00000000-0005-0000-0000-00009F380000}"/>
    <cellStyle name="40% - Accent2 3 10 5" xfId="14589" xr:uid="{00000000-0005-0000-0000-0000A0380000}"/>
    <cellStyle name="40% - Accent2 3 10 6" xfId="14590" xr:uid="{00000000-0005-0000-0000-0000A1380000}"/>
    <cellStyle name="40% - Accent2 3 11" xfId="14591" xr:uid="{00000000-0005-0000-0000-0000A2380000}"/>
    <cellStyle name="40% - Accent2 3 11 2" xfId="14592" xr:uid="{00000000-0005-0000-0000-0000A3380000}"/>
    <cellStyle name="40% - Accent2 3 11 2 2" xfId="14593" xr:uid="{00000000-0005-0000-0000-0000A4380000}"/>
    <cellStyle name="40% - Accent2 3 11 2 3" xfId="14594" xr:uid="{00000000-0005-0000-0000-0000A5380000}"/>
    <cellStyle name="40% - Accent2 3 11 3" xfId="14595" xr:uid="{00000000-0005-0000-0000-0000A6380000}"/>
    <cellStyle name="40% - Accent2 3 11 4" xfId="14596" xr:uid="{00000000-0005-0000-0000-0000A7380000}"/>
    <cellStyle name="40% - Accent2 3 12" xfId="14597" xr:uid="{00000000-0005-0000-0000-0000A8380000}"/>
    <cellStyle name="40% - Accent2 3 12 2" xfId="14598" xr:uid="{00000000-0005-0000-0000-0000A9380000}"/>
    <cellStyle name="40% - Accent2 3 12 3" xfId="14599" xr:uid="{00000000-0005-0000-0000-0000AA380000}"/>
    <cellStyle name="40% - Accent2 3 13" xfId="14600" xr:uid="{00000000-0005-0000-0000-0000AB380000}"/>
    <cellStyle name="40% - Accent2 3 14" xfId="14601" xr:uid="{00000000-0005-0000-0000-0000AC380000}"/>
    <cellStyle name="40% - Accent2 3 15" xfId="14602" xr:uid="{00000000-0005-0000-0000-0000AD380000}"/>
    <cellStyle name="40% - Accent2 3 2" xfId="14603" xr:uid="{00000000-0005-0000-0000-0000AE380000}"/>
    <cellStyle name="40% - Accent2 3 2 10" xfId="14604" xr:uid="{00000000-0005-0000-0000-0000AF380000}"/>
    <cellStyle name="40% - Accent2 3 2 11" xfId="14605" xr:uid="{00000000-0005-0000-0000-0000B0380000}"/>
    <cellStyle name="40% - Accent2 3 2 2" xfId="14606" xr:uid="{00000000-0005-0000-0000-0000B1380000}"/>
    <cellStyle name="40% - Accent2 3 2 2 10" xfId="14607" xr:uid="{00000000-0005-0000-0000-0000B2380000}"/>
    <cellStyle name="40% - Accent2 3 2 2 2" xfId="14608" xr:uid="{00000000-0005-0000-0000-0000B3380000}"/>
    <cellStyle name="40% - Accent2 3 2 2 2 2" xfId="14609" xr:uid="{00000000-0005-0000-0000-0000B4380000}"/>
    <cellStyle name="40% - Accent2 3 2 2 2 2 2" xfId="14610" xr:uid="{00000000-0005-0000-0000-0000B5380000}"/>
    <cellStyle name="40% - Accent2 3 2 2 2 2 2 2" xfId="14611" xr:uid="{00000000-0005-0000-0000-0000B6380000}"/>
    <cellStyle name="40% - Accent2 3 2 2 2 2 2 2 2" xfId="14612" xr:uid="{00000000-0005-0000-0000-0000B7380000}"/>
    <cellStyle name="40% - Accent2 3 2 2 2 2 2 2 2 2" xfId="14613" xr:uid="{00000000-0005-0000-0000-0000B8380000}"/>
    <cellStyle name="40% - Accent2 3 2 2 2 2 2 2 2 2 2" xfId="14614" xr:uid="{00000000-0005-0000-0000-0000B9380000}"/>
    <cellStyle name="40% - Accent2 3 2 2 2 2 2 2 2 2 3" xfId="14615" xr:uid="{00000000-0005-0000-0000-0000BA380000}"/>
    <cellStyle name="40% - Accent2 3 2 2 2 2 2 2 2 3" xfId="14616" xr:uid="{00000000-0005-0000-0000-0000BB380000}"/>
    <cellStyle name="40% - Accent2 3 2 2 2 2 2 2 2 4" xfId="14617" xr:uid="{00000000-0005-0000-0000-0000BC380000}"/>
    <cellStyle name="40% - Accent2 3 2 2 2 2 2 2 3" xfId="14618" xr:uid="{00000000-0005-0000-0000-0000BD380000}"/>
    <cellStyle name="40% - Accent2 3 2 2 2 2 2 2 3 2" xfId="14619" xr:uid="{00000000-0005-0000-0000-0000BE380000}"/>
    <cellStyle name="40% - Accent2 3 2 2 2 2 2 2 3 3" xfId="14620" xr:uid="{00000000-0005-0000-0000-0000BF380000}"/>
    <cellStyle name="40% - Accent2 3 2 2 2 2 2 2 4" xfId="14621" xr:uid="{00000000-0005-0000-0000-0000C0380000}"/>
    <cellStyle name="40% - Accent2 3 2 2 2 2 2 2 5" xfId="14622" xr:uid="{00000000-0005-0000-0000-0000C1380000}"/>
    <cellStyle name="40% - Accent2 3 2 2 2 2 2 2 6" xfId="14623" xr:uid="{00000000-0005-0000-0000-0000C2380000}"/>
    <cellStyle name="40% - Accent2 3 2 2 2 2 2 3" xfId="14624" xr:uid="{00000000-0005-0000-0000-0000C3380000}"/>
    <cellStyle name="40% - Accent2 3 2 2 2 2 2 3 2" xfId="14625" xr:uid="{00000000-0005-0000-0000-0000C4380000}"/>
    <cellStyle name="40% - Accent2 3 2 2 2 2 2 3 2 2" xfId="14626" xr:uid="{00000000-0005-0000-0000-0000C5380000}"/>
    <cellStyle name="40% - Accent2 3 2 2 2 2 2 3 2 3" xfId="14627" xr:uid="{00000000-0005-0000-0000-0000C6380000}"/>
    <cellStyle name="40% - Accent2 3 2 2 2 2 2 3 3" xfId="14628" xr:uid="{00000000-0005-0000-0000-0000C7380000}"/>
    <cellStyle name="40% - Accent2 3 2 2 2 2 2 3 4" xfId="14629" xr:uid="{00000000-0005-0000-0000-0000C8380000}"/>
    <cellStyle name="40% - Accent2 3 2 2 2 2 2 4" xfId="14630" xr:uid="{00000000-0005-0000-0000-0000C9380000}"/>
    <cellStyle name="40% - Accent2 3 2 2 2 2 2 4 2" xfId="14631" xr:uid="{00000000-0005-0000-0000-0000CA380000}"/>
    <cellStyle name="40% - Accent2 3 2 2 2 2 2 4 3" xfId="14632" xr:uid="{00000000-0005-0000-0000-0000CB380000}"/>
    <cellStyle name="40% - Accent2 3 2 2 2 2 2 5" xfId="14633" xr:uid="{00000000-0005-0000-0000-0000CC380000}"/>
    <cellStyle name="40% - Accent2 3 2 2 2 2 2 6" xfId="14634" xr:uid="{00000000-0005-0000-0000-0000CD380000}"/>
    <cellStyle name="40% - Accent2 3 2 2 2 2 2 7" xfId="14635" xr:uid="{00000000-0005-0000-0000-0000CE380000}"/>
    <cellStyle name="40% - Accent2 3 2 2 2 2 3" xfId="14636" xr:uid="{00000000-0005-0000-0000-0000CF380000}"/>
    <cellStyle name="40% - Accent2 3 2 2 2 2 3 2" xfId="14637" xr:uid="{00000000-0005-0000-0000-0000D0380000}"/>
    <cellStyle name="40% - Accent2 3 2 2 2 2 3 2 2" xfId="14638" xr:uid="{00000000-0005-0000-0000-0000D1380000}"/>
    <cellStyle name="40% - Accent2 3 2 2 2 2 3 2 2 2" xfId="14639" xr:uid="{00000000-0005-0000-0000-0000D2380000}"/>
    <cellStyle name="40% - Accent2 3 2 2 2 2 3 2 2 3" xfId="14640" xr:uid="{00000000-0005-0000-0000-0000D3380000}"/>
    <cellStyle name="40% - Accent2 3 2 2 2 2 3 2 3" xfId="14641" xr:uid="{00000000-0005-0000-0000-0000D4380000}"/>
    <cellStyle name="40% - Accent2 3 2 2 2 2 3 2 4" xfId="14642" xr:uid="{00000000-0005-0000-0000-0000D5380000}"/>
    <cellStyle name="40% - Accent2 3 2 2 2 2 3 3" xfId="14643" xr:uid="{00000000-0005-0000-0000-0000D6380000}"/>
    <cellStyle name="40% - Accent2 3 2 2 2 2 3 3 2" xfId="14644" xr:uid="{00000000-0005-0000-0000-0000D7380000}"/>
    <cellStyle name="40% - Accent2 3 2 2 2 2 3 3 3" xfId="14645" xr:uid="{00000000-0005-0000-0000-0000D8380000}"/>
    <cellStyle name="40% - Accent2 3 2 2 2 2 3 4" xfId="14646" xr:uid="{00000000-0005-0000-0000-0000D9380000}"/>
    <cellStyle name="40% - Accent2 3 2 2 2 2 3 5" xfId="14647" xr:uid="{00000000-0005-0000-0000-0000DA380000}"/>
    <cellStyle name="40% - Accent2 3 2 2 2 2 3 6" xfId="14648" xr:uid="{00000000-0005-0000-0000-0000DB380000}"/>
    <cellStyle name="40% - Accent2 3 2 2 2 2 4" xfId="14649" xr:uid="{00000000-0005-0000-0000-0000DC380000}"/>
    <cellStyle name="40% - Accent2 3 2 2 2 2 4 2" xfId="14650" xr:uid="{00000000-0005-0000-0000-0000DD380000}"/>
    <cellStyle name="40% - Accent2 3 2 2 2 2 4 2 2" xfId="14651" xr:uid="{00000000-0005-0000-0000-0000DE380000}"/>
    <cellStyle name="40% - Accent2 3 2 2 2 2 4 2 3" xfId="14652" xr:uid="{00000000-0005-0000-0000-0000DF380000}"/>
    <cellStyle name="40% - Accent2 3 2 2 2 2 4 3" xfId="14653" xr:uid="{00000000-0005-0000-0000-0000E0380000}"/>
    <cellStyle name="40% - Accent2 3 2 2 2 2 4 4" xfId="14654" xr:uid="{00000000-0005-0000-0000-0000E1380000}"/>
    <cellStyle name="40% - Accent2 3 2 2 2 2 5" xfId="14655" xr:uid="{00000000-0005-0000-0000-0000E2380000}"/>
    <cellStyle name="40% - Accent2 3 2 2 2 2 5 2" xfId="14656" xr:uid="{00000000-0005-0000-0000-0000E3380000}"/>
    <cellStyle name="40% - Accent2 3 2 2 2 2 5 3" xfId="14657" xr:uid="{00000000-0005-0000-0000-0000E4380000}"/>
    <cellStyle name="40% - Accent2 3 2 2 2 2 6" xfId="14658" xr:uid="{00000000-0005-0000-0000-0000E5380000}"/>
    <cellStyle name="40% - Accent2 3 2 2 2 2 7" xfId="14659" xr:uid="{00000000-0005-0000-0000-0000E6380000}"/>
    <cellStyle name="40% - Accent2 3 2 2 2 2 8" xfId="14660" xr:uid="{00000000-0005-0000-0000-0000E7380000}"/>
    <cellStyle name="40% - Accent2 3 2 2 2 3" xfId="14661" xr:uid="{00000000-0005-0000-0000-0000E8380000}"/>
    <cellStyle name="40% - Accent2 3 2 2 2 3 2" xfId="14662" xr:uid="{00000000-0005-0000-0000-0000E9380000}"/>
    <cellStyle name="40% - Accent2 3 2 2 2 3 2 2" xfId="14663" xr:uid="{00000000-0005-0000-0000-0000EA380000}"/>
    <cellStyle name="40% - Accent2 3 2 2 2 3 2 2 2" xfId="14664" xr:uid="{00000000-0005-0000-0000-0000EB380000}"/>
    <cellStyle name="40% - Accent2 3 2 2 2 3 2 2 2 2" xfId="14665" xr:uid="{00000000-0005-0000-0000-0000EC380000}"/>
    <cellStyle name="40% - Accent2 3 2 2 2 3 2 2 2 3" xfId="14666" xr:uid="{00000000-0005-0000-0000-0000ED380000}"/>
    <cellStyle name="40% - Accent2 3 2 2 2 3 2 2 3" xfId="14667" xr:uid="{00000000-0005-0000-0000-0000EE380000}"/>
    <cellStyle name="40% - Accent2 3 2 2 2 3 2 2 4" xfId="14668" xr:uid="{00000000-0005-0000-0000-0000EF380000}"/>
    <cellStyle name="40% - Accent2 3 2 2 2 3 2 3" xfId="14669" xr:uid="{00000000-0005-0000-0000-0000F0380000}"/>
    <cellStyle name="40% - Accent2 3 2 2 2 3 2 3 2" xfId="14670" xr:uid="{00000000-0005-0000-0000-0000F1380000}"/>
    <cellStyle name="40% - Accent2 3 2 2 2 3 2 3 3" xfId="14671" xr:uid="{00000000-0005-0000-0000-0000F2380000}"/>
    <cellStyle name="40% - Accent2 3 2 2 2 3 2 4" xfId="14672" xr:uid="{00000000-0005-0000-0000-0000F3380000}"/>
    <cellStyle name="40% - Accent2 3 2 2 2 3 2 5" xfId="14673" xr:uid="{00000000-0005-0000-0000-0000F4380000}"/>
    <cellStyle name="40% - Accent2 3 2 2 2 3 2 6" xfId="14674" xr:uid="{00000000-0005-0000-0000-0000F5380000}"/>
    <cellStyle name="40% - Accent2 3 2 2 2 3 3" xfId="14675" xr:uid="{00000000-0005-0000-0000-0000F6380000}"/>
    <cellStyle name="40% - Accent2 3 2 2 2 3 3 2" xfId="14676" xr:uid="{00000000-0005-0000-0000-0000F7380000}"/>
    <cellStyle name="40% - Accent2 3 2 2 2 3 3 2 2" xfId="14677" xr:uid="{00000000-0005-0000-0000-0000F8380000}"/>
    <cellStyle name="40% - Accent2 3 2 2 2 3 3 2 3" xfId="14678" xr:uid="{00000000-0005-0000-0000-0000F9380000}"/>
    <cellStyle name="40% - Accent2 3 2 2 2 3 3 3" xfId="14679" xr:uid="{00000000-0005-0000-0000-0000FA380000}"/>
    <cellStyle name="40% - Accent2 3 2 2 2 3 3 4" xfId="14680" xr:uid="{00000000-0005-0000-0000-0000FB380000}"/>
    <cellStyle name="40% - Accent2 3 2 2 2 3 4" xfId="14681" xr:uid="{00000000-0005-0000-0000-0000FC380000}"/>
    <cellStyle name="40% - Accent2 3 2 2 2 3 4 2" xfId="14682" xr:uid="{00000000-0005-0000-0000-0000FD380000}"/>
    <cellStyle name="40% - Accent2 3 2 2 2 3 4 3" xfId="14683" xr:uid="{00000000-0005-0000-0000-0000FE380000}"/>
    <cellStyle name="40% - Accent2 3 2 2 2 3 5" xfId="14684" xr:uid="{00000000-0005-0000-0000-0000FF380000}"/>
    <cellStyle name="40% - Accent2 3 2 2 2 3 6" xfId="14685" xr:uid="{00000000-0005-0000-0000-000000390000}"/>
    <cellStyle name="40% - Accent2 3 2 2 2 3 7" xfId="14686" xr:uid="{00000000-0005-0000-0000-000001390000}"/>
    <cellStyle name="40% - Accent2 3 2 2 2 4" xfId="14687" xr:uid="{00000000-0005-0000-0000-000002390000}"/>
    <cellStyle name="40% - Accent2 3 2 2 2 4 2" xfId="14688" xr:uid="{00000000-0005-0000-0000-000003390000}"/>
    <cellStyle name="40% - Accent2 3 2 2 2 4 2 2" xfId="14689" xr:uid="{00000000-0005-0000-0000-000004390000}"/>
    <cellStyle name="40% - Accent2 3 2 2 2 4 2 2 2" xfId="14690" xr:uid="{00000000-0005-0000-0000-000005390000}"/>
    <cellStyle name="40% - Accent2 3 2 2 2 4 2 2 3" xfId="14691" xr:uid="{00000000-0005-0000-0000-000006390000}"/>
    <cellStyle name="40% - Accent2 3 2 2 2 4 2 3" xfId="14692" xr:uid="{00000000-0005-0000-0000-000007390000}"/>
    <cellStyle name="40% - Accent2 3 2 2 2 4 2 4" xfId="14693" xr:uid="{00000000-0005-0000-0000-000008390000}"/>
    <cellStyle name="40% - Accent2 3 2 2 2 4 3" xfId="14694" xr:uid="{00000000-0005-0000-0000-000009390000}"/>
    <cellStyle name="40% - Accent2 3 2 2 2 4 3 2" xfId="14695" xr:uid="{00000000-0005-0000-0000-00000A390000}"/>
    <cellStyle name="40% - Accent2 3 2 2 2 4 3 3" xfId="14696" xr:uid="{00000000-0005-0000-0000-00000B390000}"/>
    <cellStyle name="40% - Accent2 3 2 2 2 4 4" xfId="14697" xr:uid="{00000000-0005-0000-0000-00000C390000}"/>
    <cellStyle name="40% - Accent2 3 2 2 2 4 5" xfId="14698" xr:uid="{00000000-0005-0000-0000-00000D390000}"/>
    <cellStyle name="40% - Accent2 3 2 2 2 4 6" xfId="14699" xr:uid="{00000000-0005-0000-0000-00000E390000}"/>
    <cellStyle name="40% - Accent2 3 2 2 2 5" xfId="14700" xr:uid="{00000000-0005-0000-0000-00000F390000}"/>
    <cellStyle name="40% - Accent2 3 2 2 2 5 2" xfId="14701" xr:uid="{00000000-0005-0000-0000-000010390000}"/>
    <cellStyle name="40% - Accent2 3 2 2 2 5 2 2" xfId="14702" xr:uid="{00000000-0005-0000-0000-000011390000}"/>
    <cellStyle name="40% - Accent2 3 2 2 2 5 2 3" xfId="14703" xr:uid="{00000000-0005-0000-0000-000012390000}"/>
    <cellStyle name="40% - Accent2 3 2 2 2 5 3" xfId="14704" xr:uid="{00000000-0005-0000-0000-000013390000}"/>
    <cellStyle name="40% - Accent2 3 2 2 2 5 4" xfId="14705" xr:uid="{00000000-0005-0000-0000-000014390000}"/>
    <cellStyle name="40% - Accent2 3 2 2 2 6" xfId="14706" xr:uid="{00000000-0005-0000-0000-000015390000}"/>
    <cellStyle name="40% - Accent2 3 2 2 2 6 2" xfId="14707" xr:uid="{00000000-0005-0000-0000-000016390000}"/>
    <cellStyle name="40% - Accent2 3 2 2 2 6 3" xfId="14708" xr:uid="{00000000-0005-0000-0000-000017390000}"/>
    <cellStyle name="40% - Accent2 3 2 2 2 7" xfId="14709" xr:uid="{00000000-0005-0000-0000-000018390000}"/>
    <cellStyle name="40% - Accent2 3 2 2 2 8" xfId="14710" xr:uid="{00000000-0005-0000-0000-000019390000}"/>
    <cellStyle name="40% - Accent2 3 2 2 2 9" xfId="14711" xr:uid="{00000000-0005-0000-0000-00001A390000}"/>
    <cellStyle name="40% - Accent2 3 2 2 3" xfId="14712" xr:uid="{00000000-0005-0000-0000-00001B390000}"/>
    <cellStyle name="40% - Accent2 3 2 2 3 2" xfId="14713" xr:uid="{00000000-0005-0000-0000-00001C390000}"/>
    <cellStyle name="40% - Accent2 3 2 2 3 2 2" xfId="14714" xr:uid="{00000000-0005-0000-0000-00001D390000}"/>
    <cellStyle name="40% - Accent2 3 2 2 3 2 2 2" xfId="14715" xr:uid="{00000000-0005-0000-0000-00001E390000}"/>
    <cellStyle name="40% - Accent2 3 2 2 3 2 2 2 2" xfId="14716" xr:uid="{00000000-0005-0000-0000-00001F390000}"/>
    <cellStyle name="40% - Accent2 3 2 2 3 2 2 2 2 2" xfId="14717" xr:uid="{00000000-0005-0000-0000-000020390000}"/>
    <cellStyle name="40% - Accent2 3 2 2 3 2 2 2 2 3" xfId="14718" xr:uid="{00000000-0005-0000-0000-000021390000}"/>
    <cellStyle name="40% - Accent2 3 2 2 3 2 2 2 3" xfId="14719" xr:uid="{00000000-0005-0000-0000-000022390000}"/>
    <cellStyle name="40% - Accent2 3 2 2 3 2 2 2 4" xfId="14720" xr:uid="{00000000-0005-0000-0000-000023390000}"/>
    <cellStyle name="40% - Accent2 3 2 2 3 2 2 3" xfId="14721" xr:uid="{00000000-0005-0000-0000-000024390000}"/>
    <cellStyle name="40% - Accent2 3 2 2 3 2 2 3 2" xfId="14722" xr:uid="{00000000-0005-0000-0000-000025390000}"/>
    <cellStyle name="40% - Accent2 3 2 2 3 2 2 3 3" xfId="14723" xr:uid="{00000000-0005-0000-0000-000026390000}"/>
    <cellStyle name="40% - Accent2 3 2 2 3 2 2 4" xfId="14724" xr:uid="{00000000-0005-0000-0000-000027390000}"/>
    <cellStyle name="40% - Accent2 3 2 2 3 2 2 5" xfId="14725" xr:uid="{00000000-0005-0000-0000-000028390000}"/>
    <cellStyle name="40% - Accent2 3 2 2 3 2 2 6" xfId="14726" xr:uid="{00000000-0005-0000-0000-000029390000}"/>
    <cellStyle name="40% - Accent2 3 2 2 3 2 3" xfId="14727" xr:uid="{00000000-0005-0000-0000-00002A390000}"/>
    <cellStyle name="40% - Accent2 3 2 2 3 2 3 2" xfId="14728" xr:uid="{00000000-0005-0000-0000-00002B390000}"/>
    <cellStyle name="40% - Accent2 3 2 2 3 2 3 2 2" xfId="14729" xr:uid="{00000000-0005-0000-0000-00002C390000}"/>
    <cellStyle name="40% - Accent2 3 2 2 3 2 3 2 3" xfId="14730" xr:uid="{00000000-0005-0000-0000-00002D390000}"/>
    <cellStyle name="40% - Accent2 3 2 2 3 2 3 3" xfId="14731" xr:uid="{00000000-0005-0000-0000-00002E390000}"/>
    <cellStyle name="40% - Accent2 3 2 2 3 2 3 4" xfId="14732" xr:uid="{00000000-0005-0000-0000-00002F390000}"/>
    <cellStyle name="40% - Accent2 3 2 2 3 2 4" xfId="14733" xr:uid="{00000000-0005-0000-0000-000030390000}"/>
    <cellStyle name="40% - Accent2 3 2 2 3 2 4 2" xfId="14734" xr:uid="{00000000-0005-0000-0000-000031390000}"/>
    <cellStyle name="40% - Accent2 3 2 2 3 2 4 3" xfId="14735" xr:uid="{00000000-0005-0000-0000-000032390000}"/>
    <cellStyle name="40% - Accent2 3 2 2 3 2 5" xfId="14736" xr:uid="{00000000-0005-0000-0000-000033390000}"/>
    <cellStyle name="40% - Accent2 3 2 2 3 2 6" xfId="14737" xr:uid="{00000000-0005-0000-0000-000034390000}"/>
    <cellStyle name="40% - Accent2 3 2 2 3 2 7" xfId="14738" xr:uid="{00000000-0005-0000-0000-000035390000}"/>
    <cellStyle name="40% - Accent2 3 2 2 3 3" xfId="14739" xr:uid="{00000000-0005-0000-0000-000036390000}"/>
    <cellStyle name="40% - Accent2 3 2 2 3 3 2" xfId="14740" xr:uid="{00000000-0005-0000-0000-000037390000}"/>
    <cellStyle name="40% - Accent2 3 2 2 3 3 2 2" xfId="14741" xr:uid="{00000000-0005-0000-0000-000038390000}"/>
    <cellStyle name="40% - Accent2 3 2 2 3 3 2 2 2" xfId="14742" xr:uid="{00000000-0005-0000-0000-000039390000}"/>
    <cellStyle name="40% - Accent2 3 2 2 3 3 2 2 3" xfId="14743" xr:uid="{00000000-0005-0000-0000-00003A390000}"/>
    <cellStyle name="40% - Accent2 3 2 2 3 3 2 3" xfId="14744" xr:uid="{00000000-0005-0000-0000-00003B390000}"/>
    <cellStyle name="40% - Accent2 3 2 2 3 3 2 4" xfId="14745" xr:uid="{00000000-0005-0000-0000-00003C390000}"/>
    <cellStyle name="40% - Accent2 3 2 2 3 3 3" xfId="14746" xr:uid="{00000000-0005-0000-0000-00003D390000}"/>
    <cellStyle name="40% - Accent2 3 2 2 3 3 3 2" xfId="14747" xr:uid="{00000000-0005-0000-0000-00003E390000}"/>
    <cellStyle name="40% - Accent2 3 2 2 3 3 3 3" xfId="14748" xr:uid="{00000000-0005-0000-0000-00003F390000}"/>
    <cellStyle name="40% - Accent2 3 2 2 3 3 4" xfId="14749" xr:uid="{00000000-0005-0000-0000-000040390000}"/>
    <cellStyle name="40% - Accent2 3 2 2 3 3 5" xfId="14750" xr:uid="{00000000-0005-0000-0000-000041390000}"/>
    <cellStyle name="40% - Accent2 3 2 2 3 3 6" xfId="14751" xr:uid="{00000000-0005-0000-0000-000042390000}"/>
    <cellStyle name="40% - Accent2 3 2 2 3 4" xfId="14752" xr:uid="{00000000-0005-0000-0000-000043390000}"/>
    <cellStyle name="40% - Accent2 3 2 2 3 4 2" xfId="14753" xr:uid="{00000000-0005-0000-0000-000044390000}"/>
    <cellStyle name="40% - Accent2 3 2 2 3 4 2 2" xfId="14754" xr:uid="{00000000-0005-0000-0000-000045390000}"/>
    <cellStyle name="40% - Accent2 3 2 2 3 4 2 3" xfId="14755" xr:uid="{00000000-0005-0000-0000-000046390000}"/>
    <cellStyle name="40% - Accent2 3 2 2 3 4 3" xfId="14756" xr:uid="{00000000-0005-0000-0000-000047390000}"/>
    <cellStyle name="40% - Accent2 3 2 2 3 4 4" xfId="14757" xr:uid="{00000000-0005-0000-0000-000048390000}"/>
    <cellStyle name="40% - Accent2 3 2 2 3 5" xfId="14758" xr:uid="{00000000-0005-0000-0000-000049390000}"/>
    <cellStyle name="40% - Accent2 3 2 2 3 5 2" xfId="14759" xr:uid="{00000000-0005-0000-0000-00004A390000}"/>
    <cellStyle name="40% - Accent2 3 2 2 3 5 3" xfId="14760" xr:uid="{00000000-0005-0000-0000-00004B390000}"/>
    <cellStyle name="40% - Accent2 3 2 2 3 6" xfId="14761" xr:uid="{00000000-0005-0000-0000-00004C390000}"/>
    <cellStyle name="40% - Accent2 3 2 2 3 7" xfId="14762" xr:uid="{00000000-0005-0000-0000-00004D390000}"/>
    <cellStyle name="40% - Accent2 3 2 2 3 8" xfId="14763" xr:uid="{00000000-0005-0000-0000-00004E390000}"/>
    <cellStyle name="40% - Accent2 3 2 2 4" xfId="14764" xr:uid="{00000000-0005-0000-0000-00004F390000}"/>
    <cellStyle name="40% - Accent2 3 2 2 4 2" xfId="14765" xr:uid="{00000000-0005-0000-0000-000050390000}"/>
    <cellStyle name="40% - Accent2 3 2 2 4 2 2" xfId="14766" xr:uid="{00000000-0005-0000-0000-000051390000}"/>
    <cellStyle name="40% - Accent2 3 2 2 4 2 2 2" xfId="14767" xr:uid="{00000000-0005-0000-0000-000052390000}"/>
    <cellStyle name="40% - Accent2 3 2 2 4 2 2 2 2" xfId="14768" xr:uid="{00000000-0005-0000-0000-000053390000}"/>
    <cellStyle name="40% - Accent2 3 2 2 4 2 2 2 3" xfId="14769" xr:uid="{00000000-0005-0000-0000-000054390000}"/>
    <cellStyle name="40% - Accent2 3 2 2 4 2 2 3" xfId="14770" xr:uid="{00000000-0005-0000-0000-000055390000}"/>
    <cellStyle name="40% - Accent2 3 2 2 4 2 2 4" xfId="14771" xr:uid="{00000000-0005-0000-0000-000056390000}"/>
    <cellStyle name="40% - Accent2 3 2 2 4 2 3" xfId="14772" xr:uid="{00000000-0005-0000-0000-000057390000}"/>
    <cellStyle name="40% - Accent2 3 2 2 4 2 3 2" xfId="14773" xr:uid="{00000000-0005-0000-0000-000058390000}"/>
    <cellStyle name="40% - Accent2 3 2 2 4 2 3 3" xfId="14774" xr:uid="{00000000-0005-0000-0000-000059390000}"/>
    <cellStyle name="40% - Accent2 3 2 2 4 2 4" xfId="14775" xr:uid="{00000000-0005-0000-0000-00005A390000}"/>
    <cellStyle name="40% - Accent2 3 2 2 4 2 5" xfId="14776" xr:uid="{00000000-0005-0000-0000-00005B390000}"/>
    <cellStyle name="40% - Accent2 3 2 2 4 2 6" xfId="14777" xr:uid="{00000000-0005-0000-0000-00005C390000}"/>
    <cellStyle name="40% - Accent2 3 2 2 4 3" xfId="14778" xr:uid="{00000000-0005-0000-0000-00005D390000}"/>
    <cellStyle name="40% - Accent2 3 2 2 4 3 2" xfId="14779" xr:uid="{00000000-0005-0000-0000-00005E390000}"/>
    <cellStyle name="40% - Accent2 3 2 2 4 3 2 2" xfId="14780" xr:uid="{00000000-0005-0000-0000-00005F390000}"/>
    <cellStyle name="40% - Accent2 3 2 2 4 3 2 3" xfId="14781" xr:uid="{00000000-0005-0000-0000-000060390000}"/>
    <cellStyle name="40% - Accent2 3 2 2 4 3 3" xfId="14782" xr:uid="{00000000-0005-0000-0000-000061390000}"/>
    <cellStyle name="40% - Accent2 3 2 2 4 3 4" xfId="14783" xr:uid="{00000000-0005-0000-0000-000062390000}"/>
    <cellStyle name="40% - Accent2 3 2 2 4 4" xfId="14784" xr:uid="{00000000-0005-0000-0000-000063390000}"/>
    <cellStyle name="40% - Accent2 3 2 2 4 4 2" xfId="14785" xr:uid="{00000000-0005-0000-0000-000064390000}"/>
    <cellStyle name="40% - Accent2 3 2 2 4 4 3" xfId="14786" xr:uid="{00000000-0005-0000-0000-000065390000}"/>
    <cellStyle name="40% - Accent2 3 2 2 4 5" xfId="14787" xr:uid="{00000000-0005-0000-0000-000066390000}"/>
    <cellStyle name="40% - Accent2 3 2 2 4 6" xfId="14788" xr:uid="{00000000-0005-0000-0000-000067390000}"/>
    <cellStyle name="40% - Accent2 3 2 2 4 7" xfId="14789" xr:uid="{00000000-0005-0000-0000-000068390000}"/>
    <cellStyle name="40% - Accent2 3 2 2 5" xfId="14790" xr:uid="{00000000-0005-0000-0000-000069390000}"/>
    <cellStyle name="40% - Accent2 3 2 2 5 2" xfId="14791" xr:uid="{00000000-0005-0000-0000-00006A390000}"/>
    <cellStyle name="40% - Accent2 3 2 2 5 2 2" xfId="14792" xr:uid="{00000000-0005-0000-0000-00006B390000}"/>
    <cellStyle name="40% - Accent2 3 2 2 5 2 2 2" xfId="14793" xr:uid="{00000000-0005-0000-0000-00006C390000}"/>
    <cellStyle name="40% - Accent2 3 2 2 5 2 2 3" xfId="14794" xr:uid="{00000000-0005-0000-0000-00006D390000}"/>
    <cellStyle name="40% - Accent2 3 2 2 5 2 3" xfId="14795" xr:uid="{00000000-0005-0000-0000-00006E390000}"/>
    <cellStyle name="40% - Accent2 3 2 2 5 2 4" xfId="14796" xr:uid="{00000000-0005-0000-0000-00006F390000}"/>
    <cellStyle name="40% - Accent2 3 2 2 5 3" xfId="14797" xr:uid="{00000000-0005-0000-0000-000070390000}"/>
    <cellStyle name="40% - Accent2 3 2 2 5 3 2" xfId="14798" xr:uid="{00000000-0005-0000-0000-000071390000}"/>
    <cellStyle name="40% - Accent2 3 2 2 5 3 3" xfId="14799" xr:uid="{00000000-0005-0000-0000-000072390000}"/>
    <cellStyle name="40% - Accent2 3 2 2 5 4" xfId="14800" xr:uid="{00000000-0005-0000-0000-000073390000}"/>
    <cellStyle name="40% - Accent2 3 2 2 5 5" xfId="14801" xr:uid="{00000000-0005-0000-0000-000074390000}"/>
    <cellStyle name="40% - Accent2 3 2 2 5 6" xfId="14802" xr:uid="{00000000-0005-0000-0000-000075390000}"/>
    <cellStyle name="40% - Accent2 3 2 2 6" xfId="14803" xr:uid="{00000000-0005-0000-0000-000076390000}"/>
    <cellStyle name="40% - Accent2 3 2 2 6 2" xfId="14804" xr:uid="{00000000-0005-0000-0000-000077390000}"/>
    <cellStyle name="40% - Accent2 3 2 2 6 2 2" xfId="14805" xr:uid="{00000000-0005-0000-0000-000078390000}"/>
    <cellStyle name="40% - Accent2 3 2 2 6 2 3" xfId="14806" xr:uid="{00000000-0005-0000-0000-000079390000}"/>
    <cellStyle name="40% - Accent2 3 2 2 6 3" xfId="14807" xr:uid="{00000000-0005-0000-0000-00007A390000}"/>
    <cellStyle name="40% - Accent2 3 2 2 6 4" xfId="14808" xr:uid="{00000000-0005-0000-0000-00007B390000}"/>
    <cellStyle name="40% - Accent2 3 2 2 7" xfId="14809" xr:uid="{00000000-0005-0000-0000-00007C390000}"/>
    <cellStyle name="40% - Accent2 3 2 2 7 2" xfId="14810" xr:uid="{00000000-0005-0000-0000-00007D390000}"/>
    <cellStyle name="40% - Accent2 3 2 2 7 3" xfId="14811" xr:uid="{00000000-0005-0000-0000-00007E390000}"/>
    <cellStyle name="40% - Accent2 3 2 2 8" xfId="14812" xr:uid="{00000000-0005-0000-0000-00007F390000}"/>
    <cellStyle name="40% - Accent2 3 2 2 9" xfId="14813" xr:uid="{00000000-0005-0000-0000-000080390000}"/>
    <cellStyle name="40% - Accent2 3 2 3" xfId="14814" xr:uid="{00000000-0005-0000-0000-000081390000}"/>
    <cellStyle name="40% - Accent2 3 2 3 2" xfId="14815" xr:uid="{00000000-0005-0000-0000-000082390000}"/>
    <cellStyle name="40% - Accent2 3 2 3 2 2" xfId="14816" xr:uid="{00000000-0005-0000-0000-000083390000}"/>
    <cellStyle name="40% - Accent2 3 2 3 2 2 2" xfId="14817" xr:uid="{00000000-0005-0000-0000-000084390000}"/>
    <cellStyle name="40% - Accent2 3 2 3 2 2 2 2" xfId="14818" xr:uid="{00000000-0005-0000-0000-000085390000}"/>
    <cellStyle name="40% - Accent2 3 2 3 2 2 2 2 2" xfId="14819" xr:uid="{00000000-0005-0000-0000-000086390000}"/>
    <cellStyle name="40% - Accent2 3 2 3 2 2 2 2 2 2" xfId="14820" xr:uid="{00000000-0005-0000-0000-000087390000}"/>
    <cellStyle name="40% - Accent2 3 2 3 2 2 2 2 2 3" xfId="14821" xr:uid="{00000000-0005-0000-0000-000088390000}"/>
    <cellStyle name="40% - Accent2 3 2 3 2 2 2 2 3" xfId="14822" xr:uid="{00000000-0005-0000-0000-000089390000}"/>
    <cellStyle name="40% - Accent2 3 2 3 2 2 2 2 4" xfId="14823" xr:uid="{00000000-0005-0000-0000-00008A390000}"/>
    <cellStyle name="40% - Accent2 3 2 3 2 2 2 3" xfId="14824" xr:uid="{00000000-0005-0000-0000-00008B390000}"/>
    <cellStyle name="40% - Accent2 3 2 3 2 2 2 3 2" xfId="14825" xr:uid="{00000000-0005-0000-0000-00008C390000}"/>
    <cellStyle name="40% - Accent2 3 2 3 2 2 2 3 3" xfId="14826" xr:uid="{00000000-0005-0000-0000-00008D390000}"/>
    <cellStyle name="40% - Accent2 3 2 3 2 2 2 4" xfId="14827" xr:uid="{00000000-0005-0000-0000-00008E390000}"/>
    <cellStyle name="40% - Accent2 3 2 3 2 2 2 5" xfId="14828" xr:uid="{00000000-0005-0000-0000-00008F390000}"/>
    <cellStyle name="40% - Accent2 3 2 3 2 2 2 6" xfId="14829" xr:uid="{00000000-0005-0000-0000-000090390000}"/>
    <cellStyle name="40% - Accent2 3 2 3 2 2 3" xfId="14830" xr:uid="{00000000-0005-0000-0000-000091390000}"/>
    <cellStyle name="40% - Accent2 3 2 3 2 2 3 2" xfId="14831" xr:uid="{00000000-0005-0000-0000-000092390000}"/>
    <cellStyle name="40% - Accent2 3 2 3 2 2 3 2 2" xfId="14832" xr:uid="{00000000-0005-0000-0000-000093390000}"/>
    <cellStyle name="40% - Accent2 3 2 3 2 2 3 2 3" xfId="14833" xr:uid="{00000000-0005-0000-0000-000094390000}"/>
    <cellStyle name="40% - Accent2 3 2 3 2 2 3 3" xfId="14834" xr:uid="{00000000-0005-0000-0000-000095390000}"/>
    <cellStyle name="40% - Accent2 3 2 3 2 2 3 4" xfId="14835" xr:uid="{00000000-0005-0000-0000-000096390000}"/>
    <cellStyle name="40% - Accent2 3 2 3 2 2 4" xfId="14836" xr:uid="{00000000-0005-0000-0000-000097390000}"/>
    <cellStyle name="40% - Accent2 3 2 3 2 2 4 2" xfId="14837" xr:uid="{00000000-0005-0000-0000-000098390000}"/>
    <cellStyle name="40% - Accent2 3 2 3 2 2 4 3" xfId="14838" xr:uid="{00000000-0005-0000-0000-000099390000}"/>
    <cellStyle name="40% - Accent2 3 2 3 2 2 5" xfId="14839" xr:uid="{00000000-0005-0000-0000-00009A390000}"/>
    <cellStyle name="40% - Accent2 3 2 3 2 2 6" xfId="14840" xr:uid="{00000000-0005-0000-0000-00009B390000}"/>
    <cellStyle name="40% - Accent2 3 2 3 2 2 7" xfId="14841" xr:uid="{00000000-0005-0000-0000-00009C390000}"/>
    <cellStyle name="40% - Accent2 3 2 3 2 3" xfId="14842" xr:uid="{00000000-0005-0000-0000-00009D390000}"/>
    <cellStyle name="40% - Accent2 3 2 3 2 3 2" xfId="14843" xr:uid="{00000000-0005-0000-0000-00009E390000}"/>
    <cellStyle name="40% - Accent2 3 2 3 2 3 2 2" xfId="14844" xr:uid="{00000000-0005-0000-0000-00009F390000}"/>
    <cellStyle name="40% - Accent2 3 2 3 2 3 2 2 2" xfId="14845" xr:uid="{00000000-0005-0000-0000-0000A0390000}"/>
    <cellStyle name="40% - Accent2 3 2 3 2 3 2 2 3" xfId="14846" xr:uid="{00000000-0005-0000-0000-0000A1390000}"/>
    <cellStyle name="40% - Accent2 3 2 3 2 3 2 3" xfId="14847" xr:uid="{00000000-0005-0000-0000-0000A2390000}"/>
    <cellStyle name="40% - Accent2 3 2 3 2 3 2 4" xfId="14848" xr:uid="{00000000-0005-0000-0000-0000A3390000}"/>
    <cellStyle name="40% - Accent2 3 2 3 2 3 3" xfId="14849" xr:uid="{00000000-0005-0000-0000-0000A4390000}"/>
    <cellStyle name="40% - Accent2 3 2 3 2 3 3 2" xfId="14850" xr:uid="{00000000-0005-0000-0000-0000A5390000}"/>
    <cellStyle name="40% - Accent2 3 2 3 2 3 3 3" xfId="14851" xr:uid="{00000000-0005-0000-0000-0000A6390000}"/>
    <cellStyle name="40% - Accent2 3 2 3 2 3 4" xfId="14852" xr:uid="{00000000-0005-0000-0000-0000A7390000}"/>
    <cellStyle name="40% - Accent2 3 2 3 2 3 5" xfId="14853" xr:uid="{00000000-0005-0000-0000-0000A8390000}"/>
    <cellStyle name="40% - Accent2 3 2 3 2 3 6" xfId="14854" xr:uid="{00000000-0005-0000-0000-0000A9390000}"/>
    <cellStyle name="40% - Accent2 3 2 3 2 4" xfId="14855" xr:uid="{00000000-0005-0000-0000-0000AA390000}"/>
    <cellStyle name="40% - Accent2 3 2 3 2 4 2" xfId="14856" xr:uid="{00000000-0005-0000-0000-0000AB390000}"/>
    <cellStyle name="40% - Accent2 3 2 3 2 4 2 2" xfId="14857" xr:uid="{00000000-0005-0000-0000-0000AC390000}"/>
    <cellStyle name="40% - Accent2 3 2 3 2 4 2 3" xfId="14858" xr:uid="{00000000-0005-0000-0000-0000AD390000}"/>
    <cellStyle name="40% - Accent2 3 2 3 2 4 3" xfId="14859" xr:uid="{00000000-0005-0000-0000-0000AE390000}"/>
    <cellStyle name="40% - Accent2 3 2 3 2 4 4" xfId="14860" xr:uid="{00000000-0005-0000-0000-0000AF390000}"/>
    <cellStyle name="40% - Accent2 3 2 3 2 5" xfId="14861" xr:uid="{00000000-0005-0000-0000-0000B0390000}"/>
    <cellStyle name="40% - Accent2 3 2 3 2 5 2" xfId="14862" xr:uid="{00000000-0005-0000-0000-0000B1390000}"/>
    <cellStyle name="40% - Accent2 3 2 3 2 5 3" xfId="14863" xr:uid="{00000000-0005-0000-0000-0000B2390000}"/>
    <cellStyle name="40% - Accent2 3 2 3 2 6" xfId="14864" xr:uid="{00000000-0005-0000-0000-0000B3390000}"/>
    <cellStyle name="40% - Accent2 3 2 3 2 7" xfId="14865" xr:uid="{00000000-0005-0000-0000-0000B4390000}"/>
    <cellStyle name="40% - Accent2 3 2 3 2 8" xfId="14866" xr:uid="{00000000-0005-0000-0000-0000B5390000}"/>
    <cellStyle name="40% - Accent2 3 2 3 3" xfId="14867" xr:uid="{00000000-0005-0000-0000-0000B6390000}"/>
    <cellStyle name="40% - Accent2 3 2 3 3 2" xfId="14868" xr:uid="{00000000-0005-0000-0000-0000B7390000}"/>
    <cellStyle name="40% - Accent2 3 2 3 3 2 2" xfId="14869" xr:uid="{00000000-0005-0000-0000-0000B8390000}"/>
    <cellStyle name="40% - Accent2 3 2 3 3 2 2 2" xfId="14870" xr:uid="{00000000-0005-0000-0000-0000B9390000}"/>
    <cellStyle name="40% - Accent2 3 2 3 3 2 2 2 2" xfId="14871" xr:uid="{00000000-0005-0000-0000-0000BA390000}"/>
    <cellStyle name="40% - Accent2 3 2 3 3 2 2 2 3" xfId="14872" xr:uid="{00000000-0005-0000-0000-0000BB390000}"/>
    <cellStyle name="40% - Accent2 3 2 3 3 2 2 3" xfId="14873" xr:uid="{00000000-0005-0000-0000-0000BC390000}"/>
    <cellStyle name="40% - Accent2 3 2 3 3 2 2 4" xfId="14874" xr:uid="{00000000-0005-0000-0000-0000BD390000}"/>
    <cellStyle name="40% - Accent2 3 2 3 3 2 3" xfId="14875" xr:uid="{00000000-0005-0000-0000-0000BE390000}"/>
    <cellStyle name="40% - Accent2 3 2 3 3 2 3 2" xfId="14876" xr:uid="{00000000-0005-0000-0000-0000BF390000}"/>
    <cellStyle name="40% - Accent2 3 2 3 3 2 3 3" xfId="14877" xr:uid="{00000000-0005-0000-0000-0000C0390000}"/>
    <cellStyle name="40% - Accent2 3 2 3 3 2 4" xfId="14878" xr:uid="{00000000-0005-0000-0000-0000C1390000}"/>
    <cellStyle name="40% - Accent2 3 2 3 3 2 5" xfId="14879" xr:uid="{00000000-0005-0000-0000-0000C2390000}"/>
    <cellStyle name="40% - Accent2 3 2 3 3 2 6" xfId="14880" xr:uid="{00000000-0005-0000-0000-0000C3390000}"/>
    <cellStyle name="40% - Accent2 3 2 3 3 3" xfId="14881" xr:uid="{00000000-0005-0000-0000-0000C4390000}"/>
    <cellStyle name="40% - Accent2 3 2 3 3 3 2" xfId="14882" xr:uid="{00000000-0005-0000-0000-0000C5390000}"/>
    <cellStyle name="40% - Accent2 3 2 3 3 3 2 2" xfId="14883" xr:uid="{00000000-0005-0000-0000-0000C6390000}"/>
    <cellStyle name="40% - Accent2 3 2 3 3 3 2 3" xfId="14884" xr:uid="{00000000-0005-0000-0000-0000C7390000}"/>
    <cellStyle name="40% - Accent2 3 2 3 3 3 3" xfId="14885" xr:uid="{00000000-0005-0000-0000-0000C8390000}"/>
    <cellStyle name="40% - Accent2 3 2 3 3 3 4" xfId="14886" xr:uid="{00000000-0005-0000-0000-0000C9390000}"/>
    <cellStyle name="40% - Accent2 3 2 3 3 4" xfId="14887" xr:uid="{00000000-0005-0000-0000-0000CA390000}"/>
    <cellStyle name="40% - Accent2 3 2 3 3 4 2" xfId="14888" xr:uid="{00000000-0005-0000-0000-0000CB390000}"/>
    <cellStyle name="40% - Accent2 3 2 3 3 4 3" xfId="14889" xr:uid="{00000000-0005-0000-0000-0000CC390000}"/>
    <cellStyle name="40% - Accent2 3 2 3 3 5" xfId="14890" xr:uid="{00000000-0005-0000-0000-0000CD390000}"/>
    <cellStyle name="40% - Accent2 3 2 3 3 6" xfId="14891" xr:uid="{00000000-0005-0000-0000-0000CE390000}"/>
    <cellStyle name="40% - Accent2 3 2 3 3 7" xfId="14892" xr:uid="{00000000-0005-0000-0000-0000CF390000}"/>
    <cellStyle name="40% - Accent2 3 2 3 4" xfId="14893" xr:uid="{00000000-0005-0000-0000-0000D0390000}"/>
    <cellStyle name="40% - Accent2 3 2 3 4 2" xfId="14894" xr:uid="{00000000-0005-0000-0000-0000D1390000}"/>
    <cellStyle name="40% - Accent2 3 2 3 4 2 2" xfId="14895" xr:uid="{00000000-0005-0000-0000-0000D2390000}"/>
    <cellStyle name="40% - Accent2 3 2 3 4 2 2 2" xfId="14896" xr:uid="{00000000-0005-0000-0000-0000D3390000}"/>
    <cellStyle name="40% - Accent2 3 2 3 4 2 2 3" xfId="14897" xr:uid="{00000000-0005-0000-0000-0000D4390000}"/>
    <cellStyle name="40% - Accent2 3 2 3 4 2 3" xfId="14898" xr:uid="{00000000-0005-0000-0000-0000D5390000}"/>
    <cellStyle name="40% - Accent2 3 2 3 4 2 4" xfId="14899" xr:uid="{00000000-0005-0000-0000-0000D6390000}"/>
    <cellStyle name="40% - Accent2 3 2 3 4 3" xfId="14900" xr:uid="{00000000-0005-0000-0000-0000D7390000}"/>
    <cellStyle name="40% - Accent2 3 2 3 4 3 2" xfId="14901" xr:uid="{00000000-0005-0000-0000-0000D8390000}"/>
    <cellStyle name="40% - Accent2 3 2 3 4 3 3" xfId="14902" xr:uid="{00000000-0005-0000-0000-0000D9390000}"/>
    <cellStyle name="40% - Accent2 3 2 3 4 4" xfId="14903" xr:uid="{00000000-0005-0000-0000-0000DA390000}"/>
    <cellStyle name="40% - Accent2 3 2 3 4 5" xfId="14904" xr:uid="{00000000-0005-0000-0000-0000DB390000}"/>
    <cellStyle name="40% - Accent2 3 2 3 4 6" xfId="14905" xr:uid="{00000000-0005-0000-0000-0000DC390000}"/>
    <cellStyle name="40% - Accent2 3 2 3 5" xfId="14906" xr:uid="{00000000-0005-0000-0000-0000DD390000}"/>
    <cellStyle name="40% - Accent2 3 2 3 5 2" xfId="14907" xr:uid="{00000000-0005-0000-0000-0000DE390000}"/>
    <cellStyle name="40% - Accent2 3 2 3 5 2 2" xfId="14908" xr:uid="{00000000-0005-0000-0000-0000DF390000}"/>
    <cellStyle name="40% - Accent2 3 2 3 5 2 3" xfId="14909" xr:uid="{00000000-0005-0000-0000-0000E0390000}"/>
    <cellStyle name="40% - Accent2 3 2 3 5 3" xfId="14910" xr:uid="{00000000-0005-0000-0000-0000E1390000}"/>
    <cellStyle name="40% - Accent2 3 2 3 5 4" xfId="14911" xr:uid="{00000000-0005-0000-0000-0000E2390000}"/>
    <cellStyle name="40% - Accent2 3 2 3 6" xfId="14912" xr:uid="{00000000-0005-0000-0000-0000E3390000}"/>
    <cellStyle name="40% - Accent2 3 2 3 6 2" xfId="14913" xr:uid="{00000000-0005-0000-0000-0000E4390000}"/>
    <cellStyle name="40% - Accent2 3 2 3 6 3" xfId="14914" xr:uid="{00000000-0005-0000-0000-0000E5390000}"/>
    <cellStyle name="40% - Accent2 3 2 3 7" xfId="14915" xr:uid="{00000000-0005-0000-0000-0000E6390000}"/>
    <cellStyle name="40% - Accent2 3 2 3 8" xfId="14916" xr:uid="{00000000-0005-0000-0000-0000E7390000}"/>
    <cellStyle name="40% - Accent2 3 2 3 9" xfId="14917" xr:uid="{00000000-0005-0000-0000-0000E8390000}"/>
    <cellStyle name="40% - Accent2 3 2 4" xfId="14918" xr:uid="{00000000-0005-0000-0000-0000E9390000}"/>
    <cellStyle name="40% - Accent2 3 2 4 2" xfId="14919" xr:uid="{00000000-0005-0000-0000-0000EA390000}"/>
    <cellStyle name="40% - Accent2 3 2 4 2 2" xfId="14920" xr:uid="{00000000-0005-0000-0000-0000EB390000}"/>
    <cellStyle name="40% - Accent2 3 2 4 2 2 2" xfId="14921" xr:uid="{00000000-0005-0000-0000-0000EC390000}"/>
    <cellStyle name="40% - Accent2 3 2 4 2 2 2 2" xfId="14922" xr:uid="{00000000-0005-0000-0000-0000ED390000}"/>
    <cellStyle name="40% - Accent2 3 2 4 2 2 2 2 2" xfId="14923" xr:uid="{00000000-0005-0000-0000-0000EE390000}"/>
    <cellStyle name="40% - Accent2 3 2 4 2 2 2 2 3" xfId="14924" xr:uid="{00000000-0005-0000-0000-0000EF390000}"/>
    <cellStyle name="40% - Accent2 3 2 4 2 2 2 3" xfId="14925" xr:uid="{00000000-0005-0000-0000-0000F0390000}"/>
    <cellStyle name="40% - Accent2 3 2 4 2 2 2 4" xfId="14926" xr:uid="{00000000-0005-0000-0000-0000F1390000}"/>
    <cellStyle name="40% - Accent2 3 2 4 2 2 3" xfId="14927" xr:uid="{00000000-0005-0000-0000-0000F2390000}"/>
    <cellStyle name="40% - Accent2 3 2 4 2 2 3 2" xfId="14928" xr:uid="{00000000-0005-0000-0000-0000F3390000}"/>
    <cellStyle name="40% - Accent2 3 2 4 2 2 3 3" xfId="14929" xr:uid="{00000000-0005-0000-0000-0000F4390000}"/>
    <cellStyle name="40% - Accent2 3 2 4 2 2 4" xfId="14930" xr:uid="{00000000-0005-0000-0000-0000F5390000}"/>
    <cellStyle name="40% - Accent2 3 2 4 2 2 5" xfId="14931" xr:uid="{00000000-0005-0000-0000-0000F6390000}"/>
    <cellStyle name="40% - Accent2 3 2 4 2 2 6" xfId="14932" xr:uid="{00000000-0005-0000-0000-0000F7390000}"/>
    <cellStyle name="40% - Accent2 3 2 4 2 3" xfId="14933" xr:uid="{00000000-0005-0000-0000-0000F8390000}"/>
    <cellStyle name="40% - Accent2 3 2 4 2 3 2" xfId="14934" xr:uid="{00000000-0005-0000-0000-0000F9390000}"/>
    <cellStyle name="40% - Accent2 3 2 4 2 3 2 2" xfId="14935" xr:uid="{00000000-0005-0000-0000-0000FA390000}"/>
    <cellStyle name="40% - Accent2 3 2 4 2 3 2 3" xfId="14936" xr:uid="{00000000-0005-0000-0000-0000FB390000}"/>
    <cellStyle name="40% - Accent2 3 2 4 2 3 3" xfId="14937" xr:uid="{00000000-0005-0000-0000-0000FC390000}"/>
    <cellStyle name="40% - Accent2 3 2 4 2 3 4" xfId="14938" xr:uid="{00000000-0005-0000-0000-0000FD390000}"/>
    <cellStyle name="40% - Accent2 3 2 4 2 4" xfId="14939" xr:uid="{00000000-0005-0000-0000-0000FE390000}"/>
    <cellStyle name="40% - Accent2 3 2 4 2 4 2" xfId="14940" xr:uid="{00000000-0005-0000-0000-0000FF390000}"/>
    <cellStyle name="40% - Accent2 3 2 4 2 4 3" xfId="14941" xr:uid="{00000000-0005-0000-0000-0000003A0000}"/>
    <cellStyle name="40% - Accent2 3 2 4 2 5" xfId="14942" xr:uid="{00000000-0005-0000-0000-0000013A0000}"/>
    <cellStyle name="40% - Accent2 3 2 4 2 6" xfId="14943" xr:uid="{00000000-0005-0000-0000-0000023A0000}"/>
    <cellStyle name="40% - Accent2 3 2 4 2 7" xfId="14944" xr:uid="{00000000-0005-0000-0000-0000033A0000}"/>
    <cellStyle name="40% - Accent2 3 2 4 3" xfId="14945" xr:uid="{00000000-0005-0000-0000-0000043A0000}"/>
    <cellStyle name="40% - Accent2 3 2 4 3 2" xfId="14946" xr:uid="{00000000-0005-0000-0000-0000053A0000}"/>
    <cellStyle name="40% - Accent2 3 2 4 3 2 2" xfId="14947" xr:uid="{00000000-0005-0000-0000-0000063A0000}"/>
    <cellStyle name="40% - Accent2 3 2 4 3 2 2 2" xfId="14948" xr:uid="{00000000-0005-0000-0000-0000073A0000}"/>
    <cellStyle name="40% - Accent2 3 2 4 3 2 2 3" xfId="14949" xr:uid="{00000000-0005-0000-0000-0000083A0000}"/>
    <cellStyle name="40% - Accent2 3 2 4 3 2 3" xfId="14950" xr:uid="{00000000-0005-0000-0000-0000093A0000}"/>
    <cellStyle name="40% - Accent2 3 2 4 3 2 4" xfId="14951" xr:uid="{00000000-0005-0000-0000-00000A3A0000}"/>
    <cellStyle name="40% - Accent2 3 2 4 3 3" xfId="14952" xr:uid="{00000000-0005-0000-0000-00000B3A0000}"/>
    <cellStyle name="40% - Accent2 3 2 4 3 3 2" xfId="14953" xr:uid="{00000000-0005-0000-0000-00000C3A0000}"/>
    <cellStyle name="40% - Accent2 3 2 4 3 3 3" xfId="14954" xr:uid="{00000000-0005-0000-0000-00000D3A0000}"/>
    <cellStyle name="40% - Accent2 3 2 4 3 4" xfId="14955" xr:uid="{00000000-0005-0000-0000-00000E3A0000}"/>
    <cellStyle name="40% - Accent2 3 2 4 3 5" xfId="14956" xr:uid="{00000000-0005-0000-0000-00000F3A0000}"/>
    <cellStyle name="40% - Accent2 3 2 4 3 6" xfId="14957" xr:uid="{00000000-0005-0000-0000-0000103A0000}"/>
    <cellStyle name="40% - Accent2 3 2 4 4" xfId="14958" xr:uid="{00000000-0005-0000-0000-0000113A0000}"/>
    <cellStyle name="40% - Accent2 3 2 4 4 2" xfId="14959" xr:uid="{00000000-0005-0000-0000-0000123A0000}"/>
    <cellStyle name="40% - Accent2 3 2 4 4 2 2" xfId="14960" xr:uid="{00000000-0005-0000-0000-0000133A0000}"/>
    <cellStyle name="40% - Accent2 3 2 4 4 2 3" xfId="14961" xr:uid="{00000000-0005-0000-0000-0000143A0000}"/>
    <cellStyle name="40% - Accent2 3 2 4 4 3" xfId="14962" xr:uid="{00000000-0005-0000-0000-0000153A0000}"/>
    <cellStyle name="40% - Accent2 3 2 4 4 4" xfId="14963" xr:uid="{00000000-0005-0000-0000-0000163A0000}"/>
    <cellStyle name="40% - Accent2 3 2 4 5" xfId="14964" xr:uid="{00000000-0005-0000-0000-0000173A0000}"/>
    <cellStyle name="40% - Accent2 3 2 4 5 2" xfId="14965" xr:uid="{00000000-0005-0000-0000-0000183A0000}"/>
    <cellStyle name="40% - Accent2 3 2 4 5 3" xfId="14966" xr:uid="{00000000-0005-0000-0000-0000193A0000}"/>
    <cellStyle name="40% - Accent2 3 2 4 6" xfId="14967" xr:uid="{00000000-0005-0000-0000-00001A3A0000}"/>
    <cellStyle name="40% - Accent2 3 2 4 7" xfId="14968" xr:uid="{00000000-0005-0000-0000-00001B3A0000}"/>
    <cellStyle name="40% - Accent2 3 2 4 8" xfId="14969" xr:uid="{00000000-0005-0000-0000-00001C3A0000}"/>
    <cellStyle name="40% - Accent2 3 2 5" xfId="14970" xr:uid="{00000000-0005-0000-0000-00001D3A0000}"/>
    <cellStyle name="40% - Accent2 3 2 5 2" xfId="14971" xr:uid="{00000000-0005-0000-0000-00001E3A0000}"/>
    <cellStyle name="40% - Accent2 3 2 5 2 2" xfId="14972" xr:uid="{00000000-0005-0000-0000-00001F3A0000}"/>
    <cellStyle name="40% - Accent2 3 2 5 2 2 2" xfId="14973" xr:uid="{00000000-0005-0000-0000-0000203A0000}"/>
    <cellStyle name="40% - Accent2 3 2 5 2 2 2 2" xfId="14974" xr:uid="{00000000-0005-0000-0000-0000213A0000}"/>
    <cellStyle name="40% - Accent2 3 2 5 2 2 2 3" xfId="14975" xr:uid="{00000000-0005-0000-0000-0000223A0000}"/>
    <cellStyle name="40% - Accent2 3 2 5 2 2 3" xfId="14976" xr:uid="{00000000-0005-0000-0000-0000233A0000}"/>
    <cellStyle name="40% - Accent2 3 2 5 2 2 4" xfId="14977" xr:uid="{00000000-0005-0000-0000-0000243A0000}"/>
    <cellStyle name="40% - Accent2 3 2 5 2 3" xfId="14978" xr:uid="{00000000-0005-0000-0000-0000253A0000}"/>
    <cellStyle name="40% - Accent2 3 2 5 2 3 2" xfId="14979" xr:uid="{00000000-0005-0000-0000-0000263A0000}"/>
    <cellStyle name="40% - Accent2 3 2 5 2 3 3" xfId="14980" xr:uid="{00000000-0005-0000-0000-0000273A0000}"/>
    <cellStyle name="40% - Accent2 3 2 5 2 4" xfId="14981" xr:uid="{00000000-0005-0000-0000-0000283A0000}"/>
    <cellStyle name="40% - Accent2 3 2 5 2 5" xfId="14982" xr:uid="{00000000-0005-0000-0000-0000293A0000}"/>
    <cellStyle name="40% - Accent2 3 2 5 2 6" xfId="14983" xr:uid="{00000000-0005-0000-0000-00002A3A0000}"/>
    <cellStyle name="40% - Accent2 3 2 5 3" xfId="14984" xr:uid="{00000000-0005-0000-0000-00002B3A0000}"/>
    <cellStyle name="40% - Accent2 3 2 5 3 2" xfId="14985" xr:uid="{00000000-0005-0000-0000-00002C3A0000}"/>
    <cellStyle name="40% - Accent2 3 2 5 3 2 2" xfId="14986" xr:uid="{00000000-0005-0000-0000-00002D3A0000}"/>
    <cellStyle name="40% - Accent2 3 2 5 3 2 3" xfId="14987" xr:uid="{00000000-0005-0000-0000-00002E3A0000}"/>
    <cellStyle name="40% - Accent2 3 2 5 3 3" xfId="14988" xr:uid="{00000000-0005-0000-0000-00002F3A0000}"/>
    <cellStyle name="40% - Accent2 3 2 5 3 4" xfId="14989" xr:uid="{00000000-0005-0000-0000-0000303A0000}"/>
    <cellStyle name="40% - Accent2 3 2 5 4" xfId="14990" xr:uid="{00000000-0005-0000-0000-0000313A0000}"/>
    <cellStyle name="40% - Accent2 3 2 5 4 2" xfId="14991" xr:uid="{00000000-0005-0000-0000-0000323A0000}"/>
    <cellStyle name="40% - Accent2 3 2 5 4 3" xfId="14992" xr:uid="{00000000-0005-0000-0000-0000333A0000}"/>
    <cellStyle name="40% - Accent2 3 2 5 5" xfId="14993" xr:uid="{00000000-0005-0000-0000-0000343A0000}"/>
    <cellStyle name="40% - Accent2 3 2 5 6" xfId="14994" xr:uid="{00000000-0005-0000-0000-0000353A0000}"/>
    <cellStyle name="40% - Accent2 3 2 5 7" xfId="14995" xr:uid="{00000000-0005-0000-0000-0000363A0000}"/>
    <cellStyle name="40% - Accent2 3 2 6" xfId="14996" xr:uid="{00000000-0005-0000-0000-0000373A0000}"/>
    <cellStyle name="40% - Accent2 3 2 6 2" xfId="14997" xr:uid="{00000000-0005-0000-0000-0000383A0000}"/>
    <cellStyle name="40% - Accent2 3 2 6 2 2" xfId="14998" xr:uid="{00000000-0005-0000-0000-0000393A0000}"/>
    <cellStyle name="40% - Accent2 3 2 6 2 2 2" xfId="14999" xr:uid="{00000000-0005-0000-0000-00003A3A0000}"/>
    <cellStyle name="40% - Accent2 3 2 6 2 2 3" xfId="15000" xr:uid="{00000000-0005-0000-0000-00003B3A0000}"/>
    <cellStyle name="40% - Accent2 3 2 6 2 3" xfId="15001" xr:uid="{00000000-0005-0000-0000-00003C3A0000}"/>
    <cellStyle name="40% - Accent2 3 2 6 2 4" xfId="15002" xr:uid="{00000000-0005-0000-0000-00003D3A0000}"/>
    <cellStyle name="40% - Accent2 3 2 6 3" xfId="15003" xr:uid="{00000000-0005-0000-0000-00003E3A0000}"/>
    <cellStyle name="40% - Accent2 3 2 6 3 2" xfId="15004" xr:uid="{00000000-0005-0000-0000-00003F3A0000}"/>
    <cellStyle name="40% - Accent2 3 2 6 3 3" xfId="15005" xr:uid="{00000000-0005-0000-0000-0000403A0000}"/>
    <cellStyle name="40% - Accent2 3 2 6 4" xfId="15006" xr:uid="{00000000-0005-0000-0000-0000413A0000}"/>
    <cellStyle name="40% - Accent2 3 2 6 5" xfId="15007" xr:uid="{00000000-0005-0000-0000-0000423A0000}"/>
    <cellStyle name="40% - Accent2 3 2 6 6" xfId="15008" xr:uid="{00000000-0005-0000-0000-0000433A0000}"/>
    <cellStyle name="40% - Accent2 3 2 7" xfId="15009" xr:uid="{00000000-0005-0000-0000-0000443A0000}"/>
    <cellStyle name="40% - Accent2 3 2 7 2" xfId="15010" xr:uid="{00000000-0005-0000-0000-0000453A0000}"/>
    <cellStyle name="40% - Accent2 3 2 7 2 2" xfId="15011" xr:uid="{00000000-0005-0000-0000-0000463A0000}"/>
    <cellStyle name="40% - Accent2 3 2 7 2 3" xfId="15012" xr:uid="{00000000-0005-0000-0000-0000473A0000}"/>
    <cellStyle name="40% - Accent2 3 2 7 3" xfId="15013" xr:uid="{00000000-0005-0000-0000-0000483A0000}"/>
    <cellStyle name="40% - Accent2 3 2 7 4" xfId="15014" xr:uid="{00000000-0005-0000-0000-0000493A0000}"/>
    <cellStyle name="40% - Accent2 3 2 8" xfId="15015" xr:uid="{00000000-0005-0000-0000-00004A3A0000}"/>
    <cellStyle name="40% - Accent2 3 2 8 2" xfId="15016" xr:uid="{00000000-0005-0000-0000-00004B3A0000}"/>
    <cellStyle name="40% - Accent2 3 2 8 3" xfId="15017" xr:uid="{00000000-0005-0000-0000-00004C3A0000}"/>
    <cellStyle name="40% - Accent2 3 2 9" xfId="15018" xr:uid="{00000000-0005-0000-0000-00004D3A0000}"/>
    <cellStyle name="40% - Accent2 3 3" xfId="15019" xr:uid="{00000000-0005-0000-0000-00004E3A0000}"/>
    <cellStyle name="40% - Accent2 3 3 10" xfId="15020" xr:uid="{00000000-0005-0000-0000-00004F3A0000}"/>
    <cellStyle name="40% - Accent2 3 3 2" xfId="15021" xr:uid="{00000000-0005-0000-0000-0000503A0000}"/>
    <cellStyle name="40% - Accent2 3 3 2 2" xfId="15022" xr:uid="{00000000-0005-0000-0000-0000513A0000}"/>
    <cellStyle name="40% - Accent2 3 3 2 2 2" xfId="15023" xr:uid="{00000000-0005-0000-0000-0000523A0000}"/>
    <cellStyle name="40% - Accent2 3 3 2 2 2 2" xfId="15024" xr:uid="{00000000-0005-0000-0000-0000533A0000}"/>
    <cellStyle name="40% - Accent2 3 3 2 2 2 2 2" xfId="15025" xr:uid="{00000000-0005-0000-0000-0000543A0000}"/>
    <cellStyle name="40% - Accent2 3 3 2 2 2 2 2 2" xfId="15026" xr:uid="{00000000-0005-0000-0000-0000553A0000}"/>
    <cellStyle name="40% - Accent2 3 3 2 2 2 2 2 2 2" xfId="15027" xr:uid="{00000000-0005-0000-0000-0000563A0000}"/>
    <cellStyle name="40% - Accent2 3 3 2 2 2 2 2 2 3" xfId="15028" xr:uid="{00000000-0005-0000-0000-0000573A0000}"/>
    <cellStyle name="40% - Accent2 3 3 2 2 2 2 2 3" xfId="15029" xr:uid="{00000000-0005-0000-0000-0000583A0000}"/>
    <cellStyle name="40% - Accent2 3 3 2 2 2 2 2 4" xfId="15030" xr:uid="{00000000-0005-0000-0000-0000593A0000}"/>
    <cellStyle name="40% - Accent2 3 3 2 2 2 2 3" xfId="15031" xr:uid="{00000000-0005-0000-0000-00005A3A0000}"/>
    <cellStyle name="40% - Accent2 3 3 2 2 2 2 3 2" xfId="15032" xr:uid="{00000000-0005-0000-0000-00005B3A0000}"/>
    <cellStyle name="40% - Accent2 3 3 2 2 2 2 3 3" xfId="15033" xr:uid="{00000000-0005-0000-0000-00005C3A0000}"/>
    <cellStyle name="40% - Accent2 3 3 2 2 2 2 4" xfId="15034" xr:uid="{00000000-0005-0000-0000-00005D3A0000}"/>
    <cellStyle name="40% - Accent2 3 3 2 2 2 2 5" xfId="15035" xr:uid="{00000000-0005-0000-0000-00005E3A0000}"/>
    <cellStyle name="40% - Accent2 3 3 2 2 2 2 6" xfId="15036" xr:uid="{00000000-0005-0000-0000-00005F3A0000}"/>
    <cellStyle name="40% - Accent2 3 3 2 2 2 3" xfId="15037" xr:uid="{00000000-0005-0000-0000-0000603A0000}"/>
    <cellStyle name="40% - Accent2 3 3 2 2 2 3 2" xfId="15038" xr:uid="{00000000-0005-0000-0000-0000613A0000}"/>
    <cellStyle name="40% - Accent2 3 3 2 2 2 3 2 2" xfId="15039" xr:uid="{00000000-0005-0000-0000-0000623A0000}"/>
    <cellStyle name="40% - Accent2 3 3 2 2 2 3 2 3" xfId="15040" xr:uid="{00000000-0005-0000-0000-0000633A0000}"/>
    <cellStyle name="40% - Accent2 3 3 2 2 2 3 3" xfId="15041" xr:uid="{00000000-0005-0000-0000-0000643A0000}"/>
    <cellStyle name="40% - Accent2 3 3 2 2 2 3 4" xfId="15042" xr:uid="{00000000-0005-0000-0000-0000653A0000}"/>
    <cellStyle name="40% - Accent2 3 3 2 2 2 4" xfId="15043" xr:uid="{00000000-0005-0000-0000-0000663A0000}"/>
    <cellStyle name="40% - Accent2 3 3 2 2 2 4 2" xfId="15044" xr:uid="{00000000-0005-0000-0000-0000673A0000}"/>
    <cellStyle name="40% - Accent2 3 3 2 2 2 4 3" xfId="15045" xr:uid="{00000000-0005-0000-0000-0000683A0000}"/>
    <cellStyle name="40% - Accent2 3 3 2 2 2 5" xfId="15046" xr:uid="{00000000-0005-0000-0000-0000693A0000}"/>
    <cellStyle name="40% - Accent2 3 3 2 2 2 6" xfId="15047" xr:uid="{00000000-0005-0000-0000-00006A3A0000}"/>
    <cellStyle name="40% - Accent2 3 3 2 2 2 7" xfId="15048" xr:uid="{00000000-0005-0000-0000-00006B3A0000}"/>
    <cellStyle name="40% - Accent2 3 3 2 2 3" xfId="15049" xr:uid="{00000000-0005-0000-0000-00006C3A0000}"/>
    <cellStyle name="40% - Accent2 3 3 2 2 3 2" xfId="15050" xr:uid="{00000000-0005-0000-0000-00006D3A0000}"/>
    <cellStyle name="40% - Accent2 3 3 2 2 3 2 2" xfId="15051" xr:uid="{00000000-0005-0000-0000-00006E3A0000}"/>
    <cellStyle name="40% - Accent2 3 3 2 2 3 2 2 2" xfId="15052" xr:uid="{00000000-0005-0000-0000-00006F3A0000}"/>
    <cellStyle name="40% - Accent2 3 3 2 2 3 2 2 3" xfId="15053" xr:uid="{00000000-0005-0000-0000-0000703A0000}"/>
    <cellStyle name="40% - Accent2 3 3 2 2 3 2 3" xfId="15054" xr:uid="{00000000-0005-0000-0000-0000713A0000}"/>
    <cellStyle name="40% - Accent2 3 3 2 2 3 2 4" xfId="15055" xr:uid="{00000000-0005-0000-0000-0000723A0000}"/>
    <cellStyle name="40% - Accent2 3 3 2 2 3 3" xfId="15056" xr:uid="{00000000-0005-0000-0000-0000733A0000}"/>
    <cellStyle name="40% - Accent2 3 3 2 2 3 3 2" xfId="15057" xr:uid="{00000000-0005-0000-0000-0000743A0000}"/>
    <cellStyle name="40% - Accent2 3 3 2 2 3 3 3" xfId="15058" xr:uid="{00000000-0005-0000-0000-0000753A0000}"/>
    <cellStyle name="40% - Accent2 3 3 2 2 3 4" xfId="15059" xr:uid="{00000000-0005-0000-0000-0000763A0000}"/>
    <cellStyle name="40% - Accent2 3 3 2 2 3 5" xfId="15060" xr:uid="{00000000-0005-0000-0000-0000773A0000}"/>
    <cellStyle name="40% - Accent2 3 3 2 2 3 6" xfId="15061" xr:uid="{00000000-0005-0000-0000-0000783A0000}"/>
    <cellStyle name="40% - Accent2 3 3 2 2 4" xfId="15062" xr:uid="{00000000-0005-0000-0000-0000793A0000}"/>
    <cellStyle name="40% - Accent2 3 3 2 2 4 2" xfId="15063" xr:uid="{00000000-0005-0000-0000-00007A3A0000}"/>
    <cellStyle name="40% - Accent2 3 3 2 2 4 2 2" xfId="15064" xr:uid="{00000000-0005-0000-0000-00007B3A0000}"/>
    <cellStyle name="40% - Accent2 3 3 2 2 4 2 3" xfId="15065" xr:uid="{00000000-0005-0000-0000-00007C3A0000}"/>
    <cellStyle name="40% - Accent2 3 3 2 2 4 3" xfId="15066" xr:uid="{00000000-0005-0000-0000-00007D3A0000}"/>
    <cellStyle name="40% - Accent2 3 3 2 2 4 4" xfId="15067" xr:uid="{00000000-0005-0000-0000-00007E3A0000}"/>
    <cellStyle name="40% - Accent2 3 3 2 2 5" xfId="15068" xr:uid="{00000000-0005-0000-0000-00007F3A0000}"/>
    <cellStyle name="40% - Accent2 3 3 2 2 5 2" xfId="15069" xr:uid="{00000000-0005-0000-0000-0000803A0000}"/>
    <cellStyle name="40% - Accent2 3 3 2 2 5 3" xfId="15070" xr:uid="{00000000-0005-0000-0000-0000813A0000}"/>
    <cellStyle name="40% - Accent2 3 3 2 2 6" xfId="15071" xr:uid="{00000000-0005-0000-0000-0000823A0000}"/>
    <cellStyle name="40% - Accent2 3 3 2 2 7" xfId="15072" xr:uid="{00000000-0005-0000-0000-0000833A0000}"/>
    <cellStyle name="40% - Accent2 3 3 2 2 8" xfId="15073" xr:uid="{00000000-0005-0000-0000-0000843A0000}"/>
    <cellStyle name="40% - Accent2 3 3 2 3" xfId="15074" xr:uid="{00000000-0005-0000-0000-0000853A0000}"/>
    <cellStyle name="40% - Accent2 3 3 2 3 2" xfId="15075" xr:uid="{00000000-0005-0000-0000-0000863A0000}"/>
    <cellStyle name="40% - Accent2 3 3 2 3 2 2" xfId="15076" xr:uid="{00000000-0005-0000-0000-0000873A0000}"/>
    <cellStyle name="40% - Accent2 3 3 2 3 2 2 2" xfId="15077" xr:uid="{00000000-0005-0000-0000-0000883A0000}"/>
    <cellStyle name="40% - Accent2 3 3 2 3 2 2 2 2" xfId="15078" xr:uid="{00000000-0005-0000-0000-0000893A0000}"/>
    <cellStyle name="40% - Accent2 3 3 2 3 2 2 2 3" xfId="15079" xr:uid="{00000000-0005-0000-0000-00008A3A0000}"/>
    <cellStyle name="40% - Accent2 3 3 2 3 2 2 3" xfId="15080" xr:uid="{00000000-0005-0000-0000-00008B3A0000}"/>
    <cellStyle name="40% - Accent2 3 3 2 3 2 2 4" xfId="15081" xr:uid="{00000000-0005-0000-0000-00008C3A0000}"/>
    <cellStyle name="40% - Accent2 3 3 2 3 2 3" xfId="15082" xr:uid="{00000000-0005-0000-0000-00008D3A0000}"/>
    <cellStyle name="40% - Accent2 3 3 2 3 2 3 2" xfId="15083" xr:uid="{00000000-0005-0000-0000-00008E3A0000}"/>
    <cellStyle name="40% - Accent2 3 3 2 3 2 3 3" xfId="15084" xr:uid="{00000000-0005-0000-0000-00008F3A0000}"/>
    <cellStyle name="40% - Accent2 3 3 2 3 2 4" xfId="15085" xr:uid="{00000000-0005-0000-0000-0000903A0000}"/>
    <cellStyle name="40% - Accent2 3 3 2 3 2 5" xfId="15086" xr:uid="{00000000-0005-0000-0000-0000913A0000}"/>
    <cellStyle name="40% - Accent2 3 3 2 3 2 6" xfId="15087" xr:uid="{00000000-0005-0000-0000-0000923A0000}"/>
    <cellStyle name="40% - Accent2 3 3 2 3 3" xfId="15088" xr:uid="{00000000-0005-0000-0000-0000933A0000}"/>
    <cellStyle name="40% - Accent2 3 3 2 3 3 2" xfId="15089" xr:uid="{00000000-0005-0000-0000-0000943A0000}"/>
    <cellStyle name="40% - Accent2 3 3 2 3 3 2 2" xfId="15090" xr:uid="{00000000-0005-0000-0000-0000953A0000}"/>
    <cellStyle name="40% - Accent2 3 3 2 3 3 2 3" xfId="15091" xr:uid="{00000000-0005-0000-0000-0000963A0000}"/>
    <cellStyle name="40% - Accent2 3 3 2 3 3 3" xfId="15092" xr:uid="{00000000-0005-0000-0000-0000973A0000}"/>
    <cellStyle name="40% - Accent2 3 3 2 3 3 4" xfId="15093" xr:uid="{00000000-0005-0000-0000-0000983A0000}"/>
    <cellStyle name="40% - Accent2 3 3 2 3 4" xfId="15094" xr:uid="{00000000-0005-0000-0000-0000993A0000}"/>
    <cellStyle name="40% - Accent2 3 3 2 3 4 2" xfId="15095" xr:uid="{00000000-0005-0000-0000-00009A3A0000}"/>
    <cellStyle name="40% - Accent2 3 3 2 3 4 3" xfId="15096" xr:uid="{00000000-0005-0000-0000-00009B3A0000}"/>
    <cellStyle name="40% - Accent2 3 3 2 3 5" xfId="15097" xr:uid="{00000000-0005-0000-0000-00009C3A0000}"/>
    <cellStyle name="40% - Accent2 3 3 2 3 6" xfId="15098" xr:uid="{00000000-0005-0000-0000-00009D3A0000}"/>
    <cellStyle name="40% - Accent2 3 3 2 3 7" xfId="15099" xr:uid="{00000000-0005-0000-0000-00009E3A0000}"/>
    <cellStyle name="40% - Accent2 3 3 2 4" xfId="15100" xr:uid="{00000000-0005-0000-0000-00009F3A0000}"/>
    <cellStyle name="40% - Accent2 3 3 2 4 2" xfId="15101" xr:uid="{00000000-0005-0000-0000-0000A03A0000}"/>
    <cellStyle name="40% - Accent2 3 3 2 4 2 2" xfId="15102" xr:uid="{00000000-0005-0000-0000-0000A13A0000}"/>
    <cellStyle name="40% - Accent2 3 3 2 4 2 2 2" xfId="15103" xr:uid="{00000000-0005-0000-0000-0000A23A0000}"/>
    <cellStyle name="40% - Accent2 3 3 2 4 2 2 3" xfId="15104" xr:uid="{00000000-0005-0000-0000-0000A33A0000}"/>
    <cellStyle name="40% - Accent2 3 3 2 4 2 3" xfId="15105" xr:uid="{00000000-0005-0000-0000-0000A43A0000}"/>
    <cellStyle name="40% - Accent2 3 3 2 4 2 4" xfId="15106" xr:uid="{00000000-0005-0000-0000-0000A53A0000}"/>
    <cellStyle name="40% - Accent2 3 3 2 4 3" xfId="15107" xr:uid="{00000000-0005-0000-0000-0000A63A0000}"/>
    <cellStyle name="40% - Accent2 3 3 2 4 3 2" xfId="15108" xr:uid="{00000000-0005-0000-0000-0000A73A0000}"/>
    <cellStyle name="40% - Accent2 3 3 2 4 3 3" xfId="15109" xr:uid="{00000000-0005-0000-0000-0000A83A0000}"/>
    <cellStyle name="40% - Accent2 3 3 2 4 4" xfId="15110" xr:uid="{00000000-0005-0000-0000-0000A93A0000}"/>
    <cellStyle name="40% - Accent2 3 3 2 4 5" xfId="15111" xr:uid="{00000000-0005-0000-0000-0000AA3A0000}"/>
    <cellStyle name="40% - Accent2 3 3 2 4 6" xfId="15112" xr:uid="{00000000-0005-0000-0000-0000AB3A0000}"/>
    <cellStyle name="40% - Accent2 3 3 2 5" xfId="15113" xr:uid="{00000000-0005-0000-0000-0000AC3A0000}"/>
    <cellStyle name="40% - Accent2 3 3 2 5 2" xfId="15114" xr:uid="{00000000-0005-0000-0000-0000AD3A0000}"/>
    <cellStyle name="40% - Accent2 3 3 2 5 2 2" xfId="15115" xr:uid="{00000000-0005-0000-0000-0000AE3A0000}"/>
    <cellStyle name="40% - Accent2 3 3 2 5 2 3" xfId="15116" xr:uid="{00000000-0005-0000-0000-0000AF3A0000}"/>
    <cellStyle name="40% - Accent2 3 3 2 5 3" xfId="15117" xr:uid="{00000000-0005-0000-0000-0000B03A0000}"/>
    <cellStyle name="40% - Accent2 3 3 2 5 4" xfId="15118" xr:uid="{00000000-0005-0000-0000-0000B13A0000}"/>
    <cellStyle name="40% - Accent2 3 3 2 6" xfId="15119" xr:uid="{00000000-0005-0000-0000-0000B23A0000}"/>
    <cellStyle name="40% - Accent2 3 3 2 6 2" xfId="15120" xr:uid="{00000000-0005-0000-0000-0000B33A0000}"/>
    <cellStyle name="40% - Accent2 3 3 2 6 3" xfId="15121" xr:uid="{00000000-0005-0000-0000-0000B43A0000}"/>
    <cellStyle name="40% - Accent2 3 3 2 7" xfId="15122" xr:uid="{00000000-0005-0000-0000-0000B53A0000}"/>
    <cellStyle name="40% - Accent2 3 3 2 8" xfId="15123" xr:uid="{00000000-0005-0000-0000-0000B63A0000}"/>
    <cellStyle name="40% - Accent2 3 3 2 9" xfId="15124" xr:uid="{00000000-0005-0000-0000-0000B73A0000}"/>
    <cellStyle name="40% - Accent2 3 3 3" xfId="15125" xr:uid="{00000000-0005-0000-0000-0000B83A0000}"/>
    <cellStyle name="40% - Accent2 3 3 3 2" xfId="15126" xr:uid="{00000000-0005-0000-0000-0000B93A0000}"/>
    <cellStyle name="40% - Accent2 3 3 3 2 2" xfId="15127" xr:uid="{00000000-0005-0000-0000-0000BA3A0000}"/>
    <cellStyle name="40% - Accent2 3 3 3 2 2 2" xfId="15128" xr:uid="{00000000-0005-0000-0000-0000BB3A0000}"/>
    <cellStyle name="40% - Accent2 3 3 3 2 2 2 2" xfId="15129" xr:uid="{00000000-0005-0000-0000-0000BC3A0000}"/>
    <cellStyle name="40% - Accent2 3 3 3 2 2 2 2 2" xfId="15130" xr:uid="{00000000-0005-0000-0000-0000BD3A0000}"/>
    <cellStyle name="40% - Accent2 3 3 3 2 2 2 2 3" xfId="15131" xr:uid="{00000000-0005-0000-0000-0000BE3A0000}"/>
    <cellStyle name="40% - Accent2 3 3 3 2 2 2 3" xfId="15132" xr:uid="{00000000-0005-0000-0000-0000BF3A0000}"/>
    <cellStyle name="40% - Accent2 3 3 3 2 2 2 4" xfId="15133" xr:uid="{00000000-0005-0000-0000-0000C03A0000}"/>
    <cellStyle name="40% - Accent2 3 3 3 2 2 3" xfId="15134" xr:uid="{00000000-0005-0000-0000-0000C13A0000}"/>
    <cellStyle name="40% - Accent2 3 3 3 2 2 3 2" xfId="15135" xr:uid="{00000000-0005-0000-0000-0000C23A0000}"/>
    <cellStyle name="40% - Accent2 3 3 3 2 2 3 3" xfId="15136" xr:uid="{00000000-0005-0000-0000-0000C33A0000}"/>
    <cellStyle name="40% - Accent2 3 3 3 2 2 4" xfId="15137" xr:uid="{00000000-0005-0000-0000-0000C43A0000}"/>
    <cellStyle name="40% - Accent2 3 3 3 2 2 5" xfId="15138" xr:uid="{00000000-0005-0000-0000-0000C53A0000}"/>
    <cellStyle name="40% - Accent2 3 3 3 2 2 6" xfId="15139" xr:uid="{00000000-0005-0000-0000-0000C63A0000}"/>
    <cellStyle name="40% - Accent2 3 3 3 2 3" xfId="15140" xr:uid="{00000000-0005-0000-0000-0000C73A0000}"/>
    <cellStyle name="40% - Accent2 3 3 3 2 3 2" xfId="15141" xr:uid="{00000000-0005-0000-0000-0000C83A0000}"/>
    <cellStyle name="40% - Accent2 3 3 3 2 3 2 2" xfId="15142" xr:uid="{00000000-0005-0000-0000-0000C93A0000}"/>
    <cellStyle name="40% - Accent2 3 3 3 2 3 2 3" xfId="15143" xr:uid="{00000000-0005-0000-0000-0000CA3A0000}"/>
    <cellStyle name="40% - Accent2 3 3 3 2 3 3" xfId="15144" xr:uid="{00000000-0005-0000-0000-0000CB3A0000}"/>
    <cellStyle name="40% - Accent2 3 3 3 2 3 4" xfId="15145" xr:uid="{00000000-0005-0000-0000-0000CC3A0000}"/>
    <cellStyle name="40% - Accent2 3 3 3 2 4" xfId="15146" xr:uid="{00000000-0005-0000-0000-0000CD3A0000}"/>
    <cellStyle name="40% - Accent2 3 3 3 2 4 2" xfId="15147" xr:uid="{00000000-0005-0000-0000-0000CE3A0000}"/>
    <cellStyle name="40% - Accent2 3 3 3 2 4 3" xfId="15148" xr:uid="{00000000-0005-0000-0000-0000CF3A0000}"/>
    <cellStyle name="40% - Accent2 3 3 3 2 5" xfId="15149" xr:uid="{00000000-0005-0000-0000-0000D03A0000}"/>
    <cellStyle name="40% - Accent2 3 3 3 2 6" xfId="15150" xr:uid="{00000000-0005-0000-0000-0000D13A0000}"/>
    <cellStyle name="40% - Accent2 3 3 3 2 7" xfId="15151" xr:uid="{00000000-0005-0000-0000-0000D23A0000}"/>
    <cellStyle name="40% - Accent2 3 3 3 3" xfId="15152" xr:uid="{00000000-0005-0000-0000-0000D33A0000}"/>
    <cellStyle name="40% - Accent2 3 3 3 3 2" xfId="15153" xr:uid="{00000000-0005-0000-0000-0000D43A0000}"/>
    <cellStyle name="40% - Accent2 3 3 3 3 2 2" xfId="15154" xr:uid="{00000000-0005-0000-0000-0000D53A0000}"/>
    <cellStyle name="40% - Accent2 3 3 3 3 2 2 2" xfId="15155" xr:uid="{00000000-0005-0000-0000-0000D63A0000}"/>
    <cellStyle name="40% - Accent2 3 3 3 3 2 2 3" xfId="15156" xr:uid="{00000000-0005-0000-0000-0000D73A0000}"/>
    <cellStyle name="40% - Accent2 3 3 3 3 2 3" xfId="15157" xr:uid="{00000000-0005-0000-0000-0000D83A0000}"/>
    <cellStyle name="40% - Accent2 3 3 3 3 2 4" xfId="15158" xr:uid="{00000000-0005-0000-0000-0000D93A0000}"/>
    <cellStyle name="40% - Accent2 3 3 3 3 3" xfId="15159" xr:uid="{00000000-0005-0000-0000-0000DA3A0000}"/>
    <cellStyle name="40% - Accent2 3 3 3 3 3 2" xfId="15160" xr:uid="{00000000-0005-0000-0000-0000DB3A0000}"/>
    <cellStyle name="40% - Accent2 3 3 3 3 3 3" xfId="15161" xr:uid="{00000000-0005-0000-0000-0000DC3A0000}"/>
    <cellStyle name="40% - Accent2 3 3 3 3 4" xfId="15162" xr:uid="{00000000-0005-0000-0000-0000DD3A0000}"/>
    <cellStyle name="40% - Accent2 3 3 3 3 5" xfId="15163" xr:uid="{00000000-0005-0000-0000-0000DE3A0000}"/>
    <cellStyle name="40% - Accent2 3 3 3 3 6" xfId="15164" xr:uid="{00000000-0005-0000-0000-0000DF3A0000}"/>
    <cellStyle name="40% - Accent2 3 3 3 4" xfId="15165" xr:uid="{00000000-0005-0000-0000-0000E03A0000}"/>
    <cellStyle name="40% - Accent2 3 3 3 4 2" xfId="15166" xr:uid="{00000000-0005-0000-0000-0000E13A0000}"/>
    <cellStyle name="40% - Accent2 3 3 3 4 2 2" xfId="15167" xr:uid="{00000000-0005-0000-0000-0000E23A0000}"/>
    <cellStyle name="40% - Accent2 3 3 3 4 2 3" xfId="15168" xr:uid="{00000000-0005-0000-0000-0000E33A0000}"/>
    <cellStyle name="40% - Accent2 3 3 3 4 3" xfId="15169" xr:uid="{00000000-0005-0000-0000-0000E43A0000}"/>
    <cellStyle name="40% - Accent2 3 3 3 4 4" xfId="15170" xr:uid="{00000000-0005-0000-0000-0000E53A0000}"/>
    <cellStyle name="40% - Accent2 3 3 3 5" xfId="15171" xr:uid="{00000000-0005-0000-0000-0000E63A0000}"/>
    <cellStyle name="40% - Accent2 3 3 3 5 2" xfId="15172" xr:uid="{00000000-0005-0000-0000-0000E73A0000}"/>
    <cellStyle name="40% - Accent2 3 3 3 5 3" xfId="15173" xr:uid="{00000000-0005-0000-0000-0000E83A0000}"/>
    <cellStyle name="40% - Accent2 3 3 3 6" xfId="15174" xr:uid="{00000000-0005-0000-0000-0000E93A0000}"/>
    <cellStyle name="40% - Accent2 3 3 3 7" xfId="15175" xr:uid="{00000000-0005-0000-0000-0000EA3A0000}"/>
    <cellStyle name="40% - Accent2 3 3 3 8" xfId="15176" xr:uid="{00000000-0005-0000-0000-0000EB3A0000}"/>
    <cellStyle name="40% - Accent2 3 3 4" xfId="15177" xr:uid="{00000000-0005-0000-0000-0000EC3A0000}"/>
    <cellStyle name="40% - Accent2 3 3 4 2" xfId="15178" xr:uid="{00000000-0005-0000-0000-0000ED3A0000}"/>
    <cellStyle name="40% - Accent2 3 3 4 2 2" xfId="15179" xr:uid="{00000000-0005-0000-0000-0000EE3A0000}"/>
    <cellStyle name="40% - Accent2 3 3 4 2 2 2" xfId="15180" xr:uid="{00000000-0005-0000-0000-0000EF3A0000}"/>
    <cellStyle name="40% - Accent2 3 3 4 2 2 2 2" xfId="15181" xr:uid="{00000000-0005-0000-0000-0000F03A0000}"/>
    <cellStyle name="40% - Accent2 3 3 4 2 2 2 3" xfId="15182" xr:uid="{00000000-0005-0000-0000-0000F13A0000}"/>
    <cellStyle name="40% - Accent2 3 3 4 2 2 3" xfId="15183" xr:uid="{00000000-0005-0000-0000-0000F23A0000}"/>
    <cellStyle name="40% - Accent2 3 3 4 2 2 4" xfId="15184" xr:uid="{00000000-0005-0000-0000-0000F33A0000}"/>
    <cellStyle name="40% - Accent2 3 3 4 2 3" xfId="15185" xr:uid="{00000000-0005-0000-0000-0000F43A0000}"/>
    <cellStyle name="40% - Accent2 3 3 4 2 3 2" xfId="15186" xr:uid="{00000000-0005-0000-0000-0000F53A0000}"/>
    <cellStyle name="40% - Accent2 3 3 4 2 3 3" xfId="15187" xr:uid="{00000000-0005-0000-0000-0000F63A0000}"/>
    <cellStyle name="40% - Accent2 3 3 4 2 4" xfId="15188" xr:uid="{00000000-0005-0000-0000-0000F73A0000}"/>
    <cellStyle name="40% - Accent2 3 3 4 2 5" xfId="15189" xr:uid="{00000000-0005-0000-0000-0000F83A0000}"/>
    <cellStyle name="40% - Accent2 3 3 4 2 6" xfId="15190" xr:uid="{00000000-0005-0000-0000-0000F93A0000}"/>
    <cellStyle name="40% - Accent2 3 3 4 3" xfId="15191" xr:uid="{00000000-0005-0000-0000-0000FA3A0000}"/>
    <cellStyle name="40% - Accent2 3 3 4 3 2" xfId="15192" xr:uid="{00000000-0005-0000-0000-0000FB3A0000}"/>
    <cellStyle name="40% - Accent2 3 3 4 3 2 2" xfId="15193" xr:uid="{00000000-0005-0000-0000-0000FC3A0000}"/>
    <cellStyle name="40% - Accent2 3 3 4 3 2 3" xfId="15194" xr:uid="{00000000-0005-0000-0000-0000FD3A0000}"/>
    <cellStyle name="40% - Accent2 3 3 4 3 3" xfId="15195" xr:uid="{00000000-0005-0000-0000-0000FE3A0000}"/>
    <cellStyle name="40% - Accent2 3 3 4 3 4" xfId="15196" xr:uid="{00000000-0005-0000-0000-0000FF3A0000}"/>
    <cellStyle name="40% - Accent2 3 3 4 4" xfId="15197" xr:uid="{00000000-0005-0000-0000-0000003B0000}"/>
    <cellStyle name="40% - Accent2 3 3 4 4 2" xfId="15198" xr:uid="{00000000-0005-0000-0000-0000013B0000}"/>
    <cellStyle name="40% - Accent2 3 3 4 4 3" xfId="15199" xr:uid="{00000000-0005-0000-0000-0000023B0000}"/>
    <cellStyle name="40% - Accent2 3 3 4 5" xfId="15200" xr:uid="{00000000-0005-0000-0000-0000033B0000}"/>
    <cellStyle name="40% - Accent2 3 3 4 6" xfId="15201" xr:uid="{00000000-0005-0000-0000-0000043B0000}"/>
    <cellStyle name="40% - Accent2 3 3 4 7" xfId="15202" xr:uid="{00000000-0005-0000-0000-0000053B0000}"/>
    <cellStyle name="40% - Accent2 3 3 5" xfId="15203" xr:uid="{00000000-0005-0000-0000-0000063B0000}"/>
    <cellStyle name="40% - Accent2 3 3 5 2" xfId="15204" xr:uid="{00000000-0005-0000-0000-0000073B0000}"/>
    <cellStyle name="40% - Accent2 3 3 5 2 2" xfId="15205" xr:uid="{00000000-0005-0000-0000-0000083B0000}"/>
    <cellStyle name="40% - Accent2 3 3 5 2 2 2" xfId="15206" xr:uid="{00000000-0005-0000-0000-0000093B0000}"/>
    <cellStyle name="40% - Accent2 3 3 5 2 2 3" xfId="15207" xr:uid="{00000000-0005-0000-0000-00000A3B0000}"/>
    <cellStyle name="40% - Accent2 3 3 5 2 3" xfId="15208" xr:uid="{00000000-0005-0000-0000-00000B3B0000}"/>
    <cellStyle name="40% - Accent2 3 3 5 2 4" xfId="15209" xr:uid="{00000000-0005-0000-0000-00000C3B0000}"/>
    <cellStyle name="40% - Accent2 3 3 5 3" xfId="15210" xr:uid="{00000000-0005-0000-0000-00000D3B0000}"/>
    <cellStyle name="40% - Accent2 3 3 5 3 2" xfId="15211" xr:uid="{00000000-0005-0000-0000-00000E3B0000}"/>
    <cellStyle name="40% - Accent2 3 3 5 3 3" xfId="15212" xr:uid="{00000000-0005-0000-0000-00000F3B0000}"/>
    <cellStyle name="40% - Accent2 3 3 5 4" xfId="15213" xr:uid="{00000000-0005-0000-0000-0000103B0000}"/>
    <cellStyle name="40% - Accent2 3 3 5 5" xfId="15214" xr:uid="{00000000-0005-0000-0000-0000113B0000}"/>
    <cellStyle name="40% - Accent2 3 3 5 6" xfId="15215" xr:uid="{00000000-0005-0000-0000-0000123B0000}"/>
    <cellStyle name="40% - Accent2 3 3 6" xfId="15216" xr:uid="{00000000-0005-0000-0000-0000133B0000}"/>
    <cellStyle name="40% - Accent2 3 3 6 2" xfId="15217" xr:uid="{00000000-0005-0000-0000-0000143B0000}"/>
    <cellStyle name="40% - Accent2 3 3 6 2 2" xfId="15218" xr:uid="{00000000-0005-0000-0000-0000153B0000}"/>
    <cellStyle name="40% - Accent2 3 3 6 2 3" xfId="15219" xr:uid="{00000000-0005-0000-0000-0000163B0000}"/>
    <cellStyle name="40% - Accent2 3 3 6 3" xfId="15220" xr:uid="{00000000-0005-0000-0000-0000173B0000}"/>
    <cellStyle name="40% - Accent2 3 3 6 4" xfId="15221" xr:uid="{00000000-0005-0000-0000-0000183B0000}"/>
    <cellStyle name="40% - Accent2 3 3 7" xfId="15222" xr:uid="{00000000-0005-0000-0000-0000193B0000}"/>
    <cellStyle name="40% - Accent2 3 3 7 2" xfId="15223" xr:uid="{00000000-0005-0000-0000-00001A3B0000}"/>
    <cellStyle name="40% - Accent2 3 3 7 3" xfId="15224" xr:uid="{00000000-0005-0000-0000-00001B3B0000}"/>
    <cellStyle name="40% - Accent2 3 3 8" xfId="15225" xr:uid="{00000000-0005-0000-0000-00001C3B0000}"/>
    <cellStyle name="40% - Accent2 3 3 9" xfId="15226" xr:uid="{00000000-0005-0000-0000-00001D3B0000}"/>
    <cellStyle name="40% - Accent2 3 4" xfId="15227" xr:uid="{00000000-0005-0000-0000-00001E3B0000}"/>
    <cellStyle name="40% - Accent2 3 4 2" xfId="15228" xr:uid="{00000000-0005-0000-0000-00001F3B0000}"/>
    <cellStyle name="40% - Accent2 3 4 2 2" xfId="15229" xr:uid="{00000000-0005-0000-0000-0000203B0000}"/>
    <cellStyle name="40% - Accent2 3 4 2 2 2" xfId="15230" xr:uid="{00000000-0005-0000-0000-0000213B0000}"/>
    <cellStyle name="40% - Accent2 3 4 2 2 2 2" xfId="15231" xr:uid="{00000000-0005-0000-0000-0000223B0000}"/>
    <cellStyle name="40% - Accent2 3 4 2 2 2 2 2" xfId="15232" xr:uid="{00000000-0005-0000-0000-0000233B0000}"/>
    <cellStyle name="40% - Accent2 3 4 2 2 2 2 2 2" xfId="15233" xr:uid="{00000000-0005-0000-0000-0000243B0000}"/>
    <cellStyle name="40% - Accent2 3 4 2 2 2 2 2 3" xfId="15234" xr:uid="{00000000-0005-0000-0000-0000253B0000}"/>
    <cellStyle name="40% - Accent2 3 4 2 2 2 2 3" xfId="15235" xr:uid="{00000000-0005-0000-0000-0000263B0000}"/>
    <cellStyle name="40% - Accent2 3 4 2 2 2 2 4" xfId="15236" xr:uid="{00000000-0005-0000-0000-0000273B0000}"/>
    <cellStyle name="40% - Accent2 3 4 2 2 2 3" xfId="15237" xr:uid="{00000000-0005-0000-0000-0000283B0000}"/>
    <cellStyle name="40% - Accent2 3 4 2 2 2 3 2" xfId="15238" xr:uid="{00000000-0005-0000-0000-0000293B0000}"/>
    <cellStyle name="40% - Accent2 3 4 2 2 2 3 3" xfId="15239" xr:uid="{00000000-0005-0000-0000-00002A3B0000}"/>
    <cellStyle name="40% - Accent2 3 4 2 2 2 4" xfId="15240" xr:uid="{00000000-0005-0000-0000-00002B3B0000}"/>
    <cellStyle name="40% - Accent2 3 4 2 2 2 5" xfId="15241" xr:uid="{00000000-0005-0000-0000-00002C3B0000}"/>
    <cellStyle name="40% - Accent2 3 4 2 2 2 6" xfId="15242" xr:uid="{00000000-0005-0000-0000-00002D3B0000}"/>
    <cellStyle name="40% - Accent2 3 4 2 2 3" xfId="15243" xr:uid="{00000000-0005-0000-0000-00002E3B0000}"/>
    <cellStyle name="40% - Accent2 3 4 2 2 3 2" xfId="15244" xr:uid="{00000000-0005-0000-0000-00002F3B0000}"/>
    <cellStyle name="40% - Accent2 3 4 2 2 3 2 2" xfId="15245" xr:uid="{00000000-0005-0000-0000-0000303B0000}"/>
    <cellStyle name="40% - Accent2 3 4 2 2 3 2 3" xfId="15246" xr:uid="{00000000-0005-0000-0000-0000313B0000}"/>
    <cellStyle name="40% - Accent2 3 4 2 2 3 3" xfId="15247" xr:uid="{00000000-0005-0000-0000-0000323B0000}"/>
    <cellStyle name="40% - Accent2 3 4 2 2 3 4" xfId="15248" xr:uid="{00000000-0005-0000-0000-0000333B0000}"/>
    <cellStyle name="40% - Accent2 3 4 2 2 4" xfId="15249" xr:uid="{00000000-0005-0000-0000-0000343B0000}"/>
    <cellStyle name="40% - Accent2 3 4 2 2 4 2" xfId="15250" xr:uid="{00000000-0005-0000-0000-0000353B0000}"/>
    <cellStyle name="40% - Accent2 3 4 2 2 4 3" xfId="15251" xr:uid="{00000000-0005-0000-0000-0000363B0000}"/>
    <cellStyle name="40% - Accent2 3 4 2 2 5" xfId="15252" xr:uid="{00000000-0005-0000-0000-0000373B0000}"/>
    <cellStyle name="40% - Accent2 3 4 2 2 6" xfId="15253" xr:uid="{00000000-0005-0000-0000-0000383B0000}"/>
    <cellStyle name="40% - Accent2 3 4 2 2 7" xfId="15254" xr:uid="{00000000-0005-0000-0000-0000393B0000}"/>
    <cellStyle name="40% - Accent2 3 4 2 3" xfId="15255" xr:uid="{00000000-0005-0000-0000-00003A3B0000}"/>
    <cellStyle name="40% - Accent2 3 4 2 3 2" xfId="15256" xr:uid="{00000000-0005-0000-0000-00003B3B0000}"/>
    <cellStyle name="40% - Accent2 3 4 2 3 2 2" xfId="15257" xr:uid="{00000000-0005-0000-0000-00003C3B0000}"/>
    <cellStyle name="40% - Accent2 3 4 2 3 2 2 2" xfId="15258" xr:uid="{00000000-0005-0000-0000-00003D3B0000}"/>
    <cellStyle name="40% - Accent2 3 4 2 3 2 2 3" xfId="15259" xr:uid="{00000000-0005-0000-0000-00003E3B0000}"/>
    <cellStyle name="40% - Accent2 3 4 2 3 2 3" xfId="15260" xr:uid="{00000000-0005-0000-0000-00003F3B0000}"/>
    <cellStyle name="40% - Accent2 3 4 2 3 2 4" xfId="15261" xr:uid="{00000000-0005-0000-0000-0000403B0000}"/>
    <cellStyle name="40% - Accent2 3 4 2 3 3" xfId="15262" xr:uid="{00000000-0005-0000-0000-0000413B0000}"/>
    <cellStyle name="40% - Accent2 3 4 2 3 3 2" xfId="15263" xr:uid="{00000000-0005-0000-0000-0000423B0000}"/>
    <cellStyle name="40% - Accent2 3 4 2 3 3 3" xfId="15264" xr:uid="{00000000-0005-0000-0000-0000433B0000}"/>
    <cellStyle name="40% - Accent2 3 4 2 3 4" xfId="15265" xr:uid="{00000000-0005-0000-0000-0000443B0000}"/>
    <cellStyle name="40% - Accent2 3 4 2 3 5" xfId="15266" xr:uid="{00000000-0005-0000-0000-0000453B0000}"/>
    <cellStyle name="40% - Accent2 3 4 2 3 6" xfId="15267" xr:uid="{00000000-0005-0000-0000-0000463B0000}"/>
    <cellStyle name="40% - Accent2 3 4 2 4" xfId="15268" xr:uid="{00000000-0005-0000-0000-0000473B0000}"/>
    <cellStyle name="40% - Accent2 3 4 2 4 2" xfId="15269" xr:uid="{00000000-0005-0000-0000-0000483B0000}"/>
    <cellStyle name="40% - Accent2 3 4 2 4 2 2" xfId="15270" xr:uid="{00000000-0005-0000-0000-0000493B0000}"/>
    <cellStyle name="40% - Accent2 3 4 2 4 2 3" xfId="15271" xr:uid="{00000000-0005-0000-0000-00004A3B0000}"/>
    <cellStyle name="40% - Accent2 3 4 2 4 3" xfId="15272" xr:uid="{00000000-0005-0000-0000-00004B3B0000}"/>
    <cellStyle name="40% - Accent2 3 4 2 4 4" xfId="15273" xr:uid="{00000000-0005-0000-0000-00004C3B0000}"/>
    <cellStyle name="40% - Accent2 3 4 2 5" xfId="15274" xr:uid="{00000000-0005-0000-0000-00004D3B0000}"/>
    <cellStyle name="40% - Accent2 3 4 2 5 2" xfId="15275" xr:uid="{00000000-0005-0000-0000-00004E3B0000}"/>
    <cellStyle name="40% - Accent2 3 4 2 5 3" xfId="15276" xr:uid="{00000000-0005-0000-0000-00004F3B0000}"/>
    <cellStyle name="40% - Accent2 3 4 2 6" xfId="15277" xr:uid="{00000000-0005-0000-0000-0000503B0000}"/>
    <cellStyle name="40% - Accent2 3 4 2 7" xfId="15278" xr:uid="{00000000-0005-0000-0000-0000513B0000}"/>
    <cellStyle name="40% - Accent2 3 4 2 8" xfId="15279" xr:uid="{00000000-0005-0000-0000-0000523B0000}"/>
    <cellStyle name="40% - Accent2 3 4 3" xfId="15280" xr:uid="{00000000-0005-0000-0000-0000533B0000}"/>
    <cellStyle name="40% - Accent2 3 4 3 2" xfId="15281" xr:uid="{00000000-0005-0000-0000-0000543B0000}"/>
    <cellStyle name="40% - Accent2 3 4 3 2 2" xfId="15282" xr:uid="{00000000-0005-0000-0000-0000553B0000}"/>
    <cellStyle name="40% - Accent2 3 4 3 2 2 2" xfId="15283" xr:uid="{00000000-0005-0000-0000-0000563B0000}"/>
    <cellStyle name="40% - Accent2 3 4 3 2 2 2 2" xfId="15284" xr:uid="{00000000-0005-0000-0000-0000573B0000}"/>
    <cellStyle name="40% - Accent2 3 4 3 2 2 2 3" xfId="15285" xr:uid="{00000000-0005-0000-0000-0000583B0000}"/>
    <cellStyle name="40% - Accent2 3 4 3 2 2 3" xfId="15286" xr:uid="{00000000-0005-0000-0000-0000593B0000}"/>
    <cellStyle name="40% - Accent2 3 4 3 2 2 4" xfId="15287" xr:uid="{00000000-0005-0000-0000-00005A3B0000}"/>
    <cellStyle name="40% - Accent2 3 4 3 2 3" xfId="15288" xr:uid="{00000000-0005-0000-0000-00005B3B0000}"/>
    <cellStyle name="40% - Accent2 3 4 3 2 3 2" xfId="15289" xr:uid="{00000000-0005-0000-0000-00005C3B0000}"/>
    <cellStyle name="40% - Accent2 3 4 3 2 3 3" xfId="15290" xr:uid="{00000000-0005-0000-0000-00005D3B0000}"/>
    <cellStyle name="40% - Accent2 3 4 3 2 4" xfId="15291" xr:uid="{00000000-0005-0000-0000-00005E3B0000}"/>
    <cellStyle name="40% - Accent2 3 4 3 2 5" xfId="15292" xr:uid="{00000000-0005-0000-0000-00005F3B0000}"/>
    <cellStyle name="40% - Accent2 3 4 3 2 6" xfId="15293" xr:uid="{00000000-0005-0000-0000-0000603B0000}"/>
    <cellStyle name="40% - Accent2 3 4 3 3" xfId="15294" xr:uid="{00000000-0005-0000-0000-0000613B0000}"/>
    <cellStyle name="40% - Accent2 3 4 3 3 2" xfId="15295" xr:uid="{00000000-0005-0000-0000-0000623B0000}"/>
    <cellStyle name="40% - Accent2 3 4 3 3 2 2" xfId="15296" xr:uid="{00000000-0005-0000-0000-0000633B0000}"/>
    <cellStyle name="40% - Accent2 3 4 3 3 2 3" xfId="15297" xr:uid="{00000000-0005-0000-0000-0000643B0000}"/>
    <cellStyle name="40% - Accent2 3 4 3 3 3" xfId="15298" xr:uid="{00000000-0005-0000-0000-0000653B0000}"/>
    <cellStyle name="40% - Accent2 3 4 3 3 4" xfId="15299" xr:uid="{00000000-0005-0000-0000-0000663B0000}"/>
    <cellStyle name="40% - Accent2 3 4 3 4" xfId="15300" xr:uid="{00000000-0005-0000-0000-0000673B0000}"/>
    <cellStyle name="40% - Accent2 3 4 3 4 2" xfId="15301" xr:uid="{00000000-0005-0000-0000-0000683B0000}"/>
    <cellStyle name="40% - Accent2 3 4 3 4 3" xfId="15302" xr:uid="{00000000-0005-0000-0000-0000693B0000}"/>
    <cellStyle name="40% - Accent2 3 4 3 5" xfId="15303" xr:uid="{00000000-0005-0000-0000-00006A3B0000}"/>
    <cellStyle name="40% - Accent2 3 4 3 6" xfId="15304" xr:uid="{00000000-0005-0000-0000-00006B3B0000}"/>
    <cellStyle name="40% - Accent2 3 4 3 7" xfId="15305" xr:uid="{00000000-0005-0000-0000-00006C3B0000}"/>
    <cellStyle name="40% - Accent2 3 4 4" xfId="15306" xr:uid="{00000000-0005-0000-0000-00006D3B0000}"/>
    <cellStyle name="40% - Accent2 3 4 4 2" xfId="15307" xr:uid="{00000000-0005-0000-0000-00006E3B0000}"/>
    <cellStyle name="40% - Accent2 3 4 4 2 2" xfId="15308" xr:uid="{00000000-0005-0000-0000-00006F3B0000}"/>
    <cellStyle name="40% - Accent2 3 4 4 2 2 2" xfId="15309" xr:uid="{00000000-0005-0000-0000-0000703B0000}"/>
    <cellStyle name="40% - Accent2 3 4 4 2 2 3" xfId="15310" xr:uid="{00000000-0005-0000-0000-0000713B0000}"/>
    <cellStyle name="40% - Accent2 3 4 4 2 3" xfId="15311" xr:uid="{00000000-0005-0000-0000-0000723B0000}"/>
    <cellStyle name="40% - Accent2 3 4 4 2 4" xfId="15312" xr:uid="{00000000-0005-0000-0000-0000733B0000}"/>
    <cellStyle name="40% - Accent2 3 4 4 3" xfId="15313" xr:uid="{00000000-0005-0000-0000-0000743B0000}"/>
    <cellStyle name="40% - Accent2 3 4 4 3 2" xfId="15314" xr:uid="{00000000-0005-0000-0000-0000753B0000}"/>
    <cellStyle name="40% - Accent2 3 4 4 3 3" xfId="15315" xr:uid="{00000000-0005-0000-0000-0000763B0000}"/>
    <cellStyle name="40% - Accent2 3 4 4 4" xfId="15316" xr:uid="{00000000-0005-0000-0000-0000773B0000}"/>
    <cellStyle name="40% - Accent2 3 4 4 5" xfId="15317" xr:uid="{00000000-0005-0000-0000-0000783B0000}"/>
    <cellStyle name="40% - Accent2 3 4 4 6" xfId="15318" xr:uid="{00000000-0005-0000-0000-0000793B0000}"/>
    <cellStyle name="40% - Accent2 3 4 5" xfId="15319" xr:uid="{00000000-0005-0000-0000-00007A3B0000}"/>
    <cellStyle name="40% - Accent2 3 4 5 2" xfId="15320" xr:uid="{00000000-0005-0000-0000-00007B3B0000}"/>
    <cellStyle name="40% - Accent2 3 4 5 2 2" xfId="15321" xr:uid="{00000000-0005-0000-0000-00007C3B0000}"/>
    <cellStyle name="40% - Accent2 3 4 5 2 3" xfId="15322" xr:uid="{00000000-0005-0000-0000-00007D3B0000}"/>
    <cellStyle name="40% - Accent2 3 4 5 3" xfId="15323" xr:uid="{00000000-0005-0000-0000-00007E3B0000}"/>
    <cellStyle name="40% - Accent2 3 4 5 4" xfId="15324" xr:uid="{00000000-0005-0000-0000-00007F3B0000}"/>
    <cellStyle name="40% - Accent2 3 4 6" xfId="15325" xr:uid="{00000000-0005-0000-0000-0000803B0000}"/>
    <cellStyle name="40% - Accent2 3 4 6 2" xfId="15326" xr:uid="{00000000-0005-0000-0000-0000813B0000}"/>
    <cellStyle name="40% - Accent2 3 4 6 3" xfId="15327" xr:uid="{00000000-0005-0000-0000-0000823B0000}"/>
    <cellStyle name="40% - Accent2 3 4 7" xfId="15328" xr:uid="{00000000-0005-0000-0000-0000833B0000}"/>
    <cellStyle name="40% - Accent2 3 4 8" xfId="15329" xr:uid="{00000000-0005-0000-0000-0000843B0000}"/>
    <cellStyle name="40% - Accent2 3 4 9" xfId="15330" xr:uid="{00000000-0005-0000-0000-0000853B0000}"/>
    <cellStyle name="40% - Accent2 3 5" xfId="15331" xr:uid="{00000000-0005-0000-0000-0000863B0000}"/>
    <cellStyle name="40% - Accent2 3 5 2" xfId="15332" xr:uid="{00000000-0005-0000-0000-0000873B0000}"/>
    <cellStyle name="40% - Accent2 3 5 2 2" xfId="15333" xr:uid="{00000000-0005-0000-0000-0000883B0000}"/>
    <cellStyle name="40% - Accent2 3 5 2 2 2" xfId="15334" xr:uid="{00000000-0005-0000-0000-0000893B0000}"/>
    <cellStyle name="40% - Accent2 3 5 2 2 2 2" xfId="15335" xr:uid="{00000000-0005-0000-0000-00008A3B0000}"/>
    <cellStyle name="40% - Accent2 3 5 2 2 2 2 2" xfId="15336" xr:uid="{00000000-0005-0000-0000-00008B3B0000}"/>
    <cellStyle name="40% - Accent2 3 5 2 2 2 2 2 2" xfId="15337" xr:uid="{00000000-0005-0000-0000-00008C3B0000}"/>
    <cellStyle name="40% - Accent2 3 5 2 2 2 2 2 3" xfId="15338" xr:uid="{00000000-0005-0000-0000-00008D3B0000}"/>
    <cellStyle name="40% - Accent2 3 5 2 2 2 2 3" xfId="15339" xr:uid="{00000000-0005-0000-0000-00008E3B0000}"/>
    <cellStyle name="40% - Accent2 3 5 2 2 2 2 4" xfId="15340" xr:uid="{00000000-0005-0000-0000-00008F3B0000}"/>
    <cellStyle name="40% - Accent2 3 5 2 2 2 3" xfId="15341" xr:uid="{00000000-0005-0000-0000-0000903B0000}"/>
    <cellStyle name="40% - Accent2 3 5 2 2 2 3 2" xfId="15342" xr:uid="{00000000-0005-0000-0000-0000913B0000}"/>
    <cellStyle name="40% - Accent2 3 5 2 2 2 3 3" xfId="15343" xr:uid="{00000000-0005-0000-0000-0000923B0000}"/>
    <cellStyle name="40% - Accent2 3 5 2 2 2 4" xfId="15344" xr:uid="{00000000-0005-0000-0000-0000933B0000}"/>
    <cellStyle name="40% - Accent2 3 5 2 2 2 5" xfId="15345" xr:uid="{00000000-0005-0000-0000-0000943B0000}"/>
    <cellStyle name="40% - Accent2 3 5 2 2 2 6" xfId="15346" xr:uid="{00000000-0005-0000-0000-0000953B0000}"/>
    <cellStyle name="40% - Accent2 3 5 2 2 3" xfId="15347" xr:uid="{00000000-0005-0000-0000-0000963B0000}"/>
    <cellStyle name="40% - Accent2 3 5 2 2 3 2" xfId="15348" xr:uid="{00000000-0005-0000-0000-0000973B0000}"/>
    <cellStyle name="40% - Accent2 3 5 2 2 3 2 2" xfId="15349" xr:uid="{00000000-0005-0000-0000-0000983B0000}"/>
    <cellStyle name="40% - Accent2 3 5 2 2 3 2 3" xfId="15350" xr:uid="{00000000-0005-0000-0000-0000993B0000}"/>
    <cellStyle name="40% - Accent2 3 5 2 2 3 3" xfId="15351" xr:uid="{00000000-0005-0000-0000-00009A3B0000}"/>
    <cellStyle name="40% - Accent2 3 5 2 2 3 4" xfId="15352" xr:uid="{00000000-0005-0000-0000-00009B3B0000}"/>
    <cellStyle name="40% - Accent2 3 5 2 2 4" xfId="15353" xr:uid="{00000000-0005-0000-0000-00009C3B0000}"/>
    <cellStyle name="40% - Accent2 3 5 2 2 4 2" xfId="15354" xr:uid="{00000000-0005-0000-0000-00009D3B0000}"/>
    <cellStyle name="40% - Accent2 3 5 2 2 4 3" xfId="15355" xr:uid="{00000000-0005-0000-0000-00009E3B0000}"/>
    <cellStyle name="40% - Accent2 3 5 2 2 5" xfId="15356" xr:uid="{00000000-0005-0000-0000-00009F3B0000}"/>
    <cellStyle name="40% - Accent2 3 5 2 2 6" xfId="15357" xr:uid="{00000000-0005-0000-0000-0000A03B0000}"/>
    <cellStyle name="40% - Accent2 3 5 2 2 7" xfId="15358" xr:uid="{00000000-0005-0000-0000-0000A13B0000}"/>
    <cellStyle name="40% - Accent2 3 5 2 3" xfId="15359" xr:uid="{00000000-0005-0000-0000-0000A23B0000}"/>
    <cellStyle name="40% - Accent2 3 5 2 3 2" xfId="15360" xr:uid="{00000000-0005-0000-0000-0000A33B0000}"/>
    <cellStyle name="40% - Accent2 3 5 2 3 2 2" xfId="15361" xr:uid="{00000000-0005-0000-0000-0000A43B0000}"/>
    <cellStyle name="40% - Accent2 3 5 2 3 2 2 2" xfId="15362" xr:uid="{00000000-0005-0000-0000-0000A53B0000}"/>
    <cellStyle name="40% - Accent2 3 5 2 3 2 2 3" xfId="15363" xr:uid="{00000000-0005-0000-0000-0000A63B0000}"/>
    <cellStyle name="40% - Accent2 3 5 2 3 2 3" xfId="15364" xr:uid="{00000000-0005-0000-0000-0000A73B0000}"/>
    <cellStyle name="40% - Accent2 3 5 2 3 2 4" xfId="15365" xr:uid="{00000000-0005-0000-0000-0000A83B0000}"/>
    <cellStyle name="40% - Accent2 3 5 2 3 3" xfId="15366" xr:uid="{00000000-0005-0000-0000-0000A93B0000}"/>
    <cellStyle name="40% - Accent2 3 5 2 3 3 2" xfId="15367" xr:uid="{00000000-0005-0000-0000-0000AA3B0000}"/>
    <cellStyle name="40% - Accent2 3 5 2 3 3 3" xfId="15368" xr:uid="{00000000-0005-0000-0000-0000AB3B0000}"/>
    <cellStyle name="40% - Accent2 3 5 2 3 4" xfId="15369" xr:uid="{00000000-0005-0000-0000-0000AC3B0000}"/>
    <cellStyle name="40% - Accent2 3 5 2 3 5" xfId="15370" xr:uid="{00000000-0005-0000-0000-0000AD3B0000}"/>
    <cellStyle name="40% - Accent2 3 5 2 3 6" xfId="15371" xr:uid="{00000000-0005-0000-0000-0000AE3B0000}"/>
    <cellStyle name="40% - Accent2 3 5 2 4" xfId="15372" xr:uid="{00000000-0005-0000-0000-0000AF3B0000}"/>
    <cellStyle name="40% - Accent2 3 5 2 4 2" xfId="15373" xr:uid="{00000000-0005-0000-0000-0000B03B0000}"/>
    <cellStyle name="40% - Accent2 3 5 2 4 2 2" xfId="15374" xr:uid="{00000000-0005-0000-0000-0000B13B0000}"/>
    <cellStyle name="40% - Accent2 3 5 2 4 2 3" xfId="15375" xr:uid="{00000000-0005-0000-0000-0000B23B0000}"/>
    <cellStyle name="40% - Accent2 3 5 2 4 3" xfId="15376" xr:uid="{00000000-0005-0000-0000-0000B33B0000}"/>
    <cellStyle name="40% - Accent2 3 5 2 4 4" xfId="15377" xr:uid="{00000000-0005-0000-0000-0000B43B0000}"/>
    <cellStyle name="40% - Accent2 3 5 2 5" xfId="15378" xr:uid="{00000000-0005-0000-0000-0000B53B0000}"/>
    <cellStyle name="40% - Accent2 3 5 2 5 2" xfId="15379" xr:uid="{00000000-0005-0000-0000-0000B63B0000}"/>
    <cellStyle name="40% - Accent2 3 5 2 5 3" xfId="15380" xr:uid="{00000000-0005-0000-0000-0000B73B0000}"/>
    <cellStyle name="40% - Accent2 3 5 2 6" xfId="15381" xr:uid="{00000000-0005-0000-0000-0000B83B0000}"/>
    <cellStyle name="40% - Accent2 3 5 2 7" xfId="15382" xr:uid="{00000000-0005-0000-0000-0000B93B0000}"/>
    <cellStyle name="40% - Accent2 3 5 2 8" xfId="15383" xr:uid="{00000000-0005-0000-0000-0000BA3B0000}"/>
    <cellStyle name="40% - Accent2 3 5 3" xfId="15384" xr:uid="{00000000-0005-0000-0000-0000BB3B0000}"/>
    <cellStyle name="40% - Accent2 3 5 3 2" xfId="15385" xr:uid="{00000000-0005-0000-0000-0000BC3B0000}"/>
    <cellStyle name="40% - Accent2 3 5 3 2 2" xfId="15386" xr:uid="{00000000-0005-0000-0000-0000BD3B0000}"/>
    <cellStyle name="40% - Accent2 3 5 3 2 2 2" xfId="15387" xr:uid="{00000000-0005-0000-0000-0000BE3B0000}"/>
    <cellStyle name="40% - Accent2 3 5 3 2 2 2 2" xfId="15388" xr:uid="{00000000-0005-0000-0000-0000BF3B0000}"/>
    <cellStyle name="40% - Accent2 3 5 3 2 2 2 3" xfId="15389" xr:uid="{00000000-0005-0000-0000-0000C03B0000}"/>
    <cellStyle name="40% - Accent2 3 5 3 2 2 3" xfId="15390" xr:uid="{00000000-0005-0000-0000-0000C13B0000}"/>
    <cellStyle name="40% - Accent2 3 5 3 2 2 4" xfId="15391" xr:uid="{00000000-0005-0000-0000-0000C23B0000}"/>
    <cellStyle name="40% - Accent2 3 5 3 2 3" xfId="15392" xr:uid="{00000000-0005-0000-0000-0000C33B0000}"/>
    <cellStyle name="40% - Accent2 3 5 3 2 3 2" xfId="15393" xr:uid="{00000000-0005-0000-0000-0000C43B0000}"/>
    <cellStyle name="40% - Accent2 3 5 3 2 3 3" xfId="15394" xr:uid="{00000000-0005-0000-0000-0000C53B0000}"/>
    <cellStyle name="40% - Accent2 3 5 3 2 4" xfId="15395" xr:uid="{00000000-0005-0000-0000-0000C63B0000}"/>
    <cellStyle name="40% - Accent2 3 5 3 2 5" xfId="15396" xr:uid="{00000000-0005-0000-0000-0000C73B0000}"/>
    <cellStyle name="40% - Accent2 3 5 3 2 6" xfId="15397" xr:uid="{00000000-0005-0000-0000-0000C83B0000}"/>
    <cellStyle name="40% - Accent2 3 5 3 3" xfId="15398" xr:uid="{00000000-0005-0000-0000-0000C93B0000}"/>
    <cellStyle name="40% - Accent2 3 5 3 3 2" xfId="15399" xr:uid="{00000000-0005-0000-0000-0000CA3B0000}"/>
    <cellStyle name="40% - Accent2 3 5 3 3 2 2" xfId="15400" xr:uid="{00000000-0005-0000-0000-0000CB3B0000}"/>
    <cellStyle name="40% - Accent2 3 5 3 3 2 3" xfId="15401" xr:uid="{00000000-0005-0000-0000-0000CC3B0000}"/>
    <cellStyle name="40% - Accent2 3 5 3 3 3" xfId="15402" xr:uid="{00000000-0005-0000-0000-0000CD3B0000}"/>
    <cellStyle name="40% - Accent2 3 5 3 3 4" xfId="15403" xr:uid="{00000000-0005-0000-0000-0000CE3B0000}"/>
    <cellStyle name="40% - Accent2 3 5 3 4" xfId="15404" xr:uid="{00000000-0005-0000-0000-0000CF3B0000}"/>
    <cellStyle name="40% - Accent2 3 5 3 4 2" xfId="15405" xr:uid="{00000000-0005-0000-0000-0000D03B0000}"/>
    <cellStyle name="40% - Accent2 3 5 3 4 3" xfId="15406" xr:uid="{00000000-0005-0000-0000-0000D13B0000}"/>
    <cellStyle name="40% - Accent2 3 5 3 5" xfId="15407" xr:uid="{00000000-0005-0000-0000-0000D23B0000}"/>
    <cellStyle name="40% - Accent2 3 5 3 6" xfId="15408" xr:uid="{00000000-0005-0000-0000-0000D33B0000}"/>
    <cellStyle name="40% - Accent2 3 5 3 7" xfId="15409" xr:uid="{00000000-0005-0000-0000-0000D43B0000}"/>
    <cellStyle name="40% - Accent2 3 5 4" xfId="15410" xr:uid="{00000000-0005-0000-0000-0000D53B0000}"/>
    <cellStyle name="40% - Accent2 3 5 4 2" xfId="15411" xr:uid="{00000000-0005-0000-0000-0000D63B0000}"/>
    <cellStyle name="40% - Accent2 3 5 4 2 2" xfId="15412" xr:uid="{00000000-0005-0000-0000-0000D73B0000}"/>
    <cellStyle name="40% - Accent2 3 5 4 2 2 2" xfId="15413" xr:uid="{00000000-0005-0000-0000-0000D83B0000}"/>
    <cellStyle name="40% - Accent2 3 5 4 2 2 3" xfId="15414" xr:uid="{00000000-0005-0000-0000-0000D93B0000}"/>
    <cellStyle name="40% - Accent2 3 5 4 2 3" xfId="15415" xr:uid="{00000000-0005-0000-0000-0000DA3B0000}"/>
    <cellStyle name="40% - Accent2 3 5 4 2 4" xfId="15416" xr:uid="{00000000-0005-0000-0000-0000DB3B0000}"/>
    <cellStyle name="40% - Accent2 3 5 4 3" xfId="15417" xr:uid="{00000000-0005-0000-0000-0000DC3B0000}"/>
    <cellStyle name="40% - Accent2 3 5 4 3 2" xfId="15418" xr:uid="{00000000-0005-0000-0000-0000DD3B0000}"/>
    <cellStyle name="40% - Accent2 3 5 4 3 3" xfId="15419" xr:uid="{00000000-0005-0000-0000-0000DE3B0000}"/>
    <cellStyle name="40% - Accent2 3 5 4 4" xfId="15420" xr:uid="{00000000-0005-0000-0000-0000DF3B0000}"/>
    <cellStyle name="40% - Accent2 3 5 4 5" xfId="15421" xr:uid="{00000000-0005-0000-0000-0000E03B0000}"/>
    <cellStyle name="40% - Accent2 3 5 4 6" xfId="15422" xr:uid="{00000000-0005-0000-0000-0000E13B0000}"/>
    <cellStyle name="40% - Accent2 3 5 5" xfId="15423" xr:uid="{00000000-0005-0000-0000-0000E23B0000}"/>
    <cellStyle name="40% - Accent2 3 5 5 2" xfId="15424" xr:uid="{00000000-0005-0000-0000-0000E33B0000}"/>
    <cellStyle name="40% - Accent2 3 5 5 2 2" xfId="15425" xr:uid="{00000000-0005-0000-0000-0000E43B0000}"/>
    <cellStyle name="40% - Accent2 3 5 5 2 3" xfId="15426" xr:uid="{00000000-0005-0000-0000-0000E53B0000}"/>
    <cellStyle name="40% - Accent2 3 5 5 3" xfId="15427" xr:uid="{00000000-0005-0000-0000-0000E63B0000}"/>
    <cellStyle name="40% - Accent2 3 5 5 4" xfId="15428" xr:uid="{00000000-0005-0000-0000-0000E73B0000}"/>
    <cellStyle name="40% - Accent2 3 5 6" xfId="15429" xr:uid="{00000000-0005-0000-0000-0000E83B0000}"/>
    <cellStyle name="40% - Accent2 3 5 6 2" xfId="15430" xr:uid="{00000000-0005-0000-0000-0000E93B0000}"/>
    <cellStyle name="40% - Accent2 3 5 6 3" xfId="15431" xr:uid="{00000000-0005-0000-0000-0000EA3B0000}"/>
    <cellStyle name="40% - Accent2 3 5 7" xfId="15432" xr:uid="{00000000-0005-0000-0000-0000EB3B0000}"/>
    <cellStyle name="40% - Accent2 3 5 8" xfId="15433" xr:uid="{00000000-0005-0000-0000-0000EC3B0000}"/>
    <cellStyle name="40% - Accent2 3 5 9" xfId="15434" xr:uid="{00000000-0005-0000-0000-0000ED3B0000}"/>
    <cellStyle name="40% - Accent2 3 6" xfId="15435" xr:uid="{00000000-0005-0000-0000-0000EE3B0000}"/>
    <cellStyle name="40% - Accent2 3 6 2" xfId="15436" xr:uid="{00000000-0005-0000-0000-0000EF3B0000}"/>
    <cellStyle name="40% - Accent2 3 6 2 2" xfId="15437" xr:uid="{00000000-0005-0000-0000-0000F03B0000}"/>
    <cellStyle name="40% - Accent2 3 6 2 2 2" xfId="15438" xr:uid="{00000000-0005-0000-0000-0000F13B0000}"/>
    <cellStyle name="40% - Accent2 3 6 2 2 2 2" xfId="15439" xr:uid="{00000000-0005-0000-0000-0000F23B0000}"/>
    <cellStyle name="40% - Accent2 3 6 2 2 2 2 2" xfId="15440" xr:uid="{00000000-0005-0000-0000-0000F33B0000}"/>
    <cellStyle name="40% - Accent2 3 6 2 2 2 2 3" xfId="15441" xr:uid="{00000000-0005-0000-0000-0000F43B0000}"/>
    <cellStyle name="40% - Accent2 3 6 2 2 2 3" xfId="15442" xr:uid="{00000000-0005-0000-0000-0000F53B0000}"/>
    <cellStyle name="40% - Accent2 3 6 2 2 2 4" xfId="15443" xr:uid="{00000000-0005-0000-0000-0000F63B0000}"/>
    <cellStyle name="40% - Accent2 3 6 2 2 3" xfId="15444" xr:uid="{00000000-0005-0000-0000-0000F73B0000}"/>
    <cellStyle name="40% - Accent2 3 6 2 2 3 2" xfId="15445" xr:uid="{00000000-0005-0000-0000-0000F83B0000}"/>
    <cellStyle name="40% - Accent2 3 6 2 2 3 3" xfId="15446" xr:uid="{00000000-0005-0000-0000-0000F93B0000}"/>
    <cellStyle name="40% - Accent2 3 6 2 2 4" xfId="15447" xr:uid="{00000000-0005-0000-0000-0000FA3B0000}"/>
    <cellStyle name="40% - Accent2 3 6 2 2 5" xfId="15448" xr:uid="{00000000-0005-0000-0000-0000FB3B0000}"/>
    <cellStyle name="40% - Accent2 3 6 2 2 6" xfId="15449" xr:uid="{00000000-0005-0000-0000-0000FC3B0000}"/>
    <cellStyle name="40% - Accent2 3 6 2 3" xfId="15450" xr:uid="{00000000-0005-0000-0000-0000FD3B0000}"/>
    <cellStyle name="40% - Accent2 3 6 2 3 2" xfId="15451" xr:uid="{00000000-0005-0000-0000-0000FE3B0000}"/>
    <cellStyle name="40% - Accent2 3 6 2 3 2 2" xfId="15452" xr:uid="{00000000-0005-0000-0000-0000FF3B0000}"/>
    <cellStyle name="40% - Accent2 3 6 2 3 2 3" xfId="15453" xr:uid="{00000000-0005-0000-0000-0000003C0000}"/>
    <cellStyle name="40% - Accent2 3 6 2 3 3" xfId="15454" xr:uid="{00000000-0005-0000-0000-0000013C0000}"/>
    <cellStyle name="40% - Accent2 3 6 2 3 4" xfId="15455" xr:uid="{00000000-0005-0000-0000-0000023C0000}"/>
    <cellStyle name="40% - Accent2 3 6 2 4" xfId="15456" xr:uid="{00000000-0005-0000-0000-0000033C0000}"/>
    <cellStyle name="40% - Accent2 3 6 2 4 2" xfId="15457" xr:uid="{00000000-0005-0000-0000-0000043C0000}"/>
    <cellStyle name="40% - Accent2 3 6 2 4 3" xfId="15458" xr:uid="{00000000-0005-0000-0000-0000053C0000}"/>
    <cellStyle name="40% - Accent2 3 6 2 5" xfId="15459" xr:uid="{00000000-0005-0000-0000-0000063C0000}"/>
    <cellStyle name="40% - Accent2 3 6 2 6" xfId="15460" xr:uid="{00000000-0005-0000-0000-0000073C0000}"/>
    <cellStyle name="40% - Accent2 3 6 2 7" xfId="15461" xr:uid="{00000000-0005-0000-0000-0000083C0000}"/>
    <cellStyle name="40% - Accent2 3 6 3" xfId="15462" xr:uid="{00000000-0005-0000-0000-0000093C0000}"/>
    <cellStyle name="40% - Accent2 3 6 3 2" xfId="15463" xr:uid="{00000000-0005-0000-0000-00000A3C0000}"/>
    <cellStyle name="40% - Accent2 3 6 3 2 2" xfId="15464" xr:uid="{00000000-0005-0000-0000-00000B3C0000}"/>
    <cellStyle name="40% - Accent2 3 6 3 2 2 2" xfId="15465" xr:uid="{00000000-0005-0000-0000-00000C3C0000}"/>
    <cellStyle name="40% - Accent2 3 6 3 2 2 3" xfId="15466" xr:uid="{00000000-0005-0000-0000-00000D3C0000}"/>
    <cellStyle name="40% - Accent2 3 6 3 2 3" xfId="15467" xr:uid="{00000000-0005-0000-0000-00000E3C0000}"/>
    <cellStyle name="40% - Accent2 3 6 3 2 4" xfId="15468" xr:uid="{00000000-0005-0000-0000-00000F3C0000}"/>
    <cellStyle name="40% - Accent2 3 6 3 3" xfId="15469" xr:uid="{00000000-0005-0000-0000-0000103C0000}"/>
    <cellStyle name="40% - Accent2 3 6 3 3 2" xfId="15470" xr:uid="{00000000-0005-0000-0000-0000113C0000}"/>
    <cellStyle name="40% - Accent2 3 6 3 3 3" xfId="15471" xr:uid="{00000000-0005-0000-0000-0000123C0000}"/>
    <cellStyle name="40% - Accent2 3 6 3 4" xfId="15472" xr:uid="{00000000-0005-0000-0000-0000133C0000}"/>
    <cellStyle name="40% - Accent2 3 6 3 5" xfId="15473" xr:uid="{00000000-0005-0000-0000-0000143C0000}"/>
    <cellStyle name="40% - Accent2 3 6 3 6" xfId="15474" xr:uid="{00000000-0005-0000-0000-0000153C0000}"/>
    <cellStyle name="40% - Accent2 3 6 4" xfId="15475" xr:uid="{00000000-0005-0000-0000-0000163C0000}"/>
    <cellStyle name="40% - Accent2 3 6 4 2" xfId="15476" xr:uid="{00000000-0005-0000-0000-0000173C0000}"/>
    <cellStyle name="40% - Accent2 3 6 4 2 2" xfId="15477" xr:uid="{00000000-0005-0000-0000-0000183C0000}"/>
    <cellStyle name="40% - Accent2 3 6 4 2 3" xfId="15478" xr:uid="{00000000-0005-0000-0000-0000193C0000}"/>
    <cellStyle name="40% - Accent2 3 6 4 3" xfId="15479" xr:uid="{00000000-0005-0000-0000-00001A3C0000}"/>
    <cellStyle name="40% - Accent2 3 6 4 4" xfId="15480" xr:uid="{00000000-0005-0000-0000-00001B3C0000}"/>
    <cellStyle name="40% - Accent2 3 6 5" xfId="15481" xr:uid="{00000000-0005-0000-0000-00001C3C0000}"/>
    <cellStyle name="40% - Accent2 3 6 5 2" xfId="15482" xr:uid="{00000000-0005-0000-0000-00001D3C0000}"/>
    <cellStyle name="40% - Accent2 3 6 5 3" xfId="15483" xr:uid="{00000000-0005-0000-0000-00001E3C0000}"/>
    <cellStyle name="40% - Accent2 3 6 6" xfId="15484" xr:uid="{00000000-0005-0000-0000-00001F3C0000}"/>
    <cellStyle name="40% - Accent2 3 6 7" xfId="15485" xr:uid="{00000000-0005-0000-0000-0000203C0000}"/>
    <cellStyle name="40% - Accent2 3 6 8" xfId="15486" xr:uid="{00000000-0005-0000-0000-0000213C0000}"/>
    <cellStyle name="40% - Accent2 3 7" xfId="15487" xr:uid="{00000000-0005-0000-0000-0000223C0000}"/>
    <cellStyle name="40% - Accent2 3 7 2" xfId="15488" xr:uid="{00000000-0005-0000-0000-0000233C0000}"/>
    <cellStyle name="40% - Accent2 3 7 2 2" xfId="15489" xr:uid="{00000000-0005-0000-0000-0000243C0000}"/>
    <cellStyle name="40% - Accent2 3 7 2 2 2" xfId="15490" xr:uid="{00000000-0005-0000-0000-0000253C0000}"/>
    <cellStyle name="40% - Accent2 3 7 2 2 2 2" xfId="15491" xr:uid="{00000000-0005-0000-0000-0000263C0000}"/>
    <cellStyle name="40% - Accent2 3 7 2 2 2 2 2" xfId="15492" xr:uid="{00000000-0005-0000-0000-0000273C0000}"/>
    <cellStyle name="40% - Accent2 3 7 2 2 2 2 3" xfId="15493" xr:uid="{00000000-0005-0000-0000-0000283C0000}"/>
    <cellStyle name="40% - Accent2 3 7 2 2 2 3" xfId="15494" xr:uid="{00000000-0005-0000-0000-0000293C0000}"/>
    <cellStyle name="40% - Accent2 3 7 2 2 2 4" xfId="15495" xr:uid="{00000000-0005-0000-0000-00002A3C0000}"/>
    <cellStyle name="40% - Accent2 3 7 2 2 3" xfId="15496" xr:uid="{00000000-0005-0000-0000-00002B3C0000}"/>
    <cellStyle name="40% - Accent2 3 7 2 2 3 2" xfId="15497" xr:uid="{00000000-0005-0000-0000-00002C3C0000}"/>
    <cellStyle name="40% - Accent2 3 7 2 2 3 3" xfId="15498" xr:uid="{00000000-0005-0000-0000-00002D3C0000}"/>
    <cellStyle name="40% - Accent2 3 7 2 2 4" xfId="15499" xr:uid="{00000000-0005-0000-0000-00002E3C0000}"/>
    <cellStyle name="40% - Accent2 3 7 2 2 5" xfId="15500" xr:uid="{00000000-0005-0000-0000-00002F3C0000}"/>
    <cellStyle name="40% - Accent2 3 7 2 2 6" xfId="15501" xr:uid="{00000000-0005-0000-0000-0000303C0000}"/>
    <cellStyle name="40% - Accent2 3 7 2 3" xfId="15502" xr:uid="{00000000-0005-0000-0000-0000313C0000}"/>
    <cellStyle name="40% - Accent2 3 7 2 3 2" xfId="15503" xr:uid="{00000000-0005-0000-0000-0000323C0000}"/>
    <cellStyle name="40% - Accent2 3 7 2 3 2 2" xfId="15504" xr:uid="{00000000-0005-0000-0000-0000333C0000}"/>
    <cellStyle name="40% - Accent2 3 7 2 3 2 3" xfId="15505" xr:uid="{00000000-0005-0000-0000-0000343C0000}"/>
    <cellStyle name="40% - Accent2 3 7 2 3 3" xfId="15506" xr:uid="{00000000-0005-0000-0000-0000353C0000}"/>
    <cellStyle name="40% - Accent2 3 7 2 3 4" xfId="15507" xr:uid="{00000000-0005-0000-0000-0000363C0000}"/>
    <cellStyle name="40% - Accent2 3 7 2 4" xfId="15508" xr:uid="{00000000-0005-0000-0000-0000373C0000}"/>
    <cellStyle name="40% - Accent2 3 7 2 4 2" xfId="15509" xr:uid="{00000000-0005-0000-0000-0000383C0000}"/>
    <cellStyle name="40% - Accent2 3 7 2 4 3" xfId="15510" xr:uid="{00000000-0005-0000-0000-0000393C0000}"/>
    <cellStyle name="40% - Accent2 3 7 2 5" xfId="15511" xr:uid="{00000000-0005-0000-0000-00003A3C0000}"/>
    <cellStyle name="40% - Accent2 3 7 2 6" xfId="15512" xr:uid="{00000000-0005-0000-0000-00003B3C0000}"/>
    <cellStyle name="40% - Accent2 3 7 2 7" xfId="15513" xr:uid="{00000000-0005-0000-0000-00003C3C0000}"/>
    <cellStyle name="40% - Accent2 3 7 3" xfId="15514" xr:uid="{00000000-0005-0000-0000-00003D3C0000}"/>
    <cellStyle name="40% - Accent2 3 7 3 2" xfId="15515" xr:uid="{00000000-0005-0000-0000-00003E3C0000}"/>
    <cellStyle name="40% - Accent2 3 7 3 2 2" xfId="15516" xr:uid="{00000000-0005-0000-0000-00003F3C0000}"/>
    <cellStyle name="40% - Accent2 3 7 3 2 2 2" xfId="15517" xr:uid="{00000000-0005-0000-0000-0000403C0000}"/>
    <cellStyle name="40% - Accent2 3 7 3 2 2 3" xfId="15518" xr:uid="{00000000-0005-0000-0000-0000413C0000}"/>
    <cellStyle name="40% - Accent2 3 7 3 2 3" xfId="15519" xr:uid="{00000000-0005-0000-0000-0000423C0000}"/>
    <cellStyle name="40% - Accent2 3 7 3 2 4" xfId="15520" xr:uid="{00000000-0005-0000-0000-0000433C0000}"/>
    <cellStyle name="40% - Accent2 3 7 3 3" xfId="15521" xr:uid="{00000000-0005-0000-0000-0000443C0000}"/>
    <cellStyle name="40% - Accent2 3 7 3 3 2" xfId="15522" xr:uid="{00000000-0005-0000-0000-0000453C0000}"/>
    <cellStyle name="40% - Accent2 3 7 3 3 3" xfId="15523" xr:uid="{00000000-0005-0000-0000-0000463C0000}"/>
    <cellStyle name="40% - Accent2 3 7 3 4" xfId="15524" xr:uid="{00000000-0005-0000-0000-0000473C0000}"/>
    <cellStyle name="40% - Accent2 3 7 3 5" xfId="15525" xr:uid="{00000000-0005-0000-0000-0000483C0000}"/>
    <cellStyle name="40% - Accent2 3 7 3 6" xfId="15526" xr:uid="{00000000-0005-0000-0000-0000493C0000}"/>
    <cellStyle name="40% - Accent2 3 7 4" xfId="15527" xr:uid="{00000000-0005-0000-0000-00004A3C0000}"/>
    <cellStyle name="40% - Accent2 3 7 4 2" xfId="15528" xr:uid="{00000000-0005-0000-0000-00004B3C0000}"/>
    <cellStyle name="40% - Accent2 3 7 4 2 2" xfId="15529" xr:uid="{00000000-0005-0000-0000-00004C3C0000}"/>
    <cellStyle name="40% - Accent2 3 7 4 2 3" xfId="15530" xr:uid="{00000000-0005-0000-0000-00004D3C0000}"/>
    <cellStyle name="40% - Accent2 3 7 4 3" xfId="15531" xr:uid="{00000000-0005-0000-0000-00004E3C0000}"/>
    <cellStyle name="40% - Accent2 3 7 4 4" xfId="15532" xr:uid="{00000000-0005-0000-0000-00004F3C0000}"/>
    <cellStyle name="40% - Accent2 3 7 5" xfId="15533" xr:uid="{00000000-0005-0000-0000-0000503C0000}"/>
    <cellStyle name="40% - Accent2 3 7 5 2" xfId="15534" xr:uid="{00000000-0005-0000-0000-0000513C0000}"/>
    <cellStyle name="40% - Accent2 3 7 5 3" xfId="15535" xr:uid="{00000000-0005-0000-0000-0000523C0000}"/>
    <cellStyle name="40% - Accent2 3 7 6" xfId="15536" xr:uid="{00000000-0005-0000-0000-0000533C0000}"/>
    <cellStyle name="40% - Accent2 3 7 7" xfId="15537" xr:uid="{00000000-0005-0000-0000-0000543C0000}"/>
    <cellStyle name="40% - Accent2 3 7 8" xfId="15538" xr:uid="{00000000-0005-0000-0000-0000553C0000}"/>
    <cellStyle name="40% - Accent2 3 8" xfId="15539" xr:uid="{00000000-0005-0000-0000-0000563C0000}"/>
    <cellStyle name="40% - Accent2 3 8 2" xfId="15540" xr:uid="{00000000-0005-0000-0000-0000573C0000}"/>
    <cellStyle name="40% - Accent2 3 8 2 2" xfId="15541" xr:uid="{00000000-0005-0000-0000-0000583C0000}"/>
    <cellStyle name="40% - Accent2 3 8 2 2 2" xfId="15542" xr:uid="{00000000-0005-0000-0000-0000593C0000}"/>
    <cellStyle name="40% - Accent2 3 8 2 2 2 2" xfId="15543" xr:uid="{00000000-0005-0000-0000-00005A3C0000}"/>
    <cellStyle name="40% - Accent2 3 8 2 2 2 3" xfId="15544" xr:uid="{00000000-0005-0000-0000-00005B3C0000}"/>
    <cellStyle name="40% - Accent2 3 8 2 2 3" xfId="15545" xr:uid="{00000000-0005-0000-0000-00005C3C0000}"/>
    <cellStyle name="40% - Accent2 3 8 2 2 4" xfId="15546" xr:uid="{00000000-0005-0000-0000-00005D3C0000}"/>
    <cellStyle name="40% - Accent2 3 8 2 3" xfId="15547" xr:uid="{00000000-0005-0000-0000-00005E3C0000}"/>
    <cellStyle name="40% - Accent2 3 8 2 3 2" xfId="15548" xr:uid="{00000000-0005-0000-0000-00005F3C0000}"/>
    <cellStyle name="40% - Accent2 3 8 2 3 3" xfId="15549" xr:uid="{00000000-0005-0000-0000-0000603C0000}"/>
    <cellStyle name="40% - Accent2 3 8 2 4" xfId="15550" xr:uid="{00000000-0005-0000-0000-0000613C0000}"/>
    <cellStyle name="40% - Accent2 3 8 2 5" xfId="15551" xr:uid="{00000000-0005-0000-0000-0000623C0000}"/>
    <cellStyle name="40% - Accent2 3 8 2 6" xfId="15552" xr:uid="{00000000-0005-0000-0000-0000633C0000}"/>
    <cellStyle name="40% - Accent2 3 8 3" xfId="15553" xr:uid="{00000000-0005-0000-0000-0000643C0000}"/>
    <cellStyle name="40% - Accent2 3 8 3 2" xfId="15554" xr:uid="{00000000-0005-0000-0000-0000653C0000}"/>
    <cellStyle name="40% - Accent2 3 8 3 2 2" xfId="15555" xr:uid="{00000000-0005-0000-0000-0000663C0000}"/>
    <cellStyle name="40% - Accent2 3 8 3 2 3" xfId="15556" xr:uid="{00000000-0005-0000-0000-0000673C0000}"/>
    <cellStyle name="40% - Accent2 3 8 3 3" xfId="15557" xr:uid="{00000000-0005-0000-0000-0000683C0000}"/>
    <cellStyle name="40% - Accent2 3 8 3 4" xfId="15558" xr:uid="{00000000-0005-0000-0000-0000693C0000}"/>
    <cellStyle name="40% - Accent2 3 8 4" xfId="15559" xr:uid="{00000000-0005-0000-0000-00006A3C0000}"/>
    <cellStyle name="40% - Accent2 3 8 4 2" xfId="15560" xr:uid="{00000000-0005-0000-0000-00006B3C0000}"/>
    <cellStyle name="40% - Accent2 3 8 4 3" xfId="15561" xr:uid="{00000000-0005-0000-0000-00006C3C0000}"/>
    <cellStyle name="40% - Accent2 3 8 5" xfId="15562" xr:uid="{00000000-0005-0000-0000-00006D3C0000}"/>
    <cellStyle name="40% - Accent2 3 8 6" xfId="15563" xr:uid="{00000000-0005-0000-0000-00006E3C0000}"/>
    <cellStyle name="40% - Accent2 3 8 7" xfId="15564" xr:uid="{00000000-0005-0000-0000-00006F3C0000}"/>
    <cellStyle name="40% - Accent2 3 9" xfId="15565" xr:uid="{00000000-0005-0000-0000-0000703C0000}"/>
    <cellStyle name="40% - Accent2 3 9 2" xfId="15566" xr:uid="{00000000-0005-0000-0000-0000713C0000}"/>
    <cellStyle name="40% - Accent2 3 9 2 2" xfId="15567" xr:uid="{00000000-0005-0000-0000-0000723C0000}"/>
    <cellStyle name="40% - Accent2 3 9 2 2 2" xfId="15568" xr:uid="{00000000-0005-0000-0000-0000733C0000}"/>
    <cellStyle name="40% - Accent2 3 9 2 2 3" xfId="15569" xr:uid="{00000000-0005-0000-0000-0000743C0000}"/>
    <cellStyle name="40% - Accent2 3 9 2 3" xfId="15570" xr:uid="{00000000-0005-0000-0000-0000753C0000}"/>
    <cellStyle name="40% - Accent2 3 9 2 4" xfId="15571" xr:uid="{00000000-0005-0000-0000-0000763C0000}"/>
    <cellStyle name="40% - Accent2 3 9 3" xfId="15572" xr:uid="{00000000-0005-0000-0000-0000773C0000}"/>
    <cellStyle name="40% - Accent2 3 9 3 2" xfId="15573" xr:uid="{00000000-0005-0000-0000-0000783C0000}"/>
    <cellStyle name="40% - Accent2 3 9 3 3" xfId="15574" xr:uid="{00000000-0005-0000-0000-0000793C0000}"/>
    <cellStyle name="40% - Accent2 3 9 4" xfId="15575" xr:uid="{00000000-0005-0000-0000-00007A3C0000}"/>
    <cellStyle name="40% - Accent2 3 9 5" xfId="15576" xr:uid="{00000000-0005-0000-0000-00007B3C0000}"/>
    <cellStyle name="40% - Accent2 3 9 6" xfId="15577" xr:uid="{00000000-0005-0000-0000-00007C3C0000}"/>
    <cellStyle name="40% - Accent2 4" xfId="15578" xr:uid="{00000000-0005-0000-0000-00007D3C0000}"/>
    <cellStyle name="40% - Accent2 4 10" xfId="15579" xr:uid="{00000000-0005-0000-0000-00007E3C0000}"/>
    <cellStyle name="40% - Accent2 4 11" xfId="15580" xr:uid="{00000000-0005-0000-0000-00007F3C0000}"/>
    <cellStyle name="40% - Accent2 4 2" xfId="15581" xr:uid="{00000000-0005-0000-0000-0000803C0000}"/>
    <cellStyle name="40% - Accent2 4 2 10" xfId="15582" xr:uid="{00000000-0005-0000-0000-0000813C0000}"/>
    <cellStyle name="40% - Accent2 4 2 2" xfId="15583" xr:uid="{00000000-0005-0000-0000-0000823C0000}"/>
    <cellStyle name="40% - Accent2 4 2 2 2" xfId="15584" xr:uid="{00000000-0005-0000-0000-0000833C0000}"/>
    <cellStyle name="40% - Accent2 4 2 2 2 2" xfId="15585" xr:uid="{00000000-0005-0000-0000-0000843C0000}"/>
    <cellStyle name="40% - Accent2 4 2 2 2 2 2" xfId="15586" xr:uid="{00000000-0005-0000-0000-0000853C0000}"/>
    <cellStyle name="40% - Accent2 4 2 2 2 2 2 2" xfId="15587" xr:uid="{00000000-0005-0000-0000-0000863C0000}"/>
    <cellStyle name="40% - Accent2 4 2 2 2 2 2 2 2" xfId="15588" xr:uid="{00000000-0005-0000-0000-0000873C0000}"/>
    <cellStyle name="40% - Accent2 4 2 2 2 2 2 2 2 2" xfId="15589" xr:uid="{00000000-0005-0000-0000-0000883C0000}"/>
    <cellStyle name="40% - Accent2 4 2 2 2 2 2 2 2 3" xfId="15590" xr:uid="{00000000-0005-0000-0000-0000893C0000}"/>
    <cellStyle name="40% - Accent2 4 2 2 2 2 2 2 3" xfId="15591" xr:uid="{00000000-0005-0000-0000-00008A3C0000}"/>
    <cellStyle name="40% - Accent2 4 2 2 2 2 2 2 4" xfId="15592" xr:uid="{00000000-0005-0000-0000-00008B3C0000}"/>
    <cellStyle name="40% - Accent2 4 2 2 2 2 2 3" xfId="15593" xr:uid="{00000000-0005-0000-0000-00008C3C0000}"/>
    <cellStyle name="40% - Accent2 4 2 2 2 2 2 3 2" xfId="15594" xr:uid="{00000000-0005-0000-0000-00008D3C0000}"/>
    <cellStyle name="40% - Accent2 4 2 2 2 2 2 3 3" xfId="15595" xr:uid="{00000000-0005-0000-0000-00008E3C0000}"/>
    <cellStyle name="40% - Accent2 4 2 2 2 2 2 4" xfId="15596" xr:uid="{00000000-0005-0000-0000-00008F3C0000}"/>
    <cellStyle name="40% - Accent2 4 2 2 2 2 2 5" xfId="15597" xr:uid="{00000000-0005-0000-0000-0000903C0000}"/>
    <cellStyle name="40% - Accent2 4 2 2 2 2 2 6" xfId="15598" xr:uid="{00000000-0005-0000-0000-0000913C0000}"/>
    <cellStyle name="40% - Accent2 4 2 2 2 2 3" xfId="15599" xr:uid="{00000000-0005-0000-0000-0000923C0000}"/>
    <cellStyle name="40% - Accent2 4 2 2 2 2 3 2" xfId="15600" xr:uid="{00000000-0005-0000-0000-0000933C0000}"/>
    <cellStyle name="40% - Accent2 4 2 2 2 2 3 2 2" xfId="15601" xr:uid="{00000000-0005-0000-0000-0000943C0000}"/>
    <cellStyle name="40% - Accent2 4 2 2 2 2 3 2 3" xfId="15602" xr:uid="{00000000-0005-0000-0000-0000953C0000}"/>
    <cellStyle name="40% - Accent2 4 2 2 2 2 3 3" xfId="15603" xr:uid="{00000000-0005-0000-0000-0000963C0000}"/>
    <cellStyle name="40% - Accent2 4 2 2 2 2 3 4" xfId="15604" xr:uid="{00000000-0005-0000-0000-0000973C0000}"/>
    <cellStyle name="40% - Accent2 4 2 2 2 2 4" xfId="15605" xr:uid="{00000000-0005-0000-0000-0000983C0000}"/>
    <cellStyle name="40% - Accent2 4 2 2 2 2 4 2" xfId="15606" xr:uid="{00000000-0005-0000-0000-0000993C0000}"/>
    <cellStyle name="40% - Accent2 4 2 2 2 2 4 3" xfId="15607" xr:uid="{00000000-0005-0000-0000-00009A3C0000}"/>
    <cellStyle name="40% - Accent2 4 2 2 2 2 5" xfId="15608" xr:uid="{00000000-0005-0000-0000-00009B3C0000}"/>
    <cellStyle name="40% - Accent2 4 2 2 2 2 6" xfId="15609" xr:uid="{00000000-0005-0000-0000-00009C3C0000}"/>
    <cellStyle name="40% - Accent2 4 2 2 2 2 7" xfId="15610" xr:uid="{00000000-0005-0000-0000-00009D3C0000}"/>
    <cellStyle name="40% - Accent2 4 2 2 2 3" xfId="15611" xr:uid="{00000000-0005-0000-0000-00009E3C0000}"/>
    <cellStyle name="40% - Accent2 4 2 2 2 3 2" xfId="15612" xr:uid="{00000000-0005-0000-0000-00009F3C0000}"/>
    <cellStyle name="40% - Accent2 4 2 2 2 3 2 2" xfId="15613" xr:uid="{00000000-0005-0000-0000-0000A03C0000}"/>
    <cellStyle name="40% - Accent2 4 2 2 2 3 2 2 2" xfId="15614" xr:uid="{00000000-0005-0000-0000-0000A13C0000}"/>
    <cellStyle name="40% - Accent2 4 2 2 2 3 2 2 3" xfId="15615" xr:uid="{00000000-0005-0000-0000-0000A23C0000}"/>
    <cellStyle name="40% - Accent2 4 2 2 2 3 2 3" xfId="15616" xr:uid="{00000000-0005-0000-0000-0000A33C0000}"/>
    <cellStyle name="40% - Accent2 4 2 2 2 3 2 4" xfId="15617" xr:uid="{00000000-0005-0000-0000-0000A43C0000}"/>
    <cellStyle name="40% - Accent2 4 2 2 2 3 3" xfId="15618" xr:uid="{00000000-0005-0000-0000-0000A53C0000}"/>
    <cellStyle name="40% - Accent2 4 2 2 2 3 3 2" xfId="15619" xr:uid="{00000000-0005-0000-0000-0000A63C0000}"/>
    <cellStyle name="40% - Accent2 4 2 2 2 3 3 3" xfId="15620" xr:uid="{00000000-0005-0000-0000-0000A73C0000}"/>
    <cellStyle name="40% - Accent2 4 2 2 2 3 4" xfId="15621" xr:uid="{00000000-0005-0000-0000-0000A83C0000}"/>
    <cellStyle name="40% - Accent2 4 2 2 2 3 5" xfId="15622" xr:uid="{00000000-0005-0000-0000-0000A93C0000}"/>
    <cellStyle name="40% - Accent2 4 2 2 2 3 6" xfId="15623" xr:uid="{00000000-0005-0000-0000-0000AA3C0000}"/>
    <cellStyle name="40% - Accent2 4 2 2 2 4" xfId="15624" xr:uid="{00000000-0005-0000-0000-0000AB3C0000}"/>
    <cellStyle name="40% - Accent2 4 2 2 2 4 2" xfId="15625" xr:uid="{00000000-0005-0000-0000-0000AC3C0000}"/>
    <cellStyle name="40% - Accent2 4 2 2 2 4 2 2" xfId="15626" xr:uid="{00000000-0005-0000-0000-0000AD3C0000}"/>
    <cellStyle name="40% - Accent2 4 2 2 2 4 2 3" xfId="15627" xr:uid="{00000000-0005-0000-0000-0000AE3C0000}"/>
    <cellStyle name="40% - Accent2 4 2 2 2 4 3" xfId="15628" xr:uid="{00000000-0005-0000-0000-0000AF3C0000}"/>
    <cellStyle name="40% - Accent2 4 2 2 2 4 4" xfId="15629" xr:uid="{00000000-0005-0000-0000-0000B03C0000}"/>
    <cellStyle name="40% - Accent2 4 2 2 2 5" xfId="15630" xr:uid="{00000000-0005-0000-0000-0000B13C0000}"/>
    <cellStyle name="40% - Accent2 4 2 2 2 5 2" xfId="15631" xr:uid="{00000000-0005-0000-0000-0000B23C0000}"/>
    <cellStyle name="40% - Accent2 4 2 2 2 5 3" xfId="15632" xr:uid="{00000000-0005-0000-0000-0000B33C0000}"/>
    <cellStyle name="40% - Accent2 4 2 2 2 6" xfId="15633" xr:uid="{00000000-0005-0000-0000-0000B43C0000}"/>
    <cellStyle name="40% - Accent2 4 2 2 2 7" xfId="15634" xr:uid="{00000000-0005-0000-0000-0000B53C0000}"/>
    <cellStyle name="40% - Accent2 4 2 2 2 8" xfId="15635" xr:uid="{00000000-0005-0000-0000-0000B63C0000}"/>
    <cellStyle name="40% - Accent2 4 2 2 3" xfId="15636" xr:uid="{00000000-0005-0000-0000-0000B73C0000}"/>
    <cellStyle name="40% - Accent2 4 2 2 3 2" xfId="15637" xr:uid="{00000000-0005-0000-0000-0000B83C0000}"/>
    <cellStyle name="40% - Accent2 4 2 2 3 2 2" xfId="15638" xr:uid="{00000000-0005-0000-0000-0000B93C0000}"/>
    <cellStyle name="40% - Accent2 4 2 2 3 2 2 2" xfId="15639" xr:uid="{00000000-0005-0000-0000-0000BA3C0000}"/>
    <cellStyle name="40% - Accent2 4 2 2 3 2 2 2 2" xfId="15640" xr:uid="{00000000-0005-0000-0000-0000BB3C0000}"/>
    <cellStyle name="40% - Accent2 4 2 2 3 2 2 2 3" xfId="15641" xr:uid="{00000000-0005-0000-0000-0000BC3C0000}"/>
    <cellStyle name="40% - Accent2 4 2 2 3 2 2 3" xfId="15642" xr:uid="{00000000-0005-0000-0000-0000BD3C0000}"/>
    <cellStyle name="40% - Accent2 4 2 2 3 2 2 4" xfId="15643" xr:uid="{00000000-0005-0000-0000-0000BE3C0000}"/>
    <cellStyle name="40% - Accent2 4 2 2 3 2 3" xfId="15644" xr:uid="{00000000-0005-0000-0000-0000BF3C0000}"/>
    <cellStyle name="40% - Accent2 4 2 2 3 2 3 2" xfId="15645" xr:uid="{00000000-0005-0000-0000-0000C03C0000}"/>
    <cellStyle name="40% - Accent2 4 2 2 3 2 3 3" xfId="15646" xr:uid="{00000000-0005-0000-0000-0000C13C0000}"/>
    <cellStyle name="40% - Accent2 4 2 2 3 2 4" xfId="15647" xr:uid="{00000000-0005-0000-0000-0000C23C0000}"/>
    <cellStyle name="40% - Accent2 4 2 2 3 2 5" xfId="15648" xr:uid="{00000000-0005-0000-0000-0000C33C0000}"/>
    <cellStyle name="40% - Accent2 4 2 2 3 2 6" xfId="15649" xr:uid="{00000000-0005-0000-0000-0000C43C0000}"/>
    <cellStyle name="40% - Accent2 4 2 2 3 3" xfId="15650" xr:uid="{00000000-0005-0000-0000-0000C53C0000}"/>
    <cellStyle name="40% - Accent2 4 2 2 3 3 2" xfId="15651" xr:uid="{00000000-0005-0000-0000-0000C63C0000}"/>
    <cellStyle name="40% - Accent2 4 2 2 3 3 2 2" xfId="15652" xr:uid="{00000000-0005-0000-0000-0000C73C0000}"/>
    <cellStyle name="40% - Accent2 4 2 2 3 3 2 3" xfId="15653" xr:uid="{00000000-0005-0000-0000-0000C83C0000}"/>
    <cellStyle name="40% - Accent2 4 2 2 3 3 3" xfId="15654" xr:uid="{00000000-0005-0000-0000-0000C93C0000}"/>
    <cellStyle name="40% - Accent2 4 2 2 3 3 4" xfId="15655" xr:uid="{00000000-0005-0000-0000-0000CA3C0000}"/>
    <cellStyle name="40% - Accent2 4 2 2 3 4" xfId="15656" xr:uid="{00000000-0005-0000-0000-0000CB3C0000}"/>
    <cellStyle name="40% - Accent2 4 2 2 3 4 2" xfId="15657" xr:uid="{00000000-0005-0000-0000-0000CC3C0000}"/>
    <cellStyle name="40% - Accent2 4 2 2 3 4 3" xfId="15658" xr:uid="{00000000-0005-0000-0000-0000CD3C0000}"/>
    <cellStyle name="40% - Accent2 4 2 2 3 5" xfId="15659" xr:uid="{00000000-0005-0000-0000-0000CE3C0000}"/>
    <cellStyle name="40% - Accent2 4 2 2 3 6" xfId="15660" xr:uid="{00000000-0005-0000-0000-0000CF3C0000}"/>
    <cellStyle name="40% - Accent2 4 2 2 3 7" xfId="15661" xr:uid="{00000000-0005-0000-0000-0000D03C0000}"/>
    <cellStyle name="40% - Accent2 4 2 2 4" xfId="15662" xr:uid="{00000000-0005-0000-0000-0000D13C0000}"/>
    <cellStyle name="40% - Accent2 4 2 2 4 2" xfId="15663" xr:uid="{00000000-0005-0000-0000-0000D23C0000}"/>
    <cellStyle name="40% - Accent2 4 2 2 4 2 2" xfId="15664" xr:uid="{00000000-0005-0000-0000-0000D33C0000}"/>
    <cellStyle name="40% - Accent2 4 2 2 4 2 2 2" xfId="15665" xr:uid="{00000000-0005-0000-0000-0000D43C0000}"/>
    <cellStyle name="40% - Accent2 4 2 2 4 2 2 3" xfId="15666" xr:uid="{00000000-0005-0000-0000-0000D53C0000}"/>
    <cellStyle name="40% - Accent2 4 2 2 4 2 3" xfId="15667" xr:uid="{00000000-0005-0000-0000-0000D63C0000}"/>
    <cellStyle name="40% - Accent2 4 2 2 4 2 4" xfId="15668" xr:uid="{00000000-0005-0000-0000-0000D73C0000}"/>
    <cellStyle name="40% - Accent2 4 2 2 4 3" xfId="15669" xr:uid="{00000000-0005-0000-0000-0000D83C0000}"/>
    <cellStyle name="40% - Accent2 4 2 2 4 3 2" xfId="15670" xr:uid="{00000000-0005-0000-0000-0000D93C0000}"/>
    <cellStyle name="40% - Accent2 4 2 2 4 3 3" xfId="15671" xr:uid="{00000000-0005-0000-0000-0000DA3C0000}"/>
    <cellStyle name="40% - Accent2 4 2 2 4 4" xfId="15672" xr:uid="{00000000-0005-0000-0000-0000DB3C0000}"/>
    <cellStyle name="40% - Accent2 4 2 2 4 5" xfId="15673" xr:uid="{00000000-0005-0000-0000-0000DC3C0000}"/>
    <cellStyle name="40% - Accent2 4 2 2 4 6" xfId="15674" xr:uid="{00000000-0005-0000-0000-0000DD3C0000}"/>
    <cellStyle name="40% - Accent2 4 2 2 5" xfId="15675" xr:uid="{00000000-0005-0000-0000-0000DE3C0000}"/>
    <cellStyle name="40% - Accent2 4 2 2 5 2" xfId="15676" xr:uid="{00000000-0005-0000-0000-0000DF3C0000}"/>
    <cellStyle name="40% - Accent2 4 2 2 5 2 2" xfId="15677" xr:uid="{00000000-0005-0000-0000-0000E03C0000}"/>
    <cellStyle name="40% - Accent2 4 2 2 5 2 3" xfId="15678" xr:uid="{00000000-0005-0000-0000-0000E13C0000}"/>
    <cellStyle name="40% - Accent2 4 2 2 5 3" xfId="15679" xr:uid="{00000000-0005-0000-0000-0000E23C0000}"/>
    <cellStyle name="40% - Accent2 4 2 2 5 4" xfId="15680" xr:uid="{00000000-0005-0000-0000-0000E33C0000}"/>
    <cellStyle name="40% - Accent2 4 2 2 6" xfId="15681" xr:uid="{00000000-0005-0000-0000-0000E43C0000}"/>
    <cellStyle name="40% - Accent2 4 2 2 6 2" xfId="15682" xr:uid="{00000000-0005-0000-0000-0000E53C0000}"/>
    <cellStyle name="40% - Accent2 4 2 2 6 3" xfId="15683" xr:uid="{00000000-0005-0000-0000-0000E63C0000}"/>
    <cellStyle name="40% - Accent2 4 2 2 7" xfId="15684" xr:uid="{00000000-0005-0000-0000-0000E73C0000}"/>
    <cellStyle name="40% - Accent2 4 2 2 8" xfId="15685" xr:uid="{00000000-0005-0000-0000-0000E83C0000}"/>
    <cellStyle name="40% - Accent2 4 2 2 9" xfId="15686" xr:uid="{00000000-0005-0000-0000-0000E93C0000}"/>
    <cellStyle name="40% - Accent2 4 2 3" xfId="15687" xr:uid="{00000000-0005-0000-0000-0000EA3C0000}"/>
    <cellStyle name="40% - Accent2 4 2 3 2" xfId="15688" xr:uid="{00000000-0005-0000-0000-0000EB3C0000}"/>
    <cellStyle name="40% - Accent2 4 2 3 2 2" xfId="15689" xr:uid="{00000000-0005-0000-0000-0000EC3C0000}"/>
    <cellStyle name="40% - Accent2 4 2 3 2 2 2" xfId="15690" xr:uid="{00000000-0005-0000-0000-0000ED3C0000}"/>
    <cellStyle name="40% - Accent2 4 2 3 2 2 2 2" xfId="15691" xr:uid="{00000000-0005-0000-0000-0000EE3C0000}"/>
    <cellStyle name="40% - Accent2 4 2 3 2 2 2 2 2" xfId="15692" xr:uid="{00000000-0005-0000-0000-0000EF3C0000}"/>
    <cellStyle name="40% - Accent2 4 2 3 2 2 2 2 3" xfId="15693" xr:uid="{00000000-0005-0000-0000-0000F03C0000}"/>
    <cellStyle name="40% - Accent2 4 2 3 2 2 2 3" xfId="15694" xr:uid="{00000000-0005-0000-0000-0000F13C0000}"/>
    <cellStyle name="40% - Accent2 4 2 3 2 2 2 4" xfId="15695" xr:uid="{00000000-0005-0000-0000-0000F23C0000}"/>
    <cellStyle name="40% - Accent2 4 2 3 2 2 3" xfId="15696" xr:uid="{00000000-0005-0000-0000-0000F33C0000}"/>
    <cellStyle name="40% - Accent2 4 2 3 2 2 3 2" xfId="15697" xr:uid="{00000000-0005-0000-0000-0000F43C0000}"/>
    <cellStyle name="40% - Accent2 4 2 3 2 2 3 3" xfId="15698" xr:uid="{00000000-0005-0000-0000-0000F53C0000}"/>
    <cellStyle name="40% - Accent2 4 2 3 2 2 4" xfId="15699" xr:uid="{00000000-0005-0000-0000-0000F63C0000}"/>
    <cellStyle name="40% - Accent2 4 2 3 2 2 5" xfId="15700" xr:uid="{00000000-0005-0000-0000-0000F73C0000}"/>
    <cellStyle name="40% - Accent2 4 2 3 2 2 6" xfId="15701" xr:uid="{00000000-0005-0000-0000-0000F83C0000}"/>
    <cellStyle name="40% - Accent2 4 2 3 2 3" xfId="15702" xr:uid="{00000000-0005-0000-0000-0000F93C0000}"/>
    <cellStyle name="40% - Accent2 4 2 3 2 3 2" xfId="15703" xr:uid="{00000000-0005-0000-0000-0000FA3C0000}"/>
    <cellStyle name="40% - Accent2 4 2 3 2 3 2 2" xfId="15704" xr:uid="{00000000-0005-0000-0000-0000FB3C0000}"/>
    <cellStyle name="40% - Accent2 4 2 3 2 3 2 3" xfId="15705" xr:uid="{00000000-0005-0000-0000-0000FC3C0000}"/>
    <cellStyle name="40% - Accent2 4 2 3 2 3 3" xfId="15706" xr:uid="{00000000-0005-0000-0000-0000FD3C0000}"/>
    <cellStyle name="40% - Accent2 4 2 3 2 3 4" xfId="15707" xr:uid="{00000000-0005-0000-0000-0000FE3C0000}"/>
    <cellStyle name="40% - Accent2 4 2 3 2 4" xfId="15708" xr:uid="{00000000-0005-0000-0000-0000FF3C0000}"/>
    <cellStyle name="40% - Accent2 4 2 3 2 4 2" xfId="15709" xr:uid="{00000000-0005-0000-0000-0000003D0000}"/>
    <cellStyle name="40% - Accent2 4 2 3 2 4 3" xfId="15710" xr:uid="{00000000-0005-0000-0000-0000013D0000}"/>
    <cellStyle name="40% - Accent2 4 2 3 2 5" xfId="15711" xr:uid="{00000000-0005-0000-0000-0000023D0000}"/>
    <cellStyle name="40% - Accent2 4 2 3 2 6" xfId="15712" xr:uid="{00000000-0005-0000-0000-0000033D0000}"/>
    <cellStyle name="40% - Accent2 4 2 3 2 7" xfId="15713" xr:uid="{00000000-0005-0000-0000-0000043D0000}"/>
    <cellStyle name="40% - Accent2 4 2 3 3" xfId="15714" xr:uid="{00000000-0005-0000-0000-0000053D0000}"/>
    <cellStyle name="40% - Accent2 4 2 3 3 2" xfId="15715" xr:uid="{00000000-0005-0000-0000-0000063D0000}"/>
    <cellStyle name="40% - Accent2 4 2 3 3 2 2" xfId="15716" xr:uid="{00000000-0005-0000-0000-0000073D0000}"/>
    <cellStyle name="40% - Accent2 4 2 3 3 2 2 2" xfId="15717" xr:uid="{00000000-0005-0000-0000-0000083D0000}"/>
    <cellStyle name="40% - Accent2 4 2 3 3 2 2 3" xfId="15718" xr:uid="{00000000-0005-0000-0000-0000093D0000}"/>
    <cellStyle name="40% - Accent2 4 2 3 3 2 3" xfId="15719" xr:uid="{00000000-0005-0000-0000-00000A3D0000}"/>
    <cellStyle name="40% - Accent2 4 2 3 3 2 4" xfId="15720" xr:uid="{00000000-0005-0000-0000-00000B3D0000}"/>
    <cellStyle name="40% - Accent2 4 2 3 3 3" xfId="15721" xr:uid="{00000000-0005-0000-0000-00000C3D0000}"/>
    <cellStyle name="40% - Accent2 4 2 3 3 3 2" xfId="15722" xr:uid="{00000000-0005-0000-0000-00000D3D0000}"/>
    <cellStyle name="40% - Accent2 4 2 3 3 3 3" xfId="15723" xr:uid="{00000000-0005-0000-0000-00000E3D0000}"/>
    <cellStyle name="40% - Accent2 4 2 3 3 4" xfId="15724" xr:uid="{00000000-0005-0000-0000-00000F3D0000}"/>
    <cellStyle name="40% - Accent2 4 2 3 3 5" xfId="15725" xr:uid="{00000000-0005-0000-0000-0000103D0000}"/>
    <cellStyle name="40% - Accent2 4 2 3 3 6" xfId="15726" xr:uid="{00000000-0005-0000-0000-0000113D0000}"/>
    <cellStyle name="40% - Accent2 4 2 3 4" xfId="15727" xr:uid="{00000000-0005-0000-0000-0000123D0000}"/>
    <cellStyle name="40% - Accent2 4 2 3 4 2" xfId="15728" xr:uid="{00000000-0005-0000-0000-0000133D0000}"/>
    <cellStyle name="40% - Accent2 4 2 3 4 2 2" xfId="15729" xr:uid="{00000000-0005-0000-0000-0000143D0000}"/>
    <cellStyle name="40% - Accent2 4 2 3 4 2 3" xfId="15730" xr:uid="{00000000-0005-0000-0000-0000153D0000}"/>
    <cellStyle name="40% - Accent2 4 2 3 4 3" xfId="15731" xr:uid="{00000000-0005-0000-0000-0000163D0000}"/>
    <cellStyle name="40% - Accent2 4 2 3 4 4" xfId="15732" xr:uid="{00000000-0005-0000-0000-0000173D0000}"/>
    <cellStyle name="40% - Accent2 4 2 3 5" xfId="15733" xr:uid="{00000000-0005-0000-0000-0000183D0000}"/>
    <cellStyle name="40% - Accent2 4 2 3 5 2" xfId="15734" xr:uid="{00000000-0005-0000-0000-0000193D0000}"/>
    <cellStyle name="40% - Accent2 4 2 3 5 3" xfId="15735" xr:uid="{00000000-0005-0000-0000-00001A3D0000}"/>
    <cellStyle name="40% - Accent2 4 2 3 6" xfId="15736" xr:uid="{00000000-0005-0000-0000-00001B3D0000}"/>
    <cellStyle name="40% - Accent2 4 2 3 7" xfId="15737" xr:uid="{00000000-0005-0000-0000-00001C3D0000}"/>
    <cellStyle name="40% - Accent2 4 2 3 8" xfId="15738" xr:uid="{00000000-0005-0000-0000-00001D3D0000}"/>
    <cellStyle name="40% - Accent2 4 2 4" xfId="15739" xr:uid="{00000000-0005-0000-0000-00001E3D0000}"/>
    <cellStyle name="40% - Accent2 4 2 4 2" xfId="15740" xr:uid="{00000000-0005-0000-0000-00001F3D0000}"/>
    <cellStyle name="40% - Accent2 4 2 4 2 2" xfId="15741" xr:uid="{00000000-0005-0000-0000-0000203D0000}"/>
    <cellStyle name="40% - Accent2 4 2 4 2 2 2" xfId="15742" xr:uid="{00000000-0005-0000-0000-0000213D0000}"/>
    <cellStyle name="40% - Accent2 4 2 4 2 2 2 2" xfId="15743" xr:uid="{00000000-0005-0000-0000-0000223D0000}"/>
    <cellStyle name="40% - Accent2 4 2 4 2 2 2 3" xfId="15744" xr:uid="{00000000-0005-0000-0000-0000233D0000}"/>
    <cellStyle name="40% - Accent2 4 2 4 2 2 3" xfId="15745" xr:uid="{00000000-0005-0000-0000-0000243D0000}"/>
    <cellStyle name="40% - Accent2 4 2 4 2 2 4" xfId="15746" xr:uid="{00000000-0005-0000-0000-0000253D0000}"/>
    <cellStyle name="40% - Accent2 4 2 4 2 3" xfId="15747" xr:uid="{00000000-0005-0000-0000-0000263D0000}"/>
    <cellStyle name="40% - Accent2 4 2 4 2 3 2" xfId="15748" xr:uid="{00000000-0005-0000-0000-0000273D0000}"/>
    <cellStyle name="40% - Accent2 4 2 4 2 3 3" xfId="15749" xr:uid="{00000000-0005-0000-0000-0000283D0000}"/>
    <cellStyle name="40% - Accent2 4 2 4 2 4" xfId="15750" xr:uid="{00000000-0005-0000-0000-0000293D0000}"/>
    <cellStyle name="40% - Accent2 4 2 4 2 5" xfId="15751" xr:uid="{00000000-0005-0000-0000-00002A3D0000}"/>
    <cellStyle name="40% - Accent2 4 2 4 2 6" xfId="15752" xr:uid="{00000000-0005-0000-0000-00002B3D0000}"/>
    <cellStyle name="40% - Accent2 4 2 4 3" xfId="15753" xr:uid="{00000000-0005-0000-0000-00002C3D0000}"/>
    <cellStyle name="40% - Accent2 4 2 4 3 2" xfId="15754" xr:uid="{00000000-0005-0000-0000-00002D3D0000}"/>
    <cellStyle name="40% - Accent2 4 2 4 3 2 2" xfId="15755" xr:uid="{00000000-0005-0000-0000-00002E3D0000}"/>
    <cellStyle name="40% - Accent2 4 2 4 3 2 3" xfId="15756" xr:uid="{00000000-0005-0000-0000-00002F3D0000}"/>
    <cellStyle name="40% - Accent2 4 2 4 3 3" xfId="15757" xr:uid="{00000000-0005-0000-0000-0000303D0000}"/>
    <cellStyle name="40% - Accent2 4 2 4 3 4" xfId="15758" xr:uid="{00000000-0005-0000-0000-0000313D0000}"/>
    <cellStyle name="40% - Accent2 4 2 4 4" xfId="15759" xr:uid="{00000000-0005-0000-0000-0000323D0000}"/>
    <cellStyle name="40% - Accent2 4 2 4 4 2" xfId="15760" xr:uid="{00000000-0005-0000-0000-0000333D0000}"/>
    <cellStyle name="40% - Accent2 4 2 4 4 3" xfId="15761" xr:uid="{00000000-0005-0000-0000-0000343D0000}"/>
    <cellStyle name="40% - Accent2 4 2 4 5" xfId="15762" xr:uid="{00000000-0005-0000-0000-0000353D0000}"/>
    <cellStyle name="40% - Accent2 4 2 4 6" xfId="15763" xr:uid="{00000000-0005-0000-0000-0000363D0000}"/>
    <cellStyle name="40% - Accent2 4 2 4 7" xfId="15764" xr:uid="{00000000-0005-0000-0000-0000373D0000}"/>
    <cellStyle name="40% - Accent2 4 2 5" xfId="15765" xr:uid="{00000000-0005-0000-0000-0000383D0000}"/>
    <cellStyle name="40% - Accent2 4 2 5 2" xfId="15766" xr:uid="{00000000-0005-0000-0000-0000393D0000}"/>
    <cellStyle name="40% - Accent2 4 2 5 2 2" xfId="15767" xr:uid="{00000000-0005-0000-0000-00003A3D0000}"/>
    <cellStyle name="40% - Accent2 4 2 5 2 2 2" xfId="15768" xr:uid="{00000000-0005-0000-0000-00003B3D0000}"/>
    <cellStyle name="40% - Accent2 4 2 5 2 2 3" xfId="15769" xr:uid="{00000000-0005-0000-0000-00003C3D0000}"/>
    <cellStyle name="40% - Accent2 4 2 5 2 3" xfId="15770" xr:uid="{00000000-0005-0000-0000-00003D3D0000}"/>
    <cellStyle name="40% - Accent2 4 2 5 2 4" xfId="15771" xr:uid="{00000000-0005-0000-0000-00003E3D0000}"/>
    <cellStyle name="40% - Accent2 4 2 5 3" xfId="15772" xr:uid="{00000000-0005-0000-0000-00003F3D0000}"/>
    <cellStyle name="40% - Accent2 4 2 5 3 2" xfId="15773" xr:uid="{00000000-0005-0000-0000-0000403D0000}"/>
    <cellStyle name="40% - Accent2 4 2 5 3 3" xfId="15774" xr:uid="{00000000-0005-0000-0000-0000413D0000}"/>
    <cellStyle name="40% - Accent2 4 2 5 4" xfId="15775" xr:uid="{00000000-0005-0000-0000-0000423D0000}"/>
    <cellStyle name="40% - Accent2 4 2 5 5" xfId="15776" xr:uid="{00000000-0005-0000-0000-0000433D0000}"/>
    <cellStyle name="40% - Accent2 4 2 5 6" xfId="15777" xr:uid="{00000000-0005-0000-0000-0000443D0000}"/>
    <cellStyle name="40% - Accent2 4 2 6" xfId="15778" xr:uid="{00000000-0005-0000-0000-0000453D0000}"/>
    <cellStyle name="40% - Accent2 4 2 6 2" xfId="15779" xr:uid="{00000000-0005-0000-0000-0000463D0000}"/>
    <cellStyle name="40% - Accent2 4 2 6 2 2" xfId="15780" xr:uid="{00000000-0005-0000-0000-0000473D0000}"/>
    <cellStyle name="40% - Accent2 4 2 6 2 3" xfId="15781" xr:uid="{00000000-0005-0000-0000-0000483D0000}"/>
    <cellStyle name="40% - Accent2 4 2 6 3" xfId="15782" xr:uid="{00000000-0005-0000-0000-0000493D0000}"/>
    <cellStyle name="40% - Accent2 4 2 6 4" xfId="15783" xr:uid="{00000000-0005-0000-0000-00004A3D0000}"/>
    <cellStyle name="40% - Accent2 4 2 7" xfId="15784" xr:uid="{00000000-0005-0000-0000-00004B3D0000}"/>
    <cellStyle name="40% - Accent2 4 2 7 2" xfId="15785" xr:uid="{00000000-0005-0000-0000-00004C3D0000}"/>
    <cellStyle name="40% - Accent2 4 2 7 3" xfId="15786" xr:uid="{00000000-0005-0000-0000-00004D3D0000}"/>
    <cellStyle name="40% - Accent2 4 2 8" xfId="15787" xr:uid="{00000000-0005-0000-0000-00004E3D0000}"/>
    <cellStyle name="40% - Accent2 4 2 9" xfId="15788" xr:uid="{00000000-0005-0000-0000-00004F3D0000}"/>
    <cellStyle name="40% - Accent2 4 3" xfId="15789" xr:uid="{00000000-0005-0000-0000-0000503D0000}"/>
    <cellStyle name="40% - Accent2 4 3 2" xfId="15790" xr:uid="{00000000-0005-0000-0000-0000513D0000}"/>
    <cellStyle name="40% - Accent2 4 3 2 2" xfId="15791" xr:uid="{00000000-0005-0000-0000-0000523D0000}"/>
    <cellStyle name="40% - Accent2 4 3 2 2 2" xfId="15792" xr:uid="{00000000-0005-0000-0000-0000533D0000}"/>
    <cellStyle name="40% - Accent2 4 3 2 2 2 2" xfId="15793" xr:uid="{00000000-0005-0000-0000-0000543D0000}"/>
    <cellStyle name="40% - Accent2 4 3 2 2 2 2 2" xfId="15794" xr:uid="{00000000-0005-0000-0000-0000553D0000}"/>
    <cellStyle name="40% - Accent2 4 3 2 2 2 2 2 2" xfId="15795" xr:uid="{00000000-0005-0000-0000-0000563D0000}"/>
    <cellStyle name="40% - Accent2 4 3 2 2 2 2 2 3" xfId="15796" xr:uid="{00000000-0005-0000-0000-0000573D0000}"/>
    <cellStyle name="40% - Accent2 4 3 2 2 2 2 3" xfId="15797" xr:uid="{00000000-0005-0000-0000-0000583D0000}"/>
    <cellStyle name="40% - Accent2 4 3 2 2 2 2 4" xfId="15798" xr:uid="{00000000-0005-0000-0000-0000593D0000}"/>
    <cellStyle name="40% - Accent2 4 3 2 2 2 3" xfId="15799" xr:uid="{00000000-0005-0000-0000-00005A3D0000}"/>
    <cellStyle name="40% - Accent2 4 3 2 2 2 3 2" xfId="15800" xr:uid="{00000000-0005-0000-0000-00005B3D0000}"/>
    <cellStyle name="40% - Accent2 4 3 2 2 2 3 3" xfId="15801" xr:uid="{00000000-0005-0000-0000-00005C3D0000}"/>
    <cellStyle name="40% - Accent2 4 3 2 2 2 4" xfId="15802" xr:uid="{00000000-0005-0000-0000-00005D3D0000}"/>
    <cellStyle name="40% - Accent2 4 3 2 2 2 5" xfId="15803" xr:uid="{00000000-0005-0000-0000-00005E3D0000}"/>
    <cellStyle name="40% - Accent2 4 3 2 2 2 6" xfId="15804" xr:uid="{00000000-0005-0000-0000-00005F3D0000}"/>
    <cellStyle name="40% - Accent2 4 3 2 2 3" xfId="15805" xr:uid="{00000000-0005-0000-0000-0000603D0000}"/>
    <cellStyle name="40% - Accent2 4 3 2 2 3 2" xfId="15806" xr:uid="{00000000-0005-0000-0000-0000613D0000}"/>
    <cellStyle name="40% - Accent2 4 3 2 2 3 2 2" xfId="15807" xr:uid="{00000000-0005-0000-0000-0000623D0000}"/>
    <cellStyle name="40% - Accent2 4 3 2 2 3 2 3" xfId="15808" xr:uid="{00000000-0005-0000-0000-0000633D0000}"/>
    <cellStyle name="40% - Accent2 4 3 2 2 3 3" xfId="15809" xr:uid="{00000000-0005-0000-0000-0000643D0000}"/>
    <cellStyle name="40% - Accent2 4 3 2 2 3 4" xfId="15810" xr:uid="{00000000-0005-0000-0000-0000653D0000}"/>
    <cellStyle name="40% - Accent2 4 3 2 2 4" xfId="15811" xr:uid="{00000000-0005-0000-0000-0000663D0000}"/>
    <cellStyle name="40% - Accent2 4 3 2 2 4 2" xfId="15812" xr:uid="{00000000-0005-0000-0000-0000673D0000}"/>
    <cellStyle name="40% - Accent2 4 3 2 2 4 3" xfId="15813" xr:uid="{00000000-0005-0000-0000-0000683D0000}"/>
    <cellStyle name="40% - Accent2 4 3 2 2 5" xfId="15814" xr:uid="{00000000-0005-0000-0000-0000693D0000}"/>
    <cellStyle name="40% - Accent2 4 3 2 2 6" xfId="15815" xr:uid="{00000000-0005-0000-0000-00006A3D0000}"/>
    <cellStyle name="40% - Accent2 4 3 2 2 7" xfId="15816" xr:uid="{00000000-0005-0000-0000-00006B3D0000}"/>
    <cellStyle name="40% - Accent2 4 3 2 3" xfId="15817" xr:uid="{00000000-0005-0000-0000-00006C3D0000}"/>
    <cellStyle name="40% - Accent2 4 3 2 3 2" xfId="15818" xr:uid="{00000000-0005-0000-0000-00006D3D0000}"/>
    <cellStyle name="40% - Accent2 4 3 2 3 2 2" xfId="15819" xr:uid="{00000000-0005-0000-0000-00006E3D0000}"/>
    <cellStyle name="40% - Accent2 4 3 2 3 2 2 2" xfId="15820" xr:uid="{00000000-0005-0000-0000-00006F3D0000}"/>
    <cellStyle name="40% - Accent2 4 3 2 3 2 2 3" xfId="15821" xr:uid="{00000000-0005-0000-0000-0000703D0000}"/>
    <cellStyle name="40% - Accent2 4 3 2 3 2 3" xfId="15822" xr:uid="{00000000-0005-0000-0000-0000713D0000}"/>
    <cellStyle name="40% - Accent2 4 3 2 3 2 4" xfId="15823" xr:uid="{00000000-0005-0000-0000-0000723D0000}"/>
    <cellStyle name="40% - Accent2 4 3 2 3 3" xfId="15824" xr:uid="{00000000-0005-0000-0000-0000733D0000}"/>
    <cellStyle name="40% - Accent2 4 3 2 3 3 2" xfId="15825" xr:uid="{00000000-0005-0000-0000-0000743D0000}"/>
    <cellStyle name="40% - Accent2 4 3 2 3 3 3" xfId="15826" xr:uid="{00000000-0005-0000-0000-0000753D0000}"/>
    <cellStyle name="40% - Accent2 4 3 2 3 4" xfId="15827" xr:uid="{00000000-0005-0000-0000-0000763D0000}"/>
    <cellStyle name="40% - Accent2 4 3 2 3 5" xfId="15828" xr:uid="{00000000-0005-0000-0000-0000773D0000}"/>
    <cellStyle name="40% - Accent2 4 3 2 3 6" xfId="15829" xr:uid="{00000000-0005-0000-0000-0000783D0000}"/>
    <cellStyle name="40% - Accent2 4 3 2 4" xfId="15830" xr:uid="{00000000-0005-0000-0000-0000793D0000}"/>
    <cellStyle name="40% - Accent2 4 3 2 4 2" xfId="15831" xr:uid="{00000000-0005-0000-0000-00007A3D0000}"/>
    <cellStyle name="40% - Accent2 4 3 2 4 2 2" xfId="15832" xr:uid="{00000000-0005-0000-0000-00007B3D0000}"/>
    <cellStyle name="40% - Accent2 4 3 2 4 2 3" xfId="15833" xr:uid="{00000000-0005-0000-0000-00007C3D0000}"/>
    <cellStyle name="40% - Accent2 4 3 2 4 3" xfId="15834" xr:uid="{00000000-0005-0000-0000-00007D3D0000}"/>
    <cellStyle name="40% - Accent2 4 3 2 4 4" xfId="15835" xr:uid="{00000000-0005-0000-0000-00007E3D0000}"/>
    <cellStyle name="40% - Accent2 4 3 2 5" xfId="15836" xr:uid="{00000000-0005-0000-0000-00007F3D0000}"/>
    <cellStyle name="40% - Accent2 4 3 2 5 2" xfId="15837" xr:uid="{00000000-0005-0000-0000-0000803D0000}"/>
    <cellStyle name="40% - Accent2 4 3 2 5 3" xfId="15838" xr:uid="{00000000-0005-0000-0000-0000813D0000}"/>
    <cellStyle name="40% - Accent2 4 3 2 6" xfId="15839" xr:uid="{00000000-0005-0000-0000-0000823D0000}"/>
    <cellStyle name="40% - Accent2 4 3 2 7" xfId="15840" xr:uid="{00000000-0005-0000-0000-0000833D0000}"/>
    <cellStyle name="40% - Accent2 4 3 2 8" xfId="15841" xr:uid="{00000000-0005-0000-0000-0000843D0000}"/>
    <cellStyle name="40% - Accent2 4 3 3" xfId="15842" xr:uid="{00000000-0005-0000-0000-0000853D0000}"/>
    <cellStyle name="40% - Accent2 4 3 3 2" xfId="15843" xr:uid="{00000000-0005-0000-0000-0000863D0000}"/>
    <cellStyle name="40% - Accent2 4 3 3 2 2" xfId="15844" xr:uid="{00000000-0005-0000-0000-0000873D0000}"/>
    <cellStyle name="40% - Accent2 4 3 3 2 2 2" xfId="15845" xr:uid="{00000000-0005-0000-0000-0000883D0000}"/>
    <cellStyle name="40% - Accent2 4 3 3 2 2 2 2" xfId="15846" xr:uid="{00000000-0005-0000-0000-0000893D0000}"/>
    <cellStyle name="40% - Accent2 4 3 3 2 2 2 3" xfId="15847" xr:uid="{00000000-0005-0000-0000-00008A3D0000}"/>
    <cellStyle name="40% - Accent2 4 3 3 2 2 3" xfId="15848" xr:uid="{00000000-0005-0000-0000-00008B3D0000}"/>
    <cellStyle name="40% - Accent2 4 3 3 2 2 4" xfId="15849" xr:uid="{00000000-0005-0000-0000-00008C3D0000}"/>
    <cellStyle name="40% - Accent2 4 3 3 2 3" xfId="15850" xr:uid="{00000000-0005-0000-0000-00008D3D0000}"/>
    <cellStyle name="40% - Accent2 4 3 3 2 3 2" xfId="15851" xr:uid="{00000000-0005-0000-0000-00008E3D0000}"/>
    <cellStyle name="40% - Accent2 4 3 3 2 3 3" xfId="15852" xr:uid="{00000000-0005-0000-0000-00008F3D0000}"/>
    <cellStyle name="40% - Accent2 4 3 3 2 4" xfId="15853" xr:uid="{00000000-0005-0000-0000-0000903D0000}"/>
    <cellStyle name="40% - Accent2 4 3 3 2 5" xfId="15854" xr:uid="{00000000-0005-0000-0000-0000913D0000}"/>
    <cellStyle name="40% - Accent2 4 3 3 2 6" xfId="15855" xr:uid="{00000000-0005-0000-0000-0000923D0000}"/>
    <cellStyle name="40% - Accent2 4 3 3 3" xfId="15856" xr:uid="{00000000-0005-0000-0000-0000933D0000}"/>
    <cellStyle name="40% - Accent2 4 3 3 3 2" xfId="15857" xr:uid="{00000000-0005-0000-0000-0000943D0000}"/>
    <cellStyle name="40% - Accent2 4 3 3 3 2 2" xfId="15858" xr:uid="{00000000-0005-0000-0000-0000953D0000}"/>
    <cellStyle name="40% - Accent2 4 3 3 3 2 3" xfId="15859" xr:uid="{00000000-0005-0000-0000-0000963D0000}"/>
    <cellStyle name="40% - Accent2 4 3 3 3 3" xfId="15860" xr:uid="{00000000-0005-0000-0000-0000973D0000}"/>
    <cellStyle name="40% - Accent2 4 3 3 3 4" xfId="15861" xr:uid="{00000000-0005-0000-0000-0000983D0000}"/>
    <cellStyle name="40% - Accent2 4 3 3 4" xfId="15862" xr:uid="{00000000-0005-0000-0000-0000993D0000}"/>
    <cellStyle name="40% - Accent2 4 3 3 4 2" xfId="15863" xr:uid="{00000000-0005-0000-0000-00009A3D0000}"/>
    <cellStyle name="40% - Accent2 4 3 3 4 3" xfId="15864" xr:uid="{00000000-0005-0000-0000-00009B3D0000}"/>
    <cellStyle name="40% - Accent2 4 3 3 5" xfId="15865" xr:uid="{00000000-0005-0000-0000-00009C3D0000}"/>
    <cellStyle name="40% - Accent2 4 3 3 6" xfId="15866" xr:uid="{00000000-0005-0000-0000-00009D3D0000}"/>
    <cellStyle name="40% - Accent2 4 3 3 7" xfId="15867" xr:uid="{00000000-0005-0000-0000-00009E3D0000}"/>
    <cellStyle name="40% - Accent2 4 3 4" xfId="15868" xr:uid="{00000000-0005-0000-0000-00009F3D0000}"/>
    <cellStyle name="40% - Accent2 4 3 4 2" xfId="15869" xr:uid="{00000000-0005-0000-0000-0000A03D0000}"/>
    <cellStyle name="40% - Accent2 4 3 4 2 2" xfId="15870" xr:uid="{00000000-0005-0000-0000-0000A13D0000}"/>
    <cellStyle name="40% - Accent2 4 3 4 2 2 2" xfId="15871" xr:uid="{00000000-0005-0000-0000-0000A23D0000}"/>
    <cellStyle name="40% - Accent2 4 3 4 2 2 3" xfId="15872" xr:uid="{00000000-0005-0000-0000-0000A33D0000}"/>
    <cellStyle name="40% - Accent2 4 3 4 2 3" xfId="15873" xr:uid="{00000000-0005-0000-0000-0000A43D0000}"/>
    <cellStyle name="40% - Accent2 4 3 4 2 4" xfId="15874" xr:uid="{00000000-0005-0000-0000-0000A53D0000}"/>
    <cellStyle name="40% - Accent2 4 3 4 3" xfId="15875" xr:uid="{00000000-0005-0000-0000-0000A63D0000}"/>
    <cellStyle name="40% - Accent2 4 3 4 3 2" xfId="15876" xr:uid="{00000000-0005-0000-0000-0000A73D0000}"/>
    <cellStyle name="40% - Accent2 4 3 4 3 3" xfId="15877" xr:uid="{00000000-0005-0000-0000-0000A83D0000}"/>
    <cellStyle name="40% - Accent2 4 3 4 4" xfId="15878" xr:uid="{00000000-0005-0000-0000-0000A93D0000}"/>
    <cellStyle name="40% - Accent2 4 3 4 5" xfId="15879" xr:uid="{00000000-0005-0000-0000-0000AA3D0000}"/>
    <cellStyle name="40% - Accent2 4 3 4 6" xfId="15880" xr:uid="{00000000-0005-0000-0000-0000AB3D0000}"/>
    <cellStyle name="40% - Accent2 4 3 5" xfId="15881" xr:uid="{00000000-0005-0000-0000-0000AC3D0000}"/>
    <cellStyle name="40% - Accent2 4 3 5 2" xfId="15882" xr:uid="{00000000-0005-0000-0000-0000AD3D0000}"/>
    <cellStyle name="40% - Accent2 4 3 5 2 2" xfId="15883" xr:uid="{00000000-0005-0000-0000-0000AE3D0000}"/>
    <cellStyle name="40% - Accent2 4 3 5 2 3" xfId="15884" xr:uid="{00000000-0005-0000-0000-0000AF3D0000}"/>
    <cellStyle name="40% - Accent2 4 3 5 3" xfId="15885" xr:uid="{00000000-0005-0000-0000-0000B03D0000}"/>
    <cellStyle name="40% - Accent2 4 3 5 4" xfId="15886" xr:uid="{00000000-0005-0000-0000-0000B13D0000}"/>
    <cellStyle name="40% - Accent2 4 3 6" xfId="15887" xr:uid="{00000000-0005-0000-0000-0000B23D0000}"/>
    <cellStyle name="40% - Accent2 4 3 6 2" xfId="15888" xr:uid="{00000000-0005-0000-0000-0000B33D0000}"/>
    <cellStyle name="40% - Accent2 4 3 6 3" xfId="15889" xr:uid="{00000000-0005-0000-0000-0000B43D0000}"/>
    <cellStyle name="40% - Accent2 4 3 7" xfId="15890" xr:uid="{00000000-0005-0000-0000-0000B53D0000}"/>
    <cellStyle name="40% - Accent2 4 3 8" xfId="15891" xr:uid="{00000000-0005-0000-0000-0000B63D0000}"/>
    <cellStyle name="40% - Accent2 4 3 9" xfId="15892" xr:uid="{00000000-0005-0000-0000-0000B73D0000}"/>
    <cellStyle name="40% - Accent2 4 4" xfId="15893" xr:uid="{00000000-0005-0000-0000-0000B83D0000}"/>
    <cellStyle name="40% - Accent2 4 4 2" xfId="15894" xr:uid="{00000000-0005-0000-0000-0000B93D0000}"/>
    <cellStyle name="40% - Accent2 4 4 2 2" xfId="15895" xr:uid="{00000000-0005-0000-0000-0000BA3D0000}"/>
    <cellStyle name="40% - Accent2 4 4 2 2 2" xfId="15896" xr:uid="{00000000-0005-0000-0000-0000BB3D0000}"/>
    <cellStyle name="40% - Accent2 4 4 2 2 2 2" xfId="15897" xr:uid="{00000000-0005-0000-0000-0000BC3D0000}"/>
    <cellStyle name="40% - Accent2 4 4 2 2 2 2 2" xfId="15898" xr:uid="{00000000-0005-0000-0000-0000BD3D0000}"/>
    <cellStyle name="40% - Accent2 4 4 2 2 2 2 3" xfId="15899" xr:uid="{00000000-0005-0000-0000-0000BE3D0000}"/>
    <cellStyle name="40% - Accent2 4 4 2 2 2 3" xfId="15900" xr:uid="{00000000-0005-0000-0000-0000BF3D0000}"/>
    <cellStyle name="40% - Accent2 4 4 2 2 2 4" xfId="15901" xr:uid="{00000000-0005-0000-0000-0000C03D0000}"/>
    <cellStyle name="40% - Accent2 4 4 2 2 3" xfId="15902" xr:uid="{00000000-0005-0000-0000-0000C13D0000}"/>
    <cellStyle name="40% - Accent2 4 4 2 2 3 2" xfId="15903" xr:uid="{00000000-0005-0000-0000-0000C23D0000}"/>
    <cellStyle name="40% - Accent2 4 4 2 2 3 3" xfId="15904" xr:uid="{00000000-0005-0000-0000-0000C33D0000}"/>
    <cellStyle name="40% - Accent2 4 4 2 2 4" xfId="15905" xr:uid="{00000000-0005-0000-0000-0000C43D0000}"/>
    <cellStyle name="40% - Accent2 4 4 2 2 5" xfId="15906" xr:uid="{00000000-0005-0000-0000-0000C53D0000}"/>
    <cellStyle name="40% - Accent2 4 4 2 2 6" xfId="15907" xr:uid="{00000000-0005-0000-0000-0000C63D0000}"/>
    <cellStyle name="40% - Accent2 4 4 2 3" xfId="15908" xr:uid="{00000000-0005-0000-0000-0000C73D0000}"/>
    <cellStyle name="40% - Accent2 4 4 2 3 2" xfId="15909" xr:uid="{00000000-0005-0000-0000-0000C83D0000}"/>
    <cellStyle name="40% - Accent2 4 4 2 3 2 2" xfId="15910" xr:uid="{00000000-0005-0000-0000-0000C93D0000}"/>
    <cellStyle name="40% - Accent2 4 4 2 3 2 3" xfId="15911" xr:uid="{00000000-0005-0000-0000-0000CA3D0000}"/>
    <cellStyle name="40% - Accent2 4 4 2 3 3" xfId="15912" xr:uid="{00000000-0005-0000-0000-0000CB3D0000}"/>
    <cellStyle name="40% - Accent2 4 4 2 3 4" xfId="15913" xr:uid="{00000000-0005-0000-0000-0000CC3D0000}"/>
    <cellStyle name="40% - Accent2 4 4 2 4" xfId="15914" xr:uid="{00000000-0005-0000-0000-0000CD3D0000}"/>
    <cellStyle name="40% - Accent2 4 4 2 4 2" xfId="15915" xr:uid="{00000000-0005-0000-0000-0000CE3D0000}"/>
    <cellStyle name="40% - Accent2 4 4 2 4 3" xfId="15916" xr:uid="{00000000-0005-0000-0000-0000CF3D0000}"/>
    <cellStyle name="40% - Accent2 4 4 2 5" xfId="15917" xr:uid="{00000000-0005-0000-0000-0000D03D0000}"/>
    <cellStyle name="40% - Accent2 4 4 2 6" xfId="15918" xr:uid="{00000000-0005-0000-0000-0000D13D0000}"/>
    <cellStyle name="40% - Accent2 4 4 2 7" xfId="15919" xr:uid="{00000000-0005-0000-0000-0000D23D0000}"/>
    <cellStyle name="40% - Accent2 4 4 3" xfId="15920" xr:uid="{00000000-0005-0000-0000-0000D33D0000}"/>
    <cellStyle name="40% - Accent2 4 4 3 2" xfId="15921" xr:uid="{00000000-0005-0000-0000-0000D43D0000}"/>
    <cellStyle name="40% - Accent2 4 4 3 2 2" xfId="15922" xr:uid="{00000000-0005-0000-0000-0000D53D0000}"/>
    <cellStyle name="40% - Accent2 4 4 3 2 2 2" xfId="15923" xr:uid="{00000000-0005-0000-0000-0000D63D0000}"/>
    <cellStyle name="40% - Accent2 4 4 3 2 2 3" xfId="15924" xr:uid="{00000000-0005-0000-0000-0000D73D0000}"/>
    <cellStyle name="40% - Accent2 4 4 3 2 3" xfId="15925" xr:uid="{00000000-0005-0000-0000-0000D83D0000}"/>
    <cellStyle name="40% - Accent2 4 4 3 2 4" xfId="15926" xr:uid="{00000000-0005-0000-0000-0000D93D0000}"/>
    <cellStyle name="40% - Accent2 4 4 3 3" xfId="15927" xr:uid="{00000000-0005-0000-0000-0000DA3D0000}"/>
    <cellStyle name="40% - Accent2 4 4 3 3 2" xfId="15928" xr:uid="{00000000-0005-0000-0000-0000DB3D0000}"/>
    <cellStyle name="40% - Accent2 4 4 3 3 3" xfId="15929" xr:uid="{00000000-0005-0000-0000-0000DC3D0000}"/>
    <cellStyle name="40% - Accent2 4 4 3 4" xfId="15930" xr:uid="{00000000-0005-0000-0000-0000DD3D0000}"/>
    <cellStyle name="40% - Accent2 4 4 3 5" xfId="15931" xr:uid="{00000000-0005-0000-0000-0000DE3D0000}"/>
    <cellStyle name="40% - Accent2 4 4 3 6" xfId="15932" xr:uid="{00000000-0005-0000-0000-0000DF3D0000}"/>
    <cellStyle name="40% - Accent2 4 4 4" xfId="15933" xr:uid="{00000000-0005-0000-0000-0000E03D0000}"/>
    <cellStyle name="40% - Accent2 4 4 4 2" xfId="15934" xr:uid="{00000000-0005-0000-0000-0000E13D0000}"/>
    <cellStyle name="40% - Accent2 4 4 4 2 2" xfId="15935" xr:uid="{00000000-0005-0000-0000-0000E23D0000}"/>
    <cellStyle name="40% - Accent2 4 4 4 2 3" xfId="15936" xr:uid="{00000000-0005-0000-0000-0000E33D0000}"/>
    <cellStyle name="40% - Accent2 4 4 4 3" xfId="15937" xr:uid="{00000000-0005-0000-0000-0000E43D0000}"/>
    <cellStyle name="40% - Accent2 4 4 4 4" xfId="15938" xr:uid="{00000000-0005-0000-0000-0000E53D0000}"/>
    <cellStyle name="40% - Accent2 4 4 5" xfId="15939" xr:uid="{00000000-0005-0000-0000-0000E63D0000}"/>
    <cellStyle name="40% - Accent2 4 4 5 2" xfId="15940" xr:uid="{00000000-0005-0000-0000-0000E73D0000}"/>
    <cellStyle name="40% - Accent2 4 4 5 3" xfId="15941" xr:uid="{00000000-0005-0000-0000-0000E83D0000}"/>
    <cellStyle name="40% - Accent2 4 4 6" xfId="15942" xr:uid="{00000000-0005-0000-0000-0000E93D0000}"/>
    <cellStyle name="40% - Accent2 4 4 7" xfId="15943" xr:uid="{00000000-0005-0000-0000-0000EA3D0000}"/>
    <cellStyle name="40% - Accent2 4 4 8" xfId="15944" xr:uid="{00000000-0005-0000-0000-0000EB3D0000}"/>
    <cellStyle name="40% - Accent2 4 5" xfId="15945" xr:uid="{00000000-0005-0000-0000-0000EC3D0000}"/>
    <cellStyle name="40% - Accent2 4 5 2" xfId="15946" xr:uid="{00000000-0005-0000-0000-0000ED3D0000}"/>
    <cellStyle name="40% - Accent2 4 5 2 2" xfId="15947" xr:uid="{00000000-0005-0000-0000-0000EE3D0000}"/>
    <cellStyle name="40% - Accent2 4 5 2 2 2" xfId="15948" xr:uid="{00000000-0005-0000-0000-0000EF3D0000}"/>
    <cellStyle name="40% - Accent2 4 5 2 2 2 2" xfId="15949" xr:uid="{00000000-0005-0000-0000-0000F03D0000}"/>
    <cellStyle name="40% - Accent2 4 5 2 2 2 3" xfId="15950" xr:uid="{00000000-0005-0000-0000-0000F13D0000}"/>
    <cellStyle name="40% - Accent2 4 5 2 2 3" xfId="15951" xr:uid="{00000000-0005-0000-0000-0000F23D0000}"/>
    <cellStyle name="40% - Accent2 4 5 2 2 4" xfId="15952" xr:uid="{00000000-0005-0000-0000-0000F33D0000}"/>
    <cellStyle name="40% - Accent2 4 5 2 3" xfId="15953" xr:uid="{00000000-0005-0000-0000-0000F43D0000}"/>
    <cellStyle name="40% - Accent2 4 5 2 3 2" xfId="15954" xr:uid="{00000000-0005-0000-0000-0000F53D0000}"/>
    <cellStyle name="40% - Accent2 4 5 2 3 3" xfId="15955" xr:uid="{00000000-0005-0000-0000-0000F63D0000}"/>
    <cellStyle name="40% - Accent2 4 5 2 4" xfId="15956" xr:uid="{00000000-0005-0000-0000-0000F73D0000}"/>
    <cellStyle name="40% - Accent2 4 5 2 5" xfId="15957" xr:uid="{00000000-0005-0000-0000-0000F83D0000}"/>
    <cellStyle name="40% - Accent2 4 5 2 6" xfId="15958" xr:uid="{00000000-0005-0000-0000-0000F93D0000}"/>
    <cellStyle name="40% - Accent2 4 5 3" xfId="15959" xr:uid="{00000000-0005-0000-0000-0000FA3D0000}"/>
    <cellStyle name="40% - Accent2 4 5 3 2" xfId="15960" xr:uid="{00000000-0005-0000-0000-0000FB3D0000}"/>
    <cellStyle name="40% - Accent2 4 5 3 2 2" xfId="15961" xr:uid="{00000000-0005-0000-0000-0000FC3D0000}"/>
    <cellStyle name="40% - Accent2 4 5 3 2 3" xfId="15962" xr:uid="{00000000-0005-0000-0000-0000FD3D0000}"/>
    <cellStyle name="40% - Accent2 4 5 3 3" xfId="15963" xr:uid="{00000000-0005-0000-0000-0000FE3D0000}"/>
    <cellStyle name="40% - Accent2 4 5 3 4" xfId="15964" xr:uid="{00000000-0005-0000-0000-0000FF3D0000}"/>
    <cellStyle name="40% - Accent2 4 5 4" xfId="15965" xr:uid="{00000000-0005-0000-0000-0000003E0000}"/>
    <cellStyle name="40% - Accent2 4 5 4 2" xfId="15966" xr:uid="{00000000-0005-0000-0000-0000013E0000}"/>
    <cellStyle name="40% - Accent2 4 5 4 3" xfId="15967" xr:uid="{00000000-0005-0000-0000-0000023E0000}"/>
    <cellStyle name="40% - Accent2 4 5 5" xfId="15968" xr:uid="{00000000-0005-0000-0000-0000033E0000}"/>
    <cellStyle name="40% - Accent2 4 5 6" xfId="15969" xr:uid="{00000000-0005-0000-0000-0000043E0000}"/>
    <cellStyle name="40% - Accent2 4 5 7" xfId="15970" xr:uid="{00000000-0005-0000-0000-0000053E0000}"/>
    <cellStyle name="40% - Accent2 4 6" xfId="15971" xr:uid="{00000000-0005-0000-0000-0000063E0000}"/>
    <cellStyle name="40% - Accent2 4 6 2" xfId="15972" xr:uid="{00000000-0005-0000-0000-0000073E0000}"/>
    <cellStyle name="40% - Accent2 4 6 2 2" xfId="15973" xr:uid="{00000000-0005-0000-0000-0000083E0000}"/>
    <cellStyle name="40% - Accent2 4 6 2 2 2" xfId="15974" xr:uid="{00000000-0005-0000-0000-0000093E0000}"/>
    <cellStyle name="40% - Accent2 4 6 2 2 3" xfId="15975" xr:uid="{00000000-0005-0000-0000-00000A3E0000}"/>
    <cellStyle name="40% - Accent2 4 6 2 3" xfId="15976" xr:uid="{00000000-0005-0000-0000-00000B3E0000}"/>
    <cellStyle name="40% - Accent2 4 6 2 4" xfId="15977" xr:uid="{00000000-0005-0000-0000-00000C3E0000}"/>
    <cellStyle name="40% - Accent2 4 6 3" xfId="15978" xr:uid="{00000000-0005-0000-0000-00000D3E0000}"/>
    <cellStyle name="40% - Accent2 4 6 3 2" xfId="15979" xr:uid="{00000000-0005-0000-0000-00000E3E0000}"/>
    <cellStyle name="40% - Accent2 4 6 3 3" xfId="15980" xr:uid="{00000000-0005-0000-0000-00000F3E0000}"/>
    <cellStyle name="40% - Accent2 4 6 4" xfId="15981" xr:uid="{00000000-0005-0000-0000-0000103E0000}"/>
    <cellStyle name="40% - Accent2 4 6 5" xfId="15982" xr:uid="{00000000-0005-0000-0000-0000113E0000}"/>
    <cellStyle name="40% - Accent2 4 6 6" xfId="15983" xr:uid="{00000000-0005-0000-0000-0000123E0000}"/>
    <cellStyle name="40% - Accent2 4 7" xfId="15984" xr:uid="{00000000-0005-0000-0000-0000133E0000}"/>
    <cellStyle name="40% - Accent2 4 7 2" xfId="15985" xr:uid="{00000000-0005-0000-0000-0000143E0000}"/>
    <cellStyle name="40% - Accent2 4 7 2 2" xfId="15986" xr:uid="{00000000-0005-0000-0000-0000153E0000}"/>
    <cellStyle name="40% - Accent2 4 7 2 3" xfId="15987" xr:uid="{00000000-0005-0000-0000-0000163E0000}"/>
    <cellStyle name="40% - Accent2 4 7 3" xfId="15988" xr:uid="{00000000-0005-0000-0000-0000173E0000}"/>
    <cellStyle name="40% - Accent2 4 7 4" xfId="15989" xr:uid="{00000000-0005-0000-0000-0000183E0000}"/>
    <cellStyle name="40% - Accent2 4 8" xfId="15990" xr:uid="{00000000-0005-0000-0000-0000193E0000}"/>
    <cellStyle name="40% - Accent2 4 8 2" xfId="15991" xr:uid="{00000000-0005-0000-0000-00001A3E0000}"/>
    <cellStyle name="40% - Accent2 4 8 3" xfId="15992" xr:uid="{00000000-0005-0000-0000-00001B3E0000}"/>
    <cellStyle name="40% - Accent2 4 9" xfId="15993" xr:uid="{00000000-0005-0000-0000-00001C3E0000}"/>
    <cellStyle name="40% - Accent2 5" xfId="15994" xr:uid="{00000000-0005-0000-0000-00001D3E0000}"/>
    <cellStyle name="40% - Accent2 5 10" xfId="15995" xr:uid="{00000000-0005-0000-0000-00001E3E0000}"/>
    <cellStyle name="40% - Accent2 5 2" xfId="15996" xr:uid="{00000000-0005-0000-0000-00001F3E0000}"/>
    <cellStyle name="40% - Accent2 5 2 2" xfId="15997" xr:uid="{00000000-0005-0000-0000-0000203E0000}"/>
    <cellStyle name="40% - Accent2 5 2 2 2" xfId="15998" xr:uid="{00000000-0005-0000-0000-0000213E0000}"/>
    <cellStyle name="40% - Accent2 5 2 2 2 2" xfId="15999" xr:uid="{00000000-0005-0000-0000-0000223E0000}"/>
    <cellStyle name="40% - Accent2 5 2 2 2 2 2" xfId="16000" xr:uid="{00000000-0005-0000-0000-0000233E0000}"/>
    <cellStyle name="40% - Accent2 5 2 2 2 2 2 2" xfId="16001" xr:uid="{00000000-0005-0000-0000-0000243E0000}"/>
    <cellStyle name="40% - Accent2 5 2 2 2 2 2 2 2" xfId="16002" xr:uid="{00000000-0005-0000-0000-0000253E0000}"/>
    <cellStyle name="40% - Accent2 5 2 2 2 2 2 2 3" xfId="16003" xr:uid="{00000000-0005-0000-0000-0000263E0000}"/>
    <cellStyle name="40% - Accent2 5 2 2 2 2 2 3" xfId="16004" xr:uid="{00000000-0005-0000-0000-0000273E0000}"/>
    <cellStyle name="40% - Accent2 5 2 2 2 2 2 4" xfId="16005" xr:uid="{00000000-0005-0000-0000-0000283E0000}"/>
    <cellStyle name="40% - Accent2 5 2 2 2 2 3" xfId="16006" xr:uid="{00000000-0005-0000-0000-0000293E0000}"/>
    <cellStyle name="40% - Accent2 5 2 2 2 2 3 2" xfId="16007" xr:uid="{00000000-0005-0000-0000-00002A3E0000}"/>
    <cellStyle name="40% - Accent2 5 2 2 2 2 3 3" xfId="16008" xr:uid="{00000000-0005-0000-0000-00002B3E0000}"/>
    <cellStyle name="40% - Accent2 5 2 2 2 2 4" xfId="16009" xr:uid="{00000000-0005-0000-0000-00002C3E0000}"/>
    <cellStyle name="40% - Accent2 5 2 2 2 2 5" xfId="16010" xr:uid="{00000000-0005-0000-0000-00002D3E0000}"/>
    <cellStyle name="40% - Accent2 5 2 2 2 2 6" xfId="16011" xr:uid="{00000000-0005-0000-0000-00002E3E0000}"/>
    <cellStyle name="40% - Accent2 5 2 2 2 3" xfId="16012" xr:uid="{00000000-0005-0000-0000-00002F3E0000}"/>
    <cellStyle name="40% - Accent2 5 2 2 2 3 2" xfId="16013" xr:uid="{00000000-0005-0000-0000-0000303E0000}"/>
    <cellStyle name="40% - Accent2 5 2 2 2 3 2 2" xfId="16014" xr:uid="{00000000-0005-0000-0000-0000313E0000}"/>
    <cellStyle name="40% - Accent2 5 2 2 2 3 2 3" xfId="16015" xr:uid="{00000000-0005-0000-0000-0000323E0000}"/>
    <cellStyle name="40% - Accent2 5 2 2 2 3 3" xfId="16016" xr:uid="{00000000-0005-0000-0000-0000333E0000}"/>
    <cellStyle name="40% - Accent2 5 2 2 2 3 4" xfId="16017" xr:uid="{00000000-0005-0000-0000-0000343E0000}"/>
    <cellStyle name="40% - Accent2 5 2 2 2 4" xfId="16018" xr:uid="{00000000-0005-0000-0000-0000353E0000}"/>
    <cellStyle name="40% - Accent2 5 2 2 2 4 2" xfId="16019" xr:uid="{00000000-0005-0000-0000-0000363E0000}"/>
    <cellStyle name="40% - Accent2 5 2 2 2 4 3" xfId="16020" xr:uid="{00000000-0005-0000-0000-0000373E0000}"/>
    <cellStyle name="40% - Accent2 5 2 2 2 5" xfId="16021" xr:uid="{00000000-0005-0000-0000-0000383E0000}"/>
    <cellStyle name="40% - Accent2 5 2 2 2 6" xfId="16022" xr:uid="{00000000-0005-0000-0000-0000393E0000}"/>
    <cellStyle name="40% - Accent2 5 2 2 2 7" xfId="16023" xr:uid="{00000000-0005-0000-0000-00003A3E0000}"/>
    <cellStyle name="40% - Accent2 5 2 2 3" xfId="16024" xr:uid="{00000000-0005-0000-0000-00003B3E0000}"/>
    <cellStyle name="40% - Accent2 5 2 2 3 2" xfId="16025" xr:uid="{00000000-0005-0000-0000-00003C3E0000}"/>
    <cellStyle name="40% - Accent2 5 2 2 3 2 2" xfId="16026" xr:uid="{00000000-0005-0000-0000-00003D3E0000}"/>
    <cellStyle name="40% - Accent2 5 2 2 3 2 2 2" xfId="16027" xr:uid="{00000000-0005-0000-0000-00003E3E0000}"/>
    <cellStyle name="40% - Accent2 5 2 2 3 2 2 3" xfId="16028" xr:uid="{00000000-0005-0000-0000-00003F3E0000}"/>
    <cellStyle name="40% - Accent2 5 2 2 3 2 3" xfId="16029" xr:uid="{00000000-0005-0000-0000-0000403E0000}"/>
    <cellStyle name="40% - Accent2 5 2 2 3 2 4" xfId="16030" xr:uid="{00000000-0005-0000-0000-0000413E0000}"/>
    <cellStyle name="40% - Accent2 5 2 2 3 3" xfId="16031" xr:uid="{00000000-0005-0000-0000-0000423E0000}"/>
    <cellStyle name="40% - Accent2 5 2 2 3 3 2" xfId="16032" xr:uid="{00000000-0005-0000-0000-0000433E0000}"/>
    <cellStyle name="40% - Accent2 5 2 2 3 3 3" xfId="16033" xr:uid="{00000000-0005-0000-0000-0000443E0000}"/>
    <cellStyle name="40% - Accent2 5 2 2 3 4" xfId="16034" xr:uid="{00000000-0005-0000-0000-0000453E0000}"/>
    <cellStyle name="40% - Accent2 5 2 2 3 5" xfId="16035" xr:uid="{00000000-0005-0000-0000-0000463E0000}"/>
    <cellStyle name="40% - Accent2 5 2 2 3 6" xfId="16036" xr:uid="{00000000-0005-0000-0000-0000473E0000}"/>
    <cellStyle name="40% - Accent2 5 2 2 4" xfId="16037" xr:uid="{00000000-0005-0000-0000-0000483E0000}"/>
    <cellStyle name="40% - Accent2 5 2 2 4 2" xfId="16038" xr:uid="{00000000-0005-0000-0000-0000493E0000}"/>
    <cellStyle name="40% - Accent2 5 2 2 4 2 2" xfId="16039" xr:uid="{00000000-0005-0000-0000-00004A3E0000}"/>
    <cellStyle name="40% - Accent2 5 2 2 4 2 3" xfId="16040" xr:uid="{00000000-0005-0000-0000-00004B3E0000}"/>
    <cellStyle name="40% - Accent2 5 2 2 4 3" xfId="16041" xr:uid="{00000000-0005-0000-0000-00004C3E0000}"/>
    <cellStyle name="40% - Accent2 5 2 2 4 4" xfId="16042" xr:uid="{00000000-0005-0000-0000-00004D3E0000}"/>
    <cellStyle name="40% - Accent2 5 2 2 5" xfId="16043" xr:uid="{00000000-0005-0000-0000-00004E3E0000}"/>
    <cellStyle name="40% - Accent2 5 2 2 5 2" xfId="16044" xr:uid="{00000000-0005-0000-0000-00004F3E0000}"/>
    <cellStyle name="40% - Accent2 5 2 2 5 3" xfId="16045" xr:uid="{00000000-0005-0000-0000-0000503E0000}"/>
    <cellStyle name="40% - Accent2 5 2 2 6" xfId="16046" xr:uid="{00000000-0005-0000-0000-0000513E0000}"/>
    <cellStyle name="40% - Accent2 5 2 2 7" xfId="16047" xr:uid="{00000000-0005-0000-0000-0000523E0000}"/>
    <cellStyle name="40% - Accent2 5 2 2 8" xfId="16048" xr:uid="{00000000-0005-0000-0000-0000533E0000}"/>
    <cellStyle name="40% - Accent2 5 2 3" xfId="16049" xr:uid="{00000000-0005-0000-0000-0000543E0000}"/>
    <cellStyle name="40% - Accent2 5 2 3 2" xfId="16050" xr:uid="{00000000-0005-0000-0000-0000553E0000}"/>
    <cellStyle name="40% - Accent2 5 2 3 2 2" xfId="16051" xr:uid="{00000000-0005-0000-0000-0000563E0000}"/>
    <cellStyle name="40% - Accent2 5 2 3 2 2 2" xfId="16052" xr:uid="{00000000-0005-0000-0000-0000573E0000}"/>
    <cellStyle name="40% - Accent2 5 2 3 2 2 2 2" xfId="16053" xr:uid="{00000000-0005-0000-0000-0000583E0000}"/>
    <cellStyle name="40% - Accent2 5 2 3 2 2 2 3" xfId="16054" xr:uid="{00000000-0005-0000-0000-0000593E0000}"/>
    <cellStyle name="40% - Accent2 5 2 3 2 2 3" xfId="16055" xr:uid="{00000000-0005-0000-0000-00005A3E0000}"/>
    <cellStyle name="40% - Accent2 5 2 3 2 2 4" xfId="16056" xr:uid="{00000000-0005-0000-0000-00005B3E0000}"/>
    <cellStyle name="40% - Accent2 5 2 3 2 3" xfId="16057" xr:uid="{00000000-0005-0000-0000-00005C3E0000}"/>
    <cellStyle name="40% - Accent2 5 2 3 2 3 2" xfId="16058" xr:uid="{00000000-0005-0000-0000-00005D3E0000}"/>
    <cellStyle name="40% - Accent2 5 2 3 2 3 3" xfId="16059" xr:uid="{00000000-0005-0000-0000-00005E3E0000}"/>
    <cellStyle name="40% - Accent2 5 2 3 2 4" xfId="16060" xr:uid="{00000000-0005-0000-0000-00005F3E0000}"/>
    <cellStyle name="40% - Accent2 5 2 3 2 5" xfId="16061" xr:uid="{00000000-0005-0000-0000-0000603E0000}"/>
    <cellStyle name="40% - Accent2 5 2 3 2 6" xfId="16062" xr:uid="{00000000-0005-0000-0000-0000613E0000}"/>
    <cellStyle name="40% - Accent2 5 2 3 3" xfId="16063" xr:uid="{00000000-0005-0000-0000-0000623E0000}"/>
    <cellStyle name="40% - Accent2 5 2 3 3 2" xfId="16064" xr:uid="{00000000-0005-0000-0000-0000633E0000}"/>
    <cellStyle name="40% - Accent2 5 2 3 3 2 2" xfId="16065" xr:uid="{00000000-0005-0000-0000-0000643E0000}"/>
    <cellStyle name="40% - Accent2 5 2 3 3 2 3" xfId="16066" xr:uid="{00000000-0005-0000-0000-0000653E0000}"/>
    <cellStyle name="40% - Accent2 5 2 3 3 3" xfId="16067" xr:uid="{00000000-0005-0000-0000-0000663E0000}"/>
    <cellStyle name="40% - Accent2 5 2 3 3 4" xfId="16068" xr:uid="{00000000-0005-0000-0000-0000673E0000}"/>
    <cellStyle name="40% - Accent2 5 2 3 4" xfId="16069" xr:uid="{00000000-0005-0000-0000-0000683E0000}"/>
    <cellStyle name="40% - Accent2 5 2 3 4 2" xfId="16070" xr:uid="{00000000-0005-0000-0000-0000693E0000}"/>
    <cellStyle name="40% - Accent2 5 2 3 4 3" xfId="16071" xr:uid="{00000000-0005-0000-0000-00006A3E0000}"/>
    <cellStyle name="40% - Accent2 5 2 3 5" xfId="16072" xr:uid="{00000000-0005-0000-0000-00006B3E0000}"/>
    <cellStyle name="40% - Accent2 5 2 3 6" xfId="16073" xr:uid="{00000000-0005-0000-0000-00006C3E0000}"/>
    <cellStyle name="40% - Accent2 5 2 3 7" xfId="16074" xr:uid="{00000000-0005-0000-0000-00006D3E0000}"/>
    <cellStyle name="40% - Accent2 5 2 4" xfId="16075" xr:uid="{00000000-0005-0000-0000-00006E3E0000}"/>
    <cellStyle name="40% - Accent2 5 2 4 2" xfId="16076" xr:uid="{00000000-0005-0000-0000-00006F3E0000}"/>
    <cellStyle name="40% - Accent2 5 2 4 2 2" xfId="16077" xr:uid="{00000000-0005-0000-0000-0000703E0000}"/>
    <cellStyle name="40% - Accent2 5 2 4 2 2 2" xfId="16078" xr:uid="{00000000-0005-0000-0000-0000713E0000}"/>
    <cellStyle name="40% - Accent2 5 2 4 2 2 3" xfId="16079" xr:uid="{00000000-0005-0000-0000-0000723E0000}"/>
    <cellStyle name="40% - Accent2 5 2 4 2 3" xfId="16080" xr:uid="{00000000-0005-0000-0000-0000733E0000}"/>
    <cellStyle name="40% - Accent2 5 2 4 2 4" xfId="16081" xr:uid="{00000000-0005-0000-0000-0000743E0000}"/>
    <cellStyle name="40% - Accent2 5 2 4 3" xfId="16082" xr:uid="{00000000-0005-0000-0000-0000753E0000}"/>
    <cellStyle name="40% - Accent2 5 2 4 3 2" xfId="16083" xr:uid="{00000000-0005-0000-0000-0000763E0000}"/>
    <cellStyle name="40% - Accent2 5 2 4 3 3" xfId="16084" xr:uid="{00000000-0005-0000-0000-0000773E0000}"/>
    <cellStyle name="40% - Accent2 5 2 4 4" xfId="16085" xr:uid="{00000000-0005-0000-0000-0000783E0000}"/>
    <cellStyle name="40% - Accent2 5 2 4 5" xfId="16086" xr:uid="{00000000-0005-0000-0000-0000793E0000}"/>
    <cellStyle name="40% - Accent2 5 2 4 6" xfId="16087" xr:uid="{00000000-0005-0000-0000-00007A3E0000}"/>
    <cellStyle name="40% - Accent2 5 2 5" xfId="16088" xr:uid="{00000000-0005-0000-0000-00007B3E0000}"/>
    <cellStyle name="40% - Accent2 5 2 5 2" xfId="16089" xr:uid="{00000000-0005-0000-0000-00007C3E0000}"/>
    <cellStyle name="40% - Accent2 5 2 5 2 2" xfId="16090" xr:uid="{00000000-0005-0000-0000-00007D3E0000}"/>
    <cellStyle name="40% - Accent2 5 2 5 2 3" xfId="16091" xr:uid="{00000000-0005-0000-0000-00007E3E0000}"/>
    <cellStyle name="40% - Accent2 5 2 5 3" xfId="16092" xr:uid="{00000000-0005-0000-0000-00007F3E0000}"/>
    <cellStyle name="40% - Accent2 5 2 5 4" xfId="16093" xr:uid="{00000000-0005-0000-0000-0000803E0000}"/>
    <cellStyle name="40% - Accent2 5 2 6" xfId="16094" xr:uid="{00000000-0005-0000-0000-0000813E0000}"/>
    <cellStyle name="40% - Accent2 5 2 6 2" xfId="16095" xr:uid="{00000000-0005-0000-0000-0000823E0000}"/>
    <cellStyle name="40% - Accent2 5 2 6 3" xfId="16096" xr:uid="{00000000-0005-0000-0000-0000833E0000}"/>
    <cellStyle name="40% - Accent2 5 2 7" xfId="16097" xr:uid="{00000000-0005-0000-0000-0000843E0000}"/>
    <cellStyle name="40% - Accent2 5 2 8" xfId="16098" xr:uid="{00000000-0005-0000-0000-0000853E0000}"/>
    <cellStyle name="40% - Accent2 5 2 9" xfId="16099" xr:uid="{00000000-0005-0000-0000-0000863E0000}"/>
    <cellStyle name="40% - Accent2 5 3" xfId="16100" xr:uid="{00000000-0005-0000-0000-0000873E0000}"/>
    <cellStyle name="40% - Accent2 5 3 2" xfId="16101" xr:uid="{00000000-0005-0000-0000-0000883E0000}"/>
    <cellStyle name="40% - Accent2 5 3 2 2" xfId="16102" xr:uid="{00000000-0005-0000-0000-0000893E0000}"/>
    <cellStyle name="40% - Accent2 5 3 2 2 2" xfId="16103" xr:uid="{00000000-0005-0000-0000-00008A3E0000}"/>
    <cellStyle name="40% - Accent2 5 3 2 2 2 2" xfId="16104" xr:uid="{00000000-0005-0000-0000-00008B3E0000}"/>
    <cellStyle name="40% - Accent2 5 3 2 2 2 2 2" xfId="16105" xr:uid="{00000000-0005-0000-0000-00008C3E0000}"/>
    <cellStyle name="40% - Accent2 5 3 2 2 2 2 3" xfId="16106" xr:uid="{00000000-0005-0000-0000-00008D3E0000}"/>
    <cellStyle name="40% - Accent2 5 3 2 2 2 3" xfId="16107" xr:uid="{00000000-0005-0000-0000-00008E3E0000}"/>
    <cellStyle name="40% - Accent2 5 3 2 2 2 4" xfId="16108" xr:uid="{00000000-0005-0000-0000-00008F3E0000}"/>
    <cellStyle name="40% - Accent2 5 3 2 2 3" xfId="16109" xr:uid="{00000000-0005-0000-0000-0000903E0000}"/>
    <cellStyle name="40% - Accent2 5 3 2 2 3 2" xfId="16110" xr:uid="{00000000-0005-0000-0000-0000913E0000}"/>
    <cellStyle name="40% - Accent2 5 3 2 2 3 3" xfId="16111" xr:uid="{00000000-0005-0000-0000-0000923E0000}"/>
    <cellStyle name="40% - Accent2 5 3 2 2 4" xfId="16112" xr:uid="{00000000-0005-0000-0000-0000933E0000}"/>
    <cellStyle name="40% - Accent2 5 3 2 2 5" xfId="16113" xr:uid="{00000000-0005-0000-0000-0000943E0000}"/>
    <cellStyle name="40% - Accent2 5 3 2 2 6" xfId="16114" xr:uid="{00000000-0005-0000-0000-0000953E0000}"/>
    <cellStyle name="40% - Accent2 5 3 2 3" xfId="16115" xr:uid="{00000000-0005-0000-0000-0000963E0000}"/>
    <cellStyle name="40% - Accent2 5 3 2 3 2" xfId="16116" xr:uid="{00000000-0005-0000-0000-0000973E0000}"/>
    <cellStyle name="40% - Accent2 5 3 2 3 2 2" xfId="16117" xr:uid="{00000000-0005-0000-0000-0000983E0000}"/>
    <cellStyle name="40% - Accent2 5 3 2 3 2 3" xfId="16118" xr:uid="{00000000-0005-0000-0000-0000993E0000}"/>
    <cellStyle name="40% - Accent2 5 3 2 3 3" xfId="16119" xr:uid="{00000000-0005-0000-0000-00009A3E0000}"/>
    <cellStyle name="40% - Accent2 5 3 2 3 4" xfId="16120" xr:uid="{00000000-0005-0000-0000-00009B3E0000}"/>
    <cellStyle name="40% - Accent2 5 3 2 4" xfId="16121" xr:uid="{00000000-0005-0000-0000-00009C3E0000}"/>
    <cellStyle name="40% - Accent2 5 3 2 4 2" xfId="16122" xr:uid="{00000000-0005-0000-0000-00009D3E0000}"/>
    <cellStyle name="40% - Accent2 5 3 2 4 3" xfId="16123" xr:uid="{00000000-0005-0000-0000-00009E3E0000}"/>
    <cellStyle name="40% - Accent2 5 3 2 5" xfId="16124" xr:uid="{00000000-0005-0000-0000-00009F3E0000}"/>
    <cellStyle name="40% - Accent2 5 3 2 6" xfId="16125" xr:uid="{00000000-0005-0000-0000-0000A03E0000}"/>
    <cellStyle name="40% - Accent2 5 3 2 7" xfId="16126" xr:uid="{00000000-0005-0000-0000-0000A13E0000}"/>
    <cellStyle name="40% - Accent2 5 3 3" xfId="16127" xr:uid="{00000000-0005-0000-0000-0000A23E0000}"/>
    <cellStyle name="40% - Accent2 5 3 3 2" xfId="16128" xr:uid="{00000000-0005-0000-0000-0000A33E0000}"/>
    <cellStyle name="40% - Accent2 5 3 3 2 2" xfId="16129" xr:uid="{00000000-0005-0000-0000-0000A43E0000}"/>
    <cellStyle name="40% - Accent2 5 3 3 2 2 2" xfId="16130" xr:uid="{00000000-0005-0000-0000-0000A53E0000}"/>
    <cellStyle name="40% - Accent2 5 3 3 2 2 3" xfId="16131" xr:uid="{00000000-0005-0000-0000-0000A63E0000}"/>
    <cellStyle name="40% - Accent2 5 3 3 2 3" xfId="16132" xr:uid="{00000000-0005-0000-0000-0000A73E0000}"/>
    <cellStyle name="40% - Accent2 5 3 3 2 4" xfId="16133" xr:uid="{00000000-0005-0000-0000-0000A83E0000}"/>
    <cellStyle name="40% - Accent2 5 3 3 3" xfId="16134" xr:uid="{00000000-0005-0000-0000-0000A93E0000}"/>
    <cellStyle name="40% - Accent2 5 3 3 3 2" xfId="16135" xr:uid="{00000000-0005-0000-0000-0000AA3E0000}"/>
    <cellStyle name="40% - Accent2 5 3 3 3 3" xfId="16136" xr:uid="{00000000-0005-0000-0000-0000AB3E0000}"/>
    <cellStyle name="40% - Accent2 5 3 3 4" xfId="16137" xr:uid="{00000000-0005-0000-0000-0000AC3E0000}"/>
    <cellStyle name="40% - Accent2 5 3 3 5" xfId="16138" xr:uid="{00000000-0005-0000-0000-0000AD3E0000}"/>
    <cellStyle name="40% - Accent2 5 3 3 6" xfId="16139" xr:uid="{00000000-0005-0000-0000-0000AE3E0000}"/>
    <cellStyle name="40% - Accent2 5 3 4" xfId="16140" xr:uid="{00000000-0005-0000-0000-0000AF3E0000}"/>
    <cellStyle name="40% - Accent2 5 3 4 2" xfId="16141" xr:uid="{00000000-0005-0000-0000-0000B03E0000}"/>
    <cellStyle name="40% - Accent2 5 3 4 2 2" xfId="16142" xr:uid="{00000000-0005-0000-0000-0000B13E0000}"/>
    <cellStyle name="40% - Accent2 5 3 4 2 3" xfId="16143" xr:uid="{00000000-0005-0000-0000-0000B23E0000}"/>
    <cellStyle name="40% - Accent2 5 3 4 3" xfId="16144" xr:uid="{00000000-0005-0000-0000-0000B33E0000}"/>
    <cellStyle name="40% - Accent2 5 3 4 4" xfId="16145" xr:uid="{00000000-0005-0000-0000-0000B43E0000}"/>
    <cellStyle name="40% - Accent2 5 3 5" xfId="16146" xr:uid="{00000000-0005-0000-0000-0000B53E0000}"/>
    <cellStyle name="40% - Accent2 5 3 5 2" xfId="16147" xr:uid="{00000000-0005-0000-0000-0000B63E0000}"/>
    <cellStyle name="40% - Accent2 5 3 5 3" xfId="16148" xr:uid="{00000000-0005-0000-0000-0000B73E0000}"/>
    <cellStyle name="40% - Accent2 5 3 6" xfId="16149" xr:uid="{00000000-0005-0000-0000-0000B83E0000}"/>
    <cellStyle name="40% - Accent2 5 3 7" xfId="16150" xr:uid="{00000000-0005-0000-0000-0000B93E0000}"/>
    <cellStyle name="40% - Accent2 5 3 8" xfId="16151" xr:uid="{00000000-0005-0000-0000-0000BA3E0000}"/>
    <cellStyle name="40% - Accent2 5 4" xfId="16152" xr:uid="{00000000-0005-0000-0000-0000BB3E0000}"/>
    <cellStyle name="40% - Accent2 5 4 2" xfId="16153" xr:uid="{00000000-0005-0000-0000-0000BC3E0000}"/>
    <cellStyle name="40% - Accent2 5 4 2 2" xfId="16154" xr:uid="{00000000-0005-0000-0000-0000BD3E0000}"/>
    <cellStyle name="40% - Accent2 5 4 2 2 2" xfId="16155" xr:uid="{00000000-0005-0000-0000-0000BE3E0000}"/>
    <cellStyle name="40% - Accent2 5 4 2 2 2 2" xfId="16156" xr:uid="{00000000-0005-0000-0000-0000BF3E0000}"/>
    <cellStyle name="40% - Accent2 5 4 2 2 2 3" xfId="16157" xr:uid="{00000000-0005-0000-0000-0000C03E0000}"/>
    <cellStyle name="40% - Accent2 5 4 2 2 3" xfId="16158" xr:uid="{00000000-0005-0000-0000-0000C13E0000}"/>
    <cellStyle name="40% - Accent2 5 4 2 2 4" xfId="16159" xr:uid="{00000000-0005-0000-0000-0000C23E0000}"/>
    <cellStyle name="40% - Accent2 5 4 2 3" xfId="16160" xr:uid="{00000000-0005-0000-0000-0000C33E0000}"/>
    <cellStyle name="40% - Accent2 5 4 2 3 2" xfId="16161" xr:uid="{00000000-0005-0000-0000-0000C43E0000}"/>
    <cellStyle name="40% - Accent2 5 4 2 3 3" xfId="16162" xr:uid="{00000000-0005-0000-0000-0000C53E0000}"/>
    <cellStyle name="40% - Accent2 5 4 2 4" xfId="16163" xr:uid="{00000000-0005-0000-0000-0000C63E0000}"/>
    <cellStyle name="40% - Accent2 5 4 2 5" xfId="16164" xr:uid="{00000000-0005-0000-0000-0000C73E0000}"/>
    <cellStyle name="40% - Accent2 5 4 2 6" xfId="16165" xr:uid="{00000000-0005-0000-0000-0000C83E0000}"/>
    <cellStyle name="40% - Accent2 5 4 3" xfId="16166" xr:uid="{00000000-0005-0000-0000-0000C93E0000}"/>
    <cellStyle name="40% - Accent2 5 4 3 2" xfId="16167" xr:uid="{00000000-0005-0000-0000-0000CA3E0000}"/>
    <cellStyle name="40% - Accent2 5 4 3 2 2" xfId="16168" xr:uid="{00000000-0005-0000-0000-0000CB3E0000}"/>
    <cellStyle name="40% - Accent2 5 4 3 2 3" xfId="16169" xr:uid="{00000000-0005-0000-0000-0000CC3E0000}"/>
    <cellStyle name="40% - Accent2 5 4 3 3" xfId="16170" xr:uid="{00000000-0005-0000-0000-0000CD3E0000}"/>
    <cellStyle name="40% - Accent2 5 4 3 4" xfId="16171" xr:uid="{00000000-0005-0000-0000-0000CE3E0000}"/>
    <cellStyle name="40% - Accent2 5 4 4" xfId="16172" xr:uid="{00000000-0005-0000-0000-0000CF3E0000}"/>
    <cellStyle name="40% - Accent2 5 4 4 2" xfId="16173" xr:uid="{00000000-0005-0000-0000-0000D03E0000}"/>
    <cellStyle name="40% - Accent2 5 4 4 3" xfId="16174" xr:uid="{00000000-0005-0000-0000-0000D13E0000}"/>
    <cellStyle name="40% - Accent2 5 4 5" xfId="16175" xr:uid="{00000000-0005-0000-0000-0000D23E0000}"/>
    <cellStyle name="40% - Accent2 5 4 6" xfId="16176" xr:uid="{00000000-0005-0000-0000-0000D33E0000}"/>
    <cellStyle name="40% - Accent2 5 4 7" xfId="16177" xr:uid="{00000000-0005-0000-0000-0000D43E0000}"/>
    <cellStyle name="40% - Accent2 5 5" xfId="16178" xr:uid="{00000000-0005-0000-0000-0000D53E0000}"/>
    <cellStyle name="40% - Accent2 5 5 2" xfId="16179" xr:uid="{00000000-0005-0000-0000-0000D63E0000}"/>
    <cellStyle name="40% - Accent2 5 5 2 2" xfId="16180" xr:uid="{00000000-0005-0000-0000-0000D73E0000}"/>
    <cellStyle name="40% - Accent2 5 5 2 2 2" xfId="16181" xr:uid="{00000000-0005-0000-0000-0000D83E0000}"/>
    <cellStyle name="40% - Accent2 5 5 2 2 3" xfId="16182" xr:uid="{00000000-0005-0000-0000-0000D93E0000}"/>
    <cellStyle name="40% - Accent2 5 5 2 3" xfId="16183" xr:uid="{00000000-0005-0000-0000-0000DA3E0000}"/>
    <cellStyle name="40% - Accent2 5 5 2 4" xfId="16184" xr:uid="{00000000-0005-0000-0000-0000DB3E0000}"/>
    <cellStyle name="40% - Accent2 5 5 3" xfId="16185" xr:uid="{00000000-0005-0000-0000-0000DC3E0000}"/>
    <cellStyle name="40% - Accent2 5 5 3 2" xfId="16186" xr:uid="{00000000-0005-0000-0000-0000DD3E0000}"/>
    <cellStyle name="40% - Accent2 5 5 3 3" xfId="16187" xr:uid="{00000000-0005-0000-0000-0000DE3E0000}"/>
    <cellStyle name="40% - Accent2 5 5 4" xfId="16188" xr:uid="{00000000-0005-0000-0000-0000DF3E0000}"/>
    <cellStyle name="40% - Accent2 5 5 5" xfId="16189" xr:uid="{00000000-0005-0000-0000-0000E03E0000}"/>
    <cellStyle name="40% - Accent2 5 5 6" xfId="16190" xr:uid="{00000000-0005-0000-0000-0000E13E0000}"/>
    <cellStyle name="40% - Accent2 5 6" xfId="16191" xr:uid="{00000000-0005-0000-0000-0000E23E0000}"/>
    <cellStyle name="40% - Accent2 5 6 2" xfId="16192" xr:uid="{00000000-0005-0000-0000-0000E33E0000}"/>
    <cellStyle name="40% - Accent2 5 6 2 2" xfId="16193" xr:uid="{00000000-0005-0000-0000-0000E43E0000}"/>
    <cellStyle name="40% - Accent2 5 6 2 3" xfId="16194" xr:uid="{00000000-0005-0000-0000-0000E53E0000}"/>
    <cellStyle name="40% - Accent2 5 6 3" xfId="16195" xr:uid="{00000000-0005-0000-0000-0000E63E0000}"/>
    <cellStyle name="40% - Accent2 5 6 4" xfId="16196" xr:uid="{00000000-0005-0000-0000-0000E73E0000}"/>
    <cellStyle name="40% - Accent2 5 7" xfId="16197" xr:uid="{00000000-0005-0000-0000-0000E83E0000}"/>
    <cellStyle name="40% - Accent2 5 7 2" xfId="16198" xr:uid="{00000000-0005-0000-0000-0000E93E0000}"/>
    <cellStyle name="40% - Accent2 5 7 3" xfId="16199" xr:uid="{00000000-0005-0000-0000-0000EA3E0000}"/>
    <cellStyle name="40% - Accent2 5 8" xfId="16200" xr:uid="{00000000-0005-0000-0000-0000EB3E0000}"/>
    <cellStyle name="40% - Accent2 5 9" xfId="16201" xr:uid="{00000000-0005-0000-0000-0000EC3E0000}"/>
    <cellStyle name="40% - Accent2 6" xfId="16202" xr:uid="{00000000-0005-0000-0000-0000ED3E0000}"/>
    <cellStyle name="40% - Accent2 6 2" xfId="16203" xr:uid="{00000000-0005-0000-0000-0000EE3E0000}"/>
    <cellStyle name="40% - Accent2 6 2 2" xfId="16204" xr:uid="{00000000-0005-0000-0000-0000EF3E0000}"/>
    <cellStyle name="40% - Accent2 6 2 2 2" xfId="16205" xr:uid="{00000000-0005-0000-0000-0000F03E0000}"/>
    <cellStyle name="40% - Accent2 6 2 2 2 2" xfId="16206" xr:uid="{00000000-0005-0000-0000-0000F13E0000}"/>
    <cellStyle name="40% - Accent2 6 2 2 2 2 2" xfId="16207" xr:uid="{00000000-0005-0000-0000-0000F23E0000}"/>
    <cellStyle name="40% - Accent2 6 2 2 2 2 2 2" xfId="16208" xr:uid="{00000000-0005-0000-0000-0000F33E0000}"/>
    <cellStyle name="40% - Accent2 6 2 2 2 2 2 3" xfId="16209" xr:uid="{00000000-0005-0000-0000-0000F43E0000}"/>
    <cellStyle name="40% - Accent2 6 2 2 2 2 3" xfId="16210" xr:uid="{00000000-0005-0000-0000-0000F53E0000}"/>
    <cellStyle name="40% - Accent2 6 2 2 2 2 4" xfId="16211" xr:uid="{00000000-0005-0000-0000-0000F63E0000}"/>
    <cellStyle name="40% - Accent2 6 2 2 2 3" xfId="16212" xr:uid="{00000000-0005-0000-0000-0000F73E0000}"/>
    <cellStyle name="40% - Accent2 6 2 2 2 3 2" xfId="16213" xr:uid="{00000000-0005-0000-0000-0000F83E0000}"/>
    <cellStyle name="40% - Accent2 6 2 2 2 3 3" xfId="16214" xr:uid="{00000000-0005-0000-0000-0000F93E0000}"/>
    <cellStyle name="40% - Accent2 6 2 2 2 4" xfId="16215" xr:uid="{00000000-0005-0000-0000-0000FA3E0000}"/>
    <cellStyle name="40% - Accent2 6 2 2 2 5" xfId="16216" xr:uid="{00000000-0005-0000-0000-0000FB3E0000}"/>
    <cellStyle name="40% - Accent2 6 2 2 2 6" xfId="16217" xr:uid="{00000000-0005-0000-0000-0000FC3E0000}"/>
    <cellStyle name="40% - Accent2 6 2 2 3" xfId="16218" xr:uid="{00000000-0005-0000-0000-0000FD3E0000}"/>
    <cellStyle name="40% - Accent2 6 2 2 3 2" xfId="16219" xr:uid="{00000000-0005-0000-0000-0000FE3E0000}"/>
    <cellStyle name="40% - Accent2 6 2 2 3 2 2" xfId="16220" xr:uid="{00000000-0005-0000-0000-0000FF3E0000}"/>
    <cellStyle name="40% - Accent2 6 2 2 3 2 3" xfId="16221" xr:uid="{00000000-0005-0000-0000-0000003F0000}"/>
    <cellStyle name="40% - Accent2 6 2 2 3 3" xfId="16222" xr:uid="{00000000-0005-0000-0000-0000013F0000}"/>
    <cellStyle name="40% - Accent2 6 2 2 3 4" xfId="16223" xr:uid="{00000000-0005-0000-0000-0000023F0000}"/>
    <cellStyle name="40% - Accent2 6 2 2 4" xfId="16224" xr:uid="{00000000-0005-0000-0000-0000033F0000}"/>
    <cellStyle name="40% - Accent2 6 2 2 4 2" xfId="16225" xr:uid="{00000000-0005-0000-0000-0000043F0000}"/>
    <cellStyle name="40% - Accent2 6 2 2 4 3" xfId="16226" xr:uid="{00000000-0005-0000-0000-0000053F0000}"/>
    <cellStyle name="40% - Accent2 6 2 2 5" xfId="16227" xr:uid="{00000000-0005-0000-0000-0000063F0000}"/>
    <cellStyle name="40% - Accent2 6 2 2 6" xfId="16228" xr:uid="{00000000-0005-0000-0000-0000073F0000}"/>
    <cellStyle name="40% - Accent2 6 2 2 7" xfId="16229" xr:uid="{00000000-0005-0000-0000-0000083F0000}"/>
    <cellStyle name="40% - Accent2 6 2 3" xfId="16230" xr:uid="{00000000-0005-0000-0000-0000093F0000}"/>
    <cellStyle name="40% - Accent2 6 2 3 2" xfId="16231" xr:uid="{00000000-0005-0000-0000-00000A3F0000}"/>
    <cellStyle name="40% - Accent2 6 2 3 2 2" xfId="16232" xr:uid="{00000000-0005-0000-0000-00000B3F0000}"/>
    <cellStyle name="40% - Accent2 6 2 3 2 2 2" xfId="16233" xr:uid="{00000000-0005-0000-0000-00000C3F0000}"/>
    <cellStyle name="40% - Accent2 6 2 3 2 2 3" xfId="16234" xr:uid="{00000000-0005-0000-0000-00000D3F0000}"/>
    <cellStyle name="40% - Accent2 6 2 3 2 3" xfId="16235" xr:uid="{00000000-0005-0000-0000-00000E3F0000}"/>
    <cellStyle name="40% - Accent2 6 2 3 2 4" xfId="16236" xr:uid="{00000000-0005-0000-0000-00000F3F0000}"/>
    <cellStyle name="40% - Accent2 6 2 3 3" xfId="16237" xr:uid="{00000000-0005-0000-0000-0000103F0000}"/>
    <cellStyle name="40% - Accent2 6 2 3 3 2" xfId="16238" xr:uid="{00000000-0005-0000-0000-0000113F0000}"/>
    <cellStyle name="40% - Accent2 6 2 3 3 3" xfId="16239" xr:uid="{00000000-0005-0000-0000-0000123F0000}"/>
    <cellStyle name="40% - Accent2 6 2 3 4" xfId="16240" xr:uid="{00000000-0005-0000-0000-0000133F0000}"/>
    <cellStyle name="40% - Accent2 6 2 3 5" xfId="16241" xr:uid="{00000000-0005-0000-0000-0000143F0000}"/>
    <cellStyle name="40% - Accent2 6 2 3 6" xfId="16242" xr:uid="{00000000-0005-0000-0000-0000153F0000}"/>
    <cellStyle name="40% - Accent2 6 2 4" xfId="16243" xr:uid="{00000000-0005-0000-0000-0000163F0000}"/>
    <cellStyle name="40% - Accent2 6 2 4 2" xfId="16244" xr:uid="{00000000-0005-0000-0000-0000173F0000}"/>
    <cellStyle name="40% - Accent2 6 2 4 2 2" xfId="16245" xr:uid="{00000000-0005-0000-0000-0000183F0000}"/>
    <cellStyle name="40% - Accent2 6 2 4 2 3" xfId="16246" xr:uid="{00000000-0005-0000-0000-0000193F0000}"/>
    <cellStyle name="40% - Accent2 6 2 4 3" xfId="16247" xr:uid="{00000000-0005-0000-0000-00001A3F0000}"/>
    <cellStyle name="40% - Accent2 6 2 4 4" xfId="16248" xr:uid="{00000000-0005-0000-0000-00001B3F0000}"/>
    <cellStyle name="40% - Accent2 6 2 5" xfId="16249" xr:uid="{00000000-0005-0000-0000-00001C3F0000}"/>
    <cellStyle name="40% - Accent2 6 2 5 2" xfId="16250" xr:uid="{00000000-0005-0000-0000-00001D3F0000}"/>
    <cellStyle name="40% - Accent2 6 2 5 3" xfId="16251" xr:uid="{00000000-0005-0000-0000-00001E3F0000}"/>
    <cellStyle name="40% - Accent2 6 2 6" xfId="16252" xr:uid="{00000000-0005-0000-0000-00001F3F0000}"/>
    <cellStyle name="40% - Accent2 6 2 7" xfId="16253" xr:uid="{00000000-0005-0000-0000-0000203F0000}"/>
    <cellStyle name="40% - Accent2 6 2 8" xfId="16254" xr:uid="{00000000-0005-0000-0000-0000213F0000}"/>
    <cellStyle name="40% - Accent2 6 3" xfId="16255" xr:uid="{00000000-0005-0000-0000-0000223F0000}"/>
    <cellStyle name="40% - Accent2 6 3 2" xfId="16256" xr:uid="{00000000-0005-0000-0000-0000233F0000}"/>
    <cellStyle name="40% - Accent2 6 3 2 2" xfId="16257" xr:uid="{00000000-0005-0000-0000-0000243F0000}"/>
    <cellStyle name="40% - Accent2 6 3 2 2 2" xfId="16258" xr:uid="{00000000-0005-0000-0000-0000253F0000}"/>
    <cellStyle name="40% - Accent2 6 3 2 2 2 2" xfId="16259" xr:uid="{00000000-0005-0000-0000-0000263F0000}"/>
    <cellStyle name="40% - Accent2 6 3 2 2 2 3" xfId="16260" xr:uid="{00000000-0005-0000-0000-0000273F0000}"/>
    <cellStyle name="40% - Accent2 6 3 2 2 3" xfId="16261" xr:uid="{00000000-0005-0000-0000-0000283F0000}"/>
    <cellStyle name="40% - Accent2 6 3 2 2 4" xfId="16262" xr:uid="{00000000-0005-0000-0000-0000293F0000}"/>
    <cellStyle name="40% - Accent2 6 3 2 3" xfId="16263" xr:uid="{00000000-0005-0000-0000-00002A3F0000}"/>
    <cellStyle name="40% - Accent2 6 3 2 3 2" xfId="16264" xr:uid="{00000000-0005-0000-0000-00002B3F0000}"/>
    <cellStyle name="40% - Accent2 6 3 2 3 3" xfId="16265" xr:uid="{00000000-0005-0000-0000-00002C3F0000}"/>
    <cellStyle name="40% - Accent2 6 3 2 4" xfId="16266" xr:uid="{00000000-0005-0000-0000-00002D3F0000}"/>
    <cellStyle name="40% - Accent2 6 3 2 5" xfId="16267" xr:uid="{00000000-0005-0000-0000-00002E3F0000}"/>
    <cellStyle name="40% - Accent2 6 3 2 6" xfId="16268" xr:uid="{00000000-0005-0000-0000-00002F3F0000}"/>
    <cellStyle name="40% - Accent2 6 3 3" xfId="16269" xr:uid="{00000000-0005-0000-0000-0000303F0000}"/>
    <cellStyle name="40% - Accent2 6 3 3 2" xfId="16270" xr:uid="{00000000-0005-0000-0000-0000313F0000}"/>
    <cellStyle name="40% - Accent2 6 3 3 2 2" xfId="16271" xr:uid="{00000000-0005-0000-0000-0000323F0000}"/>
    <cellStyle name="40% - Accent2 6 3 3 2 3" xfId="16272" xr:uid="{00000000-0005-0000-0000-0000333F0000}"/>
    <cellStyle name="40% - Accent2 6 3 3 3" xfId="16273" xr:uid="{00000000-0005-0000-0000-0000343F0000}"/>
    <cellStyle name="40% - Accent2 6 3 3 4" xfId="16274" xr:uid="{00000000-0005-0000-0000-0000353F0000}"/>
    <cellStyle name="40% - Accent2 6 3 4" xfId="16275" xr:uid="{00000000-0005-0000-0000-0000363F0000}"/>
    <cellStyle name="40% - Accent2 6 3 4 2" xfId="16276" xr:uid="{00000000-0005-0000-0000-0000373F0000}"/>
    <cellStyle name="40% - Accent2 6 3 4 3" xfId="16277" xr:uid="{00000000-0005-0000-0000-0000383F0000}"/>
    <cellStyle name="40% - Accent2 6 3 5" xfId="16278" xr:uid="{00000000-0005-0000-0000-0000393F0000}"/>
    <cellStyle name="40% - Accent2 6 3 6" xfId="16279" xr:uid="{00000000-0005-0000-0000-00003A3F0000}"/>
    <cellStyle name="40% - Accent2 6 3 7" xfId="16280" xr:uid="{00000000-0005-0000-0000-00003B3F0000}"/>
    <cellStyle name="40% - Accent2 6 4" xfId="16281" xr:uid="{00000000-0005-0000-0000-00003C3F0000}"/>
    <cellStyle name="40% - Accent2 6 4 2" xfId="16282" xr:uid="{00000000-0005-0000-0000-00003D3F0000}"/>
    <cellStyle name="40% - Accent2 6 4 2 2" xfId="16283" xr:uid="{00000000-0005-0000-0000-00003E3F0000}"/>
    <cellStyle name="40% - Accent2 6 4 2 2 2" xfId="16284" xr:uid="{00000000-0005-0000-0000-00003F3F0000}"/>
    <cellStyle name="40% - Accent2 6 4 2 2 3" xfId="16285" xr:uid="{00000000-0005-0000-0000-0000403F0000}"/>
    <cellStyle name="40% - Accent2 6 4 2 3" xfId="16286" xr:uid="{00000000-0005-0000-0000-0000413F0000}"/>
    <cellStyle name="40% - Accent2 6 4 2 4" xfId="16287" xr:uid="{00000000-0005-0000-0000-0000423F0000}"/>
    <cellStyle name="40% - Accent2 6 4 3" xfId="16288" xr:uid="{00000000-0005-0000-0000-0000433F0000}"/>
    <cellStyle name="40% - Accent2 6 4 3 2" xfId="16289" xr:uid="{00000000-0005-0000-0000-0000443F0000}"/>
    <cellStyle name="40% - Accent2 6 4 3 3" xfId="16290" xr:uid="{00000000-0005-0000-0000-0000453F0000}"/>
    <cellStyle name="40% - Accent2 6 4 4" xfId="16291" xr:uid="{00000000-0005-0000-0000-0000463F0000}"/>
    <cellStyle name="40% - Accent2 6 4 5" xfId="16292" xr:uid="{00000000-0005-0000-0000-0000473F0000}"/>
    <cellStyle name="40% - Accent2 6 4 6" xfId="16293" xr:uid="{00000000-0005-0000-0000-0000483F0000}"/>
    <cellStyle name="40% - Accent2 6 5" xfId="16294" xr:uid="{00000000-0005-0000-0000-0000493F0000}"/>
    <cellStyle name="40% - Accent2 6 5 2" xfId="16295" xr:uid="{00000000-0005-0000-0000-00004A3F0000}"/>
    <cellStyle name="40% - Accent2 6 5 2 2" xfId="16296" xr:uid="{00000000-0005-0000-0000-00004B3F0000}"/>
    <cellStyle name="40% - Accent2 6 5 2 3" xfId="16297" xr:uid="{00000000-0005-0000-0000-00004C3F0000}"/>
    <cellStyle name="40% - Accent2 6 5 3" xfId="16298" xr:uid="{00000000-0005-0000-0000-00004D3F0000}"/>
    <cellStyle name="40% - Accent2 6 5 4" xfId="16299" xr:uid="{00000000-0005-0000-0000-00004E3F0000}"/>
    <cellStyle name="40% - Accent2 6 6" xfId="16300" xr:uid="{00000000-0005-0000-0000-00004F3F0000}"/>
    <cellStyle name="40% - Accent2 6 6 2" xfId="16301" xr:uid="{00000000-0005-0000-0000-0000503F0000}"/>
    <cellStyle name="40% - Accent2 6 6 3" xfId="16302" xr:uid="{00000000-0005-0000-0000-0000513F0000}"/>
    <cellStyle name="40% - Accent2 6 7" xfId="16303" xr:uid="{00000000-0005-0000-0000-0000523F0000}"/>
    <cellStyle name="40% - Accent2 6 8" xfId="16304" xr:uid="{00000000-0005-0000-0000-0000533F0000}"/>
    <cellStyle name="40% - Accent2 6 9" xfId="16305" xr:uid="{00000000-0005-0000-0000-0000543F0000}"/>
    <cellStyle name="40% - Accent2 7" xfId="16306" xr:uid="{00000000-0005-0000-0000-0000553F0000}"/>
    <cellStyle name="40% - Accent2 7 2" xfId="16307" xr:uid="{00000000-0005-0000-0000-0000563F0000}"/>
    <cellStyle name="40% - Accent2 7 2 2" xfId="16308" xr:uid="{00000000-0005-0000-0000-0000573F0000}"/>
    <cellStyle name="40% - Accent2 7 2 2 2" xfId="16309" xr:uid="{00000000-0005-0000-0000-0000583F0000}"/>
    <cellStyle name="40% - Accent2 7 2 2 2 2" xfId="16310" xr:uid="{00000000-0005-0000-0000-0000593F0000}"/>
    <cellStyle name="40% - Accent2 7 2 2 2 2 2" xfId="16311" xr:uid="{00000000-0005-0000-0000-00005A3F0000}"/>
    <cellStyle name="40% - Accent2 7 2 2 2 2 2 2" xfId="16312" xr:uid="{00000000-0005-0000-0000-00005B3F0000}"/>
    <cellStyle name="40% - Accent2 7 2 2 2 2 2 3" xfId="16313" xr:uid="{00000000-0005-0000-0000-00005C3F0000}"/>
    <cellStyle name="40% - Accent2 7 2 2 2 2 3" xfId="16314" xr:uid="{00000000-0005-0000-0000-00005D3F0000}"/>
    <cellStyle name="40% - Accent2 7 2 2 2 2 4" xfId="16315" xr:uid="{00000000-0005-0000-0000-00005E3F0000}"/>
    <cellStyle name="40% - Accent2 7 2 2 2 3" xfId="16316" xr:uid="{00000000-0005-0000-0000-00005F3F0000}"/>
    <cellStyle name="40% - Accent2 7 2 2 2 3 2" xfId="16317" xr:uid="{00000000-0005-0000-0000-0000603F0000}"/>
    <cellStyle name="40% - Accent2 7 2 2 2 3 3" xfId="16318" xr:uid="{00000000-0005-0000-0000-0000613F0000}"/>
    <cellStyle name="40% - Accent2 7 2 2 2 4" xfId="16319" xr:uid="{00000000-0005-0000-0000-0000623F0000}"/>
    <cellStyle name="40% - Accent2 7 2 2 2 5" xfId="16320" xr:uid="{00000000-0005-0000-0000-0000633F0000}"/>
    <cellStyle name="40% - Accent2 7 2 2 2 6" xfId="16321" xr:uid="{00000000-0005-0000-0000-0000643F0000}"/>
    <cellStyle name="40% - Accent2 7 2 2 3" xfId="16322" xr:uid="{00000000-0005-0000-0000-0000653F0000}"/>
    <cellStyle name="40% - Accent2 7 2 2 3 2" xfId="16323" xr:uid="{00000000-0005-0000-0000-0000663F0000}"/>
    <cellStyle name="40% - Accent2 7 2 2 3 2 2" xfId="16324" xr:uid="{00000000-0005-0000-0000-0000673F0000}"/>
    <cellStyle name="40% - Accent2 7 2 2 3 2 3" xfId="16325" xr:uid="{00000000-0005-0000-0000-0000683F0000}"/>
    <cellStyle name="40% - Accent2 7 2 2 3 3" xfId="16326" xr:uid="{00000000-0005-0000-0000-0000693F0000}"/>
    <cellStyle name="40% - Accent2 7 2 2 3 4" xfId="16327" xr:uid="{00000000-0005-0000-0000-00006A3F0000}"/>
    <cellStyle name="40% - Accent2 7 2 2 4" xfId="16328" xr:uid="{00000000-0005-0000-0000-00006B3F0000}"/>
    <cellStyle name="40% - Accent2 7 2 2 4 2" xfId="16329" xr:uid="{00000000-0005-0000-0000-00006C3F0000}"/>
    <cellStyle name="40% - Accent2 7 2 2 4 3" xfId="16330" xr:uid="{00000000-0005-0000-0000-00006D3F0000}"/>
    <cellStyle name="40% - Accent2 7 2 2 5" xfId="16331" xr:uid="{00000000-0005-0000-0000-00006E3F0000}"/>
    <cellStyle name="40% - Accent2 7 2 2 6" xfId="16332" xr:uid="{00000000-0005-0000-0000-00006F3F0000}"/>
    <cellStyle name="40% - Accent2 7 2 2 7" xfId="16333" xr:uid="{00000000-0005-0000-0000-0000703F0000}"/>
    <cellStyle name="40% - Accent2 7 2 3" xfId="16334" xr:uid="{00000000-0005-0000-0000-0000713F0000}"/>
    <cellStyle name="40% - Accent2 7 2 3 2" xfId="16335" xr:uid="{00000000-0005-0000-0000-0000723F0000}"/>
    <cellStyle name="40% - Accent2 7 2 3 2 2" xfId="16336" xr:uid="{00000000-0005-0000-0000-0000733F0000}"/>
    <cellStyle name="40% - Accent2 7 2 3 2 2 2" xfId="16337" xr:uid="{00000000-0005-0000-0000-0000743F0000}"/>
    <cellStyle name="40% - Accent2 7 2 3 2 2 3" xfId="16338" xr:uid="{00000000-0005-0000-0000-0000753F0000}"/>
    <cellStyle name="40% - Accent2 7 2 3 2 3" xfId="16339" xr:uid="{00000000-0005-0000-0000-0000763F0000}"/>
    <cellStyle name="40% - Accent2 7 2 3 2 4" xfId="16340" xr:uid="{00000000-0005-0000-0000-0000773F0000}"/>
    <cellStyle name="40% - Accent2 7 2 3 3" xfId="16341" xr:uid="{00000000-0005-0000-0000-0000783F0000}"/>
    <cellStyle name="40% - Accent2 7 2 3 3 2" xfId="16342" xr:uid="{00000000-0005-0000-0000-0000793F0000}"/>
    <cellStyle name="40% - Accent2 7 2 3 3 3" xfId="16343" xr:uid="{00000000-0005-0000-0000-00007A3F0000}"/>
    <cellStyle name="40% - Accent2 7 2 3 4" xfId="16344" xr:uid="{00000000-0005-0000-0000-00007B3F0000}"/>
    <cellStyle name="40% - Accent2 7 2 3 5" xfId="16345" xr:uid="{00000000-0005-0000-0000-00007C3F0000}"/>
    <cellStyle name="40% - Accent2 7 2 3 6" xfId="16346" xr:uid="{00000000-0005-0000-0000-00007D3F0000}"/>
    <cellStyle name="40% - Accent2 7 2 4" xfId="16347" xr:uid="{00000000-0005-0000-0000-00007E3F0000}"/>
    <cellStyle name="40% - Accent2 7 2 4 2" xfId="16348" xr:uid="{00000000-0005-0000-0000-00007F3F0000}"/>
    <cellStyle name="40% - Accent2 7 2 4 2 2" xfId="16349" xr:uid="{00000000-0005-0000-0000-0000803F0000}"/>
    <cellStyle name="40% - Accent2 7 2 4 2 3" xfId="16350" xr:uid="{00000000-0005-0000-0000-0000813F0000}"/>
    <cellStyle name="40% - Accent2 7 2 4 3" xfId="16351" xr:uid="{00000000-0005-0000-0000-0000823F0000}"/>
    <cellStyle name="40% - Accent2 7 2 4 4" xfId="16352" xr:uid="{00000000-0005-0000-0000-0000833F0000}"/>
    <cellStyle name="40% - Accent2 7 2 5" xfId="16353" xr:uid="{00000000-0005-0000-0000-0000843F0000}"/>
    <cellStyle name="40% - Accent2 7 2 5 2" xfId="16354" xr:uid="{00000000-0005-0000-0000-0000853F0000}"/>
    <cellStyle name="40% - Accent2 7 2 5 3" xfId="16355" xr:uid="{00000000-0005-0000-0000-0000863F0000}"/>
    <cellStyle name="40% - Accent2 7 2 6" xfId="16356" xr:uid="{00000000-0005-0000-0000-0000873F0000}"/>
    <cellStyle name="40% - Accent2 7 2 7" xfId="16357" xr:uid="{00000000-0005-0000-0000-0000883F0000}"/>
    <cellStyle name="40% - Accent2 7 2 8" xfId="16358" xr:uid="{00000000-0005-0000-0000-0000893F0000}"/>
    <cellStyle name="40% - Accent2 7 3" xfId="16359" xr:uid="{00000000-0005-0000-0000-00008A3F0000}"/>
    <cellStyle name="40% - Accent2 7 3 2" xfId="16360" xr:uid="{00000000-0005-0000-0000-00008B3F0000}"/>
    <cellStyle name="40% - Accent2 7 3 2 2" xfId="16361" xr:uid="{00000000-0005-0000-0000-00008C3F0000}"/>
    <cellStyle name="40% - Accent2 7 3 2 2 2" xfId="16362" xr:uid="{00000000-0005-0000-0000-00008D3F0000}"/>
    <cellStyle name="40% - Accent2 7 3 2 2 2 2" xfId="16363" xr:uid="{00000000-0005-0000-0000-00008E3F0000}"/>
    <cellStyle name="40% - Accent2 7 3 2 2 2 3" xfId="16364" xr:uid="{00000000-0005-0000-0000-00008F3F0000}"/>
    <cellStyle name="40% - Accent2 7 3 2 2 3" xfId="16365" xr:uid="{00000000-0005-0000-0000-0000903F0000}"/>
    <cellStyle name="40% - Accent2 7 3 2 2 4" xfId="16366" xr:uid="{00000000-0005-0000-0000-0000913F0000}"/>
    <cellStyle name="40% - Accent2 7 3 2 3" xfId="16367" xr:uid="{00000000-0005-0000-0000-0000923F0000}"/>
    <cellStyle name="40% - Accent2 7 3 2 3 2" xfId="16368" xr:uid="{00000000-0005-0000-0000-0000933F0000}"/>
    <cellStyle name="40% - Accent2 7 3 2 3 3" xfId="16369" xr:uid="{00000000-0005-0000-0000-0000943F0000}"/>
    <cellStyle name="40% - Accent2 7 3 2 4" xfId="16370" xr:uid="{00000000-0005-0000-0000-0000953F0000}"/>
    <cellStyle name="40% - Accent2 7 3 2 5" xfId="16371" xr:uid="{00000000-0005-0000-0000-0000963F0000}"/>
    <cellStyle name="40% - Accent2 7 3 2 6" xfId="16372" xr:uid="{00000000-0005-0000-0000-0000973F0000}"/>
    <cellStyle name="40% - Accent2 7 3 3" xfId="16373" xr:uid="{00000000-0005-0000-0000-0000983F0000}"/>
    <cellStyle name="40% - Accent2 7 3 3 2" xfId="16374" xr:uid="{00000000-0005-0000-0000-0000993F0000}"/>
    <cellStyle name="40% - Accent2 7 3 3 2 2" xfId="16375" xr:uid="{00000000-0005-0000-0000-00009A3F0000}"/>
    <cellStyle name="40% - Accent2 7 3 3 2 3" xfId="16376" xr:uid="{00000000-0005-0000-0000-00009B3F0000}"/>
    <cellStyle name="40% - Accent2 7 3 3 3" xfId="16377" xr:uid="{00000000-0005-0000-0000-00009C3F0000}"/>
    <cellStyle name="40% - Accent2 7 3 3 4" xfId="16378" xr:uid="{00000000-0005-0000-0000-00009D3F0000}"/>
    <cellStyle name="40% - Accent2 7 3 4" xfId="16379" xr:uid="{00000000-0005-0000-0000-00009E3F0000}"/>
    <cellStyle name="40% - Accent2 7 3 4 2" xfId="16380" xr:uid="{00000000-0005-0000-0000-00009F3F0000}"/>
    <cellStyle name="40% - Accent2 7 3 4 3" xfId="16381" xr:uid="{00000000-0005-0000-0000-0000A03F0000}"/>
    <cellStyle name="40% - Accent2 7 3 5" xfId="16382" xr:uid="{00000000-0005-0000-0000-0000A13F0000}"/>
    <cellStyle name="40% - Accent2 7 3 6" xfId="16383" xr:uid="{00000000-0005-0000-0000-0000A23F0000}"/>
    <cellStyle name="40% - Accent2 7 3 7" xfId="16384" xr:uid="{00000000-0005-0000-0000-0000A33F0000}"/>
    <cellStyle name="40% - Accent2 7 4" xfId="16385" xr:uid="{00000000-0005-0000-0000-0000A43F0000}"/>
    <cellStyle name="40% - Accent2 7 4 2" xfId="16386" xr:uid="{00000000-0005-0000-0000-0000A53F0000}"/>
    <cellStyle name="40% - Accent2 7 4 2 2" xfId="16387" xr:uid="{00000000-0005-0000-0000-0000A63F0000}"/>
    <cellStyle name="40% - Accent2 7 4 2 2 2" xfId="16388" xr:uid="{00000000-0005-0000-0000-0000A73F0000}"/>
    <cellStyle name="40% - Accent2 7 4 2 2 3" xfId="16389" xr:uid="{00000000-0005-0000-0000-0000A83F0000}"/>
    <cellStyle name="40% - Accent2 7 4 2 3" xfId="16390" xr:uid="{00000000-0005-0000-0000-0000A93F0000}"/>
    <cellStyle name="40% - Accent2 7 4 2 4" xfId="16391" xr:uid="{00000000-0005-0000-0000-0000AA3F0000}"/>
    <cellStyle name="40% - Accent2 7 4 3" xfId="16392" xr:uid="{00000000-0005-0000-0000-0000AB3F0000}"/>
    <cellStyle name="40% - Accent2 7 4 3 2" xfId="16393" xr:uid="{00000000-0005-0000-0000-0000AC3F0000}"/>
    <cellStyle name="40% - Accent2 7 4 3 3" xfId="16394" xr:uid="{00000000-0005-0000-0000-0000AD3F0000}"/>
    <cellStyle name="40% - Accent2 7 4 4" xfId="16395" xr:uid="{00000000-0005-0000-0000-0000AE3F0000}"/>
    <cellStyle name="40% - Accent2 7 4 5" xfId="16396" xr:uid="{00000000-0005-0000-0000-0000AF3F0000}"/>
    <cellStyle name="40% - Accent2 7 4 6" xfId="16397" xr:uid="{00000000-0005-0000-0000-0000B03F0000}"/>
    <cellStyle name="40% - Accent2 7 5" xfId="16398" xr:uid="{00000000-0005-0000-0000-0000B13F0000}"/>
    <cellStyle name="40% - Accent2 7 5 2" xfId="16399" xr:uid="{00000000-0005-0000-0000-0000B23F0000}"/>
    <cellStyle name="40% - Accent2 7 5 2 2" xfId="16400" xr:uid="{00000000-0005-0000-0000-0000B33F0000}"/>
    <cellStyle name="40% - Accent2 7 5 2 3" xfId="16401" xr:uid="{00000000-0005-0000-0000-0000B43F0000}"/>
    <cellStyle name="40% - Accent2 7 5 3" xfId="16402" xr:uid="{00000000-0005-0000-0000-0000B53F0000}"/>
    <cellStyle name="40% - Accent2 7 5 4" xfId="16403" xr:uid="{00000000-0005-0000-0000-0000B63F0000}"/>
    <cellStyle name="40% - Accent2 7 6" xfId="16404" xr:uid="{00000000-0005-0000-0000-0000B73F0000}"/>
    <cellStyle name="40% - Accent2 7 6 2" xfId="16405" xr:uid="{00000000-0005-0000-0000-0000B83F0000}"/>
    <cellStyle name="40% - Accent2 7 6 3" xfId="16406" xr:uid="{00000000-0005-0000-0000-0000B93F0000}"/>
    <cellStyle name="40% - Accent2 7 7" xfId="16407" xr:uid="{00000000-0005-0000-0000-0000BA3F0000}"/>
    <cellStyle name="40% - Accent2 7 8" xfId="16408" xr:uid="{00000000-0005-0000-0000-0000BB3F0000}"/>
    <cellStyle name="40% - Accent2 7 9" xfId="16409" xr:uid="{00000000-0005-0000-0000-0000BC3F0000}"/>
    <cellStyle name="40% - Accent2 8" xfId="16410" xr:uid="{00000000-0005-0000-0000-0000BD3F0000}"/>
    <cellStyle name="40% - Accent2 8 2" xfId="16411" xr:uid="{00000000-0005-0000-0000-0000BE3F0000}"/>
    <cellStyle name="40% - Accent2 8 2 2" xfId="16412" xr:uid="{00000000-0005-0000-0000-0000BF3F0000}"/>
    <cellStyle name="40% - Accent2 8 2 2 2" xfId="16413" xr:uid="{00000000-0005-0000-0000-0000C03F0000}"/>
    <cellStyle name="40% - Accent2 8 2 2 2 2" xfId="16414" xr:uid="{00000000-0005-0000-0000-0000C13F0000}"/>
    <cellStyle name="40% - Accent2 8 2 2 2 2 2" xfId="16415" xr:uid="{00000000-0005-0000-0000-0000C23F0000}"/>
    <cellStyle name="40% - Accent2 8 2 2 2 2 3" xfId="16416" xr:uid="{00000000-0005-0000-0000-0000C33F0000}"/>
    <cellStyle name="40% - Accent2 8 2 2 2 3" xfId="16417" xr:uid="{00000000-0005-0000-0000-0000C43F0000}"/>
    <cellStyle name="40% - Accent2 8 2 2 2 4" xfId="16418" xr:uid="{00000000-0005-0000-0000-0000C53F0000}"/>
    <cellStyle name="40% - Accent2 8 2 2 3" xfId="16419" xr:uid="{00000000-0005-0000-0000-0000C63F0000}"/>
    <cellStyle name="40% - Accent2 8 2 2 3 2" xfId="16420" xr:uid="{00000000-0005-0000-0000-0000C73F0000}"/>
    <cellStyle name="40% - Accent2 8 2 2 3 3" xfId="16421" xr:uid="{00000000-0005-0000-0000-0000C83F0000}"/>
    <cellStyle name="40% - Accent2 8 2 2 4" xfId="16422" xr:uid="{00000000-0005-0000-0000-0000C93F0000}"/>
    <cellStyle name="40% - Accent2 8 2 2 5" xfId="16423" xr:uid="{00000000-0005-0000-0000-0000CA3F0000}"/>
    <cellStyle name="40% - Accent2 8 2 2 6" xfId="16424" xr:uid="{00000000-0005-0000-0000-0000CB3F0000}"/>
    <cellStyle name="40% - Accent2 8 2 3" xfId="16425" xr:uid="{00000000-0005-0000-0000-0000CC3F0000}"/>
    <cellStyle name="40% - Accent2 8 2 3 2" xfId="16426" xr:uid="{00000000-0005-0000-0000-0000CD3F0000}"/>
    <cellStyle name="40% - Accent2 8 2 3 2 2" xfId="16427" xr:uid="{00000000-0005-0000-0000-0000CE3F0000}"/>
    <cellStyle name="40% - Accent2 8 2 3 2 3" xfId="16428" xr:uid="{00000000-0005-0000-0000-0000CF3F0000}"/>
    <cellStyle name="40% - Accent2 8 2 3 3" xfId="16429" xr:uid="{00000000-0005-0000-0000-0000D03F0000}"/>
    <cellStyle name="40% - Accent2 8 2 3 4" xfId="16430" xr:uid="{00000000-0005-0000-0000-0000D13F0000}"/>
    <cellStyle name="40% - Accent2 8 2 4" xfId="16431" xr:uid="{00000000-0005-0000-0000-0000D23F0000}"/>
    <cellStyle name="40% - Accent2 8 2 4 2" xfId="16432" xr:uid="{00000000-0005-0000-0000-0000D33F0000}"/>
    <cellStyle name="40% - Accent2 8 2 4 3" xfId="16433" xr:uid="{00000000-0005-0000-0000-0000D43F0000}"/>
    <cellStyle name="40% - Accent2 8 2 5" xfId="16434" xr:uid="{00000000-0005-0000-0000-0000D53F0000}"/>
    <cellStyle name="40% - Accent2 8 2 6" xfId="16435" xr:uid="{00000000-0005-0000-0000-0000D63F0000}"/>
    <cellStyle name="40% - Accent2 8 2 7" xfId="16436" xr:uid="{00000000-0005-0000-0000-0000D73F0000}"/>
    <cellStyle name="40% - Accent2 8 3" xfId="16437" xr:uid="{00000000-0005-0000-0000-0000D83F0000}"/>
    <cellStyle name="40% - Accent2 8 3 2" xfId="16438" xr:uid="{00000000-0005-0000-0000-0000D93F0000}"/>
    <cellStyle name="40% - Accent2 8 3 2 2" xfId="16439" xr:uid="{00000000-0005-0000-0000-0000DA3F0000}"/>
    <cellStyle name="40% - Accent2 8 3 2 2 2" xfId="16440" xr:uid="{00000000-0005-0000-0000-0000DB3F0000}"/>
    <cellStyle name="40% - Accent2 8 3 2 2 3" xfId="16441" xr:uid="{00000000-0005-0000-0000-0000DC3F0000}"/>
    <cellStyle name="40% - Accent2 8 3 2 3" xfId="16442" xr:uid="{00000000-0005-0000-0000-0000DD3F0000}"/>
    <cellStyle name="40% - Accent2 8 3 2 4" xfId="16443" xr:uid="{00000000-0005-0000-0000-0000DE3F0000}"/>
    <cellStyle name="40% - Accent2 8 3 3" xfId="16444" xr:uid="{00000000-0005-0000-0000-0000DF3F0000}"/>
    <cellStyle name="40% - Accent2 8 3 3 2" xfId="16445" xr:uid="{00000000-0005-0000-0000-0000E03F0000}"/>
    <cellStyle name="40% - Accent2 8 3 3 3" xfId="16446" xr:uid="{00000000-0005-0000-0000-0000E13F0000}"/>
    <cellStyle name="40% - Accent2 8 3 4" xfId="16447" xr:uid="{00000000-0005-0000-0000-0000E23F0000}"/>
    <cellStyle name="40% - Accent2 8 3 5" xfId="16448" xr:uid="{00000000-0005-0000-0000-0000E33F0000}"/>
    <cellStyle name="40% - Accent2 8 3 6" xfId="16449" xr:uid="{00000000-0005-0000-0000-0000E43F0000}"/>
    <cellStyle name="40% - Accent2 8 4" xfId="16450" xr:uid="{00000000-0005-0000-0000-0000E53F0000}"/>
    <cellStyle name="40% - Accent2 8 4 2" xfId="16451" xr:uid="{00000000-0005-0000-0000-0000E63F0000}"/>
    <cellStyle name="40% - Accent2 8 4 2 2" xfId="16452" xr:uid="{00000000-0005-0000-0000-0000E73F0000}"/>
    <cellStyle name="40% - Accent2 8 4 2 3" xfId="16453" xr:uid="{00000000-0005-0000-0000-0000E83F0000}"/>
    <cellStyle name="40% - Accent2 8 4 3" xfId="16454" xr:uid="{00000000-0005-0000-0000-0000E93F0000}"/>
    <cellStyle name="40% - Accent2 8 4 4" xfId="16455" xr:uid="{00000000-0005-0000-0000-0000EA3F0000}"/>
    <cellStyle name="40% - Accent2 8 5" xfId="16456" xr:uid="{00000000-0005-0000-0000-0000EB3F0000}"/>
    <cellStyle name="40% - Accent2 8 5 2" xfId="16457" xr:uid="{00000000-0005-0000-0000-0000EC3F0000}"/>
    <cellStyle name="40% - Accent2 8 5 3" xfId="16458" xr:uid="{00000000-0005-0000-0000-0000ED3F0000}"/>
    <cellStyle name="40% - Accent2 8 6" xfId="16459" xr:uid="{00000000-0005-0000-0000-0000EE3F0000}"/>
    <cellStyle name="40% - Accent2 8 7" xfId="16460" xr:uid="{00000000-0005-0000-0000-0000EF3F0000}"/>
    <cellStyle name="40% - Accent2 8 8" xfId="16461" xr:uid="{00000000-0005-0000-0000-0000F03F0000}"/>
    <cellStyle name="40% - Accent2 9" xfId="16462" xr:uid="{00000000-0005-0000-0000-0000F13F0000}"/>
    <cellStyle name="40% - Accent2 9 2" xfId="16463" xr:uid="{00000000-0005-0000-0000-0000F23F0000}"/>
    <cellStyle name="40% - Accent2 9 2 2" xfId="16464" xr:uid="{00000000-0005-0000-0000-0000F33F0000}"/>
    <cellStyle name="40% - Accent2 9 2 2 2" xfId="16465" xr:uid="{00000000-0005-0000-0000-0000F43F0000}"/>
    <cellStyle name="40% - Accent2 9 2 2 2 2" xfId="16466" xr:uid="{00000000-0005-0000-0000-0000F53F0000}"/>
    <cellStyle name="40% - Accent2 9 2 2 2 2 2" xfId="16467" xr:uid="{00000000-0005-0000-0000-0000F63F0000}"/>
    <cellStyle name="40% - Accent2 9 2 2 2 2 3" xfId="16468" xr:uid="{00000000-0005-0000-0000-0000F73F0000}"/>
    <cellStyle name="40% - Accent2 9 2 2 2 3" xfId="16469" xr:uid="{00000000-0005-0000-0000-0000F83F0000}"/>
    <cellStyle name="40% - Accent2 9 2 2 2 4" xfId="16470" xr:uid="{00000000-0005-0000-0000-0000F93F0000}"/>
    <cellStyle name="40% - Accent2 9 2 2 3" xfId="16471" xr:uid="{00000000-0005-0000-0000-0000FA3F0000}"/>
    <cellStyle name="40% - Accent2 9 2 2 3 2" xfId="16472" xr:uid="{00000000-0005-0000-0000-0000FB3F0000}"/>
    <cellStyle name="40% - Accent2 9 2 2 3 3" xfId="16473" xr:uid="{00000000-0005-0000-0000-0000FC3F0000}"/>
    <cellStyle name="40% - Accent2 9 2 2 4" xfId="16474" xr:uid="{00000000-0005-0000-0000-0000FD3F0000}"/>
    <cellStyle name="40% - Accent2 9 2 2 5" xfId="16475" xr:uid="{00000000-0005-0000-0000-0000FE3F0000}"/>
    <cellStyle name="40% - Accent2 9 2 2 6" xfId="16476" xr:uid="{00000000-0005-0000-0000-0000FF3F0000}"/>
    <cellStyle name="40% - Accent2 9 2 3" xfId="16477" xr:uid="{00000000-0005-0000-0000-000000400000}"/>
    <cellStyle name="40% - Accent2 9 2 3 2" xfId="16478" xr:uid="{00000000-0005-0000-0000-000001400000}"/>
    <cellStyle name="40% - Accent2 9 2 3 2 2" xfId="16479" xr:uid="{00000000-0005-0000-0000-000002400000}"/>
    <cellStyle name="40% - Accent2 9 2 3 2 3" xfId="16480" xr:uid="{00000000-0005-0000-0000-000003400000}"/>
    <cellStyle name="40% - Accent2 9 2 3 3" xfId="16481" xr:uid="{00000000-0005-0000-0000-000004400000}"/>
    <cellStyle name="40% - Accent2 9 2 3 4" xfId="16482" xr:uid="{00000000-0005-0000-0000-000005400000}"/>
    <cellStyle name="40% - Accent2 9 2 4" xfId="16483" xr:uid="{00000000-0005-0000-0000-000006400000}"/>
    <cellStyle name="40% - Accent2 9 2 4 2" xfId="16484" xr:uid="{00000000-0005-0000-0000-000007400000}"/>
    <cellStyle name="40% - Accent2 9 2 4 3" xfId="16485" xr:uid="{00000000-0005-0000-0000-000008400000}"/>
    <cellStyle name="40% - Accent2 9 2 5" xfId="16486" xr:uid="{00000000-0005-0000-0000-000009400000}"/>
    <cellStyle name="40% - Accent2 9 2 6" xfId="16487" xr:uid="{00000000-0005-0000-0000-00000A400000}"/>
    <cellStyle name="40% - Accent2 9 2 7" xfId="16488" xr:uid="{00000000-0005-0000-0000-00000B400000}"/>
    <cellStyle name="40% - Accent2 9 3" xfId="16489" xr:uid="{00000000-0005-0000-0000-00000C400000}"/>
    <cellStyle name="40% - Accent2 9 3 2" xfId="16490" xr:uid="{00000000-0005-0000-0000-00000D400000}"/>
    <cellStyle name="40% - Accent2 9 3 2 2" xfId="16491" xr:uid="{00000000-0005-0000-0000-00000E400000}"/>
    <cellStyle name="40% - Accent2 9 3 2 2 2" xfId="16492" xr:uid="{00000000-0005-0000-0000-00000F400000}"/>
    <cellStyle name="40% - Accent2 9 3 2 2 3" xfId="16493" xr:uid="{00000000-0005-0000-0000-000010400000}"/>
    <cellStyle name="40% - Accent2 9 3 2 3" xfId="16494" xr:uid="{00000000-0005-0000-0000-000011400000}"/>
    <cellStyle name="40% - Accent2 9 3 2 4" xfId="16495" xr:uid="{00000000-0005-0000-0000-000012400000}"/>
    <cellStyle name="40% - Accent2 9 3 3" xfId="16496" xr:uid="{00000000-0005-0000-0000-000013400000}"/>
    <cellStyle name="40% - Accent2 9 3 3 2" xfId="16497" xr:uid="{00000000-0005-0000-0000-000014400000}"/>
    <cellStyle name="40% - Accent2 9 3 3 3" xfId="16498" xr:uid="{00000000-0005-0000-0000-000015400000}"/>
    <cellStyle name="40% - Accent2 9 3 4" xfId="16499" xr:uid="{00000000-0005-0000-0000-000016400000}"/>
    <cellStyle name="40% - Accent2 9 3 5" xfId="16500" xr:uid="{00000000-0005-0000-0000-000017400000}"/>
    <cellStyle name="40% - Accent2 9 3 6" xfId="16501" xr:uid="{00000000-0005-0000-0000-000018400000}"/>
    <cellStyle name="40% - Accent2 9 4" xfId="16502" xr:uid="{00000000-0005-0000-0000-000019400000}"/>
    <cellStyle name="40% - Accent2 9 4 2" xfId="16503" xr:uid="{00000000-0005-0000-0000-00001A400000}"/>
    <cellStyle name="40% - Accent2 9 4 2 2" xfId="16504" xr:uid="{00000000-0005-0000-0000-00001B400000}"/>
    <cellStyle name="40% - Accent2 9 4 2 3" xfId="16505" xr:uid="{00000000-0005-0000-0000-00001C400000}"/>
    <cellStyle name="40% - Accent2 9 4 3" xfId="16506" xr:uid="{00000000-0005-0000-0000-00001D400000}"/>
    <cellStyle name="40% - Accent2 9 4 4" xfId="16507" xr:uid="{00000000-0005-0000-0000-00001E400000}"/>
    <cellStyle name="40% - Accent2 9 5" xfId="16508" xr:uid="{00000000-0005-0000-0000-00001F400000}"/>
    <cellStyle name="40% - Accent2 9 5 2" xfId="16509" xr:uid="{00000000-0005-0000-0000-000020400000}"/>
    <cellStyle name="40% - Accent2 9 5 3" xfId="16510" xr:uid="{00000000-0005-0000-0000-000021400000}"/>
    <cellStyle name="40% - Accent2 9 6" xfId="16511" xr:uid="{00000000-0005-0000-0000-000022400000}"/>
    <cellStyle name="40% - Accent2 9 7" xfId="16512" xr:uid="{00000000-0005-0000-0000-000023400000}"/>
    <cellStyle name="40% - Accent2 9 8" xfId="16513" xr:uid="{00000000-0005-0000-0000-000024400000}"/>
    <cellStyle name="40% - Accent3 10" xfId="16514" xr:uid="{00000000-0005-0000-0000-000025400000}"/>
    <cellStyle name="40% - Accent3 10 2" xfId="16515" xr:uid="{00000000-0005-0000-0000-000026400000}"/>
    <cellStyle name="40% - Accent3 10 2 2" xfId="16516" xr:uid="{00000000-0005-0000-0000-000027400000}"/>
    <cellStyle name="40% - Accent3 10 2 2 2" xfId="16517" xr:uid="{00000000-0005-0000-0000-000028400000}"/>
    <cellStyle name="40% - Accent3 10 2 2 2 2" xfId="16518" xr:uid="{00000000-0005-0000-0000-000029400000}"/>
    <cellStyle name="40% - Accent3 10 2 2 2 2 2" xfId="16519" xr:uid="{00000000-0005-0000-0000-00002A400000}"/>
    <cellStyle name="40% - Accent3 10 2 2 2 2 3" xfId="16520" xr:uid="{00000000-0005-0000-0000-00002B400000}"/>
    <cellStyle name="40% - Accent3 10 2 2 2 3" xfId="16521" xr:uid="{00000000-0005-0000-0000-00002C400000}"/>
    <cellStyle name="40% - Accent3 10 2 2 2 4" xfId="16522" xr:uid="{00000000-0005-0000-0000-00002D400000}"/>
    <cellStyle name="40% - Accent3 10 2 2 3" xfId="16523" xr:uid="{00000000-0005-0000-0000-00002E400000}"/>
    <cellStyle name="40% - Accent3 10 2 2 3 2" xfId="16524" xr:uid="{00000000-0005-0000-0000-00002F400000}"/>
    <cellStyle name="40% - Accent3 10 2 2 3 3" xfId="16525" xr:uid="{00000000-0005-0000-0000-000030400000}"/>
    <cellStyle name="40% - Accent3 10 2 2 4" xfId="16526" xr:uid="{00000000-0005-0000-0000-000031400000}"/>
    <cellStyle name="40% - Accent3 10 2 2 5" xfId="16527" xr:uid="{00000000-0005-0000-0000-000032400000}"/>
    <cellStyle name="40% - Accent3 10 2 2 6" xfId="16528" xr:uid="{00000000-0005-0000-0000-000033400000}"/>
    <cellStyle name="40% - Accent3 10 2 3" xfId="16529" xr:uid="{00000000-0005-0000-0000-000034400000}"/>
    <cellStyle name="40% - Accent3 10 2 3 2" xfId="16530" xr:uid="{00000000-0005-0000-0000-000035400000}"/>
    <cellStyle name="40% - Accent3 10 2 3 2 2" xfId="16531" xr:uid="{00000000-0005-0000-0000-000036400000}"/>
    <cellStyle name="40% - Accent3 10 2 3 2 3" xfId="16532" xr:uid="{00000000-0005-0000-0000-000037400000}"/>
    <cellStyle name="40% - Accent3 10 2 3 3" xfId="16533" xr:uid="{00000000-0005-0000-0000-000038400000}"/>
    <cellStyle name="40% - Accent3 10 2 3 4" xfId="16534" xr:uid="{00000000-0005-0000-0000-000039400000}"/>
    <cellStyle name="40% - Accent3 10 2 4" xfId="16535" xr:uid="{00000000-0005-0000-0000-00003A400000}"/>
    <cellStyle name="40% - Accent3 10 2 4 2" xfId="16536" xr:uid="{00000000-0005-0000-0000-00003B400000}"/>
    <cellStyle name="40% - Accent3 10 2 4 3" xfId="16537" xr:uid="{00000000-0005-0000-0000-00003C400000}"/>
    <cellStyle name="40% - Accent3 10 2 5" xfId="16538" xr:uid="{00000000-0005-0000-0000-00003D400000}"/>
    <cellStyle name="40% - Accent3 10 2 6" xfId="16539" xr:uid="{00000000-0005-0000-0000-00003E400000}"/>
    <cellStyle name="40% - Accent3 10 2 7" xfId="16540" xr:uid="{00000000-0005-0000-0000-00003F400000}"/>
    <cellStyle name="40% - Accent3 10 3" xfId="16541" xr:uid="{00000000-0005-0000-0000-000040400000}"/>
    <cellStyle name="40% - Accent3 10 3 2" xfId="16542" xr:uid="{00000000-0005-0000-0000-000041400000}"/>
    <cellStyle name="40% - Accent3 10 3 2 2" xfId="16543" xr:uid="{00000000-0005-0000-0000-000042400000}"/>
    <cellStyle name="40% - Accent3 10 3 2 2 2" xfId="16544" xr:uid="{00000000-0005-0000-0000-000043400000}"/>
    <cellStyle name="40% - Accent3 10 3 2 2 3" xfId="16545" xr:uid="{00000000-0005-0000-0000-000044400000}"/>
    <cellStyle name="40% - Accent3 10 3 2 3" xfId="16546" xr:uid="{00000000-0005-0000-0000-000045400000}"/>
    <cellStyle name="40% - Accent3 10 3 2 4" xfId="16547" xr:uid="{00000000-0005-0000-0000-000046400000}"/>
    <cellStyle name="40% - Accent3 10 3 3" xfId="16548" xr:uid="{00000000-0005-0000-0000-000047400000}"/>
    <cellStyle name="40% - Accent3 10 3 3 2" xfId="16549" xr:uid="{00000000-0005-0000-0000-000048400000}"/>
    <cellStyle name="40% - Accent3 10 3 3 3" xfId="16550" xr:uid="{00000000-0005-0000-0000-000049400000}"/>
    <cellStyle name="40% - Accent3 10 3 4" xfId="16551" xr:uid="{00000000-0005-0000-0000-00004A400000}"/>
    <cellStyle name="40% - Accent3 10 3 5" xfId="16552" xr:uid="{00000000-0005-0000-0000-00004B400000}"/>
    <cellStyle name="40% - Accent3 10 3 6" xfId="16553" xr:uid="{00000000-0005-0000-0000-00004C400000}"/>
    <cellStyle name="40% - Accent3 10 4" xfId="16554" xr:uid="{00000000-0005-0000-0000-00004D400000}"/>
    <cellStyle name="40% - Accent3 10 4 2" xfId="16555" xr:uid="{00000000-0005-0000-0000-00004E400000}"/>
    <cellStyle name="40% - Accent3 10 4 2 2" xfId="16556" xr:uid="{00000000-0005-0000-0000-00004F400000}"/>
    <cellStyle name="40% - Accent3 10 4 2 3" xfId="16557" xr:uid="{00000000-0005-0000-0000-000050400000}"/>
    <cellStyle name="40% - Accent3 10 4 3" xfId="16558" xr:uid="{00000000-0005-0000-0000-000051400000}"/>
    <cellStyle name="40% - Accent3 10 4 4" xfId="16559" xr:uid="{00000000-0005-0000-0000-000052400000}"/>
    <cellStyle name="40% - Accent3 10 5" xfId="16560" xr:uid="{00000000-0005-0000-0000-000053400000}"/>
    <cellStyle name="40% - Accent3 10 5 2" xfId="16561" xr:uid="{00000000-0005-0000-0000-000054400000}"/>
    <cellStyle name="40% - Accent3 10 5 3" xfId="16562" xr:uid="{00000000-0005-0000-0000-000055400000}"/>
    <cellStyle name="40% - Accent3 10 6" xfId="16563" xr:uid="{00000000-0005-0000-0000-000056400000}"/>
    <cellStyle name="40% - Accent3 10 7" xfId="16564" xr:uid="{00000000-0005-0000-0000-000057400000}"/>
    <cellStyle name="40% - Accent3 10 8" xfId="16565" xr:uid="{00000000-0005-0000-0000-000058400000}"/>
    <cellStyle name="40% - Accent3 11" xfId="16566" xr:uid="{00000000-0005-0000-0000-000059400000}"/>
    <cellStyle name="40% - Accent3 11 2" xfId="16567" xr:uid="{00000000-0005-0000-0000-00005A400000}"/>
    <cellStyle name="40% - Accent3 11 2 2" xfId="16568" xr:uid="{00000000-0005-0000-0000-00005B400000}"/>
    <cellStyle name="40% - Accent3 11 2 2 2" xfId="16569" xr:uid="{00000000-0005-0000-0000-00005C400000}"/>
    <cellStyle name="40% - Accent3 11 2 2 2 2" xfId="16570" xr:uid="{00000000-0005-0000-0000-00005D400000}"/>
    <cellStyle name="40% - Accent3 11 2 2 2 3" xfId="16571" xr:uid="{00000000-0005-0000-0000-00005E400000}"/>
    <cellStyle name="40% - Accent3 11 2 2 3" xfId="16572" xr:uid="{00000000-0005-0000-0000-00005F400000}"/>
    <cellStyle name="40% - Accent3 11 2 2 4" xfId="16573" xr:uid="{00000000-0005-0000-0000-000060400000}"/>
    <cellStyle name="40% - Accent3 11 2 3" xfId="16574" xr:uid="{00000000-0005-0000-0000-000061400000}"/>
    <cellStyle name="40% - Accent3 11 2 3 2" xfId="16575" xr:uid="{00000000-0005-0000-0000-000062400000}"/>
    <cellStyle name="40% - Accent3 11 2 3 3" xfId="16576" xr:uid="{00000000-0005-0000-0000-000063400000}"/>
    <cellStyle name="40% - Accent3 11 2 4" xfId="16577" xr:uid="{00000000-0005-0000-0000-000064400000}"/>
    <cellStyle name="40% - Accent3 11 2 5" xfId="16578" xr:uid="{00000000-0005-0000-0000-000065400000}"/>
    <cellStyle name="40% - Accent3 11 2 6" xfId="16579" xr:uid="{00000000-0005-0000-0000-000066400000}"/>
    <cellStyle name="40% - Accent3 11 3" xfId="16580" xr:uid="{00000000-0005-0000-0000-000067400000}"/>
    <cellStyle name="40% - Accent3 11 3 2" xfId="16581" xr:uid="{00000000-0005-0000-0000-000068400000}"/>
    <cellStyle name="40% - Accent3 11 3 2 2" xfId="16582" xr:uid="{00000000-0005-0000-0000-000069400000}"/>
    <cellStyle name="40% - Accent3 11 3 2 3" xfId="16583" xr:uid="{00000000-0005-0000-0000-00006A400000}"/>
    <cellStyle name="40% - Accent3 11 3 3" xfId="16584" xr:uid="{00000000-0005-0000-0000-00006B400000}"/>
    <cellStyle name="40% - Accent3 11 3 4" xfId="16585" xr:uid="{00000000-0005-0000-0000-00006C400000}"/>
    <cellStyle name="40% - Accent3 11 4" xfId="16586" xr:uid="{00000000-0005-0000-0000-00006D400000}"/>
    <cellStyle name="40% - Accent3 11 4 2" xfId="16587" xr:uid="{00000000-0005-0000-0000-00006E400000}"/>
    <cellStyle name="40% - Accent3 11 4 3" xfId="16588" xr:uid="{00000000-0005-0000-0000-00006F400000}"/>
    <cellStyle name="40% - Accent3 11 5" xfId="16589" xr:uid="{00000000-0005-0000-0000-000070400000}"/>
    <cellStyle name="40% - Accent3 11 6" xfId="16590" xr:uid="{00000000-0005-0000-0000-000071400000}"/>
    <cellStyle name="40% - Accent3 11 7" xfId="16591" xr:uid="{00000000-0005-0000-0000-000072400000}"/>
    <cellStyle name="40% - Accent3 12" xfId="16592" xr:uid="{00000000-0005-0000-0000-000073400000}"/>
    <cellStyle name="40% - Accent3 12 2" xfId="16593" xr:uid="{00000000-0005-0000-0000-000074400000}"/>
    <cellStyle name="40% - Accent3 12 2 2" xfId="16594" xr:uid="{00000000-0005-0000-0000-000075400000}"/>
    <cellStyle name="40% - Accent3 12 2 2 2" xfId="16595" xr:uid="{00000000-0005-0000-0000-000076400000}"/>
    <cellStyle name="40% - Accent3 12 2 2 3" xfId="16596" xr:uid="{00000000-0005-0000-0000-000077400000}"/>
    <cellStyle name="40% - Accent3 12 2 3" xfId="16597" xr:uid="{00000000-0005-0000-0000-000078400000}"/>
    <cellStyle name="40% - Accent3 12 2 4" xfId="16598" xr:uid="{00000000-0005-0000-0000-000079400000}"/>
    <cellStyle name="40% - Accent3 12 3" xfId="16599" xr:uid="{00000000-0005-0000-0000-00007A400000}"/>
    <cellStyle name="40% - Accent3 12 3 2" xfId="16600" xr:uid="{00000000-0005-0000-0000-00007B400000}"/>
    <cellStyle name="40% - Accent3 12 3 3" xfId="16601" xr:uid="{00000000-0005-0000-0000-00007C400000}"/>
    <cellStyle name="40% - Accent3 12 4" xfId="16602" xr:uid="{00000000-0005-0000-0000-00007D400000}"/>
    <cellStyle name="40% - Accent3 12 5" xfId="16603" xr:uid="{00000000-0005-0000-0000-00007E400000}"/>
    <cellStyle name="40% - Accent3 12 6" xfId="16604" xr:uid="{00000000-0005-0000-0000-00007F400000}"/>
    <cellStyle name="40% - Accent3 13" xfId="16605" xr:uid="{00000000-0005-0000-0000-000080400000}"/>
    <cellStyle name="40% - Accent3 13 2" xfId="16606" xr:uid="{00000000-0005-0000-0000-000081400000}"/>
    <cellStyle name="40% - Accent3 13 2 2" xfId="16607" xr:uid="{00000000-0005-0000-0000-000082400000}"/>
    <cellStyle name="40% - Accent3 13 2 2 2" xfId="16608" xr:uid="{00000000-0005-0000-0000-000083400000}"/>
    <cellStyle name="40% - Accent3 13 2 2 3" xfId="16609" xr:uid="{00000000-0005-0000-0000-000084400000}"/>
    <cellStyle name="40% - Accent3 13 2 3" xfId="16610" xr:uid="{00000000-0005-0000-0000-000085400000}"/>
    <cellStyle name="40% - Accent3 13 2 4" xfId="16611" xr:uid="{00000000-0005-0000-0000-000086400000}"/>
    <cellStyle name="40% - Accent3 13 3" xfId="16612" xr:uid="{00000000-0005-0000-0000-000087400000}"/>
    <cellStyle name="40% - Accent3 13 3 2" xfId="16613" xr:uid="{00000000-0005-0000-0000-000088400000}"/>
    <cellStyle name="40% - Accent3 13 3 3" xfId="16614" xr:uid="{00000000-0005-0000-0000-000089400000}"/>
    <cellStyle name="40% - Accent3 13 4" xfId="16615" xr:uid="{00000000-0005-0000-0000-00008A400000}"/>
    <cellStyle name="40% - Accent3 13 5" xfId="16616" xr:uid="{00000000-0005-0000-0000-00008B400000}"/>
    <cellStyle name="40% - Accent3 13 6" xfId="16617" xr:uid="{00000000-0005-0000-0000-00008C400000}"/>
    <cellStyle name="40% - Accent3 14" xfId="16618" xr:uid="{00000000-0005-0000-0000-00008D400000}"/>
    <cellStyle name="40% - Accent3 14 2" xfId="16619" xr:uid="{00000000-0005-0000-0000-00008E400000}"/>
    <cellStyle name="40% - Accent3 14 2 2" xfId="16620" xr:uid="{00000000-0005-0000-0000-00008F400000}"/>
    <cellStyle name="40% - Accent3 14 2 3" xfId="16621" xr:uid="{00000000-0005-0000-0000-000090400000}"/>
    <cellStyle name="40% - Accent3 14 3" xfId="16622" xr:uid="{00000000-0005-0000-0000-000091400000}"/>
    <cellStyle name="40% - Accent3 14 4" xfId="16623" xr:uid="{00000000-0005-0000-0000-000092400000}"/>
    <cellStyle name="40% - Accent3 15" xfId="16624" xr:uid="{00000000-0005-0000-0000-000093400000}"/>
    <cellStyle name="40% - Accent3 16" xfId="16625" xr:uid="{00000000-0005-0000-0000-000094400000}"/>
    <cellStyle name="40% - Accent3 17" xfId="16626" xr:uid="{00000000-0005-0000-0000-000095400000}"/>
    <cellStyle name="40% - Accent3 2" xfId="16627" xr:uid="{00000000-0005-0000-0000-000096400000}"/>
    <cellStyle name="40% - Accent3 2 2" xfId="16628" xr:uid="{00000000-0005-0000-0000-000097400000}"/>
    <cellStyle name="40% - Accent3 2 3" xfId="16629" xr:uid="{00000000-0005-0000-0000-000098400000}"/>
    <cellStyle name="40% - Accent3 3" xfId="16630" xr:uid="{00000000-0005-0000-0000-000099400000}"/>
    <cellStyle name="40% - Accent3 3 10" xfId="16631" xr:uid="{00000000-0005-0000-0000-00009A400000}"/>
    <cellStyle name="40% - Accent3 3 10 2" xfId="16632" xr:uid="{00000000-0005-0000-0000-00009B400000}"/>
    <cellStyle name="40% - Accent3 3 10 2 2" xfId="16633" xr:uid="{00000000-0005-0000-0000-00009C400000}"/>
    <cellStyle name="40% - Accent3 3 10 2 2 2" xfId="16634" xr:uid="{00000000-0005-0000-0000-00009D400000}"/>
    <cellStyle name="40% - Accent3 3 10 2 2 3" xfId="16635" xr:uid="{00000000-0005-0000-0000-00009E400000}"/>
    <cellStyle name="40% - Accent3 3 10 2 3" xfId="16636" xr:uid="{00000000-0005-0000-0000-00009F400000}"/>
    <cellStyle name="40% - Accent3 3 10 2 4" xfId="16637" xr:uid="{00000000-0005-0000-0000-0000A0400000}"/>
    <cellStyle name="40% - Accent3 3 10 3" xfId="16638" xr:uid="{00000000-0005-0000-0000-0000A1400000}"/>
    <cellStyle name="40% - Accent3 3 10 3 2" xfId="16639" xr:uid="{00000000-0005-0000-0000-0000A2400000}"/>
    <cellStyle name="40% - Accent3 3 10 3 3" xfId="16640" xr:uid="{00000000-0005-0000-0000-0000A3400000}"/>
    <cellStyle name="40% - Accent3 3 10 4" xfId="16641" xr:uid="{00000000-0005-0000-0000-0000A4400000}"/>
    <cellStyle name="40% - Accent3 3 10 5" xfId="16642" xr:uid="{00000000-0005-0000-0000-0000A5400000}"/>
    <cellStyle name="40% - Accent3 3 10 6" xfId="16643" xr:uid="{00000000-0005-0000-0000-0000A6400000}"/>
    <cellStyle name="40% - Accent3 3 11" xfId="16644" xr:uid="{00000000-0005-0000-0000-0000A7400000}"/>
    <cellStyle name="40% - Accent3 3 11 2" xfId="16645" xr:uid="{00000000-0005-0000-0000-0000A8400000}"/>
    <cellStyle name="40% - Accent3 3 11 2 2" xfId="16646" xr:uid="{00000000-0005-0000-0000-0000A9400000}"/>
    <cellStyle name="40% - Accent3 3 11 2 3" xfId="16647" xr:uid="{00000000-0005-0000-0000-0000AA400000}"/>
    <cellStyle name="40% - Accent3 3 11 3" xfId="16648" xr:uid="{00000000-0005-0000-0000-0000AB400000}"/>
    <cellStyle name="40% - Accent3 3 11 4" xfId="16649" xr:uid="{00000000-0005-0000-0000-0000AC400000}"/>
    <cellStyle name="40% - Accent3 3 12" xfId="16650" xr:uid="{00000000-0005-0000-0000-0000AD400000}"/>
    <cellStyle name="40% - Accent3 3 12 2" xfId="16651" xr:uid="{00000000-0005-0000-0000-0000AE400000}"/>
    <cellStyle name="40% - Accent3 3 12 3" xfId="16652" xr:uid="{00000000-0005-0000-0000-0000AF400000}"/>
    <cellStyle name="40% - Accent3 3 13" xfId="16653" xr:uid="{00000000-0005-0000-0000-0000B0400000}"/>
    <cellStyle name="40% - Accent3 3 14" xfId="16654" xr:uid="{00000000-0005-0000-0000-0000B1400000}"/>
    <cellStyle name="40% - Accent3 3 15" xfId="16655" xr:uid="{00000000-0005-0000-0000-0000B2400000}"/>
    <cellStyle name="40% - Accent3 3 2" xfId="16656" xr:uid="{00000000-0005-0000-0000-0000B3400000}"/>
    <cellStyle name="40% - Accent3 3 2 10" xfId="16657" xr:uid="{00000000-0005-0000-0000-0000B4400000}"/>
    <cellStyle name="40% - Accent3 3 2 11" xfId="16658" xr:uid="{00000000-0005-0000-0000-0000B5400000}"/>
    <cellStyle name="40% - Accent3 3 2 2" xfId="16659" xr:uid="{00000000-0005-0000-0000-0000B6400000}"/>
    <cellStyle name="40% - Accent3 3 2 2 10" xfId="16660" xr:uid="{00000000-0005-0000-0000-0000B7400000}"/>
    <cellStyle name="40% - Accent3 3 2 2 2" xfId="16661" xr:uid="{00000000-0005-0000-0000-0000B8400000}"/>
    <cellStyle name="40% - Accent3 3 2 2 2 2" xfId="16662" xr:uid="{00000000-0005-0000-0000-0000B9400000}"/>
    <cellStyle name="40% - Accent3 3 2 2 2 2 2" xfId="16663" xr:uid="{00000000-0005-0000-0000-0000BA400000}"/>
    <cellStyle name="40% - Accent3 3 2 2 2 2 2 2" xfId="16664" xr:uid="{00000000-0005-0000-0000-0000BB400000}"/>
    <cellStyle name="40% - Accent3 3 2 2 2 2 2 2 2" xfId="16665" xr:uid="{00000000-0005-0000-0000-0000BC400000}"/>
    <cellStyle name="40% - Accent3 3 2 2 2 2 2 2 2 2" xfId="16666" xr:uid="{00000000-0005-0000-0000-0000BD400000}"/>
    <cellStyle name="40% - Accent3 3 2 2 2 2 2 2 2 2 2" xfId="16667" xr:uid="{00000000-0005-0000-0000-0000BE400000}"/>
    <cellStyle name="40% - Accent3 3 2 2 2 2 2 2 2 2 3" xfId="16668" xr:uid="{00000000-0005-0000-0000-0000BF400000}"/>
    <cellStyle name="40% - Accent3 3 2 2 2 2 2 2 2 3" xfId="16669" xr:uid="{00000000-0005-0000-0000-0000C0400000}"/>
    <cellStyle name="40% - Accent3 3 2 2 2 2 2 2 2 4" xfId="16670" xr:uid="{00000000-0005-0000-0000-0000C1400000}"/>
    <cellStyle name="40% - Accent3 3 2 2 2 2 2 2 3" xfId="16671" xr:uid="{00000000-0005-0000-0000-0000C2400000}"/>
    <cellStyle name="40% - Accent3 3 2 2 2 2 2 2 3 2" xfId="16672" xr:uid="{00000000-0005-0000-0000-0000C3400000}"/>
    <cellStyle name="40% - Accent3 3 2 2 2 2 2 2 3 3" xfId="16673" xr:uid="{00000000-0005-0000-0000-0000C4400000}"/>
    <cellStyle name="40% - Accent3 3 2 2 2 2 2 2 4" xfId="16674" xr:uid="{00000000-0005-0000-0000-0000C5400000}"/>
    <cellStyle name="40% - Accent3 3 2 2 2 2 2 2 5" xfId="16675" xr:uid="{00000000-0005-0000-0000-0000C6400000}"/>
    <cellStyle name="40% - Accent3 3 2 2 2 2 2 2 6" xfId="16676" xr:uid="{00000000-0005-0000-0000-0000C7400000}"/>
    <cellStyle name="40% - Accent3 3 2 2 2 2 2 3" xfId="16677" xr:uid="{00000000-0005-0000-0000-0000C8400000}"/>
    <cellStyle name="40% - Accent3 3 2 2 2 2 2 3 2" xfId="16678" xr:uid="{00000000-0005-0000-0000-0000C9400000}"/>
    <cellStyle name="40% - Accent3 3 2 2 2 2 2 3 2 2" xfId="16679" xr:uid="{00000000-0005-0000-0000-0000CA400000}"/>
    <cellStyle name="40% - Accent3 3 2 2 2 2 2 3 2 3" xfId="16680" xr:uid="{00000000-0005-0000-0000-0000CB400000}"/>
    <cellStyle name="40% - Accent3 3 2 2 2 2 2 3 3" xfId="16681" xr:uid="{00000000-0005-0000-0000-0000CC400000}"/>
    <cellStyle name="40% - Accent3 3 2 2 2 2 2 3 4" xfId="16682" xr:uid="{00000000-0005-0000-0000-0000CD400000}"/>
    <cellStyle name="40% - Accent3 3 2 2 2 2 2 4" xfId="16683" xr:uid="{00000000-0005-0000-0000-0000CE400000}"/>
    <cellStyle name="40% - Accent3 3 2 2 2 2 2 4 2" xfId="16684" xr:uid="{00000000-0005-0000-0000-0000CF400000}"/>
    <cellStyle name="40% - Accent3 3 2 2 2 2 2 4 3" xfId="16685" xr:uid="{00000000-0005-0000-0000-0000D0400000}"/>
    <cellStyle name="40% - Accent3 3 2 2 2 2 2 5" xfId="16686" xr:uid="{00000000-0005-0000-0000-0000D1400000}"/>
    <cellStyle name="40% - Accent3 3 2 2 2 2 2 6" xfId="16687" xr:uid="{00000000-0005-0000-0000-0000D2400000}"/>
    <cellStyle name="40% - Accent3 3 2 2 2 2 2 7" xfId="16688" xr:uid="{00000000-0005-0000-0000-0000D3400000}"/>
    <cellStyle name="40% - Accent3 3 2 2 2 2 3" xfId="16689" xr:uid="{00000000-0005-0000-0000-0000D4400000}"/>
    <cellStyle name="40% - Accent3 3 2 2 2 2 3 2" xfId="16690" xr:uid="{00000000-0005-0000-0000-0000D5400000}"/>
    <cellStyle name="40% - Accent3 3 2 2 2 2 3 2 2" xfId="16691" xr:uid="{00000000-0005-0000-0000-0000D6400000}"/>
    <cellStyle name="40% - Accent3 3 2 2 2 2 3 2 2 2" xfId="16692" xr:uid="{00000000-0005-0000-0000-0000D7400000}"/>
    <cellStyle name="40% - Accent3 3 2 2 2 2 3 2 2 3" xfId="16693" xr:uid="{00000000-0005-0000-0000-0000D8400000}"/>
    <cellStyle name="40% - Accent3 3 2 2 2 2 3 2 3" xfId="16694" xr:uid="{00000000-0005-0000-0000-0000D9400000}"/>
    <cellStyle name="40% - Accent3 3 2 2 2 2 3 2 4" xfId="16695" xr:uid="{00000000-0005-0000-0000-0000DA400000}"/>
    <cellStyle name="40% - Accent3 3 2 2 2 2 3 3" xfId="16696" xr:uid="{00000000-0005-0000-0000-0000DB400000}"/>
    <cellStyle name="40% - Accent3 3 2 2 2 2 3 3 2" xfId="16697" xr:uid="{00000000-0005-0000-0000-0000DC400000}"/>
    <cellStyle name="40% - Accent3 3 2 2 2 2 3 3 3" xfId="16698" xr:uid="{00000000-0005-0000-0000-0000DD400000}"/>
    <cellStyle name="40% - Accent3 3 2 2 2 2 3 4" xfId="16699" xr:uid="{00000000-0005-0000-0000-0000DE400000}"/>
    <cellStyle name="40% - Accent3 3 2 2 2 2 3 5" xfId="16700" xr:uid="{00000000-0005-0000-0000-0000DF400000}"/>
    <cellStyle name="40% - Accent3 3 2 2 2 2 3 6" xfId="16701" xr:uid="{00000000-0005-0000-0000-0000E0400000}"/>
    <cellStyle name="40% - Accent3 3 2 2 2 2 4" xfId="16702" xr:uid="{00000000-0005-0000-0000-0000E1400000}"/>
    <cellStyle name="40% - Accent3 3 2 2 2 2 4 2" xfId="16703" xr:uid="{00000000-0005-0000-0000-0000E2400000}"/>
    <cellStyle name="40% - Accent3 3 2 2 2 2 4 2 2" xfId="16704" xr:uid="{00000000-0005-0000-0000-0000E3400000}"/>
    <cellStyle name="40% - Accent3 3 2 2 2 2 4 2 3" xfId="16705" xr:uid="{00000000-0005-0000-0000-0000E4400000}"/>
    <cellStyle name="40% - Accent3 3 2 2 2 2 4 3" xfId="16706" xr:uid="{00000000-0005-0000-0000-0000E5400000}"/>
    <cellStyle name="40% - Accent3 3 2 2 2 2 4 4" xfId="16707" xr:uid="{00000000-0005-0000-0000-0000E6400000}"/>
    <cellStyle name="40% - Accent3 3 2 2 2 2 5" xfId="16708" xr:uid="{00000000-0005-0000-0000-0000E7400000}"/>
    <cellStyle name="40% - Accent3 3 2 2 2 2 5 2" xfId="16709" xr:uid="{00000000-0005-0000-0000-0000E8400000}"/>
    <cellStyle name="40% - Accent3 3 2 2 2 2 5 3" xfId="16710" xr:uid="{00000000-0005-0000-0000-0000E9400000}"/>
    <cellStyle name="40% - Accent3 3 2 2 2 2 6" xfId="16711" xr:uid="{00000000-0005-0000-0000-0000EA400000}"/>
    <cellStyle name="40% - Accent3 3 2 2 2 2 7" xfId="16712" xr:uid="{00000000-0005-0000-0000-0000EB400000}"/>
    <cellStyle name="40% - Accent3 3 2 2 2 2 8" xfId="16713" xr:uid="{00000000-0005-0000-0000-0000EC400000}"/>
    <cellStyle name="40% - Accent3 3 2 2 2 3" xfId="16714" xr:uid="{00000000-0005-0000-0000-0000ED400000}"/>
    <cellStyle name="40% - Accent3 3 2 2 2 3 2" xfId="16715" xr:uid="{00000000-0005-0000-0000-0000EE400000}"/>
    <cellStyle name="40% - Accent3 3 2 2 2 3 2 2" xfId="16716" xr:uid="{00000000-0005-0000-0000-0000EF400000}"/>
    <cellStyle name="40% - Accent3 3 2 2 2 3 2 2 2" xfId="16717" xr:uid="{00000000-0005-0000-0000-0000F0400000}"/>
    <cellStyle name="40% - Accent3 3 2 2 2 3 2 2 2 2" xfId="16718" xr:uid="{00000000-0005-0000-0000-0000F1400000}"/>
    <cellStyle name="40% - Accent3 3 2 2 2 3 2 2 2 3" xfId="16719" xr:uid="{00000000-0005-0000-0000-0000F2400000}"/>
    <cellStyle name="40% - Accent3 3 2 2 2 3 2 2 3" xfId="16720" xr:uid="{00000000-0005-0000-0000-0000F3400000}"/>
    <cellStyle name="40% - Accent3 3 2 2 2 3 2 2 4" xfId="16721" xr:uid="{00000000-0005-0000-0000-0000F4400000}"/>
    <cellStyle name="40% - Accent3 3 2 2 2 3 2 3" xfId="16722" xr:uid="{00000000-0005-0000-0000-0000F5400000}"/>
    <cellStyle name="40% - Accent3 3 2 2 2 3 2 3 2" xfId="16723" xr:uid="{00000000-0005-0000-0000-0000F6400000}"/>
    <cellStyle name="40% - Accent3 3 2 2 2 3 2 3 3" xfId="16724" xr:uid="{00000000-0005-0000-0000-0000F7400000}"/>
    <cellStyle name="40% - Accent3 3 2 2 2 3 2 4" xfId="16725" xr:uid="{00000000-0005-0000-0000-0000F8400000}"/>
    <cellStyle name="40% - Accent3 3 2 2 2 3 2 5" xfId="16726" xr:uid="{00000000-0005-0000-0000-0000F9400000}"/>
    <cellStyle name="40% - Accent3 3 2 2 2 3 2 6" xfId="16727" xr:uid="{00000000-0005-0000-0000-0000FA400000}"/>
    <cellStyle name="40% - Accent3 3 2 2 2 3 3" xfId="16728" xr:uid="{00000000-0005-0000-0000-0000FB400000}"/>
    <cellStyle name="40% - Accent3 3 2 2 2 3 3 2" xfId="16729" xr:uid="{00000000-0005-0000-0000-0000FC400000}"/>
    <cellStyle name="40% - Accent3 3 2 2 2 3 3 2 2" xfId="16730" xr:uid="{00000000-0005-0000-0000-0000FD400000}"/>
    <cellStyle name="40% - Accent3 3 2 2 2 3 3 2 3" xfId="16731" xr:uid="{00000000-0005-0000-0000-0000FE400000}"/>
    <cellStyle name="40% - Accent3 3 2 2 2 3 3 3" xfId="16732" xr:uid="{00000000-0005-0000-0000-0000FF400000}"/>
    <cellStyle name="40% - Accent3 3 2 2 2 3 3 4" xfId="16733" xr:uid="{00000000-0005-0000-0000-000000410000}"/>
    <cellStyle name="40% - Accent3 3 2 2 2 3 4" xfId="16734" xr:uid="{00000000-0005-0000-0000-000001410000}"/>
    <cellStyle name="40% - Accent3 3 2 2 2 3 4 2" xfId="16735" xr:uid="{00000000-0005-0000-0000-000002410000}"/>
    <cellStyle name="40% - Accent3 3 2 2 2 3 4 3" xfId="16736" xr:uid="{00000000-0005-0000-0000-000003410000}"/>
    <cellStyle name="40% - Accent3 3 2 2 2 3 5" xfId="16737" xr:uid="{00000000-0005-0000-0000-000004410000}"/>
    <cellStyle name="40% - Accent3 3 2 2 2 3 6" xfId="16738" xr:uid="{00000000-0005-0000-0000-000005410000}"/>
    <cellStyle name="40% - Accent3 3 2 2 2 3 7" xfId="16739" xr:uid="{00000000-0005-0000-0000-000006410000}"/>
    <cellStyle name="40% - Accent3 3 2 2 2 4" xfId="16740" xr:uid="{00000000-0005-0000-0000-000007410000}"/>
    <cellStyle name="40% - Accent3 3 2 2 2 4 2" xfId="16741" xr:uid="{00000000-0005-0000-0000-000008410000}"/>
    <cellStyle name="40% - Accent3 3 2 2 2 4 2 2" xfId="16742" xr:uid="{00000000-0005-0000-0000-000009410000}"/>
    <cellStyle name="40% - Accent3 3 2 2 2 4 2 2 2" xfId="16743" xr:uid="{00000000-0005-0000-0000-00000A410000}"/>
    <cellStyle name="40% - Accent3 3 2 2 2 4 2 2 3" xfId="16744" xr:uid="{00000000-0005-0000-0000-00000B410000}"/>
    <cellStyle name="40% - Accent3 3 2 2 2 4 2 3" xfId="16745" xr:uid="{00000000-0005-0000-0000-00000C410000}"/>
    <cellStyle name="40% - Accent3 3 2 2 2 4 2 4" xfId="16746" xr:uid="{00000000-0005-0000-0000-00000D410000}"/>
    <cellStyle name="40% - Accent3 3 2 2 2 4 3" xfId="16747" xr:uid="{00000000-0005-0000-0000-00000E410000}"/>
    <cellStyle name="40% - Accent3 3 2 2 2 4 3 2" xfId="16748" xr:uid="{00000000-0005-0000-0000-00000F410000}"/>
    <cellStyle name="40% - Accent3 3 2 2 2 4 3 3" xfId="16749" xr:uid="{00000000-0005-0000-0000-000010410000}"/>
    <cellStyle name="40% - Accent3 3 2 2 2 4 4" xfId="16750" xr:uid="{00000000-0005-0000-0000-000011410000}"/>
    <cellStyle name="40% - Accent3 3 2 2 2 4 5" xfId="16751" xr:uid="{00000000-0005-0000-0000-000012410000}"/>
    <cellStyle name="40% - Accent3 3 2 2 2 4 6" xfId="16752" xr:uid="{00000000-0005-0000-0000-000013410000}"/>
    <cellStyle name="40% - Accent3 3 2 2 2 5" xfId="16753" xr:uid="{00000000-0005-0000-0000-000014410000}"/>
    <cellStyle name="40% - Accent3 3 2 2 2 5 2" xfId="16754" xr:uid="{00000000-0005-0000-0000-000015410000}"/>
    <cellStyle name="40% - Accent3 3 2 2 2 5 2 2" xfId="16755" xr:uid="{00000000-0005-0000-0000-000016410000}"/>
    <cellStyle name="40% - Accent3 3 2 2 2 5 2 3" xfId="16756" xr:uid="{00000000-0005-0000-0000-000017410000}"/>
    <cellStyle name="40% - Accent3 3 2 2 2 5 3" xfId="16757" xr:uid="{00000000-0005-0000-0000-000018410000}"/>
    <cellStyle name="40% - Accent3 3 2 2 2 5 4" xfId="16758" xr:uid="{00000000-0005-0000-0000-000019410000}"/>
    <cellStyle name="40% - Accent3 3 2 2 2 6" xfId="16759" xr:uid="{00000000-0005-0000-0000-00001A410000}"/>
    <cellStyle name="40% - Accent3 3 2 2 2 6 2" xfId="16760" xr:uid="{00000000-0005-0000-0000-00001B410000}"/>
    <cellStyle name="40% - Accent3 3 2 2 2 6 3" xfId="16761" xr:uid="{00000000-0005-0000-0000-00001C410000}"/>
    <cellStyle name="40% - Accent3 3 2 2 2 7" xfId="16762" xr:uid="{00000000-0005-0000-0000-00001D410000}"/>
    <cellStyle name="40% - Accent3 3 2 2 2 8" xfId="16763" xr:uid="{00000000-0005-0000-0000-00001E410000}"/>
    <cellStyle name="40% - Accent3 3 2 2 2 9" xfId="16764" xr:uid="{00000000-0005-0000-0000-00001F410000}"/>
    <cellStyle name="40% - Accent3 3 2 2 3" xfId="16765" xr:uid="{00000000-0005-0000-0000-000020410000}"/>
    <cellStyle name="40% - Accent3 3 2 2 3 2" xfId="16766" xr:uid="{00000000-0005-0000-0000-000021410000}"/>
    <cellStyle name="40% - Accent3 3 2 2 3 2 2" xfId="16767" xr:uid="{00000000-0005-0000-0000-000022410000}"/>
    <cellStyle name="40% - Accent3 3 2 2 3 2 2 2" xfId="16768" xr:uid="{00000000-0005-0000-0000-000023410000}"/>
    <cellStyle name="40% - Accent3 3 2 2 3 2 2 2 2" xfId="16769" xr:uid="{00000000-0005-0000-0000-000024410000}"/>
    <cellStyle name="40% - Accent3 3 2 2 3 2 2 2 2 2" xfId="16770" xr:uid="{00000000-0005-0000-0000-000025410000}"/>
    <cellStyle name="40% - Accent3 3 2 2 3 2 2 2 2 3" xfId="16771" xr:uid="{00000000-0005-0000-0000-000026410000}"/>
    <cellStyle name="40% - Accent3 3 2 2 3 2 2 2 3" xfId="16772" xr:uid="{00000000-0005-0000-0000-000027410000}"/>
    <cellStyle name="40% - Accent3 3 2 2 3 2 2 2 4" xfId="16773" xr:uid="{00000000-0005-0000-0000-000028410000}"/>
    <cellStyle name="40% - Accent3 3 2 2 3 2 2 3" xfId="16774" xr:uid="{00000000-0005-0000-0000-000029410000}"/>
    <cellStyle name="40% - Accent3 3 2 2 3 2 2 3 2" xfId="16775" xr:uid="{00000000-0005-0000-0000-00002A410000}"/>
    <cellStyle name="40% - Accent3 3 2 2 3 2 2 3 3" xfId="16776" xr:uid="{00000000-0005-0000-0000-00002B410000}"/>
    <cellStyle name="40% - Accent3 3 2 2 3 2 2 4" xfId="16777" xr:uid="{00000000-0005-0000-0000-00002C410000}"/>
    <cellStyle name="40% - Accent3 3 2 2 3 2 2 5" xfId="16778" xr:uid="{00000000-0005-0000-0000-00002D410000}"/>
    <cellStyle name="40% - Accent3 3 2 2 3 2 2 6" xfId="16779" xr:uid="{00000000-0005-0000-0000-00002E410000}"/>
    <cellStyle name="40% - Accent3 3 2 2 3 2 3" xfId="16780" xr:uid="{00000000-0005-0000-0000-00002F410000}"/>
    <cellStyle name="40% - Accent3 3 2 2 3 2 3 2" xfId="16781" xr:uid="{00000000-0005-0000-0000-000030410000}"/>
    <cellStyle name="40% - Accent3 3 2 2 3 2 3 2 2" xfId="16782" xr:uid="{00000000-0005-0000-0000-000031410000}"/>
    <cellStyle name="40% - Accent3 3 2 2 3 2 3 2 3" xfId="16783" xr:uid="{00000000-0005-0000-0000-000032410000}"/>
    <cellStyle name="40% - Accent3 3 2 2 3 2 3 3" xfId="16784" xr:uid="{00000000-0005-0000-0000-000033410000}"/>
    <cellStyle name="40% - Accent3 3 2 2 3 2 3 4" xfId="16785" xr:uid="{00000000-0005-0000-0000-000034410000}"/>
    <cellStyle name="40% - Accent3 3 2 2 3 2 4" xfId="16786" xr:uid="{00000000-0005-0000-0000-000035410000}"/>
    <cellStyle name="40% - Accent3 3 2 2 3 2 4 2" xfId="16787" xr:uid="{00000000-0005-0000-0000-000036410000}"/>
    <cellStyle name="40% - Accent3 3 2 2 3 2 4 3" xfId="16788" xr:uid="{00000000-0005-0000-0000-000037410000}"/>
    <cellStyle name="40% - Accent3 3 2 2 3 2 5" xfId="16789" xr:uid="{00000000-0005-0000-0000-000038410000}"/>
    <cellStyle name="40% - Accent3 3 2 2 3 2 6" xfId="16790" xr:uid="{00000000-0005-0000-0000-000039410000}"/>
    <cellStyle name="40% - Accent3 3 2 2 3 2 7" xfId="16791" xr:uid="{00000000-0005-0000-0000-00003A410000}"/>
    <cellStyle name="40% - Accent3 3 2 2 3 3" xfId="16792" xr:uid="{00000000-0005-0000-0000-00003B410000}"/>
    <cellStyle name="40% - Accent3 3 2 2 3 3 2" xfId="16793" xr:uid="{00000000-0005-0000-0000-00003C410000}"/>
    <cellStyle name="40% - Accent3 3 2 2 3 3 2 2" xfId="16794" xr:uid="{00000000-0005-0000-0000-00003D410000}"/>
    <cellStyle name="40% - Accent3 3 2 2 3 3 2 2 2" xfId="16795" xr:uid="{00000000-0005-0000-0000-00003E410000}"/>
    <cellStyle name="40% - Accent3 3 2 2 3 3 2 2 3" xfId="16796" xr:uid="{00000000-0005-0000-0000-00003F410000}"/>
    <cellStyle name="40% - Accent3 3 2 2 3 3 2 3" xfId="16797" xr:uid="{00000000-0005-0000-0000-000040410000}"/>
    <cellStyle name="40% - Accent3 3 2 2 3 3 2 4" xfId="16798" xr:uid="{00000000-0005-0000-0000-000041410000}"/>
    <cellStyle name="40% - Accent3 3 2 2 3 3 3" xfId="16799" xr:uid="{00000000-0005-0000-0000-000042410000}"/>
    <cellStyle name="40% - Accent3 3 2 2 3 3 3 2" xfId="16800" xr:uid="{00000000-0005-0000-0000-000043410000}"/>
    <cellStyle name="40% - Accent3 3 2 2 3 3 3 3" xfId="16801" xr:uid="{00000000-0005-0000-0000-000044410000}"/>
    <cellStyle name="40% - Accent3 3 2 2 3 3 4" xfId="16802" xr:uid="{00000000-0005-0000-0000-000045410000}"/>
    <cellStyle name="40% - Accent3 3 2 2 3 3 5" xfId="16803" xr:uid="{00000000-0005-0000-0000-000046410000}"/>
    <cellStyle name="40% - Accent3 3 2 2 3 3 6" xfId="16804" xr:uid="{00000000-0005-0000-0000-000047410000}"/>
    <cellStyle name="40% - Accent3 3 2 2 3 4" xfId="16805" xr:uid="{00000000-0005-0000-0000-000048410000}"/>
    <cellStyle name="40% - Accent3 3 2 2 3 4 2" xfId="16806" xr:uid="{00000000-0005-0000-0000-000049410000}"/>
    <cellStyle name="40% - Accent3 3 2 2 3 4 2 2" xfId="16807" xr:uid="{00000000-0005-0000-0000-00004A410000}"/>
    <cellStyle name="40% - Accent3 3 2 2 3 4 2 3" xfId="16808" xr:uid="{00000000-0005-0000-0000-00004B410000}"/>
    <cellStyle name="40% - Accent3 3 2 2 3 4 3" xfId="16809" xr:uid="{00000000-0005-0000-0000-00004C410000}"/>
    <cellStyle name="40% - Accent3 3 2 2 3 4 4" xfId="16810" xr:uid="{00000000-0005-0000-0000-00004D410000}"/>
    <cellStyle name="40% - Accent3 3 2 2 3 5" xfId="16811" xr:uid="{00000000-0005-0000-0000-00004E410000}"/>
    <cellStyle name="40% - Accent3 3 2 2 3 5 2" xfId="16812" xr:uid="{00000000-0005-0000-0000-00004F410000}"/>
    <cellStyle name="40% - Accent3 3 2 2 3 5 3" xfId="16813" xr:uid="{00000000-0005-0000-0000-000050410000}"/>
    <cellStyle name="40% - Accent3 3 2 2 3 6" xfId="16814" xr:uid="{00000000-0005-0000-0000-000051410000}"/>
    <cellStyle name="40% - Accent3 3 2 2 3 7" xfId="16815" xr:uid="{00000000-0005-0000-0000-000052410000}"/>
    <cellStyle name="40% - Accent3 3 2 2 3 8" xfId="16816" xr:uid="{00000000-0005-0000-0000-000053410000}"/>
    <cellStyle name="40% - Accent3 3 2 2 4" xfId="16817" xr:uid="{00000000-0005-0000-0000-000054410000}"/>
    <cellStyle name="40% - Accent3 3 2 2 4 2" xfId="16818" xr:uid="{00000000-0005-0000-0000-000055410000}"/>
    <cellStyle name="40% - Accent3 3 2 2 4 2 2" xfId="16819" xr:uid="{00000000-0005-0000-0000-000056410000}"/>
    <cellStyle name="40% - Accent3 3 2 2 4 2 2 2" xfId="16820" xr:uid="{00000000-0005-0000-0000-000057410000}"/>
    <cellStyle name="40% - Accent3 3 2 2 4 2 2 2 2" xfId="16821" xr:uid="{00000000-0005-0000-0000-000058410000}"/>
    <cellStyle name="40% - Accent3 3 2 2 4 2 2 2 3" xfId="16822" xr:uid="{00000000-0005-0000-0000-000059410000}"/>
    <cellStyle name="40% - Accent3 3 2 2 4 2 2 3" xfId="16823" xr:uid="{00000000-0005-0000-0000-00005A410000}"/>
    <cellStyle name="40% - Accent3 3 2 2 4 2 2 4" xfId="16824" xr:uid="{00000000-0005-0000-0000-00005B410000}"/>
    <cellStyle name="40% - Accent3 3 2 2 4 2 3" xfId="16825" xr:uid="{00000000-0005-0000-0000-00005C410000}"/>
    <cellStyle name="40% - Accent3 3 2 2 4 2 3 2" xfId="16826" xr:uid="{00000000-0005-0000-0000-00005D410000}"/>
    <cellStyle name="40% - Accent3 3 2 2 4 2 3 3" xfId="16827" xr:uid="{00000000-0005-0000-0000-00005E410000}"/>
    <cellStyle name="40% - Accent3 3 2 2 4 2 4" xfId="16828" xr:uid="{00000000-0005-0000-0000-00005F410000}"/>
    <cellStyle name="40% - Accent3 3 2 2 4 2 5" xfId="16829" xr:uid="{00000000-0005-0000-0000-000060410000}"/>
    <cellStyle name="40% - Accent3 3 2 2 4 2 6" xfId="16830" xr:uid="{00000000-0005-0000-0000-000061410000}"/>
    <cellStyle name="40% - Accent3 3 2 2 4 3" xfId="16831" xr:uid="{00000000-0005-0000-0000-000062410000}"/>
    <cellStyle name="40% - Accent3 3 2 2 4 3 2" xfId="16832" xr:uid="{00000000-0005-0000-0000-000063410000}"/>
    <cellStyle name="40% - Accent3 3 2 2 4 3 2 2" xfId="16833" xr:uid="{00000000-0005-0000-0000-000064410000}"/>
    <cellStyle name="40% - Accent3 3 2 2 4 3 2 3" xfId="16834" xr:uid="{00000000-0005-0000-0000-000065410000}"/>
    <cellStyle name="40% - Accent3 3 2 2 4 3 3" xfId="16835" xr:uid="{00000000-0005-0000-0000-000066410000}"/>
    <cellStyle name="40% - Accent3 3 2 2 4 3 4" xfId="16836" xr:uid="{00000000-0005-0000-0000-000067410000}"/>
    <cellStyle name="40% - Accent3 3 2 2 4 4" xfId="16837" xr:uid="{00000000-0005-0000-0000-000068410000}"/>
    <cellStyle name="40% - Accent3 3 2 2 4 4 2" xfId="16838" xr:uid="{00000000-0005-0000-0000-000069410000}"/>
    <cellStyle name="40% - Accent3 3 2 2 4 4 3" xfId="16839" xr:uid="{00000000-0005-0000-0000-00006A410000}"/>
    <cellStyle name="40% - Accent3 3 2 2 4 5" xfId="16840" xr:uid="{00000000-0005-0000-0000-00006B410000}"/>
    <cellStyle name="40% - Accent3 3 2 2 4 6" xfId="16841" xr:uid="{00000000-0005-0000-0000-00006C410000}"/>
    <cellStyle name="40% - Accent3 3 2 2 4 7" xfId="16842" xr:uid="{00000000-0005-0000-0000-00006D410000}"/>
    <cellStyle name="40% - Accent3 3 2 2 5" xfId="16843" xr:uid="{00000000-0005-0000-0000-00006E410000}"/>
    <cellStyle name="40% - Accent3 3 2 2 5 2" xfId="16844" xr:uid="{00000000-0005-0000-0000-00006F410000}"/>
    <cellStyle name="40% - Accent3 3 2 2 5 2 2" xfId="16845" xr:uid="{00000000-0005-0000-0000-000070410000}"/>
    <cellStyle name="40% - Accent3 3 2 2 5 2 2 2" xfId="16846" xr:uid="{00000000-0005-0000-0000-000071410000}"/>
    <cellStyle name="40% - Accent3 3 2 2 5 2 2 3" xfId="16847" xr:uid="{00000000-0005-0000-0000-000072410000}"/>
    <cellStyle name="40% - Accent3 3 2 2 5 2 3" xfId="16848" xr:uid="{00000000-0005-0000-0000-000073410000}"/>
    <cellStyle name="40% - Accent3 3 2 2 5 2 4" xfId="16849" xr:uid="{00000000-0005-0000-0000-000074410000}"/>
    <cellStyle name="40% - Accent3 3 2 2 5 3" xfId="16850" xr:uid="{00000000-0005-0000-0000-000075410000}"/>
    <cellStyle name="40% - Accent3 3 2 2 5 3 2" xfId="16851" xr:uid="{00000000-0005-0000-0000-000076410000}"/>
    <cellStyle name="40% - Accent3 3 2 2 5 3 3" xfId="16852" xr:uid="{00000000-0005-0000-0000-000077410000}"/>
    <cellStyle name="40% - Accent3 3 2 2 5 4" xfId="16853" xr:uid="{00000000-0005-0000-0000-000078410000}"/>
    <cellStyle name="40% - Accent3 3 2 2 5 5" xfId="16854" xr:uid="{00000000-0005-0000-0000-000079410000}"/>
    <cellStyle name="40% - Accent3 3 2 2 5 6" xfId="16855" xr:uid="{00000000-0005-0000-0000-00007A410000}"/>
    <cellStyle name="40% - Accent3 3 2 2 6" xfId="16856" xr:uid="{00000000-0005-0000-0000-00007B410000}"/>
    <cellStyle name="40% - Accent3 3 2 2 6 2" xfId="16857" xr:uid="{00000000-0005-0000-0000-00007C410000}"/>
    <cellStyle name="40% - Accent3 3 2 2 6 2 2" xfId="16858" xr:uid="{00000000-0005-0000-0000-00007D410000}"/>
    <cellStyle name="40% - Accent3 3 2 2 6 2 3" xfId="16859" xr:uid="{00000000-0005-0000-0000-00007E410000}"/>
    <cellStyle name="40% - Accent3 3 2 2 6 3" xfId="16860" xr:uid="{00000000-0005-0000-0000-00007F410000}"/>
    <cellStyle name="40% - Accent3 3 2 2 6 4" xfId="16861" xr:uid="{00000000-0005-0000-0000-000080410000}"/>
    <cellStyle name="40% - Accent3 3 2 2 7" xfId="16862" xr:uid="{00000000-0005-0000-0000-000081410000}"/>
    <cellStyle name="40% - Accent3 3 2 2 7 2" xfId="16863" xr:uid="{00000000-0005-0000-0000-000082410000}"/>
    <cellStyle name="40% - Accent3 3 2 2 7 3" xfId="16864" xr:uid="{00000000-0005-0000-0000-000083410000}"/>
    <cellStyle name="40% - Accent3 3 2 2 8" xfId="16865" xr:uid="{00000000-0005-0000-0000-000084410000}"/>
    <cellStyle name="40% - Accent3 3 2 2 9" xfId="16866" xr:uid="{00000000-0005-0000-0000-000085410000}"/>
    <cellStyle name="40% - Accent3 3 2 3" xfId="16867" xr:uid="{00000000-0005-0000-0000-000086410000}"/>
    <cellStyle name="40% - Accent3 3 2 3 2" xfId="16868" xr:uid="{00000000-0005-0000-0000-000087410000}"/>
    <cellStyle name="40% - Accent3 3 2 3 2 2" xfId="16869" xr:uid="{00000000-0005-0000-0000-000088410000}"/>
    <cellStyle name="40% - Accent3 3 2 3 2 2 2" xfId="16870" xr:uid="{00000000-0005-0000-0000-000089410000}"/>
    <cellStyle name="40% - Accent3 3 2 3 2 2 2 2" xfId="16871" xr:uid="{00000000-0005-0000-0000-00008A410000}"/>
    <cellStyle name="40% - Accent3 3 2 3 2 2 2 2 2" xfId="16872" xr:uid="{00000000-0005-0000-0000-00008B410000}"/>
    <cellStyle name="40% - Accent3 3 2 3 2 2 2 2 2 2" xfId="16873" xr:uid="{00000000-0005-0000-0000-00008C410000}"/>
    <cellStyle name="40% - Accent3 3 2 3 2 2 2 2 2 3" xfId="16874" xr:uid="{00000000-0005-0000-0000-00008D410000}"/>
    <cellStyle name="40% - Accent3 3 2 3 2 2 2 2 3" xfId="16875" xr:uid="{00000000-0005-0000-0000-00008E410000}"/>
    <cellStyle name="40% - Accent3 3 2 3 2 2 2 2 4" xfId="16876" xr:uid="{00000000-0005-0000-0000-00008F410000}"/>
    <cellStyle name="40% - Accent3 3 2 3 2 2 2 3" xfId="16877" xr:uid="{00000000-0005-0000-0000-000090410000}"/>
    <cellStyle name="40% - Accent3 3 2 3 2 2 2 3 2" xfId="16878" xr:uid="{00000000-0005-0000-0000-000091410000}"/>
    <cellStyle name="40% - Accent3 3 2 3 2 2 2 3 3" xfId="16879" xr:uid="{00000000-0005-0000-0000-000092410000}"/>
    <cellStyle name="40% - Accent3 3 2 3 2 2 2 4" xfId="16880" xr:uid="{00000000-0005-0000-0000-000093410000}"/>
    <cellStyle name="40% - Accent3 3 2 3 2 2 2 5" xfId="16881" xr:uid="{00000000-0005-0000-0000-000094410000}"/>
    <cellStyle name="40% - Accent3 3 2 3 2 2 2 6" xfId="16882" xr:uid="{00000000-0005-0000-0000-000095410000}"/>
    <cellStyle name="40% - Accent3 3 2 3 2 2 3" xfId="16883" xr:uid="{00000000-0005-0000-0000-000096410000}"/>
    <cellStyle name="40% - Accent3 3 2 3 2 2 3 2" xfId="16884" xr:uid="{00000000-0005-0000-0000-000097410000}"/>
    <cellStyle name="40% - Accent3 3 2 3 2 2 3 2 2" xfId="16885" xr:uid="{00000000-0005-0000-0000-000098410000}"/>
    <cellStyle name="40% - Accent3 3 2 3 2 2 3 2 3" xfId="16886" xr:uid="{00000000-0005-0000-0000-000099410000}"/>
    <cellStyle name="40% - Accent3 3 2 3 2 2 3 3" xfId="16887" xr:uid="{00000000-0005-0000-0000-00009A410000}"/>
    <cellStyle name="40% - Accent3 3 2 3 2 2 3 4" xfId="16888" xr:uid="{00000000-0005-0000-0000-00009B410000}"/>
    <cellStyle name="40% - Accent3 3 2 3 2 2 4" xfId="16889" xr:uid="{00000000-0005-0000-0000-00009C410000}"/>
    <cellStyle name="40% - Accent3 3 2 3 2 2 4 2" xfId="16890" xr:uid="{00000000-0005-0000-0000-00009D410000}"/>
    <cellStyle name="40% - Accent3 3 2 3 2 2 4 3" xfId="16891" xr:uid="{00000000-0005-0000-0000-00009E410000}"/>
    <cellStyle name="40% - Accent3 3 2 3 2 2 5" xfId="16892" xr:uid="{00000000-0005-0000-0000-00009F410000}"/>
    <cellStyle name="40% - Accent3 3 2 3 2 2 6" xfId="16893" xr:uid="{00000000-0005-0000-0000-0000A0410000}"/>
    <cellStyle name="40% - Accent3 3 2 3 2 2 7" xfId="16894" xr:uid="{00000000-0005-0000-0000-0000A1410000}"/>
    <cellStyle name="40% - Accent3 3 2 3 2 3" xfId="16895" xr:uid="{00000000-0005-0000-0000-0000A2410000}"/>
    <cellStyle name="40% - Accent3 3 2 3 2 3 2" xfId="16896" xr:uid="{00000000-0005-0000-0000-0000A3410000}"/>
    <cellStyle name="40% - Accent3 3 2 3 2 3 2 2" xfId="16897" xr:uid="{00000000-0005-0000-0000-0000A4410000}"/>
    <cellStyle name="40% - Accent3 3 2 3 2 3 2 2 2" xfId="16898" xr:uid="{00000000-0005-0000-0000-0000A5410000}"/>
    <cellStyle name="40% - Accent3 3 2 3 2 3 2 2 3" xfId="16899" xr:uid="{00000000-0005-0000-0000-0000A6410000}"/>
    <cellStyle name="40% - Accent3 3 2 3 2 3 2 3" xfId="16900" xr:uid="{00000000-0005-0000-0000-0000A7410000}"/>
    <cellStyle name="40% - Accent3 3 2 3 2 3 2 4" xfId="16901" xr:uid="{00000000-0005-0000-0000-0000A8410000}"/>
    <cellStyle name="40% - Accent3 3 2 3 2 3 3" xfId="16902" xr:uid="{00000000-0005-0000-0000-0000A9410000}"/>
    <cellStyle name="40% - Accent3 3 2 3 2 3 3 2" xfId="16903" xr:uid="{00000000-0005-0000-0000-0000AA410000}"/>
    <cellStyle name="40% - Accent3 3 2 3 2 3 3 3" xfId="16904" xr:uid="{00000000-0005-0000-0000-0000AB410000}"/>
    <cellStyle name="40% - Accent3 3 2 3 2 3 4" xfId="16905" xr:uid="{00000000-0005-0000-0000-0000AC410000}"/>
    <cellStyle name="40% - Accent3 3 2 3 2 3 5" xfId="16906" xr:uid="{00000000-0005-0000-0000-0000AD410000}"/>
    <cellStyle name="40% - Accent3 3 2 3 2 3 6" xfId="16907" xr:uid="{00000000-0005-0000-0000-0000AE410000}"/>
    <cellStyle name="40% - Accent3 3 2 3 2 4" xfId="16908" xr:uid="{00000000-0005-0000-0000-0000AF410000}"/>
    <cellStyle name="40% - Accent3 3 2 3 2 4 2" xfId="16909" xr:uid="{00000000-0005-0000-0000-0000B0410000}"/>
    <cellStyle name="40% - Accent3 3 2 3 2 4 2 2" xfId="16910" xr:uid="{00000000-0005-0000-0000-0000B1410000}"/>
    <cellStyle name="40% - Accent3 3 2 3 2 4 2 3" xfId="16911" xr:uid="{00000000-0005-0000-0000-0000B2410000}"/>
    <cellStyle name="40% - Accent3 3 2 3 2 4 3" xfId="16912" xr:uid="{00000000-0005-0000-0000-0000B3410000}"/>
    <cellStyle name="40% - Accent3 3 2 3 2 4 4" xfId="16913" xr:uid="{00000000-0005-0000-0000-0000B4410000}"/>
    <cellStyle name="40% - Accent3 3 2 3 2 5" xfId="16914" xr:uid="{00000000-0005-0000-0000-0000B5410000}"/>
    <cellStyle name="40% - Accent3 3 2 3 2 5 2" xfId="16915" xr:uid="{00000000-0005-0000-0000-0000B6410000}"/>
    <cellStyle name="40% - Accent3 3 2 3 2 5 3" xfId="16916" xr:uid="{00000000-0005-0000-0000-0000B7410000}"/>
    <cellStyle name="40% - Accent3 3 2 3 2 6" xfId="16917" xr:uid="{00000000-0005-0000-0000-0000B8410000}"/>
    <cellStyle name="40% - Accent3 3 2 3 2 7" xfId="16918" xr:uid="{00000000-0005-0000-0000-0000B9410000}"/>
    <cellStyle name="40% - Accent3 3 2 3 2 8" xfId="16919" xr:uid="{00000000-0005-0000-0000-0000BA410000}"/>
    <cellStyle name="40% - Accent3 3 2 3 3" xfId="16920" xr:uid="{00000000-0005-0000-0000-0000BB410000}"/>
    <cellStyle name="40% - Accent3 3 2 3 3 2" xfId="16921" xr:uid="{00000000-0005-0000-0000-0000BC410000}"/>
    <cellStyle name="40% - Accent3 3 2 3 3 2 2" xfId="16922" xr:uid="{00000000-0005-0000-0000-0000BD410000}"/>
    <cellStyle name="40% - Accent3 3 2 3 3 2 2 2" xfId="16923" xr:uid="{00000000-0005-0000-0000-0000BE410000}"/>
    <cellStyle name="40% - Accent3 3 2 3 3 2 2 2 2" xfId="16924" xr:uid="{00000000-0005-0000-0000-0000BF410000}"/>
    <cellStyle name="40% - Accent3 3 2 3 3 2 2 2 3" xfId="16925" xr:uid="{00000000-0005-0000-0000-0000C0410000}"/>
    <cellStyle name="40% - Accent3 3 2 3 3 2 2 3" xfId="16926" xr:uid="{00000000-0005-0000-0000-0000C1410000}"/>
    <cellStyle name="40% - Accent3 3 2 3 3 2 2 4" xfId="16927" xr:uid="{00000000-0005-0000-0000-0000C2410000}"/>
    <cellStyle name="40% - Accent3 3 2 3 3 2 3" xfId="16928" xr:uid="{00000000-0005-0000-0000-0000C3410000}"/>
    <cellStyle name="40% - Accent3 3 2 3 3 2 3 2" xfId="16929" xr:uid="{00000000-0005-0000-0000-0000C4410000}"/>
    <cellStyle name="40% - Accent3 3 2 3 3 2 3 3" xfId="16930" xr:uid="{00000000-0005-0000-0000-0000C5410000}"/>
    <cellStyle name="40% - Accent3 3 2 3 3 2 4" xfId="16931" xr:uid="{00000000-0005-0000-0000-0000C6410000}"/>
    <cellStyle name="40% - Accent3 3 2 3 3 2 5" xfId="16932" xr:uid="{00000000-0005-0000-0000-0000C7410000}"/>
    <cellStyle name="40% - Accent3 3 2 3 3 2 6" xfId="16933" xr:uid="{00000000-0005-0000-0000-0000C8410000}"/>
    <cellStyle name="40% - Accent3 3 2 3 3 3" xfId="16934" xr:uid="{00000000-0005-0000-0000-0000C9410000}"/>
    <cellStyle name="40% - Accent3 3 2 3 3 3 2" xfId="16935" xr:uid="{00000000-0005-0000-0000-0000CA410000}"/>
    <cellStyle name="40% - Accent3 3 2 3 3 3 2 2" xfId="16936" xr:uid="{00000000-0005-0000-0000-0000CB410000}"/>
    <cellStyle name="40% - Accent3 3 2 3 3 3 2 3" xfId="16937" xr:uid="{00000000-0005-0000-0000-0000CC410000}"/>
    <cellStyle name="40% - Accent3 3 2 3 3 3 3" xfId="16938" xr:uid="{00000000-0005-0000-0000-0000CD410000}"/>
    <cellStyle name="40% - Accent3 3 2 3 3 3 4" xfId="16939" xr:uid="{00000000-0005-0000-0000-0000CE410000}"/>
    <cellStyle name="40% - Accent3 3 2 3 3 4" xfId="16940" xr:uid="{00000000-0005-0000-0000-0000CF410000}"/>
    <cellStyle name="40% - Accent3 3 2 3 3 4 2" xfId="16941" xr:uid="{00000000-0005-0000-0000-0000D0410000}"/>
    <cellStyle name="40% - Accent3 3 2 3 3 4 3" xfId="16942" xr:uid="{00000000-0005-0000-0000-0000D1410000}"/>
    <cellStyle name="40% - Accent3 3 2 3 3 5" xfId="16943" xr:uid="{00000000-0005-0000-0000-0000D2410000}"/>
    <cellStyle name="40% - Accent3 3 2 3 3 6" xfId="16944" xr:uid="{00000000-0005-0000-0000-0000D3410000}"/>
    <cellStyle name="40% - Accent3 3 2 3 3 7" xfId="16945" xr:uid="{00000000-0005-0000-0000-0000D4410000}"/>
    <cellStyle name="40% - Accent3 3 2 3 4" xfId="16946" xr:uid="{00000000-0005-0000-0000-0000D5410000}"/>
    <cellStyle name="40% - Accent3 3 2 3 4 2" xfId="16947" xr:uid="{00000000-0005-0000-0000-0000D6410000}"/>
    <cellStyle name="40% - Accent3 3 2 3 4 2 2" xfId="16948" xr:uid="{00000000-0005-0000-0000-0000D7410000}"/>
    <cellStyle name="40% - Accent3 3 2 3 4 2 2 2" xfId="16949" xr:uid="{00000000-0005-0000-0000-0000D8410000}"/>
    <cellStyle name="40% - Accent3 3 2 3 4 2 2 3" xfId="16950" xr:uid="{00000000-0005-0000-0000-0000D9410000}"/>
    <cellStyle name="40% - Accent3 3 2 3 4 2 3" xfId="16951" xr:uid="{00000000-0005-0000-0000-0000DA410000}"/>
    <cellStyle name="40% - Accent3 3 2 3 4 2 4" xfId="16952" xr:uid="{00000000-0005-0000-0000-0000DB410000}"/>
    <cellStyle name="40% - Accent3 3 2 3 4 3" xfId="16953" xr:uid="{00000000-0005-0000-0000-0000DC410000}"/>
    <cellStyle name="40% - Accent3 3 2 3 4 3 2" xfId="16954" xr:uid="{00000000-0005-0000-0000-0000DD410000}"/>
    <cellStyle name="40% - Accent3 3 2 3 4 3 3" xfId="16955" xr:uid="{00000000-0005-0000-0000-0000DE410000}"/>
    <cellStyle name="40% - Accent3 3 2 3 4 4" xfId="16956" xr:uid="{00000000-0005-0000-0000-0000DF410000}"/>
    <cellStyle name="40% - Accent3 3 2 3 4 5" xfId="16957" xr:uid="{00000000-0005-0000-0000-0000E0410000}"/>
    <cellStyle name="40% - Accent3 3 2 3 4 6" xfId="16958" xr:uid="{00000000-0005-0000-0000-0000E1410000}"/>
    <cellStyle name="40% - Accent3 3 2 3 5" xfId="16959" xr:uid="{00000000-0005-0000-0000-0000E2410000}"/>
    <cellStyle name="40% - Accent3 3 2 3 5 2" xfId="16960" xr:uid="{00000000-0005-0000-0000-0000E3410000}"/>
    <cellStyle name="40% - Accent3 3 2 3 5 2 2" xfId="16961" xr:uid="{00000000-0005-0000-0000-0000E4410000}"/>
    <cellStyle name="40% - Accent3 3 2 3 5 2 3" xfId="16962" xr:uid="{00000000-0005-0000-0000-0000E5410000}"/>
    <cellStyle name="40% - Accent3 3 2 3 5 3" xfId="16963" xr:uid="{00000000-0005-0000-0000-0000E6410000}"/>
    <cellStyle name="40% - Accent3 3 2 3 5 4" xfId="16964" xr:uid="{00000000-0005-0000-0000-0000E7410000}"/>
    <cellStyle name="40% - Accent3 3 2 3 6" xfId="16965" xr:uid="{00000000-0005-0000-0000-0000E8410000}"/>
    <cellStyle name="40% - Accent3 3 2 3 6 2" xfId="16966" xr:uid="{00000000-0005-0000-0000-0000E9410000}"/>
    <cellStyle name="40% - Accent3 3 2 3 6 3" xfId="16967" xr:uid="{00000000-0005-0000-0000-0000EA410000}"/>
    <cellStyle name="40% - Accent3 3 2 3 7" xfId="16968" xr:uid="{00000000-0005-0000-0000-0000EB410000}"/>
    <cellStyle name="40% - Accent3 3 2 3 8" xfId="16969" xr:uid="{00000000-0005-0000-0000-0000EC410000}"/>
    <cellStyle name="40% - Accent3 3 2 3 9" xfId="16970" xr:uid="{00000000-0005-0000-0000-0000ED410000}"/>
    <cellStyle name="40% - Accent3 3 2 4" xfId="16971" xr:uid="{00000000-0005-0000-0000-0000EE410000}"/>
    <cellStyle name="40% - Accent3 3 2 4 2" xfId="16972" xr:uid="{00000000-0005-0000-0000-0000EF410000}"/>
    <cellStyle name="40% - Accent3 3 2 4 2 2" xfId="16973" xr:uid="{00000000-0005-0000-0000-0000F0410000}"/>
    <cellStyle name="40% - Accent3 3 2 4 2 2 2" xfId="16974" xr:uid="{00000000-0005-0000-0000-0000F1410000}"/>
    <cellStyle name="40% - Accent3 3 2 4 2 2 2 2" xfId="16975" xr:uid="{00000000-0005-0000-0000-0000F2410000}"/>
    <cellStyle name="40% - Accent3 3 2 4 2 2 2 2 2" xfId="16976" xr:uid="{00000000-0005-0000-0000-0000F3410000}"/>
    <cellStyle name="40% - Accent3 3 2 4 2 2 2 2 3" xfId="16977" xr:uid="{00000000-0005-0000-0000-0000F4410000}"/>
    <cellStyle name="40% - Accent3 3 2 4 2 2 2 3" xfId="16978" xr:uid="{00000000-0005-0000-0000-0000F5410000}"/>
    <cellStyle name="40% - Accent3 3 2 4 2 2 2 4" xfId="16979" xr:uid="{00000000-0005-0000-0000-0000F6410000}"/>
    <cellStyle name="40% - Accent3 3 2 4 2 2 3" xfId="16980" xr:uid="{00000000-0005-0000-0000-0000F7410000}"/>
    <cellStyle name="40% - Accent3 3 2 4 2 2 3 2" xfId="16981" xr:uid="{00000000-0005-0000-0000-0000F8410000}"/>
    <cellStyle name="40% - Accent3 3 2 4 2 2 3 3" xfId="16982" xr:uid="{00000000-0005-0000-0000-0000F9410000}"/>
    <cellStyle name="40% - Accent3 3 2 4 2 2 4" xfId="16983" xr:uid="{00000000-0005-0000-0000-0000FA410000}"/>
    <cellStyle name="40% - Accent3 3 2 4 2 2 5" xfId="16984" xr:uid="{00000000-0005-0000-0000-0000FB410000}"/>
    <cellStyle name="40% - Accent3 3 2 4 2 2 6" xfId="16985" xr:uid="{00000000-0005-0000-0000-0000FC410000}"/>
    <cellStyle name="40% - Accent3 3 2 4 2 3" xfId="16986" xr:uid="{00000000-0005-0000-0000-0000FD410000}"/>
    <cellStyle name="40% - Accent3 3 2 4 2 3 2" xfId="16987" xr:uid="{00000000-0005-0000-0000-0000FE410000}"/>
    <cellStyle name="40% - Accent3 3 2 4 2 3 2 2" xfId="16988" xr:uid="{00000000-0005-0000-0000-0000FF410000}"/>
    <cellStyle name="40% - Accent3 3 2 4 2 3 2 3" xfId="16989" xr:uid="{00000000-0005-0000-0000-000000420000}"/>
    <cellStyle name="40% - Accent3 3 2 4 2 3 3" xfId="16990" xr:uid="{00000000-0005-0000-0000-000001420000}"/>
    <cellStyle name="40% - Accent3 3 2 4 2 3 4" xfId="16991" xr:uid="{00000000-0005-0000-0000-000002420000}"/>
    <cellStyle name="40% - Accent3 3 2 4 2 4" xfId="16992" xr:uid="{00000000-0005-0000-0000-000003420000}"/>
    <cellStyle name="40% - Accent3 3 2 4 2 4 2" xfId="16993" xr:uid="{00000000-0005-0000-0000-000004420000}"/>
    <cellStyle name="40% - Accent3 3 2 4 2 4 3" xfId="16994" xr:uid="{00000000-0005-0000-0000-000005420000}"/>
    <cellStyle name="40% - Accent3 3 2 4 2 5" xfId="16995" xr:uid="{00000000-0005-0000-0000-000006420000}"/>
    <cellStyle name="40% - Accent3 3 2 4 2 6" xfId="16996" xr:uid="{00000000-0005-0000-0000-000007420000}"/>
    <cellStyle name="40% - Accent3 3 2 4 2 7" xfId="16997" xr:uid="{00000000-0005-0000-0000-000008420000}"/>
    <cellStyle name="40% - Accent3 3 2 4 3" xfId="16998" xr:uid="{00000000-0005-0000-0000-000009420000}"/>
    <cellStyle name="40% - Accent3 3 2 4 3 2" xfId="16999" xr:uid="{00000000-0005-0000-0000-00000A420000}"/>
    <cellStyle name="40% - Accent3 3 2 4 3 2 2" xfId="17000" xr:uid="{00000000-0005-0000-0000-00000B420000}"/>
    <cellStyle name="40% - Accent3 3 2 4 3 2 2 2" xfId="17001" xr:uid="{00000000-0005-0000-0000-00000C420000}"/>
    <cellStyle name="40% - Accent3 3 2 4 3 2 2 3" xfId="17002" xr:uid="{00000000-0005-0000-0000-00000D420000}"/>
    <cellStyle name="40% - Accent3 3 2 4 3 2 3" xfId="17003" xr:uid="{00000000-0005-0000-0000-00000E420000}"/>
    <cellStyle name="40% - Accent3 3 2 4 3 2 4" xfId="17004" xr:uid="{00000000-0005-0000-0000-00000F420000}"/>
    <cellStyle name="40% - Accent3 3 2 4 3 3" xfId="17005" xr:uid="{00000000-0005-0000-0000-000010420000}"/>
    <cellStyle name="40% - Accent3 3 2 4 3 3 2" xfId="17006" xr:uid="{00000000-0005-0000-0000-000011420000}"/>
    <cellStyle name="40% - Accent3 3 2 4 3 3 3" xfId="17007" xr:uid="{00000000-0005-0000-0000-000012420000}"/>
    <cellStyle name="40% - Accent3 3 2 4 3 4" xfId="17008" xr:uid="{00000000-0005-0000-0000-000013420000}"/>
    <cellStyle name="40% - Accent3 3 2 4 3 5" xfId="17009" xr:uid="{00000000-0005-0000-0000-000014420000}"/>
    <cellStyle name="40% - Accent3 3 2 4 3 6" xfId="17010" xr:uid="{00000000-0005-0000-0000-000015420000}"/>
    <cellStyle name="40% - Accent3 3 2 4 4" xfId="17011" xr:uid="{00000000-0005-0000-0000-000016420000}"/>
    <cellStyle name="40% - Accent3 3 2 4 4 2" xfId="17012" xr:uid="{00000000-0005-0000-0000-000017420000}"/>
    <cellStyle name="40% - Accent3 3 2 4 4 2 2" xfId="17013" xr:uid="{00000000-0005-0000-0000-000018420000}"/>
    <cellStyle name="40% - Accent3 3 2 4 4 2 3" xfId="17014" xr:uid="{00000000-0005-0000-0000-000019420000}"/>
    <cellStyle name="40% - Accent3 3 2 4 4 3" xfId="17015" xr:uid="{00000000-0005-0000-0000-00001A420000}"/>
    <cellStyle name="40% - Accent3 3 2 4 4 4" xfId="17016" xr:uid="{00000000-0005-0000-0000-00001B420000}"/>
    <cellStyle name="40% - Accent3 3 2 4 5" xfId="17017" xr:uid="{00000000-0005-0000-0000-00001C420000}"/>
    <cellStyle name="40% - Accent3 3 2 4 5 2" xfId="17018" xr:uid="{00000000-0005-0000-0000-00001D420000}"/>
    <cellStyle name="40% - Accent3 3 2 4 5 3" xfId="17019" xr:uid="{00000000-0005-0000-0000-00001E420000}"/>
    <cellStyle name="40% - Accent3 3 2 4 6" xfId="17020" xr:uid="{00000000-0005-0000-0000-00001F420000}"/>
    <cellStyle name="40% - Accent3 3 2 4 7" xfId="17021" xr:uid="{00000000-0005-0000-0000-000020420000}"/>
    <cellStyle name="40% - Accent3 3 2 4 8" xfId="17022" xr:uid="{00000000-0005-0000-0000-000021420000}"/>
    <cellStyle name="40% - Accent3 3 2 5" xfId="17023" xr:uid="{00000000-0005-0000-0000-000022420000}"/>
    <cellStyle name="40% - Accent3 3 2 5 2" xfId="17024" xr:uid="{00000000-0005-0000-0000-000023420000}"/>
    <cellStyle name="40% - Accent3 3 2 5 2 2" xfId="17025" xr:uid="{00000000-0005-0000-0000-000024420000}"/>
    <cellStyle name="40% - Accent3 3 2 5 2 2 2" xfId="17026" xr:uid="{00000000-0005-0000-0000-000025420000}"/>
    <cellStyle name="40% - Accent3 3 2 5 2 2 2 2" xfId="17027" xr:uid="{00000000-0005-0000-0000-000026420000}"/>
    <cellStyle name="40% - Accent3 3 2 5 2 2 2 3" xfId="17028" xr:uid="{00000000-0005-0000-0000-000027420000}"/>
    <cellStyle name="40% - Accent3 3 2 5 2 2 3" xfId="17029" xr:uid="{00000000-0005-0000-0000-000028420000}"/>
    <cellStyle name="40% - Accent3 3 2 5 2 2 4" xfId="17030" xr:uid="{00000000-0005-0000-0000-000029420000}"/>
    <cellStyle name="40% - Accent3 3 2 5 2 3" xfId="17031" xr:uid="{00000000-0005-0000-0000-00002A420000}"/>
    <cellStyle name="40% - Accent3 3 2 5 2 3 2" xfId="17032" xr:uid="{00000000-0005-0000-0000-00002B420000}"/>
    <cellStyle name="40% - Accent3 3 2 5 2 3 3" xfId="17033" xr:uid="{00000000-0005-0000-0000-00002C420000}"/>
    <cellStyle name="40% - Accent3 3 2 5 2 4" xfId="17034" xr:uid="{00000000-0005-0000-0000-00002D420000}"/>
    <cellStyle name="40% - Accent3 3 2 5 2 5" xfId="17035" xr:uid="{00000000-0005-0000-0000-00002E420000}"/>
    <cellStyle name="40% - Accent3 3 2 5 2 6" xfId="17036" xr:uid="{00000000-0005-0000-0000-00002F420000}"/>
    <cellStyle name="40% - Accent3 3 2 5 3" xfId="17037" xr:uid="{00000000-0005-0000-0000-000030420000}"/>
    <cellStyle name="40% - Accent3 3 2 5 3 2" xfId="17038" xr:uid="{00000000-0005-0000-0000-000031420000}"/>
    <cellStyle name="40% - Accent3 3 2 5 3 2 2" xfId="17039" xr:uid="{00000000-0005-0000-0000-000032420000}"/>
    <cellStyle name="40% - Accent3 3 2 5 3 2 3" xfId="17040" xr:uid="{00000000-0005-0000-0000-000033420000}"/>
    <cellStyle name="40% - Accent3 3 2 5 3 3" xfId="17041" xr:uid="{00000000-0005-0000-0000-000034420000}"/>
    <cellStyle name="40% - Accent3 3 2 5 3 4" xfId="17042" xr:uid="{00000000-0005-0000-0000-000035420000}"/>
    <cellStyle name="40% - Accent3 3 2 5 4" xfId="17043" xr:uid="{00000000-0005-0000-0000-000036420000}"/>
    <cellStyle name="40% - Accent3 3 2 5 4 2" xfId="17044" xr:uid="{00000000-0005-0000-0000-000037420000}"/>
    <cellStyle name="40% - Accent3 3 2 5 4 3" xfId="17045" xr:uid="{00000000-0005-0000-0000-000038420000}"/>
    <cellStyle name="40% - Accent3 3 2 5 5" xfId="17046" xr:uid="{00000000-0005-0000-0000-000039420000}"/>
    <cellStyle name="40% - Accent3 3 2 5 6" xfId="17047" xr:uid="{00000000-0005-0000-0000-00003A420000}"/>
    <cellStyle name="40% - Accent3 3 2 5 7" xfId="17048" xr:uid="{00000000-0005-0000-0000-00003B420000}"/>
    <cellStyle name="40% - Accent3 3 2 6" xfId="17049" xr:uid="{00000000-0005-0000-0000-00003C420000}"/>
    <cellStyle name="40% - Accent3 3 2 6 2" xfId="17050" xr:uid="{00000000-0005-0000-0000-00003D420000}"/>
    <cellStyle name="40% - Accent3 3 2 6 2 2" xfId="17051" xr:uid="{00000000-0005-0000-0000-00003E420000}"/>
    <cellStyle name="40% - Accent3 3 2 6 2 2 2" xfId="17052" xr:uid="{00000000-0005-0000-0000-00003F420000}"/>
    <cellStyle name="40% - Accent3 3 2 6 2 2 3" xfId="17053" xr:uid="{00000000-0005-0000-0000-000040420000}"/>
    <cellStyle name="40% - Accent3 3 2 6 2 3" xfId="17054" xr:uid="{00000000-0005-0000-0000-000041420000}"/>
    <cellStyle name="40% - Accent3 3 2 6 2 4" xfId="17055" xr:uid="{00000000-0005-0000-0000-000042420000}"/>
    <cellStyle name="40% - Accent3 3 2 6 3" xfId="17056" xr:uid="{00000000-0005-0000-0000-000043420000}"/>
    <cellStyle name="40% - Accent3 3 2 6 3 2" xfId="17057" xr:uid="{00000000-0005-0000-0000-000044420000}"/>
    <cellStyle name="40% - Accent3 3 2 6 3 3" xfId="17058" xr:uid="{00000000-0005-0000-0000-000045420000}"/>
    <cellStyle name="40% - Accent3 3 2 6 4" xfId="17059" xr:uid="{00000000-0005-0000-0000-000046420000}"/>
    <cellStyle name="40% - Accent3 3 2 6 5" xfId="17060" xr:uid="{00000000-0005-0000-0000-000047420000}"/>
    <cellStyle name="40% - Accent3 3 2 6 6" xfId="17061" xr:uid="{00000000-0005-0000-0000-000048420000}"/>
    <cellStyle name="40% - Accent3 3 2 7" xfId="17062" xr:uid="{00000000-0005-0000-0000-000049420000}"/>
    <cellStyle name="40% - Accent3 3 2 7 2" xfId="17063" xr:uid="{00000000-0005-0000-0000-00004A420000}"/>
    <cellStyle name="40% - Accent3 3 2 7 2 2" xfId="17064" xr:uid="{00000000-0005-0000-0000-00004B420000}"/>
    <cellStyle name="40% - Accent3 3 2 7 2 3" xfId="17065" xr:uid="{00000000-0005-0000-0000-00004C420000}"/>
    <cellStyle name="40% - Accent3 3 2 7 3" xfId="17066" xr:uid="{00000000-0005-0000-0000-00004D420000}"/>
    <cellStyle name="40% - Accent3 3 2 7 4" xfId="17067" xr:uid="{00000000-0005-0000-0000-00004E420000}"/>
    <cellStyle name="40% - Accent3 3 2 8" xfId="17068" xr:uid="{00000000-0005-0000-0000-00004F420000}"/>
    <cellStyle name="40% - Accent3 3 2 8 2" xfId="17069" xr:uid="{00000000-0005-0000-0000-000050420000}"/>
    <cellStyle name="40% - Accent3 3 2 8 3" xfId="17070" xr:uid="{00000000-0005-0000-0000-000051420000}"/>
    <cellStyle name="40% - Accent3 3 2 9" xfId="17071" xr:uid="{00000000-0005-0000-0000-000052420000}"/>
    <cellStyle name="40% - Accent3 3 3" xfId="17072" xr:uid="{00000000-0005-0000-0000-000053420000}"/>
    <cellStyle name="40% - Accent3 3 3 10" xfId="17073" xr:uid="{00000000-0005-0000-0000-000054420000}"/>
    <cellStyle name="40% - Accent3 3 3 2" xfId="17074" xr:uid="{00000000-0005-0000-0000-000055420000}"/>
    <cellStyle name="40% - Accent3 3 3 2 2" xfId="17075" xr:uid="{00000000-0005-0000-0000-000056420000}"/>
    <cellStyle name="40% - Accent3 3 3 2 2 2" xfId="17076" xr:uid="{00000000-0005-0000-0000-000057420000}"/>
    <cellStyle name="40% - Accent3 3 3 2 2 2 2" xfId="17077" xr:uid="{00000000-0005-0000-0000-000058420000}"/>
    <cellStyle name="40% - Accent3 3 3 2 2 2 2 2" xfId="17078" xr:uid="{00000000-0005-0000-0000-000059420000}"/>
    <cellStyle name="40% - Accent3 3 3 2 2 2 2 2 2" xfId="17079" xr:uid="{00000000-0005-0000-0000-00005A420000}"/>
    <cellStyle name="40% - Accent3 3 3 2 2 2 2 2 2 2" xfId="17080" xr:uid="{00000000-0005-0000-0000-00005B420000}"/>
    <cellStyle name="40% - Accent3 3 3 2 2 2 2 2 2 3" xfId="17081" xr:uid="{00000000-0005-0000-0000-00005C420000}"/>
    <cellStyle name="40% - Accent3 3 3 2 2 2 2 2 3" xfId="17082" xr:uid="{00000000-0005-0000-0000-00005D420000}"/>
    <cellStyle name="40% - Accent3 3 3 2 2 2 2 2 4" xfId="17083" xr:uid="{00000000-0005-0000-0000-00005E420000}"/>
    <cellStyle name="40% - Accent3 3 3 2 2 2 2 3" xfId="17084" xr:uid="{00000000-0005-0000-0000-00005F420000}"/>
    <cellStyle name="40% - Accent3 3 3 2 2 2 2 3 2" xfId="17085" xr:uid="{00000000-0005-0000-0000-000060420000}"/>
    <cellStyle name="40% - Accent3 3 3 2 2 2 2 3 3" xfId="17086" xr:uid="{00000000-0005-0000-0000-000061420000}"/>
    <cellStyle name="40% - Accent3 3 3 2 2 2 2 4" xfId="17087" xr:uid="{00000000-0005-0000-0000-000062420000}"/>
    <cellStyle name="40% - Accent3 3 3 2 2 2 2 5" xfId="17088" xr:uid="{00000000-0005-0000-0000-000063420000}"/>
    <cellStyle name="40% - Accent3 3 3 2 2 2 2 6" xfId="17089" xr:uid="{00000000-0005-0000-0000-000064420000}"/>
    <cellStyle name="40% - Accent3 3 3 2 2 2 3" xfId="17090" xr:uid="{00000000-0005-0000-0000-000065420000}"/>
    <cellStyle name="40% - Accent3 3 3 2 2 2 3 2" xfId="17091" xr:uid="{00000000-0005-0000-0000-000066420000}"/>
    <cellStyle name="40% - Accent3 3 3 2 2 2 3 2 2" xfId="17092" xr:uid="{00000000-0005-0000-0000-000067420000}"/>
    <cellStyle name="40% - Accent3 3 3 2 2 2 3 2 3" xfId="17093" xr:uid="{00000000-0005-0000-0000-000068420000}"/>
    <cellStyle name="40% - Accent3 3 3 2 2 2 3 3" xfId="17094" xr:uid="{00000000-0005-0000-0000-000069420000}"/>
    <cellStyle name="40% - Accent3 3 3 2 2 2 3 4" xfId="17095" xr:uid="{00000000-0005-0000-0000-00006A420000}"/>
    <cellStyle name="40% - Accent3 3 3 2 2 2 4" xfId="17096" xr:uid="{00000000-0005-0000-0000-00006B420000}"/>
    <cellStyle name="40% - Accent3 3 3 2 2 2 4 2" xfId="17097" xr:uid="{00000000-0005-0000-0000-00006C420000}"/>
    <cellStyle name="40% - Accent3 3 3 2 2 2 4 3" xfId="17098" xr:uid="{00000000-0005-0000-0000-00006D420000}"/>
    <cellStyle name="40% - Accent3 3 3 2 2 2 5" xfId="17099" xr:uid="{00000000-0005-0000-0000-00006E420000}"/>
    <cellStyle name="40% - Accent3 3 3 2 2 2 6" xfId="17100" xr:uid="{00000000-0005-0000-0000-00006F420000}"/>
    <cellStyle name="40% - Accent3 3 3 2 2 2 7" xfId="17101" xr:uid="{00000000-0005-0000-0000-000070420000}"/>
    <cellStyle name="40% - Accent3 3 3 2 2 3" xfId="17102" xr:uid="{00000000-0005-0000-0000-000071420000}"/>
    <cellStyle name="40% - Accent3 3 3 2 2 3 2" xfId="17103" xr:uid="{00000000-0005-0000-0000-000072420000}"/>
    <cellStyle name="40% - Accent3 3 3 2 2 3 2 2" xfId="17104" xr:uid="{00000000-0005-0000-0000-000073420000}"/>
    <cellStyle name="40% - Accent3 3 3 2 2 3 2 2 2" xfId="17105" xr:uid="{00000000-0005-0000-0000-000074420000}"/>
    <cellStyle name="40% - Accent3 3 3 2 2 3 2 2 3" xfId="17106" xr:uid="{00000000-0005-0000-0000-000075420000}"/>
    <cellStyle name="40% - Accent3 3 3 2 2 3 2 3" xfId="17107" xr:uid="{00000000-0005-0000-0000-000076420000}"/>
    <cellStyle name="40% - Accent3 3 3 2 2 3 2 4" xfId="17108" xr:uid="{00000000-0005-0000-0000-000077420000}"/>
    <cellStyle name="40% - Accent3 3 3 2 2 3 3" xfId="17109" xr:uid="{00000000-0005-0000-0000-000078420000}"/>
    <cellStyle name="40% - Accent3 3 3 2 2 3 3 2" xfId="17110" xr:uid="{00000000-0005-0000-0000-000079420000}"/>
    <cellStyle name="40% - Accent3 3 3 2 2 3 3 3" xfId="17111" xr:uid="{00000000-0005-0000-0000-00007A420000}"/>
    <cellStyle name="40% - Accent3 3 3 2 2 3 4" xfId="17112" xr:uid="{00000000-0005-0000-0000-00007B420000}"/>
    <cellStyle name="40% - Accent3 3 3 2 2 3 5" xfId="17113" xr:uid="{00000000-0005-0000-0000-00007C420000}"/>
    <cellStyle name="40% - Accent3 3 3 2 2 3 6" xfId="17114" xr:uid="{00000000-0005-0000-0000-00007D420000}"/>
    <cellStyle name="40% - Accent3 3 3 2 2 4" xfId="17115" xr:uid="{00000000-0005-0000-0000-00007E420000}"/>
    <cellStyle name="40% - Accent3 3 3 2 2 4 2" xfId="17116" xr:uid="{00000000-0005-0000-0000-00007F420000}"/>
    <cellStyle name="40% - Accent3 3 3 2 2 4 2 2" xfId="17117" xr:uid="{00000000-0005-0000-0000-000080420000}"/>
    <cellStyle name="40% - Accent3 3 3 2 2 4 2 3" xfId="17118" xr:uid="{00000000-0005-0000-0000-000081420000}"/>
    <cellStyle name="40% - Accent3 3 3 2 2 4 3" xfId="17119" xr:uid="{00000000-0005-0000-0000-000082420000}"/>
    <cellStyle name="40% - Accent3 3 3 2 2 4 4" xfId="17120" xr:uid="{00000000-0005-0000-0000-000083420000}"/>
    <cellStyle name="40% - Accent3 3 3 2 2 5" xfId="17121" xr:uid="{00000000-0005-0000-0000-000084420000}"/>
    <cellStyle name="40% - Accent3 3 3 2 2 5 2" xfId="17122" xr:uid="{00000000-0005-0000-0000-000085420000}"/>
    <cellStyle name="40% - Accent3 3 3 2 2 5 3" xfId="17123" xr:uid="{00000000-0005-0000-0000-000086420000}"/>
    <cellStyle name="40% - Accent3 3 3 2 2 6" xfId="17124" xr:uid="{00000000-0005-0000-0000-000087420000}"/>
    <cellStyle name="40% - Accent3 3 3 2 2 7" xfId="17125" xr:uid="{00000000-0005-0000-0000-000088420000}"/>
    <cellStyle name="40% - Accent3 3 3 2 2 8" xfId="17126" xr:uid="{00000000-0005-0000-0000-000089420000}"/>
    <cellStyle name="40% - Accent3 3 3 2 3" xfId="17127" xr:uid="{00000000-0005-0000-0000-00008A420000}"/>
    <cellStyle name="40% - Accent3 3 3 2 3 2" xfId="17128" xr:uid="{00000000-0005-0000-0000-00008B420000}"/>
    <cellStyle name="40% - Accent3 3 3 2 3 2 2" xfId="17129" xr:uid="{00000000-0005-0000-0000-00008C420000}"/>
    <cellStyle name="40% - Accent3 3 3 2 3 2 2 2" xfId="17130" xr:uid="{00000000-0005-0000-0000-00008D420000}"/>
    <cellStyle name="40% - Accent3 3 3 2 3 2 2 2 2" xfId="17131" xr:uid="{00000000-0005-0000-0000-00008E420000}"/>
    <cellStyle name="40% - Accent3 3 3 2 3 2 2 2 3" xfId="17132" xr:uid="{00000000-0005-0000-0000-00008F420000}"/>
    <cellStyle name="40% - Accent3 3 3 2 3 2 2 3" xfId="17133" xr:uid="{00000000-0005-0000-0000-000090420000}"/>
    <cellStyle name="40% - Accent3 3 3 2 3 2 2 4" xfId="17134" xr:uid="{00000000-0005-0000-0000-000091420000}"/>
    <cellStyle name="40% - Accent3 3 3 2 3 2 3" xfId="17135" xr:uid="{00000000-0005-0000-0000-000092420000}"/>
    <cellStyle name="40% - Accent3 3 3 2 3 2 3 2" xfId="17136" xr:uid="{00000000-0005-0000-0000-000093420000}"/>
    <cellStyle name="40% - Accent3 3 3 2 3 2 3 3" xfId="17137" xr:uid="{00000000-0005-0000-0000-000094420000}"/>
    <cellStyle name="40% - Accent3 3 3 2 3 2 4" xfId="17138" xr:uid="{00000000-0005-0000-0000-000095420000}"/>
    <cellStyle name="40% - Accent3 3 3 2 3 2 5" xfId="17139" xr:uid="{00000000-0005-0000-0000-000096420000}"/>
    <cellStyle name="40% - Accent3 3 3 2 3 2 6" xfId="17140" xr:uid="{00000000-0005-0000-0000-000097420000}"/>
    <cellStyle name="40% - Accent3 3 3 2 3 3" xfId="17141" xr:uid="{00000000-0005-0000-0000-000098420000}"/>
    <cellStyle name="40% - Accent3 3 3 2 3 3 2" xfId="17142" xr:uid="{00000000-0005-0000-0000-000099420000}"/>
    <cellStyle name="40% - Accent3 3 3 2 3 3 2 2" xfId="17143" xr:uid="{00000000-0005-0000-0000-00009A420000}"/>
    <cellStyle name="40% - Accent3 3 3 2 3 3 2 3" xfId="17144" xr:uid="{00000000-0005-0000-0000-00009B420000}"/>
    <cellStyle name="40% - Accent3 3 3 2 3 3 3" xfId="17145" xr:uid="{00000000-0005-0000-0000-00009C420000}"/>
    <cellStyle name="40% - Accent3 3 3 2 3 3 4" xfId="17146" xr:uid="{00000000-0005-0000-0000-00009D420000}"/>
    <cellStyle name="40% - Accent3 3 3 2 3 4" xfId="17147" xr:uid="{00000000-0005-0000-0000-00009E420000}"/>
    <cellStyle name="40% - Accent3 3 3 2 3 4 2" xfId="17148" xr:uid="{00000000-0005-0000-0000-00009F420000}"/>
    <cellStyle name="40% - Accent3 3 3 2 3 4 3" xfId="17149" xr:uid="{00000000-0005-0000-0000-0000A0420000}"/>
    <cellStyle name="40% - Accent3 3 3 2 3 5" xfId="17150" xr:uid="{00000000-0005-0000-0000-0000A1420000}"/>
    <cellStyle name="40% - Accent3 3 3 2 3 6" xfId="17151" xr:uid="{00000000-0005-0000-0000-0000A2420000}"/>
    <cellStyle name="40% - Accent3 3 3 2 3 7" xfId="17152" xr:uid="{00000000-0005-0000-0000-0000A3420000}"/>
    <cellStyle name="40% - Accent3 3 3 2 4" xfId="17153" xr:uid="{00000000-0005-0000-0000-0000A4420000}"/>
    <cellStyle name="40% - Accent3 3 3 2 4 2" xfId="17154" xr:uid="{00000000-0005-0000-0000-0000A5420000}"/>
    <cellStyle name="40% - Accent3 3 3 2 4 2 2" xfId="17155" xr:uid="{00000000-0005-0000-0000-0000A6420000}"/>
    <cellStyle name="40% - Accent3 3 3 2 4 2 2 2" xfId="17156" xr:uid="{00000000-0005-0000-0000-0000A7420000}"/>
    <cellStyle name="40% - Accent3 3 3 2 4 2 2 3" xfId="17157" xr:uid="{00000000-0005-0000-0000-0000A8420000}"/>
    <cellStyle name="40% - Accent3 3 3 2 4 2 3" xfId="17158" xr:uid="{00000000-0005-0000-0000-0000A9420000}"/>
    <cellStyle name="40% - Accent3 3 3 2 4 2 4" xfId="17159" xr:uid="{00000000-0005-0000-0000-0000AA420000}"/>
    <cellStyle name="40% - Accent3 3 3 2 4 3" xfId="17160" xr:uid="{00000000-0005-0000-0000-0000AB420000}"/>
    <cellStyle name="40% - Accent3 3 3 2 4 3 2" xfId="17161" xr:uid="{00000000-0005-0000-0000-0000AC420000}"/>
    <cellStyle name="40% - Accent3 3 3 2 4 3 3" xfId="17162" xr:uid="{00000000-0005-0000-0000-0000AD420000}"/>
    <cellStyle name="40% - Accent3 3 3 2 4 4" xfId="17163" xr:uid="{00000000-0005-0000-0000-0000AE420000}"/>
    <cellStyle name="40% - Accent3 3 3 2 4 5" xfId="17164" xr:uid="{00000000-0005-0000-0000-0000AF420000}"/>
    <cellStyle name="40% - Accent3 3 3 2 4 6" xfId="17165" xr:uid="{00000000-0005-0000-0000-0000B0420000}"/>
    <cellStyle name="40% - Accent3 3 3 2 5" xfId="17166" xr:uid="{00000000-0005-0000-0000-0000B1420000}"/>
    <cellStyle name="40% - Accent3 3 3 2 5 2" xfId="17167" xr:uid="{00000000-0005-0000-0000-0000B2420000}"/>
    <cellStyle name="40% - Accent3 3 3 2 5 2 2" xfId="17168" xr:uid="{00000000-0005-0000-0000-0000B3420000}"/>
    <cellStyle name="40% - Accent3 3 3 2 5 2 3" xfId="17169" xr:uid="{00000000-0005-0000-0000-0000B4420000}"/>
    <cellStyle name="40% - Accent3 3 3 2 5 3" xfId="17170" xr:uid="{00000000-0005-0000-0000-0000B5420000}"/>
    <cellStyle name="40% - Accent3 3 3 2 5 4" xfId="17171" xr:uid="{00000000-0005-0000-0000-0000B6420000}"/>
    <cellStyle name="40% - Accent3 3 3 2 6" xfId="17172" xr:uid="{00000000-0005-0000-0000-0000B7420000}"/>
    <cellStyle name="40% - Accent3 3 3 2 6 2" xfId="17173" xr:uid="{00000000-0005-0000-0000-0000B8420000}"/>
    <cellStyle name="40% - Accent3 3 3 2 6 3" xfId="17174" xr:uid="{00000000-0005-0000-0000-0000B9420000}"/>
    <cellStyle name="40% - Accent3 3 3 2 7" xfId="17175" xr:uid="{00000000-0005-0000-0000-0000BA420000}"/>
    <cellStyle name="40% - Accent3 3 3 2 8" xfId="17176" xr:uid="{00000000-0005-0000-0000-0000BB420000}"/>
    <cellStyle name="40% - Accent3 3 3 2 9" xfId="17177" xr:uid="{00000000-0005-0000-0000-0000BC420000}"/>
    <cellStyle name="40% - Accent3 3 3 3" xfId="17178" xr:uid="{00000000-0005-0000-0000-0000BD420000}"/>
    <cellStyle name="40% - Accent3 3 3 3 2" xfId="17179" xr:uid="{00000000-0005-0000-0000-0000BE420000}"/>
    <cellStyle name="40% - Accent3 3 3 3 2 2" xfId="17180" xr:uid="{00000000-0005-0000-0000-0000BF420000}"/>
    <cellStyle name="40% - Accent3 3 3 3 2 2 2" xfId="17181" xr:uid="{00000000-0005-0000-0000-0000C0420000}"/>
    <cellStyle name="40% - Accent3 3 3 3 2 2 2 2" xfId="17182" xr:uid="{00000000-0005-0000-0000-0000C1420000}"/>
    <cellStyle name="40% - Accent3 3 3 3 2 2 2 2 2" xfId="17183" xr:uid="{00000000-0005-0000-0000-0000C2420000}"/>
    <cellStyle name="40% - Accent3 3 3 3 2 2 2 2 3" xfId="17184" xr:uid="{00000000-0005-0000-0000-0000C3420000}"/>
    <cellStyle name="40% - Accent3 3 3 3 2 2 2 3" xfId="17185" xr:uid="{00000000-0005-0000-0000-0000C4420000}"/>
    <cellStyle name="40% - Accent3 3 3 3 2 2 2 4" xfId="17186" xr:uid="{00000000-0005-0000-0000-0000C5420000}"/>
    <cellStyle name="40% - Accent3 3 3 3 2 2 3" xfId="17187" xr:uid="{00000000-0005-0000-0000-0000C6420000}"/>
    <cellStyle name="40% - Accent3 3 3 3 2 2 3 2" xfId="17188" xr:uid="{00000000-0005-0000-0000-0000C7420000}"/>
    <cellStyle name="40% - Accent3 3 3 3 2 2 3 3" xfId="17189" xr:uid="{00000000-0005-0000-0000-0000C8420000}"/>
    <cellStyle name="40% - Accent3 3 3 3 2 2 4" xfId="17190" xr:uid="{00000000-0005-0000-0000-0000C9420000}"/>
    <cellStyle name="40% - Accent3 3 3 3 2 2 5" xfId="17191" xr:uid="{00000000-0005-0000-0000-0000CA420000}"/>
    <cellStyle name="40% - Accent3 3 3 3 2 2 6" xfId="17192" xr:uid="{00000000-0005-0000-0000-0000CB420000}"/>
    <cellStyle name="40% - Accent3 3 3 3 2 3" xfId="17193" xr:uid="{00000000-0005-0000-0000-0000CC420000}"/>
    <cellStyle name="40% - Accent3 3 3 3 2 3 2" xfId="17194" xr:uid="{00000000-0005-0000-0000-0000CD420000}"/>
    <cellStyle name="40% - Accent3 3 3 3 2 3 2 2" xfId="17195" xr:uid="{00000000-0005-0000-0000-0000CE420000}"/>
    <cellStyle name="40% - Accent3 3 3 3 2 3 2 3" xfId="17196" xr:uid="{00000000-0005-0000-0000-0000CF420000}"/>
    <cellStyle name="40% - Accent3 3 3 3 2 3 3" xfId="17197" xr:uid="{00000000-0005-0000-0000-0000D0420000}"/>
    <cellStyle name="40% - Accent3 3 3 3 2 3 4" xfId="17198" xr:uid="{00000000-0005-0000-0000-0000D1420000}"/>
    <cellStyle name="40% - Accent3 3 3 3 2 4" xfId="17199" xr:uid="{00000000-0005-0000-0000-0000D2420000}"/>
    <cellStyle name="40% - Accent3 3 3 3 2 4 2" xfId="17200" xr:uid="{00000000-0005-0000-0000-0000D3420000}"/>
    <cellStyle name="40% - Accent3 3 3 3 2 4 3" xfId="17201" xr:uid="{00000000-0005-0000-0000-0000D4420000}"/>
    <cellStyle name="40% - Accent3 3 3 3 2 5" xfId="17202" xr:uid="{00000000-0005-0000-0000-0000D5420000}"/>
    <cellStyle name="40% - Accent3 3 3 3 2 6" xfId="17203" xr:uid="{00000000-0005-0000-0000-0000D6420000}"/>
    <cellStyle name="40% - Accent3 3 3 3 2 7" xfId="17204" xr:uid="{00000000-0005-0000-0000-0000D7420000}"/>
    <cellStyle name="40% - Accent3 3 3 3 3" xfId="17205" xr:uid="{00000000-0005-0000-0000-0000D8420000}"/>
    <cellStyle name="40% - Accent3 3 3 3 3 2" xfId="17206" xr:uid="{00000000-0005-0000-0000-0000D9420000}"/>
    <cellStyle name="40% - Accent3 3 3 3 3 2 2" xfId="17207" xr:uid="{00000000-0005-0000-0000-0000DA420000}"/>
    <cellStyle name="40% - Accent3 3 3 3 3 2 2 2" xfId="17208" xr:uid="{00000000-0005-0000-0000-0000DB420000}"/>
    <cellStyle name="40% - Accent3 3 3 3 3 2 2 3" xfId="17209" xr:uid="{00000000-0005-0000-0000-0000DC420000}"/>
    <cellStyle name="40% - Accent3 3 3 3 3 2 3" xfId="17210" xr:uid="{00000000-0005-0000-0000-0000DD420000}"/>
    <cellStyle name="40% - Accent3 3 3 3 3 2 4" xfId="17211" xr:uid="{00000000-0005-0000-0000-0000DE420000}"/>
    <cellStyle name="40% - Accent3 3 3 3 3 3" xfId="17212" xr:uid="{00000000-0005-0000-0000-0000DF420000}"/>
    <cellStyle name="40% - Accent3 3 3 3 3 3 2" xfId="17213" xr:uid="{00000000-0005-0000-0000-0000E0420000}"/>
    <cellStyle name="40% - Accent3 3 3 3 3 3 3" xfId="17214" xr:uid="{00000000-0005-0000-0000-0000E1420000}"/>
    <cellStyle name="40% - Accent3 3 3 3 3 4" xfId="17215" xr:uid="{00000000-0005-0000-0000-0000E2420000}"/>
    <cellStyle name="40% - Accent3 3 3 3 3 5" xfId="17216" xr:uid="{00000000-0005-0000-0000-0000E3420000}"/>
    <cellStyle name="40% - Accent3 3 3 3 3 6" xfId="17217" xr:uid="{00000000-0005-0000-0000-0000E4420000}"/>
    <cellStyle name="40% - Accent3 3 3 3 4" xfId="17218" xr:uid="{00000000-0005-0000-0000-0000E5420000}"/>
    <cellStyle name="40% - Accent3 3 3 3 4 2" xfId="17219" xr:uid="{00000000-0005-0000-0000-0000E6420000}"/>
    <cellStyle name="40% - Accent3 3 3 3 4 2 2" xfId="17220" xr:uid="{00000000-0005-0000-0000-0000E7420000}"/>
    <cellStyle name="40% - Accent3 3 3 3 4 2 3" xfId="17221" xr:uid="{00000000-0005-0000-0000-0000E8420000}"/>
    <cellStyle name="40% - Accent3 3 3 3 4 3" xfId="17222" xr:uid="{00000000-0005-0000-0000-0000E9420000}"/>
    <cellStyle name="40% - Accent3 3 3 3 4 4" xfId="17223" xr:uid="{00000000-0005-0000-0000-0000EA420000}"/>
    <cellStyle name="40% - Accent3 3 3 3 5" xfId="17224" xr:uid="{00000000-0005-0000-0000-0000EB420000}"/>
    <cellStyle name="40% - Accent3 3 3 3 5 2" xfId="17225" xr:uid="{00000000-0005-0000-0000-0000EC420000}"/>
    <cellStyle name="40% - Accent3 3 3 3 5 3" xfId="17226" xr:uid="{00000000-0005-0000-0000-0000ED420000}"/>
    <cellStyle name="40% - Accent3 3 3 3 6" xfId="17227" xr:uid="{00000000-0005-0000-0000-0000EE420000}"/>
    <cellStyle name="40% - Accent3 3 3 3 7" xfId="17228" xr:uid="{00000000-0005-0000-0000-0000EF420000}"/>
    <cellStyle name="40% - Accent3 3 3 3 8" xfId="17229" xr:uid="{00000000-0005-0000-0000-0000F0420000}"/>
    <cellStyle name="40% - Accent3 3 3 4" xfId="17230" xr:uid="{00000000-0005-0000-0000-0000F1420000}"/>
    <cellStyle name="40% - Accent3 3 3 4 2" xfId="17231" xr:uid="{00000000-0005-0000-0000-0000F2420000}"/>
    <cellStyle name="40% - Accent3 3 3 4 2 2" xfId="17232" xr:uid="{00000000-0005-0000-0000-0000F3420000}"/>
    <cellStyle name="40% - Accent3 3 3 4 2 2 2" xfId="17233" xr:uid="{00000000-0005-0000-0000-0000F4420000}"/>
    <cellStyle name="40% - Accent3 3 3 4 2 2 2 2" xfId="17234" xr:uid="{00000000-0005-0000-0000-0000F5420000}"/>
    <cellStyle name="40% - Accent3 3 3 4 2 2 2 3" xfId="17235" xr:uid="{00000000-0005-0000-0000-0000F6420000}"/>
    <cellStyle name="40% - Accent3 3 3 4 2 2 3" xfId="17236" xr:uid="{00000000-0005-0000-0000-0000F7420000}"/>
    <cellStyle name="40% - Accent3 3 3 4 2 2 4" xfId="17237" xr:uid="{00000000-0005-0000-0000-0000F8420000}"/>
    <cellStyle name="40% - Accent3 3 3 4 2 3" xfId="17238" xr:uid="{00000000-0005-0000-0000-0000F9420000}"/>
    <cellStyle name="40% - Accent3 3 3 4 2 3 2" xfId="17239" xr:uid="{00000000-0005-0000-0000-0000FA420000}"/>
    <cellStyle name="40% - Accent3 3 3 4 2 3 3" xfId="17240" xr:uid="{00000000-0005-0000-0000-0000FB420000}"/>
    <cellStyle name="40% - Accent3 3 3 4 2 4" xfId="17241" xr:uid="{00000000-0005-0000-0000-0000FC420000}"/>
    <cellStyle name="40% - Accent3 3 3 4 2 5" xfId="17242" xr:uid="{00000000-0005-0000-0000-0000FD420000}"/>
    <cellStyle name="40% - Accent3 3 3 4 2 6" xfId="17243" xr:uid="{00000000-0005-0000-0000-0000FE420000}"/>
    <cellStyle name="40% - Accent3 3 3 4 3" xfId="17244" xr:uid="{00000000-0005-0000-0000-0000FF420000}"/>
    <cellStyle name="40% - Accent3 3 3 4 3 2" xfId="17245" xr:uid="{00000000-0005-0000-0000-000000430000}"/>
    <cellStyle name="40% - Accent3 3 3 4 3 2 2" xfId="17246" xr:uid="{00000000-0005-0000-0000-000001430000}"/>
    <cellStyle name="40% - Accent3 3 3 4 3 2 3" xfId="17247" xr:uid="{00000000-0005-0000-0000-000002430000}"/>
    <cellStyle name="40% - Accent3 3 3 4 3 3" xfId="17248" xr:uid="{00000000-0005-0000-0000-000003430000}"/>
    <cellStyle name="40% - Accent3 3 3 4 3 4" xfId="17249" xr:uid="{00000000-0005-0000-0000-000004430000}"/>
    <cellStyle name="40% - Accent3 3 3 4 4" xfId="17250" xr:uid="{00000000-0005-0000-0000-000005430000}"/>
    <cellStyle name="40% - Accent3 3 3 4 4 2" xfId="17251" xr:uid="{00000000-0005-0000-0000-000006430000}"/>
    <cellStyle name="40% - Accent3 3 3 4 4 3" xfId="17252" xr:uid="{00000000-0005-0000-0000-000007430000}"/>
    <cellStyle name="40% - Accent3 3 3 4 5" xfId="17253" xr:uid="{00000000-0005-0000-0000-000008430000}"/>
    <cellStyle name="40% - Accent3 3 3 4 6" xfId="17254" xr:uid="{00000000-0005-0000-0000-000009430000}"/>
    <cellStyle name="40% - Accent3 3 3 4 7" xfId="17255" xr:uid="{00000000-0005-0000-0000-00000A430000}"/>
    <cellStyle name="40% - Accent3 3 3 5" xfId="17256" xr:uid="{00000000-0005-0000-0000-00000B430000}"/>
    <cellStyle name="40% - Accent3 3 3 5 2" xfId="17257" xr:uid="{00000000-0005-0000-0000-00000C430000}"/>
    <cellStyle name="40% - Accent3 3 3 5 2 2" xfId="17258" xr:uid="{00000000-0005-0000-0000-00000D430000}"/>
    <cellStyle name="40% - Accent3 3 3 5 2 2 2" xfId="17259" xr:uid="{00000000-0005-0000-0000-00000E430000}"/>
    <cellStyle name="40% - Accent3 3 3 5 2 2 3" xfId="17260" xr:uid="{00000000-0005-0000-0000-00000F430000}"/>
    <cellStyle name="40% - Accent3 3 3 5 2 3" xfId="17261" xr:uid="{00000000-0005-0000-0000-000010430000}"/>
    <cellStyle name="40% - Accent3 3 3 5 2 4" xfId="17262" xr:uid="{00000000-0005-0000-0000-000011430000}"/>
    <cellStyle name="40% - Accent3 3 3 5 3" xfId="17263" xr:uid="{00000000-0005-0000-0000-000012430000}"/>
    <cellStyle name="40% - Accent3 3 3 5 3 2" xfId="17264" xr:uid="{00000000-0005-0000-0000-000013430000}"/>
    <cellStyle name="40% - Accent3 3 3 5 3 3" xfId="17265" xr:uid="{00000000-0005-0000-0000-000014430000}"/>
    <cellStyle name="40% - Accent3 3 3 5 4" xfId="17266" xr:uid="{00000000-0005-0000-0000-000015430000}"/>
    <cellStyle name="40% - Accent3 3 3 5 5" xfId="17267" xr:uid="{00000000-0005-0000-0000-000016430000}"/>
    <cellStyle name="40% - Accent3 3 3 5 6" xfId="17268" xr:uid="{00000000-0005-0000-0000-000017430000}"/>
    <cellStyle name="40% - Accent3 3 3 6" xfId="17269" xr:uid="{00000000-0005-0000-0000-000018430000}"/>
    <cellStyle name="40% - Accent3 3 3 6 2" xfId="17270" xr:uid="{00000000-0005-0000-0000-000019430000}"/>
    <cellStyle name="40% - Accent3 3 3 6 2 2" xfId="17271" xr:uid="{00000000-0005-0000-0000-00001A430000}"/>
    <cellStyle name="40% - Accent3 3 3 6 2 3" xfId="17272" xr:uid="{00000000-0005-0000-0000-00001B430000}"/>
    <cellStyle name="40% - Accent3 3 3 6 3" xfId="17273" xr:uid="{00000000-0005-0000-0000-00001C430000}"/>
    <cellStyle name="40% - Accent3 3 3 6 4" xfId="17274" xr:uid="{00000000-0005-0000-0000-00001D430000}"/>
    <cellStyle name="40% - Accent3 3 3 7" xfId="17275" xr:uid="{00000000-0005-0000-0000-00001E430000}"/>
    <cellStyle name="40% - Accent3 3 3 7 2" xfId="17276" xr:uid="{00000000-0005-0000-0000-00001F430000}"/>
    <cellStyle name="40% - Accent3 3 3 7 3" xfId="17277" xr:uid="{00000000-0005-0000-0000-000020430000}"/>
    <cellStyle name="40% - Accent3 3 3 8" xfId="17278" xr:uid="{00000000-0005-0000-0000-000021430000}"/>
    <cellStyle name="40% - Accent3 3 3 9" xfId="17279" xr:uid="{00000000-0005-0000-0000-000022430000}"/>
    <cellStyle name="40% - Accent3 3 4" xfId="17280" xr:uid="{00000000-0005-0000-0000-000023430000}"/>
    <cellStyle name="40% - Accent3 3 4 2" xfId="17281" xr:uid="{00000000-0005-0000-0000-000024430000}"/>
    <cellStyle name="40% - Accent3 3 4 2 2" xfId="17282" xr:uid="{00000000-0005-0000-0000-000025430000}"/>
    <cellStyle name="40% - Accent3 3 4 2 2 2" xfId="17283" xr:uid="{00000000-0005-0000-0000-000026430000}"/>
    <cellStyle name="40% - Accent3 3 4 2 2 2 2" xfId="17284" xr:uid="{00000000-0005-0000-0000-000027430000}"/>
    <cellStyle name="40% - Accent3 3 4 2 2 2 2 2" xfId="17285" xr:uid="{00000000-0005-0000-0000-000028430000}"/>
    <cellStyle name="40% - Accent3 3 4 2 2 2 2 2 2" xfId="17286" xr:uid="{00000000-0005-0000-0000-000029430000}"/>
    <cellStyle name="40% - Accent3 3 4 2 2 2 2 2 3" xfId="17287" xr:uid="{00000000-0005-0000-0000-00002A430000}"/>
    <cellStyle name="40% - Accent3 3 4 2 2 2 2 3" xfId="17288" xr:uid="{00000000-0005-0000-0000-00002B430000}"/>
    <cellStyle name="40% - Accent3 3 4 2 2 2 2 4" xfId="17289" xr:uid="{00000000-0005-0000-0000-00002C430000}"/>
    <cellStyle name="40% - Accent3 3 4 2 2 2 3" xfId="17290" xr:uid="{00000000-0005-0000-0000-00002D430000}"/>
    <cellStyle name="40% - Accent3 3 4 2 2 2 3 2" xfId="17291" xr:uid="{00000000-0005-0000-0000-00002E430000}"/>
    <cellStyle name="40% - Accent3 3 4 2 2 2 3 3" xfId="17292" xr:uid="{00000000-0005-0000-0000-00002F430000}"/>
    <cellStyle name="40% - Accent3 3 4 2 2 2 4" xfId="17293" xr:uid="{00000000-0005-0000-0000-000030430000}"/>
    <cellStyle name="40% - Accent3 3 4 2 2 2 5" xfId="17294" xr:uid="{00000000-0005-0000-0000-000031430000}"/>
    <cellStyle name="40% - Accent3 3 4 2 2 2 6" xfId="17295" xr:uid="{00000000-0005-0000-0000-000032430000}"/>
    <cellStyle name="40% - Accent3 3 4 2 2 3" xfId="17296" xr:uid="{00000000-0005-0000-0000-000033430000}"/>
    <cellStyle name="40% - Accent3 3 4 2 2 3 2" xfId="17297" xr:uid="{00000000-0005-0000-0000-000034430000}"/>
    <cellStyle name="40% - Accent3 3 4 2 2 3 2 2" xfId="17298" xr:uid="{00000000-0005-0000-0000-000035430000}"/>
    <cellStyle name="40% - Accent3 3 4 2 2 3 2 3" xfId="17299" xr:uid="{00000000-0005-0000-0000-000036430000}"/>
    <cellStyle name="40% - Accent3 3 4 2 2 3 3" xfId="17300" xr:uid="{00000000-0005-0000-0000-000037430000}"/>
    <cellStyle name="40% - Accent3 3 4 2 2 3 4" xfId="17301" xr:uid="{00000000-0005-0000-0000-000038430000}"/>
    <cellStyle name="40% - Accent3 3 4 2 2 4" xfId="17302" xr:uid="{00000000-0005-0000-0000-000039430000}"/>
    <cellStyle name="40% - Accent3 3 4 2 2 4 2" xfId="17303" xr:uid="{00000000-0005-0000-0000-00003A430000}"/>
    <cellStyle name="40% - Accent3 3 4 2 2 4 3" xfId="17304" xr:uid="{00000000-0005-0000-0000-00003B430000}"/>
    <cellStyle name="40% - Accent3 3 4 2 2 5" xfId="17305" xr:uid="{00000000-0005-0000-0000-00003C430000}"/>
    <cellStyle name="40% - Accent3 3 4 2 2 6" xfId="17306" xr:uid="{00000000-0005-0000-0000-00003D430000}"/>
    <cellStyle name="40% - Accent3 3 4 2 2 7" xfId="17307" xr:uid="{00000000-0005-0000-0000-00003E430000}"/>
    <cellStyle name="40% - Accent3 3 4 2 3" xfId="17308" xr:uid="{00000000-0005-0000-0000-00003F430000}"/>
    <cellStyle name="40% - Accent3 3 4 2 3 2" xfId="17309" xr:uid="{00000000-0005-0000-0000-000040430000}"/>
    <cellStyle name="40% - Accent3 3 4 2 3 2 2" xfId="17310" xr:uid="{00000000-0005-0000-0000-000041430000}"/>
    <cellStyle name="40% - Accent3 3 4 2 3 2 2 2" xfId="17311" xr:uid="{00000000-0005-0000-0000-000042430000}"/>
    <cellStyle name="40% - Accent3 3 4 2 3 2 2 3" xfId="17312" xr:uid="{00000000-0005-0000-0000-000043430000}"/>
    <cellStyle name="40% - Accent3 3 4 2 3 2 3" xfId="17313" xr:uid="{00000000-0005-0000-0000-000044430000}"/>
    <cellStyle name="40% - Accent3 3 4 2 3 2 4" xfId="17314" xr:uid="{00000000-0005-0000-0000-000045430000}"/>
    <cellStyle name="40% - Accent3 3 4 2 3 3" xfId="17315" xr:uid="{00000000-0005-0000-0000-000046430000}"/>
    <cellStyle name="40% - Accent3 3 4 2 3 3 2" xfId="17316" xr:uid="{00000000-0005-0000-0000-000047430000}"/>
    <cellStyle name="40% - Accent3 3 4 2 3 3 3" xfId="17317" xr:uid="{00000000-0005-0000-0000-000048430000}"/>
    <cellStyle name="40% - Accent3 3 4 2 3 4" xfId="17318" xr:uid="{00000000-0005-0000-0000-000049430000}"/>
    <cellStyle name="40% - Accent3 3 4 2 3 5" xfId="17319" xr:uid="{00000000-0005-0000-0000-00004A430000}"/>
    <cellStyle name="40% - Accent3 3 4 2 3 6" xfId="17320" xr:uid="{00000000-0005-0000-0000-00004B430000}"/>
    <cellStyle name="40% - Accent3 3 4 2 4" xfId="17321" xr:uid="{00000000-0005-0000-0000-00004C430000}"/>
    <cellStyle name="40% - Accent3 3 4 2 4 2" xfId="17322" xr:uid="{00000000-0005-0000-0000-00004D430000}"/>
    <cellStyle name="40% - Accent3 3 4 2 4 2 2" xfId="17323" xr:uid="{00000000-0005-0000-0000-00004E430000}"/>
    <cellStyle name="40% - Accent3 3 4 2 4 2 3" xfId="17324" xr:uid="{00000000-0005-0000-0000-00004F430000}"/>
    <cellStyle name="40% - Accent3 3 4 2 4 3" xfId="17325" xr:uid="{00000000-0005-0000-0000-000050430000}"/>
    <cellStyle name="40% - Accent3 3 4 2 4 4" xfId="17326" xr:uid="{00000000-0005-0000-0000-000051430000}"/>
    <cellStyle name="40% - Accent3 3 4 2 5" xfId="17327" xr:uid="{00000000-0005-0000-0000-000052430000}"/>
    <cellStyle name="40% - Accent3 3 4 2 5 2" xfId="17328" xr:uid="{00000000-0005-0000-0000-000053430000}"/>
    <cellStyle name="40% - Accent3 3 4 2 5 3" xfId="17329" xr:uid="{00000000-0005-0000-0000-000054430000}"/>
    <cellStyle name="40% - Accent3 3 4 2 6" xfId="17330" xr:uid="{00000000-0005-0000-0000-000055430000}"/>
    <cellStyle name="40% - Accent3 3 4 2 7" xfId="17331" xr:uid="{00000000-0005-0000-0000-000056430000}"/>
    <cellStyle name="40% - Accent3 3 4 2 8" xfId="17332" xr:uid="{00000000-0005-0000-0000-000057430000}"/>
    <cellStyle name="40% - Accent3 3 4 3" xfId="17333" xr:uid="{00000000-0005-0000-0000-000058430000}"/>
    <cellStyle name="40% - Accent3 3 4 3 2" xfId="17334" xr:uid="{00000000-0005-0000-0000-000059430000}"/>
    <cellStyle name="40% - Accent3 3 4 3 2 2" xfId="17335" xr:uid="{00000000-0005-0000-0000-00005A430000}"/>
    <cellStyle name="40% - Accent3 3 4 3 2 2 2" xfId="17336" xr:uid="{00000000-0005-0000-0000-00005B430000}"/>
    <cellStyle name="40% - Accent3 3 4 3 2 2 2 2" xfId="17337" xr:uid="{00000000-0005-0000-0000-00005C430000}"/>
    <cellStyle name="40% - Accent3 3 4 3 2 2 2 3" xfId="17338" xr:uid="{00000000-0005-0000-0000-00005D430000}"/>
    <cellStyle name="40% - Accent3 3 4 3 2 2 3" xfId="17339" xr:uid="{00000000-0005-0000-0000-00005E430000}"/>
    <cellStyle name="40% - Accent3 3 4 3 2 2 4" xfId="17340" xr:uid="{00000000-0005-0000-0000-00005F430000}"/>
    <cellStyle name="40% - Accent3 3 4 3 2 3" xfId="17341" xr:uid="{00000000-0005-0000-0000-000060430000}"/>
    <cellStyle name="40% - Accent3 3 4 3 2 3 2" xfId="17342" xr:uid="{00000000-0005-0000-0000-000061430000}"/>
    <cellStyle name="40% - Accent3 3 4 3 2 3 3" xfId="17343" xr:uid="{00000000-0005-0000-0000-000062430000}"/>
    <cellStyle name="40% - Accent3 3 4 3 2 4" xfId="17344" xr:uid="{00000000-0005-0000-0000-000063430000}"/>
    <cellStyle name="40% - Accent3 3 4 3 2 5" xfId="17345" xr:uid="{00000000-0005-0000-0000-000064430000}"/>
    <cellStyle name="40% - Accent3 3 4 3 2 6" xfId="17346" xr:uid="{00000000-0005-0000-0000-000065430000}"/>
    <cellStyle name="40% - Accent3 3 4 3 3" xfId="17347" xr:uid="{00000000-0005-0000-0000-000066430000}"/>
    <cellStyle name="40% - Accent3 3 4 3 3 2" xfId="17348" xr:uid="{00000000-0005-0000-0000-000067430000}"/>
    <cellStyle name="40% - Accent3 3 4 3 3 2 2" xfId="17349" xr:uid="{00000000-0005-0000-0000-000068430000}"/>
    <cellStyle name="40% - Accent3 3 4 3 3 2 3" xfId="17350" xr:uid="{00000000-0005-0000-0000-000069430000}"/>
    <cellStyle name="40% - Accent3 3 4 3 3 3" xfId="17351" xr:uid="{00000000-0005-0000-0000-00006A430000}"/>
    <cellStyle name="40% - Accent3 3 4 3 3 4" xfId="17352" xr:uid="{00000000-0005-0000-0000-00006B430000}"/>
    <cellStyle name="40% - Accent3 3 4 3 4" xfId="17353" xr:uid="{00000000-0005-0000-0000-00006C430000}"/>
    <cellStyle name="40% - Accent3 3 4 3 4 2" xfId="17354" xr:uid="{00000000-0005-0000-0000-00006D430000}"/>
    <cellStyle name="40% - Accent3 3 4 3 4 3" xfId="17355" xr:uid="{00000000-0005-0000-0000-00006E430000}"/>
    <cellStyle name="40% - Accent3 3 4 3 5" xfId="17356" xr:uid="{00000000-0005-0000-0000-00006F430000}"/>
    <cellStyle name="40% - Accent3 3 4 3 6" xfId="17357" xr:uid="{00000000-0005-0000-0000-000070430000}"/>
    <cellStyle name="40% - Accent3 3 4 3 7" xfId="17358" xr:uid="{00000000-0005-0000-0000-000071430000}"/>
    <cellStyle name="40% - Accent3 3 4 4" xfId="17359" xr:uid="{00000000-0005-0000-0000-000072430000}"/>
    <cellStyle name="40% - Accent3 3 4 4 2" xfId="17360" xr:uid="{00000000-0005-0000-0000-000073430000}"/>
    <cellStyle name="40% - Accent3 3 4 4 2 2" xfId="17361" xr:uid="{00000000-0005-0000-0000-000074430000}"/>
    <cellStyle name="40% - Accent3 3 4 4 2 2 2" xfId="17362" xr:uid="{00000000-0005-0000-0000-000075430000}"/>
    <cellStyle name="40% - Accent3 3 4 4 2 2 3" xfId="17363" xr:uid="{00000000-0005-0000-0000-000076430000}"/>
    <cellStyle name="40% - Accent3 3 4 4 2 3" xfId="17364" xr:uid="{00000000-0005-0000-0000-000077430000}"/>
    <cellStyle name="40% - Accent3 3 4 4 2 4" xfId="17365" xr:uid="{00000000-0005-0000-0000-000078430000}"/>
    <cellStyle name="40% - Accent3 3 4 4 3" xfId="17366" xr:uid="{00000000-0005-0000-0000-000079430000}"/>
    <cellStyle name="40% - Accent3 3 4 4 3 2" xfId="17367" xr:uid="{00000000-0005-0000-0000-00007A430000}"/>
    <cellStyle name="40% - Accent3 3 4 4 3 3" xfId="17368" xr:uid="{00000000-0005-0000-0000-00007B430000}"/>
    <cellStyle name="40% - Accent3 3 4 4 4" xfId="17369" xr:uid="{00000000-0005-0000-0000-00007C430000}"/>
    <cellStyle name="40% - Accent3 3 4 4 5" xfId="17370" xr:uid="{00000000-0005-0000-0000-00007D430000}"/>
    <cellStyle name="40% - Accent3 3 4 4 6" xfId="17371" xr:uid="{00000000-0005-0000-0000-00007E430000}"/>
    <cellStyle name="40% - Accent3 3 4 5" xfId="17372" xr:uid="{00000000-0005-0000-0000-00007F430000}"/>
    <cellStyle name="40% - Accent3 3 4 5 2" xfId="17373" xr:uid="{00000000-0005-0000-0000-000080430000}"/>
    <cellStyle name="40% - Accent3 3 4 5 2 2" xfId="17374" xr:uid="{00000000-0005-0000-0000-000081430000}"/>
    <cellStyle name="40% - Accent3 3 4 5 2 3" xfId="17375" xr:uid="{00000000-0005-0000-0000-000082430000}"/>
    <cellStyle name="40% - Accent3 3 4 5 3" xfId="17376" xr:uid="{00000000-0005-0000-0000-000083430000}"/>
    <cellStyle name="40% - Accent3 3 4 5 4" xfId="17377" xr:uid="{00000000-0005-0000-0000-000084430000}"/>
    <cellStyle name="40% - Accent3 3 4 6" xfId="17378" xr:uid="{00000000-0005-0000-0000-000085430000}"/>
    <cellStyle name="40% - Accent3 3 4 6 2" xfId="17379" xr:uid="{00000000-0005-0000-0000-000086430000}"/>
    <cellStyle name="40% - Accent3 3 4 6 3" xfId="17380" xr:uid="{00000000-0005-0000-0000-000087430000}"/>
    <cellStyle name="40% - Accent3 3 4 7" xfId="17381" xr:uid="{00000000-0005-0000-0000-000088430000}"/>
    <cellStyle name="40% - Accent3 3 4 8" xfId="17382" xr:uid="{00000000-0005-0000-0000-000089430000}"/>
    <cellStyle name="40% - Accent3 3 4 9" xfId="17383" xr:uid="{00000000-0005-0000-0000-00008A430000}"/>
    <cellStyle name="40% - Accent3 3 5" xfId="17384" xr:uid="{00000000-0005-0000-0000-00008B430000}"/>
    <cellStyle name="40% - Accent3 3 5 2" xfId="17385" xr:uid="{00000000-0005-0000-0000-00008C430000}"/>
    <cellStyle name="40% - Accent3 3 5 2 2" xfId="17386" xr:uid="{00000000-0005-0000-0000-00008D430000}"/>
    <cellStyle name="40% - Accent3 3 5 2 2 2" xfId="17387" xr:uid="{00000000-0005-0000-0000-00008E430000}"/>
    <cellStyle name="40% - Accent3 3 5 2 2 2 2" xfId="17388" xr:uid="{00000000-0005-0000-0000-00008F430000}"/>
    <cellStyle name="40% - Accent3 3 5 2 2 2 2 2" xfId="17389" xr:uid="{00000000-0005-0000-0000-000090430000}"/>
    <cellStyle name="40% - Accent3 3 5 2 2 2 2 2 2" xfId="17390" xr:uid="{00000000-0005-0000-0000-000091430000}"/>
    <cellStyle name="40% - Accent3 3 5 2 2 2 2 2 3" xfId="17391" xr:uid="{00000000-0005-0000-0000-000092430000}"/>
    <cellStyle name="40% - Accent3 3 5 2 2 2 2 3" xfId="17392" xr:uid="{00000000-0005-0000-0000-000093430000}"/>
    <cellStyle name="40% - Accent3 3 5 2 2 2 2 4" xfId="17393" xr:uid="{00000000-0005-0000-0000-000094430000}"/>
    <cellStyle name="40% - Accent3 3 5 2 2 2 3" xfId="17394" xr:uid="{00000000-0005-0000-0000-000095430000}"/>
    <cellStyle name="40% - Accent3 3 5 2 2 2 3 2" xfId="17395" xr:uid="{00000000-0005-0000-0000-000096430000}"/>
    <cellStyle name="40% - Accent3 3 5 2 2 2 3 3" xfId="17396" xr:uid="{00000000-0005-0000-0000-000097430000}"/>
    <cellStyle name="40% - Accent3 3 5 2 2 2 4" xfId="17397" xr:uid="{00000000-0005-0000-0000-000098430000}"/>
    <cellStyle name="40% - Accent3 3 5 2 2 2 5" xfId="17398" xr:uid="{00000000-0005-0000-0000-000099430000}"/>
    <cellStyle name="40% - Accent3 3 5 2 2 2 6" xfId="17399" xr:uid="{00000000-0005-0000-0000-00009A430000}"/>
    <cellStyle name="40% - Accent3 3 5 2 2 3" xfId="17400" xr:uid="{00000000-0005-0000-0000-00009B430000}"/>
    <cellStyle name="40% - Accent3 3 5 2 2 3 2" xfId="17401" xr:uid="{00000000-0005-0000-0000-00009C430000}"/>
    <cellStyle name="40% - Accent3 3 5 2 2 3 2 2" xfId="17402" xr:uid="{00000000-0005-0000-0000-00009D430000}"/>
    <cellStyle name="40% - Accent3 3 5 2 2 3 2 3" xfId="17403" xr:uid="{00000000-0005-0000-0000-00009E430000}"/>
    <cellStyle name="40% - Accent3 3 5 2 2 3 3" xfId="17404" xr:uid="{00000000-0005-0000-0000-00009F430000}"/>
    <cellStyle name="40% - Accent3 3 5 2 2 3 4" xfId="17405" xr:uid="{00000000-0005-0000-0000-0000A0430000}"/>
    <cellStyle name="40% - Accent3 3 5 2 2 4" xfId="17406" xr:uid="{00000000-0005-0000-0000-0000A1430000}"/>
    <cellStyle name="40% - Accent3 3 5 2 2 4 2" xfId="17407" xr:uid="{00000000-0005-0000-0000-0000A2430000}"/>
    <cellStyle name="40% - Accent3 3 5 2 2 4 3" xfId="17408" xr:uid="{00000000-0005-0000-0000-0000A3430000}"/>
    <cellStyle name="40% - Accent3 3 5 2 2 5" xfId="17409" xr:uid="{00000000-0005-0000-0000-0000A4430000}"/>
    <cellStyle name="40% - Accent3 3 5 2 2 6" xfId="17410" xr:uid="{00000000-0005-0000-0000-0000A5430000}"/>
    <cellStyle name="40% - Accent3 3 5 2 2 7" xfId="17411" xr:uid="{00000000-0005-0000-0000-0000A6430000}"/>
    <cellStyle name="40% - Accent3 3 5 2 3" xfId="17412" xr:uid="{00000000-0005-0000-0000-0000A7430000}"/>
    <cellStyle name="40% - Accent3 3 5 2 3 2" xfId="17413" xr:uid="{00000000-0005-0000-0000-0000A8430000}"/>
    <cellStyle name="40% - Accent3 3 5 2 3 2 2" xfId="17414" xr:uid="{00000000-0005-0000-0000-0000A9430000}"/>
    <cellStyle name="40% - Accent3 3 5 2 3 2 2 2" xfId="17415" xr:uid="{00000000-0005-0000-0000-0000AA430000}"/>
    <cellStyle name="40% - Accent3 3 5 2 3 2 2 3" xfId="17416" xr:uid="{00000000-0005-0000-0000-0000AB430000}"/>
    <cellStyle name="40% - Accent3 3 5 2 3 2 3" xfId="17417" xr:uid="{00000000-0005-0000-0000-0000AC430000}"/>
    <cellStyle name="40% - Accent3 3 5 2 3 2 4" xfId="17418" xr:uid="{00000000-0005-0000-0000-0000AD430000}"/>
    <cellStyle name="40% - Accent3 3 5 2 3 3" xfId="17419" xr:uid="{00000000-0005-0000-0000-0000AE430000}"/>
    <cellStyle name="40% - Accent3 3 5 2 3 3 2" xfId="17420" xr:uid="{00000000-0005-0000-0000-0000AF430000}"/>
    <cellStyle name="40% - Accent3 3 5 2 3 3 3" xfId="17421" xr:uid="{00000000-0005-0000-0000-0000B0430000}"/>
    <cellStyle name="40% - Accent3 3 5 2 3 4" xfId="17422" xr:uid="{00000000-0005-0000-0000-0000B1430000}"/>
    <cellStyle name="40% - Accent3 3 5 2 3 5" xfId="17423" xr:uid="{00000000-0005-0000-0000-0000B2430000}"/>
    <cellStyle name="40% - Accent3 3 5 2 3 6" xfId="17424" xr:uid="{00000000-0005-0000-0000-0000B3430000}"/>
    <cellStyle name="40% - Accent3 3 5 2 4" xfId="17425" xr:uid="{00000000-0005-0000-0000-0000B4430000}"/>
    <cellStyle name="40% - Accent3 3 5 2 4 2" xfId="17426" xr:uid="{00000000-0005-0000-0000-0000B5430000}"/>
    <cellStyle name="40% - Accent3 3 5 2 4 2 2" xfId="17427" xr:uid="{00000000-0005-0000-0000-0000B6430000}"/>
    <cellStyle name="40% - Accent3 3 5 2 4 2 3" xfId="17428" xr:uid="{00000000-0005-0000-0000-0000B7430000}"/>
    <cellStyle name="40% - Accent3 3 5 2 4 3" xfId="17429" xr:uid="{00000000-0005-0000-0000-0000B8430000}"/>
    <cellStyle name="40% - Accent3 3 5 2 4 4" xfId="17430" xr:uid="{00000000-0005-0000-0000-0000B9430000}"/>
    <cellStyle name="40% - Accent3 3 5 2 5" xfId="17431" xr:uid="{00000000-0005-0000-0000-0000BA430000}"/>
    <cellStyle name="40% - Accent3 3 5 2 5 2" xfId="17432" xr:uid="{00000000-0005-0000-0000-0000BB430000}"/>
    <cellStyle name="40% - Accent3 3 5 2 5 3" xfId="17433" xr:uid="{00000000-0005-0000-0000-0000BC430000}"/>
    <cellStyle name="40% - Accent3 3 5 2 6" xfId="17434" xr:uid="{00000000-0005-0000-0000-0000BD430000}"/>
    <cellStyle name="40% - Accent3 3 5 2 7" xfId="17435" xr:uid="{00000000-0005-0000-0000-0000BE430000}"/>
    <cellStyle name="40% - Accent3 3 5 2 8" xfId="17436" xr:uid="{00000000-0005-0000-0000-0000BF430000}"/>
    <cellStyle name="40% - Accent3 3 5 3" xfId="17437" xr:uid="{00000000-0005-0000-0000-0000C0430000}"/>
    <cellStyle name="40% - Accent3 3 5 3 2" xfId="17438" xr:uid="{00000000-0005-0000-0000-0000C1430000}"/>
    <cellStyle name="40% - Accent3 3 5 3 2 2" xfId="17439" xr:uid="{00000000-0005-0000-0000-0000C2430000}"/>
    <cellStyle name="40% - Accent3 3 5 3 2 2 2" xfId="17440" xr:uid="{00000000-0005-0000-0000-0000C3430000}"/>
    <cellStyle name="40% - Accent3 3 5 3 2 2 2 2" xfId="17441" xr:uid="{00000000-0005-0000-0000-0000C4430000}"/>
    <cellStyle name="40% - Accent3 3 5 3 2 2 2 3" xfId="17442" xr:uid="{00000000-0005-0000-0000-0000C5430000}"/>
    <cellStyle name="40% - Accent3 3 5 3 2 2 3" xfId="17443" xr:uid="{00000000-0005-0000-0000-0000C6430000}"/>
    <cellStyle name="40% - Accent3 3 5 3 2 2 4" xfId="17444" xr:uid="{00000000-0005-0000-0000-0000C7430000}"/>
    <cellStyle name="40% - Accent3 3 5 3 2 3" xfId="17445" xr:uid="{00000000-0005-0000-0000-0000C8430000}"/>
    <cellStyle name="40% - Accent3 3 5 3 2 3 2" xfId="17446" xr:uid="{00000000-0005-0000-0000-0000C9430000}"/>
    <cellStyle name="40% - Accent3 3 5 3 2 3 3" xfId="17447" xr:uid="{00000000-0005-0000-0000-0000CA430000}"/>
    <cellStyle name="40% - Accent3 3 5 3 2 4" xfId="17448" xr:uid="{00000000-0005-0000-0000-0000CB430000}"/>
    <cellStyle name="40% - Accent3 3 5 3 2 5" xfId="17449" xr:uid="{00000000-0005-0000-0000-0000CC430000}"/>
    <cellStyle name="40% - Accent3 3 5 3 2 6" xfId="17450" xr:uid="{00000000-0005-0000-0000-0000CD430000}"/>
    <cellStyle name="40% - Accent3 3 5 3 3" xfId="17451" xr:uid="{00000000-0005-0000-0000-0000CE430000}"/>
    <cellStyle name="40% - Accent3 3 5 3 3 2" xfId="17452" xr:uid="{00000000-0005-0000-0000-0000CF430000}"/>
    <cellStyle name="40% - Accent3 3 5 3 3 2 2" xfId="17453" xr:uid="{00000000-0005-0000-0000-0000D0430000}"/>
    <cellStyle name="40% - Accent3 3 5 3 3 2 3" xfId="17454" xr:uid="{00000000-0005-0000-0000-0000D1430000}"/>
    <cellStyle name="40% - Accent3 3 5 3 3 3" xfId="17455" xr:uid="{00000000-0005-0000-0000-0000D2430000}"/>
    <cellStyle name="40% - Accent3 3 5 3 3 4" xfId="17456" xr:uid="{00000000-0005-0000-0000-0000D3430000}"/>
    <cellStyle name="40% - Accent3 3 5 3 4" xfId="17457" xr:uid="{00000000-0005-0000-0000-0000D4430000}"/>
    <cellStyle name="40% - Accent3 3 5 3 4 2" xfId="17458" xr:uid="{00000000-0005-0000-0000-0000D5430000}"/>
    <cellStyle name="40% - Accent3 3 5 3 4 3" xfId="17459" xr:uid="{00000000-0005-0000-0000-0000D6430000}"/>
    <cellStyle name="40% - Accent3 3 5 3 5" xfId="17460" xr:uid="{00000000-0005-0000-0000-0000D7430000}"/>
    <cellStyle name="40% - Accent3 3 5 3 6" xfId="17461" xr:uid="{00000000-0005-0000-0000-0000D8430000}"/>
    <cellStyle name="40% - Accent3 3 5 3 7" xfId="17462" xr:uid="{00000000-0005-0000-0000-0000D9430000}"/>
    <cellStyle name="40% - Accent3 3 5 4" xfId="17463" xr:uid="{00000000-0005-0000-0000-0000DA430000}"/>
    <cellStyle name="40% - Accent3 3 5 4 2" xfId="17464" xr:uid="{00000000-0005-0000-0000-0000DB430000}"/>
    <cellStyle name="40% - Accent3 3 5 4 2 2" xfId="17465" xr:uid="{00000000-0005-0000-0000-0000DC430000}"/>
    <cellStyle name="40% - Accent3 3 5 4 2 2 2" xfId="17466" xr:uid="{00000000-0005-0000-0000-0000DD430000}"/>
    <cellStyle name="40% - Accent3 3 5 4 2 2 3" xfId="17467" xr:uid="{00000000-0005-0000-0000-0000DE430000}"/>
    <cellStyle name="40% - Accent3 3 5 4 2 3" xfId="17468" xr:uid="{00000000-0005-0000-0000-0000DF430000}"/>
    <cellStyle name="40% - Accent3 3 5 4 2 4" xfId="17469" xr:uid="{00000000-0005-0000-0000-0000E0430000}"/>
    <cellStyle name="40% - Accent3 3 5 4 3" xfId="17470" xr:uid="{00000000-0005-0000-0000-0000E1430000}"/>
    <cellStyle name="40% - Accent3 3 5 4 3 2" xfId="17471" xr:uid="{00000000-0005-0000-0000-0000E2430000}"/>
    <cellStyle name="40% - Accent3 3 5 4 3 3" xfId="17472" xr:uid="{00000000-0005-0000-0000-0000E3430000}"/>
    <cellStyle name="40% - Accent3 3 5 4 4" xfId="17473" xr:uid="{00000000-0005-0000-0000-0000E4430000}"/>
    <cellStyle name="40% - Accent3 3 5 4 5" xfId="17474" xr:uid="{00000000-0005-0000-0000-0000E5430000}"/>
    <cellStyle name="40% - Accent3 3 5 4 6" xfId="17475" xr:uid="{00000000-0005-0000-0000-0000E6430000}"/>
    <cellStyle name="40% - Accent3 3 5 5" xfId="17476" xr:uid="{00000000-0005-0000-0000-0000E7430000}"/>
    <cellStyle name="40% - Accent3 3 5 5 2" xfId="17477" xr:uid="{00000000-0005-0000-0000-0000E8430000}"/>
    <cellStyle name="40% - Accent3 3 5 5 2 2" xfId="17478" xr:uid="{00000000-0005-0000-0000-0000E9430000}"/>
    <cellStyle name="40% - Accent3 3 5 5 2 3" xfId="17479" xr:uid="{00000000-0005-0000-0000-0000EA430000}"/>
    <cellStyle name="40% - Accent3 3 5 5 3" xfId="17480" xr:uid="{00000000-0005-0000-0000-0000EB430000}"/>
    <cellStyle name="40% - Accent3 3 5 5 4" xfId="17481" xr:uid="{00000000-0005-0000-0000-0000EC430000}"/>
    <cellStyle name="40% - Accent3 3 5 6" xfId="17482" xr:uid="{00000000-0005-0000-0000-0000ED430000}"/>
    <cellStyle name="40% - Accent3 3 5 6 2" xfId="17483" xr:uid="{00000000-0005-0000-0000-0000EE430000}"/>
    <cellStyle name="40% - Accent3 3 5 6 3" xfId="17484" xr:uid="{00000000-0005-0000-0000-0000EF430000}"/>
    <cellStyle name="40% - Accent3 3 5 7" xfId="17485" xr:uid="{00000000-0005-0000-0000-0000F0430000}"/>
    <cellStyle name="40% - Accent3 3 5 8" xfId="17486" xr:uid="{00000000-0005-0000-0000-0000F1430000}"/>
    <cellStyle name="40% - Accent3 3 5 9" xfId="17487" xr:uid="{00000000-0005-0000-0000-0000F2430000}"/>
    <cellStyle name="40% - Accent3 3 6" xfId="17488" xr:uid="{00000000-0005-0000-0000-0000F3430000}"/>
    <cellStyle name="40% - Accent3 3 6 2" xfId="17489" xr:uid="{00000000-0005-0000-0000-0000F4430000}"/>
    <cellStyle name="40% - Accent3 3 6 2 2" xfId="17490" xr:uid="{00000000-0005-0000-0000-0000F5430000}"/>
    <cellStyle name="40% - Accent3 3 6 2 2 2" xfId="17491" xr:uid="{00000000-0005-0000-0000-0000F6430000}"/>
    <cellStyle name="40% - Accent3 3 6 2 2 2 2" xfId="17492" xr:uid="{00000000-0005-0000-0000-0000F7430000}"/>
    <cellStyle name="40% - Accent3 3 6 2 2 2 2 2" xfId="17493" xr:uid="{00000000-0005-0000-0000-0000F8430000}"/>
    <cellStyle name="40% - Accent3 3 6 2 2 2 2 3" xfId="17494" xr:uid="{00000000-0005-0000-0000-0000F9430000}"/>
    <cellStyle name="40% - Accent3 3 6 2 2 2 3" xfId="17495" xr:uid="{00000000-0005-0000-0000-0000FA430000}"/>
    <cellStyle name="40% - Accent3 3 6 2 2 2 4" xfId="17496" xr:uid="{00000000-0005-0000-0000-0000FB430000}"/>
    <cellStyle name="40% - Accent3 3 6 2 2 3" xfId="17497" xr:uid="{00000000-0005-0000-0000-0000FC430000}"/>
    <cellStyle name="40% - Accent3 3 6 2 2 3 2" xfId="17498" xr:uid="{00000000-0005-0000-0000-0000FD430000}"/>
    <cellStyle name="40% - Accent3 3 6 2 2 3 3" xfId="17499" xr:uid="{00000000-0005-0000-0000-0000FE430000}"/>
    <cellStyle name="40% - Accent3 3 6 2 2 4" xfId="17500" xr:uid="{00000000-0005-0000-0000-0000FF430000}"/>
    <cellStyle name="40% - Accent3 3 6 2 2 5" xfId="17501" xr:uid="{00000000-0005-0000-0000-000000440000}"/>
    <cellStyle name="40% - Accent3 3 6 2 2 6" xfId="17502" xr:uid="{00000000-0005-0000-0000-000001440000}"/>
    <cellStyle name="40% - Accent3 3 6 2 3" xfId="17503" xr:uid="{00000000-0005-0000-0000-000002440000}"/>
    <cellStyle name="40% - Accent3 3 6 2 3 2" xfId="17504" xr:uid="{00000000-0005-0000-0000-000003440000}"/>
    <cellStyle name="40% - Accent3 3 6 2 3 2 2" xfId="17505" xr:uid="{00000000-0005-0000-0000-000004440000}"/>
    <cellStyle name="40% - Accent3 3 6 2 3 2 3" xfId="17506" xr:uid="{00000000-0005-0000-0000-000005440000}"/>
    <cellStyle name="40% - Accent3 3 6 2 3 3" xfId="17507" xr:uid="{00000000-0005-0000-0000-000006440000}"/>
    <cellStyle name="40% - Accent3 3 6 2 3 4" xfId="17508" xr:uid="{00000000-0005-0000-0000-000007440000}"/>
    <cellStyle name="40% - Accent3 3 6 2 4" xfId="17509" xr:uid="{00000000-0005-0000-0000-000008440000}"/>
    <cellStyle name="40% - Accent3 3 6 2 4 2" xfId="17510" xr:uid="{00000000-0005-0000-0000-000009440000}"/>
    <cellStyle name="40% - Accent3 3 6 2 4 3" xfId="17511" xr:uid="{00000000-0005-0000-0000-00000A440000}"/>
    <cellStyle name="40% - Accent3 3 6 2 5" xfId="17512" xr:uid="{00000000-0005-0000-0000-00000B440000}"/>
    <cellStyle name="40% - Accent3 3 6 2 6" xfId="17513" xr:uid="{00000000-0005-0000-0000-00000C440000}"/>
    <cellStyle name="40% - Accent3 3 6 2 7" xfId="17514" xr:uid="{00000000-0005-0000-0000-00000D440000}"/>
    <cellStyle name="40% - Accent3 3 6 3" xfId="17515" xr:uid="{00000000-0005-0000-0000-00000E440000}"/>
    <cellStyle name="40% - Accent3 3 6 3 2" xfId="17516" xr:uid="{00000000-0005-0000-0000-00000F440000}"/>
    <cellStyle name="40% - Accent3 3 6 3 2 2" xfId="17517" xr:uid="{00000000-0005-0000-0000-000010440000}"/>
    <cellStyle name="40% - Accent3 3 6 3 2 2 2" xfId="17518" xr:uid="{00000000-0005-0000-0000-000011440000}"/>
    <cellStyle name="40% - Accent3 3 6 3 2 2 3" xfId="17519" xr:uid="{00000000-0005-0000-0000-000012440000}"/>
    <cellStyle name="40% - Accent3 3 6 3 2 3" xfId="17520" xr:uid="{00000000-0005-0000-0000-000013440000}"/>
    <cellStyle name="40% - Accent3 3 6 3 2 4" xfId="17521" xr:uid="{00000000-0005-0000-0000-000014440000}"/>
    <cellStyle name="40% - Accent3 3 6 3 3" xfId="17522" xr:uid="{00000000-0005-0000-0000-000015440000}"/>
    <cellStyle name="40% - Accent3 3 6 3 3 2" xfId="17523" xr:uid="{00000000-0005-0000-0000-000016440000}"/>
    <cellStyle name="40% - Accent3 3 6 3 3 3" xfId="17524" xr:uid="{00000000-0005-0000-0000-000017440000}"/>
    <cellStyle name="40% - Accent3 3 6 3 4" xfId="17525" xr:uid="{00000000-0005-0000-0000-000018440000}"/>
    <cellStyle name="40% - Accent3 3 6 3 5" xfId="17526" xr:uid="{00000000-0005-0000-0000-000019440000}"/>
    <cellStyle name="40% - Accent3 3 6 3 6" xfId="17527" xr:uid="{00000000-0005-0000-0000-00001A440000}"/>
    <cellStyle name="40% - Accent3 3 6 4" xfId="17528" xr:uid="{00000000-0005-0000-0000-00001B440000}"/>
    <cellStyle name="40% - Accent3 3 6 4 2" xfId="17529" xr:uid="{00000000-0005-0000-0000-00001C440000}"/>
    <cellStyle name="40% - Accent3 3 6 4 2 2" xfId="17530" xr:uid="{00000000-0005-0000-0000-00001D440000}"/>
    <cellStyle name="40% - Accent3 3 6 4 2 3" xfId="17531" xr:uid="{00000000-0005-0000-0000-00001E440000}"/>
    <cellStyle name="40% - Accent3 3 6 4 3" xfId="17532" xr:uid="{00000000-0005-0000-0000-00001F440000}"/>
    <cellStyle name="40% - Accent3 3 6 4 4" xfId="17533" xr:uid="{00000000-0005-0000-0000-000020440000}"/>
    <cellStyle name="40% - Accent3 3 6 5" xfId="17534" xr:uid="{00000000-0005-0000-0000-000021440000}"/>
    <cellStyle name="40% - Accent3 3 6 5 2" xfId="17535" xr:uid="{00000000-0005-0000-0000-000022440000}"/>
    <cellStyle name="40% - Accent3 3 6 5 3" xfId="17536" xr:uid="{00000000-0005-0000-0000-000023440000}"/>
    <cellStyle name="40% - Accent3 3 6 6" xfId="17537" xr:uid="{00000000-0005-0000-0000-000024440000}"/>
    <cellStyle name="40% - Accent3 3 6 7" xfId="17538" xr:uid="{00000000-0005-0000-0000-000025440000}"/>
    <cellStyle name="40% - Accent3 3 6 8" xfId="17539" xr:uid="{00000000-0005-0000-0000-000026440000}"/>
    <cellStyle name="40% - Accent3 3 7" xfId="17540" xr:uid="{00000000-0005-0000-0000-000027440000}"/>
    <cellStyle name="40% - Accent3 3 7 2" xfId="17541" xr:uid="{00000000-0005-0000-0000-000028440000}"/>
    <cellStyle name="40% - Accent3 3 7 2 2" xfId="17542" xr:uid="{00000000-0005-0000-0000-000029440000}"/>
    <cellStyle name="40% - Accent3 3 7 2 2 2" xfId="17543" xr:uid="{00000000-0005-0000-0000-00002A440000}"/>
    <cellStyle name="40% - Accent3 3 7 2 2 2 2" xfId="17544" xr:uid="{00000000-0005-0000-0000-00002B440000}"/>
    <cellStyle name="40% - Accent3 3 7 2 2 2 2 2" xfId="17545" xr:uid="{00000000-0005-0000-0000-00002C440000}"/>
    <cellStyle name="40% - Accent3 3 7 2 2 2 2 3" xfId="17546" xr:uid="{00000000-0005-0000-0000-00002D440000}"/>
    <cellStyle name="40% - Accent3 3 7 2 2 2 3" xfId="17547" xr:uid="{00000000-0005-0000-0000-00002E440000}"/>
    <cellStyle name="40% - Accent3 3 7 2 2 2 4" xfId="17548" xr:uid="{00000000-0005-0000-0000-00002F440000}"/>
    <cellStyle name="40% - Accent3 3 7 2 2 3" xfId="17549" xr:uid="{00000000-0005-0000-0000-000030440000}"/>
    <cellStyle name="40% - Accent3 3 7 2 2 3 2" xfId="17550" xr:uid="{00000000-0005-0000-0000-000031440000}"/>
    <cellStyle name="40% - Accent3 3 7 2 2 3 3" xfId="17551" xr:uid="{00000000-0005-0000-0000-000032440000}"/>
    <cellStyle name="40% - Accent3 3 7 2 2 4" xfId="17552" xr:uid="{00000000-0005-0000-0000-000033440000}"/>
    <cellStyle name="40% - Accent3 3 7 2 2 5" xfId="17553" xr:uid="{00000000-0005-0000-0000-000034440000}"/>
    <cellStyle name="40% - Accent3 3 7 2 2 6" xfId="17554" xr:uid="{00000000-0005-0000-0000-000035440000}"/>
    <cellStyle name="40% - Accent3 3 7 2 3" xfId="17555" xr:uid="{00000000-0005-0000-0000-000036440000}"/>
    <cellStyle name="40% - Accent3 3 7 2 3 2" xfId="17556" xr:uid="{00000000-0005-0000-0000-000037440000}"/>
    <cellStyle name="40% - Accent3 3 7 2 3 2 2" xfId="17557" xr:uid="{00000000-0005-0000-0000-000038440000}"/>
    <cellStyle name="40% - Accent3 3 7 2 3 2 3" xfId="17558" xr:uid="{00000000-0005-0000-0000-000039440000}"/>
    <cellStyle name="40% - Accent3 3 7 2 3 3" xfId="17559" xr:uid="{00000000-0005-0000-0000-00003A440000}"/>
    <cellStyle name="40% - Accent3 3 7 2 3 4" xfId="17560" xr:uid="{00000000-0005-0000-0000-00003B440000}"/>
    <cellStyle name="40% - Accent3 3 7 2 4" xfId="17561" xr:uid="{00000000-0005-0000-0000-00003C440000}"/>
    <cellStyle name="40% - Accent3 3 7 2 4 2" xfId="17562" xr:uid="{00000000-0005-0000-0000-00003D440000}"/>
    <cellStyle name="40% - Accent3 3 7 2 4 3" xfId="17563" xr:uid="{00000000-0005-0000-0000-00003E440000}"/>
    <cellStyle name="40% - Accent3 3 7 2 5" xfId="17564" xr:uid="{00000000-0005-0000-0000-00003F440000}"/>
    <cellStyle name="40% - Accent3 3 7 2 6" xfId="17565" xr:uid="{00000000-0005-0000-0000-000040440000}"/>
    <cellStyle name="40% - Accent3 3 7 2 7" xfId="17566" xr:uid="{00000000-0005-0000-0000-000041440000}"/>
    <cellStyle name="40% - Accent3 3 7 3" xfId="17567" xr:uid="{00000000-0005-0000-0000-000042440000}"/>
    <cellStyle name="40% - Accent3 3 7 3 2" xfId="17568" xr:uid="{00000000-0005-0000-0000-000043440000}"/>
    <cellStyle name="40% - Accent3 3 7 3 2 2" xfId="17569" xr:uid="{00000000-0005-0000-0000-000044440000}"/>
    <cellStyle name="40% - Accent3 3 7 3 2 2 2" xfId="17570" xr:uid="{00000000-0005-0000-0000-000045440000}"/>
    <cellStyle name="40% - Accent3 3 7 3 2 2 3" xfId="17571" xr:uid="{00000000-0005-0000-0000-000046440000}"/>
    <cellStyle name="40% - Accent3 3 7 3 2 3" xfId="17572" xr:uid="{00000000-0005-0000-0000-000047440000}"/>
    <cellStyle name="40% - Accent3 3 7 3 2 4" xfId="17573" xr:uid="{00000000-0005-0000-0000-000048440000}"/>
    <cellStyle name="40% - Accent3 3 7 3 3" xfId="17574" xr:uid="{00000000-0005-0000-0000-000049440000}"/>
    <cellStyle name="40% - Accent3 3 7 3 3 2" xfId="17575" xr:uid="{00000000-0005-0000-0000-00004A440000}"/>
    <cellStyle name="40% - Accent3 3 7 3 3 3" xfId="17576" xr:uid="{00000000-0005-0000-0000-00004B440000}"/>
    <cellStyle name="40% - Accent3 3 7 3 4" xfId="17577" xr:uid="{00000000-0005-0000-0000-00004C440000}"/>
    <cellStyle name="40% - Accent3 3 7 3 5" xfId="17578" xr:uid="{00000000-0005-0000-0000-00004D440000}"/>
    <cellStyle name="40% - Accent3 3 7 3 6" xfId="17579" xr:uid="{00000000-0005-0000-0000-00004E440000}"/>
    <cellStyle name="40% - Accent3 3 7 4" xfId="17580" xr:uid="{00000000-0005-0000-0000-00004F440000}"/>
    <cellStyle name="40% - Accent3 3 7 4 2" xfId="17581" xr:uid="{00000000-0005-0000-0000-000050440000}"/>
    <cellStyle name="40% - Accent3 3 7 4 2 2" xfId="17582" xr:uid="{00000000-0005-0000-0000-000051440000}"/>
    <cellStyle name="40% - Accent3 3 7 4 2 3" xfId="17583" xr:uid="{00000000-0005-0000-0000-000052440000}"/>
    <cellStyle name="40% - Accent3 3 7 4 3" xfId="17584" xr:uid="{00000000-0005-0000-0000-000053440000}"/>
    <cellStyle name="40% - Accent3 3 7 4 4" xfId="17585" xr:uid="{00000000-0005-0000-0000-000054440000}"/>
    <cellStyle name="40% - Accent3 3 7 5" xfId="17586" xr:uid="{00000000-0005-0000-0000-000055440000}"/>
    <cellStyle name="40% - Accent3 3 7 5 2" xfId="17587" xr:uid="{00000000-0005-0000-0000-000056440000}"/>
    <cellStyle name="40% - Accent3 3 7 5 3" xfId="17588" xr:uid="{00000000-0005-0000-0000-000057440000}"/>
    <cellStyle name="40% - Accent3 3 7 6" xfId="17589" xr:uid="{00000000-0005-0000-0000-000058440000}"/>
    <cellStyle name="40% - Accent3 3 7 7" xfId="17590" xr:uid="{00000000-0005-0000-0000-000059440000}"/>
    <cellStyle name="40% - Accent3 3 7 8" xfId="17591" xr:uid="{00000000-0005-0000-0000-00005A440000}"/>
    <cellStyle name="40% - Accent3 3 8" xfId="17592" xr:uid="{00000000-0005-0000-0000-00005B440000}"/>
    <cellStyle name="40% - Accent3 3 8 2" xfId="17593" xr:uid="{00000000-0005-0000-0000-00005C440000}"/>
    <cellStyle name="40% - Accent3 3 8 2 2" xfId="17594" xr:uid="{00000000-0005-0000-0000-00005D440000}"/>
    <cellStyle name="40% - Accent3 3 8 2 2 2" xfId="17595" xr:uid="{00000000-0005-0000-0000-00005E440000}"/>
    <cellStyle name="40% - Accent3 3 8 2 2 2 2" xfId="17596" xr:uid="{00000000-0005-0000-0000-00005F440000}"/>
    <cellStyle name="40% - Accent3 3 8 2 2 2 3" xfId="17597" xr:uid="{00000000-0005-0000-0000-000060440000}"/>
    <cellStyle name="40% - Accent3 3 8 2 2 3" xfId="17598" xr:uid="{00000000-0005-0000-0000-000061440000}"/>
    <cellStyle name="40% - Accent3 3 8 2 2 4" xfId="17599" xr:uid="{00000000-0005-0000-0000-000062440000}"/>
    <cellStyle name="40% - Accent3 3 8 2 3" xfId="17600" xr:uid="{00000000-0005-0000-0000-000063440000}"/>
    <cellStyle name="40% - Accent3 3 8 2 3 2" xfId="17601" xr:uid="{00000000-0005-0000-0000-000064440000}"/>
    <cellStyle name="40% - Accent3 3 8 2 3 3" xfId="17602" xr:uid="{00000000-0005-0000-0000-000065440000}"/>
    <cellStyle name="40% - Accent3 3 8 2 4" xfId="17603" xr:uid="{00000000-0005-0000-0000-000066440000}"/>
    <cellStyle name="40% - Accent3 3 8 2 5" xfId="17604" xr:uid="{00000000-0005-0000-0000-000067440000}"/>
    <cellStyle name="40% - Accent3 3 8 2 6" xfId="17605" xr:uid="{00000000-0005-0000-0000-000068440000}"/>
    <cellStyle name="40% - Accent3 3 8 3" xfId="17606" xr:uid="{00000000-0005-0000-0000-000069440000}"/>
    <cellStyle name="40% - Accent3 3 8 3 2" xfId="17607" xr:uid="{00000000-0005-0000-0000-00006A440000}"/>
    <cellStyle name="40% - Accent3 3 8 3 2 2" xfId="17608" xr:uid="{00000000-0005-0000-0000-00006B440000}"/>
    <cellStyle name="40% - Accent3 3 8 3 2 3" xfId="17609" xr:uid="{00000000-0005-0000-0000-00006C440000}"/>
    <cellStyle name="40% - Accent3 3 8 3 3" xfId="17610" xr:uid="{00000000-0005-0000-0000-00006D440000}"/>
    <cellStyle name="40% - Accent3 3 8 3 4" xfId="17611" xr:uid="{00000000-0005-0000-0000-00006E440000}"/>
    <cellStyle name="40% - Accent3 3 8 4" xfId="17612" xr:uid="{00000000-0005-0000-0000-00006F440000}"/>
    <cellStyle name="40% - Accent3 3 8 4 2" xfId="17613" xr:uid="{00000000-0005-0000-0000-000070440000}"/>
    <cellStyle name="40% - Accent3 3 8 4 3" xfId="17614" xr:uid="{00000000-0005-0000-0000-000071440000}"/>
    <cellStyle name="40% - Accent3 3 8 5" xfId="17615" xr:uid="{00000000-0005-0000-0000-000072440000}"/>
    <cellStyle name="40% - Accent3 3 8 6" xfId="17616" xr:uid="{00000000-0005-0000-0000-000073440000}"/>
    <cellStyle name="40% - Accent3 3 8 7" xfId="17617" xr:uid="{00000000-0005-0000-0000-000074440000}"/>
    <cellStyle name="40% - Accent3 3 9" xfId="17618" xr:uid="{00000000-0005-0000-0000-000075440000}"/>
    <cellStyle name="40% - Accent3 3 9 2" xfId="17619" xr:uid="{00000000-0005-0000-0000-000076440000}"/>
    <cellStyle name="40% - Accent3 3 9 2 2" xfId="17620" xr:uid="{00000000-0005-0000-0000-000077440000}"/>
    <cellStyle name="40% - Accent3 3 9 2 2 2" xfId="17621" xr:uid="{00000000-0005-0000-0000-000078440000}"/>
    <cellStyle name="40% - Accent3 3 9 2 2 3" xfId="17622" xr:uid="{00000000-0005-0000-0000-000079440000}"/>
    <cellStyle name="40% - Accent3 3 9 2 3" xfId="17623" xr:uid="{00000000-0005-0000-0000-00007A440000}"/>
    <cellStyle name="40% - Accent3 3 9 2 4" xfId="17624" xr:uid="{00000000-0005-0000-0000-00007B440000}"/>
    <cellStyle name="40% - Accent3 3 9 3" xfId="17625" xr:uid="{00000000-0005-0000-0000-00007C440000}"/>
    <cellStyle name="40% - Accent3 3 9 3 2" xfId="17626" xr:uid="{00000000-0005-0000-0000-00007D440000}"/>
    <cellStyle name="40% - Accent3 3 9 3 3" xfId="17627" xr:uid="{00000000-0005-0000-0000-00007E440000}"/>
    <cellStyle name="40% - Accent3 3 9 4" xfId="17628" xr:uid="{00000000-0005-0000-0000-00007F440000}"/>
    <cellStyle name="40% - Accent3 3 9 5" xfId="17629" xr:uid="{00000000-0005-0000-0000-000080440000}"/>
    <cellStyle name="40% - Accent3 3 9 6" xfId="17630" xr:uid="{00000000-0005-0000-0000-000081440000}"/>
    <cellStyle name="40% - Accent3 4" xfId="17631" xr:uid="{00000000-0005-0000-0000-000082440000}"/>
    <cellStyle name="40% - Accent3 4 10" xfId="17632" xr:uid="{00000000-0005-0000-0000-000083440000}"/>
    <cellStyle name="40% - Accent3 4 11" xfId="17633" xr:uid="{00000000-0005-0000-0000-000084440000}"/>
    <cellStyle name="40% - Accent3 4 2" xfId="17634" xr:uid="{00000000-0005-0000-0000-000085440000}"/>
    <cellStyle name="40% - Accent3 4 2 10" xfId="17635" xr:uid="{00000000-0005-0000-0000-000086440000}"/>
    <cellStyle name="40% - Accent3 4 2 2" xfId="17636" xr:uid="{00000000-0005-0000-0000-000087440000}"/>
    <cellStyle name="40% - Accent3 4 2 2 2" xfId="17637" xr:uid="{00000000-0005-0000-0000-000088440000}"/>
    <cellStyle name="40% - Accent3 4 2 2 2 2" xfId="17638" xr:uid="{00000000-0005-0000-0000-000089440000}"/>
    <cellStyle name="40% - Accent3 4 2 2 2 2 2" xfId="17639" xr:uid="{00000000-0005-0000-0000-00008A440000}"/>
    <cellStyle name="40% - Accent3 4 2 2 2 2 2 2" xfId="17640" xr:uid="{00000000-0005-0000-0000-00008B440000}"/>
    <cellStyle name="40% - Accent3 4 2 2 2 2 2 2 2" xfId="17641" xr:uid="{00000000-0005-0000-0000-00008C440000}"/>
    <cellStyle name="40% - Accent3 4 2 2 2 2 2 2 2 2" xfId="17642" xr:uid="{00000000-0005-0000-0000-00008D440000}"/>
    <cellStyle name="40% - Accent3 4 2 2 2 2 2 2 2 3" xfId="17643" xr:uid="{00000000-0005-0000-0000-00008E440000}"/>
    <cellStyle name="40% - Accent3 4 2 2 2 2 2 2 3" xfId="17644" xr:uid="{00000000-0005-0000-0000-00008F440000}"/>
    <cellStyle name="40% - Accent3 4 2 2 2 2 2 2 4" xfId="17645" xr:uid="{00000000-0005-0000-0000-000090440000}"/>
    <cellStyle name="40% - Accent3 4 2 2 2 2 2 3" xfId="17646" xr:uid="{00000000-0005-0000-0000-000091440000}"/>
    <cellStyle name="40% - Accent3 4 2 2 2 2 2 3 2" xfId="17647" xr:uid="{00000000-0005-0000-0000-000092440000}"/>
    <cellStyle name="40% - Accent3 4 2 2 2 2 2 3 3" xfId="17648" xr:uid="{00000000-0005-0000-0000-000093440000}"/>
    <cellStyle name="40% - Accent3 4 2 2 2 2 2 4" xfId="17649" xr:uid="{00000000-0005-0000-0000-000094440000}"/>
    <cellStyle name="40% - Accent3 4 2 2 2 2 2 5" xfId="17650" xr:uid="{00000000-0005-0000-0000-000095440000}"/>
    <cellStyle name="40% - Accent3 4 2 2 2 2 2 6" xfId="17651" xr:uid="{00000000-0005-0000-0000-000096440000}"/>
    <cellStyle name="40% - Accent3 4 2 2 2 2 3" xfId="17652" xr:uid="{00000000-0005-0000-0000-000097440000}"/>
    <cellStyle name="40% - Accent3 4 2 2 2 2 3 2" xfId="17653" xr:uid="{00000000-0005-0000-0000-000098440000}"/>
    <cellStyle name="40% - Accent3 4 2 2 2 2 3 2 2" xfId="17654" xr:uid="{00000000-0005-0000-0000-000099440000}"/>
    <cellStyle name="40% - Accent3 4 2 2 2 2 3 2 3" xfId="17655" xr:uid="{00000000-0005-0000-0000-00009A440000}"/>
    <cellStyle name="40% - Accent3 4 2 2 2 2 3 3" xfId="17656" xr:uid="{00000000-0005-0000-0000-00009B440000}"/>
    <cellStyle name="40% - Accent3 4 2 2 2 2 3 4" xfId="17657" xr:uid="{00000000-0005-0000-0000-00009C440000}"/>
    <cellStyle name="40% - Accent3 4 2 2 2 2 4" xfId="17658" xr:uid="{00000000-0005-0000-0000-00009D440000}"/>
    <cellStyle name="40% - Accent3 4 2 2 2 2 4 2" xfId="17659" xr:uid="{00000000-0005-0000-0000-00009E440000}"/>
    <cellStyle name="40% - Accent3 4 2 2 2 2 4 3" xfId="17660" xr:uid="{00000000-0005-0000-0000-00009F440000}"/>
    <cellStyle name="40% - Accent3 4 2 2 2 2 5" xfId="17661" xr:uid="{00000000-0005-0000-0000-0000A0440000}"/>
    <cellStyle name="40% - Accent3 4 2 2 2 2 6" xfId="17662" xr:uid="{00000000-0005-0000-0000-0000A1440000}"/>
    <cellStyle name="40% - Accent3 4 2 2 2 2 7" xfId="17663" xr:uid="{00000000-0005-0000-0000-0000A2440000}"/>
    <cellStyle name="40% - Accent3 4 2 2 2 3" xfId="17664" xr:uid="{00000000-0005-0000-0000-0000A3440000}"/>
    <cellStyle name="40% - Accent3 4 2 2 2 3 2" xfId="17665" xr:uid="{00000000-0005-0000-0000-0000A4440000}"/>
    <cellStyle name="40% - Accent3 4 2 2 2 3 2 2" xfId="17666" xr:uid="{00000000-0005-0000-0000-0000A5440000}"/>
    <cellStyle name="40% - Accent3 4 2 2 2 3 2 2 2" xfId="17667" xr:uid="{00000000-0005-0000-0000-0000A6440000}"/>
    <cellStyle name="40% - Accent3 4 2 2 2 3 2 2 3" xfId="17668" xr:uid="{00000000-0005-0000-0000-0000A7440000}"/>
    <cellStyle name="40% - Accent3 4 2 2 2 3 2 3" xfId="17669" xr:uid="{00000000-0005-0000-0000-0000A8440000}"/>
    <cellStyle name="40% - Accent3 4 2 2 2 3 2 4" xfId="17670" xr:uid="{00000000-0005-0000-0000-0000A9440000}"/>
    <cellStyle name="40% - Accent3 4 2 2 2 3 3" xfId="17671" xr:uid="{00000000-0005-0000-0000-0000AA440000}"/>
    <cellStyle name="40% - Accent3 4 2 2 2 3 3 2" xfId="17672" xr:uid="{00000000-0005-0000-0000-0000AB440000}"/>
    <cellStyle name="40% - Accent3 4 2 2 2 3 3 3" xfId="17673" xr:uid="{00000000-0005-0000-0000-0000AC440000}"/>
    <cellStyle name="40% - Accent3 4 2 2 2 3 4" xfId="17674" xr:uid="{00000000-0005-0000-0000-0000AD440000}"/>
    <cellStyle name="40% - Accent3 4 2 2 2 3 5" xfId="17675" xr:uid="{00000000-0005-0000-0000-0000AE440000}"/>
    <cellStyle name="40% - Accent3 4 2 2 2 3 6" xfId="17676" xr:uid="{00000000-0005-0000-0000-0000AF440000}"/>
    <cellStyle name="40% - Accent3 4 2 2 2 4" xfId="17677" xr:uid="{00000000-0005-0000-0000-0000B0440000}"/>
    <cellStyle name="40% - Accent3 4 2 2 2 4 2" xfId="17678" xr:uid="{00000000-0005-0000-0000-0000B1440000}"/>
    <cellStyle name="40% - Accent3 4 2 2 2 4 2 2" xfId="17679" xr:uid="{00000000-0005-0000-0000-0000B2440000}"/>
    <cellStyle name="40% - Accent3 4 2 2 2 4 2 3" xfId="17680" xr:uid="{00000000-0005-0000-0000-0000B3440000}"/>
    <cellStyle name="40% - Accent3 4 2 2 2 4 3" xfId="17681" xr:uid="{00000000-0005-0000-0000-0000B4440000}"/>
    <cellStyle name="40% - Accent3 4 2 2 2 4 4" xfId="17682" xr:uid="{00000000-0005-0000-0000-0000B5440000}"/>
    <cellStyle name="40% - Accent3 4 2 2 2 5" xfId="17683" xr:uid="{00000000-0005-0000-0000-0000B6440000}"/>
    <cellStyle name="40% - Accent3 4 2 2 2 5 2" xfId="17684" xr:uid="{00000000-0005-0000-0000-0000B7440000}"/>
    <cellStyle name="40% - Accent3 4 2 2 2 5 3" xfId="17685" xr:uid="{00000000-0005-0000-0000-0000B8440000}"/>
    <cellStyle name="40% - Accent3 4 2 2 2 6" xfId="17686" xr:uid="{00000000-0005-0000-0000-0000B9440000}"/>
    <cellStyle name="40% - Accent3 4 2 2 2 7" xfId="17687" xr:uid="{00000000-0005-0000-0000-0000BA440000}"/>
    <cellStyle name="40% - Accent3 4 2 2 2 8" xfId="17688" xr:uid="{00000000-0005-0000-0000-0000BB440000}"/>
    <cellStyle name="40% - Accent3 4 2 2 3" xfId="17689" xr:uid="{00000000-0005-0000-0000-0000BC440000}"/>
    <cellStyle name="40% - Accent3 4 2 2 3 2" xfId="17690" xr:uid="{00000000-0005-0000-0000-0000BD440000}"/>
    <cellStyle name="40% - Accent3 4 2 2 3 2 2" xfId="17691" xr:uid="{00000000-0005-0000-0000-0000BE440000}"/>
    <cellStyle name="40% - Accent3 4 2 2 3 2 2 2" xfId="17692" xr:uid="{00000000-0005-0000-0000-0000BF440000}"/>
    <cellStyle name="40% - Accent3 4 2 2 3 2 2 2 2" xfId="17693" xr:uid="{00000000-0005-0000-0000-0000C0440000}"/>
    <cellStyle name="40% - Accent3 4 2 2 3 2 2 2 3" xfId="17694" xr:uid="{00000000-0005-0000-0000-0000C1440000}"/>
    <cellStyle name="40% - Accent3 4 2 2 3 2 2 3" xfId="17695" xr:uid="{00000000-0005-0000-0000-0000C2440000}"/>
    <cellStyle name="40% - Accent3 4 2 2 3 2 2 4" xfId="17696" xr:uid="{00000000-0005-0000-0000-0000C3440000}"/>
    <cellStyle name="40% - Accent3 4 2 2 3 2 3" xfId="17697" xr:uid="{00000000-0005-0000-0000-0000C4440000}"/>
    <cellStyle name="40% - Accent3 4 2 2 3 2 3 2" xfId="17698" xr:uid="{00000000-0005-0000-0000-0000C5440000}"/>
    <cellStyle name="40% - Accent3 4 2 2 3 2 3 3" xfId="17699" xr:uid="{00000000-0005-0000-0000-0000C6440000}"/>
    <cellStyle name="40% - Accent3 4 2 2 3 2 4" xfId="17700" xr:uid="{00000000-0005-0000-0000-0000C7440000}"/>
    <cellStyle name="40% - Accent3 4 2 2 3 2 5" xfId="17701" xr:uid="{00000000-0005-0000-0000-0000C8440000}"/>
    <cellStyle name="40% - Accent3 4 2 2 3 2 6" xfId="17702" xr:uid="{00000000-0005-0000-0000-0000C9440000}"/>
    <cellStyle name="40% - Accent3 4 2 2 3 3" xfId="17703" xr:uid="{00000000-0005-0000-0000-0000CA440000}"/>
    <cellStyle name="40% - Accent3 4 2 2 3 3 2" xfId="17704" xr:uid="{00000000-0005-0000-0000-0000CB440000}"/>
    <cellStyle name="40% - Accent3 4 2 2 3 3 2 2" xfId="17705" xr:uid="{00000000-0005-0000-0000-0000CC440000}"/>
    <cellStyle name="40% - Accent3 4 2 2 3 3 2 3" xfId="17706" xr:uid="{00000000-0005-0000-0000-0000CD440000}"/>
    <cellStyle name="40% - Accent3 4 2 2 3 3 3" xfId="17707" xr:uid="{00000000-0005-0000-0000-0000CE440000}"/>
    <cellStyle name="40% - Accent3 4 2 2 3 3 4" xfId="17708" xr:uid="{00000000-0005-0000-0000-0000CF440000}"/>
    <cellStyle name="40% - Accent3 4 2 2 3 4" xfId="17709" xr:uid="{00000000-0005-0000-0000-0000D0440000}"/>
    <cellStyle name="40% - Accent3 4 2 2 3 4 2" xfId="17710" xr:uid="{00000000-0005-0000-0000-0000D1440000}"/>
    <cellStyle name="40% - Accent3 4 2 2 3 4 3" xfId="17711" xr:uid="{00000000-0005-0000-0000-0000D2440000}"/>
    <cellStyle name="40% - Accent3 4 2 2 3 5" xfId="17712" xr:uid="{00000000-0005-0000-0000-0000D3440000}"/>
    <cellStyle name="40% - Accent3 4 2 2 3 6" xfId="17713" xr:uid="{00000000-0005-0000-0000-0000D4440000}"/>
    <cellStyle name="40% - Accent3 4 2 2 3 7" xfId="17714" xr:uid="{00000000-0005-0000-0000-0000D5440000}"/>
    <cellStyle name="40% - Accent3 4 2 2 4" xfId="17715" xr:uid="{00000000-0005-0000-0000-0000D6440000}"/>
    <cellStyle name="40% - Accent3 4 2 2 4 2" xfId="17716" xr:uid="{00000000-0005-0000-0000-0000D7440000}"/>
    <cellStyle name="40% - Accent3 4 2 2 4 2 2" xfId="17717" xr:uid="{00000000-0005-0000-0000-0000D8440000}"/>
    <cellStyle name="40% - Accent3 4 2 2 4 2 2 2" xfId="17718" xr:uid="{00000000-0005-0000-0000-0000D9440000}"/>
    <cellStyle name="40% - Accent3 4 2 2 4 2 2 3" xfId="17719" xr:uid="{00000000-0005-0000-0000-0000DA440000}"/>
    <cellStyle name="40% - Accent3 4 2 2 4 2 3" xfId="17720" xr:uid="{00000000-0005-0000-0000-0000DB440000}"/>
    <cellStyle name="40% - Accent3 4 2 2 4 2 4" xfId="17721" xr:uid="{00000000-0005-0000-0000-0000DC440000}"/>
    <cellStyle name="40% - Accent3 4 2 2 4 3" xfId="17722" xr:uid="{00000000-0005-0000-0000-0000DD440000}"/>
    <cellStyle name="40% - Accent3 4 2 2 4 3 2" xfId="17723" xr:uid="{00000000-0005-0000-0000-0000DE440000}"/>
    <cellStyle name="40% - Accent3 4 2 2 4 3 3" xfId="17724" xr:uid="{00000000-0005-0000-0000-0000DF440000}"/>
    <cellStyle name="40% - Accent3 4 2 2 4 4" xfId="17725" xr:uid="{00000000-0005-0000-0000-0000E0440000}"/>
    <cellStyle name="40% - Accent3 4 2 2 4 5" xfId="17726" xr:uid="{00000000-0005-0000-0000-0000E1440000}"/>
    <cellStyle name="40% - Accent3 4 2 2 4 6" xfId="17727" xr:uid="{00000000-0005-0000-0000-0000E2440000}"/>
    <cellStyle name="40% - Accent3 4 2 2 5" xfId="17728" xr:uid="{00000000-0005-0000-0000-0000E3440000}"/>
    <cellStyle name="40% - Accent3 4 2 2 5 2" xfId="17729" xr:uid="{00000000-0005-0000-0000-0000E4440000}"/>
    <cellStyle name="40% - Accent3 4 2 2 5 2 2" xfId="17730" xr:uid="{00000000-0005-0000-0000-0000E5440000}"/>
    <cellStyle name="40% - Accent3 4 2 2 5 2 3" xfId="17731" xr:uid="{00000000-0005-0000-0000-0000E6440000}"/>
    <cellStyle name="40% - Accent3 4 2 2 5 3" xfId="17732" xr:uid="{00000000-0005-0000-0000-0000E7440000}"/>
    <cellStyle name="40% - Accent3 4 2 2 5 4" xfId="17733" xr:uid="{00000000-0005-0000-0000-0000E8440000}"/>
    <cellStyle name="40% - Accent3 4 2 2 6" xfId="17734" xr:uid="{00000000-0005-0000-0000-0000E9440000}"/>
    <cellStyle name="40% - Accent3 4 2 2 6 2" xfId="17735" xr:uid="{00000000-0005-0000-0000-0000EA440000}"/>
    <cellStyle name="40% - Accent3 4 2 2 6 3" xfId="17736" xr:uid="{00000000-0005-0000-0000-0000EB440000}"/>
    <cellStyle name="40% - Accent3 4 2 2 7" xfId="17737" xr:uid="{00000000-0005-0000-0000-0000EC440000}"/>
    <cellStyle name="40% - Accent3 4 2 2 8" xfId="17738" xr:uid="{00000000-0005-0000-0000-0000ED440000}"/>
    <cellStyle name="40% - Accent3 4 2 2 9" xfId="17739" xr:uid="{00000000-0005-0000-0000-0000EE440000}"/>
    <cellStyle name="40% - Accent3 4 2 3" xfId="17740" xr:uid="{00000000-0005-0000-0000-0000EF440000}"/>
    <cellStyle name="40% - Accent3 4 2 3 2" xfId="17741" xr:uid="{00000000-0005-0000-0000-0000F0440000}"/>
    <cellStyle name="40% - Accent3 4 2 3 2 2" xfId="17742" xr:uid="{00000000-0005-0000-0000-0000F1440000}"/>
    <cellStyle name="40% - Accent3 4 2 3 2 2 2" xfId="17743" xr:uid="{00000000-0005-0000-0000-0000F2440000}"/>
    <cellStyle name="40% - Accent3 4 2 3 2 2 2 2" xfId="17744" xr:uid="{00000000-0005-0000-0000-0000F3440000}"/>
    <cellStyle name="40% - Accent3 4 2 3 2 2 2 2 2" xfId="17745" xr:uid="{00000000-0005-0000-0000-0000F4440000}"/>
    <cellStyle name="40% - Accent3 4 2 3 2 2 2 2 3" xfId="17746" xr:uid="{00000000-0005-0000-0000-0000F5440000}"/>
    <cellStyle name="40% - Accent3 4 2 3 2 2 2 3" xfId="17747" xr:uid="{00000000-0005-0000-0000-0000F6440000}"/>
    <cellStyle name="40% - Accent3 4 2 3 2 2 2 4" xfId="17748" xr:uid="{00000000-0005-0000-0000-0000F7440000}"/>
    <cellStyle name="40% - Accent3 4 2 3 2 2 3" xfId="17749" xr:uid="{00000000-0005-0000-0000-0000F8440000}"/>
    <cellStyle name="40% - Accent3 4 2 3 2 2 3 2" xfId="17750" xr:uid="{00000000-0005-0000-0000-0000F9440000}"/>
    <cellStyle name="40% - Accent3 4 2 3 2 2 3 3" xfId="17751" xr:uid="{00000000-0005-0000-0000-0000FA440000}"/>
    <cellStyle name="40% - Accent3 4 2 3 2 2 4" xfId="17752" xr:uid="{00000000-0005-0000-0000-0000FB440000}"/>
    <cellStyle name="40% - Accent3 4 2 3 2 2 5" xfId="17753" xr:uid="{00000000-0005-0000-0000-0000FC440000}"/>
    <cellStyle name="40% - Accent3 4 2 3 2 2 6" xfId="17754" xr:uid="{00000000-0005-0000-0000-0000FD440000}"/>
    <cellStyle name="40% - Accent3 4 2 3 2 3" xfId="17755" xr:uid="{00000000-0005-0000-0000-0000FE440000}"/>
    <cellStyle name="40% - Accent3 4 2 3 2 3 2" xfId="17756" xr:uid="{00000000-0005-0000-0000-0000FF440000}"/>
    <cellStyle name="40% - Accent3 4 2 3 2 3 2 2" xfId="17757" xr:uid="{00000000-0005-0000-0000-000000450000}"/>
    <cellStyle name="40% - Accent3 4 2 3 2 3 2 3" xfId="17758" xr:uid="{00000000-0005-0000-0000-000001450000}"/>
    <cellStyle name="40% - Accent3 4 2 3 2 3 3" xfId="17759" xr:uid="{00000000-0005-0000-0000-000002450000}"/>
    <cellStyle name="40% - Accent3 4 2 3 2 3 4" xfId="17760" xr:uid="{00000000-0005-0000-0000-000003450000}"/>
    <cellStyle name="40% - Accent3 4 2 3 2 4" xfId="17761" xr:uid="{00000000-0005-0000-0000-000004450000}"/>
    <cellStyle name="40% - Accent3 4 2 3 2 4 2" xfId="17762" xr:uid="{00000000-0005-0000-0000-000005450000}"/>
    <cellStyle name="40% - Accent3 4 2 3 2 4 3" xfId="17763" xr:uid="{00000000-0005-0000-0000-000006450000}"/>
    <cellStyle name="40% - Accent3 4 2 3 2 5" xfId="17764" xr:uid="{00000000-0005-0000-0000-000007450000}"/>
    <cellStyle name="40% - Accent3 4 2 3 2 6" xfId="17765" xr:uid="{00000000-0005-0000-0000-000008450000}"/>
    <cellStyle name="40% - Accent3 4 2 3 2 7" xfId="17766" xr:uid="{00000000-0005-0000-0000-000009450000}"/>
    <cellStyle name="40% - Accent3 4 2 3 3" xfId="17767" xr:uid="{00000000-0005-0000-0000-00000A450000}"/>
    <cellStyle name="40% - Accent3 4 2 3 3 2" xfId="17768" xr:uid="{00000000-0005-0000-0000-00000B450000}"/>
    <cellStyle name="40% - Accent3 4 2 3 3 2 2" xfId="17769" xr:uid="{00000000-0005-0000-0000-00000C450000}"/>
    <cellStyle name="40% - Accent3 4 2 3 3 2 2 2" xfId="17770" xr:uid="{00000000-0005-0000-0000-00000D450000}"/>
    <cellStyle name="40% - Accent3 4 2 3 3 2 2 3" xfId="17771" xr:uid="{00000000-0005-0000-0000-00000E450000}"/>
    <cellStyle name="40% - Accent3 4 2 3 3 2 3" xfId="17772" xr:uid="{00000000-0005-0000-0000-00000F450000}"/>
    <cellStyle name="40% - Accent3 4 2 3 3 2 4" xfId="17773" xr:uid="{00000000-0005-0000-0000-000010450000}"/>
    <cellStyle name="40% - Accent3 4 2 3 3 3" xfId="17774" xr:uid="{00000000-0005-0000-0000-000011450000}"/>
    <cellStyle name="40% - Accent3 4 2 3 3 3 2" xfId="17775" xr:uid="{00000000-0005-0000-0000-000012450000}"/>
    <cellStyle name="40% - Accent3 4 2 3 3 3 3" xfId="17776" xr:uid="{00000000-0005-0000-0000-000013450000}"/>
    <cellStyle name="40% - Accent3 4 2 3 3 4" xfId="17777" xr:uid="{00000000-0005-0000-0000-000014450000}"/>
    <cellStyle name="40% - Accent3 4 2 3 3 5" xfId="17778" xr:uid="{00000000-0005-0000-0000-000015450000}"/>
    <cellStyle name="40% - Accent3 4 2 3 3 6" xfId="17779" xr:uid="{00000000-0005-0000-0000-000016450000}"/>
    <cellStyle name="40% - Accent3 4 2 3 4" xfId="17780" xr:uid="{00000000-0005-0000-0000-000017450000}"/>
    <cellStyle name="40% - Accent3 4 2 3 4 2" xfId="17781" xr:uid="{00000000-0005-0000-0000-000018450000}"/>
    <cellStyle name="40% - Accent3 4 2 3 4 2 2" xfId="17782" xr:uid="{00000000-0005-0000-0000-000019450000}"/>
    <cellStyle name="40% - Accent3 4 2 3 4 2 3" xfId="17783" xr:uid="{00000000-0005-0000-0000-00001A450000}"/>
    <cellStyle name="40% - Accent3 4 2 3 4 3" xfId="17784" xr:uid="{00000000-0005-0000-0000-00001B450000}"/>
    <cellStyle name="40% - Accent3 4 2 3 4 4" xfId="17785" xr:uid="{00000000-0005-0000-0000-00001C450000}"/>
    <cellStyle name="40% - Accent3 4 2 3 5" xfId="17786" xr:uid="{00000000-0005-0000-0000-00001D450000}"/>
    <cellStyle name="40% - Accent3 4 2 3 5 2" xfId="17787" xr:uid="{00000000-0005-0000-0000-00001E450000}"/>
    <cellStyle name="40% - Accent3 4 2 3 5 3" xfId="17788" xr:uid="{00000000-0005-0000-0000-00001F450000}"/>
    <cellStyle name="40% - Accent3 4 2 3 6" xfId="17789" xr:uid="{00000000-0005-0000-0000-000020450000}"/>
    <cellStyle name="40% - Accent3 4 2 3 7" xfId="17790" xr:uid="{00000000-0005-0000-0000-000021450000}"/>
    <cellStyle name="40% - Accent3 4 2 3 8" xfId="17791" xr:uid="{00000000-0005-0000-0000-000022450000}"/>
    <cellStyle name="40% - Accent3 4 2 4" xfId="17792" xr:uid="{00000000-0005-0000-0000-000023450000}"/>
    <cellStyle name="40% - Accent3 4 2 4 2" xfId="17793" xr:uid="{00000000-0005-0000-0000-000024450000}"/>
    <cellStyle name="40% - Accent3 4 2 4 2 2" xfId="17794" xr:uid="{00000000-0005-0000-0000-000025450000}"/>
    <cellStyle name="40% - Accent3 4 2 4 2 2 2" xfId="17795" xr:uid="{00000000-0005-0000-0000-000026450000}"/>
    <cellStyle name="40% - Accent3 4 2 4 2 2 2 2" xfId="17796" xr:uid="{00000000-0005-0000-0000-000027450000}"/>
    <cellStyle name="40% - Accent3 4 2 4 2 2 2 3" xfId="17797" xr:uid="{00000000-0005-0000-0000-000028450000}"/>
    <cellStyle name="40% - Accent3 4 2 4 2 2 3" xfId="17798" xr:uid="{00000000-0005-0000-0000-000029450000}"/>
    <cellStyle name="40% - Accent3 4 2 4 2 2 4" xfId="17799" xr:uid="{00000000-0005-0000-0000-00002A450000}"/>
    <cellStyle name="40% - Accent3 4 2 4 2 3" xfId="17800" xr:uid="{00000000-0005-0000-0000-00002B450000}"/>
    <cellStyle name="40% - Accent3 4 2 4 2 3 2" xfId="17801" xr:uid="{00000000-0005-0000-0000-00002C450000}"/>
    <cellStyle name="40% - Accent3 4 2 4 2 3 3" xfId="17802" xr:uid="{00000000-0005-0000-0000-00002D450000}"/>
    <cellStyle name="40% - Accent3 4 2 4 2 4" xfId="17803" xr:uid="{00000000-0005-0000-0000-00002E450000}"/>
    <cellStyle name="40% - Accent3 4 2 4 2 5" xfId="17804" xr:uid="{00000000-0005-0000-0000-00002F450000}"/>
    <cellStyle name="40% - Accent3 4 2 4 2 6" xfId="17805" xr:uid="{00000000-0005-0000-0000-000030450000}"/>
    <cellStyle name="40% - Accent3 4 2 4 3" xfId="17806" xr:uid="{00000000-0005-0000-0000-000031450000}"/>
    <cellStyle name="40% - Accent3 4 2 4 3 2" xfId="17807" xr:uid="{00000000-0005-0000-0000-000032450000}"/>
    <cellStyle name="40% - Accent3 4 2 4 3 2 2" xfId="17808" xr:uid="{00000000-0005-0000-0000-000033450000}"/>
    <cellStyle name="40% - Accent3 4 2 4 3 2 3" xfId="17809" xr:uid="{00000000-0005-0000-0000-000034450000}"/>
    <cellStyle name="40% - Accent3 4 2 4 3 3" xfId="17810" xr:uid="{00000000-0005-0000-0000-000035450000}"/>
    <cellStyle name="40% - Accent3 4 2 4 3 4" xfId="17811" xr:uid="{00000000-0005-0000-0000-000036450000}"/>
    <cellStyle name="40% - Accent3 4 2 4 4" xfId="17812" xr:uid="{00000000-0005-0000-0000-000037450000}"/>
    <cellStyle name="40% - Accent3 4 2 4 4 2" xfId="17813" xr:uid="{00000000-0005-0000-0000-000038450000}"/>
    <cellStyle name="40% - Accent3 4 2 4 4 3" xfId="17814" xr:uid="{00000000-0005-0000-0000-000039450000}"/>
    <cellStyle name="40% - Accent3 4 2 4 5" xfId="17815" xr:uid="{00000000-0005-0000-0000-00003A450000}"/>
    <cellStyle name="40% - Accent3 4 2 4 6" xfId="17816" xr:uid="{00000000-0005-0000-0000-00003B450000}"/>
    <cellStyle name="40% - Accent3 4 2 4 7" xfId="17817" xr:uid="{00000000-0005-0000-0000-00003C450000}"/>
    <cellStyle name="40% - Accent3 4 2 5" xfId="17818" xr:uid="{00000000-0005-0000-0000-00003D450000}"/>
    <cellStyle name="40% - Accent3 4 2 5 2" xfId="17819" xr:uid="{00000000-0005-0000-0000-00003E450000}"/>
    <cellStyle name="40% - Accent3 4 2 5 2 2" xfId="17820" xr:uid="{00000000-0005-0000-0000-00003F450000}"/>
    <cellStyle name="40% - Accent3 4 2 5 2 2 2" xfId="17821" xr:uid="{00000000-0005-0000-0000-000040450000}"/>
    <cellStyle name="40% - Accent3 4 2 5 2 2 3" xfId="17822" xr:uid="{00000000-0005-0000-0000-000041450000}"/>
    <cellStyle name="40% - Accent3 4 2 5 2 3" xfId="17823" xr:uid="{00000000-0005-0000-0000-000042450000}"/>
    <cellStyle name="40% - Accent3 4 2 5 2 4" xfId="17824" xr:uid="{00000000-0005-0000-0000-000043450000}"/>
    <cellStyle name="40% - Accent3 4 2 5 3" xfId="17825" xr:uid="{00000000-0005-0000-0000-000044450000}"/>
    <cellStyle name="40% - Accent3 4 2 5 3 2" xfId="17826" xr:uid="{00000000-0005-0000-0000-000045450000}"/>
    <cellStyle name="40% - Accent3 4 2 5 3 3" xfId="17827" xr:uid="{00000000-0005-0000-0000-000046450000}"/>
    <cellStyle name="40% - Accent3 4 2 5 4" xfId="17828" xr:uid="{00000000-0005-0000-0000-000047450000}"/>
    <cellStyle name="40% - Accent3 4 2 5 5" xfId="17829" xr:uid="{00000000-0005-0000-0000-000048450000}"/>
    <cellStyle name="40% - Accent3 4 2 5 6" xfId="17830" xr:uid="{00000000-0005-0000-0000-000049450000}"/>
    <cellStyle name="40% - Accent3 4 2 6" xfId="17831" xr:uid="{00000000-0005-0000-0000-00004A450000}"/>
    <cellStyle name="40% - Accent3 4 2 6 2" xfId="17832" xr:uid="{00000000-0005-0000-0000-00004B450000}"/>
    <cellStyle name="40% - Accent3 4 2 6 2 2" xfId="17833" xr:uid="{00000000-0005-0000-0000-00004C450000}"/>
    <cellStyle name="40% - Accent3 4 2 6 2 3" xfId="17834" xr:uid="{00000000-0005-0000-0000-00004D450000}"/>
    <cellStyle name="40% - Accent3 4 2 6 3" xfId="17835" xr:uid="{00000000-0005-0000-0000-00004E450000}"/>
    <cellStyle name="40% - Accent3 4 2 6 4" xfId="17836" xr:uid="{00000000-0005-0000-0000-00004F450000}"/>
    <cellStyle name="40% - Accent3 4 2 7" xfId="17837" xr:uid="{00000000-0005-0000-0000-000050450000}"/>
    <cellStyle name="40% - Accent3 4 2 7 2" xfId="17838" xr:uid="{00000000-0005-0000-0000-000051450000}"/>
    <cellStyle name="40% - Accent3 4 2 7 3" xfId="17839" xr:uid="{00000000-0005-0000-0000-000052450000}"/>
    <cellStyle name="40% - Accent3 4 2 8" xfId="17840" xr:uid="{00000000-0005-0000-0000-000053450000}"/>
    <cellStyle name="40% - Accent3 4 2 9" xfId="17841" xr:uid="{00000000-0005-0000-0000-000054450000}"/>
    <cellStyle name="40% - Accent3 4 3" xfId="17842" xr:uid="{00000000-0005-0000-0000-000055450000}"/>
    <cellStyle name="40% - Accent3 4 3 2" xfId="17843" xr:uid="{00000000-0005-0000-0000-000056450000}"/>
    <cellStyle name="40% - Accent3 4 3 2 2" xfId="17844" xr:uid="{00000000-0005-0000-0000-000057450000}"/>
    <cellStyle name="40% - Accent3 4 3 2 2 2" xfId="17845" xr:uid="{00000000-0005-0000-0000-000058450000}"/>
    <cellStyle name="40% - Accent3 4 3 2 2 2 2" xfId="17846" xr:uid="{00000000-0005-0000-0000-000059450000}"/>
    <cellStyle name="40% - Accent3 4 3 2 2 2 2 2" xfId="17847" xr:uid="{00000000-0005-0000-0000-00005A450000}"/>
    <cellStyle name="40% - Accent3 4 3 2 2 2 2 2 2" xfId="17848" xr:uid="{00000000-0005-0000-0000-00005B450000}"/>
    <cellStyle name="40% - Accent3 4 3 2 2 2 2 2 3" xfId="17849" xr:uid="{00000000-0005-0000-0000-00005C450000}"/>
    <cellStyle name="40% - Accent3 4 3 2 2 2 2 3" xfId="17850" xr:uid="{00000000-0005-0000-0000-00005D450000}"/>
    <cellStyle name="40% - Accent3 4 3 2 2 2 2 4" xfId="17851" xr:uid="{00000000-0005-0000-0000-00005E450000}"/>
    <cellStyle name="40% - Accent3 4 3 2 2 2 3" xfId="17852" xr:uid="{00000000-0005-0000-0000-00005F450000}"/>
    <cellStyle name="40% - Accent3 4 3 2 2 2 3 2" xfId="17853" xr:uid="{00000000-0005-0000-0000-000060450000}"/>
    <cellStyle name="40% - Accent3 4 3 2 2 2 3 3" xfId="17854" xr:uid="{00000000-0005-0000-0000-000061450000}"/>
    <cellStyle name="40% - Accent3 4 3 2 2 2 4" xfId="17855" xr:uid="{00000000-0005-0000-0000-000062450000}"/>
    <cellStyle name="40% - Accent3 4 3 2 2 2 5" xfId="17856" xr:uid="{00000000-0005-0000-0000-000063450000}"/>
    <cellStyle name="40% - Accent3 4 3 2 2 2 6" xfId="17857" xr:uid="{00000000-0005-0000-0000-000064450000}"/>
    <cellStyle name="40% - Accent3 4 3 2 2 3" xfId="17858" xr:uid="{00000000-0005-0000-0000-000065450000}"/>
    <cellStyle name="40% - Accent3 4 3 2 2 3 2" xfId="17859" xr:uid="{00000000-0005-0000-0000-000066450000}"/>
    <cellStyle name="40% - Accent3 4 3 2 2 3 2 2" xfId="17860" xr:uid="{00000000-0005-0000-0000-000067450000}"/>
    <cellStyle name="40% - Accent3 4 3 2 2 3 2 3" xfId="17861" xr:uid="{00000000-0005-0000-0000-000068450000}"/>
    <cellStyle name="40% - Accent3 4 3 2 2 3 3" xfId="17862" xr:uid="{00000000-0005-0000-0000-000069450000}"/>
    <cellStyle name="40% - Accent3 4 3 2 2 3 4" xfId="17863" xr:uid="{00000000-0005-0000-0000-00006A450000}"/>
    <cellStyle name="40% - Accent3 4 3 2 2 4" xfId="17864" xr:uid="{00000000-0005-0000-0000-00006B450000}"/>
    <cellStyle name="40% - Accent3 4 3 2 2 4 2" xfId="17865" xr:uid="{00000000-0005-0000-0000-00006C450000}"/>
    <cellStyle name="40% - Accent3 4 3 2 2 4 3" xfId="17866" xr:uid="{00000000-0005-0000-0000-00006D450000}"/>
    <cellStyle name="40% - Accent3 4 3 2 2 5" xfId="17867" xr:uid="{00000000-0005-0000-0000-00006E450000}"/>
    <cellStyle name="40% - Accent3 4 3 2 2 6" xfId="17868" xr:uid="{00000000-0005-0000-0000-00006F450000}"/>
    <cellStyle name="40% - Accent3 4 3 2 2 7" xfId="17869" xr:uid="{00000000-0005-0000-0000-000070450000}"/>
    <cellStyle name="40% - Accent3 4 3 2 3" xfId="17870" xr:uid="{00000000-0005-0000-0000-000071450000}"/>
    <cellStyle name="40% - Accent3 4 3 2 3 2" xfId="17871" xr:uid="{00000000-0005-0000-0000-000072450000}"/>
    <cellStyle name="40% - Accent3 4 3 2 3 2 2" xfId="17872" xr:uid="{00000000-0005-0000-0000-000073450000}"/>
    <cellStyle name="40% - Accent3 4 3 2 3 2 2 2" xfId="17873" xr:uid="{00000000-0005-0000-0000-000074450000}"/>
    <cellStyle name="40% - Accent3 4 3 2 3 2 2 3" xfId="17874" xr:uid="{00000000-0005-0000-0000-000075450000}"/>
    <cellStyle name="40% - Accent3 4 3 2 3 2 3" xfId="17875" xr:uid="{00000000-0005-0000-0000-000076450000}"/>
    <cellStyle name="40% - Accent3 4 3 2 3 2 4" xfId="17876" xr:uid="{00000000-0005-0000-0000-000077450000}"/>
    <cellStyle name="40% - Accent3 4 3 2 3 3" xfId="17877" xr:uid="{00000000-0005-0000-0000-000078450000}"/>
    <cellStyle name="40% - Accent3 4 3 2 3 3 2" xfId="17878" xr:uid="{00000000-0005-0000-0000-000079450000}"/>
    <cellStyle name="40% - Accent3 4 3 2 3 3 3" xfId="17879" xr:uid="{00000000-0005-0000-0000-00007A450000}"/>
    <cellStyle name="40% - Accent3 4 3 2 3 4" xfId="17880" xr:uid="{00000000-0005-0000-0000-00007B450000}"/>
    <cellStyle name="40% - Accent3 4 3 2 3 5" xfId="17881" xr:uid="{00000000-0005-0000-0000-00007C450000}"/>
    <cellStyle name="40% - Accent3 4 3 2 3 6" xfId="17882" xr:uid="{00000000-0005-0000-0000-00007D450000}"/>
    <cellStyle name="40% - Accent3 4 3 2 4" xfId="17883" xr:uid="{00000000-0005-0000-0000-00007E450000}"/>
    <cellStyle name="40% - Accent3 4 3 2 4 2" xfId="17884" xr:uid="{00000000-0005-0000-0000-00007F450000}"/>
    <cellStyle name="40% - Accent3 4 3 2 4 2 2" xfId="17885" xr:uid="{00000000-0005-0000-0000-000080450000}"/>
    <cellStyle name="40% - Accent3 4 3 2 4 2 3" xfId="17886" xr:uid="{00000000-0005-0000-0000-000081450000}"/>
    <cellStyle name="40% - Accent3 4 3 2 4 3" xfId="17887" xr:uid="{00000000-0005-0000-0000-000082450000}"/>
    <cellStyle name="40% - Accent3 4 3 2 4 4" xfId="17888" xr:uid="{00000000-0005-0000-0000-000083450000}"/>
    <cellStyle name="40% - Accent3 4 3 2 5" xfId="17889" xr:uid="{00000000-0005-0000-0000-000084450000}"/>
    <cellStyle name="40% - Accent3 4 3 2 5 2" xfId="17890" xr:uid="{00000000-0005-0000-0000-000085450000}"/>
    <cellStyle name="40% - Accent3 4 3 2 5 3" xfId="17891" xr:uid="{00000000-0005-0000-0000-000086450000}"/>
    <cellStyle name="40% - Accent3 4 3 2 6" xfId="17892" xr:uid="{00000000-0005-0000-0000-000087450000}"/>
    <cellStyle name="40% - Accent3 4 3 2 7" xfId="17893" xr:uid="{00000000-0005-0000-0000-000088450000}"/>
    <cellStyle name="40% - Accent3 4 3 2 8" xfId="17894" xr:uid="{00000000-0005-0000-0000-000089450000}"/>
    <cellStyle name="40% - Accent3 4 3 3" xfId="17895" xr:uid="{00000000-0005-0000-0000-00008A450000}"/>
    <cellStyle name="40% - Accent3 4 3 3 2" xfId="17896" xr:uid="{00000000-0005-0000-0000-00008B450000}"/>
    <cellStyle name="40% - Accent3 4 3 3 2 2" xfId="17897" xr:uid="{00000000-0005-0000-0000-00008C450000}"/>
    <cellStyle name="40% - Accent3 4 3 3 2 2 2" xfId="17898" xr:uid="{00000000-0005-0000-0000-00008D450000}"/>
    <cellStyle name="40% - Accent3 4 3 3 2 2 2 2" xfId="17899" xr:uid="{00000000-0005-0000-0000-00008E450000}"/>
    <cellStyle name="40% - Accent3 4 3 3 2 2 2 3" xfId="17900" xr:uid="{00000000-0005-0000-0000-00008F450000}"/>
    <cellStyle name="40% - Accent3 4 3 3 2 2 3" xfId="17901" xr:uid="{00000000-0005-0000-0000-000090450000}"/>
    <cellStyle name="40% - Accent3 4 3 3 2 2 4" xfId="17902" xr:uid="{00000000-0005-0000-0000-000091450000}"/>
    <cellStyle name="40% - Accent3 4 3 3 2 3" xfId="17903" xr:uid="{00000000-0005-0000-0000-000092450000}"/>
    <cellStyle name="40% - Accent3 4 3 3 2 3 2" xfId="17904" xr:uid="{00000000-0005-0000-0000-000093450000}"/>
    <cellStyle name="40% - Accent3 4 3 3 2 3 3" xfId="17905" xr:uid="{00000000-0005-0000-0000-000094450000}"/>
    <cellStyle name="40% - Accent3 4 3 3 2 4" xfId="17906" xr:uid="{00000000-0005-0000-0000-000095450000}"/>
    <cellStyle name="40% - Accent3 4 3 3 2 5" xfId="17907" xr:uid="{00000000-0005-0000-0000-000096450000}"/>
    <cellStyle name="40% - Accent3 4 3 3 2 6" xfId="17908" xr:uid="{00000000-0005-0000-0000-000097450000}"/>
    <cellStyle name="40% - Accent3 4 3 3 3" xfId="17909" xr:uid="{00000000-0005-0000-0000-000098450000}"/>
    <cellStyle name="40% - Accent3 4 3 3 3 2" xfId="17910" xr:uid="{00000000-0005-0000-0000-000099450000}"/>
    <cellStyle name="40% - Accent3 4 3 3 3 2 2" xfId="17911" xr:uid="{00000000-0005-0000-0000-00009A450000}"/>
    <cellStyle name="40% - Accent3 4 3 3 3 2 3" xfId="17912" xr:uid="{00000000-0005-0000-0000-00009B450000}"/>
    <cellStyle name="40% - Accent3 4 3 3 3 3" xfId="17913" xr:uid="{00000000-0005-0000-0000-00009C450000}"/>
    <cellStyle name="40% - Accent3 4 3 3 3 4" xfId="17914" xr:uid="{00000000-0005-0000-0000-00009D450000}"/>
    <cellStyle name="40% - Accent3 4 3 3 4" xfId="17915" xr:uid="{00000000-0005-0000-0000-00009E450000}"/>
    <cellStyle name="40% - Accent3 4 3 3 4 2" xfId="17916" xr:uid="{00000000-0005-0000-0000-00009F450000}"/>
    <cellStyle name="40% - Accent3 4 3 3 4 3" xfId="17917" xr:uid="{00000000-0005-0000-0000-0000A0450000}"/>
    <cellStyle name="40% - Accent3 4 3 3 5" xfId="17918" xr:uid="{00000000-0005-0000-0000-0000A1450000}"/>
    <cellStyle name="40% - Accent3 4 3 3 6" xfId="17919" xr:uid="{00000000-0005-0000-0000-0000A2450000}"/>
    <cellStyle name="40% - Accent3 4 3 3 7" xfId="17920" xr:uid="{00000000-0005-0000-0000-0000A3450000}"/>
    <cellStyle name="40% - Accent3 4 3 4" xfId="17921" xr:uid="{00000000-0005-0000-0000-0000A4450000}"/>
    <cellStyle name="40% - Accent3 4 3 4 2" xfId="17922" xr:uid="{00000000-0005-0000-0000-0000A5450000}"/>
    <cellStyle name="40% - Accent3 4 3 4 2 2" xfId="17923" xr:uid="{00000000-0005-0000-0000-0000A6450000}"/>
    <cellStyle name="40% - Accent3 4 3 4 2 2 2" xfId="17924" xr:uid="{00000000-0005-0000-0000-0000A7450000}"/>
    <cellStyle name="40% - Accent3 4 3 4 2 2 3" xfId="17925" xr:uid="{00000000-0005-0000-0000-0000A8450000}"/>
    <cellStyle name="40% - Accent3 4 3 4 2 3" xfId="17926" xr:uid="{00000000-0005-0000-0000-0000A9450000}"/>
    <cellStyle name="40% - Accent3 4 3 4 2 4" xfId="17927" xr:uid="{00000000-0005-0000-0000-0000AA450000}"/>
    <cellStyle name="40% - Accent3 4 3 4 3" xfId="17928" xr:uid="{00000000-0005-0000-0000-0000AB450000}"/>
    <cellStyle name="40% - Accent3 4 3 4 3 2" xfId="17929" xr:uid="{00000000-0005-0000-0000-0000AC450000}"/>
    <cellStyle name="40% - Accent3 4 3 4 3 3" xfId="17930" xr:uid="{00000000-0005-0000-0000-0000AD450000}"/>
    <cellStyle name="40% - Accent3 4 3 4 4" xfId="17931" xr:uid="{00000000-0005-0000-0000-0000AE450000}"/>
    <cellStyle name="40% - Accent3 4 3 4 5" xfId="17932" xr:uid="{00000000-0005-0000-0000-0000AF450000}"/>
    <cellStyle name="40% - Accent3 4 3 4 6" xfId="17933" xr:uid="{00000000-0005-0000-0000-0000B0450000}"/>
    <cellStyle name="40% - Accent3 4 3 5" xfId="17934" xr:uid="{00000000-0005-0000-0000-0000B1450000}"/>
    <cellStyle name="40% - Accent3 4 3 5 2" xfId="17935" xr:uid="{00000000-0005-0000-0000-0000B2450000}"/>
    <cellStyle name="40% - Accent3 4 3 5 2 2" xfId="17936" xr:uid="{00000000-0005-0000-0000-0000B3450000}"/>
    <cellStyle name="40% - Accent3 4 3 5 2 3" xfId="17937" xr:uid="{00000000-0005-0000-0000-0000B4450000}"/>
    <cellStyle name="40% - Accent3 4 3 5 3" xfId="17938" xr:uid="{00000000-0005-0000-0000-0000B5450000}"/>
    <cellStyle name="40% - Accent3 4 3 5 4" xfId="17939" xr:uid="{00000000-0005-0000-0000-0000B6450000}"/>
    <cellStyle name="40% - Accent3 4 3 6" xfId="17940" xr:uid="{00000000-0005-0000-0000-0000B7450000}"/>
    <cellStyle name="40% - Accent3 4 3 6 2" xfId="17941" xr:uid="{00000000-0005-0000-0000-0000B8450000}"/>
    <cellStyle name="40% - Accent3 4 3 6 3" xfId="17942" xr:uid="{00000000-0005-0000-0000-0000B9450000}"/>
    <cellStyle name="40% - Accent3 4 3 7" xfId="17943" xr:uid="{00000000-0005-0000-0000-0000BA450000}"/>
    <cellStyle name="40% - Accent3 4 3 8" xfId="17944" xr:uid="{00000000-0005-0000-0000-0000BB450000}"/>
    <cellStyle name="40% - Accent3 4 3 9" xfId="17945" xr:uid="{00000000-0005-0000-0000-0000BC450000}"/>
    <cellStyle name="40% - Accent3 4 4" xfId="17946" xr:uid="{00000000-0005-0000-0000-0000BD450000}"/>
    <cellStyle name="40% - Accent3 4 4 2" xfId="17947" xr:uid="{00000000-0005-0000-0000-0000BE450000}"/>
    <cellStyle name="40% - Accent3 4 4 2 2" xfId="17948" xr:uid="{00000000-0005-0000-0000-0000BF450000}"/>
    <cellStyle name="40% - Accent3 4 4 2 2 2" xfId="17949" xr:uid="{00000000-0005-0000-0000-0000C0450000}"/>
    <cellStyle name="40% - Accent3 4 4 2 2 2 2" xfId="17950" xr:uid="{00000000-0005-0000-0000-0000C1450000}"/>
    <cellStyle name="40% - Accent3 4 4 2 2 2 2 2" xfId="17951" xr:uid="{00000000-0005-0000-0000-0000C2450000}"/>
    <cellStyle name="40% - Accent3 4 4 2 2 2 2 3" xfId="17952" xr:uid="{00000000-0005-0000-0000-0000C3450000}"/>
    <cellStyle name="40% - Accent3 4 4 2 2 2 3" xfId="17953" xr:uid="{00000000-0005-0000-0000-0000C4450000}"/>
    <cellStyle name="40% - Accent3 4 4 2 2 2 4" xfId="17954" xr:uid="{00000000-0005-0000-0000-0000C5450000}"/>
    <cellStyle name="40% - Accent3 4 4 2 2 3" xfId="17955" xr:uid="{00000000-0005-0000-0000-0000C6450000}"/>
    <cellStyle name="40% - Accent3 4 4 2 2 3 2" xfId="17956" xr:uid="{00000000-0005-0000-0000-0000C7450000}"/>
    <cellStyle name="40% - Accent3 4 4 2 2 3 3" xfId="17957" xr:uid="{00000000-0005-0000-0000-0000C8450000}"/>
    <cellStyle name="40% - Accent3 4 4 2 2 4" xfId="17958" xr:uid="{00000000-0005-0000-0000-0000C9450000}"/>
    <cellStyle name="40% - Accent3 4 4 2 2 5" xfId="17959" xr:uid="{00000000-0005-0000-0000-0000CA450000}"/>
    <cellStyle name="40% - Accent3 4 4 2 2 6" xfId="17960" xr:uid="{00000000-0005-0000-0000-0000CB450000}"/>
    <cellStyle name="40% - Accent3 4 4 2 3" xfId="17961" xr:uid="{00000000-0005-0000-0000-0000CC450000}"/>
    <cellStyle name="40% - Accent3 4 4 2 3 2" xfId="17962" xr:uid="{00000000-0005-0000-0000-0000CD450000}"/>
    <cellStyle name="40% - Accent3 4 4 2 3 2 2" xfId="17963" xr:uid="{00000000-0005-0000-0000-0000CE450000}"/>
    <cellStyle name="40% - Accent3 4 4 2 3 2 3" xfId="17964" xr:uid="{00000000-0005-0000-0000-0000CF450000}"/>
    <cellStyle name="40% - Accent3 4 4 2 3 3" xfId="17965" xr:uid="{00000000-0005-0000-0000-0000D0450000}"/>
    <cellStyle name="40% - Accent3 4 4 2 3 4" xfId="17966" xr:uid="{00000000-0005-0000-0000-0000D1450000}"/>
    <cellStyle name="40% - Accent3 4 4 2 4" xfId="17967" xr:uid="{00000000-0005-0000-0000-0000D2450000}"/>
    <cellStyle name="40% - Accent3 4 4 2 4 2" xfId="17968" xr:uid="{00000000-0005-0000-0000-0000D3450000}"/>
    <cellStyle name="40% - Accent3 4 4 2 4 3" xfId="17969" xr:uid="{00000000-0005-0000-0000-0000D4450000}"/>
    <cellStyle name="40% - Accent3 4 4 2 5" xfId="17970" xr:uid="{00000000-0005-0000-0000-0000D5450000}"/>
    <cellStyle name="40% - Accent3 4 4 2 6" xfId="17971" xr:uid="{00000000-0005-0000-0000-0000D6450000}"/>
    <cellStyle name="40% - Accent3 4 4 2 7" xfId="17972" xr:uid="{00000000-0005-0000-0000-0000D7450000}"/>
    <cellStyle name="40% - Accent3 4 4 3" xfId="17973" xr:uid="{00000000-0005-0000-0000-0000D8450000}"/>
    <cellStyle name="40% - Accent3 4 4 3 2" xfId="17974" xr:uid="{00000000-0005-0000-0000-0000D9450000}"/>
    <cellStyle name="40% - Accent3 4 4 3 2 2" xfId="17975" xr:uid="{00000000-0005-0000-0000-0000DA450000}"/>
    <cellStyle name="40% - Accent3 4 4 3 2 2 2" xfId="17976" xr:uid="{00000000-0005-0000-0000-0000DB450000}"/>
    <cellStyle name="40% - Accent3 4 4 3 2 2 3" xfId="17977" xr:uid="{00000000-0005-0000-0000-0000DC450000}"/>
    <cellStyle name="40% - Accent3 4 4 3 2 3" xfId="17978" xr:uid="{00000000-0005-0000-0000-0000DD450000}"/>
    <cellStyle name="40% - Accent3 4 4 3 2 4" xfId="17979" xr:uid="{00000000-0005-0000-0000-0000DE450000}"/>
    <cellStyle name="40% - Accent3 4 4 3 3" xfId="17980" xr:uid="{00000000-0005-0000-0000-0000DF450000}"/>
    <cellStyle name="40% - Accent3 4 4 3 3 2" xfId="17981" xr:uid="{00000000-0005-0000-0000-0000E0450000}"/>
    <cellStyle name="40% - Accent3 4 4 3 3 3" xfId="17982" xr:uid="{00000000-0005-0000-0000-0000E1450000}"/>
    <cellStyle name="40% - Accent3 4 4 3 4" xfId="17983" xr:uid="{00000000-0005-0000-0000-0000E2450000}"/>
    <cellStyle name="40% - Accent3 4 4 3 5" xfId="17984" xr:uid="{00000000-0005-0000-0000-0000E3450000}"/>
    <cellStyle name="40% - Accent3 4 4 3 6" xfId="17985" xr:uid="{00000000-0005-0000-0000-0000E4450000}"/>
    <cellStyle name="40% - Accent3 4 4 4" xfId="17986" xr:uid="{00000000-0005-0000-0000-0000E5450000}"/>
    <cellStyle name="40% - Accent3 4 4 4 2" xfId="17987" xr:uid="{00000000-0005-0000-0000-0000E6450000}"/>
    <cellStyle name="40% - Accent3 4 4 4 2 2" xfId="17988" xr:uid="{00000000-0005-0000-0000-0000E7450000}"/>
    <cellStyle name="40% - Accent3 4 4 4 2 3" xfId="17989" xr:uid="{00000000-0005-0000-0000-0000E8450000}"/>
    <cellStyle name="40% - Accent3 4 4 4 3" xfId="17990" xr:uid="{00000000-0005-0000-0000-0000E9450000}"/>
    <cellStyle name="40% - Accent3 4 4 4 4" xfId="17991" xr:uid="{00000000-0005-0000-0000-0000EA450000}"/>
    <cellStyle name="40% - Accent3 4 4 5" xfId="17992" xr:uid="{00000000-0005-0000-0000-0000EB450000}"/>
    <cellStyle name="40% - Accent3 4 4 5 2" xfId="17993" xr:uid="{00000000-0005-0000-0000-0000EC450000}"/>
    <cellStyle name="40% - Accent3 4 4 5 3" xfId="17994" xr:uid="{00000000-0005-0000-0000-0000ED450000}"/>
    <cellStyle name="40% - Accent3 4 4 6" xfId="17995" xr:uid="{00000000-0005-0000-0000-0000EE450000}"/>
    <cellStyle name="40% - Accent3 4 4 7" xfId="17996" xr:uid="{00000000-0005-0000-0000-0000EF450000}"/>
    <cellStyle name="40% - Accent3 4 4 8" xfId="17997" xr:uid="{00000000-0005-0000-0000-0000F0450000}"/>
    <cellStyle name="40% - Accent3 4 5" xfId="17998" xr:uid="{00000000-0005-0000-0000-0000F1450000}"/>
    <cellStyle name="40% - Accent3 4 5 2" xfId="17999" xr:uid="{00000000-0005-0000-0000-0000F2450000}"/>
    <cellStyle name="40% - Accent3 4 5 2 2" xfId="18000" xr:uid="{00000000-0005-0000-0000-0000F3450000}"/>
    <cellStyle name="40% - Accent3 4 5 2 2 2" xfId="18001" xr:uid="{00000000-0005-0000-0000-0000F4450000}"/>
    <cellStyle name="40% - Accent3 4 5 2 2 2 2" xfId="18002" xr:uid="{00000000-0005-0000-0000-0000F5450000}"/>
    <cellStyle name="40% - Accent3 4 5 2 2 2 3" xfId="18003" xr:uid="{00000000-0005-0000-0000-0000F6450000}"/>
    <cellStyle name="40% - Accent3 4 5 2 2 3" xfId="18004" xr:uid="{00000000-0005-0000-0000-0000F7450000}"/>
    <cellStyle name="40% - Accent3 4 5 2 2 4" xfId="18005" xr:uid="{00000000-0005-0000-0000-0000F8450000}"/>
    <cellStyle name="40% - Accent3 4 5 2 3" xfId="18006" xr:uid="{00000000-0005-0000-0000-0000F9450000}"/>
    <cellStyle name="40% - Accent3 4 5 2 3 2" xfId="18007" xr:uid="{00000000-0005-0000-0000-0000FA450000}"/>
    <cellStyle name="40% - Accent3 4 5 2 3 3" xfId="18008" xr:uid="{00000000-0005-0000-0000-0000FB450000}"/>
    <cellStyle name="40% - Accent3 4 5 2 4" xfId="18009" xr:uid="{00000000-0005-0000-0000-0000FC450000}"/>
    <cellStyle name="40% - Accent3 4 5 2 5" xfId="18010" xr:uid="{00000000-0005-0000-0000-0000FD450000}"/>
    <cellStyle name="40% - Accent3 4 5 2 6" xfId="18011" xr:uid="{00000000-0005-0000-0000-0000FE450000}"/>
    <cellStyle name="40% - Accent3 4 5 3" xfId="18012" xr:uid="{00000000-0005-0000-0000-0000FF450000}"/>
    <cellStyle name="40% - Accent3 4 5 3 2" xfId="18013" xr:uid="{00000000-0005-0000-0000-000000460000}"/>
    <cellStyle name="40% - Accent3 4 5 3 2 2" xfId="18014" xr:uid="{00000000-0005-0000-0000-000001460000}"/>
    <cellStyle name="40% - Accent3 4 5 3 2 3" xfId="18015" xr:uid="{00000000-0005-0000-0000-000002460000}"/>
    <cellStyle name="40% - Accent3 4 5 3 3" xfId="18016" xr:uid="{00000000-0005-0000-0000-000003460000}"/>
    <cellStyle name="40% - Accent3 4 5 3 4" xfId="18017" xr:uid="{00000000-0005-0000-0000-000004460000}"/>
    <cellStyle name="40% - Accent3 4 5 4" xfId="18018" xr:uid="{00000000-0005-0000-0000-000005460000}"/>
    <cellStyle name="40% - Accent3 4 5 4 2" xfId="18019" xr:uid="{00000000-0005-0000-0000-000006460000}"/>
    <cellStyle name="40% - Accent3 4 5 4 3" xfId="18020" xr:uid="{00000000-0005-0000-0000-000007460000}"/>
    <cellStyle name="40% - Accent3 4 5 5" xfId="18021" xr:uid="{00000000-0005-0000-0000-000008460000}"/>
    <cellStyle name="40% - Accent3 4 5 6" xfId="18022" xr:uid="{00000000-0005-0000-0000-000009460000}"/>
    <cellStyle name="40% - Accent3 4 5 7" xfId="18023" xr:uid="{00000000-0005-0000-0000-00000A460000}"/>
    <cellStyle name="40% - Accent3 4 6" xfId="18024" xr:uid="{00000000-0005-0000-0000-00000B460000}"/>
    <cellStyle name="40% - Accent3 4 6 2" xfId="18025" xr:uid="{00000000-0005-0000-0000-00000C460000}"/>
    <cellStyle name="40% - Accent3 4 6 2 2" xfId="18026" xr:uid="{00000000-0005-0000-0000-00000D460000}"/>
    <cellStyle name="40% - Accent3 4 6 2 2 2" xfId="18027" xr:uid="{00000000-0005-0000-0000-00000E460000}"/>
    <cellStyle name="40% - Accent3 4 6 2 2 3" xfId="18028" xr:uid="{00000000-0005-0000-0000-00000F460000}"/>
    <cellStyle name="40% - Accent3 4 6 2 3" xfId="18029" xr:uid="{00000000-0005-0000-0000-000010460000}"/>
    <cellStyle name="40% - Accent3 4 6 2 4" xfId="18030" xr:uid="{00000000-0005-0000-0000-000011460000}"/>
    <cellStyle name="40% - Accent3 4 6 3" xfId="18031" xr:uid="{00000000-0005-0000-0000-000012460000}"/>
    <cellStyle name="40% - Accent3 4 6 3 2" xfId="18032" xr:uid="{00000000-0005-0000-0000-000013460000}"/>
    <cellStyle name="40% - Accent3 4 6 3 3" xfId="18033" xr:uid="{00000000-0005-0000-0000-000014460000}"/>
    <cellStyle name="40% - Accent3 4 6 4" xfId="18034" xr:uid="{00000000-0005-0000-0000-000015460000}"/>
    <cellStyle name="40% - Accent3 4 6 5" xfId="18035" xr:uid="{00000000-0005-0000-0000-000016460000}"/>
    <cellStyle name="40% - Accent3 4 6 6" xfId="18036" xr:uid="{00000000-0005-0000-0000-000017460000}"/>
    <cellStyle name="40% - Accent3 4 7" xfId="18037" xr:uid="{00000000-0005-0000-0000-000018460000}"/>
    <cellStyle name="40% - Accent3 4 7 2" xfId="18038" xr:uid="{00000000-0005-0000-0000-000019460000}"/>
    <cellStyle name="40% - Accent3 4 7 2 2" xfId="18039" xr:uid="{00000000-0005-0000-0000-00001A460000}"/>
    <cellStyle name="40% - Accent3 4 7 2 3" xfId="18040" xr:uid="{00000000-0005-0000-0000-00001B460000}"/>
    <cellStyle name="40% - Accent3 4 7 3" xfId="18041" xr:uid="{00000000-0005-0000-0000-00001C460000}"/>
    <cellStyle name="40% - Accent3 4 7 4" xfId="18042" xr:uid="{00000000-0005-0000-0000-00001D460000}"/>
    <cellStyle name="40% - Accent3 4 8" xfId="18043" xr:uid="{00000000-0005-0000-0000-00001E460000}"/>
    <cellStyle name="40% - Accent3 4 8 2" xfId="18044" xr:uid="{00000000-0005-0000-0000-00001F460000}"/>
    <cellStyle name="40% - Accent3 4 8 3" xfId="18045" xr:uid="{00000000-0005-0000-0000-000020460000}"/>
    <cellStyle name="40% - Accent3 4 9" xfId="18046" xr:uid="{00000000-0005-0000-0000-000021460000}"/>
    <cellStyle name="40% - Accent3 5" xfId="18047" xr:uid="{00000000-0005-0000-0000-000022460000}"/>
    <cellStyle name="40% - Accent3 5 10" xfId="18048" xr:uid="{00000000-0005-0000-0000-000023460000}"/>
    <cellStyle name="40% - Accent3 5 2" xfId="18049" xr:uid="{00000000-0005-0000-0000-000024460000}"/>
    <cellStyle name="40% - Accent3 5 2 2" xfId="18050" xr:uid="{00000000-0005-0000-0000-000025460000}"/>
    <cellStyle name="40% - Accent3 5 2 2 2" xfId="18051" xr:uid="{00000000-0005-0000-0000-000026460000}"/>
    <cellStyle name="40% - Accent3 5 2 2 2 2" xfId="18052" xr:uid="{00000000-0005-0000-0000-000027460000}"/>
    <cellStyle name="40% - Accent3 5 2 2 2 2 2" xfId="18053" xr:uid="{00000000-0005-0000-0000-000028460000}"/>
    <cellStyle name="40% - Accent3 5 2 2 2 2 2 2" xfId="18054" xr:uid="{00000000-0005-0000-0000-000029460000}"/>
    <cellStyle name="40% - Accent3 5 2 2 2 2 2 2 2" xfId="18055" xr:uid="{00000000-0005-0000-0000-00002A460000}"/>
    <cellStyle name="40% - Accent3 5 2 2 2 2 2 2 3" xfId="18056" xr:uid="{00000000-0005-0000-0000-00002B460000}"/>
    <cellStyle name="40% - Accent3 5 2 2 2 2 2 3" xfId="18057" xr:uid="{00000000-0005-0000-0000-00002C460000}"/>
    <cellStyle name="40% - Accent3 5 2 2 2 2 2 4" xfId="18058" xr:uid="{00000000-0005-0000-0000-00002D460000}"/>
    <cellStyle name="40% - Accent3 5 2 2 2 2 3" xfId="18059" xr:uid="{00000000-0005-0000-0000-00002E460000}"/>
    <cellStyle name="40% - Accent3 5 2 2 2 2 3 2" xfId="18060" xr:uid="{00000000-0005-0000-0000-00002F460000}"/>
    <cellStyle name="40% - Accent3 5 2 2 2 2 3 3" xfId="18061" xr:uid="{00000000-0005-0000-0000-000030460000}"/>
    <cellStyle name="40% - Accent3 5 2 2 2 2 4" xfId="18062" xr:uid="{00000000-0005-0000-0000-000031460000}"/>
    <cellStyle name="40% - Accent3 5 2 2 2 2 5" xfId="18063" xr:uid="{00000000-0005-0000-0000-000032460000}"/>
    <cellStyle name="40% - Accent3 5 2 2 2 2 6" xfId="18064" xr:uid="{00000000-0005-0000-0000-000033460000}"/>
    <cellStyle name="40% - Accent3 5 2 2 2 3" xfId="18065" xr:uid="{00000000-0005-0000-0000-000034460000}"/>
    <cellStyle name="40% - Accent3 5 2 2 2 3 2" xfId="18066" xr:uid="{00000000-0005-0000-0000-000035460000}"/>
    <cellStyle name="40% - Accent3 5 2 2 2 3 2 2" xfId="18067" xr:uid="{00000000-0005-0000-0000-000036460000}"/>
    <cellStyle name="40% - Accent3 5 2 2 2 3 2 3" xfId="18068" xr:uid="{00000000-0005-0000-0000-000037460000}"/>
    <cellStyle name="40% - Accent3 5 2 2 2 3 3" xfId="18069" xr:uid="{00000000-0005-0000-0000-000038460000}"/>
    <cellStyle name="40% - Accent3 5 2 2 2 3 4" xfId="18070" xr:uid="{00000000-0005-0000-0000-000039460000}"/>
    <cellStyle name="40% - Accent3 5 2 2 2 4" xfId="18071" xr:uid="{00000000-0005-0000-0000-00003A460000}"/>
    <cellStyle name="40% - Accent3 5 2 2 2 4 2" xfId="18072" xr:uid="{00000000-0005-0000-0000-00003B460000}"/>
    <cellStyle name="40% - Accent3 5 2 2 2 4 3" xfId="18073" xr:uid="{00000000-0005-0000-0000-00003C460000}"/>
    <cellStyle name="40% - Accent3 5 2 2 2 5" xfId="18074" xr:uid="{00000000-0005-0000-0000-00003D460000}"/>
    <cellStyle name="40% - Accent3 5 2 2 2 6" xfId="18075" xr:uid="{00000000-0005-0000-0000-00003E460000}"/>
    <cellStyle name="40% - Accent3 5 2 2 2 7" xfId="18076" xr:uid="{00000000-0005-0000-0000-00003F460000}"/>
    <cellStyle name="40% - Accent3 5 2 2 3" xfId="18077" xr:uid="{00000000-0005-0000-0000-000040460000}"/>
    <cellStyle name="40% - Accent3 5 2 2 3 2" xfId="18078" xr:uid="{00000000-0005-0000-0000-000041460000}"/>
    <cellStyle name="40% - Accent3 5 2 2 3 2 2" xfId="18079" xr:uid="{00000000-0005-0000-0000-000042460000}"/>
    <cellStyle name="40% - Accent3 5 2 2 3 2 2 2" xfId="18080" xr:uid="{00000000-0005-0000-0000-000043460000}"/>
    <cellStyle name="40% - Accent3 5 2 2 3 2 2 3" xfId="18081" xr:uid="{00000000-0005-0000-0000-000044460000}"/>
    <cellStyle name="40% - Accent3 5 2 2 3 2 3" xfId="18082" xr:uid="{00000000-0005-0000-0000-000045460000}"/>
    <cellStyle name="40% - Accent3 5 2 2 3 2 4" xfId="18083" xr:uid="{00000000-0005-0000-0000-000046460000}"/>
    <cellStyle name="40% - Accent3 5 2 2 3 3" xfId="18084" xr:uid="{00000000-0005-0000-0000-000047460000}"/>
    <cellStyle name="40% - Accent3 5 2 2 3 3 2" xfId="18085" xr:uid="{00000000-0005-0000-0000-000048460000}"/>
    <cellStyle name="40% - Accent3 5 2 2 3 3 3" xfId="18086" xr:uid="{00000000-0005-0000-0000-000049460000}"/>
    <cellStyle name="40% - Accent3 5 2 2 3 4" xfId="18087" xr:uid="{00000000-0005-0000-0000-00004A460000}"/>
    <cellStyle name="40% - Accent3 5 2 2 3 5" xfId="18088" xr:uid="{00000000-0005-0000-0000-00004B460000}"/>
    <cellStyle name="40% - Accent3 5 2 2 3 6" xfId="18089" xr:uid="{00000000-0005-0000-0000-00004C460000}"/>
    <cellStyle name="40% - Accent3 5 2 2 4" xfId="18090" xr:uid="{00000000-0005-0000-0000-00004D460000}"/>
    <cellStyle name="40% - Accent3 5 2 2 4 2" xfId="18091" xr:uid="{00000000-0005-0000-0000-00004E460000}"/>
    <cellStyle name="40% - Accent3 5 2 2 4 2 2" xfId="18092" xr:uid="{00000000-0005-0000-0000-00004F460000}"/>
    <cellStyle name="40% - Accent3 5 2 2 4 2 3" xfId="18093" xr:uid="{00000000-0005-0000-0000-000050460000}"/>
    <cellStyle name="40% - Accent3 5 2 2 4 3" xfId="18094" xr:uid="{00000000-0005-0000-0000-000051460000}"/>
    <cellStyle name="40% - Accent3 5 2 2 4 4" xfId="18095" xr:uid="{00000000-0005-0000-0000-000052460000}"/>
    <cellStyle name="40% - Accent3 5 2 2 5" xfId="18096" xr:uid="{00000000-0005-0000-0000-000053460000}"/>
    <cellStyle name="40% - Accent3 5 2 2 5 2" xfId="18097" xr:uid="{00000000-0005-0000-0000-000054460000}"/>
    <cellStyle name="40% - Accent3 5 2 2 5 3" xfId="18098" xr:uid="{00000000-0005-0000-0000-000055460000}"/>
    <cellStyle name="40% - Accent3 5 2 2 6" xfId="18099" xr:uid="{00000000-0005-0000-0000-000056460000}"/>
    <cellStyle name="40% - Accent3 5 2 2 7" xfId="18100" xr:uid="{00000000-0005-0000-0000-000057460000}"/>
    <cellStyle name="40% - Accent3 5 2 2 8" xfId="18101" xr:uid="{00000000-0005-0000-0000-000058460000}"/>
    <cellStyle name="40% - Accent3 5 2 3" xfId="18102" xr:uid="{00000000-0005-0000-0000-000059460000}"/>
    <cellStyle name="40% - Accent3 5 2 3 2" xfId="18103" xr:uid="{00000000-0005-0000-0000-00005A460000}"/>
    <cellStyle name="40% - Accent3 5 2 3 2 2" xfId="18104" xr:uid="{00000000-0005-0000-0000-00005B460000}"/>
    <cellStyle name="40% - Accent3 5 2 3 2 2 2" xfId="18105" xr:uid="{00000000-0005-0000-0000-00005C460000}"/>
    <cellStyle name="40% - Accent3 5 2 3 2 2 2 2" xfId="18106" xr:uid="{00000000-0005-0000-0000-00005D460000}"/>
    <cellStyle name="40% - Accent3 5 2 3 2 2 2 3" xfId="18107" xr:uid="{00000000-0005-0000-0000-00005E460000}"/>
    <cellStyle name="40% - Accent3 5 2 3 2 2 3" xfId="18108" xr:uid="{00000000-0005-0000-0000-00005F460000}"/>
    <cellStyle name="40% - Accent3 5 2 3 2 2 4" xfId="18109" xr:uid="{00000000-0005-0000-0000-000060460000}"/>
    <cellStyle name="40% - Accent3 5 2 3 2 3" xfId="18110" xr:uid="{00000000-0005-0000-0000-000061460000}"/>
    <cellStyle name="40% - Accent3 5 2 3 2 3 2" xfId="18111" xr:uid="{00000000-0005-0000-0000-000062460000}"/>
    <cellStyle name="40% - Accent3 5 2 3 2 3 3" xfId="18112" xr:uid="{00000000-0005-0000-0000-000063460000}"/>
    <cellStyle name="40% - Accent3 5 2 3 2 4" xfId="18113" xr:uid="{00000000-0005-0000-0000-000064460000}"/>
    <cellStyle name="40% - Accent3 5 2 3 2 5" xfId="18114" xr:uid="{00000000-0005-0000-0000-000065460000}"/>
    <cellStyle name="40% - Accent3 5 2 3 2 6" xfId="18115" xr:uid="{00000000-0005-0000-0000-000066460000}"/>
    <cellStyle name="40% - Accent3 5 2 3 3" xfId="18116" xr:uid="{00000000-0005-0000-0000-000067460000}"/>
    <cellStyle name="40% - Accent3 5 2 3 3 2" xfId="18117" xr:uid="{00000000-0005-0000-0000-000068460000}"/>
    <cellStyle name="40% - Accent3 5 2 3 3 2 2" xfId="18118" xr:uid="{00000000-0005-0000-0000-000069460000}"/>
    <cellStyle name="40% - Accent3 5 2 3 3 2 3" xfId="18119" xr:uid="{00000000-0005-0000-0000-00006A460000}"/>
    <cellStyle name="40% - Accent3 5 2 3 3 3" xfId="18120" xr:uid="{00000000-0005-0000-0000-00006B460000}"/>
    <cellStyle name="40% - Accent3 5 2 3 3 4" xfId="18121" xr:uid="{00000000-0005-0000-0000-00006C460000}"/>
    <cellStyle name="40% - Accent3 5 2 3 4" xfId="18122" xr:uid="{00000000-0005-0000-0000-00006D460000}"/>
    <cellStyle name="40% - Accent3 5 2 3 4 2" xfId="18123" xr:uid="{00000000-0005-0000-0000-00006E460000}"/>
    <cellStyle name="40% - Accent3 5 2 3 4 3" xfId="18124" xr:uid="{00000000-0005-0000-0000-00006F460000}"/>
    <cellStyle name="40% - Accent3 5 2 3 5" xfId="18125" xr:uid="{00000000-0005-0000-0000-000070460000}"/>
    <cellStyle name="40% - Accent3 5 2 3 6" xfId="18126" xr:uid="{00000000-0005-0000-0000-000071460000}"/>
    <cellStyle name="40% - Accent3 5 2 3 7" xfId="18127" xr:uid="{00000000-0005-0000-0000-000072460000}"/>
    <cellStyle name="40% - Accent3 5 2 4" xfId="18128" xr:uid="{00000000-0005-0000-0000-000073460000}"/>
    <cellStyle name="40% - Accent3 5 2 4 2" xfId="18129" xr:uid="{00000000-0005-0000-0000-000074460000}"/>
    <cellStyle name="40% - Accent3 5 2 4 2 2" xfId="18130" xr:uid="{00000000-0005-0000-0000-000075460000}"/>
    <cellStyle name="40% - Accent3 5 2 4 2 2 2" xfId="18131" xr:uid="{00000000-0005-0000-0000-000076460000}"/>
    <cellStyle name="40% - Accent3 5 2 4 2 2 3" xfId="18132" xr:uid="{00000000-0005-0000-0000-000077460000}"/>
    <cellStyle name="40% - Accent3 5 2 4 2 3" xfId="18133" xr:uid="{00000000-0005-0000-0000-000078460000}"/>
    <cellStyle name="40% - Accent3 5 2 4 2 4" xfId="18134" xr:uid="{00000000-0005-0000-0000-000079460000}"/>
    <cellStyle name="40% - Accent3 5 2 4 3" xfId="18135" xr:uid="{00000000-0005-0000-0000-00007A460000}"/>
    <cellStyle name="40% - Accent3 5 2 4 3 2" xfId="18136" xr:uid="{00000000-0005-0000-0000-00007B460000}"/>
    <cellStyle name="40% - Accent3 5 2 4 3 3" xfId="18137" xr:uid="{00000000-0005-0000-0000-00007C460000}"/>
    <cellStyle name="40% - Accent3 5 2 4 4" xfId="18138" xr:uid="{00000000-0005-0000-0000-00007D460000}"/>
    <cellStyle name="40% - Accent3 5 2 4 5" xfId="18139" xr:uid="{00000000-0005-0000-0000-00007E460000}"/>
    <cellStyle name="40% - Accent3 5 2 4 6" xfId="18140" xr:uid="{00000000-0005-0000-0000-00007F460000}"/>
    <cellStyle name="40% - Accent3 5 2 5" xfId="18141" xr:uid="{00000000-0005-0000-0000-000080460000}"/>
    <cellStyle name="40% - Accent3 5 2 5 2" xfId="18142" xr:uid="{00000000-0005-0000-0000-000081460000}"/>
    <cellStyle name="40% - Accent3 5 2 5 2 2" xfId="18143" xr:uid="{00000000-0005-0000-0000-000082460000}"/>
    <cellStyle name="40% - Accent3 5 2 5 2 3" xfId="18144" xr:uid="{00000000-0005-0000-0000-000083460000}"/>
    <cellStyle name="40% - Accent3 5 2 5 3" xfId="18145" xr:uid="{00000000-0005-0000-0000-000084460000}"/>
    <cellStyle name="40% - Accent3 5 2 5 4" xfId="18146" xr:uid="{00000000-0005-0000-0000-000085460000}"/>
    <cellStyle name="40% - Accent3 5 2 6" xfId="18147" xr:uid="{00000000-0005-0000-0000-000086460000}"/>
    <cellStyle name="40% - Accent3 5 2 6 2" xfId="18148" xr:uid="{00000000-0005-0000-0000-000087460000}"/>
    <cellStyle name="40% - Accent3 5 2 6 3" xfId="18149" xr:uid="{00000000-0005-0000-0000-000088460000}"/>
    <cellStyle name="40% - Accent3 5 2 7" xfId="18150" xr:uid="{00000000-0005-0000-0000-000089460000}"/>
    <cellStyle name="40% - Accent3 5 2 8" xfId="18151" xr:uid="{00000000-0005-0000-0000-00008A460000}"/>
    <cellStyle name="40% - Accent3 5 2 9" xfId="18152" xr:uid="{00000000-0005-0000-0000-00008B460000}"/>
    <cellStyle name="40% - Accent3 5 3" xfId="18153" xr:uid="{00000000-0005-0000-0000-00008C460000}"/>
    <cellStyle name="40% - Accent3 5 3 2" xfId="18154" xr:uid="{00000000-0005-0000-0000-00008D460000}"/>
    <cellStyle name="40% - Accent3 5 3 2 2" xfId="18155" xr:uid="{00000000-0005-0000-0000-00008E460000}"/>
    <cellStyle name="40% - Accent3 5 3 2 2 2" xfId="18156" xr:uid="{00000000-0005-0000-0000-00008F460000}"/>
    <cellStyle name="40% - Accent3 5 3 2 2 2 2" xfId="18157" xr:uid="{00000000-0005-0000-0000-000090460000}"/>
    <cellStyle name="40% - Accent3 5 3 2 2 2 2 2" xfId="18158" xr:uid="{00000000-0005-0000-0000-000091460000}"/>
    <cellStyle name="40% - Accent3 5 3 2 2 2 2 3" xfId="18159" xr:uid="{00000000-0005-0000-0000-000092460000}"/>
    <cellStyle name="40% - Accent3 5 3 2 2 2 3" xfId="18160" xr:uid="{00000000-0005-0000-0000-000093460000}"/>
    <cellStyle name="40% - Accent3 5 3 2 2 2 4" xfId="18161" xr:uid="{00000000-0005-0000-0000-000094460000}"/>
    <cellStyle name="40% - Accent3 5 3 2 2 3" xfId="18162" xr:uid="{00000000-0005-0000-0000-000095460000}"/>
    <cellStyle name="40% - Accent3 5 3 2 2 3 2" xfId="18163" xr:uid="{00000000-0005-0000-0000-000096460000}"/>
    <cellStyle name="40% - Accent3 5 3 2 2 3 3" xfId="18164" xr:uid="{00000000-0005-0000-0000-000097460000}"/>
    <cellStyle name="40% - Accent3 5 3 2 2 4" xfId="18165" xr:uid="{00000000-0005-0000-0000-000098460000}"/>
    <cellStyle name="40% - Accent3 5 3 2 2 5" xfId="18166" xr:uid="{00000000-0005-0000-0000-000099460000}"/>
    <cellStyle name="40% - Accent3 5 3 2 2 6" xfId="18167" xr:uid="{00000000-0005-0000-0000-00009A460000}"/>
    <cellStyle name="40% - Accent3 5 3 2 3" xfId="18168" xr:uid="{00000000-0005-0000-0000-00009B460000}"/>
    <cellStyle name="40% - Accent3 5 3 2 3 2" xfId="18169" xr:uid="{00000000-0005-0000-0000-00009C460000}"/>
    <cellStyle name="40% - Accent3 5 3 2 3 2 2" xfId="18170" xr:uid="{00000000-0005-0000-0000-00009D460000}"/>
    <cellStyle name="40% - Accent3 5 3 2 3 2 3" xfId="18171" xr:uid="{00000000-0005-0000-0000-00009E460000}"/>
    <cellStyle name="40% - Accent3 5 3 2 3 3" xfId="18172" xr:uid="{00000000-0005-0000-0000-00009F460000}"/>
    <cellStyle name="40% - Accent3 5 3 2 3 4" xfId="18173" xr:uid="{00000000-0005-0000-0000-0000A0460000}"/>
    <cellStyle name="40% - Accent3 5 3 2 4" xfId="18174" xr:uid="{00000000-0005-0000-0000-0000A1460000}"/>
    <cellStyle name="40% - Accent3 5 3 2 4 2" xfId="18175" xr:uid="{00000000-0005-0000-0000-0000A2460000}"/>
    <cellStyle name="40% - Accent3 5 3 2 4 3" xfId="18176" xr:uid="{00000000-0005-0000-0000-0000A3460000}"/>
    <cellStyle name="40% - Accent3 5 3 2 5" xfId="18177" xr:uid="{00000000-0005-0000-0000-0000A4460000}"/>
    <cellStyle name="40% - Accent3 5 3 2 6" xfId="18178" xr:uid="{00000000-0005-0000-0000-0000A5460000}"/>
    <cellStyle name="40% - Accent3 5 3 2 7" xfId="18179" xr:uid="{00000000-0005-0000-0000-0000A6460000}"/>
    <cellStyle name="40% - Accent3 5 3 3" xfId="18180" xr:uid="{00000000-0005-0000-0000-0000A7460000}"/>
    <cellStyle name="40% - Accent3 5 3 3 2" xfId="18181" xr:uid="{00000000-0005-0000-0000-0000A8460000}"/>
    <cellStyle name="40% - Accent3 5 3 3 2 2" xfId="18182" xr:uid="{00000000-0005-0000-0000-0000A9460000}"/>
    <cellStyle name="40% - Accent3 5 3 3 2 2 2" xfId="18183" xr:uid="{00000000-0005-0000-0000-0000AA460000}"/>
    <cellStyle name="40% - Accent3 5 3 3 2 2 3" xfId="18184" xr:uid="{00000000-0005-0000-0000-0000AB460000}"/>
    <cellStyle name="40% - Accent3 5 3 3 2 3" xfId="18185" xr:uid="{00000000-0005-0000-0000-0000AC460000}"/>
    <cellStyle name="40% - Accent3 5 3 3 2 4" xfId="18186" xr:uid="{00000000-0005-0000-0000-0000AD460000}"/>
    <cellStyle name="40% - Accent3 5 3 3 3" xfId="18187" xr:uid="{00000000-0005-0000-0000-0000AE460000}"/>
    <cellStyle name="40% - Accent3 5 3 3 3 2" xfId="18188" xr:uid="{00000000-0005-0000-0000-0000AF460000}"/>
    <cellStyle name="40% - Accent3 5 3 3 3 3" xfId="18189" xr:uid="{00000000-0005-0000-0000-0000B0460000}"/>
    <cellStyle name="40% - Accent3 5 3 3 4" xfId="18190" xr:uid="{00000000-0005-0000-0000-0000B1460000}"/>
    <cellStyle name="40% - Accent3 5 3 3 5" xfId="18191" xr:uid="{00000000-0005-0000-0000-0000B2460000}"/>
    <cellStyle name="40% - Accent3 5 3 3 6" xfId="18192" xr:uid="{00000000-0005-0000-0000-0000B3460000}"/>
    <cellStyle name="40% - Accent3 5 3 4" xfId="18193" xr:uid="{00000000-0005-0000-0000-0000B4460000}"/>
    <cellStyle name="40% - Accent3 5 3 4 2" xfId="18194" xr:uid="{00000000-0005-0000-0000-0000B5460000}"/>
    <cellStyle name="40% - Accent3 5 3 4 2 2" xfId="18195" xr:uid="{00000000-0005-0000-0000-0000B6460000}"/>
    <cellStyle name="40% - Accent3 5 3 4 2 3" xfId="18196" xr:uid="{00000000-0005-0000-0000-0000B7460000}"/>
    <cellStyle name="40% - Accent3 5 3 4 3" xfId="18197" xr:uid="{00000000-0005-0000-0000-0000B8460000}"/>
    <cellStyle name="40% - Accent3 5 3 4 4" xfId="18198" xr:uid="{00000000-0005-0000-0000-0000B9460000}"/>
    <cellStyle name="40% - Accent3 5 3 5" xfId="18199" xr:uid="{00000000-0005-0000-0000-0000BA460000}"/>
    <cellStyle name="40% - Accent3 5 3 5 2" xfId="18200" xr:uid="{00000000-0005-0000-0000-0000BB460000}"/>
    <cellStyle name="40% - Accent3 5 3 5 3" xfId="18201" xr:uid="{00000000-0005-0000-0000-0000BC460000}"/>
    <cellStyle name="40% - Accent3 5 3 6" xfId="18202" xr:uid="{00000000-0005-0000-0000-0000BD460000}"/>
    <cellStyle name="40% - Accent3 5 3 7" xfId="18203" xr:uid="{00000000-0005-0000-0000-0000BE460000}"/>
    <cellStyle name="40% - Accent3 5 3 8" xfId="18204" xr:uid="{00000000-0005-0000-0000-0000BF460000}"/>
    <cellStyle name="40% - Accent3 5 4" xfId="18205" xr:uid="{00000000-0005-0000-0000-0000C0460000}"/>
    <cellStyle name="40% - Accent3 5 4 2" xfId="18206" xr:uid="{00000000-0005-0000-0000-0000C1460000}"/>
    <cellStyle name="40% - Accent3 5 4 2 2" xfId="18207" xr:uid="{00000000-0005-0000-0000-0000C2460000}"/>
    <cellStyle name="40% - Accent3 5 4 2 2 2" xfId="18208" xr:uid="{00000000-0005-0000-0000-0000C3460000}"/>
    <cellStyle name="40% - Accent3 5 4 2 2 2 2" xfId="18209" xr:uid="{00000000-0005-0000-0000-0000C4460000}"/>
    <cellStyle name="40% - Accent3 5 4 2 2 2 3" xfId="18210" xr:uid="{00000000-0005-0000-0000-0000C5460000}"/>
    <cellStyle name="40% - Accent3 5 4 2 2 3" xfId="18211" xr:uid="{00000000-0005-0000-0000-0000C6460000}"/>
    <cellStyle name="40% - Accent3 5 4 2 2 4" xfId="18212" xr:uid="{00000000-0005-0000-0000-0000C7460000}"/>
    <cellStyle name="40% - Accent3 5 4 2 3" xfId="18213" xr:uid="{00000000-0005-0000-0000-0000C8460000}"/>
    <cellStyle name="40% - Accent3 5 4 2 3 2" xfId="18214" xr:uid="{00000000-0005-0000-0000-0000C9460000}"/>
    <cellStyle name="40% - Accent3 5 4 2 3 3" xfId="18215" xr:uid="{00000000-0005-0000-0000-0000CA460000}"/>
    <cellStyle name="40% - Accent3 5 4 2 4" xfId="18216" xr:uid="{00000000-0005-0000-0000-0000CB460000}"/>
    <cellStyle name="40% - Accent3 5 4 2 5" xfId="18217" xr:uid="{00000000-0005-0000-0000-0000CC460000}"/>
    <cellStyle name="40% - Accent3 5 4 2 6" xfId="18218" xr:uid="{00000000-0005-0000-0000-0000CD460000}"/>
    <cellStyle name="40% - Accent3 5 4 3" xfId="18219" xr:uid="{00000000-0005-0000-0000-0000CE460000}"/>
    <cellStyle name="40% - Accent3 5 4 3 2" xfId="18220" xr:uid="{00000000-0005-0000-0000-0000CF460000}"/>
    <cellStyle name="40% - Accent3 5 4 3 2 2" xfId="18221" xr:uid="{00000000-0005-0000-0000-0000D0460000}"/>
    <cellStyle name="40% - Accent3 5 4 3 2 3" xfId="18222" xr:uid="{00000000-0005-0000-0000-0000D1460000}"/>
    <cellStyle name="40% - Accent3 5 4 3 3" xfId="18223" xr:uid="{00000000-0005-0000-0000-0000D2460000}"/>
    <cellStyle name="40% - Accent3 5 4 3 4" xfId="18224" xr:uid="{00000000-0005-0000-0000-0000D3460000}"/>
    <cellStyle name="40% - Accent3 5 4 4" xfId="18225" xr:uid="{00000000-0005-0000-0000-0000D4460000}"/>
    <cellStyle name="40% - Accent3 5 4 4 2" xfId="18226" xr:uid="{00000000-0005-0000-0000-0000D5460000}"/>
    <cellStyle name="40% - Accent3 5 4 4 3" xfId="18227" xr:uid="{00000000-0005-0000-0000-0000D6460000}"/>
    <cellStyle name="40% - Accent3 5 4 5" xfId="18228" xr:uid="{00000000-0005-0000-0000-0000D7460000}"/>
    <cellStyle name="40% - Accent3 5 4 6" xfId="18229" xr:uid="{00000000-0005-0000-0000-0000D8460000}"/>
    <cellStyle name="40% - Accent3 5 4 7" xfId="18230" xr:uid="{00000000-0005-0000-0000-0000D9460000}"/>
    <cellStyle name="40% - Accent3 5 5" xfId="18231" xr:uid="{00000000-0005-0000-0000-0000DA460000}"/>
    <cellStyle name="40% - Accent3 5 5 2" xfId="18232" xr:uid="{00000000-0005-0000-0000-0000DB460000}"/>
    <cellStyle name="40% - Accent3 5 5 2 2" xfId="18233" xr:uid="{00000000-0005-0000-0000-0000DC460000}"/>
    <cellStyle name="40% - Accent3 5 5 2 2 2" xfId="18234" xr:uid="{00000000-0005-0000-0000-0000DD460000}"/>
    <cellStyle name="40% - Accent3 5 5 2 2 3" xfId="18235" xr:uid="{00000000-0005-0000-0000-0000DE460000}"/>
    <cellStyle name="40% - Accent3 5 5 2 3" xfId="18236" xr:uid="{00000000-0005-0000-0000-0000DF460000}"/>
    <cellStyle name="40% - Accent3 5 5 2 4" xfId="18237" xr:uid="{00000000-0005-0000-0000-0000E0460000}"/>
    <cellStyle name="40% - Accent3 5 5 3" xfId="18238" xr:uid="{00000000-0005-0000-0000-0000E1460000}"/>
    <cellStyle name="40% - Accent3 5 5 3 2" xfId="18239" xr:uid="{00000000-0005-0000-0000-0000E2460000}"/>
    <cellStyle name="40% - Accent3 5 5 3 3" xfId="18240" xr:uid="{00000000-0005-0000-0000-0000E3460000}"/>
    <cellStyle name="40% - Accent3 5 5 4" xfId="18241" xr:uid="{00000000-0005-0000-0000-0000E4460000}"/>
    <cellStyle name="40% - Accent3 5 5 5" xfId="18242" xr:uid="{00000000-0005-0000-0000-0000E5460000}"/>
    <cellStyle name="40% - Accent3 5 5 6" xfId="18243" xr:uid="{00000000-0005-0000-0000-0000E6460000}"/>
    <cellStyle name="40% - Accent3 5 6" xfId="18244" xr:uid="{00000000-0005-0000-0000-0000E7460000}"/>
    <cellStyle name="40% - Accent3 5 6 2" xfId="18245" xr:uid="{00000000-0005-0000-0000-0000E8460000}"/>
    <cellStyle name="40% - Accent3 5 6 2 2" xfId="18246" xr:uid="{00000000-0005-0000-0000-0000E9460000}"/>
    <cellStyle name="40% - Accent3 5 6 2 3" xfId="18247" xr:uid="{00000000-0005-0000-0000-0000EA460000}"/>
    <cellStyle name="40% - Accent3 5 6 3" xfId="18248" xr:uid="{00000000-0005-0000-0000-0000EB460000}"/>
    <cellStyle name="40% - Accent3 5 6 4" xfId="18249" xr:uid="{00000000-0005-0000-0000-0000EC460000}"/>
    <cellStyle name="40% - Accent3 5 7" xfId="18250" xr:uid="{00000000-0005-0000-0000-0000ED460000}"/>
    <cellStyle name="40% - Accent3 5 7 2" xfId="18251" xr:uid="{00000000-0005-0000-0000-0000EE460000}"/>
    <cellStyle name="40% - Accent3 5 7 3" xfId="18252" xr:uid="{00000000-0005-0000-0000-0000EF460000}"/>
    <cellStyle name="40% - Accent3 5 8" xfId="18253" xr:uid="{00000000-0005-0000-0000-0000F0460000}"/>
    <cellStyle name="40% - Accent3 5 9" xfId="18254" xr:uid="{00000000-0005-0000-0000-0000F1460000}"/>
    <cellStyle name="40% - Accent3 6" xfId="18255" xr:uid="{00000000-0005-0000-0000-0000F2460000}"/>
    <cellStyle name="40% - Accent3 6 2" xfId="18256" xr:uid="{00000000-0005-0000-0000-0000F3460000}"/>
    <cellStyle name="40% - Accent3 6 2 2" xfId="18257" xr:uid="{00000000-0005-0000-0000-0000F4460000}"/>
    <cellStyle name="40% - Accent3 6 2 2 2" xfId="18258" xr:uid="{00000000-0005-0000-0000-0000F5460000}"/>
    <cellStyle name="40% - Accent3 6 2 2 2 2" xfId="18259" xr:uid="{00000000-0005-0000-0000-0000F6460000}"/>
    <cellStyle name="40% - Accent3 6 2 2 2 2 2" xfId="18260" xr:uid="{00000000-0005-0000-0000-0000F7460000}"/>
    <cellStyle name="40% - Accent3 6 2 2 2 2 2 2" xfId="18261" xr:uid="{00000000-0005-0000-0000-0000F8460000}"/>
    <cellStyle name="40% - Accent3 6 2 2 2 2 2 3" xfId="18262" xr:uid="{00000000-0005-0000-0000-0000F9460000}"/>
    <cellStyle name="40% - Accent3 6 2 2 2 2 3" xfId="18263" xr:uid="{00000000-0005-0000-0000-0000FA460000}"/>
    <cellStyle name="40% - Accent3 6 2 2 2 2 4" xfId="18264" xr:uid="{00000000-0005-0000-0000-0000FB460000}"/>
    <cellStyle name="40% - Accent3 6 2 2 2 3" xfId="18265" xr:uid="{00000000-0005-0000-0000-0000FC460000}"/>
    <cellStyle name="40% - Accent3 6 2 2 2 3 2" xfId="18266" xr:uid="{00000000-0005-0000-0000-0000FD460000}"/>
    <cellStyle name="40% - Accent3 6 2 2 2 3 3" xfId="18267" xr:uid="{00000000-0005-0000-0000-0000FE460000}"/>
    <cellStyle name="40% - Accent3 6 2 2 2 4" xfId="18268" xr:uid="{00000000-0005-0000-0000-0000FF460000}"/>
    <cellStyle name="40% - Accent3 6 2 2 2 5" xfId="18269" xr:uid="{00000000-0005-0000-0000-000000470000}"/>
    <cellStyle name="40% - Accent3 6 2 2 2 6" xfId="18270" xr:uid="{00000000-0005-0000-0000-000001470000}"/>
    <cellStyle name="40% - Accent3 6 2 2 3" xfId="18271" xr:uid="{00000000-0005-0000-0000-000002470000}"/>
    <cellStyle name="40% - Accent3 6 2 2 3 2" xfId="18272" xr:uid="{00000000-0005-0000-0000-000003470000}"/>
    <cellStyle name="40% - Accent3 6 2 2 3 2 2" xfId="18273" xr:uid="{00000000-0005-0000-0000-000004470000}"/>
    <cellStyle name="40% - Accent3 6 2 2 3 2 3" xfId="18274" xr:uid="{00000000-0005-0000-0000-000005470000}"/>
    <cellStyle name="40% - Accent3 6 2 2 3 3" xfId="18275" xr:uid="{00000000-0005-0000-0000-000006470000}"/>
    <cellStyle name="40% - Accent3 6 2 2 3 4" xfId="18276" xr:uid="{00000000-0005-0000-0000-000007470000}"/>
    <cellStyle name="40% - Accent3 6 2 2 4" xfId="18277" xr:uid="{00000000-0005-0000-0000-000008470000}"/>
    <cellStyle name="40% - Accent3 6 2 2 4 2" xfId="18278" xr:uid="{00000000-0005-0000-0000-000009470000}"/>
    <cellStyle name="40% - Accent3 6 2 2 4 3" xfId="18279" xr:uid="{00000000-0005-0000-0000-00000A470000}"/>
    <cellStyle name="40% - Accent3 6 2 2 5" xfId="18280" xr:uid="{00000000-0005-0000-0000-00000B470000}"/>
    <cellStyle name="40% - Accent3 6 2 2 6" xfId="18281" xr:uid="{00000000-0005-0000-0000-00000C470000}"/>
    <cellStyle name="40% - Accent3 6 2 2 7" xfId="18282" xr:uid="{00000000-0005-0000-0000-00000D470000}"/>
    <cellStyle name="40% - Accent3 6 2 3" xfId="18283" xr:uid="{00000000-0005-0000-0000-00000E470000}"/>
    <cellStyle name="40% - Accent3 6 2 3 2" xfId="18284" xr:uid="{00000000-0005-0000-0000-00000F470000}"/>
    <cellStyle name="40% - Accent3 6 2 3 2 2" xfId="18285" xr:uid="{00000000-0005-0000-0000-000010470000}"/>
    <cellStyle name="40% - Accent3 6 2 3 2 2 2" xfId="18286" xr:uid="{00000000-0005-0000-0000-000011470000}"/>
    <cellStyle name="40% - Accent3 6 2 3 2 2 3" xfId="18287" xr:uid="{00000000-0005-0000-0000-000012470000}"/>
    <cellStyle name="40% - Accent3 6 2 3 2 3" xfId="18288" xr:uid="{00000000-0005-0000-0000-000013470000}"/>
    <cellStyle name="40% - Accent3 6 2 3 2 4" xfId="18289" xr:uid="{00000000-0005-0000-0000-000014470000}"/>
    <cellStyle name="40% - Accent3 6 2 3 3" xfId="18290" xr:uid="{00000000-0005-0000-0000-000015470000}"/>
    <cellStyle name="40% - Accent3 6 2 3 3 2" xfId="18291" xr:uid="{00000000-0005-0000-0000-000016470000}"/>
    <cellStyle name="40% - Accent3 6 2 3 3 3" xfId="18292" xr:uid="{00000000-0005-0000-0000-000017470000}"/>
    <cellStyle name="40% - Accent3 6 2 3 4" xfId="18293" xr:uid="{00000000-0005-0000-0000-000018470000}"/>
    <cellStyle name="40% - Accent3 6 2 3 5" xfId="18294" xr:uid="{00000000-0005-0000-0000-000019470000}"/>
    <cellStyle name="40% - Accent3 6 2 3 6" xfId="18295" xr:uid="{00000000-0005-0000-0000-00001A470000}"/>
    <cellStyle name="40% - Accent3 6 2 4" xfId="18296" xr:uid="{00000000-0005-0000-0000-00001B470000}"/>
    <cellStyle name="40% - Accent3 6 2 4 2" xfId="18297" xr:uid="{00000000-0005-0000-0000-00001C470000}"/>
    <cellStyle name="40% - Accent3 6 2 4 2 2" xfId="18298" xr:uid="{00000000-0005-0000-0000-00001D470000}"/>
    <cellStyle name="40% - Accent3 6 2 4 2 3" xfId="18299" xr:uid="{00000000-0005-0000-0000-00001E470000}"/>
    <cellStyle name="40% - Accent3 6 2 4 3" xfId="18300" xr:uid="{00000000-0005-0000-0000-00001F470000}"/>
    <cellStyle name="40% - Accent3 6 2 4 4" xfId="18301" xr:uid="{00000000-0005-0000-0000-000020470000}"/>
    <cellStyle name="40% - Accent3 6 2 5" xfId="18302" xr:uid="{00000000-0005-0000-0000-000021470000}"/>
    <cellStyle name="40% - Accent3 6 2 5 2" xfId="18303" xr:uid="{00000000-0005-0000-0000-000022470000}"/>
    <cellStyle name="40% - Accent3 6 2 5 3" xfId="18304" xr:uid="{00000000-0005-0000-0000-000023470000}"/>
    <cellStyle name="40% - Accent3 6 2 6" xfId="18305" xr:uid="{00000000-0005-0000-0000-000024470000}"/>
    <cellStyle name="40% - Accent3 6 2 7" xfId="18306" xr:uid="{00000000-0005-0000-0000-000025470000}"/>
    <cellStyle name="40% - Accent3 6 2 8" xfId="18307" xr:uid="{00000000-0005-0000-0000-000026470000}"/>
    <cellStyle name="40% - Accent3 6 3" xfId="18308" xr:uid="{00000000-0005-0000-0000-000027470000}"/>
    <cellStyle name="40% - Accent3 6 3 2" xfId="18309" xr:uid="{00000000-0005-0000-0000-000028470000}"/>
    <cellStyle name="40% - Accent3 6 3 2 2" xfId="18310" xr:uid="{00000000-0005-0000-0000-000029470000}"/>
    <cellStyle name="40% - Accent3 6 3 2 2 2" xfId="18311" xr:uid="{00000000-0005-0000-0000-00002A470000}"/>
    <cellStyle name="40% - Accent3 6 3 2 2 2 2" xfId="18312" xr:uid="{00000000-0005-0000-0000-00002B470000}"/>
    <cellStyle name="40% - Accent3 6 3 2 2 2 3" xfId="18313" xr:uid="{00000000-0005-0000-0000-00002C470000}"/>
    <cellStyle name="40% - Accent3 6 3 2 2 3" xfId="18314" xr:uid="{00000000-0005-0000-0000-00002D470000}"/>
    <cellStyle name="40% - Accent3 6 3 2 2 4" xfId="18315" xr:uid="{00000000-0005-0000-0000-00002E470000}"/>
    <cellStyle name="40% - Accent3 6 3 2 3" xfId="18316" xr:uid="{00000000-0005-0000-0000-00002F470000}"/>
    <cellStyle name="40% - Accent3 6 3 2 3 2" xfId="18317" xr:uid="{00000000-0005-0000-0000-000030470000}"/>
    <cellStyle name="40% - Accent3 6 3 2 3 3" xfId="18318" xr:uid="{00000000-0005-0000-0000-000031470000}"/>
    <cellStyle name="40% - Accent3 6 3 2 4" xfId="18319" xr:uid="{00000000-0005-0000-0000-000032470000}"/>
    <cellStyle name="40% - Accent3 6 3 2 5" xfId="18320" xr:uid="{00000000-0005-0000-0000-000033470000}"/>
    <cellStyle name="40% - Accent3 6 3 2 6" xfId="18321" xr:uid="{00000000-0005-0000-0000-000034470000}"/>
    <cellStyle name="40% - Accent3 6 3 3" xfId="18322" xr:uid="{00000000-0005-0000-0000-000035470000}"/>
    <cellStyle name="40% - Accent3 6 3 3 2" xfId="18323" xr:uid="{00000000-0005-0000-0000-000036470000}"/>
    <cellStyle name="40% - Accent3 6 3 3 2 2" xfId="18324" xr:uid="{00000000-0005-0000-0000-000037470000}"/>
    <cellStyle name="40% - Accent3 6 3 3 2 3" xfId="18325" xr:uid="{00000000-0005-0000-0000-000038470000}"/>
    <cellStyle name="40% - Accent3 6 3 3 3" xfId="18326" xr:uid="{00000000-0005-0000-0000-000039470000}"/>
    <cellStyle name="40% - Accent3 6 3 3 4" xfId="18327" xr:uid="{00000000-0005-0000-0000-00003A470000}"/>
    <cellStyle name="40% - Accent3 6 3 4" xfId="18328" xr:uid="{00000000-0005-0000-0000-00003B470000}"/>
    <cellStyle name="40% - Accent3 6 3 4 2" xfId="18329" xr:uid="{00000000-0005-0000-0000-00003C470000}"/>
    <cellStyle name="40% - Accent3 6 3 4 3" xfId="18330" xr:uid="{00000000-0005-0000-0000-00003D470000}"/>
    <cellStyle name="40% - Accent3 6 3 5" xfId="18331" xr:uid="{00000000-0005-0000-0000-00003E470000}"/>
    <cellStyle name="40% - Accent3 6 3 6" xfId="18332" xr:uid="{00000000-0005-0000-0000-00003F470000}"/>
    <cellStyle name="40% - Accent3 6 3 7" xfId="18333" xr:uid="{00000000-0005-0000-0000-000040470000}"/>
    <cellStyle name="40% - Accent3 6 4" xfId="18334" xr:uid="{00000000-0005-0000-0000-000041470000}"/>
    <cellStyle name="40% - Accent3 6 4 2" xfId="18335" xr:uid="{00000000-0005-0000-0000-000042470000}"/>
    <cellStyle name="40% - Accent3 6 4 2 2" xfId="18336" xr:uid="{00000000-0005-0000-0000-000043470000}"/>
    <cellStyle name="40% - Accent3 6 4 2 2 2" xfId="18337" xr:uid="{00000000-0005-0000-0000-000044470000}"/>
    <cellStyle name="40% - Accent3 6 4 2 2 3" xfId="18338" xr:uid="{00000000-0005-0000-0000-000045470000}"/>
    <cellStyle name="40% - Accent3 6 4 2 3" xfId="18339" xr:uid="{00000000-0005-0000-0000-000046470000}"/>
    <cellStyle name="40% - Accent3 6 4 2 4" xfId="18340" xr:uid="{00000000-0005-0000-0000-000047470000}"/>
    <cellStyle name="40% - Accent3 6 4 3" xfId="18341" xr:uid="{00000000-0005-0000-0000-000048470000}"/>
    <cellStyle name="40% - Accent3 6 4 3 2" xfId="18342" xr:uid="{00000000-0005-0000-0000-000049470000}"/>
    <cellStyle name="40% - Accent3 6 4 3 3" xfId="18343" xr:uid="{00000000-0005-0000-0000-00004A470000}"/>
    <cellStyle name="40% - Accent3 6 4 4" xfId="18344" xr:uid="{00000000-0005-0000-0000-00004B470000}"/>
    <cellStyle name="40% - Accent3 6 4 5" xfId="18345" xr:uid="{00000000-0005-0000-0000-00004C470000}"/>
    <cellStyle name="40% - Accent3 6 4 6" xfId="18346" xr:uid="{00000000-0005-0000-0000-00004D470000}"/>
    <cellStyle name="40% - Accent3 6 5" xfId="18347" xr:uid="{00000000-0005-0000-0000-00004E470000}"/>
    <cellStyle name="40% - Accent3 6 5 2" xfId="18348" xr:uid="{00000000-0005-0000-0000-00004F470000}"/>
    <cellStyle name="40% - Accent3 6 5 2 2" xfId="18349" xr:uid="{00000000-0005-0000-0000-000050470000}"/>
    <cellStyle name="40% - Accent3 6 5 2 3" xfId="18350" xr:uid="{00000000-0005-0000-0000-000051470000}"/>
    <cellStyle name="40% - Accent3 6 5 3" xfId="18351" xr:uid="{00000000-0005-0000-0000-000052470000}"/>
    <cellStyle name="40% - Accent3 6 5 4" xfId="18352" xr:uid="{00000000-0005-0000-0000-000053470000}"/>
    <cellStyle name="40% - Accent3 6 6" xfId="18353" xr:uid="{00000000-0005-0000-0000-000054470000}"/>
    <cellStyle name="40% - Accent3 6 6 2" xfId="18354" xr:uid="{00000000-0005-0000-0000-000055470000}"/>
    <cellStyle name="40% - Accent3 6 6 3" xfId="18355" xr:uid="{00000000-0005-0000-0000-000056470000}"/>
    <cellStyle name="40% - Accent3 6 7" xfId="18356" xr:uid="{00000000-0005-0000-0000-000057470000}"/>
    <cellStyle name="40% - Accent3 6 8" xfId="18357" xr:uid="{00000000-0005-0000-0000-000058470000}"/>
    <cellStyle name="40% - Accent3 6 9" xfId="18358" xr:uid="{00000000-0005-0000-0000-000059470000}"/>
    <cellStyle name="40% - Accent3 7" xfId="18359" xr:uid="{00000000-0005-0000-0000-00005A470000}"/>
    <cellStyle name="40% - Accent3 7 2" xfId="18360" xr:uid="{00000000-0005-0000-0000-00005B470000}"/>
    <cellStyle name="40% - Accent3 7 2 2" xfId="18361" xr:uid="{00000000-0005-0000-0000-00005C470000}"/>
    <cellStyle name="40% - Accent3 7 2 2 2" xfId="18362" xr:uid="{00000000-0005-0000-0000-00005D470000}"/>
    <cellStyle name="40% - Accent3 7 2 2 2 2" xfId="18363" xr:uid="{00000000-0005-0000-0000-00005E470000}"/>
    <cellStyle name="40% - Accent3 7 2 2 2 2 2" xfId="18364" xr:uid="{00000000-0005-0000-0000-00005F470000}"/>
    <cellStyle name="40% - Accent3 7 2 2 2 2 2 2" xfId="18365" xr:uid="{00000000-0005-0000-0000-000060470000}"/>
    <cellStyle name="40% - Accent3 7 2 2 2 2 2 3" xfId="18366" xr:uid="{00000000-0005-0000-0000-000061470000}"/>
    <cellStyle name="40% - Accent3 7 2 2 2 2 3" xfId="18367" xr:uid="{00000000-0005-0000-0000-000062470000}"/>
    <cellStyle name="40% - Accent3 7 2 2 2 2 4" xfId="18368" xr:uid="{00000000-0005-0000-0000-000063470000}"/>
    <cellStyle name="40% - Accent3 7 2 2 2 3" xfId="18369" xr:uid="{00000000-0005-0000-0000-000064470000}"/>
    <cellStyle name="40% - Accent3 7 2 2 2 3 2" xfId="18370" xr:uid="{00000000-0005-0000-0000-000065470000}"/>
    <cellStyle name="40% - Accent3 7 2 2 2 3 3" xfId="18371" xr:uid="{00000000-0005-0000-0000-000066470000}"/>
    <cellStyle name="40% - Accent3 7 2 2 2 4" xfId="18372" xr:uid="{00000000-0005-0000-0000-000067470000}"/>
    <cellStyle name="40% - Accent3 7 2 2 2 5" xfId="18373" xr:uid="{00000000-0005-0000-0000-000068470000}"/>
    <cellStyle name="40% - Accent3 7 2 2 2 6" xfId="18374" xr:uid="{00000000-0005-0000-0000-000069470000}"/>
    <cellStyle name="40% - Accent3 7 2 2 3" xfId="18375" xr:uid="{00000000-0005-0000-0000-00006A470000}"/>
    <cellStyle name="40% - Accent3 7 2 2 3 2" xfId="18376" xr:uid="{00000000-0005-0000-0000-00006B470000}"/>
    <cellStyle name="40% - Accent3 7 2 2 3 2 2" xfId="18377" xr:uid="{00000000-0005-0000-0000-00006C470000}"/>
    <cellStyle name="40% - Accent3 7 2 2 3 2 3" xfId="18378" xr:uid="{00000000-0005-0000-0000-00006D470000}"/>
    <cellStyle name="40% - Accent3 7 2 2 3 3" xfId="18379" xr:uid="{00000000-0005-0000-0000-00006E470000}"/>
    <cellStyle name="40% - Accent3 7 2 2 3 4" xfId="18380" xr:uid="{00000000-0005-0000-0000-00006F470000}"/>
    <cellStyle name="40% - Accent3 7 2 2 4" xfId="18381" xr:uid="{00000000-0005-0000-0000-000070470000}"/>
    <cellStyle name="40% - Accent3 7 2 2 4 2" xfId="18382" xr:uid="{00000000-0005-0000-0000-000071470000}"/>
    <cellStyle name="40% - Accent3 7 2 2 4 3" xfId="18383" xr:uid="{00000000-0005-0000-0000-000072470000}"/>
    <cellStyle name="40% - Accent3 7 2 2 5" xfId="18384" xr:uid="{00000000-0005-0000-0000-000073470000}"/>
    <cellStyle name="40% - Accent3 7 2 2 6" xfId="18385" xr:uid="{00000000-0005-0000-0000-000074470000}"/>
    <cellStyle name="40% - Accent3 7 2 2 7" xfId="18386" xr:uid="{00000000-0005-0000-0000-000075470000}"/>
    <cellStyle name="40% - Accent3 7 2 3" xfId="18387" xr:uid="{00000000-0005-0000-0000-000076470000}"/>
    <cellStyle name="40% - Accent3 7 2 3 2" xfId="18388" xr:uid="{00000000-0005-0000-0000-000077470000}"/>
    <cellStyle name="40% - Accent3 7 2 3 2 2" xfId="18389" xr:uid="{00000000-0005-0000-0000-000078470000}"/>
    <cellStyle name="40% - Accent3 7 2 3 2 2 2" xfId="18390" xr:uid="{00000000-0005-0000-0000-000079470000}"/>
    <cellStyle name="40% - Accent3 7 2 3 2 2 3" xfId="18391" xr:uid="{00000000-0005-0000-0000-00007A470000}"/>
    <cellStyle name="40% - Accent3 7 2 3 2 3" xfId="18392" xr:uid="{00000000-0005-0000-0000-00007B470000}"/>
    <cellStyle name="40% - Accent3 7 2 3 2 4" xfId="18393" xr:uid="{00000000-0005-0000-0000-00007C470000}"/>
    <cellStyle name="40% - Accent3 7 2 3 3" xfId="18394" xr:uid="{00000000-0005-0000-0000-00007D470000}"/>
    <cellStyle name="40% - Accent3 7 2 3 3 2" xfId="18395" xr:uid="{00000000-0005-0000-0000-00007E470000}"/>
    <cellStyle name="40% - Accent3 7 2 3 3 3" xfId="18396" xr:uid="{00000000-0005-0000-0000-00007F470000}"/>
    <cellStyle name="40% - Accent3 7 2 3 4" xfId="18397" xr:uid="{00000000-0005-0000-0000-000080470000}"/>
    <cellStyle name="40% - Accent3 7 2 3 5" xfId="18398" xr:uid="{00000000-0005-0000-0000-000081470000}"/>
    <cellStyle name="40% - Accent3 7 2 3 6" xfId="18399" xr:uid="{00000000-0005-0000-0000-000082470000}"/>
    <cellStyle name="40% - Accent3 7 2 4" xfId="18400" xr:uid="{00000000-0005-0000-0000-000083470000}"/>
    <cellStyle name="40% - Accent3 7 2 4 2" xfId="18401" xr:uid="{00000000-0005-0000-0000-000084470000}"/>
    <cellStyle name="40% - Accent3 7 2 4 2 2" xfId="18402" xr:uid="{00000000-0005-0000-0000-000085470000}"/>
    <cellStyle name="40% - Accent3 7 2 4 2 3" xfId="18403" xr:uid="{00000000-0005-0000-0000-000086470000}"/>
    <cellStyle name="40% - Accent3 7 2 4 3" xfId="18404" xr:uid="{00000000-0005-0000-0000-000087470000}"/>
    <cellStyle name="40% - Accent3 7 2 4 4" xfId="18405" xr:uid="{00000000-0005-0000-0000-000088470000}"/>
    <cellStyle name="40% - Accent3 7 2 5" xfId="18406" xr:uid="{00000000-0005-0000-0000-000089470000}"/>
    <cellStyle name="40% - Accent3 7 2 5 2" xfId="18407" xr:uid="{00000000-0005-0000-0000-00008A470000}"/>
    <cellStyle name="40% - Accent3 7 2 5 3" xfId="18408" xr:uid="{00000000-0005-0000-0000-00008B470000}"/>
    <cellStyle name="40% - Accent3 7 2 6" xfId="18409" xr:uid="{00000000-0005-0000-0000-00008C470000}"/>
    <cellStyle name="40% - Accent3 7 2 7" xfId="18410" xr:uid="{00000000-0005-0000-0000-00008D470000}"/>
    <cellStyle name="40% - Accent3 7 2 8" xfId="18411" xr:uid="{00000000-0005-0000-0000-00008E470000}"/>
    <cellStyle name="40% - Accent3 7 3" xfId="18412" xr:uid="{00000000-0005-0000-0000-00008F470000}"/>
    <cellStyle name="40% - Accent3 7 3 2" xfId="18413" xr:uid="{00000000-0005-0000-0000-000090470000}"/>
    <cellStyle name="40% - Accent3 7 3 2 2" xfId="18414" xr:uid="{00000000-0005-0000-0000-000091470000}"/>
    <cellStyle name="40% - Accent3 7 3 2 2 2" xfId="18415" xr:uid="{00000000-0005-0000-0000-000092470000}"/>
    <cellStyle name="40% - Accent3 7 3 2 2 2 2" xfId="18416" xr:uid="{00000000-0005-0000-0000-000093470000}"/>
    <cellStyle name="40% - Accent3 7 3 2 2 2 3" xfId="18417" xr:uid="{00000000-0005-0000-0000-000094470000}"/>
    <cellStyle name="40% - Accent3 7 3 2 2 3" xfId="18418" xr:uid="{00000000-0005-0000-0000-000095470000}"/>
    <cellStyle name="40% - Accent3 7 3 2 2 4" xfId="18419" xr:uid="{00000000-0005-0000-0000-000096470000}"/>
    <cellStyle name="40% - Accent3 7 3 2 3" xfId="18420" xr:uid="{00000000-0005-0000-0000-000097470000}"/>
    <cellStyle name="40% - Accent3 7 3 2 3 2" xfId="18421" xr:uid="{00000000-0005-0000-0000-000098470000}"/>
    <cellStyle name="40% - Accent3 7 3 2 3 3" xfId="18422" xr:uid="{00000000-0005-0000-0000-000099470000}"/>
    <cellStyle name="40% - Accent3 7 3 2 4" xfId="18423" xr:uid="{00000000-0005-0000-0000-00009A470000}"/>
    <cellStyle name="40% - Accent3 7 3 2 5" xfId="18424" xr:uid="{00000000-0005-0000-0000-00009B470000}"/>
    <cellStyle name="40% - Accent3 7 3 2 6" xfId="18425" xr:uid="{00000000-0005-0000-0000-00009C470000}"/>
    <cellStyle name="40% - Accent3 7 3 3" xfId="18426" xr:uid="{00000000-0005-0000-0000-00009D470000}"/>
    <cellStyle name="40% - Accent3 7 3 3 2" xfId="18427" xr:uid="{00000000-0005-0000-0000-00009E470000}"/>
    <cellStyle name="40% - Accent3 7 3 3 2 2" xfId="18428" xr:uid="{00000000-0005-0000-0000-00009F470000}"/>
    <cellStyle name="40% - Accent3 7 3 3 2 3" xfId="18429" xr:uid="{00000000-0005-0000-0000-0000A0470000}"/>
    <cellStyle name="40% - Accent3 7 3 3 3" xfId="18430" xr:uid="{00000000-0005-0000-0000-0000A1470000}"/>
    <cellStyle name="40% - Accent3 7 3 3 4" xfId="18431" xr:uid="{00000000-0005-0000-0000-0000A2470000}"/>
    <cellStyle name="40% - Accent3 7 3 4" xfId="18432" xr:uid="{00000000-0005-0000-0000-0000A3470000}"/>
    <cellStyle name="40% - Accent3 7 3 4 2" xfId="18433" xr:uid="{00000000-0005-0000-0000-0000A4470000}"/>
    <cellStyle name="40% - Accent3 7 3 4 3" xfId="18434" xr:uid="{00000000-0005-0000-0000-0000A5470000}"/>
    <cellStyle name="40% - Accent3 7 3 5" xfId="18435" xr:uid="{00000000-0005-0000-0000-0000A6470000}"/>
    <cellStyle name="40% - Accent3 7 3 6" xfId="18436" xr:uid="{00000000-0005-0000-0000-0000A7470000}"/>
    <cellStyle name="40% - Accent3 7 3 7" xfId="18437" xr:uid="{00000000-0005-0000-0000-0000A8470000}"/>
    <cellStyle name="40% - Accent3 7 4" xfId="18438" xr:uid="{00000000-0005-0000-0000-0000A9470000}"/>
    <cellStyle name="40% - Accent3 7 4 2" xfId="18439" xr:uid="{00000000-0005-0000-0000-0000AA470000}"/>
    <cellStyle name="40% - Accent3 7 4 2 2" xfId="18440" xr:uid="{00000000-0005-0000-0000-0000AB470000}"/>
    <cellStyle name="40% - Accent3 7 4 2 2 2" xfId="18441" xr:uid="{00000000-0005-0000-0000-0000AC470000}"/>
    <cellStyle name="40% - Accent3 7 4 2 2 3" xfId="18442" xr:uid="{00000000-0005-0000-0000-0000AD470000}"/>
    <cellStyle name="40% - Accent3 7 4 2 3" xfId="18443" xr:uid="{00000000-0005-0000-0000-0000AE470000}"/>
    <cellStyle name="40% - Accent3 7 4 2 4" xfId="18444" xr:uid="{00000000-0005-0000-0000-0000AF470000}"/>
    <cellStyle name="40% - Accent3 7 4 3" xfId="18445" xr:uid="{00000000-0005-0000-0000-0000B0470000}"/>
    <cellStyle name="40% - Accent3 7 4 3 2" xfId="18446" xr:uid="{00000000-0005-0000-0000-0000B1470000}"/>
    <cellStyle name="40% - Accent3 7 4 3 3" xfId="18447" xr:uid="{00000000-0005-0000-0000-0000B2470000}"/>
    <cellStyle name="40% - Accent3 7 4 4" xfId="18448" xr:uid="{00000000-0005-0000-0000-0000B3470000}"/>
    <cellStyle name="40% - Accent3 7 4 5" xfId="18449" xr:uid="{00000000-0005-0000-0000-0000B4470000}"/>
    <cellStyle name="40% - Accent3 7 4 6" xfId="18450" xr:uid="{00000000-0005-0000-0000-0000B5470000}"/>
    <cellStyle name="40% - Accent3 7 5" xfId="18451" xr:uid="{00000000-0005-0000-0000-0000B6470000}"/>
    <cellStyle name="40% - Accent3 7 5 2" xfId="18452" xr:uid="{00000000-0005-0000-0000-0000B7470000}"/>
    <cellStyle name="40% - Accent3 7 5 2 2" xfId="18453" xr:uid="{00000000-0005-0000-0000-0000B8470000}"/>
    <cellStyle name="40% - Accent3 7 5 2 3" xfId="18454" xr:uid="{00000000-0005-0000-0000-0000B9470000}"/>
    <cellStyle name="40% - Accent3 7 5 3" xfId="18455" xr:uid="{00000000-0005-0000-0000-0000BA470000}"/>
    <cellStyle name="40% - Accent3 7 5 4" xfId="18456" xr:uid="{00000000-0005-0000-0000-0000BB470000}"/>
    <cellStyle name="40% - Accent3 7 6" xfId="18457" xr:uid="{00000000-0005-0000-0000-0000BC470000}"/>
    <cellStyle name="40% - Accent3 7 6 2" xfId="18458" xr:uid="{00000000-0005-0000-0000-0000BD470000}"/>
    <cellStyle name="40% - Accent3 7 6 3" xfId="18459" xr:uid="{00000000-0005-0000-0000-0000BE470000}"/>
    <cellStyle name="40% - Accent3 7 7" xfId="18460" xr:uid="{00000000-0005-0000-0000-0000BF470000}"/>
    <cellStyle name="40% - Accent3 7 8" xfId="18461" xr:uid="{00000000-0005-0000-0000-0000C0470000}"/>
    <cellStyle name="40% - Accent3 7 9" xfId="18462" xr:uid="{00000000-0005-0000-0000-0000C1470000}"/>
    <cellStyle name="40% - Accent3 8" xfId="18463" xr:uid="{00000000-0005-0000-0000-0000C2470000}"/>
    <cellStyle name="40% - Accent3 8 2" xfId="18464" xr:uid="{00000000-0005-0000-0000-0000C3470000}"/>
    <cellStyle name="40% - Accent3 8 2 2" xfId="18465" xr:uid="{00000000-0005-0000-0000-0000C4470000}"/>
    <cellStyle name="40% - Accent3 8 2 2 2" xfId="18466" xr:uid="{00000000-0005-0000-0000-0000C5470000}"/>
    <cellStyle name="40% - Accent3 8 2 2 2 2" xfId="18467" xr:uid="{00000000-0005-0000-0000-0000C6470000}"/>
    <cellStyle name="40% - Accent3 8 2 2 2 2 2" xfId="18468" xr:uid="{00000000-0005-0000-0000-0000C7470000}"/>
    <cellStyle name="40% - Accent3 8 2 2 2 2 3" xfId="18469" xr:uid="{00000000-0005-0000-0000-0000C8470000}"/>
    <cellStyle name="40% - Accent3 8 2 2 2 3" xfId="18470" xr:uid="{00000000-0005-0000-0000-0000C9470000}"/>
    <cellStyle name="40% - Accent3 8 2 2 2 4" xfId="18471" xr:uid="{00000000-0005-0000-0000-0000CA470000}"/>
    <cellStyle name="40% - Accent3 8 2 2 3" xfId="18472" xr:uid="{00000000-0005-0000-0000-0000CB470000}"/>
    <cellStyle name="40% - Accent3 8 2 2 3 2" xfId="18473" xr:uid="{00000000-0005-0000-0000-0000CC470000}"/>
    <cellStyle name="40% - Accent3 8 2 2 3 3" xfId="18474" xr:uid="{00000000-0005-0000-0000-0000CD470000}"/>
    <cellStyle name="40% - Accent3 8 2 2 4" xfId="18475" xr:uid="{00000000-0005-0000-0000-0000CE470000}"/>
    <cellStyle name="40% - Accent3 8 2 2 5" xfId="18476" xr:uid="{00000000-0005-0000-0000-0000CF470000}"/>
    <cellStyle name="40% - Accent3 8 2 2 6" xfId="18477" xr:uid="{00000000-0005-0000-0000-0000D0470000}"/>
    <cellStyle name="40% - Accent3 8 2 3" xfId="18478" xr:uid="{00000000-0005-0000-0000-0000D1470000}"/>
    <cellStyle name="40% - Accent3 8 2 3 2" xfId="18479" xr:uid="{00000000-0005-0000-0000-0000D2470000}"/>
    <cellStyle name="40% - Accent3 8 2 3 2 2" xfId="18480" xr:uid="{00000000-0005-0000-0000-0000D3470000}"/>
    <cellStyle name="40% - Accent3 8 2 3 2 3" xfId="18481" xr:uid="{00000000-0005-0000-0000-0000D4470000}"/>
    <cellStyle name="40% - Accent3 8 2 3 3" xfId="18482" xr:uid="{00000000-0005-0000-0000-0000D5470000}"/>
    <cellStyle name="40% - Accent3 8 2 3 4" xfId="18483" xr:uid="{00000000-0005-0000-0000-0000D6470000}"/>
    <cellStyle name="40% - Accent3 8 2 4" xfId="18484" xr:uid="{00000000-0005-0000-0000-0000D7470000}"/>
    <cellStyle name="40% - Accent3 8 2 4 2" xfId="18485" xr:uid="{00000000-0005-0000-0000-0000D8470000}"/>
    <cellStyle name="40% - Accent3 8 2 4 3" xfId="18486" xr:uid="{00000000-0005-0000-0000-0000D9470000}"/>
    <cellStyle name="40% - Accent3 8 2 5" xfId="18487" xr:uid="{00000000-0005-0000-0000-0000DA470000}"/>
    <cellStyle name="40% - Accent3 8 2 6" xfId="18488" xr:uid="{00000000-0005-0000-0000-0000DB470000}"/>
    <cellStyle name="40% - Accent3 8 2 7" xfId="18489" xr:uid="{00000000-0005-0000-0000-0000DC470000}"/>
    <cellStyle name="40% - Accent3 8 3" xfId="18490" xr:uid="{00000000-0005-0000-0000-0000DD470000}"/>
    <cellStyle name="40% - Accent3 8 3 2" xfId="18491" xr:uid="{00000000-0005-0000-0000-0000DE470000}"/>
    <cellStyle name="40% - Accent3 8 3 2 2" xfId="18492" xr:uid="{00000000-0005-0000-0000-0000DF470000}"/>
    <cellStyle name="40% - Accent3 8 3 2 2 2" xfId="18493" xr:uid="{00000000-0005-0000-0000-0000E0470000}"/>
    <cellStyle name="40% - Accent3 8 3 2 2 3" xfId="18494" xr:uid="{00000000-0005-0000-0000-0000E1470000}"/>
    <cellStyle name="40% - Accent3 8 3 2 3" xfId="18495" xr:uid="{00000000-0005-0000-0000-0000E2470000}"/>
    <cellStyle name="40% - Accent3 8 3 2 4" xfId="18496" xr:uid="{00000000-0005-0000-0000-0000E3470000}"/>
    <cellStyle name="40% - Accent3 8 3 3" xfId="18497" xr:uid="{00000000-0005-0000-0000-0000E4470000}"/>
    <cellStyle name="40% - Accent3 8 3 3 2" xfId="18498" xr:uid="{00000000-0005-0000-0000-0000E5470000}"/>
    <cellStyle name="40% - Accent3 8 3 3 3" xfId="18499" xr:uid="{00000000-0005-0000-0000-0000E6470000}"/>
    <cellStyle name="40% - Accent3 8 3 4" xfId="18500" xr:uid="{00000000-0005-0000-0000-0000E7470000}"/>
    <cellStyle name="40% - Accent3 8 3 5" xfId="18501" xr:uid="{00000000-0005-0000-0000-0000E8470000}"/>
    <cellStyle name="40% - Accent3 8 3 6" xfId="18502" xr:uid="{00000000-0005-0000-0000-0000E9470000}"/>
    <cellStyle name="40% - Accent3 8 4" xfId="18503" xr:uid="{00000000-0005-0000-0000-0000EA470000}"/>
    <cellStyle name="40% - Accent3 8 4 2" xfId="18504" xr:uid="{00000000-0005-0000-0000-0000EB470000}"/>
    <cellStyle name="40% - Accent3 8 4 2 2" xfId="18505" xr:uid="{00000000-0005-0000-0000-0000EC470000}"/>
    <cellStyle name="40% - Accent3 8 4 2 3" xfId="18506" xr:uid="{00000000-0005-0000-0000-0000ED470000}"/>
    <cellStyle name="40% - Accent3 8 4 3" xfId="18507" xr:uid="{00000000-0005-0000-0000-0000EE470000}"/>
    <cellStyle name="40% - Accent3 8 4 4" xfId="18508" xr:uid="{00000000-0005-0000-0000-0000EF470000}"/>
    <cellStyle name="40% - Accent3 8 5" xfId="18509" xr:uid="{00000000-0005-0000-0000-0000F0470000}"/>
    <cellStyle name="40% - Accent3 8 5 2" xfId="18510" xr:uid="{00000000-0005-0000-0000-0000F1470000}"/>
    <cellStyle name="40% - Accent3 8 5 3" xfId="18511" xr:uid="{00000000-0005-0000-0000-0000F2470000}"/>
    <cellStyle name="40% - Accent3 8 6" xfId="18512" xr:uid="{00000000-0005-0000-0000-0000F3470000}"/>
    <cellStyle name="40% - Accent3 8 7" xfId="18513" xr:uid="{00000000-0005-0000-0000-0000F4470000}"/>
    <cellStyle name="40% - Accent3 8 8" xfId="18514" xr:uid="{00000000-0005-0000-0000-0000F5470000}"/>
    <cellStyle name="40% - Accent3 9" xfId="18515" xr:uid="{00000000-0005-0000-0000-0000F6470000}"/>
    <cellStyle name="40% - Accent3 9 2" xfId="18516" xr:uid="{00000000-0005-0000-0000-0000F7470000}"/>
    <cellStyle name="40% - Accent3 9 2 2" xfId="18517" xr:uid="{00000000-0005-0000-0000-0000F8470000}"/>
    <cellStyle name="40% - Accent3 9 2 2 2" xfId="18518" xr:uid="{00000000-0005-0000-0000-0000F9470000}"/>
    <cellStyle name="40% - Accent3 9 2 2 2 2" xfId="18519" xr:uid="{00000000-0005-0000-0000-0000FA470000}"/>
    <cellStyle name="40% - Accent3 9 2 2 2 2 2" xfId="18520" xr:uid="{00000000-0005-0000-0000-0000FB470000}"/>
    <cellStyle name="40% - Accent3 9 2 2 2 2 3" xfId="18521" xr:uid="{00000000-0005-0000-0000-0000FC470000}"/>
    <cellStyle name="40% - Accent3 9 2 2 2 3" xfId="18522" xr:uid="{00000000-0005-0000-0000-0000FD470000}"/>
    <cellStyle name="40% - Accent3 9 2 2 2 4" xfId="18523" xr:uid="{00000000-0005-0000-0000-0000FE470000}"/>
    <cellStyle name="40% - Accent3 9 2 2 3" xfId="18524" xr:uid="{00000000-0005-0000-0000-0000FF470000}"/>
    <cellStyle name="40% - Accent3 9 2 2 3 2" xfId="18525" xr:uid="{00000000-0005-0000-0000-000000480000}"/>
    <cellStyle name="40% - Accent3 9 2 2 3 3" xfId="18526" xr:uid="{00000000-0005-0000-0000-000001480000}"/>
    <cellStyle name="40% - Accent3 9 2 2 4" xfId="18527" xr:uid="{00000000-0005-0000-0000-000002480000}"/>
    <cellStyle name="40% - Accent3 9 2 2 5" xfId="18528" xr:uid="{00000000-0005-0000-0000-000003480000}"/>
    <cellStyle name="40% - Accent3 9 2 2 6" xfId="18529" xr:uid="{00000000-0005-0000-0000-000004480000}"/>
    <cellStyle name="40% - Accent3 9 2 3" xfId="18530" xr:uid="{00000000-0005-0000-0000-000005480000}"/>
    <cellStyle name="40% - Accent3 9 2 3 2" xfId="18531" xr:uid="{00000000-0005-0000-0000-000006480000}"/>
    <cellStyle name="40% - Accent3 9 2 3 2 2" xfId="18532" xr:uid="{00000000-0005-0000-0000-000007480000}"/>
    <cellStyle name="40% - Accent3 9 2 3 2 3" xfId="18533" xr:uid="{00000000-0005-0000-0000-000008480000}"/>
    <cellStyle name="40% - Accent3 9 2 3 3" xfId="18534" xr:uid="{00000000-0005-0000-0000-000009480000}"/>
    <cellStyle name="40% - Accent3 9 2 3 4" xfId="18535" xr:uid="{00000000-0005-0000-0000-00000A480000}"/>
    <cellStyle name="40% - Accent3 9 2 4" xfId="18536" xr:uid="{00000000-0005-0000-0000-00000B480000}"/>
    <cellStyle name="40% - Accent3 9 2 4 2" xfId="18537" xr:uid="{00000000-0005-0000-0000-00000C480000}"/>
    <cellStyle name="40% - Accent3 9 2 4 3" xfId="18538" xr:uid="{00000000-0005-0000-0000-00000D480000}"/>
    <cellStyle name="40% - Accent3 9 2 5" xfId="18539" xr:uid="{00000000-0005-0000-0000-00000E480000}"/>
    <cellStyle name="40% - Accent3 9 2 6" xfId="18540" xr:uid="{00000000-0005-0000-0000-00000F480000}"/>
    <cellStyle name="40% - Accent3 9 2 7" xfId="18541" xr:uid="{00000000-0005-0000-0000-000010480000}"/>
    <cellStyle name="40% - Accent3 9 3" xfId="18542" xr:uid="{00000000-0005-0000-0000-000011480000}"/>
    <cellStyle name="40% - Accent3 9 3 2" xfId="18543" xr:uid="{00000000-0005-0000-0000-000012480000}"/>
    <cellStyle name="40% - Accent3 9 3 2 2" xfId="18544" xr:uid="{00000000-0005-0000-0000-000013480000}"/>
    <cellStyle name="40% - Accent3 9 3 2 2 2" xfId="18545" xr:uid="{00000000-0005-0000-0000-000014480000}"/>
    <cellStyle name="40% - Accent3 9 3 2 2 3" xfId="18546" xr:uid="{00000000-0005-0000-0000-000015480000}"/>
    <cellStyle name="40% - Accent3 9 3 2 3" xfId="18547" xr:uid="{00000000-0005-0000-0000-000016480000}"/>
    <cellStyle name="40% - Accent3 9 3 2 4" xfId="18548" xr:uid="{00000000-0005-0000-0000-000017480000}"/>
    <cellStyle name="40% - Accent3 9 3 3" xfId="18549" xr:uid="{00000000-0005-0000-0000-000018480000}"/>
    <cellStyle name="40% - Accent3 9 3 3 2" xfId="18550" xr:uid="{00000000-0005-0000-0000-000019480000}"/>
    <cellStyle name="40% - Accent3 9 3 3 3" xfId="18551" xr:uid="{00000000-0005-0000-0000-00001A480000}"/>
    <cellStyle name="40% - Accent3 9 3 4" xfId="18552" xr:uid="{00000000-0005-0000-0000-00001B480000}"/>
    <cellStyle name="40% - Accent3 9 3 5" xfId="18553" xr:uid="{00000000-0005-0000-0000-00001C480000}"/>
    <cellStyle name="40% - Accent3 9 3 6" xfId="18554" xr:uid="{00000000-0005-0000-0000-00001D480000}"/>
    <cellStyle name="40% - Accent3 9 4" xfId="18555" xr:uid="{00000000-0005-0000-0000-00001E480000}"/>
    <cellStyle name="40% - Accent3 9 4 2" xfId="18556" xr:uid="{00000000-0005-0000-0000-00001F480000}"/>
    <cellStyle name="40% - Accent3 9 4 2 2" xfId="18557" xr:uid="{00000000-0005-0000-0000-000020480000}"/>
    <cellStyle name="40% - Accent3 9 4 2 3" xfId="18558" xr:uid="{00000000-0005-0000-0000-000021480000}"/>
    <cellStyle name="40% - Accent3 9 4 3" xfId="18559" xr:uid="{00000000-0005-0000-0000-000022480000}"/>
    <cellStyle name="40% - Accent3 9 4 4" xfId="18560" xr:uid="{00000000-0005-0000-0000-000023480000}"/>
    <cellStyle name="40% - Accent3 9 5" xfId="18561" xr:uid="{00000000-0005-0000-0000-000024480000}"/>
    <cellStyle name="40% - Accent3 9 5 2" xfId="18562" xr:uid="{00000000-0005-0000-0000-000025480000}"/>
    <cellStyle name="40% - Accent3 9 5 3" xfId="18563" xr:uid="{00000000-0005-0000-0000-000026480000}"/>
    <cellStyle name="40% - Accent3 9 6" xfId="18564" xr:uid="{00000000-0005-0000-0000-000027480000}"/>
    <cellStyle name="40% - Accent3 9 7" xfId="18565" xr:uid="{00000000-0005-0000-0000-000028480000}"/>
    <cellStyle name="40% - Accent3 9 8" xfId="18566" xr:uid="{00000000-0005-0000-0000-000029480000}"/>
    <cellStyle name="40% - Accent4 10" xfId="18567" xr:uid="{00000000-0005-0000-0000-00002A480000}"/>
    <cellStyle name="40% - Accent4 10 2" xfId="18568" xr:uid="{00000000-0005-0000-0000-00002B480000}"/>
    <cellStyle name="40% - Accent4 10 2 2" xfId="18569" xr:uid="{00000000-0005-0000-0000-00002C480000}"/>
    <cellStyle name="40% - Accent4 10 2 2 2" xfId="18570" xr:uid="{00000000-0005-0000-0000-00002D480000}"/>
    <cellStyle name="40% - Accent4 10 2 2 2 2" xfId="18571" xr:uid="{00000000-0005-0000-0000-00002E480000}"/>
    <cellStyle name="40% - Accent4 10 2 2 2 2 2" xfId="18572" xr:uid="{00000000-0005-0000-0000-00002F480000}"/>
    <cellStyle name="40% - Accent4 10 2 2 2 2 3" xfId="18573" xr:uid="{00000000-0005-0000-0000-000030480000}"/>
    <cellStyle name="40% - Accent4 10 2 2 2 3" xfId="18574" xr:uid="{00000000-0005-0000-0000-000031480000}"/>
    <cellStyle name="40% - Accent4 10 2 2 2 4" xfId="18575" xr:uid="{00000000-0005-0000-0000-000032480000}"/>
    <cellStyle name="40% - Accent4 10 2 2 3" xfId="18576" xr:uid="{00000000-0005-0000-0000-000033480000}"/>
    <cellStyle name="40% - Accent4 10 2 2 3 2" xfId="18577" xr:uid="{00000000-0005-0000-0000-000034480000}"/>
    <cellStyle name="40% - Accent4 10 2 2 3 3" xfId="18578" xr:uid="{00000000-0005-0000-0000-000035480000}"/>
    <cellStyle name="40% - Accent4 10 2 2 4" xfId="18579" xr:uid="{00000000-0005-0000-0000-000036480000}"/>
    <cellStyle name="40% - Accent4 10 2 2 5" xfId="18580" xr:uid="{00000000-0005-0000-0000-000037480000}"/>
    <cellStyle name="40% - Accent4 10 2 2 6" xfId="18581" xr:uid="{00000000-0005-0000-0000-000038480000}"/>
    <cellStyle name="40% - Accent4 10 2 3" xfId="18582" xr:uid="{00000000-0005-0000-0000-000039480000}"/>
    <cellStyle name="40% - Accent4 10 2 3 2" xfId="18583" xr:uid="{00000000-0005-0000-0000-00003A480000}"/>
    <cellStyle name="40% - Accent4 10 2 3 2 2" xfId="18584" xr:uid="{00000000-0005-0000-0000-00003B480000}"/>
    <cellStyle name="40% - Accent4 10 2 3 2 3" xfId="18585" xr:uid="{00000000-0005-0000-0000-00003C480000}"/>
    <cellStyle name="40% - Accent4 10 2 3 3" xfId="18586" xr:uid="{00000000-0005-0000-0000-00003D480000}"/>
    <cellStyle name="40% - Accent4 10 2 3 4" xfId="18587" xr:uid="{00000000-0005-0000-0000-00003E480000}"/>
    <cellStyle name="40% - Accent4 10 2 4" xfId="18588" xr:uid="{00000000-0005-0000-0000-00003F480000}"/>
    <cellStyle name="40% - Accent4 10 2 4 2" xfId="18589" xr:uid="{00000000-0005-0000-0000-000040480000}"/>
    <cellStyle name="40% - Accent4 10 2 4 3" xfId="18590" xr:uid="{00000000-0005-0000-0000-000041480000}"/>
    <cellStyle name="40% - Accent4 10 2 5" xfId="18591" xr:uid="{00000000-0005-0000-0000-000042480000}"/>
    <cellStyle name="40% - Accent4 10 2 6" xfId="18592" xr:uid="{00000000-0005-0000-0000-000043480000}"/>
    <cellStyle name="40% - Accent4 10 2 7" xfId="18593" xr:uid="{00000000-0005-0000-0000-000044480000}"/>
    <cellStyle name="40% - Accent4 10 3" xfId="18594" xr:uid="{00000000-0005-0000-0000-000045480000}"/>
    <cellStyle name="40% - Accent4 10 3 2" xfId="18595" xr:uid="{00000000-0005-0000-0000-000046480000}"/>
    <cellStyle name="40% - Accent4 10 3 2 2" xfId="18596" xr:uid="{00000000-0005-0000-0000-000047480000}"/>
    <cellStyle name="40% - Accent4 10 3 2 2 2" xfId="18597" xr:uid="{00000000-0005-0000-0000-000048480000}"/>
    <cellStyle name="40% - Accent4 10 3 2 2 3" xfId="18598" xr:uid="{00000000-0005-0000-0000-000049480000}"/>
    <cellStyle name="40% - Accent4 10 3 2 3" xfId="18599" xr:uid="{00000000-0005-0000-0000-00004A480000}"/>
    <cellStyle name="40% - Accent4 10 3 2 4" xfId="18600" xr:uid="{00000000-0005-0000-0000-00004B480000}"/>
    <cellStyle name="40% - Accent4 10 3 3" xfId="18601" xr:uid="{00000000-0005-0000-0000-00004C480000}"/>
    <cellStyle name="40% - Accent4 10 3 3 2" xfId="18602" xr:uid="{00000000-0005-0000-0000-00004D480000}"/>
    <cellStyle name="40% - Accent4 10 3 3 3" xfId="18603" xr:uid="{00000000-0005-0000-0000-00004E480000}"/>
    <cellStyle name="40% - Accent4 10 3 4" xfId="18604" xr:uid="{00000000-0005-0000-0000-00004F480000}"/>
    <cellStyle name="40% - Accent4 10 3 5" xfId="18605" xr:uid="{00000000-0005-0000-0000-000050480000}"/>
    <cellStyle name="40% - Accent4 10 3 6" xfId="18606" xr:uid="{00000000-0005-0000-0000-000051480000}"/>
    <cellStyle name="40% - Accent4 10 4" xfId="18607" xr:uid="{00000000-0005-0000-0000-000052480000}"/>
    <cellStyle name="40% - Accent4 10 4 2" xfId="18608" xr:uid="{00000000-0005-0000-0000-000053480000}"/>
    <cellStyle name="40% - Accent4 10 4 2 2" xfId="18609" xr:uid="{00000000-0005-0000-0000-000054480000}"/>
    <cellStyle name="40% - Accent4 10 4 2 3" xfId="18610" xr:uid="{00000000-0005-0000-0000-000055480000}"/>
    <cellStyle name="40% - Accent4 10 4 3" xfId="18611" xr:uid="{00000000-0005-0000-0000-000056480000}"/>
    <cellStyle name="40% - Accent4 10 4 4" xfId="18612" xr:uid="{00000000-0005-0000-0000-000057480000}"/>
    <cellStyle name="40% - Accent4 10 5" xfId="18613" xr:uid="{00000000-0005-0000-0000-000058480000}"/>
    <cellStyle name="40% - Accent4 10 5 2" xfId="18614" xr:uid="{00000000-0005-0000-0000-000059480000}"/>
    <cellStyle name="40% - Accent4 10 5 3" xfId="18615" xr:uid="{00000000-0005-0000-0000-00005A480000}"/>
    <cellStyle name="40% - Accent4 10 6" xfId="18616" xr:uid="{00000000-0005-0000-0000-00005B480000}"/>
    <cellStyle name="40% - Accent4 10 7" xfId="18617" xr:uid="{00000000-0005-0000-0000-00005C480000}"/>
    <cellStyle name="40% - Accent4 10 8" xfId="18618" xr:uid="{00000000-0005-0000-0000-00005D480000}"/>
    <cellStyle name="40% - Accent4 11" xfId="18619" xr:uid="{00000000-0005-0000-0000-00005E480000}"/>
    <cellStyle name="40% - Accent4 11 2" xfId="18620" xr:uid="{00000000-0005-0000-0000-00005F480000}"/>
    <cellStyle name="40% - Accent4 11 2 2" xfId="18621" xr:uid="{00000000-0005-0000-0000-000060480000}"/>
    <cellStyle name="40% - Accent4 11 2 2 2" xfId="18622" xr:uid="{00000000-0005-0000-0000-000061480000}"/>
    <cellStyle name="40% - Accent4 11 2 2 2 2" xfId="18623" xr:uid="{00000000-0005-0000-0000-000062480000}"/>
    <cellStyle name="40% - Accent4 11 2 2 2 3" xfId="18624" xr:uid="{00000000-0005-0000-0000-000063480000}"/>
    <cellStyle name="40% - Accent4 11 2 2 3" xfId="18625" xr:uid="{00000000-0005-0000-0000-000064480000}"/>
    <cellStyle name="40% - Accent4 11 2 2 4" xfId="18626" xr:uid="{00000000-0005-0000-0000-000065480000}"/>
    <cellStyle name="40% - Accent4 11 2 3" xfId="18627" xr:uid="{00000000-0005-0000-0000-000066480000}"/>
    <cellStyle name="40% - Accent4 11 2 3 2" xfId="18628" xr:uid="{00000000-0005-0000-0000-000067480000}"/>
    <cellStyle name="40% - Accent4 11 2 3 3" xfId="18629" xr:uid="{00000000-0005-0000-0000-000068480000}"/>
    <cellStyle name="40% - Accent4 11 2 4" xfId="18630" xr:uid="{00000000-0005-0000-0000-000069480000}"/>
    <cellStyle name="40% - Accent4 11 2 5" xfId="18631" xr:uid="{00000000-0005-0000-0000-00006A480000}"/>
    <cellStyle name="40% - Accent4 11 2 6" xfId="18632" xr:uid="{00000000-0005-0000-0000-00006B480000}"/>
    <cellStyle name="40% - Accent4 11 3" xfId="18633" xr:uid="{00000000-0005-0000-0000-00006C480000}"/>
    <cellStyle name="40% - Accent4 11 3 2" xfId="18634" xr:uid="{00000000-0005-0000-0000-00006D480000}"/>
    <cellStyle name="40% - Accent4 11 3 2 2" xfId="18635" xr:uid="{00000000-0005-0000-0000-00006E480000}"/>
    <cellStyle name="40% - Accent4 11 3 2 3" xfId="18636" xr:uid="{00000000-0005-0000-0000-00006F480000}"/>
    <cellStyle name="40% - Accent4 11 3 3" xfId="18637" xr:uid="{00000000-0005-0000-0000-000070480000}"/>
    <cellStyle name="40% - Accent4 11 3 4" xfId="18638" xr:uid="{00000000-0005-0000-0000-000071480000}"/>
    <cellStyle name="40% - Accent4 11 4" xfId="18639" xr:uid="{00000000-0005-0000-0000-000072480000}"/>
    <cellStyle name="40% - Accent4 11 4 2" xfId="18640" xr:uid="{00000000-0005-0000-0000-000073480000}"/>
    <cellStyle name="40% - Accent4 11 4 3" xfId="18641" xr:uid="{00000000-0005-0000-0000-000074480000}"/>
    <cellStyle name="40% - Accent4 11 5" xfId="18642" xr:uid="{00000000-0005-0000-0000-000075480000}"/>
    <cellStyle name="40% - Accent4 11 6" xfId="18643" xr:uid="{00000000-0005-0000-0000-000076480000}"/>
    <cellStyle name="40% - Accent4 11 7" xfId="18644" xr:uid="{00000000-0005-0000-0000-000077480000}"/>
    <cellStyle name="40% - Accent4 12" xfId="18645" xr:uid="{00000000-0005-0000-0000-000078480000}"/>
    <cellStyle name="40% - Accent4 12 2" xfId="18646" xr:uid="{00000000-0005-0000-0000-000079480000}"/>
    <cellStyle name="40% - Accent4 12 2 2" xfId="18647" xr:uid="{00000000-0005-0000-0000-00007A480000}"/>
    <cellStyle name="40% - Accent4 12 2 2 2" xfId="18648" xr:uid="{00000000-0005-0000-0000-00007B480000}"/>
    <cellStyle name="40% - Accent4 12 2 2 3" xfId="18649" xr:uid="{00000000-0005-0000-0000-00007C480000}"/>
    <cellStyle name="40% - Accent4 12 2 3" xfId="18650" xr:uid="{00000000-0005-0000-0000-00007D480000}"/>
    <cellStyle name="40% - Accent4 12 2 4" xfId="18651" xr:uid="{00000000-0005-0000-0000-00007E480000}"/>
    <cellStyle name="40% - Accent4 12 3" xfId="18652" xr:uid="{00000000-0005-0000-0000-00007F480000}"/>
    <cellStyle name="40% - Accent4 12 3 2" xfId="18653" xr:uid="{00000000-0005-0000-0000-000080480000}"/>
    <cellStyle name="40% - Accent4 12 3 3" xfId="18654" xr:uid="{00000000-0005-0000-0000-000081480000}"/>
    <cellStyle name="40% - Accent4 12 4" xfId="18655" xr:uid="{00000000-0005-0000-0000-000082480000}"/>
    <cellStyle name="40% - Accent4 12 5" xfId="18656" xr:uid="{00000000-0005-0000-0000-000083480000}"/>
    <cellStyle name="40% - Accent4 12 6" xfId="18657" xr:uid="{00000000-0005-0000-0000-000084480000}"/>
    <cellStyle name="40% - Accent4 13" xfId="18658" xr:uid="{00000000-0005-0000-0000-000085480000}"/>
    <cellStyle name="40% - Accent4 13 2" xfId="18659" xr:uid="{00000000-0005-0000-0000-000086480000}"/>
    <cellStyle name="40% - Accent4 13 2 2" xfId="18660" xr:uid="{00000000-0005-0000-0000-000087480000}"/>
    <cellStyle name="40% - Accent4 13 2 2 2" xfId="18661" xr:uid="{00000000-0005-0000-0000-000088480000}"/>
    <cellStyle name="40% - Accent4 13 2 2 3" xfId="18662" xr:uid="{00000000-0005-0000-0000-000089480000}"/>
    <cellStyle name="40% - Accent4 13 2 3" xfId="18663" xr:uid="{00000000-0005-0000-0000-00008A480000}"/>
    <cellStyle name="40% - Accent4 13 2 4" xfId="18664" xr:uid="{00000000-0005-0000-0000-00008B480000}"/>
    <cellStyle name="40% - Accent4 13 3" xfId="18665" xr:uid="{00000000-0005-0000-0000-00008C480000}"/>
    <cellStyle name="40% - Accent4 13 3 2" xfId="18666" xr:uid="{00000000-0005-0000-0000-00008D480000}"/>
    <cellStyle name="40% - Accent4 13 3 3" xfId="18667" xr:uid="{00000000-0005-0000-0000-00008E480000}"/>
    <cellStyle name="40% - Accent4 13 4" xfId="18668" xr:uid="{00000000-0005-0000-0000-00008F480000}"/>
    <cellStyle name="40% - Accent4 13 5" xfId="18669" xr:uid="{00000000-0005-0000-0000-000090480000}"/>
    <cellStyle name="40% - Accent4 13 6" xfId="18670" xr:uid="{00000000-0005-0000-0000-000091480000}"/>
    <cellStyle name="40% - Accent4 14" xfId="18671" xr:uid="{00000000-0005-0000-0000-000092480000}"/>
    <cellStyle name="40% - Accent4 14 2" xfId="18672" xr:uid="{00000000-0005-0000-0000-000093480000}"/>
    <cellStyle name="40% - Accent4 14 2 2" xfId="18673" xr:uid="{00000000-0005-0000-0000-000094480000}"/>
    <cellStyle name="40% - Accent4 14 2 3" xfId="18674" xr:uid="{00000000-0005-0000-0000-000095480000}"/>
    <cellStyle name="40% - Accent4 14 3" xfId="18675" xr:uid="{00000000-0005-0000-0000-000096480000}"/>
    <cellStyle name="40% - Accent4 14 4" xfId="18676" xr:uid="{00000000-0005-0000-0000-000097480000}"/>
    <cellStyle name="40% - Accent4 15" xfId="18677" xr:uid="{00000000-0005-0000-0000-000098480000}"/>
    <cellStyle name="40% - Accent4 16" xfId="18678" xr:uid="{00000000-0005-0000-0000-000099480000}"/>
    <cellStyle name="40% - Accent4 17" xfId="18679" xr:uid="{00000000-0005-0000-0000-00009A480000}"/>
    <cellStyle name="40% - Accent4 2" xfId="18680" xr:uid="{00000000-0005-0000-0000-00009B480000}"/>
    <cellStyle name="40% - Accent4 2 2" xfId="18681" xr:uid="{00000000-0005-0000-0000-00009C480000}"/>
    <cellStyle name="40% - Accent4 3" xfId="18682" xr:uid="{00000000-0005-0000-0000-00009D480000}"/>
    <cellStyle name="40% - Accent4 3 10" xfId="18683" xr:uid="{00000000-0005-0000-0000-00009E480000}"/>
    <cellStyle name="40% - Accent4 3 10 2" xfId="18684" xr:uid="{00000000-0005-0000-0000-00009F480000}"/>
    <cellStyle name="40% - Accent4 3 10 2 2" xfId="18685" xr:uid="{00000000-0005-0000-0000-0000A0480000}"/>
    <cellStyle name="40% - Accent4 3 10 2 2 2" xfId="18686" xr:uid="{00000000-0005-0000-0000-0000A1480000}"/>
    <cellStyle name="40% - Accent4 3 10 2 2 3" xfId="18687" xr:uid="{00000000-0005-0000-0000-0000A2480000}"/>
    <cellStyle name="40% - Accent4 3 10 2 3" xfId="18688" xr:uid="{00000000-0005-0000-0000-0000A3480000}"/>
    <cellStyle name="40% - Accent4 3 10 2 4" xfId="18689" xr:uid="{00000000-0005-0000-0000-0000A4480000}"/>
    <cellStyle name="40% - Accent4 3 10 3" xfId="18690" xr:uid="{00000000-0005-0000-0000-0000A5480000}"/>
    <cellStyle name="40% - Accent4 3 10 3 2" xfId="18691" xr:uid="{00000000-0005-0000-0000-0000A6480000}"/>
    <cellStyle name="40% - Accent4 3 10 3 3" xfId="18692" xr:uid="{00000000-0005-0000-0000-0000A7480000}"/>
    <cellStyle name="40% - Accent4 3 10 4" xfId="18693" xr:uid="{00000000-0005-0000-0000-0000A8480000}"/>
    <cellStyle name="40% - Accent4 3 10 5" xfId="18694" xr:uid="{00000000-0005-0000-0000-0000A9480000}"/>
    <cellStyle name="40% - Accent4 3 10 6" xfId="18695" xr:uid="{00000000-0005-0000-0000-0000AA480000}"/>
    <cellStyle name="40% - Accent4 3 11" xfId="18696" xr:uid="{00000000-0005-0000-0000-0000AB480000}"/>
    <cellStyle name="40% - Accent4 3 11 2" xfId="18697" xr:uid="{00000000-0005-0000-0000-0000AC480000}"/>
    <cellStyle name="40% - Accent4 3 11 2 2" xfId="18698" xr:uid="{00000000-0005-0000-0000-0000AD480000}"/>
    <cellStyle name="40% - Accent4 3 11 2 3" xfId="18699" xr:uid="{00000000-0005-0000-0000-0000AE480000}"/>
    <cellStyle name="40% - Accent4 3 11 3" xfId="18700" xr:uid="{00000000-0005-0000-0000-0000AF480000}"/>
    <cellStyle name="40% - Accent4 3 11 4" xfId="18701" xr:uid="{00000000-0005-0000-0000-0000B0480000}"/>
    <cellStyle name="40% - Accent4 3 12" xfId="18702" xr:uid="{00000000-0005-0000-0000-0000B1480000}"/>
    <cellStyle name="40% - Accent4 3 12 2" xfId="18703" xr:uid="{00000000-0005-0000-0000-0000B2480000}"/>
    <cellStyle name="40% - Accent4 3 12 3" xfId="18704" xr:uid="{00000000-0005-0000-0000-0000B3480000}"/>
    <cellStyle name="40% - Accent4 3 13" xfId="18705" xr:uid="{00000000-0005-0000-0000-0000B4480000}"/>
    <cellStyle name="40% - Accent4 3 14" xfId="18706" xr:uid="{00000000-0005-0000-0000-0000B5480000}"/>
    <cellStyle name="40% - Accent4 3 15" xfId="18707" xr:uid="{00000000-0005-0000-0000-0000B6480000}"/>
    <cellStyle name="40% - Accent4 3 2" xfId="18708" xr:uid="{00000000-0005-0000-0000-0000B7480000}"/>
    <cellStyle name="40% - Accent4 3 2 10" xfId="18709" xr:uid="{00000000-0005-0000-0000-0000B8480000}"/>
    <cellStyle name="40% - Accent4 3 2 11" xfId="18710" xr:uid="{00000000-0005-0000-0000-0000B9480000}"/>
    <cellStyle name="40% - Accent4 3 2 2" xfId="18711" xr:uid="{00000000-0005-0000-0000-0000BA480000}"/>
    <cellStyle name="40% - Accent4 3 2 2 10" xfId="18712" xr:uid="{00000000-0005-0000-0000-0000BB480000}"/>
    <cellStyle name="40% - Accent4 3 2 2 2" xfId="18713" xr:uid="{00000000-0005-0000-0000-0000BC480000}"/>
    <cellStyle name="40% - Accent4 3 2 2 2 2" xfId="18714" xr:uid="{00000000-0005-0000-0000-0000BD480000}"/>
    <cellStyle name="40% - Accent4 3 2 2 2 2 2" xfId="18715" xr:uid="{00000000-0005-0000-0000-0000BE480000}"/>
    <cellStyle name="40% - Accent4 3 2 2 2 2 2 2" xfId="18716" xr:uid="{00000000-0005-0000-0000-0000BF480000}"/>
    <cellStyle name="40% - Accent4 3 2 2 2 2 2 2 2" xfId="18717" xr:uid="{00000000-0005-0000-0000-0000C0480000}"/>
    <cellStyle name="40% - Accent4 3 2 2 2 2 2 2 2 2" xfId="18718" xr:uid="{00000000-0005-0000-0000-0000C1480000}"/>
    <cellStyle name="40% - Accent4 3 2 2 2 2 2 2 2 2 2" xfId="18719" xr:uid="{00000000-0005-0000-0000-0000C2480000}"/>
    <cellStyle name="40% - Accent4 3 2 2 2 2 2 2 2 2 3" xfId="18720" xr:uid="{00000000-0005-0000-0000-0000C3480000}"/>
    <cellStyle name="40% - Accent4 3 2 2 2 2 2 2 2 3" xfId="18721" xr:uid="{00000000-0005-0000-0000-0000C4480000}"/>
    <cellStyle name="40% - Accent4 3 2 2 2 2 2 2 2 4" xfId="18722" xr:uid="{00000000-0005-0000-0000-0000C5480000}"/>
    <cellStyle name="40% - Accent4 3 2 2 2 2 2 2 3" xfId="18723" xr:uid="{00000000-0005-0000-0000-0000C6480000}"/>
    <cellStyle name="40% - Accent4 3 2 2 2 2 2 2 3 2" xfId="18724" xr:uid="{00000000-0005-0000-0000-0000C7480000}"/>
    <cellStyle name="40% - Accent4 3 2 2 2 2 2 2 3 3" xfId="18725" xr:uid="{00000000-0005-0000-0000-0000C8480000}"/>
    <cellStyle name="40% - Accent4 3 2 2 2 2 2 2 4" xfId="18726" xr:uid="{00000000-0005-0000-0000-0000C9480000}"/>
    <cellStyle name="40% - Accent4 3 2 2 2 2 2 2 5" xfId="18727" xr:uid="{00000000-0005-0000-0000-0000CA480000}"/>
    <cellStyle name="40% - Accent4 3 2 2 2 2 2 2 6" xfId="18728" xr:uid="{00000000-0005-0000-0000-0000CB480000}"/>
    <cellStyle name="40% - Accent4 3 2 2 2 2 2 3" xfId="18729" xr:uid="{00000000-0005-0000-0000-0000CC480000}"/>
    <cellStyle name="40% - Accent4 3 2 2 2 2 2 3 2" xfId="18730" xr:uid="{00000000-0005-0000-0000-0000CD480000}"/>
    <cellStyle name="40% - Accent4 3 2 2 2 2 2 3 2 2" xfId="18731" xr:uid="{00000000-0005-0000-0000-0000CE480000}"/>
    <cellStyle name="40% - Accent4 3 2 2 2 2 2 3 2 3" xfId="18732" xr:uid="{00000000-0005-0000-0000-0000CF480000}"/>
    <cellStyle name="40% - Accent4 3 2 2 2 2 2 3 3" xfId="18733" xr:uid="{00000000-0005-0000-0000-0000D0480000}"/>
    <cellStyle name="40% - Accent4 3 2 2 2 2 2 3 4" xfId="18734" xr:uid="{00000000-0005-0000-0000-0000D1480000}"/>
    <cellStyle name="40% - Accent4 3 2 2 2 2 2 4" xfId="18735" xr:uid="{00000000-0005-0000-0000-0000D2480000}"/>
    <cellStyle name="40% - Accent4 3 2 2 2 2 2 4 2" xfId="18736" xr:uid="{00000000-0005-0000-0000-0000D3480000}"/>
    <cellStyle name="40% - Accent4 3 2 2 2 2 2 4 3" xfId="18737" xr:uid="{00000000-0005-0000-0000-0000D4480000}"/>
    <cellStyle name="40% - Accent4 3 2 2 2 2 2 5" xfId="18738" xr:uid="{00000000-0005-0000-0000-0000D5480000}"/>
    <cellStyle name="40% - Accent4 3 2 2 2 2 2 6" xfId="18739" xr:uid="{00000000-0005-0000-0000-0000D6480000}"/>
    <cellStyle name="40% - Accent4 3 2 2 2 2 2 7" xfId="18740" xr:uid="{00000000-0005-0000-0000-0000D7480000}"/>
    <cellStyle name="40% - Accent4 3 2 2 2 2 3" xfId="18741" xr:uid="{00000000-0005-0000-0000-0000D8480000}"/>
    <cellStyle name="40% - Accent4 3 2 2 2 2 3 2" xfId="18742" xr:uid="{00000000-0005-0000-0000-0000D9480000}"/>
    <cellStyle name="40% - Accent4 3 2 2 2 2 3 2 2" xfId="18743" xr:uid="{00000000-0005-0000-0000-0000DA480000}"/>
    <cellStyle name="40% - Accent4 3 2 2 2 2 3 2 2 2" xfId="18744" xr:uid="{00000000-0005-0000-0000-0000DB480000}"/>
    <cellStyle name="40% - Accent4 3 2 2 2 2 3 2 2 3" xfId="18745" xr:uid="{00000000-0005-0000-0000-0000DC480000}"/>
    <cellStyle name="40% - Accent4 3 2 2 2 2 3 2 3" xfId="18746" xr:uid="{00000000-0005-0000-0000-0000DD480000}"/>
    <cellStyle name="40% - Accent4 3 2 2 2 2 3 2 4" xfId="18747" xr:uid="{00000000-0005-0000-0000-0000DE480000}"/>
    <cellStyle name="40% - Accent4 3 2 2 2 2 3 3" xfId="18748" xr:uid="{00000000-0005-0000-0000-0000DF480000}"/>
    <cellStyle name="40% - Accent4 3 2 2 2 2 3 3 2" xfId="18749" xr:uid="{00000000-0005-0000-0000-0000E0480000}"/>
    <cellStyle name="40% - Accent4 3 2 2 2 2 3 3 3" xfId="18750" xr:uid="{00000000-0005-0000-0000-0000E1480000}"/>
    <cellStyle name="40% - Accent4 3 2 2 2 2 3 4" xfId="18751" xr:uid="{00000000-0005-0000-0000-0000E2480000}"/>
    <cellStyle name="40% - Accent4 3 2 2 2 2 3 5" xfId="18752" xr:uid="{00000000-0005-0000-0000-0000E3480000}"/>
    <cellStyle name="40% - Accent4 3 2 2 2 2 3 6" xfId="18753" xr:uid="{00000000-0005-0000-0000-0000E4480000}"/>
    <cellStyle name="40% - Accent4 3 2 2 2 2 4" xfId="18754" xr:uid="{00000000-0005-0000-0000-0000E5480000}"/>
    <cellStyle name="40% - Accent4 3 2 2 2 2 4 2" xfId="18755" xr:uid="{00000000-0005-0000-0000-0000E6480000}"/>
    <cellStyle name="40% - Accent4 3 2 2 2 2 4 2 2" xfId="18756" xr:uid="{00000000-0005-0000-0000-0000E7480000}"/>
    <cellStyle name="40% - Accent4 3 2 2 2 2 4 2 3" xfId="18757" xr:uid="{00000000-0005-0000-0000-0000E8480000}"/>
    <cellStyle name="40% - Accent4 3 2 2 2 2 4 3" xfId="18758" xr:uid="{00000000-0005-0000-0000-0000E9480000}"/>
    <cellStyle name="40% - Accent4 3 2 2 2 2 4 4" xfId="18759" xr:uid="{00000000-0005-0000-0000-0000EA480000}"/>
    <cellStyle name="40% - Accent4 3 2 2 2 2 5" xfId="18760" xr:uid="{00000000-0005-0000-0000-0000EB480000}"/>
    <cellStyle name="40% - Accent4 3 2 2 2 2 5 2" xfId="18761" xr:uid="{00000000-0005-0000-0000-0000EC480000}"/>
    <cellStyle name="40% - Accent4 3 2 2 2 2 5 3" xfId="18762" xr:uid="{00000000-0005-0000-0000-0000ED480000}"/>
    <cellStyle name="40% - Accent4 3 2 2 2 2 6" xfId="18763" xr:uid="{00000000-0005-0000-0000-0000EE480000}"/>
    <cellStyle name="40% - Accent4 3 2 2 2 2 7" xfId="18764" xr:uid="{00000000-0005-0000-0000-0000EF480000}"/>
    <cellStyle name="40% - Accent4 3 2 2 2 2 8" xfId="18765" xr:uid="{00000000-0005-0000-0000-0000F0480000}"/>
    <cellStyle name="40% - Accent4 3 2 2 2 3" xfId="18766" xr:uid="{00000000-0005-0000-0000-0000F1480000}"/>
    <cellStyle name="40% - Accent4 3 2 2 2 3 2" xfId="18767" xr:uid="{00000000-0005-0000-0000-0000F2480000}"/>
    <cellStyle name="40% - Accent4 3 2 2 2 3 2 2" xfId="18768" xr:uid="{00000000-0005-0000-0000-0000F3480000}"/>
    <cellStyle name="40% - Accent4 3 2 2 2 3 2 2 2" xfId="18769" xr:uid="{00000000-0005-0000-0000-0000F4480000}"/>
    <cellStyle name="40% - Accent4 3 2 2 2 3 2 2 2 2" xfId="18770" xr:uid="{00000000-0005-0000-0000-0000F5480000}"/>
    <cellStyle name="40% - Accent4 3 2 2 2 3 2 2 2 3" xfId="18771" xr:uid="{00000000-0005-0000-0000-0000F6480000}"/>
    <cellStyle name="40% - Accent4 3 2 2 2 3 2 2 3" xfId="18772" xr:uid="{00000000-0005-0000-0000-0000F7480000}"/>
    <cellStyle name="40% - Accent4 3 2 2 2 3 2 2 4" xfId="18773" xr:uid="{00000000-0005-0000-0000-0000F8480000}"/>
    <cellStyle name="40% - Accent4 3 2 2 2 3 2 3" xfId="18774" xr:uid="{00000000-0005-0000-0000-0000F9480000}"/>
    <cellStyle name="40% - Accent4 3 2 2 2 3 2 3 2" xfId="18775" xr:uid="{00000000-0005-0000-0000-0000FA480000}"/>
    <cellStyle name="40% - Accent4 3 2 2 2 3 2 3 3" xfId="18776" xr:uid="{00000000-0005-0000-0000-0000FB480000}"/>
    <cellStyle name="40% - Accent4 3 2 2 2 3 2 4" xfId="18777" xr:uid="{00000000-0005-0000-0000-0000FC480000}"/>
    <cellStyle name="40% - Accent4 3 2 2 2 3 2 5" xfId="18778" xr:uid="{00000000-0005-0000-0000-0000FD480000}"/>
    <cellStyle name="40% - Accent4 3 2 2 2 3 2 6" xfId="18779" xr:uid="{00000000-0005-0000-0000-0000FE480000}"/>
    <cellStyle name="40% - Accent4 3 2 2 2 3 3" xfId="18780" xr:uid="{00000000-0005-0000-0000-0000FF480000}"/>
    <cellStyle name="40% - Accent4 3 2 2 2 3 3 2" xfId="18781" xr:uid="{00000000-0005-0000-0000-000000490000}"/>
    <cellStyle name="40% - Accent4 3 2 2 2 3 3 2 2" xfId="18782" xr:uid="{00000000-0005-0000-0000-000001490000}"/>
    <cellStyle name="40% - Accent4 3 2 2 2 3 3 2 3" xfId="18783" xr:uid="{00000000-0005-0000-0000-000002490000}"/>
    <cellStyle name="40% - Accent4 3 2 2 2 3 3 3" xfId="18784" xr:uid="{00000000-0005-0000-0000-000003490000}"/>
    <cellStyle name="40% - Accent4 3 2 2 2 3 3 4" xfId="18785" xr:uid="{00000000-0005-0000-0000-000004490000}"/>
    <cellStyle name="40% - Accent4 3 2 2 2 3 4" xfId="18786" xr:uid="{00000000-0005-0000-0000-000005490000}"/>
    <cellStyle name="40% - Accent4 3 2 2 2 3 4 2" xfId="18787" xr:uid="{00000000-0005-0000-0000-000006490000}"/>
    <cellStyle name="40% - Accent4 3 2 2 2 3 4 3" xfId="18788" xr:uid="{00000000-0005-0000-0000-000007490000}"/>
    <cellStyle name="40% - Accent4 3 2 2 2 3 5" xfId="18789" xr:uid="{00000000-0005-0000-0000-000008490000}"/>
    <cellStyle name="40% - Accent4 3 2 2 2 3 6" xfId="18790" xr:uid="{00000000-0005-0000-0000-000009490000}"/>
    <cellStyle name="40% - Accent4 3 2 2 2 3 7" xfId="18791" xr:uid="{00000000-0005-0000-0000-00000A490000}"/>
    <cellStyle name="40% - Accent4 3 2 2 2 4" xfId="18792" xr:uid="{00000000-0005-0000-0000-00000B490000}"/>
    <cellStyle name="40% - Accent4 3 2 2 2 4 2" xfId="18793" xr:uid="{00000000-0005-0000-0000-00000C490000}"/>
    <cellStyle name="40% - Accent4 3 2 2 2 4 2 2" xfId="18794" xr:uid="{00000000-0005-0000-0000-00000D490000}"/>
    <cellStyle name="40% - Accent4 3 2 2 2 4 2 2 2" xfId="18795" xr:uid="{00000000-0005-0000-0000-00000E490000}"/>
    <cellStyle name="40% - Accent4 3 2 2 2 4 2 2 3" xfId="18796" xr:uid="{00000000-0005-0000-0000-00000F490000}"/>
    <cellStyle name="40% - Accent4 3 2 2 2 4 2 3" xfId="18797" xr:uid="{00000000-0005-0000-0000-000010490000}"/>
    <cellStyle name="40% - Accent4 3 2 2 2 4 2 4" xfId="18798" xr:uid="{00000000-0005-0000-0000-000011490000}"/>
    <cellStyle name="40% - Accent4 3 2 2 2 4 3" xfId="18799" xr:uid="{00000000-0005-0000-0000-000012490000}"/>
    <cellStyle name="40% - Accent4 3 2 2 2 4 3 2" xfId="18800" xr:uid="{00000000-0005-0000-0000-000013490000}"/>
    <cellStyle name="40% - Accent4 3 2 2 2 4 3 3" xfId="18801" xr:uid="{00000000-0005-0000-0000-000014490000}"/>
    <cellStyle name="40% - Accent4 3 2 2 2 4 4" xfId="18802" xr:uid="{00000000-0005-0000-0000-000015490000}"/>
    <cellStyle name="40% - Accent4 3 2 2 2 4 5" xfId="18803" xr:uid="{00000000-0005-0000-0000-000016490000}"/>
    <cellStyle name="40% - Accent4 3 2 2 2 4 6" xfId="18804" xr:uid="{00000000-0005-0000-0000-000017490000}"/>
    <cellStyle name="40% - Accent4 3 2 2 2 5" xfId="18805" xr:uid="{00000000-0005-0000-0000-000018490000}"/>
    <cellStyle name="40% - Accent4 3 2 2 2 5 2" xfId="18806" xr:uid="{00000000-0005-0000-0000-000019490000}"/>
    <cellStyle name="40% - Accent4 3 2 2 2 5 2 2" xfId="18807" xr:uid="{00000000-0005-0000-0000-00001A490000}"/>
    <cellStyle name="40% - Accent4 3 2 2 2 5 2 3" xfId="18808" xr:uid="{00000000-0005-0000-0000-00001B490000}"/>
    <cellStyle name="40% - Accent4 3 2 2 2 5 3" xfId="18809" xr:uid="{00000000-0005-0000-0000-00001C490000}"/>
    <cellStyle name="40% - Accent4 3 2 2 2 5 4" xfId="18810" xr:uid="{00000000-0005-0000-0000-00001D490000}"/>
    <cellStyle name="40% - Accent4 3 2 2 2 6" xfId="18811" xr:uid="{00000000-0005-0000-0000-00001E490000}"/>
    <cellStyle name="40% - Accent4 3 2 2 2 6 2" xfId="18812" xr:uid="{00000000-0005-0000-0000-00001F490000}"/>
    <cellStyle name="40% - Accent4 3 2 2 2 6 3" xfId="18813" xr:uid="{00000000-0005-0000-0000-000020490000}"/>
    <cellStyle name="40% - Accent4 3 2 2 2 7" xfId="18814" xr:uid="{00000000-0005-0000-0000-000021490000}"/>
    <cellStyle name="40% - Accent4 3 2 2 2 8" xfId="18815" xr:uid="{00000000-0005-0000-0000-000022490000}"/>
    <cellStyle name="40% - Accent4 3 2 2 2 9" xfId="18816" xr:uid="{00000000-0005-0000-0000-000023490000}"/>
    <cellStyle name="40% - Accent4 3 2 2 3" xfId="18817" xr:uid="{00000000-0005-0000-0000-000024490000}"/>
    <cellStyle name="40% - Accent4 3 2 2 3 2" xfId="18818" xr:uid="{00000000-0005-0000-0000-000025490000}"/>
    <cellStyle name="40% - Accent4 3 2 2 3 2 2" xfId="18819" xr:uid="{00000000-0005-0000-0000-000026490000}"/>
    <cellStyle name="40% - Accent4 3 2 2 3 2 2 2" xfId="18820" xr:uid="{00000000-0005-0000-0000-000027490000}"/>
    <cellStyle name="40% - Accent4 3 2 2 3 2 2 2 2" xfId="18821" xr:uid="{00000000-0005-0000-0000-000028490000}"/>
    <cellStyle name="40% - Accent4 3 2 2 3 2 2 2 2 2" xfId="18822" xr:uid="{00000000-0005-0000-0000-000029490000}"/>
    <cellStyle name="40% - Accent4 3 2 2 3 2 2 2 2 3" xfId="18823" xr:uid="{00000000-0005-0000-0000-00002A490000}"/>
    <cellStyle name="40% - Accent4 3 2 2 3 2 2 2 3" xfId="18824" xr:uid="{00000000-0005-0000-0000-00002B490000}"/>
    <cellStyle name="40% - Accent4 3 2 2 3 2 2 2 4" xfId="18825" xr:uid="{00000000-0005-0000-0000-00002C490000}"/>
    <cellStyle name="40% - Accent4 3 2 2 3 2 2 3" xfId="18826" xr:uid="{00000000-0005-0000-0000-00002D490000}"/>
    <cellStyle name="40% - Accent4 3 2 2 3 2 2 3 2" xfId="18827" xr:uid="{00000000-0005-0000-0000-00002E490000}"/>
    <cellStyle name="40% - Accent4 3 2 2 3 2 2 3 3" xfId="18828" xr:uid="{00000000-0005-0000-0000-00002F490000}"/>
    <cellStyle name="40% - Accent4 3 2 2 3 2 2 4" xfId="18829" xr:uid="{00000000-0005-0000-0000-000030490000}"/>
    <cellStyle name="40% - Accent4 3 2 2 3 2 2 5" xfId="18830" xr:uid="{00000000-0005-0000-0000-000031490000}"/>
    <cellStyle name="40% - Accent4 3 2 2 3 2 2 6" xfId="18831" xr:uid="{00000000-0005-0000-0000-000032490000}"/>
    <cellStyle name="40% - Accent4 3 2 2 3 2 3" xfId="18832" xr:uid="{00000000-0005-0000-0000-000033490000}"/>
    <cellStyle name="40% - Accent4 3 2 2 3 2 3 2" xfId="18833" xr:uid="{00000000-0005-0000-0000-000034490000}"/>
    <cellStyle name="40% - Accent4 3 2 2 3 2 3 2 2" xfId="18834" xr:uid="{00000000-0005-0000-0000-000035490000}"/>
    <cellStyle name="40% - Accent4 3 2 2 3 2 3 2 3" xfId="18835" xr:uid="{00000000-0005-0000-0000-000036490000}"/>
    <cellStyle name="40% - Accent4 3 2 2 3 2 3 3" xfId="18836" xr:uid="{00000000-0005-0000-0000-000037490000}"/>
    <cellStyle name="40% - Accent4 3 2 2 3 2 3 4" xfId="18837" xr:uid="{00000000-0005-0000-0000-000038490000}"/>
    <cellStyle name="40% - Accent4 3 2 2 3 2 4" xfId="18838" xr:uid="{00000000-0005-0000-0000-000039490000}"/>
    <cellStyle name="40% - Accent4 3 2 2 3 2 4 2" xfId="18839" xr:uid="{00000000-0005-0000-0000-00003A490000}"/>
    <cellStyle name="40% - Accent4 3 2 2 3 2 4 3" xfId="18840" xr:uid="{00000000-0005-0000-0000-00003B490000}"/>
    <cellStyle name="40% - Accent4 3 2 2 3 2 5" xfId="18841" xr:uid="{00000000-0005-0000-0000-00003C490000}"/>
    <cellStyle name="40% - Accent4 3 2 2 3 2 6" xfId="18842" xr:uid="{00000000-0005-0000-0000-00003D490000}"/>
    <cellStyle name="40% - Accent4 3 2 2 3 2 7" xfId="18843" xr:uid="{00000000-0005-0000-0000-00003E490000}"/>
    <cellStyle name="40% - Accent4 3 2 2 3 3" xfId="18844" xr:uid="{00000000-0005-0000-0000-00003F490000}"/>
    <cellStyle name="40% - Accent4 3 2 2 3 3 2" xfId="18845" xr:uid="{00000000-0005-0000-0000-000040490000}"/>
    <cellStyle name="40% - Accent4 3 2 2 3 3 2 2" xfId="18846" xr:uid="{00000000-0005-0000-0000-000041490000}"/>
    <cellStyle name="40% - Accent4 3 2 2 3 3 2 2 2" xfId="18847" xr:uid="{00000000-0005-0000-0000-000042490000}"/>
    <cellStyle name="40% - Accent4 3 2 2 3 3 2 2 3" xfId="18848" xr:uid="{00000000-0005-0000-0000-000043490000}"/>
    <cellStyle name="40% - Accent4 3 2 2 3 3 2 3" xfId="18849" xr:uid="{00000000-0005-0000-0000-000044490000}"/>
    <cellStyle name="40% - Accent4 3 2 2 3 3 2 4" xfId="18850" xr:uid="{00000000-0005-0000-0000-000045490000}"/>
    <cellStyle name="40% - Accent4 3 2 2 3 3 3" xfId="18851" xr:uid="{00000000-0005-0000-0000-000046490000}"/>
    <cellStyle name="40% - Accent4 3 2 2 3 3 3 2" xfId="18852" xr:uid="{00000000-0005-0000-0000-000047490000}"/>
    <cellStyle name="40% - Accent4 3 2 2 3 3 3 3" xfId="18853" xr:uid="{00000000-0005-0000-0000-000048490000}"/>
    <cellStyle name="40% - Accent4 3 2 2 3 3 4" xfId="18854" xr:uid="{00000000-0005-0000-0000-000049490000}"/>
    <cellStyle name="40% - Accent4 3 2 2 3 3 5" xfId="18855" xr:uid="{00000000-0005-0000-0000-00004A490000}"/>
    <cellStyle name="40% - Accent4 3 2 2 3 3 6" xfId="18856" xr:uid="{00000000-0005-0000-0000-00004B490000}"/>
    <cellStyle name="40% - Accent4 3 2 2 3 4" xfId="18857" xr:uid="{00000000-0005-0000-0000-00004C490000}"/>
    <cellStyle name="40% - Accent4 3 2 2 3 4 2" xfId="18858" xr:uid="{00000000-0005-0000-0000-00004D490000}"/>
    <cellStyle name="40% - Accent4 3 2 2 3 4 2 2" xfId="18859" xr:uid="{00000000-0005-0000-0000-00004E490000}"/>
    <cellStyle name="40% - Accent4 3 2 2 3 4 2 3" xfId="18860" xr:uid="{00000000-0005-0000-0000-00004F490000}"/>
    <cellStyle name="40% - Accent4 3 2 2 3 4 3" xfId="18861" xr:uid="{00000000-0005-0000-0000-000050490000}"/>
    <cellStyle name="40% - Accent4 3 2 2 3 4 4" xfId="18862" xr:uid="{00000000-0005-0000-0000-000051490000}"/>
    <cellStyle name="40% - Accent4 3 2 2 3 5" xfId="18863" xr:uid="{00000000-0005-0000-0000-000052490000}"/>
    <cellStyle name="40% - Accent4 3 2 2 3 5 2" xfId="18864" xr:uid="{00000000-0005-0000-0000-000053490000}"/>
    <cellStyle name="40% - Accent4 3 2 2 3 5 3" xfId="18865" xr:uid="{00000000-0005-0000-0000-000054490000}"/>
    <cellStyle name="40% - Accent4 3 2 2 3 6" xfId="18866" xr:uid="{00000000-0005-0000-0000-000055490000}"/>
    <cellStyle name="40% - Accent4 3 2 2 3 7" xfId="18867" xr:uid="{00000000-0005-0000-0000-000056490000}"/>
    <cellStyle name="40% - Accent4 3 2 2 3 8" xfId="18868" xr:uid="{00000000-0005-0000-0000-000057490000}"/>
    <cellStyle name="40% - Accent4 3 2 2 4" xfId="18869" xr:uid="{00000000-0005-0000-0000-000058490000}"/>
    <cellStyle name="40% - Accent4 3 2 2 4 2" xfId="18870" xr:uid="{00000000-0005-0000-0000-000059490000}"/>
    <cellStyle name="40% - Accent4 3 2 2 4 2 2" xfId="18871" xr:uid="{00000000-0005-0000-0000-00005A490000}"/>
    <cellStyle name="40% - Accent4 3 2 2 4 2 2 2" xfId="18872" xr:uid="{00000000-0005-0000-0000-00005B490000}"/>
    <cellStyle name="40% - Accent4 3 2 2 4 2 2 2 2" xfId="18873" xr:uid="{00000000-0005-0000-0000-00005C490000}"/>
    <cellStyle name="40% - Accent4 3 2 2 4 2 2 2 3" xfId="18874" xr:uid="{00000000-0005-0000-0000-00005D490000}"/>
    <cellStyle name="40% - Accent4 3 2 2 4 2 2 3" xfId="18875" xr:uid="{00000000-0005-0000-0000-00005E490000}"/>
    <cellStyle name="40% - Accent4 3 2 2 4 2 2 4" xfId="18876" xr:uid="{00000000-0005-0000-0000-00005F490000}"/>
    <cellStyle name="40% - Accent4 3 2 2 4 2 3" xfId="18877" xr:uid="{00000000-0005-0000-0000-000060490000}"/>
    <cellStyle name="40% - Accent4 3 2 2 4 2 3 2" xfId="18878" xr:uid="{00000000-0005-0000-0000-000061490000}"/>
    <cellStyle name="40% - Accent4 3 2 2 4 2 3 3" xfId="18879" xr:uid="{00000000-0005-0000-0000-000062490000}"/>
    <cellStyle name="40% - Accent4 3 2 2 4 2 4" xfId="18880" xr:uid="{00000000-0005-0000-0000-000063490000}"/>
    <cellStyle name="40% - Accent4 3 2 2 4 2 5" xfId="18881" xr:uid="{00000000-0005-0000-0000-000064490000}"/>
    <cellStyle name="40% - Accent4 3 2 2 4 2 6" xfId="18882" xr:uid="{00000000-0005-0000-0000-000065490000}"/>
    <cellStyle name="40% - Accent4 3 2 2 4 3" xfId="18883" xr:uid="{00000000-0005-0000-0000-000066490000}"/>
    <cellStyle name="40% - Accent4 3 2 2 4 3 2" xfId="18884" xr:uid="{00000000-0005-0000-0000-000067490000}"/>
    <cellStyle name="40% - Accent4 3 2 2 4 3 2 2" xfId="18885" xr:uid="{00000000-0005-0000-0000-000068490000}"/>
    <cellStyle name="40% - Accent4 3 2 2 4 3 2 3" xfId="18886" xr:uid="{00000000-0005-0000-0000-000069490000}"/>
    <cellStyle name="40% - Accent4 3 2 2 4 3 3" xfId="18887" xr:uid="{00000000-0005-0000-0000-00006A490000}"/>
    <cellStyle name="40% - Accent4 3 2 2 4 3 4" xfId="18888" xr:uid="{00000000-0005-0000-0000-00006B490000}"/>
    <cellStyle name="40% - Accent4 3 2 2 4 4" xfId="18889" xr:uid="{00000000-0005-0000-0000-00006C490000}"/>
    <cellStyle name="40% - Accent4 3 2 2 4 4 2" xfId="18890" xr:uid="{00000000-0005-0000-0000-00006D490000}"/>
    <cellStyle name="40% - Accent4 3 2 2 4 4 3" xfId="18891" xr:uid="{00000000-0005-0000-0000-00006E490000}"/>
    <cellStyle name="40% - Accent4 3 2 2 4 5" xfId="18892" xr:uid="{00000000-0005-0000-0000-00006F490000}"/>
    <cellStyle name="40% - Accent4 3 2 2 4 6" xfId="18893" xr:uid="{00000000-0005-0000-0000-000070490000}"/>
    <cellStyle name="40% - Accent4 3 2 2 4 7" xfId="18894" xr:uid="{00000000-0005-0000-0000-000071490000}"/>
    <cellStyle name="40% - Accent4 3 2 2 5" xfId="18895" xr:uid="{00000000-0005-0000-0000-000072490000}"/>
    <cellStyle name="40% - Accent4 3 2 2 5 2" xfId="18896" xr:uid="{00000000-0005-0000-0000-000073490000}"/>
    <cellStyle name="40% - Accent4 3 2 2 5 2 2" xfId="18897" xr:uid="{00000000-0005-0000-0000-000074490000}"/>
    <cellStyle name="40% - Accent4 3 2 2 5 2 2 2" xfId="18898" xr:uid="{00000000-0005-0000-0000-000075490000}"/>
    <cellStyle name="40% - Accent4 3 2 2 5 2 2 3" xfId="18899" xr:uid="{00000000-0005-0000-0000-000076490000}"/>
    <cellStyle name="40% - Accent4 3 2 2 5 2 3" xfId="18900" xr:uid="{00000000-0005-0000-0000-000077490000}"/>
    <cellStyle name="40% - Accent4 3 2 2 5 2 4" xfId="18901" xr:uid="{00000000-0005-0000-0000-000078490000}"/>
    <cellStyle name="40% - Accent4 3 2 2 5 3" xfId="18902" xr:uid="{00000000-0005-0000-0000-000079490000}"/>
    <cellStyle name="40% - Accent4 3 2 2 5 3 2" xfId="18903" xr:uid="{00000000-0005-0000-0000-00007A490000}"/>
    <cellStyle name="40% - Accent4 3 2 2 5 3 3" xfId="18904" xr:uid="{00000000-0005-0000-0000-00007B490000}"/>
    <cellStyle name="40% - Accent4 3 2 2 5 4" xfId="18905" xr:uid="{00000000-0005-0000-0000-00007C490000}"/>
    <cellStyle name="40% - Accent4 3 2 2 5 5" xfId="18906" xr:uid="{00000000-0005-0000-0000-00007D490000}"/>
    <cellStyle name="40% - Accent4 3 2 2 5 6" xfId="18907" xr:uid="{00000000-0005-0000-0000-00007E490000}"/>
    <cellStyle name="40% - Accent4 3 2 2 6" xfId="18908" xr:uid="{00000000-0005-0000-0000-00007F490000}"/>
    <cellStyle name="40% - Accent4 3 2 2 6 2" xfId="18909" xr:uid="{00000000-0005-0000-0000-000080490000}"/>
    <cellStyle name="40% - Accent4 3 2 2 6 2 2" xfId="18910" xr:uid="{00000000-0005-0000-0000-000081490000}"/>
    <cellStyle name="40% - Accent4 3 2 2 6 2 3" xfId="18911" xr:uid="{00000000-0005-0000-0000-000082490000}"/>
    <cellStyle name="40% - Accent4 3 2 2 6 3" xfId="18912" xr:uid="{00000000-0005-0000-0000-000083490000}"/>
    <cellStyle name="40% - Accent4 3 2 2 6 4" xfId="18913" xr:uid="{00000000-0005-0000-0000-000084490000}"/>
    <cellStyle name="40% - Accent4 3 2 2 7" xfId="18914" xr:uid="{00000000-0005-0000-0000-000085490000}"/>
    <cellStyle name="40% - Accent4 3 2 2 7 2" xfId="18915" xr:uid="{00000000-0005-0000-0000-000086490000}"/>
    <cellStyle name="40% - Accent4 3 2 2 7 3" xfId="18916" xr:uid="{00000000-0005-0000-0000-000087490000}"/>
    <cellStyle name="40% - Accent4 3 2 2 8" xfId="18917" xr:uid="{00000000-0005-0000-0000-000088490000}"/>
    <cellStyle name="40% - Accent4 3 2 2 9" xfId="18918" xr:uid="{00000000-0005-0000-0000-000089490000}"/>
    <cellStyle name="40% - Accent4 3 2 3" xfId="18919" xr:uid="{00000000-0005-0000-0000-00008A490000}"/>
    <cellStyle name="40% - Accent4 3 2 3 2" xfId="18920" xr:uid="{00000000-0005-0000-0000-00008B490000}"/>
    <cellStyle name="40% - Accent4 3 2 3 2 2" xfId="18921" xr:uid="{00000000-0005-0000-0000-00008C490000}"/>
    <cellStyle name="40% - Accent4 3 2 3 2 2 2" xfId="18922" xr:uid="{00000000-0005-0000-0000-00008D490000}"/>
    <cellStyle name="40% - Accent4 3 2 3 2 2 2 2" xfId="18923" xr:uid="{00000000-0005-0000-0000-00008E490000}"/>
    <cellStyle name="40% - Accent4 3 2 3 2 2 2 2 2" xfId="18924" xr:uid="{00000000-0005-0000-0000-00008F490000}"/>
    <cellStyle name="40% - Accent4 3 2 3 2 2 2 2 2 2" xfId="18925" xr:uid="{00000000-0005-0000-0000-000090490000}"/>
    <cellStyle name="40% - Accent4 3 2 3 2 2 2 2 2 3" xfId="18926" xr:uid="{00000000-0005-0000-0000-000091490000}"/>
    <cellStyle name="40% - Accent4 3 2 3 2 2 2 2 3" xfId="18927" xr:uid="{00000000-0005-0000-0000-000092490000}"/>
    <cellStyle name="40% - Accent4 3 2 3 2 2 2 2 4" xfId="18928" xr:uid="{00000000-0005-0000-0000-000093490000}"/>
    <cellStyle name="40% - Accent4 3 2 3 2 2 2 3" xfId="18929" xr:uid="{00000000-0005-0000-0000-000094490000}"/>
    <cellStyle name="40% - Accent4 3 2 3 2 2 2 3 2" xfId="18930" xr:uid="{00000000-0005-0000-0000-000095490000}"/>
    <cellStyle name="40% - Accent4 3 2 3 2 2 2 3 3" xfId="18931" xr:uid="{00000000-0005-0000-0000-000096490000}"/>
    <cellStyle name="40% - Accent4 3 2 3 2 2 2 4" xfId="18932" xr:uid="{00000000-0005-0000-0000-000097490000}"/>
    <cellStyle name="40% - Accent4 3 2 3 2 2 2 5" xfId="18933" xr:uid="{00000000-0005-0000-0000-000098490000}"/>
    <cellStyle name="40% - Accent4 3 2 3 2 2 2 6" xfId="18934" xr:uid="{00000000-0005-0000-0000-000099490000}"/>
    <cellStyle name="40% - Accent4 3 2 3 2 2 3" xfId="18935" xr:uid="{00000000-0005-0000-0000-00009A490000}"/>
    <cellStyle name="40% - Accent4 3 2 3 2 2 3 2" xfId="18936" xr:uid="{00000000-0005-0000-0000-00009B490000}"/>
    <cellStyle name="40% - Accent4 3 2 3 2 2 3 2 2" xfId="18937" xr:uid="{00000000-0005-0000-0000-00009C490000}"/>
    <cellStyle name="40% - Accent4 3 2 3 2 2 3 2 3" xfId="18938" xr:uid="{00000000-0005-0000-0000-00009D490000}"/>
    <cellStyle name="40% - Accent4 3 2 3 2 2 3 3" xfId="18939" xr:uid="{00000000-0005-0000-0000-00009E490000}"/>
    <cellStyle name="40% - Accent4 3 2 3 2 2 3 4" xfId="18940" xr:uid="{00000000-0005-0000-0000-00009F490000}"/>
    <cellStyle name="40% - Accent4 3 2 3 2 2 4" xfId="18941" xr:uid="{00000000-0005-0000-0000-0000A0490000}"/>
    <cellStyle name="40% - Accent4 3 2 3 2 2 4 2" xfId="18942" xr:uid="{00000000-0005-0000-0000-0000A1490000}"/>
    <cellStyle name="40% - Accent4 3 2 3 2 2 4 3" xfId="18943" xr:uid="{00000000-0005-0000-0000-0000A2490000}"/>
    <cellStyle name="40% - Accent4 3 2 3 2 2 5" xfId="18944" xr:uid="{00000000-0005-0000-0000-0000A3490000}"/>
    <cellStyle name="40% - Accent4 3 2 3 2 2 6" xfId="18945" xr:uid="{00000000-0005-0000-0000-0000A4490000}"/>
    <cellStyle name="40% - Accent4 3 2 3 2 2 7" xfId="18946" xr:uid="{00000000-0005-0000-0000-0000A5490000}"/>
    <cellStyle name="40% - Accent4 3 2 3 2 3" xfId="18947" xr:uid="{00000000-0005-0000-0000-0000A6490000}"/>
    <cellStyle name="40% - Accent4 3 2 3 2 3 2" xfId="18948" xr:uid="{00000000-0005-0000-0000-0000A7490000}"/>
    <cellStyle name="40% - Accent4 3 2 3 2 3 2 2" xfId="18949" xr:uid="{00000000-0005-0000-0000-0000A8490000}"/>
    <cellStyle name="40% - Accent4 3 2 3 2 3 2 2 2" xfId="18950" xr:uid="{00000000-0005-0000-0000-0000A9490000}"/>
    <cellStyle name="40% - Accent4 3 2 3 2 3 2 2 3" xfId="18951" xr:uid="{00000000-0005-0000-0000-0000AA490000}"/>
    <cellStyle name="40% - Accent4 3 2 3 2 3 2 3" xfId="18952" xr:uid="{00000000-0005-0000-0000-0000AB490000}"/>
    <cellStyle name="40% - Accent4 3 2 3 2 3 2 4" xfId="18953" xr:uid="{00000000-0005-0000-0000-0000AC490000}"/>
    <cellStyle name="40% - Accent4 3 2 3 2 3 3" xfId="18954" xr:uid="{00000000-0005-0000-0000-0000AD490000}"/>
    <cellStyle name="40% - Accent4 3 2 3 2 3 3 2" xfId="18955" xr:uid="{00000000-0005-0000-0000-0000AE490000}"/>
    <cellStyle name="40% - Accent4 3 2 3 2 3 3 3" xfId="18956" xr:uid="{00000000-0005-0000-0000-0000AF490000}"/>
    <cellStyle name="40% - Accent4 3 2 3 2 3 4" xfId="18957" xr:uid="{00000000-0005-0000-0000-0000B0490000}"/>
    <cellStyle name="40% - Accent4 3 2 3 2 3 5" xfId="18958" xr:uid="{00000000-0005-0000-0000-0000B1490000}"/>
    <cellStyle name="40% - Accent4 3 2 3 2 3 6" xfId="18959" xr:uid="{00000000-0005-0000-0000-0000B2490000}"/>
    <cellStyle name="40% - Accent4 3 2 3 2 4" xfId="18960" xr:uid="{00000000-0005-0000-0000-0000B3490000}"/>
    <cellStyle name="40% - Accent4 3 2 3 2 4 2" xfId="18961" xr:uid="{00000000-0005-0000-0000-0000B4490000}"/>
    <cellStyle name="40% - Accent4 3 2 3 2 4 2 2" xfId="18962" xr:uid="{00000000-0005-0000-0000-0000B5490000}"/>
    <cellStyle name="40% - Accent4 3 2 3 2 4 2 3" xfId="18963" xr:uid="{00000000-0005-0000-0000-0000B6490000}"/>
    <cellStyle name="40% - Accent4 3 2 3 2 4 3" xfId="18964" xr:uid="{00000000-0005-0000-0000-0000B7490000}"/>
    <cellStyle name="40% - Accent4 3 2 3 2 4 4" xfId="18965" xr:uid="{00000000-0005-0000-0000-0000B8490000}"/>
    <cellStyle name="40% - Accent4 3 2 3 2 5" xfId="18966" xr:uid="{00000000-0005-0000-0000-0000B9490000}"/>
    <cellStyle name="40% - Accent4 3 2 3 2 5 2" xfId="18967" xr:uid="{00000000-0005-0000-0000-0000BA490000}"/>
    <cellStyle name="40% - Accent4 3 2 3 2 5 3" xfId="18968" xr:uid="{00000000-0005-0000-0000-0000BB490000}"/>
    <cellStyle name="40% - Accent4 3 2 3 2 6" xfId="18969" xr:uid="{00000000-0005-0000-0000-0000BC490000}"/>
    <cellStyle name="40% - Accent4 3 2 3 2 7" xfId="18970" xr:uid="{00000000-0005-0000-0000-0000BD490000}"/>
    <cellStyle name="40% - Accent4 3 2 3 2 8" xfId="18971" xr:uid="{00000000-0005-0000-0000-0000BE490000}"/>
    <cellStyle name="40% - Accent4 3 2 3 3" xfId="18972" xr:uid="{00000000-0005-0000-0000-0000BF490000}"/>
    <cellStyle name="40% - Accent4 3 2 3 3 2" xfId="18973" xr:uid="{00000000-0005-0000-0000-0000C0490000}"/>
    <cellStyle name="40% - Accent4 3 2 3 3 2 2" xfId="18974" xr:uid="{00000000-0005-0000-0000-0000C1490000}"/>
    <cellStyle name="40% - Accent4 3 2 3 3 2 2 2" xfId="18975" xr:uid="{00000000-0005-0000-0000-0000C2490000}"/>
    <cellStyle name="40% - Accent4 3 2 3 3 2 2 2 2" xfId="18976" xr:uid="{00000000-0005-0000-0000-0000C3490000}"/>
    <cellStyle name="40% - Accent4 3 2 3 3 2 2 2 3" xfId="18977" xr:uid="{00000000-0005-0000-0000-0000C4490000}"/>
    <cellStyle name="40% - Accent4 3 2 3 3 2 2 3" xfId="18978" xr:uid="{00000000-0005-0000-0000-0000C5490000}"/>
    <cellStyle name="40% - Accent4 3 2 3 3 2 2 4" xfId="18979" xr:uid="{00000000-0005-0000-0000-0000C6490000}"/>
    <cellStyle name="40% - Accent4 3 2 3 3 2 3" xfId="18980" xr:uid="{00000000-0005-0000-0000-0000C7490000}"/>
    <cellStyle name="40% - Accent4 3 2 3 3 2 3 2" xfId="18981" xr:uid="{00000000-0005-0000-0000-0000C8490000}"/>
    <cellStyle name="40% - Accent4 3 2 3 3 2 3 3" xfId="18982" xr:uid="{00000000-0005-0000-0000-0000C9490000}"/>
    <cellStyle name="40% - Accent4 3 2 3 3 2 4" xfId="18983" xr:uid="{00000000-0005-0000-0000-0000CA490000}"/>
    <cellStyle name="40% - Accent4 3 2 3 3 2 5" xfId="18984" xr:uid="{00000000-0005-0000-0000-0000CB490000}"/>
    <cellStyle name="40% - Accent4 3 2 3 3 2 6" xfId="18985" xr:uid="{00000000-0005-0000-0000-0000CC490000}"/>
    <cellStyle name="40% - Accent4 3 2 3 3 3" xfId="18986" xr:uid="{00000000-0005-0000-0000-0000CD490000}"/>
    <cellStyle name="40% - Accent4 3 2 3 3 3 2" xfId="18987" xr:uid="{00000000-0005-0000-0000-0000CE490000}"/>
    <cellStyle name="40% - Accent4 3 2 3 3 3 2 2" xfId="18988" xr:uid="{00000000-0005-0000-0000-0000CF490000}"/>
    <cellStyle name="40% - Accent4 3 2 3 3 3 2 3" xfId="18989" xr:uid="{00000000-0005-0000-0000-0000D0490000}"/>
    <cellStyle name="40% - Accent4 3 2 3 3 3 3" xfId="18990" xr:uid="{00000000-0005-0000-0000-0000D1490000}"/>
    <cellStyle name="40% - Accent4 3 2 3 3 3 4" xfId="18991" xr:uid="{00000000-0005-0000-0000-0000D2490000}"/>
    <cellStyle name="40% - Accent4 3 2 3 3 4" xfId="18992" xr:uid="{00000000-0005-0000-0000-0000D3490000}"/>
    <cellStyle name="40% - Accent4 3 2 3 3 4 2" xfId="18993" xr:uid="{00000000-0005-0000-0000-0000D4490000}"/>
    <cellStyle name="40% - Accent4 3 2 3 3 4 3" xfId="18994" xr:uid="{00000000-0005-0000-0000-0000D5490000}"/>
    <cellStyle name="40% - Accent4 3 2 3 3 5" xfId="18995" xr:uid="{00000000-0005-0000-0000-0000D6490000}"/>
    <cellStyle name="40% - Accent4 3 2 3 3 6" xfId="18996" xr:uid="{00000000-0005-0000-0000-0000D7490000}"/>
    <cellStyle name="40% - Accent4 3 2 3 3 7" xfId="18997" xr:uid="{00000000-0005-0000-0000-0000D8490000}"/>
    <cellStyle name="40% - Accent4 3 2 3 4" xfId="18998" xr:uid="{00000000-0005-0000-0000-0000D9490000}"/>
    <cellStyle name="40% - Accent4 3 2 3 4 2" xfId="18999" xr:uid="{00000000-0005-0000-0000-0000DA490000}"/>
    <cellStyle name="40% - Accent4 3 2 3 4 2 2" xfId="19000" xr:uid="{00000000-0005-0000-0000-0000DB490000}"/>
    <cellStyle name="40% - Accent4 3 2 3 4 2 2 2" xfId="19001" xr:uid="{00000000-0005-0000-0000-0000DC490000}"/>
    <cellStyle name="40% - Accent4 3 2 3 4 2 2 3" xfId="19002" xr:uid="{00000000-0005-0000-0000-0000DD490000}"/>
    <cellStyle name="40% - Accent4 3 2 3 4 2 3" xfId="19003" xr:uid="{00000000-0005-0000-0000-0000DE490000}"/>
    <cellStyle name="40% - Accent4 3 2 3 4 2 4" xfId="19004" xr:uid="{00000000-0005-0000-0000-0000DF490000}"/>
    <cellStyle name="40% - Accent4 3 2 3 4 3" xfId="19005" xr:uid="{00000000-0005-0000-0000-0000E0490000}"/>
    <cellStyle name="40% - Accent4 3 2 3 4 3 2" xfId="19006" xr:uid="{00000000-0005-0000-0000-0000E1490000}"/>
    <cellStyle name="40% - Accent4 3 2 3 4 3 3" xfId="19007" xr:uid="{00000000-0005-0000-0000-0000E2490000}"/>
    <cellStyle name="40% - Accent4 3 2 3 4 4" xfId="19008" xr:uid="{00000000-0005-0000-0000-0000E3490000}"/>
    <cellStyle name="40% - Accent4 3 2 3 4 5" xfId="19009" xr:uid="{00000000-0005-0000-0000-0000E4490000}"/>
    <cellStyle name="40% - Accent4 3 2 3 4 6" xfId="19010" xr:uid="{00000000-0005-0000-0000-0000E5490000}"/>
    <cellStyle name="40% - Accent4 3 2 3 5" xfId="19011" xr:uid="{00000000-0005-0000-0000-0000E6490000}"/>
    <cellStyle name="40% - Accent4 3 2 3 5 2" xfId="19012" xr:uid="{00000000-0005-0000-0000-0000E7490000}"/>
    <cellStyle name="40% - Accent4 3 2 3 5 2 2" xfId="19013" xr:uid="{00000000-0005-0000-0000-0000E8490000}"/>
    <cellStyle name="40% - Accent4 3 2 3 5 2 3" xfId="19014" xr:uid="{00000000-0005-0000-0000-0000E9490000}"/>
    <cellStyle name="40% - Accent4 3 2 3 5 3" xfId="19015" xr:uid="{00000000-0005-0000-0000-0000EA490000}"/>
    <cellStyle name="40% - Accent4 3 2 3 5 4" xfId="19016" xr:uid="{00000000-0005-0000-0000-0000EB490000}"/>
    <cellStyle name="40% - Accent4 3 2 3 6" xfId="19017" xr:uid="{00000000-0005-0000-0000-0000EC490000}"/>
    <cellStyle name="40% - Accent4 3 2 3 6 2" xfId="19018" xr:uid="{00000000-0005-0000-0000-0000ED490000}"/>
    <cellStyle name="40% - Accent4 3 2 3 6 3" xfId="19019" xr:uid="{00000000-0005-0000-0000-0000EE490000}"/>
    <cellStyle name="40% - Accent4 3 2 3 7" xfId="19020" xr:uid="{00000000-0005-0000-0000-0000EF490000}"/>
    <cellStyle name="40% - Accent4 3 2 3 8" xfId="19021" xr:uid="{00000000-0005-0000-0000-0000F0490000}"/>
    <cellStyle name="40% - Accent4 3 2 3 9" xfId="19022" xr:uid="{00000000-0005-0000-0000-0000F1490000}"/>
    <cellStyle name="40% - Accent4 3 2 4" xfId="19023" xr:uid="{00000000-0005-0000-0000-0000F2490000}"/>
    <cellStyle name="40% - Accent4 3 2 4 2" xfId="19024" xr:uid="{00000000-0005-0000-0000-0000F3490000}"/>
    <cellStyle name="40% - Accent4 3 2 4 2 2" xfId="19025" xr:uid="{00000000-0005-0000-0000-0000F4490000}"/>
    <cellStyle name="40% - Accent4 3 2 4 2 2 2" xfId="19026" xr:uid="{00000000-0005-0000-0000-0000F5490000}"/>
    <cellStyle name="40% - Accent4 3 2 4 2 2 2 2" xfId="19027" xr:uid="{00000000-0005-0000-0000-0000F6490000}"/>
    <cellStyle name="40% - Accent4 3 2 4 2 2 2 2 2" xfId="19028" xr:uid="{00000000-0005-0000-0000-0000F7490000}"/>
    <cellStyle name="40% - Accent4 3 2 4 2 2 2 2 3" xfId="19029" xr:uid="{00000000-0005-0000-0000-0000F8490000}"/>
    <cellStyle name="40% - Accent4 3 2 4 2 2 2 3" xfId="19030" xr:uid="{00000000-0005-0000-0000-0000F9490000}"/>
    <cellStyle name="40% - Accent4 3 2 4 2 2 2 4" xfId="19031" xr:uid="{00000000-0005-0000-0000-0000FA490000}"/>
    <cellStyle name="40% - Accent4 3 2 4 2 2 3" xfId="19032" xr:uid="{00000000-0005-0000-0000-0000FB490000}"/>
    <cellStyle name="40% - Accent4 3 2 4 2 2 3 2" xfId="19033" xr:uid="{00000000-0005-0000-0000-0000FC490000}"/>
    <cellStyle name="40% - Accent4 3 2 4 2 2 3 3" xfId="19034" xr:uid="{00000000-0005-0000-0000-0000FD490000}"/>
    <cellStyle name="40% - Accent4 3 2 4 2 2 4" xfId="19035" xr:uid="{00000000-0005-0000-0000-0000FE490000}"/>
    <cellStyle name="40% - Accent4 3 2 4 2 2 5" xfId="19036" xr:uid="{00000000-0005-0000-0000-0000FF490000}"/>
    <cellStyle name="40% - Accent4 3 2 4 2 2 6" xfId="19037" xr:uid="{00000000-0005-0000-0000-0000004A0000}"/>
    <cellStyle name="40% - Accent4 3 2 4 2 3" xfId="19038" xr:uid="{00000000-0005-0000-0000-0000014A0000}"/>
    <cellStyle name="40% - Accent4 3 2 4 2 3 2" xfId="19039" xr:uid="{00000000-0005-0000-0000-0000024A0000}"/>
    <cellStyle name="40% - Accent4 3 2 4 2 3 2 2" xfId="19040" xr:uid="{00000000-0005-0000-0000-0000034A0000}"/>
    <cellStyle name="40% - Accent4 3 2 4 2 3 2 3" xfId="19041" xr:uid="{00000000-0005-0000-0000-0000044A0000}"/>
    <cellStyle name="40% - Accent4 3 2 4 2 3 3" xfId="19042" xr:uid="{00000000-0005-0000-0000-0000054A0000}"/>
    <cellStyle name="40% - Accent4 3 2 4 2 3 4" xfId="19043" xr:uid="{00000000-0005-0000-0000-0000064A0000}"/>
    <cellStyle name="40% - Accent4 3 2 4 2 4" xfId="19044" xr:uid="{00000000-0005-0000-0000-0000074A0000}"/>
    <cellStyle name="40% - Accent4 3 2 4 2 4 2" xfId="19045" xr:uid="{00000000-0005-0000-0000-0000084A0000}"/>
    <cellStyle name="40% - Accent4 3 2 4 2 4 3" xfId="19046" xr:uid="{00000000-0005-0000-0000-0000094A0000}"/>
    <cellStyle name="40% - Accent4 3 2 4 2 5" xfId="19047" xr:uid="{00000000-0005-0000-0000-00000A4A0000}"/>
    <cellStyle name="40% - Accent4 3 2 4 2 6" xfId="19048" xr:uid="{00000000-0005-0000-0000-00000B4A0000}"/>
    <cellStyle name="40% - Accent4 3 2 4 2 7" xfId="19049" xr:uid="{00000000-0005-0000-0000-00000C4A0000}"/>
    <cellStyle name="40% - Accent4 3 2 4 3" xfId="19050" xr:uid="{00000000-0005-0000-0000-00000D4A0000}"/>
    <cellStyle name="40% - Accent4 3 2 4 3 2" xfId="19051" xr:uid="{00000000-0005-0000-0000-00000E4A0000}"/>
    <cellStyle name="40% - Accent4 3 2 4 3 2 2" xfId="19052" xr:uid="{00000000-0005-0000-0000-00000F4A0000}"/>
    <cellStyle name="40% - Accent4 3 2 4 3 2 2 2" xfId="19053" xr:uid="{00000000-0005-0000-0000-0000104A0000}"/>
    <cellStyle name="40% - Accent4 3 2 4 3 2 2 3" xfId="19054" xr:uid="{00000000-0005-0000-0000-0000114A0000}"/>
    <cellStyle name="40% - Accent4 3 2 4 3 2 3" xfId="19055" xr:uid="{00000000-0005-0000-0000-0000124A0000}"/>
    <cellStyle name="40% - Accent4 3 2 4 3 2 4" xfId="19056" xr:uid="{00000000-0005-0000-0000-0000134A0000}"/>
    <cellStyle name="40% - Accent4 3 2 4 3 3" xfId="19057" xr:uid="{00000000-0005-0000-0000-0000144A0000}"/>
    <cellStyle name="40% - Accent4 3 2 4 3 3 2" xfId="19058" xr:uid="{00000000-0005-0000-0000-0000154A0000}"/>
    <cellStyle name="40% - Accent4 3 2 4 3 3 3" xfId="19059" xr:uid="{00000000-0005-0000-0000-0000164A0000}"/>
    <cellStyle name="40% - Accent4 3 2 4 3 4" xfId="19060" xr:uid="{00000000-0005-0000-0000-0000174A0000}"/>
    <cellStyle name="40% - Accent4 3 2 4 3 5" xfId="19061" xr:uid="{00000000-0005-0000-0000-0000184A0000}"/>
    <cellStyle name="40% - Accent4 3 2 4 3 6" xfId="19062" xr:uid="{00000000-0005-0000-0000-0000194A0000}"/>
    <cellStyle name="40% - Accent4 3 2 4 4" xfId="19063" xr:uid="{00000000-0005-0000-0000-00001A4A0000}"/>
    <cellStyle name="40% - Accent4 3 2 4 4 2" xfId="19064" xr:uid="{00000000-0005-0000-0000-00001B4A0000}"/>
    <cellStyle name="40% - Accent4 3 2 4 4 2 2" xfId="19065" xr:uid="{00000000-0005-0000-0000-00001C4A0000}"/>
    <cellStyle name="40% - Accent4 3 2 4 4 2 3" xfId="19066" xr:uid="{00000000-0005-0000-0000-00001D4A0000}"/>
    <cellStyle name="40% - Accent4 3 2 4 4 3" xfId="19067" xr:uid="{00000000-0005-0000-0000-00001E4A0000}"/>
    <cellStyle name="40% - Accent4 3 2 4 4 4" xfId="19068" xr:uid="{00000000-0005-0000-0000-00001F4A0000}"/>
    <cellStyle name="40% - Accent4 3 2 4 5" xfId="19069" xr:uid="{00000000-0005-0000-0000-0000204A0000}"/>
    <cellStyle name="40% - Accent4 3 2 4 5 2" xfId="19070" xr:uid="{00000000-0005-0000-0000-0000214A0000}"/>
    <cellStyle name="40% - Accent4 3 2 4 5 3" xfId="19071" xr:uid="{00000000-0005-0000-0000-0000224A0000}"/>
    <cellStyle name="40% - Accent4 3 2 4 6" xfId="19072" xr:uid="{00000000-0005-0000-0000-0000234A0000}"/>
    <cellStyle name="40% - Accent4 3 2 4 7" xfId="19073" xr:uid="{00000000-0005-0000-0000-0000244A0000}"/>
    <cellStyle name="40% - Accent4 3 2 4 8" xfId="19074" xr:uid="{00000000-0005-0000-0000-0000254A0000}"/>
    <cellStyle name="40% - Accent4 3 2 5" xfId="19075" xr:uid="{00000000-0005-0000-0000-0000264A0000}"/>
    <cellStyle name="40% - Accent4 3 2 5 2" xfId="19076" xr:uid="{00000000-0005-0000-0000-0000274A0000}"/>
    <cellStyle name="40% - Accent4 3 2 5 2 2" xfId="19077" xr:uid="{00000000-0005-0000-0000-0000284A0000}"/>
    <cellStyle name="40% - Accent4 3 2 5 2 2 2" xfId="19078" xr:uid="{00000000-0005-0000-0000-0000294A0000}"/>
    <cellStyle name="40% - Accent4 3 2 5 2 2 2 2" xfId="19079" xr:uid="{00000000-0005-0000-0000-00002A4A0000}"/>
    <cellStyle name="40% - Accent4 3 2 5 2 2 2 3" xfId="19080" xr:uid="{00000000-0005-0000-0000-00002B4A0000}"/>
    <cellStyle name="40% - Accent4 3 2 5 2 2 3" xfId="19081" xr:uid="{00000000-0005-0000-0000-00002C4A0000}"/>
    <cellStyle name="40% - Accent4 3 2 5 2 2 4" xfId="19082" xr:uid="{00000000-0005-0000-0000-00002D4A0000}"/>
    <cellStyle name="40% - Accent4 3 2 5 2 3" xfId="19083" xr:uid="{00000000-0005-0000-0000-00002E4A0000}"/>
    <cellStyle name="40% - Accent4 3 2 5 2 3 2" xfId="19084" xr:uid="{00000000-0005-0000-0000-00002F4A0000}"/>
    <cellStyle name="40% - Accent4 3 2 5 2 3 3" xfId="19085" xr:uid="{00000000-0005-0000-0000-0000304A0000}"/>
    <cellStyle name="40% - Accent4 3 2 5 2 4" xfId="19086" xr:uid="{00000000-0005-0000-0000-0000314A0000}"/>
    <cellStyle name="40% - Accent4 3 2 5 2 5" xfId="19087" xr:uid="{00000000-0005-0000-0000-0000324A0000}"/>
    <cellStyle name="40% - Accent4 3 2 5 2 6" xfId="19088" xr:uid="{00000000-0005-0000-0000-0000334A0000}"/>
    <cellStyle name="40% - Accent4 3 2 5 3" xfId="19089" xr:uid="{00000000-0005-0000-0000-0000344A0000}"/>
    <cellStyle name="40% - Accent4 3 2 5 3 2" xfId="19090" xr:uid="{00000000-0005-0000-0000-0000354A0000}"/>
    <cellStyle name="40% - Accent4 3 2 5 3 2 2" xfId="19091" xr:uid="{00000000-0005-0000-0000-0000364A0000}"/>
    <cellStyle name="40% - Accent4 3 2 5 3 2 3" xfId="19092" xr:uid="{00000000-0005-0000-0000-0000374A0000}"/>
    <cellStyle name="40% - Accent4 3 2 5 3 3" xfId="19093" xr:uid="{00000000-0005-0000-0000-0000384A0000}"/>
    <cellStyle name="40% - Accent4 3 2 5 3 4" xfId="19094" xr:uid="{00000000-0005-0000-0000-0000394A0000}"/>
    <cellStyle name="40% - Accent4 3 2 5 4" xfId="19095" xr:uid="{00000000-0005-0000-0000-00003A4A0000}"/>
    <cellStyle name="40% - Accent4 3 2 5 4 2" xfId="19096" xr:uid="{00000000-0005-0000-0000-00003B4A0000}"/>
    <cellStyle name="40% - Accent4 3 2 5 4 3" xfId="19097" xr:uid="{00000000-0005-0000-0000-00003C4A0000}"/>
    <cellStyle name="40% - Accent4 3 2 5 5" xfId="19098" xr:uid="{00000000-0005-0000-0000-00003D4A0000}"/>
    <cellStyle name="40% - Accent4 3 2 5 6" xfId="19099" xr:uid="{00000000-0005-0000-0000-00003E4A0000}"/>
    <cellStyle name="40% - Accent4 3 2 5 7" xfId="19100" xr:uid="{00000000-0005-0000-0000-00003F4A0000}"/>
    <cellStyle name="40% - Accent4 3 2 6" xfId="19101" xr:uid="{00000000-0005-0000-0000-0000404A0000}"/>
    <cellStyle name="40% - Accent4 3 2 6 2" xfId="19102" xr:uid="{00000000-0005-0000-0000-0000414A0000}"/>
    <cellStyle name="40% - Accent4 3 2 6 2 2" xfId="19103" xr:uid="{00000000-0005-0000-0000-0000424A0000}"/>
    <cellStyle name="40% - Accent4 3 2 6 2 2 2" xfId="19104" xr:uid="{00000000-0005-0000-0000-0000434A0000}"/>
    <cellStyle name="40% - Accent4 3 2 6 2 2 3" xfId="19105" xr:uid="{00000000-0005-0000-0000-0000444A0000}"/>
    <cellStyle name="40% - Accent4 3 2 6 2 3" xfId="19106" xr:uid="{00000000-0005-0000-0000-0000454A0000}"/>
    <cellStyle name="40% - Accent4 3 2 6 2 4" xfId="19107" xr:uid="{00000000-0005-0000-0000-0000464A0000}"/>
    <cellStyle name="40% - Accent4 3 2 6 3" xfId="19108" xr:uid="{00000000-0005-0000-0000-0000474A0000}"/>
    <cellStyle name="40% - Accent4 3 2 6 3 2" xfId="19109" xr:uid="{00000000-0005-0000-0000-0000484A0000}"/>
    <cellStyle name="40% - Accent4 3 2 6 3 3" xfId="19110" xr:uid="{00000000-0005-0000-0000-0000494A0000}"/>
    <cellStyle name="40% - Accent4 3 2 6 4" xfId="19111" xr:uid="{00000000-0005-0000-0000-00004A4A0000}"/>
    <cellStyle name="40% - Accent4 3 2 6 5" xfId="19112" xr:uid="{00000000-0005-0000-0000-00004B4A0000}"/>
    <cellStyle name="40% - Accent4 3 2 6 6" xfId="19113" xr:uid="{00000000-0005-0000-0000-00004C4A0000}"/>
    <cellStyle name="40% - Accent4 3 2 7" xfId="19114" xr:uid="{00000000-0005-0000-0000-00004D4A0000}"/>
    <cellStyle name="40% - Accent4 3 2 7 2" xfId="19115" xr:uid="{00000000-0005-0000-0000-00004E4A0000}"/>
    <cellStyle name="40% - Accent4 3 2 7 2 2" xfId="19116" xr:uid="{00000000-0005-0000-0000-00004F4A0000}"/>
    <cellStyle name="40% - Accent4 3 2 7 2 3" xfId="19117" xr:uid="{00000000-0005-0000-0000-0000504A0000}"/>
    <cellStyle name="40% - Accent4 3 2 7 3" xfId="19118" xr:uid="{00000000-0005-0000-0000-0000514A0000}"/>
    <cellStyle name="40% - Accent4 3 2 7 4" xfId="19119" xr:uid="{00000000-0005-0000-0000-0000524A0000}"/>
    <cellStyle name="40% - Accent4 3 2 8" xfId="19120" xr:uid="{00000000-0005-0000-0000-0000534A0000}"/>
    <cellStyle name="40% - Accent4 3 2 8 2" xfId="19121" xr:uid="{00000000-0005-0000-0000-0000544A0000}"/>
    <cellStyle name="40% - Accent4 3 2 8 3" xfId="19122" xr:uid="{00000000-0005-0000-0000-0000554A0000}"/>
    <cellStyle name="40% - Accent4 3 2 9" xfId="19123" xr:uid="{00000000-0005-0000-0000-0000564A0000}"/>
    <cellStyle name="40% - Accent4 3 3" xfId="19124" xr:uid="{00000000-0005-0000-0000-0000574A0000}"/>
    <cellStyle name="40% - Accent4 3 3 10" xfId="19125" xr:uid="{00000000-0005-0000-0000-0000584A0000}"/>
    <cellStyle name="40% - Accent4 3 3 2" xfId="19126" xr:uid="{00000000-0005-0000-0000-0000594A0000}"/>
    <cellStyle name="40% - Accent4 3 3 2 2" xfId="19127" xr:uid="{00000000-0005-0000-0000-00005A4A0000}"/>
    <cellStyle name="40% - Accent4 3 3 2 2 2" xfId="19128" xr:uid="{00000000-0005-0000-0000-00005B4A0000}"/>
    <cellStyle name="40% - Accent4 3 3 2 2 2 2" xfId="19129" xr:uid="{00000000-0005-0000-0000-00005C4A0000}"/>
    <cellStyle name="40% - Accent4 3 3 2 2 2 2 2" xfId="19130" xr:uid="{00000000-0005-0000-0000-00005D4A0000}"/>
    <cellStyle name="40% - Accent4 3 3 2 2 2 2 2 2" xfId="19131" xr:uid="{00000000-0005-0000-0000-00005E4A0000}"/>
    <cellStyle name="40% - Accent4 3 3 2 2 2 2 2 2 2" xfId="19132" xr:uid="{00000000-0005-0000-0000-00005F4A0000}"/>
    <cellStyle name="40% - Accent4 3 3 2 2 2 2 2 2 3" xfId="19133" xr:uid="{00000000-0005-0000-0000-0000604A0000}"/>
    <cellStyle name="40% - Accent4 3 3 2 2 2 2 2 3" xfId="19134" xr:uid="{00000000-0005-0000-0000-0000614A0000}"/>
    <cellStyle name="40% - Accent4 3 3 2 2 2 2 2 4" xfId="19135" xr:uid="{00000000-0005-0000-0000-0000624A0000}"/>
    <cellStyle name="40% - Accent4 3 3 2 2 2 2 3" xfId="19136" xr:uid="{00000000-0005-0000-0000-0000634A0000}"/>
    <cellStyle name="40% - Accent4 3 3 2 2 2 2 3 2" xfId="19137" xr:uid="{00000000-0005-0000-0000-0000644A0000}"/>
    <cellStyle name="40% - Accent4 3 3 2 2 2 2 3 3" xfId="19138" xr:uid="{00000000-0005-0000-0000-0000654A0000}"/>
    <cellStyle name="40% - Accent4 3 3 2 2 2 2 4" xfId="19139" xr:uid="{00000000-0005-0000-0000-0000664A0000}"/>
    <cellStyle name="40% - Accent4 3 3 2 2 2 2 5" xfId="19140" xr:uid="{00000000-0005-0000-0000-0000674A0000}"/>
    <cellStyle name="40% - Accent4 3 3 2 2 2 2 6" xfId="19141" xr:uid="{00000000-0005-0000-0000-0000684A0000}"/>
    <cellStyle name="40% - Accent4 3 3 2 2 2 3" xfId="19142" xr:uid="{00000000-0005-0000-0000-0000694A0000}"/>
    <cellStyle name="40% - Accent4 3 3 2 2 2 3 2" xfId="19143" xr:uid="{00000000-0005-0000-0000-00006A4A0000}"/>
    <cellStyle name="40% - Accent4 3 3 2 2 2 3 2 2" xfId="19144" xr:uid="{00000000-0005-0000-0000-00006B4A0000}"/>
    <cellStyle name="40% - Accent4 3 3 2 2 2 3 2 3" xfId="19145" xr:uid="{00000000-0005-0000-0000-00006C4A0000}"/>
    <cellStyle name="40% - Accent4 3 3 2 2 2 3 3" xfId="19146" xr:uid="{00000000-0005-0000-0000-00006D4A0000}"/>
    <cellStyle name="40% - Accent4 3 3 2 2 2 3 4" xfId="19147" xr:uid="{00000000-0005-0000-0000-00006E4A0000}"/>
    <cellStyle name="40% - Accent4 3 3 2 2 2 4" xfId="19148" xr:uid="{00000000-0005-0000-0000-00006F4A0000}"/>
    <cellStyle name="40% - Accent4 3 3 2 2 2 4 2" xfId="19149" xr:uid="{00000000-0005-0000-0000-0000704A0000}"/>
    <cellStyle name="40% - Accent4 3 3 2 2 2 4 3" xfId="19150" xr:uid="{00000000-0005-0000-0000-0000714A0000}"/>
    <cellStyle name="40% - Accent4 3 3 2 2 2 5" xfId="19151" xr:uid="{00000000-0005-0000-0000-0000724A0000}"/>
    <cellStyle name="40% - Accent4 3 3 2 2 2 6" xfId="19152" xr:uid="{00000000-0005-0000-0000-0000734A0000}"/>
    <cellStyle name="40% - Accent4 3 3 2 2 2 7" xfId="19153" xr:uid="{00000000-0005-0000-0000-0000744A0000}"/>
    <cellStyle name="40% - Accent4 3 3 2 2 3" xfId="19154" xr:uid="{00000000-0005-0000-0000-0000754A0000}"/>
    <cellStyle name="40% - Accent4 3 3 2 2 3 2" xfId="19155" xr:uid="{00000000-0005-0000-0000-0000764A0000}"/>
    <cellStyle name="40% - Accent4 3 3 2 2 3 2 2" xfId="19156" xr:uid="{00000000-0005-0000-0000-0000774A0000}"/>
    <cellStyle name="40% - Accent4 3 3 2 2 3 2 2 2" xfId="19157" xr:uid="{00000000-0005-0000-0000-0000784A0000}"/>
    <cellStyle name="40% - Accent4 3 3 2 2 3 2 2 3" xfId="19158" xr:uid="{00000000-0005-0000-0000-0000794A0000}"/>
    <cellStyle name="40% - Accent4 3 3 2 2 3 2 3" xfId="19159" xr:uid="{00000000-0005-0000-0000-00007A4A0000}"/>
    <cellStyle name="40% - Accent4 3 3 2 2 3 2 4" xfId="19160" xr:uid="{00000000-0005-0000-0000-00007B4A0000}"/>
    <cellStyle name="40% - Accent4 3 3 2 2 3 3" xfId="19161" xr:uid="{00000000-0005-0000-0000-00007C4A0000}"/>
    <cellStyle name="40% - Accent4 3 3 2 2 3 3 2" xfId="19162" xr:uid="{00000000-0005-0000-0000-00007D4A0000}"/>
    <cellStyle name="40% - Accent4 3 3 2 2 3 3 3" xfId="19163" xr:uid="{00000000-0005-0000-0000-00007E4A0000}"/>
    <cellStyle name="40% - Accent4 3 3 2 2 3 4" xfId="19164" xr:uid="{00000000-0005-0000-0000-00007F4A0000}"/>
    <cellStyle name="40% - Accent4 3 3 2 2 3 5" xfId="19165" xr:uid="{00000000-0005-0000-0000-0000804A0000}"/>
    <cellStyle name="40% - Accent4 3 3 2 2 3 6" xfId="19166" xr:uid="{00000000-0005-0000-0000-0000814A0000}"/>
    <cellStyle name="40% - Accent4 3 3 2 2 4" xfId="19167" xr:uid="{00000000-0005-0000-0000-0000824A0000}"/>
    <cellStyle name="40% - Accent4 3 3 2 2 4 2" xfId="19168" xr:uid="{00000000-0005-0000-0000-0000834A0000}"/>
    <cellStyle name="40% - Accent4 3 3 2 2 4 2 2" xfId="19169" xr:uid="{00000000-0005-0000-0000-0000844A0000}"/>
    <cellStyle name="40% - Accent4 3 3 2 2 4 2 3" xfId="19170" xr:uid="{00000000-0005-0000-0000-0000854A0000}"/>
    <cellStyle name="40% - Accent4 3 3 2 2 4 3" xfId="19171" xr:uid="{00000000-0005-0000-0000-0000864A0000}"/>
    <cellStyle name="40% - Accent4 3 3 2 2 4 4" xfId="19172" xr:uid="{00000000-0005-0000-0000-0000874A0000}"/>
    <cellStyle name="40% - Accent4 3 3 2 2 5" xfId="19173" xr:uid="{00000000-0005-0000-0000-0000884A0000}"/>
    <cellStyle name="40% - Accent4 3 3 2 2 5 2" xfId="19174" xr:uid="{00000000-0005-0000-0000-0000894A0000}"/>
    <cellStyle name="40% - Accent4 3 3 2 2 5 3" xfId="19175" xr:uid="{00000000-0005-0000-0000-00008A4A0000}"/>
    <cellStyle name="40% - Accent4 3 3 2 2 6" xfId="19176" xr:uid="{00000000-0005-0000-0000-00008B4A0000}"/>
    <cellStyle name="40% - Accent4 3 3 2 2 7" xfId="19177" xr:uid="{00000000-0005-0000-0000-00008C4A0000}"/>
    <cellStyle name="40% - Accent4 3 3 2 2 8" xfId="19178" xr:uid="{00000000-0005-0000-0000-00008D4A0000}"/>
    <cellStyle name="40% - Accent4 3 3 2 3" xfId="19179" xr:uid="{00000000-0005-0000-0000-00008E4A0000}"/>
    <cellStyle name="40% - Accent4 3 3 2 3 2" xfId="19180" xr:uid="{00000000-0005-0000-0000-00008F4A0000}"/>
    <cellStyle name="40% - Accent4 3 3 2 3 2 2" xfId="19181" xr:uid="{00000000-0005-0000-0000-0000904A0000}"/>
    <cellStyle name="40% - Accent4 3 3 2 3 2 2 2" xfId="19182" xr:uid="{00000000-0005-0000-0000-0000914A0000}"/>
    <cellStyle name="40% - Accent4 3 3 2 3 2 2 2 2" xfId="19183" xr:uid="{00000000-0005-0000-0000-0000924A0000}"/>
    <cellStyle name="40% - Accent4 3 3 2 3 2 2 2 3" xfId="19184" xr:uid="{00000000-0005-0000-0000-0000934A0000}"/>
    <cellStyle name="40% - Accent4 3 3 2 3 2 2 3" xfId="19185" xr:uid="{00000000-0005-0000-0000-0000944A0000}"/>
    <cellStyle name="40% - Accent4 3 3 2 3 2 2 4" xfId="19186" xr:uid="{00000000-0005-0000-0000-0000954A0000}"/>
    <cellStyle name="40% - Accent4 3 3 2 3 2 3" xfId="19187" xr:uid="{00000000-0005-0000-0000-0000964A0000}"/>
    <cellStyle name="40% - Accent4 3 3 2 3 2 3 2" xfId="19188" xr:uid="{00000000-0005-0000-0000-0000974A0000}"/>
    <cellStyle name="40% - Accent4 3 3 2 3 2 3 3" xfId="19189" xr:uid="{00000000-0005-0000-0000-0000984A0000}"/>
    <cellStyle name="40% - Accent4 3 3 2 3 2 4" xfId="19190" xr:uid="{00000000-0005-0000-0000-0000994A0000}"/>
    <cellStyle name="40% - Accent4 3 3 2 3 2 5" xfId="19191" xr:uid="{00000000-0005-0000-0000-00009A4A0000}"/>
    <cellStyle name="40% - Accent4 3 3 2 3 2 6" xfId="19192" xr:uid="{00000000-0005-0000-0000-00009B4A0000}"/>
    <cellStyle name="40% - Accent4 3 3 2 3 3" xfId="19193" xr:uid="{00000000-0005-0000-0000-00009C4A0000}"/>
    <cellStyle name="40% - Accent4 3 3 2 3 3 2" xfId="19194" xr:uid="{00000000-0005-0000-0000-00009D4A0000}"/>
    <cellStyle name="40% - Accent4 3 3 2 3 3 2 2" xfId="19195" xr:uid="{00000000-0005-0000-0000-00009E4A0000}"/>
    <cellStyle name="40% - Accent4 3 3 2 3 3 2 3" xfId="19196" xr:uid="{00000000-0005-0000-0000-00009F4A0000}"/>
    <cellStyle name="40% - Accent4 3 3 2 3 3 3" xfId="19197" xr:uid="{00000000-0005-0000-0000-0000A04A0000}"/>
    <cellStyle name="40% - Accent4 3 3 2 3 3 4" xfId="19198" xr:uid="{00000000-0005-0000-0000-0000A14A0000}"/>
    <cellStyle name="40% - Accent4 3 3 2 3 4" xfId="19199" xr:uid="{00000000-0005-0000-0000-0000A24A0000}"/>
    <cellStyle name="40% - Accent4 3 3 2 3 4 2" xfId="19200" xr:uid="{00000000-0005-0000-0000-0000A34A0000}"/>
    <cellStyle name="40% - Accent4 3 3 2 3 4 3" xfId="19201" xr:uid="{00000000-0005-0000-0000-0000A44A0000}"/>
    <cellStyle name="40% - Accent4 3 3 2 3 5" xfId="19202" xr:uid="{00000000-0005-0000-0000-0000A54A0000}"/>
    <cellStyle name="40% - Accent4 3 3 2 3 6" xfId="19203" xr:uid="{00000000-0005-0000-0000-0000A64A0000}"/>
    <cellStyle name="40% - Accent4 3 3 2 3 7" xfId="19204" xr:uid="{00000000-0005-0000-0000-0000A74A0000}"/>
    <cellStyle name="40% - Accent4 3 3 2 4" xfId="19205" xr:uid="{00000000-0005-0000-0000-0000A84A0000}"/>
    <cellStyle name="40% - Accent4 3 3 2 4 2" xfId="19206" xr:uid="{00000000-0005-0000-0000-0000A94A0000}"/>
    <cellStyle name="40% - Accent4 3 3 2 4 2 2" xfId="19207" xr:uid="{00000000-0005-0000-0000-0000AA4A0000}"/>
    <cellStyle name="40% - Accent4 3 3 2 4 2 2 2" xfId="19208" xr:uid="{00000000-0005-0000-0000-0000AB4A0000}"/>
    <cellStyle name="40% - Accent4 3 3 2 4 2 2 3" xfId="19209" xr:uid="{00000000-0005-0000-0000-0000AC4A0000}"/>
    <cellStyle name="40% - Accent4 3 3 2 4 2 3" xfId="19210" xr:uid="{00000000-0005-0000-0000-0000AD4A0000}"/>
    <cellStyle name="40% - Accent4 3 3 2 4 2 4" xfId="19211" xr:uid="{00000000-0005-0000-0000-0000AE4A0000}"/>
    <cellStyle name="40% - Accent4 3 3 2 4 3" xfId="19212" xr:uid="{00000000-0005-0000-0000-0000AF4A0000}"/>
    <cellStyle name="40% - Accent4 3 3 2 4 3 2" xfId="19213" xr:uid="{00000000-0005-0000-0000-0000B04A0000}"/>
    <cellStyle name="40% - Accent4 3 3 2 4 3 3" xfId="19214" xr:uid="{00000000-0005-0000-0000-0000B14A0000}"/>
    <cellStyle name="40% - Accent4 3 3 2 4 4" xfId="19215" xr:uid="{00000000-0005-0000-0000-0000B24A0000}"/>
    <cellStyle name="40% - Accent4 3 3 2 4 5" xfId="19216" xr:uid="{00000000-0005-0000-0000-0000B34A0000}"/>
    <cellStyle name="40% - Accent4 3 3 2 4 6" xfId="19217" xr:uid="{00000000-0005-0000-0000-0000B44A0000}"/>
    <cellStyle name="40% - Accent4 3 3 2 5" xfId="19218" xr:uid="{00000000-0005-0000-0000-0000B54A0000}"/>
    <cellStyle name="40% - Accent4 3 3 2 5 2" xfId="19219" xr:uid="{00000000-0005-0000-0000-0000B64A0000}"/>
    <cellStyle name="40% - Accent4 3 3 2 5 2 2" xfId="19220" xr:uid="{00000000-0005-0000-0000-0000B74A0000}"/>
    <cellStyle name="40% - Accent4 3 3 2 5 2 3" xfId="19221" xr:uid="{00000000-0005-0000-0000-0000B84A0000}"/>
    <cellStyle name="40% - Accent4 3 3 2 5 3" xfId="19222" xr:uid="{00000000-0005-0000-0000-0000B94A0000}"/>
    <cellStyle name="40% - Accent4 3 3 2 5 4" xfId="19223" xr:uid="{00000000-0005-0000-0000-0000BA4A0000}"/>
    <cellStyle name="40% - Accent4 3 3 2 6" xfId="19224" xr:uid="{00000000-0005-0000-0000-0000BB4A0000}"/>
    <cellStyle name="40% - Accent4 3 3 2 6 2" xfId="19225" xr:uid="{00000000-0005-0000-0000-0000BC4A0000}"/>
    <cellStyle name="40% - Accent4 3 3 2 6 3" xfId="19226" xr:uid="{00000000-0005-0000-0000-0000BD4A0000}"/>
    <cellStyle name="40% - Accent4 3 3 2 7" xfId="19227" xr:uid="{00000000-0005-0000-0000-0000BE4A0000}"/>
    <cellStyle name="40% - Accent4 3 3 2 8" xfId="19228" xr:uid="{00000000-0005-0000-0000-0000BF4A0000}"/>
    <cellStyle name="40% - Accent4 3 3 2 9" xfId="19229" xr:uid="{00000000-0005-0000-0000-0000C04A0000}"/>
    <cellStyle name="40% - Accent4 3 3 3" xfId="19230" xr:uid="{00000000-0005-0000-0000-0000C14A0000}"/>
    <cellStyle name="40% - Accent4 3 3 3 2" xfId="19231" xr:uid="{00000000-0005-0000-0000-0000C24A0000}"/>
    <cellStyle name="40% - Accent4 3 3 3 2 2" xfId="19232" xr:uid="{00000000-0005-0000-0000-0000C34A0000}"/>
    <cellStyle name="40% - Accent4 3 3 3 2 2 2" xfId="19233" xr:uid="{00000000-0005-0000-0000-0000C44A0000}"/>
    <cellStyle name="40% - Accent4 3 3 3 2 2 2 2" xfId="19234" xr:uid="{00000000-0005-0000-0000-0000C54A0000}"/>
    <cellStyle name="40% - Accent4 3 3 3 2 2 2 2 2" xfId="19235" xr:uid="{00000000-0005-0000-0000-0000C64A0000}"/>
    <cellStyle name="40% - Accent4 3 3 3 2 2 2 2 3" xfId="19236" xr:uid="{00000000-0005-0000-0000-0000C74A0000}"/>
    <cellStyle name="40% - Accent4 3 3 3 2 2 2 3" xfId="19237" xr:uid="{00000000-0005-0000-0000-0000C84A0000}"/>
    <cellStyle name="40% - Accent4 3 3 3 2 2 2 4" xfId="19238" xr:uid="{00000000-0005-0000-0000-0000C94A0000}"/>
    <cellStyle name="40% - Accent4 3 3 3 2 2 3" xfId="19239" xr:uid="{00000000-0005-0000-0000-0000CA4A0000}"/>
    <cellStyle name="40% - Accent4 3 3 3 2 2 3 2" xfId="19240" xr:uid="{00000000-0005-0000-0000-0000CB4A0000}"/>
    <cellStyle name="40% - Accent4 3 3 3 2 2 3 3" xfId="19241" xr:uid="{00000000-0005-0000-0000-0000CC4A0000}"/>
    <cellStyle name="40% - Accent4 3 3 3 2 2 4" xfId="19242" xr:uid="{00000000-0005-0000-0000-0000CD4A0000}"/>
    <cellStyle name="40% - Accent4 3 3 3 2 2 5" xfId="19243" xr:uid="{00000000-0005-0000-0000-0000CE4A0000}"/>
    <cellStyle name="40% - Accent4 3 3 3 2 2 6" xfId="19244" xr:uid="{00000000-0005-0000-0000-0000CF4A0000}"/>
    <cellStyle name="40% - Accent4 3 3 3 2 3" xfId="19245" xr:uid="{00000000-0005-0000-0000-0000D04A0000}"/>
    <cellStyle name="40% - Accent4 3 3 3 2 3 2" xfId="19246" xr:uid="{00000000-0005-0000-0000-0000D14A0000}"/>
    <cellStyle name="40% - Accent4 3 3 3 2 3 2 2" xfId="19247" xr:uid="{00000000-0005-0000-0000-0000D24A0000}"/>
    <cellStyle name="40% - Accent4 3 3 3 2 3 2 3" xfId="19248" xr:uid="{00000000-0005-0000-0000-0000D34A0000}"/>
    <cellStyle name="40% - Accent4 3 3 3 2 3 3" xfId="19249" xr:uid="{00000000-0005-0000-0000-0000D44A0000}"/>
    <cellStyle name="40% - Accent4 3 3 3 2 3 4" xfId="19250" xr:uid="{00000000-0005-0000-0000-0000D54A0000}"/>
    <cellStyle name="40% - Accent4 3 3 3 2 4" xfId="19251" xr:uid="{00000000-0005-0000-0000-0000D64A0000}"/>
    <cellStyle name="40% - Accent4 3 3 3 2 4 2" xfId="19252" xr:uid="{00000000-0005-0000-0000-0000D74A0000}"/>
    <cellStyle name="40% - Accent4 3 3 3 2 4 3" xfId="19253" xr:uid="{00000000-0005-0000-0000-0000D84A0000}"/>
    <cellStyle name="40% - Accent4 3 3 3 2 5" xfId="19254" xr:uid="{00000000-0005-0000-0000-0000D94A0000}"/>
    <cellStyle name="40% - Accent4 3 3 3 2 6" xfId="19255" xr:uid="{00000000-0005-0000-0000-0000DA4A0000}"/>
    <cellStyle name="40% - Accent4 3 3 3 2 7" xfId="19256" xr:uid="{00000000-0005-0000-0000-0000DB4A0000}"/>
    <cellStyle name="40% - Accent4 3 3 3 3" xfId="19257" xr:uid="{00000000-0005-0000-0000-0000DC4A0000}"/>
    <cellStyle name="40% - Accent4 3 3 3 3 2" xfId="19258" xr:uid="{00000000-0005-0000-0000-0000DD4A0000}"/>
    <cellStyle name="40% - Accent4 3 3 3 3 2 2" xfId="19259" xr:uid="{00000000-0005-0000-0000-0000DE4A0000}"/>
    <cellStyle name="40% - Accent4 3 3 3 3 2 2 2" xfId="19260" xr:uid="{00000000-0005-0000-0000-0000DF4A0000}"/>
    <cellStyle name="40% - Accent4 3 3 3 3 2 2 3" xfId="19261" xr:uid="{00000000-0005-0000-0000-0000E04A0000}"/>
    <cellStyle name="40% - Accent4 3 3 3 3 2 3" xfId="19262" xr:uid="{00000000-0005-0000-0000-0000E14A0000}"/>
    <cellStyle name="40% - Accent4 3 3 3 3 2 4" xfId="19263" xr:uid="{00000000-0005-0000-0000-0000E24A0000}"/>
    <cellStyle name="40% - Accent4 3 3 3 3 3" xfId="19264" xr:uid="{00000000-0005-0000-0000-0000E34A0000}"/>
    <cellStyle name="40% - Accent4 3 3 3 3 3 2" xfId="19265" xr:uid="{00000000-0005-0000-0000-0000E44A0000}"/>
    <cellStyle name="40% - Accent4 3 3 3 3 3 3" xfId="19266" xr:uid="{00000000-0005-0000-0000-0000E54A0000}"/>
    <cellStyle name="40% - Accent4 3 3 3 3 4" xfId="19267" xr:uid="{00000000-0005-0000-0000-0000E64A0000}"/>
    <cellStyle name="40% - Accent4 3 3 3 3 5" xfId="19268" xr:uid="{00000000-0005-0000-0000-0000E74A0000}"/>
    <cellStyle name="40% - Accent4 3 3 3 3 6" xfId="19269" xr:uid="{00000000-0005-0000-0000-0000E84A0000}"/>
    <cellStyle name="40% - Accent4 3 3 3 4" xfId="19270" xr:uid="{00000000-0005-0000-0000-0000E94A0000}"/>
    <cellStyle name="40% - Accent4 3 3 3 4 2" xfId="19271" xr:uid="{00000000-0005-0000-0000-0000EA4A0000}"/>
    <cellStyle name="40% - Accent4 3 3 3 4 2 2" xfId="19272" xr:uid="{00000000-0005-0000-0000-0000EB4A0000}"/>
    <cellStyle name="40% - Accent4 3 3 3 4 2 3" xfId="19273" xr:uid="{00000000-0005-0000-0000-0000EC4A0000}"/>
    <cellStyle name="40% - Accent4 3 3 3 4 3" xfId="19274" xr:uid="{00000000-0005-0000-0000-0000ED4A0000}"/>
    <cellStyle name="40% - Accent4 3 3 3 4 4" xfId="19275" xr:uid="{00000000-0005-0000-0000-0000EE4A0000}"/>
    <cellStyle name="40% - Accent4 3 3 3 5" xfId="19276" xr:uid="{00000000-0005-0000-0000-0000EF4A0000}"/>
    <cellStyle name="40% - Accent4 3 3 3 5 2" xfId="19277" xr:uid="{00000000-0005-0000-0000-0000F04A0000}"/>
    <cellStyle name="40% - Accent4 3 3 3 5 3" xfId="19278" xr:uid="{00000000-0005-0000-0000-0000F14A0000}"/>
    <cellStyle name="40% - Accent4 3 3 3 6" xfId="19279" xr:uid="{00000000-0005-0000-0000-0000F24A0000}"/>
    <cellStyle name="40% - Accent4 3 3 3 7" xfId="19280" xr:uid="{00000000-0005-0000-0000-0000F34A0000}"/>
    <cellStyle name="40% - Accent4 3 3 3 8" xfId="19281" xr:uid="{00000000-0005-0000-0000-0000F44A0000}"/>
    <cellStyle name="40% - Accent4 3 3 4" xfId="19282" xr:uid="{00000000-0005-0000-0000-0000F54A0000}"/>
    <cellStyle name="40% - Accent4 3 3 4 2" xfId="19283" xr:uid="{00000000-0005-0000-0000-0000F64A0000}"/>
    <cellStyle name="40% - Accent4 3 3 4 2 2" xfId="19284" xr:uid="{00000000-0005-0000-0000-0000F74A0000}"/>
    <cellStyle name="40% - Accent4 3 3 4 2 2 2" xfId="19285" xr:uid="{00000000-0005-0000-0000-0000F84A0000}"/>
    <cellStyle name="40% - Accent4 3 3 4 2 2 2 2" xfId="19286" xr:uid="{00000000-0005-0000-0000-0000F94A0000}"/>
    <cellStyle name="40% - Accent4 3 3 4 2 2 2 3" xfId="19287" xr:uid="{00000000-0005-0000-0000-0000FA4A0000}"/>
    <cellStyle name="40% - Accent4 3 3 4 2 2 3" xfId="19288" xr:uid="{00000000-0005-0000-0000-0000FB4A0000}"/>
    <cellStyle name="40% - Accent4 3 3 4 2 2 4" xfId="19289" xr:uid="{00000000-0005-0000-0000-0000FC4A0000}"/>
    <cellStyle name="40% - Accent4 3 3 4 2 3" xfId="19290" xr:uid="{00000000-0005-0000-0000-0000FD4A0000}"/>
    <cellStyle name="40% - Accent4 3 3 4 2 3 2" xfId="19291" xr:uid="{00000000-0005-0000-0000-0000FE4A0000}"/>
    <cellStyle name="40% - Accent4 3 3 4 2 3 3" xfId="19292" xr:uid="{00000000-0005-0000-0000-0000FF4A0000}"/>
    <cellStyle name="40% - Accent4 3 3 4 2 4" xfId="19293" xr:uid="{00000000-0005-0000-0000-0000004B0000}"/>
    <cellStyle name="40% - Accent4 3 3 4 2 5" xfId="19294" xr:uid="{00000000-0005-0000-0000-0000014B0000}"/>
    <cellStyle name="40% - Accent4 3 3 4 2 6" xfId="19295" xr:uid="{00000000-0005-0000-0000-0000024B0000}"/>
    <cellStyle name="40% - Accent4 3 3 4 3" xfId="19296" xr:uid="{00000000-0005-0000-0000-0000034B0000}"/>
    <cellStyle name="40% - Accent4 3 3 4 3 2" xfId="19297" xr:uid="{00000000-0005-0000-0000-0000044B0000}"/>
    <cellStyle name="40% - Accent4 3 3 4 3 2 2" xfId="19298" xr:uid="{00000000-0005-0000-0000-0000054B0000}"/>
    <cellStyle name="40% - Accent4 3 3 4 3 2 3" xfId="19299" xr:uid="{00000000-0005-0000-0000-0000064B0000}"/>
    <cellStyle name="40% - Accent4 3 3 4 3 3" xfId="19300" xr:uid="{00000000-0005-0000-0000-0000074B0000}"/>
    <cellStyle name="40% - Accent4 3 3 4 3 4" xfId="19301" xr:uid="{00000000-0005-0000-0000-0000084B0000}"/>
    <cellStyle name="40% - Accent4 3 3 4 4" xfId="19302" xr:uid="{00000000-0005-0000-0000-0000094B0000}"/>
    <cellStyle name="40% - Accent4 3 3 4 4 2" xfId="19303" xr:uid="{00000000-0005-0000-0000-00000A4B0000}"/>
    <cellStyle name="40% - Accent4 3 3 4 4 3" xfId="19304" xr:uid="{00000000-0005-0000-0000-00000B4B0000}"/>
    <cellStyle name="40% - Accent4 3 3 4 5" xfId="19305" xr:uid="{00000000-0005-0000-0000-00000C4B0000}"/>
    <cellStyle name="40% - Accent4 3 3 4 6" xfId="19306" xr:uid="{00000000-0005-0000-0000-00000D4B0000}"/>
    <cellStyle name="40% - Accent4 3 3 4 7" xfId="19307" xr:uid="{00000000-0005-0000-0000-00000E4B0000}"/>
    <cellStyle name="40% - Accent4 3 3 5" xfId="19308" xr:uid="{00000000-0005-0000-0000-00000F4B0000}"/>
    <cellStyle name="40% - Accent4 3 3 5 2" xfId="19309" xr:uid="{00000000-0005-0000-0000-0000104B0000}"/>
    <cellStyle name="40% - Accent4 3 3 5 2 2" xfId="19310" xr:uid="{00000000-0005-0000-0000-0000114B0000}"/>
    <cellStyle name="40% - Accent4 3 3 5 2 2 2" xfId="19311" xr:uid="{00000000-0005-0000-0000-0000124B0000}"/>
    <cellStyle name="40% - Accent4 3 3 5 2 2 3" xfId="19312" xr:uid="{00000000-0005-0000-0000-0000134B0000}"/>
    <cellStyle name="40% - Accent4 3 3 5 2 3" xfId="19313" xr:uid="{00000000-0005-0000-0000-0000144B0000}"/>
    <cellStyle name="40% - Accent4 3 3 5 2 4" xfId="19314" xr:uid="{00000000-0005-0000-0000-0000154B0000}"/>
    <cellStyle name="40% - Accent4 3 3 5 3" xfId="19315" xr:uid="{00000000-0005-0000-0000-0000164B0000}"/>
    <cellStyle name="40% - Accent4 3 3 5 3 2" xfId="19316" xr:uid="{00000000-0005-0000-0000-0000174B0000}"/>
    <cellStyle name="40% - Accent4 3 3 5 3 3" xfId="19317" xr:uid="{00000000-0005-0000-0000-0000184B0000}"/>
    <cellStyle name="40% - Accent4 3 3 5 4" xfId="19318" xr:uid="{00000000-0005-0000-0000-0000194B0000}"/>
    <cellStyle name="40% - Accent4 3 3 5 5" xfId="19319" xr:uid="{00000000-0005-0000-0000-00001A4B0000}"/>
    <cellStyle name="40% - Accent4 3 3 5 6" xfId="19320" xr:uid="{00000000-0005-0000-0000-00001B4B0000}"/>
    <cellStyle name="40% - Accent4 3 3 6" xfId="19321" xr:uid="{00000000-0005-0000-0000-00001C4B0000}"/>
    <cellStyle name="40% - Accent4 3 3 6 2" xfId="19322" xr:uid="{00000000-0005-0000-0000-00001D4B0000}"/>
    <cellStyle name="40% - Accent4 3 3 6 2 2" xfId="19323" xr:uid="{00000000-0005-0000-0000-00001E4B0000}"/>
    <cellStyle name="40% - Accent4 3 3 6 2 3" xfId="19324" xr:uid="{00000000-0005-0000-0000-00001F4B0000}"/>
    <cellStyle name="40% - Accent4 3 3 6 3" xfId="19325" xr:uid="{00000000-0005-0000-0000-0000204B0000}"/>
    <cellStyle name="40% - Accent4 3 3 6 4" xfId="19326" xr:uid="{00000000-0005-0000-0000-0000214B0000}"/>
    <cellStyle name="40% - Accent4 3 3 7" xfId="19327" xr:uid="{00000000-0005-0000-0000-0000224B0000}"/>
    <cellStyle name="40% - Accent4 3 3 7 2" xfId="19328" xr:uid="{00000000-0005-0000-0000-0000234B0000}"/>
    <cellStyle name="40% - Accent4 3 3 7 3" xfId="19329" xr:uid="{00000000-0005-0000-0000-0000244B0000}"/>
    <cellStyle name="40% - Accent4 3 3 8" xfId="19330" xr:uid="{00000000-0005-0000-0000-0000254B0000}"/>
    <cellStyle name="40% - Accent4 3 3 9" xfId="19331" xr:uid="{00000000-0005-0000-0000-0000264B0000}"/>
    <cellStyle name="40% - Accent4 3 4" xfId="19332" xr:uid="{00000000-0005-0000-0000-0000274B0000}"/>
    <cellStyle name="40% - Accent4 3 4 2" xfId="19333" xr:uid="{00000000-0005-0000-0000-0000284B0000}"/>
    <cellStyle name="40% - Accent4 3 4 2 2" xfId="19334" xr:uid="{00000000-0005-0000-0000-0000294B0000}"/>
    <cellStyle name="40% - Accent4 3 4 2 2 2" xfId="19335" xr:uid="{00000000-0005-0000-0000-00002A4B0000}"/>
    <cellStyle name="40% - Accent4 3 4 2 2 2 2" xfId="19336" xr:uid="{00000000-0005-0000-0000-00002B4B0000}"/>
    <cellStyle name="40% - Accent4 3 4 2 2 2 2 2" xfId="19337" xr:uid="{00000000-0005-0000-0000-00002C4B0000}"/>
    <cellStyle name="40% - Accent4 3 4 2 2 2 2 2 2" xfId="19338" xr:uid="{00000000-0005-0000-0000-00002D4B0000}"/>
    <cellStyle name="40% - Accent4 3 4 2 2 2 2 2 3" xfId="19339" xr:uid="{00000000-0005-0000-0000-00002E4B0000}"/>
    <cellStyle name="40% - Accent4 3 4 2 2 2 2 3" xfId="19340" xr:uid="{00000000-0005-0000-0000-00002F4B0000}"/>
    <cellStyle name="40% - Accent4 3 4 2 2 2 2 4" xfId="19341" xr:uid="{00000000-0005-0000-0000-0000304B0000}"/>
    <cellStyle name="40% - Accent4 3 4 2 2 2 3" xfId="19342" xr:uid="{00000000-0005-0000-0000-0000314B0000}"/>
    <cellStyle name="40% - Accent4 3 4 2 2 2 3 2" xfId="19343" xr:uid="{00000000-0005-0000-0000-0000324B0000}"/>
    <cellStyle name="40% - Accent4 3 4 2 2 2 3 3" xfId="19344" xr:uid="{00000000-0005-0000-0000-0000334B0000}"/>
    <cellStyle name="40% - Accent4 3 4 2 2 2 4" xfId="19345" xr:uid="{00000000-0005-0000-0000-0000344B0000}"/>
    <cellStyle name="40% - Accent4 3 4 2 2 2 5" xfId="19346" xr:uid="{00000000-0005-0000-0000-0000354B0000}"/>
    <cellStyle name="40% - Accent4 3 4 2 2 2 6" xfId="19347" xr:uid="{00000000-0005-0000-0000-0000364B0000}"/>
    <cellStyle name="40% - Accent4 3 4 2 2 3" xfId="19348" xr:uid="{00000000-0005-0000-0000-0000374B0000}"/>
    <cellStyle name="40% - Accent4 3 4 2 2 3 2" xfId="19349" xr:uid="{00000000-0005-0000-0000-0000384B0000}"/>
    <cellStyle name="40% - Accent4 3 4 2 2 3 2 2" xfId="19350" xr:uid="{00000000-0005-0000-0000-0000394B0000}"/>
    <cellStyle name="40% - Accent4 3 4 2 2 3 2 3" xfId="19351" xr:uid="{00000000-0005-0000-0000-00003A4B0000}"/>
    <cellStyle name="40% - Accent4 3 4 2 2 3 3" xfId="19352" xr:uid="{00000000-0005-0000-0000-00003B4B0000}"/>
    <cellStyle name="40% - Accent4 3 4 2 2 3 4" xfId="19353" xr:uid="{00000000-0005-0000-0000-00003C4B0000}"/>
    <cellStyle name="40% - Accent4 3 4 2 2 4" xfId="19354" xr:uid="{00000000-0005-0000-0000-00003D4B0000}"/>
    <cellStyle name="40% - Accent4 3 4 2 2 4 2" xfId="19355" xr:uid="{00000000-0005-0000-0000-00003E4B0000}"/>
    <cellStyle name="40% - Accent4 3 4 2 2 4 3" xfId="19356" xr:uid="{00000000-0005-0000-0000-00003F4B0000}"/>
    <cellStyle name="40% - Accent4 3 4 2 2 5" xfId="19357" xr:uid="{00000000-0005-0000-0000-0000404B0000}"/>
    <cellStyle name="40% - Accent4 3 4 2 2 6" xfId="19358" xr:uid="{00000000-0005-0000-0000-0000414B0000}"/>
    <cellStyle name="40% - Accent4 3 4 2 2 7" xfId="19359" xr:uid="{00000000-0005-0000-0000-0000424B0000}"/>
    <cellStyle name="40% - Accent4 3 4 2 3" xfId="19360" xr:uid="{00000000-0005-0000-0000-0000434B0000}"/>
    <cellStyle name="40% - Accent4 3 4 2 3 2" xfId="19361" xr:uid="{00000000-0005-0000-0000-0000444B0000}"/>
    <cellStyle name="40% - Accent4 3 4 2 3 2 2" xfId="19362" xr:uid="{00000000-0005-0000-0000-0000454B0000}"/>
    <cellStyle name="40% - Accent4 3 4 2 3 2 2 2" xfId="19363" xr:uid="{00000000-0005-0000-0000-0000464B0000}"/>
    <cellStyle name="40% - Accent4 3 4 2 3 2 2 3" xfId="19364" xr:uid="{00000000-0005-0000-0000-0000474B0000}"/>
    <cellStyle name="40% - Accent4 3 4 2 3 2 3" xfId="19365" xr:uid="{00000000-0005-0000-0000-0000484B0000}"/>
    <cellStyle name="40% - Accent4 3 4 2 3 2 4" xfId="19366" xr:uid="{00000000-0005-0000-0000-0000494B0000}"/>
    <cellStyle name="40% - Accent4 3 4 2 3 3" xfId="19367" xr:uid="{00000000-0005-0000-0000-00004A4B0000}"/>
    <cellStyle name="40% - Accent4 3 4 2 3 3 2" xfId="19368" xr:uid="{00000000-0005-0000-0000-00004B4B0000}"/>
    <cellStyle name="40% - Accent4 3 4 2 3 3 3" xfId="19369" xr:uid="{00000000-0005-0000-0000-00004C4B0000}"/>
    <cellStyle name="40% - Accent4 3 4 2 3 4" xfId="19370" xr:uid="{00000000-0005-0000-0000-00004D4B0000}"/>
    <cellStyle name="40% - Accent4 3 4 2 3 5" xfId="19371" xr:uid="{00000000-0005-0000-0000-00004E4B0000}"/>
    <cellStyle name="40% - Accent4 3 4 2 3 6" xfId="19372" xr:uid="{00000000-0005-0000-0000-00004F4B0000}"/>
    <cellStyle name="40% - Accent4 3 4 2 4" xfId="19373" xr:uid="{00000000-0005-0000-0000-0000504B0000}"/>
    <cellStyle name="40% - Accent4 3 4 2 4 2" xfId="19374" xr:uid="{00000000-0005-0000-0000-0000514B0000}"/>
    <cellStyle name="40% - Accent4 3 4 2 4 2 2" xfId="19375" xr:uid="{00000000-0005-0000-0000-0000524B0000}"/>
    <cellStyle name="40% - Accent4 3 4 2 4 2 3" xfId="19376" xr:uid="{00000000-0005-0000-0000-0000534B0000}"/>
    <cellStyle name="40% - Accent4 3 4 2 4 3" xfId="19377" xr:uid="{00000000-0005-0000-0000-0000544B0000}"/>
    <cellStyle name="40% - Accent4 3 4 2 4 4" xfId="19378" xr:uid="{00000000-0005-0000-0000-0000554B0000}"/>
    <cellStyle name="40% - Accent4 3 4 2 5" xfId="19379" xr:uid="{00000000-0005-0000-0000-0000564B0000}"/>
    <cellStyle name="40% - Accent4 3 4 2 5 2" xfId="19380" xr:uid="{00000000-0005-0000-0000-0000574B0000}"/>
    <cellStyle name="40% - Accent4 3 4 2 5 3" xfId="19381" xr:uid="{00000000-0005-0000-0000-0000584B0000}"/>
    <cellStyle name="40% - Accent4 3 4 2 6" xfId="19382" xr:uid="{00000000-0005-0000-0000-0000594B0000}"/>
    <cellStyle name="40% - Accent4 3 4 2 7" xfId="19383" xr:uid="{00000000-0005-0000-0000-00005A4B0000}"/>
    <cellStyle name="40% - Accent4 3 4 2 8" xfId="19384" xr:uid="{00000000-0005-0000-0000-00005B4B0000}"/>
    <cellStyle name="40% - Accent4 3 4 3" xfId="19385" xr:uid="{00000000-0005-0000-0000-00005C4B0000}"/>
    <cellStyle name="40% - Accent4 3 4 3 2" xfId="19386" xr:uid="{00000000-0005-0000-0000-00005D4B0000}"/>
    <cellStyle name="40% - Accent4 3 4 3 2 2" xfId="19387" xr:uid="{00000000-0005-0000-0000-00005E4B0000}"/>
    <cellStyle name="40% - Accent4 3 4 3 2 2 2" xfId="19388" xr:uid="{00000000-0005-0000-0000-00005F4B0000}"/>
    <cellStyle name="40% - Accent4 3 4 3 2 2 2 2" xfId="19389" xr:uid="{00000000-0005-0000-0000-0000604B0000}"/>
    <cellStyle name="40% - Accent4 3 4 3 2 2 2 3" xfId="19390" xr:uid="{00000000-0005-0000-0000-0000614B0000}"/>
    <cellStyle name="40% - Accent4 3 4 3 2 2 3" xfId="19391" xr:uid="{00000000-0005-0000-0000-0000624B0000}"/>
    <cellStyle name="40% - Accent4 3 4 3 2 2 4" xfId="19392" xr:uid="{00000000-0005-0000-0000-0000634B0000}"/>
    <cellStyle name="40% - Accent4 3 4 3 2 3" xfId="19393" xr:uid="{00000000-0005-0000-0000-0000644B0000}"/>
    <cellStyle name="40% - Accent4 3 4 3 2 3 2" xfId="19394" xr:uid="{00000000-0005-0000-0000-0000654B0000}"/>
    <cellStyle name="40% - Accent4 3 4 3 2 3 3" xfId="19395" xr:uid="{00000000-0005-0000-0000-0000664B0000}"/>
    <cellStyle name="40% - Accent4 3 4 3 2 4" xfId="19396" xr:uid="{00000000-0005-0000-0000-0000674B0000}"/>
    <cellStyle name="40% - Accent4 3 4 3 2 5" xfId="19397" xr:uid="{00000000-0005-0000-0000-0000684B0000}"/>
    <cellStyle name="40% - Accent4 3 4 3 2 6" xfId="19398" xr:uid="{00000000-0005-0000-0000-0000694B0000}"/>
    <cellStyle name="40% - Accent4 3 4 3 3" xfId="19399" xr:uid="{00000000-0005-0000-0000-00006A4B0000}"/>
    <cellStyle name="40% - Accent4 3 4 3 3 2" xfId="19400" xr:uid="{00000000-0005-0000-0000-00006B4B0000}"/>
    <cellStyle name="40% - Accent4 3 4 3 3 2 2" xfId="19401" xr:uid="{00000000-0005-0000-0000-00006C4B0000}"/>
    <cellStyle name="40% - Accent4 3 4 3 3 2 3" xfId="19402" xr:uid="{00000000-0005-0000-0000-00006D4B0000}"/>
    <cellStyle name="40% - Accent4 3 4 3 3 3" xfId="19403" xr:uid="{00000000-0005-0000-0000-00006E4B0000}"/>
    <cellStyle name="40% - Accent4 3 4 3 3 4" xfId="19404" xr:uid="{00000000-0005-0000-0000-00006F4B0000}"/>
    <cellStyle name="40% - Accent4 3 4 3 4" xfId="19405" xr:uid="{00000000-0005-0000-0000-0000704B0000}"/>
    <cellStyle name="40% - Accent4 3 4 3 4 2" xfId="19406" xr:uid="{00000000-0005-0000-0000-0000714B0000}"/>
    <cellStyle name="40% - Accent4 3 4 3 4 3" xfId="19407" xr:uid="{00000000-0005-0000-0000-0000724B0000}"/>
    <cellStyle name="40% - Accent4 3 4 3 5" xfId="19408" xr:uid="{00000000-0005-0000-0000-0000734B0000}"/>
    <cellStyle name="40% - Accent4 3 4 3 6" xfId="19409" xr:uid="{00000000-0005-0000-0000-0000744B0000}"/>
    <cellStyle name="40% - Accent4 3 4 3 7" xfId="19410" xr:uid="{00000000-0005-0000-0000-0000754B0000}"/>
    <cellStyle name="40% - Accent4 3 4 4" xfId="19411" xr:uid="{00000000-0005-0000-0000-0000764B0000}"/>
    <cellStyle name="40% - Accent4 3 4 4 2" xfId="19412" xr:uid="{00000000-0005-0000-0000-0000774B0000}"/>
    <cellStyle name="40% - Accent4 3 4 4 2 2" xfId="19413" xr:uid="{00000000-0005-0000-0000-0000784B0000}"/>
    <cellStyle name="40% - Accent4 3 4 4 2 2 2" xfId="19414" xr:uid="{00000000-0005-0000-0000-0000794B0000}"/>
    <cellStyle name="40% - Accent4 3 4 4 2 2 3" xfId="19415" xr:uid="{00000000-0005-0000-0000-00007A4B0000}"/>
    <cellStyle name="40% - Accent4 3 4 4 2 3" xfId="19416" xr:uid="{00000000-0005-0000-0000-00007B4B0000}"/>
    <cellStyle name="40% - Accent4 3 4 4 2 4" xfId="19417" xr:uid="{00000000-0005-0000-0000-00007C4B0000}"/>
    <cellStyle name="40% - Accent4 3 4 4 3" xfId="19418" xr:uid="{00000000-0005-0000-0000-00007D4B0000}"/>
    <cellStyle name="40% - Accent4 3 4 4 3 2" xfId="19419" xr:uid="{00000000-0005-0000-0000-00007E4B0000}"/>
    <cellStyle name="40% - Accent4 3 4 4 3 3" xfId="19420" xr:uid="{00000000-0005-0000-0000-00007F4B0000}"/>
    <cellStyle name="40% - Accent4 3 4 4 4" xfId="19421" xr:uid="{00000000-0005-0000-0000-0000804B0000}"/>
    <cellStyle name="40% - Accent4 3 4 4 5" xfId="19422" xr:uid="{00000000-0005-0000-0000-0000814B0000}"/>
    <cellStyle name="40% - Accent4 3 4 4 6" xfId="19423" xr:uid="{00000000-0005-0000-0000-0000824B0000}"/>
    <cellStyle name="40% - Accent4 3 4 5" xfId="19424" xr:uid="{00000000-0005-0000-0000-0000834B0000}"/>
    <cellStyle name="40% - Accent4 3 4 5 2" xfId="19425" xr:uid="{00000000-0005-0000-0000-0000844B0000}"/>
    <cellStyle name="40% - Accent4 3 4 5 2 2" xfId="19426" xr:uid="{00000000-0005-0000-0000-0000854B0000}"/>
    <cellStyle name="40% - Accent4 3 4 5 2 3" xfId="19427" xr:uid="{00000000-0005-0000-0000-0000864B0000}"/>
    <cellStyle name="40% - Accent4 3 4 5 3" xfId="19428" xr:uid="{00000000-0005-0000-0000-0000874B0000}"/>
    <cellStyle name="40% - Accent4 3 4 5 4" xfId="19429" xr:uid="{00000000-0005-0000-0000-0000884B0000}"/>
    <cellStyle name="40% - Accent4 3 4 6" xfId="19430" xr:uid="{00000000-0005-0000-0000-0000894B0000}"/>
    <cellStyle name="40% - Accent4 3 4 6 2" xfId="19431" xr:uid="{00000000-0005-0000-0000-00008A4B0000}"/>
    <cellStyle name="40% - Accent4 3 4 6 3" xfId="19432" xr:uid="{00000000-0005-0000-0000-00008B4B0000}"/>
    <cellStyle name="40% - Accent4 3 4 7" xfId="19433" xr:uid="{00000000-0005-0000-0000-00008C4B0000}"/>
    <cellStyle name="40% - Accent4 3 4 8" xfId="19434" xr:uid="{00000000-0005-0000-0000-00008D4B0000}"/>
    <cellStyle name="40% - Accent4 3 4 9" xfId="19435" xr:uid="{00000000-0005-0000-0000-00008E4B0000}"/>
    <cellStyle name="40% - Accent4 3 5" xfId="19436" xr:uid="{00000000-0005-0000-0000-00008F4B0000}"/>
    <cellStyle name="40% - Accent4 3 5 2" xfId="19437" xr:uid="{00000000-0005-0000-0000-0000904B0000}"/>
    <cellStyle name="40% - Accent4 3 5 2 2" xfId="19438" xr:uid="{00000000-0005-0000-0000-0000914B0000}"/>
    <cellStyle name="40% - Accent4 3 5 2 2 2" xfId="19439" xr:uid="{00000000-0005-0000-0000-0000924B0000}"/>
    <cellStyle name="40% - Accent4 3 5 2 2 2 2" xfId="19440" xr:uid="{00000000-0005-0000-0000-0000934B0000}"/>
    <cellStyle name="40% - Accent4 3 5 2 2 2 2 2" xfId="19441" xr:uid="{00000000-0005-0000-0000-0000944B0000}"/>
    <cellStyle name="40% - Accent4 3 5 2 2 2 2 2 2" xfId="19442" xr:uid="{00000000-0005-0000-0000-0000954B0000}"/>
    <cellStyle name="40% - Accent4 3 5 2 2 2 2 2 3" xfId="19443" xr:uid="{00000000-0005-0000-0000-0000964B0000}"/>
    <cellStyle name="40% - Accent4 3 5 2 2 2 2 3" xfId="19444" xr:uid="{00000000-0005-0000-0000-0000974B0000}"/>
    <cellStyle name="40% - Accent4 3 5 2 2 2 2 4" xfId="19445" xr:uid="{00000000-0005-0000-0000-0000984B0000}"/>
    <cellStyle name="40% - Accent4 3 5 2 2 2 3" xfId="19446" xr:uid="{00000000-0005-0000-0000-0000994B0000}"/>
    <cellStyle name="40% - Accent4 3 5 2 2 2 3 2" xfId="19447" xr:uid="{00000000-0005-0000-0000-00009A4B0000}"/>
    <cellStyle name="40% - Accent4 3 5 2 2 2 3 3" xfId="19448" xr:uid="{00000000-0005-0000-0000-00009B4B0000}"/>
    <cellStyle name="40% - Accent4 3 5 2 2 2 4" xfId="19449" xr:uid="{00000000-0005-0000-0000-00009C4B0000}"/>
    <cellStyle name="40% - Accent4 3 5 2 2 2 5" xfId="19450" xr:uid="{00000000-0005-0000-0000-00009D4B0000}"/>
    <cellStyle name="40% - Accent4 3 5 2 2 2 6" xfId="19451" xr:uid="{00000000-0005-0000-0000-00009E4B0000}"/>
    <cellStyle name="40% - Accent4 3 5 2 2 3" xfId="19452" xr:uid="{00000000-0005-0000-0000-00009F4B0000}"/>
    <cellStyle name="40% - Accent4 3 5 2 2 3 2" xfId="19453" xr:uid="{00000000-0005-0000-0000-0000A04B0000}"/>
    <cellStyle name="40% - Accent4 3 5 2 2 3 2 2" xfId="19454" xr:uid="{00000000-0005-0000-0000-0000A14B0000}"/>
    <cellStyle name="40% - Accent4 3 5 2 2 3 2 3" xfId="19455" xr:uid="{00000000-0005-0000-0000-0000A24B0000}"/>
    <cellStyle name="40% - Accent4 3 5 2 2 3 3" xfId="19456" xr:uid="{00000000-0005-0000-0000-0000A34B0000}"/>
    <cellStyle name="40% - Accent4 3 5 2 2 3 4" xfId="19457" xr:uid="{00000000-0005-0000-0000-0000A44B0000}"/>
    <cellStyle name="40% - Accent4 3 5 2 2 4" xfId="19458" xr:uid="{00000000-0005-0000-0000-0000A54B0000}"/>
    <cellStyle name="40% - Accent4 3 5 2 2 4 2" xfId="19459" xr:uid="{00000000-0005-0000-0000-0000A64B0000}"/>
    <cellStyle name="40% - Accent4 3 5 2 2 4 3" xfId="19460" xr:uid="{00000000-0005-0000-0000-0000A74B0000}"/>
    <cellStyle name="40% - Accent4 3 5 2 2 5" xfId="19461" xr:uid="{00000000-0005-0000-0000-0000A84B0000}"/>
    <cellStyle name="40% - Accent4 3 5 2 2 6" xfId="19462" xr:uid="{00000000-0005-0000-0000-0000A94B0000}"/>
    <cellStyle name="40% - Accent4 3 5 2 2 7" xfId="19463" xr:uid="{00000000-0005-0000-0000-0000AA4B0000}"/>
    <cellStyle name="40% - Accent4 3 5 2 3" xfId="19464" xr:uid="{00000000-0005-0000-0000-0000AB4B0000}"/>
    <cellStyle name="40% - Accent4 3 5 2 3 2" xfId="19465" xr:uid="{00000000-0005-0000-0000-0000AC4B0000}"/>
    <cellStyle name="40% - Accent4 3 5 2 3 2 2" xfId="19466" xr:uid="{00000000-0005-0000-0000-0000AD4B0000}"/>
    <cellStyle name="40% - Accent4 3 5 2 3 2 2 2" xfId="19467" xr:uid="{00000000-0005-0000-0000-0000AE4B0000}"/>
    <cellStyle name="40% - Accent4 3 5 2 3 2 2 3" xfId="19468" xr:uid="{00000000-0005-0000-0000-0000AF4B0000}"/>
    <cellStyle name="40% - Accent4 3 5 2 3 2 3" xfId="19469" xr:uid="{00000000-0005-0000-0000-0000B04B0000}"/>
    <cellStyle name="40% - Accent4 3 5 2 3 2 4" xfId="19470" xr:uid="{00000000-0005-0000-0000-0000B14B0000}"/>
    <cellStyle name="40% - Accent4 3 5 2 3 3" xfId="19471" xr:uid="{00000000-0005-0000-0000-0000B24B0000}"/>
    <cellStyle name="40% - Accent4 3 5 2 3 3 2" xfId="19472" xr:uid="{00000000-0005-0000-0000-0000B34B0000}"/>
    <cellStyle name="40% - Accent4 3 5 2 3 3 3" xfId="19473" xr:uid="{00000000-0005-0000-0000-0000B44B0000}"/>
    <cellStyle name="40% - Accent4 3 5 2 3 4" xfId="19474" xr:uid="{00000000-0005-0000-0000-0000B54B0000}"/>
    <cellStyle name="40% - Accent4 3 5 2 3 5" xfId="19475" xr:uid="{00000000-0005-0000-0000-0000B64B0000}"/>
    <cellStyle name="40% - Accent4 3 5 2 3 6" xfId="19476" xr:uid="{00000000-0005-0000-0000-0000B74B0000}"/>
    <cellStyle name="40% - Accent4 3 5 2 4" xfId="19477" xr:uid="{00000000-0005-0000-0000-0000B84B0000}"/>
    <cellStyle name="40% - Accent4 3 5 2 4 2" xfId="19478" xr:uid="{00000000-0005-0000-0000-0000B94B0000}"/>
    <cellStyle name="40% - Accent4 3 5 2 4 2 2" xfId="19479" xr:uid="{00000000-0005-0000-0000-0000BA4B0000}"/>
    <cellStyle name="40% - Accent4 3 5 2 4 2 3" xfId="19480" xr:uid="{00000000-0005-0000-0000-0000BB4B0000}"/>
    <cellStyle name="40% - Accent4 3 5 2 4 3" xfId="19481" xr:uid="{00000000-0005-0000-0000-0000BC4B0000}"/>
    <cellStyle name="40% - Accent4 3 5 2 4 4" xfId="19482" xr:uid="{00000000-0005-0000-0000-0000BD4B0000}"/>
    <cellStyle name="40% - Accent4 3 5 2 5" xfId="19483" xr:uid="{00000000-0005-0000-0000-0000BE4B0000}"/>
    <cellStyle name="40% - Accent4 3 5 2 5 2" xfId="19484" xr:uid="{00000000-0005-0000-0000-0000BF4B0000}"/>
    <cellStyle name="40% - Accent4 3 5 2 5 3" xfId="19485" xr:uid="{00000000-0005-0000-0000-0000C04B0000}"/>
    <cellStyle name="40% - Accent4 3 5 2 6" xfId="19486" xr:uid="{00000000-0005-0000-0000-0000C14B0000}"/>
    <cellStyle name="40% - Accent4 3 5 2 7" xfId="19487" xr:uid="{00000000-0005-0000-0000-0000C24B0000}"/>
    <cellStyle name="40% - Accent4 3 5 2 8" xfId="19488" xr:uid="{00000000-0005-0000-0000-0000C34B0000}"/>
    <cellStyle name="40% - Accent4 3 5 3" xfId="19489" xr:uid="{00000000-0005-0000-0000-0000C44B0000}"/>
    <cellStyle name="40% - Accent4 3 5 3 2" xfId="19490" xr:uid="{00000000-0005-0000-0000-0000C54B0000}"/>
    <cellStyle name="40% - Accent4 3 5 3 2 2" xfId="19491" xr:uid="{00000000-0005-0000-0000-0000C64B0000}"/>
    <cellStyle name="40% - Accent4 3 5 3 2 2 2" xfId="19492" xr:uid="{00000000-0005-0000-0000-0000C74B0000}"/>
    <cellStyle name="40% - Accent4 3 5 3 2 2 2 2" xfId="19493" xr:uid="{00000000-0005-0000-0000-0000C84B0000}"/>
    <cellStyle name="40% - Accent4 3 5 3 2 2 2 3" xfId="19494" xr:uid="{00000000-0005-0000-0000-0000C94B0000}"/>
    <cellStyle name="40% - Accent4 3 5 3 2 2 3" xfId="19495" xr:uid="{00000000-0005-0000-0000-0000CA4B0000}"/>
    <cellStyle name="40% - Accent4 3 5 3 2 2 4" xfId="19496" xr:uid="{00000000-0005-0000-0000-0000CB4B0000}"/>
    <cellStyle name="40% - Accent4 3 5 3 2 3" xfId="19497" xr:uid="{00000000-0005-0000-0000-0000CC4B0000}"/>
    <cellStyle name="40% - Accent4 3 5 3 2 3 2" xfId="19498" xr:uid="{00000000-0005-0000-0000-0000CD4B0000}"/>
    <cellStyle name="40% - Accent4 3 5 3 2 3 3" xfId="19499" xr:uid="{00000000-0005-0000-0000-0000CE4B0000}"/>
    <cellStyle name="40% - Accent4 3 5 3 2 4" xfId="19500" xr:uid="{00000000-0005-0000-0000-0000CF4B0000}"/>
    <cellStyle name="40% - Accent4 3 5 3 2 5" xfId="19501" xr:uid="{00000000-0005-0000-0000-0000D04B0000}"/>
    <cellStyle name="40% - Accent4 3 5 3 2 6" xfId="19502" xr:uid="{00000000-0005-0000-0000-0000D14B0000}"/>
    <cellStyle name="40% - Accent4 3 5 3 3" xfId="19503" xr:uid="{00000000-0005-0000-0000-0000D24B0000}"/>
    <cellStyle name="40% - Accent4 3 5 3 3 2" xfId="19504" xr:uid="{00000000-0005-0000-0000-0000D34B0000}"/>
    <cellStyle name="40% - Accent4 3 5 3 3 2 2" xfId="19505" xr:uid="{00000000-0005-0000-0000-0000D44B0000}"/>
    <cellStyle name="40% - Accent4 3 5 3 3 2 3" xfId="19506" xr:uid="{00000000-0005-0000-0000-0000D54B0000}"/>
    <cellStyle name="40% - Accent4 3 5 3 3 3" xfId="19507" xr:uid="{00000000-0005-0000-0000-0000D64B0000}"/>
    <cellStyle name="40% - Accent4 3 5 3 3 4" xfId="19508" xr:uid="{00000000-0005-0000-0000-0000D74B0000}"/>
    <cellStyle name="40% - Accent4 3 5 3 4" xfId="19509" xr:uid="{00000000-0005-0000-0000-0000D84B0000}"/>
    <cellStyle name="40% - Accent4 3 5 3 4 2" xfId="19510" xr:uid="{00000000-0005-0000-0000-0000D94B0000}"/>
    <cellStyle name="40% - Accent4 3 5 3 4 3" xfId="19511" xr:uid="{00000000-0005-0000-0000-0000DA4B0000}"/>
    <cellStyle name="40% - Accent4 3 5 3 5" xfId="19512" xr:uid="{00000000-0005-0000-0000-0000DB4B0000}"/>
    <cellStyle name="40% - Accent4 3 5 3 6" xfId="19513" xr:uid="{00000000-0005-0000-0000-0000DC4B0000}"/>
    <cellStyle name="40% - Accent4 3 5 3 7" xfId="19514" xr:uid="{00000000-0005-0000-0000-0000DD4B0000}"/>
    <cellStyle name="40% - Accent4 3 5 4" xfId="19515" xr:uid="{00000000-0005-0000-0000-0000DE4B0000}"/>
    <cellStyle name="40% - Accent4 3 5 4 2" xfId="19516" xr:uid="{00000000-0005-0000-0000-0000DF4B0000}"/>
    <cellStyle name="40% - Accent4 3 5 4 2 2" xfId="19517" xr:uid="{00000000-0005-0000-0000-0000E04B0000}"/>
    <cellStyle name="40% - Accent4 3 5 4 2 2 2" xfId="19518" xr:uid="{00000000-0005-0000-0000-0000E14B0000}"/>
    <cellStyle name="40% - Accent4 3 5 4 2 2 3" xfId="19519" xr:uid="{00000000-0005-0000-0000-0000E24B0000}"/>
    <cellStyle name="40% - Accent4 3 5 4 2 3" xfId="19520" xr:uid="{00000000-0005-0000-0000-0000E34B0000}"/>
    <cellStyle name="40% - Accent4 3 5 4 2 4" xfId="19521" xr:uid="{00000000-0005-0000-0000-0000E44B0000}"/>
    <cellStyle name="40% - Accent4 3 5 4 3" xfId="19522" xr:uid="{00000000-0005-0000-0000-0000E54B0000}"/>
    <cellStyle name="40% - Accent4 3 5 4 3 2" xfId="19523" xr:uid="{00000000-0005-0000-0000-0000E64B0000}"/>
    <cellStyle name="40% - Accent4 3 5 4 3 3" xfId="19524" xr:uid="{00000000-0005-0000-0000-0000E74B0000}"/>
    <cellStyle name="40% - Accent4 3 5 4 4" xfId="19525" xr:uid="{00000000-0005-0000-0000-0000E84B0000}"/>
    <cellStyle name="40% - Accent4 3 5 4 5" xfId="19526" xr:uid="{00000000-0005-0000-0000-0000E94B0000}"/>
    <cellStyle name="40% - Accent4 3 5 4 6" xfId="19527" xr:uid="{00000000-0005-0000-0000-0000EA4B0000}"/>
    <cellStyle name="40% - Accent4 3 5 5" xfId="19528" xr:uid="{00000000-0005-0000-0000-0000EB4B0000}"/>
    <cellStyle name="40% - Accent4 3 5 5 2" xfId="19529" xr:uid="{00000000-0005-0000-0000-0000EC4B0000}"/>
    <cellStyle name="40% - Accent4 3 5 5 2 2" xfId="19530" xr:uid="{00000000-0005-0000-0000-0000ED4B0000}"/>
    <cellStyle name="40% - Accent4 3 5 5 2 3" xfId="19531" xr:uid="{00000000-0005-0000-0000-0000EE4B0000}"/>
    <cellStyle name="40% - Accent4 3 5 5 3" xfId="19532" xr:uid="{00000000-0005-0000-0000-0000EF4B0000}"/>
    <cellStyle name="40% - Accent4 3 5 5 4" xfId="19533" xr:uid="{00000000-0005-0000-0000-0000F04B0000}"/>
    <cellStyle name="40% - Accent4 3 5 6" xfId="19534" xr:uid="{00000000-0005-0000-0000-0000F14B0000}"/>
    <cellStyle name="40% - Accent4 3 5 6 2" xfId="19535" xr:uid="{00000000-0005-0000-0000-0000F24B0000}"/>
    <cellStyle name="40% - Accent4 3 5 6 3" xfId="19536" xr:uid="{00000000-0005-0000-0000-0000F34B0000}"/>
    <cellStyle name="40% - Accent4 3 5 7" xfId="19537" xr:uid="{00000000-0005-0000-0000-0000F44B0000}"/>
    <cellStyle name="40% - Accent4 3 5 8" xfId="19538" xr:uid="{00000000-0005-0000-0000-0000F54B0000}"/>
    <cellStyle name="40% - Accent4 3 5 9" xfId="19539" xr:uid="{00000000-0005-0000-0000-0000F64B0000}"/>
    <cellStyle name="40% - Accent4 3 6" xfId="19540" xr:uid="{00000000-0005-0000-0000-0000F74B0000}"/>
    <cellStyle name="40% - Accent4 3 6 2" xfId="19541" xr:uid="{00000000-0005-0000-0000-0000F84B0000}"/>
    <cellStyle name="40% - Accent4 3 6 2 2" xfId="19542" xr:uid="{00000000-0005-0000-0000-0000F94B0000}"/>
    <cellStyle name="40% - Accent4 3 6 2 2 2" xfId="19543" xr:uid="{00000000-0005-0000-0000-0000FA4B0000}"/>
    <cellStyle name="40% - Accent4 3 6 2 2 2 2" xfId="19544" xr:uid="{00000000-0005-0000-0000-0000FB4B0000}"/>
    <cellStyle name="40% - Accent4 3 6 2 2 2 2 2" xfId="19545" xr:uid="{00000000-0005-0000-0000-0000FC4B0000}"/>
    <cellStyle name="40% - Accent4 3 6 2 2 2 2 3" xfId="19546" xr:uid="{00000000-0005-0000-0000-0000FD4B0000}"/>
    <cellStyle name="40% - Accent4 3 6 2 2 2 3" xfId="19547" xr:uid="{00000000-0005-0000-0000-0000FE4B0000}"/>
    <cellStyle name="40% - Accent4 3 6 2 2 2 4" xfId="19548" xr:uid="{00000000-0005-0000-0000-0000FF4B0000}"/>
    <cellStyle name="40% - Accent4 3 6 2 2 3" xfId="19549" xr:uid="{00000000-0005-0000-0000-0000004C0000}"/>
    <cellStyle name="40% - Accent4 3 6 2 2 3 2" xfId="19550" xr:uid="{00000000-0005-0000-0000-0000014C0000}"/>
    <cellStyle name="40% - Accent4 3 6 2 2 3 3" xfId="19551" xr:uid="{00000000-0005-0000-0000-0000024C0000}"/>
    <cellStyle name="40% - Accent4 3 6 2 2 4" xfId="19552" xr:uid="{00000000-0005-0000-0000-0000034C0000}"/>
    <cellStyle name="40% - Accent4 3 6 2 2 5" xfId="19553" xr:uid="{00000000-0005-0000-0000-0000044C0000}"/>
    <cellStyle name="40% - Accent4 3 6 2 2 6" xfId="19554" xr:uid="{00000000-0005-0000-0000-0000054C0000}"/>
    <cellStyle name="40% - Accent4 3 6 2 3" xfId="19555" xr:uid="{00000000-0005-0000-0000-0000064C0000}"/>
    <cellStyle name="40% - Accent4 3 6 2 3 2" xfId="19556" xr:uid="{00000000-0005-0000-0000-0000074C0000}"/>
    <cellStyle name="40% - Accent4 3 6 2 3 2 2" xfId="19557" xr:uid="{00000000-0005-0000-0000-0000084C0000}"/>
    <cellStyle name="40% - Accent4 3 6 2 3 2 3" xfId="19558" xr:uid="{00000000-0005-0000-0000-0000094C0000}"/>
    <cellStyle name="40% - Accent4 3 6 2 3 3" xfId="19559" xr:uid="{00000000-0005-0000-0000-00000A4C0000}"/>
    <cellStyle name="40% - Accent4 3 6 2 3 4" xfId="19560" xr:uid="{00000000-0005-0000-0000-00000B4C0000}"/>
    <cellStyle name="40% - Accent4 3 6 2 4" xfId="19561" xr:uid="{00000000-0005-0000-0000-00000C4C0000}"/>
    <cellStyle name="40% - Accent4 3 6 2 4 2" xfId="19562" xr:uid="{00000000-0005-0000-0000-00000D4C0000}"/>
    <cellStyle name="40% - Accent4 3 6 2 4 3" xfId="19563" xr:uid="{00000000-0005-0000-0000-00000E4C0000}"/>
    <cellStyle name="40% - Accent4 3 6 2 5" xfId="19564" xr:uid="{00000000-0005-0000-0000-00000F4C0000}"/>
    <cellStyle name="40% - Accent4 3 6 2 6" xfId="19565" xr:uid="{00000000-0005-0000-0000-0000104C0000}"/>
    <cellStyle name="40% - Accent4 3 6 2 7" xfId="19566" xr:uid="{00000000-0005-0000-0000-0000114C0000}"/>
    <cellStyle name="40% - Accent4 3 6 3" xfId="19567" xr:uid="{00000000-0005-0000-0000-0000124C0000}"/>
    <cellStyle name="40% - Accent4 3 6 3 2" xfId="19568" xr:uid="{00000000-0005-0000-0000-0000134C0000}"/>
    <cellStyle name="40% - Accent4 3 6 3 2 2" xfId="19569" xr:uid="{00000000-0005-0000-0000-0000144C0000}"/>
    <cellStyle name="40% - Accent4 3 6 3 2 2 2" xfId="19570" xr:uid="{00000000-0005-0000-0000-0000154C0000}"/>
    <cellStyle name="40% - Accent4 3 6 3 2 2 3" xfId="19571" xr:uid="{00000000-0005-0000-0000-0000164C0000}"/>
    <cellStyle name="40% - Accent4 3 6 3 2 3" xfId="19572" xr:uid="{00000000-0005-0000-0000-0000174C0000}"/>
    <cellStyle name="40% - Accent4 3 6 3 2 4" xfId="19573" xr:uid="{00000000-0005-0000-0000-0000184C0000}"/>
    <cellStyle name="40% - Accent4 3 6 3 3" xfId="19574" xr:uid="{00000000-0005-0000-0000-0000194C0000}"/>
    <cellStyle name="40% - Accent4 3 6 3 3 2" xfId="19575" xr:uid="{00000000-0005-0000-0000-00001A4C0000}"/>
    <cellStyle name="40% - Accent4 3 6 3 3 3" xfId="19576" xr:uid="{00000000-0005-0000-0000-00001B4C0000}"/>
    <cellStyle name="40% - Accent4 3 6 3 4" xfId="19577" xr:uid="{00000000-0005-0000-0000-00001C4C0000}"/>
    <cellStyle name="40% - Accent4 3 6 3 5" xfId="19578" xr:uid="{00000000-0005-0000-0000-00001D4C0000}"/>
    <cellStyle name="40% - Accent4 3 6 3 6" xfId="19579" xr:uid="{00000000-0005-0000-0000-00001E4C0000}"/>
    <cellStyle name="40% - Accent4 3 6 4" xfId="19580" xr:uid="{00000000-0005-0000-0000-00001F4C0000}"/>
    <cellStyle name="40% - Accent4 3 6 4 2" xfId="19581" xr:uid="{00000000-0005-0000-0000-0000204C0000}"/>
    <cellStyle name="40% - Accent4 3 6 4 2 2" xfId="19582" xr:uid="{00000000-0005-0000-0000-0000214C0000}"/>
    <cellStyle name="40% - Accent4 3 6 4 2 3" xfId="19583" xr:uid="{00000000-0005-0000-0000-0000224C0000}"/>
    <cellStyle name="40% - Accent4 3 6 4 3" xfId="19584" xr:uid="{00000000-0005-0000-0000-0000234C0000}"/>
    <cellStyle name="40% - Accent4 3 6 4 4" xfId="19585" xr:uid="{00000000-0005-0000-0000-0000244C0000}"/>
    <cellStyle name="40% - Accent4 3 6 5" xfId="19586" xr:uid="{00000000-0005-0000-0000-0000254C0000}"/>
    <cellStyle name="40% - Accent4 3 6 5 2" xfId="19587" xr:uid="{00000000-0005-0000-0000-0000264C0000}"/>
    <cellStyle name="40% - Accent4 3 6 5 3" xfId="19588" xr:uid="{00000000-0005-0000-0000-0000274C0000}"/>
    <cellStyle name="40% - Accent4 3 6 6" xfId="19589" xr:uid="{00000000-0005-0000-0000-0000284C0000}"/>
    <cellStyle name="40% - Accent4 3 6 7" xfId="19590" xr:uid="{00000000-0005-0000-0000-0000294C0000}"/>
    <cellStyle name="40% - Accent4 3 6 8" xfId="19591" xr:uid="{00000000-0005-0000-0000-00002A4C0000}"/>
    <cellStyle name="40% - Accent4 3 7" xfId="19592" xr:uid="{00000000-0005-0000-0000-00002B4C0000}"/>
    <cellStyle name="40% - Accent4 3 7 2" xfId="19593" xr:uid="{00000000-0005-0000-0000-00002C4C0000}"/>
    <cellStyle name="40% - Accent4 3 7 2 2" xfId="19594" xr:uid="{00000000-0005-0000-0000-00002D4C0000}"/>
    <cellStyle name="40% - Accent4 3 7 2 2 2" xfId="19595" xr:uid="{00000000-0005-0000-0000-00002E4C0000}"/>
    <cellStyle name="40% - Accent4 3 7 2 2 2 2" xfId="19596" xr:uid="{00000000-0005-0000-0000-00002F4C0000}"/>
    <cellStyle name="40% - Accent4 3 7 2 2 2 2 2" xfId="19597" xr:uid="{00000000-0005-0000-0000-0000304C0000}"/>
    <cellStyle name="40% - Accent4 3 7 2 2 2 2 3" xfId="19598" xr:uid="{00000000-0005-0000-0000-0000314C0000}"/>
    <cellStyle name="40% - Accent4 3 7 2 2 2 3" xfId="19599" xr:uid="{00000000-0005-0000-0000-0000324C0000}"/>
    <cellStyle name="40% - Accent4 3 7 2 2 2 4" xfId="19600" xr:uid="{00000000-0005-0000-0000-0000334C0000}"/>
    <cellStyle name="40% - Accent4 3 7 2 2 3" xfId="19601" xr:uid="{00000000-0005-0000-0000-0000344C0000}"/>
    <cellStyle name="40% - Accent4 3 7 2 2 3 2" xfId="19602" xr:uid="{00000000-0005-0000-0000-0000354C0000}"/>
    <cellStyle name="40% - Accent4 3 7 2 2 3 3" xfId="19603" xr:uid="{00000000-0005-0000-0000-0000364C0000}"/>
    <cellStyle name="40% - Accent4 3 7 2 2 4" xfId="19604" xr:uid="{00000000-0005-0000-0000-0000374C0000}"/>
    <cellStyle name="40% - Accent4 3 7 2 2 5" xfId="19605" xr:uid="{00000000-0005-0000-0000-0000384C0000}"/>
    <cellStyle name="40% - Accent4 3 7 2 2 6" xfId="19606" xr:uid="{00000000-0005-0000-0000-0000394C0000}"/>
    <cellStyle name="40% - Accent4 3 7 2 3" xfId="19607" xr:uid="{00000000-0005-0000-0000-00003A4C0000}"/>
    <cellStyle name="40% - Accent4 3 7 2 3 2" xfId="19608" xr:uid="{00000000-0005-0000-0000-00003B4C0000}"/>
    <cellStyle name="40% - Accent4 3 7 2 3 2 2" xfId="19609" xr:uid="{00000000-0005-0000-0000-00003C4C0000}"/>
    <cellStyle name="40% - Accent4 3 7 2 3 2 3" xfId="19610" xr:uid="{00000000-0005-0000-0000-00003D4C0000}"/>
    <cellStyle name="40% - Accent4 3 7 2 3 3" xfId="19611" xr:uid="{00000000-0005-0000-0000-00003E4C0000}"/>
    <cellStyle name="40% - Accent4 3 7 2 3 4" xfId="19612" xr:uid="{00000000-0005-0000-0000-00003F4C0000}"/>
    <cellStyle name="40% - Accent4 3 7 2 4" xfId="19613" xr:uid="{00000000-0005-0000-0000-0000404C0000}"/>
    <cellStyle name="40% - Accent4 3 7 2 4 2" xfId="19614" xr:uid="{00000000-0005-0000-0000-0000414C0000}"/>
    <cellStyle name="40% - Accent4 3 7 2 4 3" xfId="19615" xr:uid="{00000000-0005-0000-0000-0000424C0000}"/>
    <cellStyle name="40% - Accent4 3 7 2 5" xfId="19616" xr:uid="{00000000-0005-0000-0000-0000434C0000}"/>
    <cellStyle name="40% - Accent4 3 7 2 6" xfId="19617" xr:uid="{00000000-0005-0000-0000-0000444C0000}"/>
    <cellStyle name="40% - Accent4 3 7 2 7" xfId="19618" xr:uid="{00000000-0005-0000-0000-0000454C0000}"/>
    <cellStyle name="40% - Accent4 3 7 3" xfId="19619" xr:uid="{00000000-0005-0000-0000-0000464C0000}"/>
    <cellStyle name="40% - Accent4 3 7 3 2" xfId="19620" xr:uid="{00000000-0005-0000-0000-0000474C0000}"/>
    <cellStyle name="40% - Accent4 3 7 3 2 2" xfId="19621" xr:uid="{00000000-0005-0000-0000-0000484C0000}"/>
    <cellStyle name="40% - Accent4 3 7 3 2 2 2" xfId="19622" xr:uid="{00000000-0005-0000-0000-0000494C0000}"/>
    <cellStyle name="40% - Accent4 3 7 3 2 2 3" xfId="19623" xr:uid="{00000000-0005-0000-0000-00004A4C0000}"/>
    <cellStyle name="40% - Accent4 3 7 3 2 3" xfId="19624" xr:uid="{00000000-0005-0000-0000-00004B4C0000}"/>
    <cellStyle name="40% - Accent4 3 7 3 2 4" xfId="19625" xr:uid="{00000000-0005-0000-0000-00004C4C0000}"/>
    <cellStyle name="40% - Accent4 3 7 3 3" xfId="19626" xr:uid="{00000000-0005-0000-0000-00004D4C0000}"/>
    <cellStyle name="40% - Accent4 3 7 3 3 2" xfId="19627" xr:uid="{00000000-0005-0000-0000-00004E4C0000}"/>
    <cellStyle name="40% - Accent4 3 7 3 3 3" xfId="19628" xr:uid="{00000000-0005-0000-0000-00004F4C0000}"/>
    <cellStyle name="40% - Accent4 3 7 3 4" xfId="19629" xr:uid="{00000000-0005-0000-0000-0000504C0000}"/>
    <cellStyle name="40% - Accent4 3 7 3 5" xfId="19630" xr:uid="{00000000-0005-0000-0000-0000514C0000}"/>
    <cellStyle name="40% - Accent4 3 7 3 6" xfId="19631" xr:uid="{00000000-0005-0000-0000-0000524C0000}"/>
    <cellStyle name="40% - Accent4 3 7 4" xfId="19632" xr:uid="{00000000-0005-0000-0000-0000534C0000}"/>
    <cellStyle name="40% - Accent4 3 7 4 2" xfId="19633" xr:uid="{00000000-0005-0000-0000-0000544C0000}"/>
    <cellStyle name="40% - Accent4 3 7 4 2 2" xfId="19634" xr:uid="{00000000-0005-0000-0000-0000554C0000}"/>
    <cellStyle name="40% - Accent4 3 7 4 2 3" xfId="19635" xr:uid="{00000000-0005-0000-0000-0000564C0000}"/>
    <cellStyle name="40% - Accent4 3 7 4 3" xfId="19636" xr:uid="{00000000-0005-0000-0000-0000574C0000}"/>
    <cellStyle name="40% - Accent4 3 7 4 4" xfId="19637" xr:uid="{00000000-0005-0000-0000-0000584C0000}"/>
    <cellStyle name="40% - Accent4 3 7 5" xfId="19638" xr:uid="{00000000-0005-0000-0000-0000594C0000}"/>
    <cellStyle name="40% - Accent4 3 7 5 2" xfId="19639" xr:uid="{00000000-0005-0000-0000-00005A4C0000}"/>
    <cellStyle name="40% - Accent4 3 7 5 3" xfId="19640" xr:uid="{00000000-0005-0000-0000-00005B4C0000}"/>
    <cellStyle name="40% - Accent4 3 7 6" xfId="19641" xr:uid="{00000000-0005-0000-0000-00005C4C0000}"/>
    <cellStyle name="40% - Accent4 3 7 7" xfId="19642" xr:uid="{00000000-0005-0000-0000-00005D4C0000}"/>
    <cellStyle name="40% - Accent4 3 7 8" xfId="19643" xr:uid="{00000000-0005-0000-0000-00005E4C0000}"/>
    <cellStyle name="40% - Accent4 3 8" xfId="19644" xr:uid="{00000000-0005-0000-0000-00005F4C0000}"/>
    <cellStyle name="40% - Accent4 3 8 2" xfId="19645" xr:uid="{00000000-0005-0000-0000-0000604C0000}"/>
    <cellStyle name="40% - Accent4 3 8 2 2" xfId="19646" xr:uid="{00000000-0005-0000-0000-0000614C0000}"/>
    <cellStyle name="40% - Accent4 3 8 2 2 2" xfId="19647" xr:uid="{00000000-0005-0000-0000-0000624C0000}"/>
    <cellStyle name="40% - Accent4 3 8 2 2 2 2" xfId="19648" xr:uid="{00000000-0005-0000-0000-0000634C0000}"/>
    <cellStyle name="40% - Accent4 3 8 2 2 2 3" xfId="19649" xr:uid="{00000000-0005-0000-0000-0000644C0000}"/>
    <cellStyle name="40% - Accent4 3 8 2 2 3" xfId="19650" xr:uid="{00000000-0005-0000-0000-0000654C0000}"/>
    <cellStyle name="40% - Accent4 3 8 2 2 4" xfId="19651" xr:uid="{00000000-0005-0000-0000-0000664C0000}"/>
    <cellStyle name="40% - Accent4 3 8 2 3" xfId="19652" xr:uid="{00000000-0005-0000-0000-0000674C0000}"/>
    <cellStyle name="40% - Accent4 3 8 2 3 2" xfId="19653" xr:uid="{00000000-0005-0000-0000-0000684C0000}"/>
    <cellStyle name="40% - Accent4 3 8 2 3 3" xfId="19654" xr:uid="{00000000-0005-0000-0000-0000694C0000}"/>
    <cellStyle name="40% - Accent4 3 8 2 4" xfId="19655" xr:uid="{00000000-0005-0000-0000-00006A4C0000}"/>
    <cellStyle name="40% - Accent4 3 8 2 5" xfId="19656" xr:uid="{00000000-0005-0000-0000-00006B4C0000}"/>
    <cellStyle name="40% - Accent4 3 8 2 6" xfId="19657" xr:uid="{00000000-0005-0000-0000-00006C4C0000}"/>
    <cellStyle name="40% - Accent4 3 8 3" xfId="19658" xr:uid="{00000000-0005-0000-0000-00006D4C0000}"/>
    <cellStyle name="40% - Accent4 3 8 3 2" xfId="19659" xr:uid="{00000000-0005-0000-0000-00006E4C0000}"/>
    <cellStyle name="40% - Accent4 3 8 3 2 2" xfId="19660" xr:uid="{00000000-0005-0000-0000-00006F4C0000}"/>
    <cellStyle name="40% - Accent4 3 8 3 2 3" xfId="19661" xr:uid="{00000000-0005-0000-0000-0000704C0000}"/>
    <cellStyle name="40% - Accent4 3 8 3 3" xfId="19662" xr:uid="{00000000-0005-0000-0000-0000714C0000}"/>
    <cellStyle name="40% - Accent4 3 8 3 4" xfId="19663" xr:uid="{00000000-0005-0000-0000-0000724C0000}"/>
    <cellStyle name="40% - Accent4 3 8 4" xfId="19664" xr:uid="{00000000-0005-0000-0000-0000734C0000}"/>
    <cellStyle name="40% - Accent4 3 8 4 2" xfId="19665" xr:uid="{00000000-0005-0000-0000-0000744C0000}"/>
    <cellStyle name="40% - Accent4 3 8 4 3" xfId="19666" xr:uid="{00000000-0005-0000-0000-0000754C0000}"/>
    <cellStyle name="40% - Accent4 3 8 5" xfId="19667" xr:uid="{00000000-0005-0000-0000-0000764C0000}"/>
    <cellStyle name="40% - Accent4 3 8 6" xfId="19668" xr:uid="{00000000-0005-0000-0000-0000774C0000}"/>
    <cellStyle name="40% - Accent4 3 8 7" xfId="19669" xr:uid="{00000000-0005-0000-0000-0000784C0000}"/>
    <cellStyle name="40% - Accent4 3 9" xfId="19670" xr:uid="{00000000-0005-0000-0000-0000794C0000}"/>
    <cellStyle name="40% - Accent4 3 9 2" xfId="19671" xr:uid="{00000000-0005-0000-0000-00007A4C0000}"/>
    <cellStyle name="40% - Accent4 3 9 2 2" xfId="19672" xr:uid="{00000000-0005-0000-0000-00007B4C0000}"/>
    <cellStyle name="40% - Accent4 3 9 2 2 2" xfId="19673" xr:uid="{00000000-0005-0000-0000-00007C4C0000}"/>
    <cellStyle name="40% - Accent4 3 9 2 2 3" xfId="19674" xr:uid="{00000000-0005-0000-0000-00007D4C0000}"/>
    <cellStyle name="40% - Accent4 3 9 2 3" xfId="19675" xr:uid="{00000000-0005-0000-0000-00007E4C0000}"/>
    <cellStyle name="40% - Accent4 3 9 2 4" xfId="19676" xr:uid="{00000000-0005-0000-0000-00007F4C0000}"/>
    <cellStyle name="40% - Accent4 3 9 3" xfId="19677" xr:uid="{00000000-0005-0000-0000-0000804C0000}"/>
    <cellStyle name="40% - Accent4 3 9 3 2" xfId="19678" xr:uid="{00000000-0005-0000-0000-0000814C0000}"/>
    <cellStyle name="40% - Accent4 3 9 3 3" xfId="19679" xr:uid="{00000000-0005-0000-0000-0000824C0000}"/>
    <cellStyle name="40% - Accent4 3 9 4" xfId="19680" xr:uid="{00000000-0005-0000-0000-0000834C0000}"/>
    <cellStyle name="40% - Accent4 3 9 5" xfId="19681" xr:uid="{00000000-0005-0000-0000-0000844C0000}"/>
    <cellStyle name="40% - Accent4 3 9 6" xfId="19682" xr:uid="{00000000-0005-0000-0000-0000854C0000}"/>
    <cellStyle name="40% - Accent4 4" xfId="19683" xr:uid="{00000000-0005-0000-0000-0000864C0000}"/>
    <cellStyle name="40% - Accent4 4 10" xfId="19684" xr:uid="{00000000-0005-0000-0000-0000874C0000}"/>
    <cellStyle name="40% - Accent4 4 11" xfId="19685" xr:uid="{00000000-0005-0000-0000-0000884C0000}"/>
    <cellStyle name="40% - Accent4 4 2" xfId="19686" xr:uid="{00000000-0005-0000-0000-0000894C0000}"/>
    <cellStyle name="40% - Accent4 4 2 10" xfId="19687" xr:uid="{00000000-0005-0000-0000-00008A4C0000}"/>
    <cellStyle name="40% - Accent4 4 2 2" xfId="19688" xr:uid="{00000000-0005-0000-0000-00008B4C0000}"/>
    <cellStyle name="40% - Accent4 4 2 2 2" xfId="19689" xr:uid="{00000000-0005-0000-0000-00008C4C0000}"/>
    <cellStyle name="40% - Accent4 4 2 2 2 2" xfId="19690" xr:uid="{00000000-0005-0000-0000-00008D4C0000}"/>
    <cellStyle name="40% - Accent4 4 2 2 2 2 2" xfId="19691" xr:uid="{00000000-0005-0000-0000-00008E4C0000}"/>
    <cellStyle name="40% - Accent4 4 2 2 2 2 2 2" xfId="19692" xr:uid="{00000000-0005-0000-0000-00008F4C0000}"/>
    <cellStyle name="40% - Accent4 4 2 2 2 2 2 2 2" xfId="19693" xr:uid="{00000000-0005-0000-0000-0000904C0000}"/>
    <cellStyle name="40% - Accent4 4 2 2 2 2 2 2 2 2" xfId="19694" xr:uid="{00000000-0005-0000-0000-0000914C0000}"/>
    <cellStyle name="40% - Accent4 4 2 2 2 2 2 2 2 3" xfId="19695" xr:uid="{00000000-0005-0000-0000-0000924C0000}"/>
    <cellStyle name="40% - Accent4 4 2 2 2 2 2 2 3" xfId="19696" xr:uid="{00000000-0005-0000-0000-0000934C0000}"/>
    <cellStyle name="40% - Accent4 4 2 2 2 2 2 2 4" xfId="19697" xr:uid="{00000000-0005-0000-0000-0000944C0000}"/>
    <cellStyle name="40% - Accent4 4 2 2 2 2 2 3" xfId="19698" xr:uid="{00000000-0005-0000-0000-0000954C0000}"/>
    <cellStyle name="40% - Accent4 4 2 2 2 2 2 3 2" xfId="19699" xr:uid="{00000000-0005-0000-0000-0000964C0000}"/>
    <cellStyle name="40% - Accent4 4 2 2 2 2 2 3 3" xfId="19700" xr:uid="{00000000-0005-0000-0000-0000974C0000}"/>
    <cellStyle name="40% - Accent4 4 2 2 2 2 2 4" xfId="19701" xr:uid="{00000000-0005-0000-0000-0000984C0000}"/>
    <cellStyle name="40% - Accent4 4 2 2 2 2 2 5" xfId="19702" xr:uid="{00000000-0005-0000-0000-0000994C0000}"/>
    <cellStyle name="40% - Accent4 4 2 2 2 2 2 6" xfId="19703" xr:uid="{00000000-0005-0000-0000-00009A4C0000}"/>
    <cellStyle name="40% - Accent4 4 2 2 2 2 3" xfId="19704" xr:uid="{00000000-0005-0000-0000-00009B4C0000}"/>
    <cellStyle name="40% - Accent4 4 2 2 2 2 3 2" xfId="19705" xr:uid="{00000000-0005-0000-0000-00009C4C0000}"/>
    <cellStyle name="40% - Accent4 4 2 2 2 2 3 2 2" xfId="19706" xr:uid="{00000000-0005-0000-0000-00009D4C0000}"/>
    <cellStyle name="40% - Accent4 4 2 2 2 2 3 2 3" xfId="19707" xr:uid="{00000000-0005-0000-0000-00009E4C0000}"/>
    <cellStyle name="40% - Accent4 4 2 2 2 2 3 3" xfId="19708" xr:uid="{00000000-0005-0000-0000-00009F4C0000}"/>
    <cellStyle name="40% - Accent4 4 2 2 2 2 3 4" xfId="19709" xr:uid="{00000000-0005-0000-0000-0000A04C0000}"/>
    <cellStyle name="40% - Accent4 4 2 2 2 2 4" xfId="19710" xr:uid="{00000000-0005-0000-0000-0000A14C0000}"/>
    <cellStyle name="40% - Accent4 4 2 2 2 2 4 2" xfId="19711" xr:uid="{00000000-0005-0000-0000-0000A24C0000}"/>
    <cellStyle name="40% - Accent4 4 2 2 2 2 4 3" xfId="19712" xr:uid="{00000000-0005-0000-0000-0000A34C0000}"/>
    <cellStyle name="40% - Accent4 4 2 2 2 2 5" xfId="19713" xr:uid="{00000000-0005-0000-0000-0000A44C0000}"/>
    <cellStyle name="40% - Accent4 4 2 2 2 2 6" xfId="19714" xr:uid="{00000000-0005-0000-0000-0000A54C0000}"/>
    <cellStyle name="40% - Accent4 4 2 2 2 2 7" xfId="19715" xr:uid="{00000000-0005-0000-0000-0000A64C0000}"/>
    <cellStyle name="40% - Accent4 4 2 2 2 3" xfId="19716" xr:uid="{00000000-0005-0000-0000-0000A74C0000}"/>
    <cellStyle name="40% - Accent4 4 2 2 2 3 2" xfId="19717" xr:uid="{00000000-0005-0000-0000-0000A84C0000}"/>
    <cellStyle name="40% - Accent4 4 2 2 2 3 2 2" xfId="19718" xr:uid="{00000000-0005-0000-0000-0000A94C0000}"/>
    <cellStyle name="40% - Accent4 4 2 2 2 3 2 2 2" xfId="19719" xr:uid="{00000000-0005-0000-0000-0000AA4C0000}"/>
    <cellStyle name="40% - Accent4 4 2 2 2 3 2 2 3" xfId="19720" xr:uid="{00000000-0005-0000-0000-0000AB4C0000}"/>
    <cellStyle name="40% - Accent4 4 2 2 2 3 2 3" xfId="19721" xr:uid="{00000000-0005-0000-0000-0000AC4C0000}"/>
    <cellStyle name="40% - Accent4 4 2 2 2 3 2 4" xfId="19722" xr:uid="{00000000-0005-0000-0000-0000AD4C0000}"/>
    <cellStyle name="40% - Accent4 4 2 2 2 3 3" xfId="19723" xr:uid="{00000000-0005-0000-0000-0000AE4C0000}"/>
    <cellStyle name="40% - Accent4 4 2 2 2 3 3 2" xfId="19724" xr:uid="{00000000-0005-0000-0000-0000AF4C0000}"/>
    <cellStyle name="40% - Accent4 4 2 2 2 3 3 3" xfId="19725" xr:uid="{00000000-0005-0000-0000-0000B04C0000}"/>
    <cellStyle name="40% - Accent4 4 2 2 2 3 4" xfId="19726" xr:uid="{00000000-0005-0000-0000-0000B14C0000}"/>
    <cellStyle name="40% - Accent4 4 2 2 2 3 5" xfId="19727" xr:uid="{00000000-0005-0000-0000-0000B24C0000}"/>
    <cellStyle name="40% - Accent4 4 2 2 2 3 6" xfId="19728" xr:uid="{00000000-0005-0000-0000-0000B34C0000}"/>
    <cellStyle name="40% - Accent4 4 2 2 2 4" xfId="19729" xr:uid="{00000000-0005-0000-0000-0000B44C0000}"/>
    <cellStyle name="40% - Accent4 4 2 2 2 4 2" xfId="19730" xr:uid="{00000000-0005-0000-0000-0000B54C0000}"/>
    <cellStyle name="40% - Accent4 4 2 2 2 4 2 2" xfId="19731" xr:uid="{00000000-0005-0000-0000-0000B64C0000}"/>
    <cellStyle name="40% - Accent4 4 2 2 2 4 2 3" xfId="19732" xr:uid="{00000000-0005-0000-0000-0000B74C0000}"/>
    <cellStyle name="40% - Accent4 4 2 2 2 4 3" xfId="19733" xr:uid="{00000000-0005-0000-0000-0000B84C0000}"/>
    <cellStyle name="40% - Accent4 4 2 2 2 4 4" xfId="19734" xr:uid="{00000000-0005-0000-0000-0000B94C0000}"/>
    <cellStyle name="40% - Accent4 4 2 2 2 5" xfId="19735" xr:uid="{00000000-0005-0000-0000-0000BA4C0000}"/>
    <cellStyle name="40% - Accent4 4 2 2 2 5 2" xfId="19736" xr:uid="{00000000-0005-0000-0000-0000BB4C0000}"/>
    <cellStyle name="40% - Accent4 4 2 2 2 5 3" xfId="19737" xr:uid="{00000000-0005-0000-0000-0000BC4C0000}"/>
    <cellStyle name="40% - Accent4 4 2 2 2 6" xfId="19738" xr:uid="{00000000-0005-0000-0000-0000BD4C0000}"/>
    <cellStyle name="40% - Accent4 4 2 2 2 7" xfId="19739" xr:uid="{00000000-0005-0000-0000-0000BE4C0000}"/>
    <cellStyle name="40% - Accent4 4 2 2 2 8" xfId="19740" xr:uid="{00000000-0005-0000-0000-0000BF4C0000}"/>
    <cellStyle name="40% - Accent4 4 2 2 3" xfId="19741" xr:uid="{00000000-0005-0000-0000-0000C04C0000}"/>
    <cellStyle name="40% - Accent4 4 2 2 3 2" xfId="19742" xr:uid="{00000000-0005-0000-0000-0000C14C0000}"/>
    <cellStyle name="40% - Accent4 4 2 2 3 2 2" xfId="19743" xr:uid="{00000000-0005-0000-0000-0000C24C0000}"/>
    <cellStyle name="40% - Accent4 4 2 2 3 2 2 2" xfId="19744" xr:uid="{00000000-0005-0000-0000-0000C34C0000}"/>
    <cellStyle name="40% - Accent4 4 2 2 3 2 2 2 2" xfId="19745" xr:uid="{00000000-0005-0000-0000-0000C44C0000}"/>
    <cellStyle name="40% - Accent4 4 2 2 3 2 2 2 3" xfId="19746" xr:uid="{00000000-0005-0000-0000-0000C54C0000}"/>
    <cellStyle name="40% - Accent4 4 2 2 3 2 2 3" xfId="19747" xr:uid="{00000000-0005-0000-0000-0000C64C0000}"/>
    <cellStyle name="40% - Accent4 4 2 2 3 2 2 4" xfId="19748" xr:uid="{00000000-0005-0000-0000-0000C74C0000}"/>
    <cellStyle name="40% - Accent4 4 2 2 3 2 3" xfId="19749" xr:uid="{00000000-0005-0000-0000-0000C84C0000}"/>
    <cellStyle name="40% - Accent4 4 2 2 3 2 3 2" xfId="19750" xr:uid="{00000000-0005-0000-0000-0000C94C0000}"/>
    <cellStyle name="40% - Accent4 4 2 2 3 2 3 3" xfId="19751" xr:uid="{00000000-0005-0000-0000-0000CA4C0000}"/>
    <cellStyle name="40% - Accent4 4 2 2 3 2 4" xfId="19752" xr:uid="{00000000-0005-0000-0000-0000CB4C0000}"/>
    <cellStyle name="40% - Accent4 4 2 2 3 2 5" xfId="19753" xr:uid="{00000000-0005-0000-0000-0000CC4C0000}"/>
    <cellStyle name="40% - Accent4 4 2 2 3 2 6" xfId="19754" xr:uid="{00000000-0005-0000-0000-0000CD4C0000}"/>
    <cellStyle name="40% - Accent4 4 2 2 3 3" xfId="19755" xr:uid="{00000000-0005-0000-0000-0000CE4C0000}"/>
    <cellStyle name="40% - Accent4 4 2 2 3 3 2" xfId="19756" xr:uid="{00000000-0005-0000-0000-0000CF4C0000}"/>
    <cellStyle name="40% - Accent4 4 2 2 3 3 2 2" xfId="19757" xr:uid="{00000000-0005-0000-0000-0000D04C0000}"/>
    <cellStyle name="40% - Accent4 4 2 2 3 3 2 3" xfId="19758" xr:uid="{00000000-0005-0000-0000-0000D14C0000}"/>
    <cellStyle name="40% - Accent4 4 2 2 3 3 3" xfId="19759" xr:uid="{00000000-0005-0000-0000-0000D24C0000}"/>
    <cellStyle name="40% - Accent4 4 2 2 3 3 4" xfId="19760" xr:uid="{00000000-0005-0000-0000-0000D34C0000}"/>
    <cellStyle name="40% - Accent4 4 2 2 3 4" xfId="19761" xr:uid="{00000000-0005-0000-0000-0000D44C0000}"/>
    <cellStyle name="40% - Accent4 4 2 2 3 4 2" xfId="19762" xr:uid="{00000000-0005-0000-0000-0000D54C0000}"/>
    <cellStyle name="40% - Accent4 4 2 2 3 4 3" xfId="19763" xr:uid="{00000000-0005-0000-0000-0000D64C0000}"/>
    <cellStyle name="40% - Accent4 4 2 2 3 5" xfId="19764" xr:uid="{00000000-0005-0000-0000-0000D74C0000}"/>
    <cellStyle name="40% - Accent4 4 2 2 3 6" xfId="19765" xr:uid="{00000000-0005-0000-0000-0000D84C0000}"/>
    <cellStyle name="40% - Accent4 4 2 2 3 7" xfId="19766" xr:uid="{00000000-0005-0000-0000-0000D94C0000}"/>
    <cellStyle name="40% - Accent4 4 2 2 4" xfId="19767" xr:uid="{00000000-0005-0000-0000-0000DA4C0000}"/>
    <cellStyle name="40% - Accent4 4 2 2 4 2" xfId="19768" xr:uid="{00000000-0005-0000-0000-0000DB4C0000}"/>
    <cellStyle name="40% - Accent4 4 2 2 4 2 2" xfId="19769" xr:uid="{00000000-0005-0000-0000-0000DC4C0000}"/>
    <cellStyle name="40% - Accent4 4 2 2 4 2 2 2" xfId="19770" xr:uid="{00000000-0005-0000-0000-0000DD4C0000}"/>
    <cellStyle name="40% - Accent4 4 2 2 4 2 2 3" xfId="19771" xr:uid="{00000000-0005-0000-0000-0000DE4C0000}"/>
    <cellStyle name="40% - Accent4 4 2 2 4 2 3" xfId="19772" xr:uid="{00000000-0005-0000-0000-0000DF4C0000}"/>
    <cellStyle name="40% - Accent4 4 2 2 4 2 4" xfId="19773" xr:uid="{00000000-0005-0000-0000-0000E04C0000}"/>
    <cellStyle name="40% - Accent4 4 2 2 4 3" xfId="19774" xr:uid="{00000000-0005-0000-0000-0000E14C0000}"/>
    <cellStyle name="40% - Accent4 4 2 2 4 3 2" xfId="19775" xr:uid="{00000000-0005-0000-0000-0000E24C0000}"/>
    <cellStyle name="40% - Accent4 4 2 2 4 3 3" xfId="19776" xr:uid="{00000000-0005-0000-0000-0000E34C0000}"/>
    <cellStyle name="40% - Accent4 4 2 2 4 4" xfId="19777" xr:uid="{00000000-0005-0000-0000-0000E44C0000}"/>
    <cellStyle name="40% - Accent4 4 2 2 4 5" xfId="19778" xr:uid="{00000000-0005-0000-0000-0000E54C0000}"/>
    <cellStyle name="40% - Accent4 4 2 2 4 6" xfId="19779" xr:uid="{00000000-0005-0000-0000-0000E64C0000}"/>
    <cellStyle name="40% - Accent4 4 2 2 5" xfId="19780" xr:uid="{00000000-0005-0000-0000-0000E74C0000}"/>
    <cellStyle name="40% - Accent4 4 2 2 5 2" xfId="19781" xr:uid="{00000000-0005-0000-0000-0000E84C0000}"/>
    <cellStyle name="40% - Accent4 4 2 2 5 2 2" xfId="19782" xr:uid="{00000000-0005-0000-0000-0000E94C0000}"/>
    <cellStyle name="40% - Accent4 4 2 2 5 2 3" xfId="19783" xr:uid="{00000000-0005-0000-0000-0000EA4C0000}"/>
    <cellStyle name="40% - Accent4 4 2 2 5 3" xfId="19784" xr:uid="{00000000-0005-0000-0000-0000EB4C0000}"/>
    <cellStyle name="40% - Accent4 4 2 2 5 4" xfId="19785" xr:uid="{00000000-0005-0000-0000-0000EC4C0000}"/>
    <cellStyle name="40% - Accent4 4 2 2 6" xfId="19786" xr:uid="{00000000-0005-0000-0000-0000ED4C0000}"/>
    <cellStyle name="40% - Accent4 4 2 2 6 2" xfId="19787" xr:uid="{00000000-0005-0000-0000-0000EE4C0000}"/>
    <cellStyle name="40% - Accent4 4 2 2 6 3" xfId="19788" xr:uid="{00000000-0005-0000-0000-0000EF4C0000}"/>
    <cellStyle name="40% - Accent4 4 2 2 7" xfId="19789" xr:uid="{00000000-0005-0000-0000-0000F04C0000}"/>
    <cellStyle name="40% - Accent4 4 2 2 8" xfId="19790" xr:uid="{00000000-0005-0000-0000-0000F14C0000}"/>
    <cellStyle name="40% - Accent4 4 2 2 9" xfId="19791" xr:uid="{00000000-0005-0000-0000-0000F24C0000}"/>
    <cellStyle name="40% - Accent4 4 2 3" xfId="19792" xr:uid="{00000000-0005-0000-0000-0000F34C0000}"/>
    <cellStyle name="40% - Accent4 4 2 3 2" xfId="19793" xr:uid="{00000000-0005-0000-0000-0000F44C0000}"/>
    <cellStyle name="40% - Accent4 4 2 3 2 2" xfId="19794" xr:uid="{00000000-0005-0000-0000-0000F54C0000}"/>
    <cellStyle name="40% - Accent4 4 2 3 2 2 2" xfId="19795" xr:uid="{00000000-0005-0000-0000-0000F64C0000}"/>
    <cellStyle name="40% - Accent4 4 2 3 2 2 2 2" xfId="19796" xr:uid="{00000000-0005-0000-0000-0000F74C0000}"/>
    <cellStyle name="40% - Accent4 4 2 3 2 2 2 2 2" xfId="19797" xr:uid="{00000000-0005-0000-0000-0000F84C0000}"/>
    <cellStyle name="40% - Accent4 4 2 3 2 2 2 2 3" xfId="19798" xr:uid="{00000000-0005-0000-0000-0000F94C0000}"/>
    <cellStyle name="40% - Accent4 4 2 3 2 2 2 3" xfId="19799" xr:uid="{00000000-0005-0000-0000-0000FA4C0000}"/>
    <cellStyle name="40% - Accent4 4 2 3 2 2 2 4" xfId="19800" xr:uid="{00000000-0005-0000-0000-0000FB4C0000}"/>
    <cellStyle name="40% - Accent4 4 2 3 2 2 3" xfId="19801" xr:uid="{00000000-0005-0000-0000-0000FC4C0000}"/>
    <cellStyle name="40% - Accent4 4 2 3 2 2 3 2" xfId="19802" xr:uid="{00000000-0005-0000-0000-0000FD4C0000}"/>
    <cellStyle name="40% - Accent4 4 2 3 2 2 3 3" xfId="19803" xr:uid="{00000000-0005-0000-0000-0000FE4C0000}"/>
    <cellStyle name="40% - Accent4 4 2 3 2 2 4" xfId="19804" xr:uid="{00000000-0005-0000-0000-0000FF4C0000}"/>
    <cellStyle name="40% - Accent4 4 2 3 2 2 5" xfId="19805" xr:uid="{00000000-0005-0000-0000-0000004D0000}"/>
    <cellStyle name="40% - Accent4 4 2 3 2 2 6" xfId="19806" xr:uid="{00000000-0005-0000-0000-0000014D0000}"/>
    <cellStyle name="40% - Accent4 4 2 3 2 3" xfId="19807" xr:uid="{00000000-0005-0000-0000-0000024D0000}"/>
    <cellStyle name="40% - Accent4 4 2 3 2 3 2" xfId="19808" xr:uid="{00000000-0005-0000-0000-0000034D0000}"/>
    <cellStyle name="40% - Accent4 4 2 3 2 3 2 2" xfId="19809" xr:uid="{00000000-0005-0000-0000-0000044D0000}"/>
    <cellStyle name="40% - Accent4 4 2 3 2 3 2 3" xfId="19810" xr:uid="{00000000-0005-0000-0000-0000054D0000}"/>
    <cellStyle name="40% - Accent4 4 2 3 2 3 3" xfId="19811" xr:uid="{00000000-0005-0000-0000-0000064D0000}"/>
    <cellStyle name="40% - Accent4 4 2 3 2 3 4" xfId="19812" xr:uid="{00000000-0005-0000-0000-0000074D0000}"/>
    <cellStyle name="40% - Accent4 4 2 3 2 4" xfId="19813" xr:uid="{00000000-0005-0000-0000-0000084D0000}"/>
    <cellStyle name="40% - Accent4 4 2 3 2 4 2" xfId="19814" xr:uid="{00000000-0005-0000-0000-0000094D0000}"/>
    <cellStyle name="40% - Accent4 4 2 3 2 4 3" xfId="19815" xr:uid="{00000000-0005-0000-0000-00000A4D0000}"/>
    <cellStyle name="40% - Accent4 4 2 3 2 5" xfId="19816" xr:uid="{00000000-0005-0000-0000-00000B4D0000}"/>
    <cellStyle name="40% - Accent4 4 2 3 2 6" xfId="19817" xr:uid="{00000000-0005-0000-0000-00000C4D0000}"/>
    <cellStyle name="40% - Accent4 4 2 3 2 7" xfId="19818" xr:uid="{00000000-0005-0000-0000-00000D4D0000}"/>
    <cellStyle name="40% - Accent4 4 2 3 3" xfId="19819" xr:uid="{00000000-0005-0000-0000-00000E4D0000}"/>
    <cellStyle name="40% - Accent4 4 2 3 3 2" xfId="19820" xr:uid="{00000000-0005-0000-0000-00000F4D0000}"/>
    <cellStyle name="40% - Accent4 4 2 3 3 2 2" xfId="19821" xr:uid="{00000000-0005-0000-0000-0000104D0000}"/>
    <cellStyle name="40% - Accent4 4 2 3 3 2 2 2" xfId="19822" xr:uid="{00000000-0005-0000-0000-0000114D0000}"/>
    <cellStyle name="40% - Accent4 4 2 3 3 2 2 3" xfId="19823" xr:uid="{00000000-0005-0000-0000-0000124D0000}"/>
    <cellStyle name="40% - Accent4 4 2 3 3 2 3" xfId="19824" xr:uid="{00000000-0005-0000-0000-0000134D0000}"/>
    <cellStyle name="40% - Accent4 4 2 3 3 2 4" xfId="19825" xr:uid="{00000000-0005-0000-0000-0000144D0000}"/>
    <cellStyle name="40% - Accent4 4 2 3 3 3" xfId="19826" xr:uid="{00000000-0005-0000-0000-0000154D0000}"/>
    <cellStyle name="40% - Accent4 4 2 3 3 3 2" xfId="19827" xr:uid="{00000000-0005-0000-0000-0000164D0000}"/>
    <cellStyle name="40% - Accent4 4 2 3 3 3 3" xfId="19828" xr:uid="{00000000-0005-0000-0000-0000174D0000}"/>
    <cellStyle name="40% - Accent4 4 2 3 3 4" xfId="19829" xr:uid="{00000000-0005-0000-0000-0000184D0000}"/>
    <cellStyle name="40% - Accent4 4 2 3 3 5" xfId="19830" xr:uid="{00000000-0005-0000-0000-0000194D0000}"/>
    <cellStyle name="40% - Accent4 4 2 3 3 6" xfId="19831" xr:uid="{00000000-0005-0000-0000-00001A4D0000}"/>
    <cellStyle name="40% - Accent4 4 2 3 4" xfId="19832" xr:uid="{00000000-0005-0000-0000-00001B4D0000}"/>
    <cellStyle name="40% - Accent4 4 2 3 4 2" xfId="19833" xr:uid="{00000000-0005-0000-0000-00001C4D0000}"/>
    <cellStyle name="40% - Accent4 4 2 3 4 2 2" xfId="19834" xr:uid="{00000000-0005-0000-0000-00001D4D0000}"/>
    <cellStyle name="40% - Accent4 4 2 3 4 2 3" xfId="19835" xr:uid="{00000000-0005-0000-0000-00001E4D0000}"/>
    <cellStyle name="40% - Accent4 4 2 3 4 3" xfId="19836" xr:uid="{00000000-0005-0000-0000-00001F4D0000}"/>
    <cellStyle name="40% - Accent4 4 2 3 4 4" xfId="19837" xr:uid="{00000000-0005-0000-0000-0000204D0000}"/>
    <cellStyle name="40% - Accent4 4 2 3 5" xfId="19838" xr:uid="{00000000-0005-0000-0000-0000214D0000}"/>
    <cellStyle name="40% - Accent4 4 2 3 5 2" xfId="19839" xr:uid="{00000000-0005-0000-0000-0000224D0000}"/>
    <cellStyle name="40% - Accent4 4 2 3 5 3" xfId="19840" xr:uid="{00000000-0005-0000-0000-0000234D0000}"/>
    <cellStyle name="40% - Accent4 4 2 3 6" xfId="19841" xr:uid="{00000000-0005-0000-0000-0000244D0000}"/>
    <cellStyle name="40% - Accent4 4 2 3 7" xfId="19842" xr:uid="{00000000-0005-0000-0000-0000254D0000}"/>
    <cellStyle name="40% - Accent4 4 2 3 8" xfId="19843" xr:uid="{00000000-0005-0000-0000-0000264D0000}"/>
    <cellStyle name="40% - Accent4 4 2 4" xfId="19844" xr:uid="{00000000-0005-0000-0000-0000274D0000}"/>
    <cellStyle name="40% - Accent4 4 2 4 2" xfId="19845" xr:uid="{00000000-0005-0000-0000-0000284D0000}"/>
    <cellStyle name="40% - Accent4 4 2 4 2 2" xfId="19846" xr:uid="{00000000-0005-0000-0000-0000294D0000}"/>
    <cellStyle name="40% - Accent4 4 2 4 2 2 2" xfId="19847" xr:uid="{00000000-0005-0000-0000-00002A4D0000}"/>
    <cellStyle name="40% - Accent4 4 2 4 2 2 2 2" xfId="19848" xr:uid="{00000000-0005-0000-0000-00002B4D0000}"/>
    <cellStyle name="40% - Accent4 4 2 4 2 2 2 3" xfId="19849" xr:uid="{00000000-0005-0000-0000-00002C4D0000}"/>
    <cellStyle name="40% - Accent4 4 2 4 2 2 3" xfId="19850" xr:uid="{00000000-0005-0000-0000-00002D4D0000}"/>
    <cellStyle name="40% - Accent4 4 2 4 2 2 4" xfId="19851" xr:uid="{00000000-0005-0000-0000-00002E4D0000}"/>
    <cellStyle name="40% - Accent4 4 2 4 2 3" xfId="19852" xr:uid="{00000000-0005-0000-0000-00002F4D0000}"/>
    <cellStyle name="40% - Accent4 4 2 4 2 3 2" xfId="19853" xr:uid="{00000000-0005-0000-0000-0000304D0000}"/>
    <cellStyle name="40% - Accent4 4 2 4 2 3 3" xfId="19854" xr:uid="{00000000-0005-0000-0000-0000314D0000}"/>
    <cellStyle name="40% - Accent4 4 2 4 2 4" xfId="19855" xr:uid="{00000000-0005-0000-0000-0000324D0000}"/>
    <cellStyle name="40% - Accent4 4 2 4 2 5" xfId="19856" xr:uid="{00000000-0005-0000-0000-0000334D0000}"/>
    <cellStyle name="40% - Accent4 4 2 4 2 6" xfId="19857" xr:uid="{00000000-0005-0000-0000-0000344D0000}"/>
    <cellStyle name="40% - Accent4 4 2 4 3" xfId="19858" xr:uid="{00000000-0005-0000-0000-0000354D0000}"/>
    <cellStyle name="40% - Accent4 4 2 4 3 2" xfId="19859" xr:uid="{00000000-0005-0000-0000-0000364D0000}"/>
    <cellStyle name="40% - Accent4 4 2 4 3 2 2" xfId="19860" xr:uid="{00000000-0005-0000-0000-0000374D0000}"/>
    <cellStyle name="40% - Accent4 4 2 4 3 2 3" xfId="19861" xr:uid="{00000000-0005-0000-0000-0000384D0000}"/>
    <cellStyle name="40% - Accent4 4 2 4 3 3" xfId="19862" xr:uid="{00000000-0005-0000-0000-0000394D0000}"/>
    <cellStyle name="40% - Accent4 4 2 4 3 4" xfId="19863" xr:uid="{00000000-0005-0000-0000-00003A4D0000}"/>
    <cellStyle name="40% - Accent4 4 2 4 4" xfId="19864" xr:uid="{00000000-0005-0000-0000-00003B4D0000}"/>
    <cellStyle name="40% - Accent4 4 2 4 4 2" xfId="19865" xr:uid="{00000000-0005-0000-0000-00003C4D0000}"/>
    <cellStyle name="40% - Accent4 4 2 4 4 3" xfId="19866" xr:uid="{00000000-0005-0000-0000-00003D4D0000}"/>
    <cellStyle name="40% - Accent4 4 2 4 5" xfId="19867" xr:uid="{00000000-0005-0000-0000-00003E4D0000}"/>
    <cellStyle name="40% - Accent4 4 2 4 6" xfId="19868" xr:uid="{00000000-0005-0000-0000-00003F4D0000}"/>
    <cellStyle name="40% - Accent4 4 2 4 7" xfId="19869" xr:uid="{00000000-0005-0000-0000-0000404D0000}"/>
    <cellStyle name="40% - Accent4 4 2 5" xfId="19870" xr:uid="{00000000-0005-0000-0000-0000414D0000}"/>
    <cellStyle name="40% - Accent4 4 2 5 2" xfId="19871" xr:uid="{00000000-0005-0000-0000-0000424D0000}"/>
    <cellStyle name="40% - Accent4 4 2 5 2 2" xfId="19872" xr:uid="{00000000-0005-0000-0000-0000434D0000}"/>
    <cellStyle name="40% - Accent4 4 2 5 2 2 2" xfId="19873" xr:uid="{00000000-0005-0000-0000-0000444D0000}"/>
    <cellStyle name="40% - Accent4 4 2 5 2 2 3" xfId="19874" xr:uid="{00000000-0005-0000-0000-0000454D0000}"/>
    <cellStyle name="40% - Accent4 4 2 5 2 3" xfId="19875" xr:uid="{00000000-0005-0000-0000-0000464D0000}"/>
    <cellStyle name="40% - Accent4 4 2 5 2 4" xfId="19876" xr:uid="{00000000-0005-0000-0000-0000474D0000}"/>
    <cellStyle name="40% - Accent4 4 2 5 3" xfId="19877" xr:uid="{00000000-0005-0000-0000-0000484D0000}"/>
    <cellStyle name="40% - Accent4 4 2 5 3 2" xfId="19878" xr:uid="{00000000-0005-0000-0000-0000494D0000}"/>
    <cellStyle name="40% - Accent4 4 2 5 3 3" xfId="19879" xr:uid="{00000000-0005-0000-0000-00004A4D0000}"/>
    <cellStyle name="40% - Accent4 4 2 5 4" xfId="19880" xr:uid="{00000000-0005-0000-0000-00004B4D0000}"/>
    <cellStyle name="40% - Accent4 4 2 5 5" xfId="19881" xr:uid="{00000000-0005-0000-0000-00004C4D0000}"/>
    <cellStyle name="40% - Accent4 4 2 5 6" xfId="19882" xr:uid="{00000000-0005-0000-0000-00004D4D0000}"/>
    <cellStyle name="40% - Accent4 4 2 6" xfId="19883" xr:uid="{00000000-0005-0000-0000-00004E4D0000}"/>
    <cellStyle name="40% - Accent4 4 2 6 2" xfId="19884" xr:uid="{00000000-0005-0000-0000-00004F4D0000}"/>
    <cellStyle name="40% - Accent4 4 2 6 2 2" xfId="19885" xr:uid="{00000000-0005-0000-0000-0000504D0000}"/>
    <cellStyle name="40% - Accent4 4 2 6 2 3" xfId="19886" xr:uid="{00000000-0005-0000-0000-0000514D0000}"/>
    <cellStyle name="40% - Accent4 4 2 6 3" xfId="19887" xr:uid="{00000000-0005-0000-0000-0000524D0000}"/>
    <cellStyle name="40% - Accent4 4 2 6 4" xfId="19888" xr:uid="{00000000-0005-0000-0000-0000534D0000}"/>
    <cellStyle name="40% - Accent4 4 2 7" xfId="19889" xr:uid="{00000000-0005-0000-0000-0000544D0000}"/>
    <cellStyle name="40% - Accent4 4 2 7 2" xfId="19890" xr:uid="{00000000-0005-0000-0000-0000554D0000}"/>
    <cellStyle name="40% - Accent4 4 2 7 3" xfId="19891" xr:uid="{00000000-0005-0000-0000-0000564D0000}"/>
    <cellStyle name="40% - Accent4 4 2 8" xfId="19892" xr:uid="{00000000-0005-0000-0000-0000574D0000}"/>
    <cellStyle name="40% - Accent4 4 2 9" xfId="19893" xr:uid="{00000000-0005-0000-0000-0000584D0000}"/>
    <cellStyle name="40% - Accent4 4 3" xfId="19894" xr:uid="{00000000-0005-0000-0000-0000594D0000}"/>
    <cellStyle name="40% - Accent4 4 3 2" xfId="19895" xr:uid="{00000000-0005-0000-0000-00005A4D0000}"/>
    <cellStyle name="40% - Accent4 4 3 2 2" xfId="19896" xr:uid="{00000000-0005-0000-0000-00005B4D0000}"/>
    <cellStyle name="40% - Accent4 4 3 2 2 2" xfId="19897" xr:uid="{00000000-0005-0000-0000-00005C4D0000}"/>
    <cellStyle name="40% - Accent4 4 3 2 2 2 2" xfId="19898" xr:uid="{00000000-0005-0000-0000-00005D4D0000}"/>
    <cellStyle name="40% - Accent4 4 3 2 2 2 2 2" xfId="19899" xr:uid="{00000000-0005-0000-0000-00005E4D0000}"/>
    <cellStyle name="40% - Accent4 4 3 2 2 2 2 2 2" xfId="19900" xr:uid="{00000000-0005-0000-0000-00005F4D0000}"/>
    <cellStyle name="40% - Accent4 4 3 2 2 2 2 2 3" xfId="19901" xr:uid="{00000000-0005-0000-0000-0000604D0000}"/>
    <cellStyle name="40% - Accent4 4 3 2 2 2 2 3" xfId="19902" xr:uid="{00000000-0005-0000-0000-0000614D0000}"/>
    <cellStyle name="40% - Accent4 4 3 2 2 2 2 4" xfId="19903" xr:uid="{00000000-0005-0000-0000-0000624D0000}"/>
    <cellStyle name="40% - Accent4 4 3 2 2 2 3" xfId="19904" xr:uid="{00000000-0005-0000-0000-0000634D0000}"/>
    <cellStyle name="40% - Accent4 4 3 2 2 2 3 2" xfId="19905" xr:uid="{00000000-0005-0000-0000-0000644D0000}"/>
    <cellStyle name="40% - Accent4 4 3 2 2 2 3 3" xfId="19906" xr:uid="{00000000-0005-0000-0000-0000654D0000}"/>
    <cellStyle name="40% - Accent4 4 3 2 2 2 4" xfId="19907" xr:uid="{00000000-0005-0000-0000-0000664D0000}"/>
    <cellStyle name="40% - Accent4 4 3 2 2 2 5" xfId="19908" xr:uid="{00000000-0005-0000-0000-0000674D0000}"/>
    <cellStyle name="40% - Accent4 4 3 2 2 2 6" xfId="19909" xr:uid="{00000000-0005-0000-0000-0000684D0000}"/>
    <cellStyle name="40% - Accent4 4 3 2 2 3" xfId="19910" xr:uid="{00000000-0005-0000-0000-0000694D0000}"/>
    <cellStyle name="40% - Accent4 4 3 2 2 3 2" xfId="19911" xr:uid="{00000000-0005-0000-0000-00006A4D0000}"/>
    <cellStyle name="40% - Accent4 4 3 2 2 3 2 2" xfId="19912" xr:uid="{00000000-0005-0000-0000-00006B4D0000}"/>
    <cellStyle name="40% - Accent4 4 3 2 2 3 2 3" xfId="19913" xr:uid="{00000000-0005-0000-0000-00006C4D0000}"/>
    <cellStyle name="40% - Accent4 4 3 2 2 3 3" xfId="19914" xr:uid="{00000000-0005-0000-0000-00006D4D0000}"/>
    <cellStyle name="40% - Accent4 4 3 2 2 3 4" xfId="19915" xr:uid="{00000000-0005-0000-0000-00006E4D0000}"/>
    <cellStyle name="40% - Accent4 4 3 2 2 4" xfId="19916" xr:uid="{00000000-0005-0000-0000-00006F4D0000}"/>
    <cellStyle name="40% - Accent4 4 3 2 2 4 2" xfId="19917" xr:uid="{00000000-0005-0000-0000-0000704D0000}"/>
    <cellStyle name="40% - Accent4 4 3 2 2 4 3" xfId="19918" xr:uid="{00000000-0005-0000-0000-0000714D0000}"/>
    <cellStyle name="40% - Accent4 4 3 2 2 5" xfId="19919" xr:uid="{00000000-0005-0000-0000-0000724D0000}"/>
    <cellStyle name="40% - Accent4 4 3 2 2 6" xfId="19920" xr:uid="{00000000-0005-0000-0000-0000734D0000}"/>
    <cellStyle name="40% - Accent4 4 3 2 2 7" xfId="19921" xr:uid="{00000000-0005-0000-0000-0000744D0000}"/>
    <cellStyle name="40% - Accent4 4 3 2 3" xfId="19922" xr:uid="{00000000-0005-0000-0000-0000754D0000}"/>
    <cellStyle name="40% - Accent4 4 3 2 3 2" xfId="19923" xr:uid="{00000000-0005-0000-0000-0000764D0000}"/>
    <cellStyle name="40% - Accent4 4 3 2 3 2 2" xfId="19924" xr:uid="{00000000-0005-0000-0000-0000774D0000}"/>
    <cellStyle name="40% - Accent4 4 3 2 3 2 2 2" xfId="19925" xr:uid="{00000000-0005-0000-0000-0000784D0000}"/>
    <cellStyle name="40% - Accent4 4 3 2 3 2 2 3" xfId="19926" xr:uid="{00000000-0005-0000-0000-0000794D0000}"/>
    <cellStyle name="40% - Accent4 4 3 2 3 2 3" xfId="19927" xr:uid="{00000000-0005-0000-0000-00007A4D0000}"/>
    <cellStyle name="40% - Accent4 4 3 2 3 2 4" xfId="19928" xr:uid="{00000000-0005-0000-0000-00007B4D0000}"/>
    <cellStyle name="40% - Accent4 4 3 2 3 3" xfId="19929" xr:uid="{00000000-0005-0000-0000-00007C4D0000}"/>
    <cellStyle name="40% - Accent4 4 3 2 3 3 2" xfId="19930" xr:uid="{00000000-0005-0000-0000-00007D4D0000}"/>
    <cellStyle name="40% - Accent4 4 3 2 3 3 3" xfId="19931" xr:uid="{00000000-0005-0000-0000-00007E4D0000}"/>
    <cellStyle name="40% - Accent4 4 3 2 3 4" xfId="19932" xr:uid="{00000000-0005-0000-0000-00007F4D0000}"/>
    <cellStyle name="40% - Accent4 4 3 2 3 5" xfId="19933" xr:uid="{00000000-0005-0000-0000-0000804D0000}"/>
    <cellStyle name="40% - Accent4 4 3 2 3 6" xfId="19934" xr:uid="{00000000-0005-0000-0000-0000814D0000}"/>
    <cellStyle name="40% - Accent4 4 3 2 4" xfId="19935" xr:uid="{00000000-0005-0000-0000-0000824D0000}"/>
    <cellStyle name="40% - Accent4 4 3 2 4 2" xfId="19936" xr:uid="{00000000-0005-0000-0000-0000834D0000}"/>
    <cellStyle name="40% - Accent4 4 3 2 4 2 2" xfId="19937" xr:uid="{00000000-0005-0000-0000-0000844D0000}"/>
    <cellStyle name="40% - Accent4 4 3 2 4 2 3" xfId="19938" xr:uid="{00000000-0005-0000-0000-0000854D0000}"/>
    <cellStyle name="40% - Accent4 4 3 2 4 3" xfId="19939" xr:uid="{00000000-0005-0000-0000-0000864D0000}"/>
    <cellStyle name="40% - Accent4 4 3 2 4 4" xfId="19940" xr:uid="{00000000-0005-0000-0000-0000874D0000}"/>
    <cellStyle name="40% - Accent4 4 3 2 5" xfId="19941" xr:uid="{00000000-0005-0000-0000-0000884D0000}"/>
    <cellStyle name="40% - Accent4 4 3 2 5 2" xfId="19942" xr:uid="{00000000-0005-0000-0000-0000894D0000}"/>
    <cellStyle name="40% - Accent4 4 3 2 5 3" xfId="19943" xr:uid="{00000000-0005-0000-0000-00008A4D0000}"/>
    <cellStyle name="40% - Accent4 4 3 2 6" xfId="19944" xr:uid="{00000000-0005-0000-0000-00008B4D0000}"/>
    <cellStyle name="40% - Accent4 4 3 2 7" xfId="19945" xr:uid="{00000000-0005-0000-0000-00008C4D0000}"/>
    <cellStyle name="40% - Accent4 4 3 2 8" xfId="19946" xr:uid="{00000000-0005-0000-0000-00008D4D0000}"/>
    <cellStyle name="40% - Accent4 4 3 3" xfId="19947" xr:uid="{00000000-0005-0000-0000-00008E4D0000}"/>
    <cellStyle name="40% - Accent4 4 3 3 2" xfId="19948" xr:uid="{00000000-0005-0000-0000-00008F4D0000}"/>
    <cellStyle name="40% - Accent4 4 3 3 2 2" xfId="19949" xr:uid="{00000000-0005-0000-0000-0000904D0000}"/>
    <cellStyle name="40% - Accent4 4 3 3 2 2 2" xfId="19950" xr:uid="{00000000-0005-0000-0000-0000914D0000}"/>
    <cellStyle name="40% - Accent4 4 3 3 2 2 2 2" xfId="19951" xr:uid="{00000000-0005-0000-0000-0000924D0000}"/>
    <cellStyle name="40% - Accent4 4 3 3 2 2 2 3" xfId="19952" xr:uid="{00000000-0005-0000-0000-0000934D0000}"/>
    <cellStyle name="40% - Accent4 4 3 3 2 2 3" xfId="19953" xr:uid="{00000000-0005-0000-0000-0000944D0000}"/>
    <cellStyle name="40% - Accent4 4 3 3 2 2 4" xfId="19954" xr:uid="{00000000-0005-0000-0000-0000954D0000}"/>
    <cellStyle name="40% - Accent4 4 3 3 2 3" xfId="19955" xr:uid="{00000000-0005-0000-0000-0000964D0000}"/>
    <cellStyle name="40% - Accent4 4 3 3 2 3 2" xfId="19956" xr:uid="{00000000-0005-0000-0000-0000974D0000}"/>
    <cellStyle name="40% - Accent4 4 3 3 2 3 3" xfId="19957" xr:uid="{00000000-0005-0000-0000-0000984D0000}"/>
    <cellStyle name="40% - Accent4 4 3 3 2 4" xfId="19958" xr:uid="{00000000-0005-0000-0000-0000994D0000}"/>
    <cellStyle name="40% - Accent4 4 3 3 2 5" xfId="19959" xr:uid="{00000000-0005-0000-0000-00009A4D0000}"/>
    <cellStyle name="40% - Accent4 4 3 3 2 6" xfId="19960" xr:uid="{00000000-0005-0000-0000-00009B4D0000}"/>
    <cellStyle name="40% - Accent4 4 3 3 3" xfId="19961" xr:uid="{00000000-0005-0000-0000-00009C4D0000}"/>
    <cellStyle name="40% - Accent4 4 3 3 3 2" xfId="19962" xr:uid="{00000000-0005-0000-0000-00009D4D0000}"/>
    <cellStyle name="40% - Accent4 4 3 3 3 2 2" xfId="19963" xr:uid="{00000000-0005-0000-0000-00009E4D0000}"/>
    <cellStyle name="40% - Accent4 4 3 3 3 2 3" xfId="19964" xr:uid="{00000000-0005-0000-0000-00009F4D0000}"/>
    <cellStyle name="40% - Accent4 4 3 3 3 3" xfId="19965" xr:uid="{00000000-0005-0000-0000-0000A04D0000}"/>
    <cellStyle name="40% - Accent4 4 3 3 3 4" xfId="19966" xr:uid="{00000000-0005-0000-0000-0000A14D0000}"/>
    <cellStyle name="40% - Accent4 4 3 3 4" xfId="19967" xr:uid="{00000000-0005-0000-0000-0000A24D0000}"/>
    <cellStyle name="40% - Accent4 4 3 3 4 2" xfId="19968" xr:uid="{00000000-0005-0000-0000-0000A34D0000}"/>
    <cellStyle name="40% - Accent4 4 3 3 4 3" xfId="19969" xr:uid="{00000000-0005-0000-0000-0000A44D0000}"/>
    <cellStyle name="40% - Accent4 4 3 3 5" xfId="19970" xr:uid="{00000000-0005-0000-0000-0000A54D0000}"/>
    <cellStyle name="40% - Accent4 4 3 3 6" xfId="19971" xr:uid="{00000000-0005-0000-0000-0000A64D0000}"/>
    <cellStyle name="40% - Accent4 4 3 3 7" xfId="19972" xr:uid="{00000000-0005-0000-0000-0000A74D0000}"/>
    <cellStyle name="40% - Accent4 4 3 4" xfId="19973" xr:uid="{00000000-0005-0000-0000-0000A84D0000}"/>
    <cellStyle name="40% - Accent4 4 3 4 2" xfId="19974" xr:uid="{00000000-0005-0000-0000-0000A94D0000}"/>
    <cellStyle name="40% - Accent4 4 3 4 2 2" xfId="19975" xr:uid="{00000000-0005-0000-0000-0000AA4D0000}"/>
    <cellStyle name="40% - Accent4 4 3 4 2 2 2" xfId="19976" xr:uid="{00000000-0005-0000-0000-0000AB4D0000}"/>
    <cellStyle name="40% - Accent4 4 3 4 2 2 3" xfId="19977" xr:uid="{00000000-0005-0000-0000-0000AC4D0000}"/>
    <cellStyle name="40% - Accent4 4 3 4 2 3" xfId="19978" xr:uid="{00000000-0005-0000-0000-0000AD4D0000}"/>
    <cellStyle name="40% - Accent4 4 3 4 2 4" xfId="19979" xr:uid="{00000000-0005-0000-0000-0000AE4D0000}"/>
    <cellStyle name="40% - Accent4 4 3 4 3" xfId="19980" xr:uid="{00000000-0005-0000-0000-0000AF4D0000}"/>
    <cellStyle name="40% - Accent4 4 3 4 3 2" xfId="19981" xr:uid="{00000000-0005-0000-0000-0000B04D0000}"/>
    <cellStyle name="40% - Accent4 4 3 4 3 3" xfId="19982" xr:uid="{00000000-0005-0000-0000-0000B14D0000}"/>
    <cellStyle name="40% - Accent4 4 3 4 4" xfId="19983" xr:uid="{00000000-0005-0000-0000-0000B24D0000}"/>
    <cellStyle name="40% - Accent4 4 3 4 5" xfId="19984" xr:uid="{00000000-0005-0000-0000-0000B34D0000}"/>
    <cellStyle name="40% - Accent4 4 3 4 6" xfId="19985" xr:uid="{00000000-0005-0000-0000-0000B44D0000}"/>
    <cellStyle name="40% - Accent4 4 3 5" xfId="19986" xr:uid="{00000000-0005-0000-0000-0000B54D0000}"/>
    <cellStyle name="40% - Accent4 4 3 5 2" xfId="19987" xr:uid="{00000000-0005-0000-0000-0000B64D0000}"/>
    <cellStyle name="40% - Accent4 4 3 5 2 2" xfId="19988" xr:uid="{00000000-0005-0000-0000-0000B74D0000}"/>
    <cellStyle name="40% - Accent4 4 3 5 2 3" xfId="19989" xr:uid="{00000000-0005-0000-0000-0000B84D0000}"/>
    <cellStyle name="40% - Accent4 4 3 5 3" xfId="19990" xr:uid="{00000000-0005-0000-0000-0000B94D0000}"/>
    <cellStyle name="40% - Accent4 4 3 5 4" xfId="19991" xr:uid="{00000000-0005-0000-0000-0000BA4D0000}"/>
    <cellStyle name="40% - Accent4 4 3 6" xfId="19992" xr:uid="{00000000-0005-0000-0000-0000BB4D0000}"/>
    <cellStyle name="40% - Accent4 4 3 6 2" xfId="19993" xr:uid="{00000000-0005-0000-0000-0000BC4D0000}"/>
    <cellStyle name="40% - Accent4 4 3 6 3" xfId="19994" xr:uid="{00000000-0005-0000-0000-0000BD4D0000}"/>
    <cellStyle name="40% - Accent4 4 3 7" xfId="19995" xr:uid="{00000000-0005-0000-0000-0000BE4D0000}"/>
    <cellStyle name="40% - Accent4 4 3 8" xfId="19996" xr:uid="{00000000-0005-0000-0000-0000BF4D0000}"/>
    <cellStyle name="40% - Accent4 4 3 9" xfId="19997" xr:uid="{00000000-0005-0000-0000-0000C04D0000}"/>
    <cellStyle name="40% - Accent4 4 4" xfId="19998" xr:uid="{00000000-0005-0000-0000-0000C14D0000}"/>
    <cellStyle name="40% - Accent4 4 4 2" xfId="19999" xr:uid="{00000000-0005-0000-0000-0000C24D0000}"/>
    <cellStyle name="40% - Accent4 4 4 2 2" xfId="20000" xr:uid="{00000000-0005-0000-0000-0000C34D0000}"/>
    <cellStyle name="40% - Accent4 4 4 2 2 2" xfId="20001" xr:uid="{00000000-0005-0000-0000-0000C44D0000}"/>
    <cellStyle name="40% - Accent4 4 4 2 2 2 2" xfId="20002" xr:uid="{00000000-0005-0000-0000-0000C54D0000}"/>
    <cellStyle name="40% - Accent4 4 4 2 2 2 2 2" xfId="20003" xr:uid="{00000000-0005-0000-0000-0000C64D0000}"/>
    <cellStyle name="40% - Accent4 4 4 2 2 2 2 3" xfId="20004" xr:uid="{00000000-0005-0000-0000-0000C74D0000}"/>
    <cellStyle name="40% - Accent4 4 4 2 2 2 3" xfId="20005" xr:uid="{00000000-0005-0000-0000-0000C84D0000}"/>
    <cellStyle name="40% - Accent4 4 4 2 2 2 4" xfId="20006" xr:uid="{00000000-0005-0000-0000-0000C94D0000}"/>
    <cellStyle name="40% - Accent4 4 4 2 2 3" xfId="20007" xr:uid="{00000000-0005-0000-0000-0000CA4D0000}"/>
    <cellStyle name="40% - Accent4 4 4 2 2 3 2" xfId="20008" xr:uid="{00000000-0005-0000-0000-0000CB4D0000}"/>
    <cellStyle name="40% - Accent4 4 4 2 2 3 3" xfId="20009" xr:uid="{00000000-0005-0000-0000-0000CC4D0000}"/>
    <cellStyle name="40% - Accent4 4 4 2 2 4" xfId="20010" xr:uid="{00000000-0005-0000-0000-0000CD4D0000}"/>
    <cellStyle name="40% - Accent4 4 4 2 2 5" xfId="20011" xr:uid="{00000000-0005-0000-0000-0000CE4D0000}"/>
    <cellStyle name="40% - Accent4 4 4 2 2 6" xfId="20012" xr:uid="{00000000-0005-0000-0000-0000CF4D0000}"/>
    <cellStyle name="40% - Accent4 4 4 2 3" xfId="20013" xr:uid="{00000000-0005-0000-0000-0000D04D0000}"/>
    <cellStyle name="40% - Accent4 4 4 2 3 2" xfId="20014" xr:uid="{00000000-0005-0000-0000-0000D14D0000}"/>
    <cellStyle name="40% - Accent4 4 4 2 3 2 2" xfId="20015" xr:uid="{00000000-0005-0000-0000-0000D24D0000}"/>
    <cellStyle name="40% - Accent4 4 4 2 3 2 3" xfId="20016" xr:uid="{00000000-0005-0000-0000-0000D34D0000}"/>
    <cellStyle name="40% - Accent4 4 4 2 3 3" xfId="20017" xr:uid="{00000000-0005-0000-0000-0000D44D0000}"/>
    <cellStyle name="40% - Accent4 4 4 2 3 4" xfId="20018" xr:uid="{00000000-0005-0000-0000-0000D54D0000}"/>
    <cellStyle name="40% - Accent4 4 4 2 4" xfId="20019" xr:uid="{00000000-0005-0000-0000-0000D64D0000}"/>
    <cellStyle name="40% - Accent4 4 4 2 4 2" xfId="20020" xr:uid="{00000000-0005-0000-0000-0000D74D0000}"/>
    <cellStyle name="40% - Accent4 4 4 2 4 3" xfId="20021" xr:uid="{00000000-0005-0000-0000-0000D84D0000}"/>
    <cellStyle name="40% - Accent4 4 4 2 5" xfId="20022" xr:uid="{00000000-0005-0000-0000-0000D94D0000}"/>
    <cellStyle name="40% - Accent4 4 4 2 6" xfId="20023" xr:uid="{00000000-0005-0000-0000-0000DA4D0000}"/>
    <cellStyle name="40% - Accent4 4 4 2 7" xfId="20024" xr:uid="{00000000-0005-0000-0000-0000DB4D0000}"/>
    <cellStyle name="40% - Accent4 4 4 3" xfId="20025" xr:uid="{00000000-0005-0000-0000-0000DC4D0000}"/>
    <cellStyle name="40% - Accent4 4 4 3 2" xfId="20026" xr:uid="{00000000-0005-0000-0000-0000DD4D0000}"/>
    <cellStyle name="40% - Accent4 4 4 3 2 2" xfId="20027" xr:uid="{00000000-0005-0000-0000-0000DE4D0000}"/>
    <cellStyle name="40% - Accent4 4 4 3 2 2 2" xfId="20028" xr:uid="{00000000-0005-0000-0000-0000DF4D0000}"/>
    <cellStyle name="40% - Accent4 4 4 3 2 2 3" xfId="20029" xr:uid="{00000000-0005-0000-0000-0000E04D0000}"/>
    <cellStyle name="40% - Accent4 4 4 3 2 3" xfId="20030" xr:uid="{00000000-0005-0000-0000-0000E14D0000}"/>
    <cellStyle name="40% - Accent4 4 4 3 2 4" xfId="20031" xr:uid="{00000000-0005-0000-0000-0000E24D0000}"/>
    <cellStyle name="40% - Accent4 4 4 3 3" xfId="20032" xr:uid="{00000000-0005-0000-0000-0000E34D0000}"/>
    <cellStyle name="40% - Accent4 4 4 3 3 2" xfId="20033" xr:uid="{00000000-0005-0000-0000-0000E44D0000}"/>
    <cellStyle name="40% - Accent4 4 4 3 3 3" xfId="20034" xr:uid="{00000000-0005-0000-0000-0000E54D0000}"/>
    <cellStyle name="40% - Accent4 4 4 3 4" xfId="20035" xr:uid="{00000000-0005-0000-0000-0000E64D0000}"/>
    <cellStyle name="40% - Accent4 4 4 3 5" xfId="20036" xr:uid="{00000000-0005-0000-0000-0000E74D0000}"/>
    <cellStyle name="40% - Accent4 4 4 3 6" xfId="20037" xr:uid="{00000000-0005-0000-0000-0000E84D0000}"/>
    <cellStyle name="40% - Accent4 4 4 4" xfId="20038" xr:uid="{00000000-0005-0000-0000-0000E94D0000}"/>
    <cellStyle name="40% - Accent4 4 4 4 2" xfId="20039" xr:uid="{00000000-0005-0000-0000-0000EA4D0000}"/>
    <cellStyle name="40% - Accent4 4 4 4 2 2" xfId="20040" xr:uid="{00000000-0005-0000-0000-0000EB4D0000}"/>
    <cellStyle name="40% - Accent4 4 4 4 2 3" xfId="20041" xr:uid="{00000000-0005-0000-0000-0000EC4D0000}"/>
    <cellStyle name="40% - Accent4 4 4 4 3" xfId="20042" xr:uid="{00000000-0005-0000-0000-0000ED4D0000}"/>
    <cellStyle name="40% - Accent4 4 4 4 4" xfId="20043" xr:uid="{00000000-0005-0000-0000-0000EE4D0000}"/>
    <cellStyle name="40% - Accent4 4 4 5" xfId="20044" xr:uid="{00000000-0005-0000-0000-0000EF4D0000}"/>
    <cellStyle name="40% - Accent4 4 4 5 2" xfId="20045" xr:uid="{00000000-0005-0000-0000-0000F04D0000}"/>
    <cellStyle name="40% - Accent4 4 4 5 3" xfId="20046" xr:uid="{00000000-0005-0000-0000-0000F14D0000}"/>
    <cellStyle name="40% - Accent4 4 4 6" xfId="20047" xr:uid="{00000000-0005-0000-0000-0000F24D0000}"/>
    <cellStyle name="40% - Accent4 4 4 7" xfId="20048" xr:uid="{00000000-0005-0000-0000-0000F34D0000}"/>
    <cellStyle name="40% - Accent4 4 4 8" xfId="20049" xr:uid="{00000000-0005-0000-0000-0000F44D0000}"/>
    <cellStyle name="40% - Accent4 4 5" xfId="20050" xr:uid="{00000000-0005-0000-0000-0000F54D0000}"/>
    <cellStyle name="40% - Accent4 4 5 2" xfId="20051" xr:uid="{00000000-0005-0000-0000-0000F64D0000}"/>
    <cellStyle name="40% - Accent4 4 5 2 2" xfId="20052" xr:uid="{00000000-0005-0000-0000-0000F74D0000}"/>
    <cellStyle name="40% - Accent4 4 5 2 2 2" xfId="20053" xr:uid="{00000000-0005-0000-0000-0000F84D0000}"/>
    <cellStyle name="40% - Accent4 4 5 2 2 2 2" xfId="20054" xr:uid="{00000000-0005-0000-0000-0000F94D0000}"/>
    <cellStyle name="40% - Accent4 4 5 2 2 2 3" xfId="20055" xr:uid="{00000000-0005-0000-0000-0000FA4D0000}"/>
    <cellStyle name="40% - Accent4 4 5 2 2 3" xfId="20056" xr:uid="{00000000-0005-0000-0000-0000FB4D0000}"/>
    <cellStyle name="40% - Accent4 4 5 2 2 4" xfId="20057" xr:uid="{00000000-0005-0000-0000-0000FC4D0000}"/>
    <cellStyle name="40% - Accent4 4 5 2 3" xfId="20058" xr:uid="{00000000-0005-0000-0000-0000FD4D0000}"/>
    <cellStyle name="40% - Accent4 4 5 2 3 2" xfId="20059" xr:uid="{00000000-0005-0000-0000-0000FE4D0000}"/>
    <cellStyle name="40% - Accent4 4 5 2 3 3" xfId="20060" xr:uid="{00000000-0005-0000-0000-0000FF4D0000}"/>
    <cellStyle name="40% - Accent4 4 5 2 4" xfId="20061" xr:uid="{00000000-0005-0000-0000-0000004E0000}"/>
    <cellStyle name="40% - Accent4 4 5 2 5" xfId="20062" xr:uid="{00000000-0005-0000-0000-0000014E0000}"/>
    <cellStyle name="40% - Accent4 4 5 2 6" xfId="20063" xr:uid="{00000000-0005-0000-0000-0000024E0000}"/>
    <cellStyle name="40% - Accent4 4 5 3" xfId="20064" xr:uid="{00000000-0005-0000-0000-0000034E0000}"/>
    <cellStyle name="40% - Accent4 4 5 3 2" xfId="20065" xr:uid="{00000000-0005-0000-0000-0000044E0000}"/>
    <cellStyle name="40% - Accent4 4 5 3 2 2" xfId="20066" xr:uid="{00000000-0005-0000-0000-0000054E0000}"/>
    <cellStyle name="40% - Accent4 4 5 3 2 3" xfId="20067" xr:uid="{00000000-0005-0000-0000-0000064E0000}"/>
    <cellStyle name="40% - Accent4 4 5 3 3" xfId="20068" xr:uid="{00000000-0005-0000-0000-0000074E0000}"/>
    <cellStyle name="40% - Accent4 4 5 3 4" xfId="20069" xr:uid="{00000000-0005-0000-0000-0000084E0000}"/>
    <cellStyle name="40% - Accent4 4 5 4" xfId="20070" xr:uid="{00000000-0005-0000-0000-0000094E0000}"/>
    <cellStyle name="40% - Accent4 4 5 4 2" xfId="20071" xr:uid="{00000000-0005-0000-0000-00000A4E0000}"/>
    <cellStyle name="40% - Accent4 4 5 4 3" xfId="20072" xr:uid="{00000000-0005-0000-0000-00000B4E0000}"/>
    <cellStyle name="40% - Accent4 4 5 5" xfId="20073" xr:uid="{00000000-0005-0000-0000-00000C4E0000}"/>
    <cellStyle name="40% - Accent4 4 5 6" xfId="20074" xr:uid="{00000000-0005-0000-0000-00000D4E0000}"/>
    <cellStyle name="40% - Accent4 4 5 7" xfId="20075" xr:uid="{00000000-0005-0000-0000-00000E4E0000}"/>
    <cellStyle name="40% - Accent4 4 6" xfId="20076" xr:uid="{00000000-0005-0000-0000-00000F4E0000}"/>
    <cellStyle name="40% - Accent4 4 6 2" xfId="20077" xr:uid="{00000000-0005-0000-0000-0000104E0000}"/>
    <cellStyle name="40% - Accent4 4 6 2 2" xfId="20078" xr:uid="{00000000-0005-0000-0000-0000114E0000}"/>
    <cellStyle name="40% - Accent4 4 6 2 2 2" xfId="20079" xr:uid="{00000000-0005-0000-0000-0000124E0000}"/>
    <cellStyle name="40% - Accent4 4 6 2 2 3" xfId="20080" xr:uid="{00000000-0005-0000-0000-0000134E0000}"/>
    <cellStyle name="40% - Accent4 4 6 2 3" xfId="20081" xr:uid="{00000000-0005-0000-0000-0000144E0000}"/>
    <cellStyle name="40% - Accent4 4 6 2 4" xfId="20082" xr:uid="{00000000-0005-0000-0000-0000154E0000}"/>
    <cellStyle name="40% - Accent4 4 6 3" xfId="20083" xr:uid="{00000000-0005-0000-0000-0000164E0000}"/>
    <cellStyle name="40% - Accent4 4 6 3 2" xfId="20084" xr:uid="{00000000-0005-0000-0000-0000174E0000}"/>
    <cellStyle name="40% - Accent4 4 6 3 3" xfId="20085" xr:uid="{00000000-0005-0000-0000-0000184E0000}"/>
    <cellStyle name="40% - Accent4 4 6 4" xfId="20086" xr:uid="{00000000-0005-0000-0000-0000194E0000}"/>
    <cellStyle name="40% - Accent4 4 6 5" xfId="20087" xr:uid="{00000000-0005-0000-0000-00001A4E0000}"/>
    <cellStyle name="40% - Accent4 4 6 6" xfId="20088" xr:uid="{00000000-0005-0000-0000-00001B4E0000}"/>
    <cellStyle name="40% - Accent4 4 7" xfId="20089" xr:uid="{00000000-0005-0000-0000-00001C4E0000}"/>
    <cellStyle name="40% - Accent4 4 7 2" xfId="20090" xr:uid="{00000000-0005-0000-0000-00001D4E0000}"/>
    <cellStyle name="40% - Accent4 4 7 2 2" xfId="20091" xr:uid="{00000000-0005-0000-0000-00001E4E0000}"/>
    <cellStyle name="40% - Accent4 4 7 2 3" xfId="20092" xr:uid="{00000000-0005-0000-0000-00001F4E0000}"/>
    <cellStyle name="40% - Accent4 4 7 3" xfId="20093" xr:uid="{00000000-0005-0000-0000-0000204E0000}"/>
    <cellStyle name="40% - Accent4 4 7 4" xfId="20094" xr:uid="{00000000-0005-0000-0000-0000214E0000}"/>
    <cellStyle name="40% - Accent4 4 8" xfId="20095" xr:uid="{00000000-0005-0000-0000-0000224E0000}"/>
    <cellStyle name="40% - Accent4 4 8 2" xfId="20096" xr:uid="{00000000-0005-0000-0000-0000234E0000}"/>
    <cellStyle name="40% - Accent4 4 8 3" xfId="20097" xr:uid="{00000000-0005-0000-0000-0000244E0000}"/>
    <cellStyle name="40% - Accent4 4 9" xfId="20098" xr:uid="{00000000-0005-0000-0000-0000254E0000}"/>
    <cellStyle name="40% - Accent4 5" xfId="20099" xr:uid="{00000000-0005-0000-0000-0000264E0000}"/>
    <cellStyle name="40% - Accent4 5 10" xfId="20100" xr:uid="{00000000-0005-0000-0000-0000274E0000}"/>
    <cellStyle name="40% - Accent4 5 2" xfId="20101" xr:uid="{00000000-0005-0000-0000-0000284E0000}"/>
    <cellStyle name="40% - Accent4 5 2 2" xfId="20102" xr:uid="{00000000-0005-0000-0000-0000294E0000}"/>
    <cellStyle name="40% - Accent4 5 2 2 2" xfId="20103" xr:uid="{00000000-0005-0000-0000-00002A4E0000}"/>
    <cellStyle name="40% - Accent4 5 2 2 2 2" xfId="20104" xr:uid="{00000000-0005-0000-0000-00002B4E0000}"/>
    <cellStyle name="40% - Accent4 5 2 2 2 2 2" xfId="20105" xr:uid="{00000000-0005-0000-0000-00002C4E0000}"/>
    <cellStyle name="40% - Accent4 5 2 2 2 2 2 2" xfId="20106" xr:uid="{00000000-0005-0000-0000-00002D4E0000}"/>
    <cellStyle name="40% - Accent4 5 2 2 2 2 2 2 2" xfId="20107" xr:uid="{00000000-0005-0000-0000-00002E4E0000}"/>
    <cellStyle name="40% - Accent4 5 2 2 2 2 2 2 3" xfId="20108" xr:uid="{00000000-0005-0000-0000-00002F4E0000}"/>
    <cellStyle name="40% - Accent4 5 2 2 2 2 2 3" xfId="20109" xr:uid="{00000000-0005-0000-0000-0000304E0000}"/>
    <cellStyle name="40% - Accent4 5 2 2 2 2 2 4" xfId="20110" xr:uid="{00000000-0005-0000-0000-0000314E0000}"/>
    <cellStyle name="40% - Accent4 5 2 2 2 2 3" xfId="20111" xr:uid="{00000000-0005-0000-0000-0000324E0000}"/>
    <cellStyle name="40% - Accent4 5 2 2 2 2 3 2" xfId="20112" xr:uid="{00000000-0005-0000-0000-0000334E0000}"/>
    <cellStyle name="40% - Accent4 5 2 2 2 2 3 3" xfId="20113" xr:uid="{00000000-0005-0000-0000-0000344E0000}"/>
    <cellStyle name="40% - Accent4 5 2 2 2 2 4" xfId="20114" xr:uid="{00000000-0005-0000-0000-0000354E0000}"/>
    <cellStyle name="40% - Accent4 5 2 2 2 2 5" xfId="20115" xr:uid="{00000000-0005-0000-0000-0000364E0000}"/>
    <cellStyle name="40% - Accent4 5 2 2 2 2 6" xfId="20116" xr:uid="{00000000-0005-0000-0000-0000374E0000}"/>
    <cellStyle name="40% - Accent4 5 2 2 2 3" xfId="20117" xr:uid="{00000000-0005-0000-0000-0000384E0000}"/>
    <cellStyle name="40% - Accent4 5 2 2 2 3 2" xfId="20118" xr:uid="{00000000-0005-0000-0000-0000394E0000}"/>
    <cellStyle name="40% - Accent4 5 2 2 2 3 2 2" xfId="20119" xr:uid="{00000000-0005-0000-0000-00003A4E0000}"/>
    <cellStyle name="40% - Accent4 5 2 2 2 3 2 3" xfId="20120" xr:uid="{00000000-0005-0000-0000-00003B4E0000}"/>
    <cellStyle name="40% - Accent4 5 2 2 2 3 3" xfId="20121" xr:uid="{00000000-0005-0000-0000-00003C4E0000}"/>
    <cellStyle name="40% - Accent4 5 2 2 2 3 4" xfId="20122" xr:uid="{00000000-0005-0000-0000-00003D4E0000}"/>
    <cellStyle name="40% - Accent4 5 2 2 2 4" xfId="20123" xr:uid="{00000000-0005-0000-0000-00003E4E0000}"/>
    <cellStyle name="40% - Accent4 5 2 2 2 4 2" xfId="20124" xr:uid="{00000000-0005-0000-0000-00003F4E0000}"/>
    <cellStyle name="40% - Accent4 5 2 2 2 4 3" xfId="20125" xr:uid="{00000000-0005-0000-0000-0000404E0000}"/>
    <cellStyle name="40% - Accent4 5 2 2 2 5" xfId="20126" xr:uid="{00000000-0005-0000-0000-0000414E0000}"/>
    <cellStyle name="40% - Accent4 5 2 2 2 6" xfId="20127" xr:uid="{00000000-0005-0000-0000-0000424E0000}"/>
    <cellStyle name="40% - Accent4 5 2 2 2 7" xfId="20128" xr:uid="{00000000-0005-0000-0000-0000434E0000}"/>
    <cellStyle name="40% - Accent4 5 2 2 3" xfId="20129" xr:uid="{00000000-0005-0000-0000-0000444E0000}"/>
    <cellStyle name="40% - Accent4 5 2 2 3 2" xfId="20130" xr:uid="{00000000-0005-0000-0000-0000454E0000}"/>
    <cellStyle name="40% - Accent4 5 2 2 3 2 2" xfId="20131" xr:uid="{00000000-0005-0000-0000-0000464E0000}"/>
    <cellStyle name="40% - Accent4 5 2 2 3 2 2 2" xfId="20132" xr:uid="{00000000-0005-0000-0000-0000474E0000}"/>
    <cellStyle name="40% - Accent4 5 2 2 3 2 2 3" xfId="20133" xr:uid="{00000000-0005-0000-0000-0000484E0000}"/>
    <cellStyle name="40% - Accent4 5 2 2 3 2 3" xfId="20134" xr:uid="{00000000-0005-0000-0000-0000494E0000}"/>
    <cellStyle name="40% - Accent4 5 2 2 3 2 4" xfId="20135" xr:uid="{00000000-0005-0000-0000-00004A4E0000}"/>
    <cellStyle name="40% - Accent4 5 2 2 3 3" xfId="20136" xr:uid="{00000000-0005-0000-0000-00004B4E0000}"/>
    <cellStyle name="40% - Accent4 5 2 2 3 3 2" xfId="20137" xr:uid="{00000000-0005-0000-0000-00004C4E0000}"/>
    <cellStyle name="40% - Accent4 5 2 2 3 3 3" xfId="20138" xr:uid="{00000000-0005-0000-0000-00004D4E0000}"/>
    <cellStyle name="40% - Accent4 5 2 2 3 4" xfId="20139" xr:uid="{00000000-0005-0000-0000-00004E4E0000}"/>
    <cellStyle name="40% - Accent4 5 2 2 3 5" xfId="20140" xr:uid="{00000000-0005-0000-0000-00004F4E0000}"/>
    <cellStyle name="40% - Accent4 5 2 2 3 6" xfId="20141" xr:uid="{00000000-0005-0000-0000-0000504E0000}"/>
    <cellStyle name="40% - Accent4 5 2 2 4" xfId="20142" xr:uid="{00000000-0005-0000-0000-0000514E0000}"/>
    <cellStyle name="40% - Accent4 5 2 2 4 2" xfId="20143" xr:uid="{00000000-0005-0000-0000-0000524E0000}"/>
    <cellStyle name="40% - Accent4 5 2 2 4 2 2" xfId="20144" xr:uid="{00000000-0005-0000-0000-0000534E0000}"/>
    <cellStyle name="40% - Accent4 5 2 2 4 2 3" xfId="20145" xr:uid="{00000000-0005-0000-0000-0000544E0000}"/>
    <cellStyle name="40% - Accent4 5 2 2 4 3" xfId="20146" xr:uid="{00000000-0005-0000-0000-0000554E0000}"/>
    <cellStyle name="40% - Accent4 5 2 2 4 4" xfId="20147" xr:uid="{00000000-0005-0000-0000-0000564E0000}"/>
    <cellStyle name="40% - Accent4 5 2 2 5" xfId="20148" xr:uid="{00000000-0005-0000-0000-0000574E0000}"/>
    <cellStyle name="40% - Accent4 5 2 2 5 2" xfId="20149" xr:uid="{00000000-0005-0000-0000-0000584E0000}"/>
    <cellStyle name="40% - Accent4 5 2 2 5 3" xfId="20150" xr:uid="{00000000-0005-0000-0000-0000594E0000}"/>
    <cellStyle name="40% - Accent4 5 2 2 6" xfId="20151" xr:uid="{00000000-0005-0000-0000-00005A4E0000}"/>
    <cellStyle name="40% - Accent4 5 2 2 7" xfId="20152" xr:uid="{00000000-0005-0000-0000-00005B4E0000}"/>
    <cellStyle name="40% - Accent4 5 2 2 8" xfId="20153" xr:uid="{00000000-0005-0000-0000-00005C4E0000}"/>
    <cellStyle name="40% - Accent4 5 2 3" xfId="20154" xr:uid="{00000000-0005-0000-0000-00005D4E0000}"/>
    <cellStyle name="40% - Accent4 5 2 3 2" xfId="20155" xr:uid="{00000000-0005-0000-0000-00005E4E0000}"/>
    <cellStyle name="40% - Accent4 5 2 3 2 2" xfId="20156" xr:uid="{00000000-0005-0000-0000-00005F4E0000}"/>
    <cellStyle name="40% - Accent4 5 2 3 2 2 2" xfId="20157" xr:uid="{00000000-0005-0000-0000-0000604E0000}"/>
    <cellStyle name="40% - Accent4 5 2 3 2 2 2 2" xfId="20158" xr:uid="{00000000-0005-0000-0000-0000614E0000}"/>
    <cellStyle name="40% - Accent4 5 2 3 2 2 2 3" xfId="20159" xr:uid="{00000000-0005-0000-0000-0000624E0000}"/>
    <cellStyle name="40% - Accent4 5 2 3 2 2 3" xfId="20160" xr:uid="{00000000-0005-0000-0000-0000634E0000}"/>
    <cellStyle name="40% - Accent4 5 2 3 2 2 4" xfId="20161" xr:uid="{00000000-0005-0000-0000-0000644E0000}"/>
    <cellStyle name="40% - Accent4 5 2 3 2 3" xfId="20162" xr:uid="{00000000-0005-0000-0000-0000654E0000}"/>
    <cellStyle name="40% - Accent4 5 2 3 2 3 2" xfId="20163" xr:uid="{00000000-0005-0000-0000-0000664E0000}"/>
    <cellStyle name="40% - Accent4 5 2 3 2 3 3" xfId="20164" xr:uid="{00000000-0005-0000-0000-0000674E0000}"/>
    <cellStyle name="40% - Accent4 5 2 3 2 4" xfId="20165" xr:uid="{00000000-0005-0000-0000-0000684E0000}"/>
    <cellStyle name="40% - Accent4 5 2 3 2 5" xfId="20166" xr:uid="{00000000-0005-0000-0000-0000694E0000}"/>
    <cellStyle name="40% - Accent4 5 2 3 2 6" xfId="20167" xr:uid="{00000000-0005-0000-0000-00006A4E0000}"/>
    <cellStyle name="40% - Accent4 5 2 3 3" xfId="20168" xr:uid="{00000000-0005-0000-0000-00006B4E0000}"/>
    <cellStyle name="40% - Accent4 5 2 3 3 2" xfId="20169" xr:uid="{00000000-0005-0000-0000-00006C4E0000}"/>
    <cellStyle name="40% - Accent4 5 2 3 3 2 2" xfId="20170" xr:uid="{00000000-0005-0000-0000-00006D4E0000}"/>
    <cellStyle name="40% - Accent4 5 2 3 3 2 3" xfId="20171" xr:uid="{00000000-0005-0000-0000-00006E4E0000}"/>
    <cellStyle name="40% - Accent4 5 2 3 3 3" xfId="20172" xr:uid="{00000000-0005-0000-0000-00006F4E0000}"/>
    <cellStyle name="40% - Accent4 5 2 3 3 4" xfId="20173" xr:uid="{00000000-0005-0000-0000-0000704E0000}"/>
    <cellStyle name="40% - Accent4 5 2 3 4" xfId="20174" xr:uid="{00000000-0005-0000-0000-0000714E0000}"/>
    <cellStyle name="40% - Accent4 5 2 3 4 2" xfId="20175" xr:uid="{00000000-0005-0000-0000-0000724E0000}"/>
    <cellStyle name="40% - Accent4 5 2 3 4 3" xfId="20176" xr:uid="{00000000-0005-0000-0000-0000734E0000}"/>
    <cellStyle name="40% - Accent4 5 2 3 5" xfId="20177" xr:uid="{00000000-0005-0000-0000-0000744E0000}"/>
    <cellStyle name="40% - Accent4 5 2 3 6" xfId="20178" xr:uid="{00000000-0005-0000-0000-0000754E0000}"/>
    <cellStyle name="40% - Accent4 5 2 3 7" xfId="20179" xr:uid="{00000000-0005-0000-0000-0000764E0000}"/>
    <cellStyle name="40% - Accent4 5 2 4" xfId="20180" xr:uid="{00000000-0005-0000-0000-0000774E0000}"/>
    <cellStyle name="40% - Accent4 5 2 4 2" xfId="20181" xr:uid="{00000000-0005-0000-0000-0000784E0000}"/>
    <cellStyle name="40% - Accent4 5 2 4 2 2" xfId="20182" xr:uid="{00000000-0005-0000-0000-0000794E0000}"/>
    <cellStyle name="40% - Accent4 5 2 4 2 2 2" xfId="20183" xr:uid="{00000000-0005-0000-0000-00007A4E0000}"/>
    <cellStyle name="40% - Accent4 5 2 4 2 2 3" xfId="20184" xr:uid="{00000000-0005-0000-0000-00007B4E0000}"/>
    <cellStyle name="40% - Accent4 5 2 4 2 3" xfId="20185" xr:uid="{00000000-0005-0000-0000-00007C4E0000}"/>
    <cellStyle name="40% - Accent4 5 2 4 2 4" xfId="20186" xr:uid="{00000000-0005-0000-0000-00007D4E0000}"/>
    <cellStyle name="40% - Accent4 5 2 4 3" xfId="20187" xr:uid="{00000000-0005-0000-0000-00007E4E0000}"/>
    <cellStyle name="40% - Accent4 5 2 4 3 2" xfId="20188" xr:uid="{00000000-0005-0000-0000-00007F4E0000}"/>
    <cellStyle name="40% - Accent4 5 2 4 3 3" xfId="20189" xr:uid="{00000000-0005-0000-0000-0000804E0000}"/>
    <cellStyle name="40% - Accent4 5 2 4 4" xfId="20190" xr:uid="{00000000-0005-0000-0000-0000814E0000}"/>
    <cellStyle name="40% - Accent4 5 2 4 5" xfId="20191" xr:uid="{00000000-0005-0000-0000-0000824E0000}"/>
    <cellStyle name="40% - Accent4 5 2 4 6" xfId="20192" xr:uid="{00000000-0005-0000-0000-0000834E0000}"/>
    <cellStyle name="40% - Accent4 5 2 5" xfId="20193" xr:uid="{00000000-0005-0000-0000-0000844E0000}"/>
    <cellStyle name="40% - Accent4 5 2 5 2" xfId="20194" xr:uid="{00000000-0005-0000-0000-0000854E0000}"/>
    <cellStyle name="40% - Accent4 5 2 5 2 2" xfId="20195" xr:uid="{00000000-0005-0000-0000-0000864E0000}"/>
    <cellStyle name="40% - Accent4 5 2 5 2 3" xfId="20196" xr:uid="{00000000-0005-0000-0000-0000874E0000}"/>
    <cellStyle name="40% - Accent4 5 2 5 3" xfId="20197" xr:uid="{00000000-0005-0000-0000-0000884E0000}"/>
    <cellStyle name="40% - Accent4 5 2 5 4" xfId="20198" xr:uid="{00000000-0005-0000-0000-0000894E0000}"/>
    <cellStyle name="40% - Accent4 5 2 6" xfId="20199" xr:uid="{00000000-0005-0000-0000-00008A4E0000}"/>
    <cellStyle name="40% - Accent4 5 2 6 2" xfId="20200" xr:uid="{00000000-0005-0000-0000-00008B4E0000}"/>
    <cellStyle name="40% - Accent4 5 2 6 3" xfId="20201" xr:uid="{00000000-0005-0000-0000-00008C4E0000}"/>
    <cellStyle name="40% - Accent4 5 2 7" xfId="20202" xr:uid="{00000000-0005-0000-0000-00008D4E0000}"/>
    <cellStyle name="40% - Accent4 5 2 8" xfId="20203" xr:uid="{00000000-0005-0000-0000-00008E4E0000}"/>
    <cellStyle name="40% - Accent4 5 2 9" xfId="20204" xr:uid="{00000000-0005-0000-0000-00008F4E0000}"/>
    <cellStyle name="40% - Accent4 5 3" xfId="20205" xr:uid="{00000000-0005-0000-0000-0000904E0000}"/>
    <cellStyle name="40% - Accent4 5 3 2" xfId="20206" xr:uid="{00000000-0005-0000-0000-0000914E0000}"/>
    <cellStyle name="40% - Accent4 5 3 2 2" xfId="20207" xr:uid="{00000000-0005-0000-0000-0000924E0000}"/>
    <cellStyle name="40% - Accent4 5 3 2 2 2" xfId="20208" xr:uid="{00000000-0005-0000-0000-0000934E0000}"/>
    <cellStyle name="40% - Accent4 5 3 2 2 2 2" xfId="20209" xr:uid="{00000000-0005-0000-0000-0000944E0000}"/>
    <cellStyle name="40% - Accent4 5 3 2 2 2 2 2" xfId="20210" xr:uid="{00000000-0005-0000-0000-0000954E0000}"/>
    <cellStyle name="40% - Accent4 5 3 2 2 2 2 3" xfId="20211" xr:uid="{00000000-0005-0000-0000-0000964E0000}"/>
    <cellStyle name="40% - Accent4 5 3 2 2 2 3" xfId="20212" xr:uid="{00000000-0005-0000-0000-0000974E0000}"/>
    <cellStyle name="40% - Accent4 5 3 2 2 2 4" xfId="20213" xr:uid="{00000000-0005-0000-0000-0000984E0000}"/>
    <cellStyle name="40% - Accent4 5 3 2 2 3" xfId="20214" xr:uid="{00000000-0005-0000-0000-0000994E0000}"/>
    <cellStyle name="40% - Accent4 5 3 2 2 3 2" xfId="20215" xr:uid="{00000000-0005-0000-0000-00009A4E0000}"/>
    <cellStyle name="40% - Accent4 5 3 2 2 3 3" xfId="20216" xr:uid="{00000000-0005-0000-0000-00009B4E0000}"/>
    <cellStyle name="40% - Accent4 5 3 2 2 4" xfId="20217" xr:uid="{00000000-0005-0000-0000-00009C4E0000}"/>
    <cellStyle name="40% - Accent4 5 3 2 2 5" xfId="20218" xr:uid="{00000000-0005-0000-0000-00009D4E0000}"/>
    <cellStyle name="40% - Accent4 5 3 2 2 6" xfId="20219" xr:uid="{00000000-0005-0000-0000-00009E4E0000}"/>
    <cellStyle name="40% - Accent4 5 3 2 3" xfId="20220" xr:uid="{00000000-0005-0000-0000-00009F4E0000}"/>
    <cellStyle name="40% - Accent4 5 3 2 3 2" xfId="20221" xr:uid="{00000000-0005-0000-0000-0000A04E0000}"/>
    <cellStyle name="40% - Accent4 5 3 2 3 2 2" xfId="20222" xr:uid="{00000000-0005-0000-0000-0000A14E0000}"/>
    <cellStyle name="40% - Accent4 5 3 2 3 2 3" xfId="20223" xr:uid="{00000000-0005-0000-0000-0000A24E0000}"/>
    <cellStyle name="40% - Accent4 5 3 2 3 3" xfId="20224" xr:uid="{00000000-0005-0000-0000-0000A34E0000}"/>
    <cellStyle name="40% - Accent4 5 3 2 3 4" xfId="20225" xr:uid="{00000000-0005-0000-0000-0000A44E0000}"/>
    <cellStyle name="40% - Accent4 5 3 2 4" xfId="20226" xr:uid="{00000000-0005-0000-0000-0000A54E0000}"/>
    <cellStyle name="40% - Accent4 5 3 2 4 2" xfId="20227" xr:uid="{00000000-0005-0000-0000-0000A64E0000}"/>
    <cellStyle name="40% - Accent4 5 3 2 4 3" xfId="20228" xr:uid="{00000000-0005-0000-0000-0000A74E0000}"/>
    <cellStyle name="40% - Accent4 5 3 2 5" xfId="20229" xr:uid="{00000000-0005-0000-0000-0000A84E0000}"/>
    <cellStyle name="40% - Accent4 5 3 2 6" xfId="20230" xr:uid="{00000000-0005-0000-0000-0000A94E0000}"/>
    <cellStyle name="40% - Accent4 5 3 2 7" xfId="20231" xr:uid="{00000000-0005-0000-0000-0000AA4E0000}"/>
    <cellStyle name="40% - Accent4 5 3 3" xfId="20232" xr:uid="{00000000-0005-0000-0000-0000AB4E0000}"/>
    <cellStyle name="40% - Accent4 5 3 3 2" xfId="20233" xr:uid="{00000000-0005-0000-0000-0000AC4E0000}"/>
    <cellStyle name="40% - Accent4 5 3 3 2 2" xfId="20234" xr:uid="{00000000-0005-0000-0000-0000AD4E0000}"/>
    <cellStyle name="40% - Accent4 5 3 3 2 2 2" xfId="20235" xr:uid="{00000000-0005-0000-0000-0000AE4E0000}"/>
    <cellStyle name="40% - Accent4 5 3 3 2 2 3" xfId="20236" xr:uid="{00000000-0005-0000-0000-0000AF4E0000}"/>
    <cellStyle name="40% - Accent4 5 3 3 2 3" xfId="20237" xr:uid="{00000000-0005-0000-0000-0000B04E0000}"/>
    <cellStyle name="40% - Accent4 5 3 3 2 4" xfId="20238" xr:uid="{00000000-0005-0000-0000-0000B14E0000}"/>
    <cellStyle name="40% - Accent4 5 3 3 3" xfId="20239" xr:uid="{00000000-0005-0000-0000-0000B24E0000}"/>
    <cellStyle name="40% - Accent4 5 3 3 3 2" xfId="20240" xr:uid="{00000000-0005-0000-0000-0000B34E0000}"/>
    <cellStyle name="40% - Accent4 5 3 3 3 3" xfId="20241" xr:uid="{00000000-0005-0000-0000-0000B44E0000}"/>
    <cellStyle name="40% - Accent4 5 3 3 4" xfId="20242" xr:uid="{00000000-0005-0000-0000-0000B54E0000}"/>
    <cellStyle name="40% - Accent4 5 3 3 5" xfId="20243" xr:uid="{00000000-0005-0000-0000-0000B64E0000}"/>
    <cellStyle name="40% - Accent4 5 3 3 6" xfId="20244" xr:uid="{00000000-0005-0000-0000-0000B74E0000}"/>
    <cellStyle name="40% - Accent4 5 3 4" xfId="20245" xr:uid="{00000000-0005-0000-0000-0000B84E0000}"/>
    <cellStyle name="40% - Accent4 5 3 4 2" xfId="20246" xr:uid="{00000000-0005-0000-0000-0000B94E0000}"/>
    <cellStyle name="40% - Accent4 5 3 4 2 2" xfId="20247" xr:uid="{00000000-0005-0000-0000-0000BA4E0000}"/>
    <cellStyle name="40% - Accent4 5 3 4 2 3" xfId="20248" xr:uid="{00000000-0005-0000-0000-0000BB4E0000}"/>
    <cellStyle name="40% - Accent4 5 3 4 3" xfId="20249" xr:uid="{00000000-0005-0000-0000-0000BC4E0000}"/>
    <cellStyle name="40% - Accent4 5 3 4 4" xfId="20250" xr:uid="{00000000-0005-0000-0000-0000BD4E0000}"/>
    <cellStyle name="40% - Accent4 5 3 5" xfId="20251" xr:uid="{00000000-0005-0000-0000-0000BE4E0000}"/>
    <cellStyle name="40% - Accent4 5 3 5 2" xfId="20252" xr:uid="{00000000-0005-0000-0000-0000BF4E0000}"/>
    <cellStyle name="40% - Accent4 5 3 5 3" xfId="20253" xr:uid="{00000000-0005-0000-0000-0000C04E0000}"/>
    <cellStyle name="40% - Accent4 5 3 6" xfId="20254" xr:uid="{00000000-0005-0000-0000-0000C14E0000}"/>
    <cellStyle name="40% - Accent4 5 3 7" xfId="20255" xr:uid="{00000000-0005-0000-0000-0000C24E0000}"/>
    <cellStyle name="40% - Accent4 5 3 8" xfId="20256" xr:uid="{00000000-0005-0000-0000-0000C34E0000}"/>
    <cellStyle name="40% - Accent4 5 4" xfId="20257" xr:uid="{00000000-0005-0000-0000-0000C44E0000}"/>
    <cellStyle name="40% - Accent4 5 4 2" xfId="20258" xr:uid="{00000000-0005-0000-0000-0000C54E0000}"/>
    <cellStyle name="40% - Accent4 5 4 2 2" xfId="20259" xr:uid="{00000000-0005-0000-0000-0000C64E0000}"/>
    <cellStyle name="40% - Accent4 5 4 2 2 2" xfId="20260" xr:uid="{00000000-0005-0000-0000-0000C74E0000}"/>
    <cellStyle name="40% - Accent4 5 4 2 2 2 2" xfId="20261" xr:uid="{00000000-0005-0000-0000-0000C84E0000}"/>
    <cellStyle name="40% - Accent4 5 4 2 2 2 3" xfId="20262" xr:uid="{00000000-0005-0000-0000-0000C94E0000}"/>
    <cellStyle name="40% - Accent4 5 4 2 2 3" xfId="20263" xr:uid="{00000000-0005-0000-0000-0000CA4E0000}"/>
    <cellStyle name="40% - Accent4 5 4 2 2 4" xfId="20264" xr:uid="{00000000-0005-0000-0000-0000CB4E0000}"/>
    <cellStyle name="40% - Accent4 5 4 2 3" xfId="20265" xr:uid="{00000000-0005-0000-0000-0000CC4E0000}"/>
    <cellStyle name="40% - Accent4 5 4 2 3 2" xfId="20266" xr:uid="{00000000-0005-0000-0000-0000CD4E0000}"/>
    <cellStyle name="40% - Accent4 5 4 2 3 3" xfId="20267" xr:uid="{00000000-0005-0000-0000-0000CE4E0000}"/>
    <cellStyle name="40% - Accent4 5 4 2 4" xfId="20268" xr:uid="{00000000-0005-0000-0000-0000CF4E0000}"/>
    <cellStyle name="40% - Accent4 5 4 2 5" xfId="20269" xr:uid="{00000000-0005-0000-0000-0000D04E0000}"/>
    <cellStyle name="40% - Accent4 5 4 2 6" xfId="20270" xr:uid="{00000000-0005-0000-0000-0000D14E0000}"/>
    <cellStyle name="40% - Accent4 5 4 3" xfId="20271" xr:uid="{00000000-0005-0000-0000-0000D24E0000}"/>
    <cellStyle name="40% - Accent4 5 4 3 2" xfId="20272" xr:uid="{00000000-0005-0000-0000-0000D34E0000}"/>
    <cellStyle name="40% - Accent4 5 4 3 2 2" xfId="20273" xr:uid="{00000000-0005-0000-0000-0000D44E0000}"/>
    <cellStyle name="40% - Accent4 5 4 3 2 3" xfId="20274" xr:uid="{00000000-0005-0000-0000-0000D54E0000}"/>
    <cellStyle name="40% - Accent4 5 4 3 3" xfId="20275" xr:uid="{00000000-0005-0000-0000-0000D64E0000}"/>
    <cellStyle name="40% - Accent4 5 4 3 4" xfId="20276" xr:uid="{00000000-0005-0000-0000-0000D74E0000}"/>
    <cellStyle name="40% - Accent4 5 4 4" xfId="20277" xr:uid="{00000000-0005-0000-0000-0000D84E0000}"/>
    <cellStyle name="40% - Accent4 5 4 4 2" xfId="20278" xr:uid="{00000000-0005-0000-0000-0000D94E0000}"/>
    <cellStyle name="40% - Accent4 5 4 4 3" xfId="20279" xr:uid="{00000000-0005-0000-0000-0000DA4E0000}"/>
    <cellStyle name="40% - Accent4 5 4 5" xfId="20280" xr:uid="{00000000-0005-0000-0000-0000DB4E0000}"/>
    <cellStyle name="40% - Accent4 5 4 6" xfId="20281" xr:uid="{00000000-0005-0000-0000-0000DC4E0000}"/>
    <cellStyle name="40% - Accent4 5 4 7" xfId="20282" xr:uid="{00000000-0005-0000-0000-0000DD4E0000}"/>
    <cellStyle name="40% - Accent4 5 5" xfId="20283" xr:uid="{00000000-0005-0000-0000-0000DE4E0000}"/>
    <cellStyle name="40% - Accent4 5 5 2" xfId="20284" xr:uid="{00000000-0005-0000-0000-0000DF4E0000}"/>
    <cellStyle name="40% - Accent4 5 5 2 2" xfId="20285" xr:uid="{00000000-0005-0000-0000-0000E04E0000}"/>
    <cellStyle name="40% - Accent4 5 5 2 2 2" xfId="20286" xr:uid="{00000000-0005-0000-0000-0000E14E0000}"/>
    <cellStyle name="40% - Accent4 5 5 2 2 3" xfId="20287" xr:uid="{00000000-0005-0000-0000-0000E24E0000}"/>
    <cellStyle name="40% - Accent4 5 5 2 3" xfId="20288" xr:uid="{00000000-0005-0000-0000-0000E34E0000}"/>
    <cellStyle name="40% - Accent4 5 5 2 4" xfId="20289" xr:uid="{00000000-0005-0000-0000-0000E44E0000}"/>
    <cellStyle name="40% - Accent4 5 5 3" xfId="20290" xr:uid="{00000000-0005-0000-0000-0000E54E0000}"/>
    <cellStyle name="40% - Accent4 5 5 3 2" xfId="20291" xr:uid="{00000000-0005-0000-0000-0000E64E0000}"/>
    <cellStyle name="40% - Accent4 5 5 3 3" xfId="20292" xr:uid="{00000000-0005-0000-0000-0000E74E0000}"/>
    <cellStyle name="40% - Accent4 5 5 4" xfId="20293" xr:uid="{00000000-0005-0000-0000-0000E84E0000}"/>
    <cellStyle name="40% - Accent4 5 5 5" xfId="20294" xr:uid="{00000000-0005-0000-0000-0000E94E0000}"/>
    <cellStyle name="40% - Accent4 5 5 6" xfId="20295" xr:uid="{00000000-0005-0000-0000-0000EA4E0000}"/>
    <cellStyle name="40% - Accent4 5 6" xfId="20296" xr:uid="{00000000-0005-0000-0000-0000EB4E0000}"/>
    <cellStyle name="40% - Accent4 5 6 2" xfId="20297" xr:uid="{00000000-0005-0000-0000-0000EC4E0000}"/>
    <cellStyle name="40% - Accent4 5 6 2 2" xfId="20298" xr:uid="{00000000-0005-0000-0000-0000ED4E0000}"/>
    <cellStyle name="40% - Accent4 5 6 2 3" xfId="20299" xr:uid="{00000000-0005-0000-0000-0000EE4E0000}"/>
    <cellStyle name="40% - Accent4 5 6 3" xfId="20300" xr:uid="{00000000-0005-0000-0000-0000EF4E0000}"/>
    <cellStyle name="40% - Accent4 5 6 4" xfId="20301" xr:uid="{00000000-0005-0000-0000-0000F04E0000}"/>
    <cellStyle name="40% - Accent4 5 7" xfId="20302" xr:uid="{00000000-0005-0000-0000-0000F14E0000}"/>
    <cellStyle name="40% - Accent4 5 7 2" xfId="20303" xr:uid="{00000000-0005-0000-0000-0000F24E0000}"/>
    <cellStyle name="40% - Accent4 5 7 3" xfId="20304" xr:uid="{00000000-0005-0000-0000-0000F34E0000}"/>
    <cellStyle name="40% - Accent4 5 8" xfId="20305" xr:uid="{00000000-0005-0000-0000-0000F44E0000}"/>
    <cellStyle name="40% - Accent4 5 9" xfId="20306" xr:uid="{00000000-0005-0000-0000-0000F54E0000}"/>
    <cellStyle name="40% - Accent4 6" xfId="20307" xr:uid="{00000000-0005-0000-0000-0000F64E0000}"/>
    <cellStyle name="40% - Accent4 6 2" xfId="20308" xr:uid="{00000000-0005-0000-0000-0000F74E0000}"/>
    <cellStyle name="40% - Accent4 6 2 2" xfId="20309" xr:uid="{00000000-0005-0000-0000-0000F84E0000}"/>
    <cellStyle name="40% - Accent4 6 2 2 2" xfId="20310" xr:uid="{00000000-0005-0000-0000-0000F94E0000}"/>
    <cellStyle name="40% - Accent4 6 2 2 2 2" xfId="20311" xr:uid="{00000000-0005-0000-0000-0000FA4E0000}"/>
    <cellStyle name="40% - Accent4 6 2 2 2 2 2" xfId="20312" xr:uid="{00000000-0005-0000-0000-0000FB4E0000}"/>
    <cellStyle name="40% - Accent4 6 2 2 2 2 2 2" xfId="20313" xr:uid="{00000000-0005-0000-0000-0000FC4E0000}"/>
    <cellStyle name="40% - Accent4 6 2 2 2 2 2 3" xfId="20314" xr:uid="{00000000-0005-0000-0000-0000FD4E0000}"/>
    <cellStyle name="40% - Accent4 6 2 2 2 2 3" xfId="20315" xr:uid="{00000000-0005-0000-0000-0000FE4E0000}"/>
    <cellStyle name="40% - Accent4 6 2 2 2 2 4" xfId="20316" xr:uid="{00000000-0005-0000-0000-0000FF4E0000}"/>
    <cellStyle name="40% - Accent4 6 2 2 2 3" xfId="20317" xr:uid="{00000000-0005-0000-0000-0000004F0000}"/>
    <cellStyle name="40% - Accent4 6 2 2 2 3 2" xfId="20318" xr:uid="{00000000-0005-0000-0000-0000014F0000}"/>
    <cellStyle name="40% - Accent4 6 2 2 2 3 3" xfId="20319" xr:uid="{00000000-0005-0000-0000-0000024F0000}"/>
    <cellStyle name="40% - Accent4 6 2 2 2 4" xfId="20320" xr:uid="{00000000-0005-0000-0000-0000034F0000}"/>
    <cellStyle name="40% - Accent4 6 2 2 2 5" xfId="20321" xr:uid="{00000000-0005-0000-0000-0000044F0000}"/>
    <cellStyle name="40% - Accent4 6 2 2 2 6" xfId="20322" xr:uid="{00000000-0005-0000-0000-0000054F0000}"/>
    <cellStyle name="40% - Accent4 6 2 2 3" xfId="20323" xr:uid="{00000000-0005-0000-0000-0000064F0000}"/>
    <cellStyle name="40% - Accent4 6 2 2 3 2" xfId="20324" xr:uid="{00000000-0005-0000-0000-0000074F0000}"/>
    <cellStyle name="40% - Accent4 6 2 2 3 2 2" xfId="20325" xr:uid="{00000000-0005-0000-0000-0000084F0000}"/>
    <cellStyle name="40% - Accent4 6 2 2 3 2 3" xfId="20326" xr:uid="{00000000-0005-0000-0000-0000094F0000}"/>
    <cellStyle name="40% - Accent4 6 2 2 3 3" xfId="20327" xr:uid="{00000000-0005-0000-0000-00000A4F0000}"/>
    <cellStyle name="40% - Accent4 6 2 2 3 4" xfId="20328" xr:uid="{00000000-0005-0000-0000-00000B4F0000}"/>
    <cellStyle name="40% - Accent4 6 2 2 4" xfId="20329" xr:uid="{00000000-0005-0000-0000-00000C4F0000}"/>
    <cellStyle name="40% - Accent4 6 2 2 4 2" xfId="20330" xr:uid="{00000000-0005-0000-0000-00000D4F0000}"/>
    <cellStyle name="40% - Accent4 6 2 2 4 3" xfId="20331" xr:uid="{00000000-0005-0000-0000-00000E4F0000}"/>
    <cellStyle name="40% - Accent4 6 2 2 5" xfId="20332" xr:uid="{00000000-0005-0000-0000-00000F4F0000}"/>
    <cellStyle name="40% - Accent4 6 2 2 6" xfId="20333" xr:uid="{00000000-0005-0000-0000-0000104F0000}"/>
    <cellStyle name="40% - Accent4 6 2 2 7" xfId="20334" xr:uid="{00000000-0005-0000-0000-0000114F0000}"/>
    <cellStyle name="40% - Accent4 6 2 3" xfId="20335" xr:uid="{00000000-0005-0000-0000-0000124F0000}"/>
    <cellStyle name="40% - Accent4 6 2 3 2" xfId="20336" xr:uid="{00000000-0005-0000-0000-0000134F0000}"/>
    <cellStyle name="40% - Accent4 6 2 3 2 2" xfId="20337" xr:uid="{00000000-0005-0000-0000-0000144F0000}"/>
    <cellStyle name="40% - Accent4 6 2 3 2 2 2" xfId="20338" xr:uid="{00000000-0005-0000-0000-0000154F0000}"/>
    <cellStyle name="40% - Accent4 6 2 3 2 2 3" xfId="20339" xr:uid="{00000000-0005-0000-0000-0000164F0000}"/>
    <cellStyle name="40% - Accent4 6 2 3 2 3" xfId="20340" xr:uid="{00000000-0005-0000-0000-0000174F0000}"/>
    <cellStyle name="40% - Accent4 6 2 3 2 4" xfId="20341" xr:uid="{00000000-0005-0000-0000-0000184F0000}"/>
    <cellStyle name="40% - Accent4 6 2 3 3" xfId="20342" xr:uid="{00000000-0005-0000-0000-0000194F0000}"/>
    <cellStyle name="40% - Accent4 6 2 3 3 2" xfId="20343" xr:uid="{00000000-0005-0000-0000-00001A4F0000}"/>
    <cellStyle name="40% - Accent4 6 2 3 3 3" xfId="20344" xr:uid="{00000000-0005-0000-0000-00001B4F0000}"/>
    <cellStyle name="40% - Accent4 6 2 3 4" xfId="20345" xr:uid="{00000000-0005-0000-0000-00001C4F0000}"/>
    <cellStyle name="40% - Accent4 6 2 3 5" xfId="20346" xr:uid="{00000000-0005-0000-0000-00001D4F0000}"/>
    <cellStyle name="40% - Accent4 6 2 3 6" xfId="20347" xr:uid="{00000000-0005-0000-0000-00001E4F0000}"/>
    <cellStyle name="40% - Accent4 6 2 4" xfId="20348" xr:uid="{00000000-0005-0000-0000-00001F4F0000}"/>
    <cellStyle name="40% - Accent4 6 2 4 2" xfId="20349" xr:uid="{00000000-0005-0000-0000-0000204F0000}"/>
    <cellStyle name="40% - Accent4 6 2 4 2 2" xfId="20350" xr:uid="{00000000-0005-0000-0000-0000214F0000}"/>
    <cellStyle name="40% - Accent4 6 2 4 2 3" xfId="20351" xr:uid="{00000000-0005-0000-0000-0000224F0000}"/>
    <cellStyle name="40% - Accent4 6 2 4 3" xfId="20352" xr:uid="{00000000-0005-0000-0000-0000234F0000}"/>
    <cellStyle name="40% - Accent4 6 2 4 4" xfId="20353" xr:uid="{00000000-0005-0000-0000-0000244F0000}"/>
    <cellStyle name="40% - Accent4 6 2 5" xfId="20354" xr:uid="{00000000-0005-0000-0000-0000254F0000}"/>
    <cellStyle name="40% - Accent4 6 2 5 2" xfId="20355" xr:uid="{00000000-0005-0000-0000-0000264F0000}"/>
    <cellStyle name="40% - Accent4 6 2 5 3" xfId="20356" xr:uid="{00000000-0005-0000-0000-0000274F0000}"/>
    <cellStyle name="40% - Accent4 6 2 6" xfId="20357" xr:uid="{00000000-0005-0000-0000-0000284F0000}"/>
    <cellStyle name="40% - Accent4 6 2 7" xfId="20358" xr:uid="{00000000-0005-0000-0000-0000294F0000}"/>
    <cellStyle name="40% - Accent4 6 2 8" xfId="20359" xr:uid="{00000000-0005-0000-0000-00002A4F0000}"/>
    <cellStyle name="40% - Accent4 6 3" xfId="20360" xr:uid="{00000000-0005-0000-0000-00002B4F0000}"/>
    <cellStyle name="40% - Accent4 6 3 2" xfId="20361" xr:uid="{00000000-0005-0000-0000-00002C4F0000}"/>
    <cellStyle name="40% - Accent4 6 3 2 2" xfId="20362" xr:uid="{00000000-0005-0000-0000-00002D4F0000}"/>
    <cellStyle name="40% - Accent4 6 3 2 2 2" xfId="20363" xr:uid="{00000000-0005-0000-0000-00002E4F0000}"/>
    <cellStyle name="40% - Accent4 6 3 2 2 2 2" xfId="20364" xr:uid="{00000000-0005-0000-0000-00002F4F0000}"/>
    <cellStyle name="40% - Accent4 6 3 2 2 2 3" xfId="20365" xr:uid="{00000000-0005-0000-0000-0000304F0000}"/>
    <cellStyle name="40% - Accent4 6 3 2 2 3" xfId="20366" xr:uid="{00000000-0005-0000-0000-0000314F0000}"/>
    <cellStyle name="40% - Accent4 6 3 2 2 4" xfId="20367" xr:uid="{00000000-0005-0000-0000-0000324F0000}"/>
    <cellStyle name="40% - Accent4 6 3 2 3" xfId="20368" xr:uid="{00000000-0005-0000-0000-0000334F0000}"/>
    <cellStyle name="40% - Accent4 6 3 2 3 2" xfId="20369" xr:uid="{00000000-0005-0000-0000-0000344F0000}"/>
    <cellStyle name="40% - Accent4 6 3 2 3 3" xfId="20370" xr:uid="{00000000-0005-0000-0000-0000354F0000}"/>
    <cellStyle name="40% - Accent4 6 3 2 4" xfId="20371" xr:uid="{00000000-0005-0000-0000-0000364F0000}"/>
    <cellStyle name="40% - Accent4 6 3 2 5" xfId="20372" xr:uid="{00000000-0005-0000-0000-0000374F0000}"/>
    <cellStyle name="40% - Accent4 6 3 2 6" xfId="20373" xr:uid="{00000000-0005-0000-0000-0000384F0000}"/>
    <cellStyle name="40% - Accent4 6 3 3" xfId="20374" xr:uid="{00000000-0005-0000-0000-0000394F0000}"/>
    <cellStyle name="40% - Accent4 6 3 3 2" xfId="20375" xr:uid="{00000000-0005-0000-0000-00003A4F0000}"/>
    <cellStyle name="40% - Accent4 6 3 3 2 2" xfId="20376" xr:uid="{00000000-0005-0000-0000-00003B4F0000}"/>
    <cellStyle name="40% - Accent4 6 3 3 2 3" xfId="20377" xr:uid="{00000000-0005-0000-0000-00003C4F0000}"/>
    <cellStyle name="40% - Accent4 6 3 3 3" xfId="20378" xr:uid="{00000000-0005-0000-0000-00003D4F0000}"/>
    <cellStyle name="40% - Accent4 6 3 3 4" xfId="20379" xr:uid="{00000000-0005-0000-0000-00003E4F0000}"/>
    <cellStyle name="40% - Accent4 6 3 4" xfId="20380" xr:uid="{00000000-0005-0000-0000-00003F4F0000}"/>
    <cellStyle name="40% - Accent4 6 3 4 2" xfId="20381" xr:uid="{00000000-0005-0000-0000-0000404F0000}"/>
    <cellStyle name="40% - Accent4 6 3 4 3" xfId="20382" xr:uid="{00000000-0005-0000-0000-0000414F0000}"/>
    <cellStyle name="40% - Accent4 6 3 5" xfId="20383" xr:uid="{00000000-0005-0000-0000-0000424F0000}"/>
    <cellStyle name="40% - Accent4 6 3 6" xfId="20384" xr:uid="{00000000-0005-0000-0000-0000434F0000}"/>
    <cellStyle name="40% - Accent4 6 3 7" xfId="20385" xr:uid="{00000000-0005-0000-0000-0000444F0000}"/>
    <cellStyle name="40% - Accent4 6 4" xfId="20386" xr:uid="{00000000-0005-0000-0000-0000454F0000}"/>
    <cellStyle name="40% - Accent4 6 4 2" xfId="20387" xr:uid="{00000000-0005-0000-0000-0000464F0000}"/>
    <cellStyle name="40% - Accent4 6 4 2 2" xfId="20388" xr:uid="{00000000-0005-0000-0000-0000474F0000}"/>
    <cellStyle name="40% - Accent4 6 4 2 2 2" xfId="20389" xr:uid="{00000000-0005-0000-0000-0000484F0000}"/>
    <cellStyle name="40% - Accent4 6 4 2 2 3" xfId="20390" xr:uid="{00000000-0005-0000-0000-0000494F0000}"/>
    <cellStyle name="40% - Accent4 6 4 2 3" xfId="20391" xr:uid="{00000000-0005-0000-0000-00004A4F0000}"/>
    <cellStyle name="40% - Accent4 6 4 2 4" xfId="20392" xr:uid="{00000000-0005-0000-0000-00004B4F0000}"/>
    <cellStyle name="40% - Accent4 6 4 3" xfId="20393" xr:uid="{00000000-0005-0000-0000-00004C4F0000}"/>
    <cellStyle name="40% - Accent4 6 4 3 2" xfId="20394" xr:uid="{00000000-0005-0000-0000-00004D4F0000}"/>
    <cellStyle name="40% - Accent4 6 4 3 3" xfId="20395" xr:uid="{00000000-0005-0000-0000-00004E4F0000}"/>
    <cellStyle name="40% - Accent4 6 4 4" xfId="20396" xr:uid="{00000000-0005-0000-0000-00004F4F0000}"/>
    <cellStyle name="40% - Accent4 6 4 5" xfId="20397" xr:uid="{00000000-0005-0000-0000-0000504F0000}"/>
    <cellStyle name="40% - Accent4 6 4 6" xfId="20398" xr:uid="{00000000-0005-0000-0000-0000514F0000}"/>
    <cellStyle name="40% - Accent4 6 5" xfId="20399" xr:uid="{00000000-0005-0000-0000-0000524F0000}"/>
    <cellStyle name="40% - Accent4 6 5 2" xfId="20400" xr:uid="{00000000-0005-0000-0000-0000534F0000}"/>
    <cellStyle name="40% - Accent4 6 5 2 2" xfId="20401" xr:uid="{00000000-0005-0000-0000-0000544F0000}"/>
    <cellStyle name="40% - Accent4 6 5 2 3" xfId="20402" xr:uid="{00000000-0005-0000-0000-0000554F0000}"/>
    <cellStyle name="40% - Accent4 6 5 3" xfId="20403" xr:uid="{00000000-0005-0000-0000-0000564F0000}"/>
    <cellStyle name="40% - Accent4 6 5 4" xfId="20404" xr:uid="{00000000-0005-0000-0000-0000574F0000}"/>
    <cellStyle name="40% - Accent4 6 6" xfId="20405" xr:uid="{00000000-0005-0000-0000-0000584F0000}"/>
    <cellStyle name="40% - Accent4 6 6 2" xfId="20406" xr:uid="{00000000-0005-0000-0000-0000594F0000}"/>
    <cellStyle name="40% - Accent4 6 6 3" xfId="20407" xr:uid="{00000000-0005-0000-0000-00005A4F0000}"/>
    <cellStyle name="40% - Accent4 6 7" xfId="20408" xr:uid="{00000000-0005-0000-0000-00005B4F0000}"/>
    <cellStyle name="40% - Accent4 6 8" xfId="20409" xr:uid="{00000000-0005-0000-0000-00005C4F0000}"/>
    <cellStyle name="40% - Accent4 6 9" xfId="20410" xr:uid="{00000000-0005-0000-0000-00005D4F0000}"/>
    <cellStyle name="40% - Accent4 7" xfId="20411" xr:uid="{00000000-0005-0000-0000-00005E4F0000}"/>
    <cellStyle name="40% - Accent4 7 2" xfId="20412" xr:uid="{00000000-0005-0000-0000-00005F4F0000}"/>
    <cellStyle name="40% - Accent4 7 2 2" xfId="20413" xr:uid="{00000000-0005-0000-0000-0000604F0000}"/>
    <cellStyle name="40% - Accent4 7 2 2 2" xfId="20414" xr:uid="{00000000-0005-0000-0000-0000614F0000}"/>
    <cellStyle name="40% - Accent4 7 2 2 2 2" xfId="20415" xr:uid="{00000000-0005-0000-0000-0000624F0000}"/>
    <cellStyle name="40% - Accent4 7 2 2 2 2 2" xfId="20416" xr:uid="{00000000-0005-0000-0000-0000634F0000}"/>
    <cellStyle name="40% - Accent4 7 2 2 2 2 2 2" xfId="20417" xr:uid="{00000000-0005-0000-0000-0000644F0000}"/>
    <cellStyle name="40% - Accent4 7 2 2 2 2 2 3" xfId="20418" xr:uid="{00000000-0005-0000-0000-0000654F0000}"/>
    <cellStyle name="40% - Accent4 7 2 2 2 2 3" xfId="20419" xr:uid="{00000000-0005-0000-0000-0000664F0000}"/>
    <cellStyle name="40% - Accent4 7 2 2 2 2 4" xfId="20420" xr:uid="{00000000-0005-0000-0000-0000674F0000}"/>
    <cellStyle name="40% - Accent4 7 2 2 2 3" xfId="20421" xr:uid="{00000000-0005-0000-0000-0000684F0000}"/>
    <cellStyle name="40% - Accent4 7 2 2 2 3 2" xfId="20422" xr:uid="{00000000-0005-0000-0000-0000694F0000}"/>
    <cellStyle name="40% - Accent4 7 2 2 2 3 3" xfId="20423" xr:uid="{00000000-0005-0000-0000-00006A4F0000}"/>
    <cellStyle name="40% - Accent4 7 2 2 2 4" xfId="20424" xr:uid="{00000000-0005-0000-0000-00006B4F0000}"/>
    <cellStyle name="40% - Accent4 7 2 2 2 5" xfId="20425" xr:uid="{00000000-0005-0000-0000-00006C4F0000}"/>
    <cellStyle name="40% - Accent4 7 2 2 2 6" xfId="20426" xr:uid="{00000000-0005-0000-0000-00006D4F0000}"/>
    <cellStyle name="40% - Accent4 7 2 2 3" xfId="20427" xr:uid="{00000000-0005-0000-0000-00006E4F0000}"/>
    <cellStyle name="40% - Accent4 7 2 2 3 2" xfId="20428" xr:uid="{00000000-0005-0000-0000-00006F4F0000}"/>
    <cellStyle name="40% - Accent4 7 2 2 3 2 2" xfId="20429" xr:uid="{00000000-0005-0000-0000-0000704F0000}"/>
    <cellStyle name="40% - Accent4 7 2 2 3 2 3" xfId="20430" xr:uid="{00000000-0005-0000-0000-0000714F0000}"/>
    <cellStyle name="40% - Accent4 7 2 2 3 3" xfId="20431" xr:uid="{00000000-0005-0000-0000-0000724F0000}"/>
    <cellStyle name="40% - Accent4 7 2 2 3 4" xfId="20432" xr:uid="{00000000-0005-0000-0000-0000734F0000}"/>
    <cellStyle name="40% - Accent4 7 2 2 4" xfId="20433" xr:uid="{00000000-0005-0000-0000-0000744F0000}"/>
    <cellStyle name="40% - Accent4 7 2 2 4 2" xfId="20434" xr:uid="{00000000-0005-0000-0000-0000754F0000}"/>
    <cellStyle name="40% - Accent4 7 2 2 4 3" xfId="20435" xr:uid="{00000000-0005-0000-0000-0000764F0000}"/>
    <cellStyle name="40% - Accent4 7 2 2 5" xfId="20436" xr:uid="{00000000-0005-0000-0000-0000774F0000}"/>
    <cellStyle name="40% - Accent4 7 2 2 6" xfId="20437" xr:uid="{00000000-0005-0000-0000-0000784F0000}"/>
    <cellStyle name="40% - Accent4 7 2 2 7" xfId="20438" xr:uid="{00000000-0005-0000-0000-0000794F0000}"/>
    <cellStyle name="40% - Accent4 7 2 3" xfId="20439" xr:uid="{00000000-0005-0000-0000-00007A4F0000}"/>
    <cellStyle name="40% - Accent4 7 2 3 2" xfId="20440" xr:uid="{00000000-0005-0000-0000-00007B4F0000}"/>
    <cellStyle name="40% - Accent4 7 2 3 2 2" xfId="20441" xr:uid="{00000000-0005-0000-0000-00007C4F0000}"/>
    <cellStyle name="40% - Accent4 7 2 3 2 2 2" xfId="20442" xr:uid="{00000000-0005-0000-0000-00007D4F0000}"/>
    <cellStyle name="40% - Accent4 7 2 3 2 2 3" xfId="20443" xr:uid="{00000000-0005-0000-0000-00007E4F0000}"/>
    <cellStyle name="40% - Accent4 7 2 3 2 3" xfId="20444" xr:uid="{00000000-0005-0000-0000-00007F4F0000}"/>
    <cellStyle name="40% - Accent4 7 2 3 2 4" xfId="20445" xr:uid="{00000000-0005-0000-0000-0000804F0000}"/>
    <cellStyle name="40% - Accent4 7 2 3 3" xfId="20446" xr:uid="{00000000-0005-0000-0000-0000814F0000}"/>
    <cellStyle name="40% - Accent4 7 2 3 3 2" xfId="20447" xr:uid="{00000000-0005-0000-0000-0000824F0000}"/>
    <cellStyle name="40% - Accent4 7 2 3 3 3" xfId="20448" xr:uid="{00000000-0005-0000-0000-0000834F0000}"/>
    <cellStyle name="40% - Accent4 7 2 3 4" xfId="20449" xr:uid="{00000000-0005-0000-0000-0000844F0000}"/>
    <cellStyle name="40% - Accent4 7 2 3 5" xfId="20450" xr:uid="{00000000-0005-0000-0000-0000854F0000}"/>
    <cellStyle name="40% - Accent4 7 2 3 6" xfId="20451" xr:uid="{00000000-0005-0000-0000-0000864F0000}"/>
    <cellStyle name="40% - Accent4 7 2 4" xfId="20452" xr:uid="{00000000-0005-0000-0000-0000874F0000}"/>
    <cellStyle name="40% - Accent4 7 2 4 2" xfId="20453" xr:uid="{00000000-0005-0000-0000-0000884F0000}"/>
    <cellStyle name="40% - Accent4 7 2 4 2 2" xfId="20454" xr:uid="{00000000-0005-0000-0000-0000894F0000}"/>
    <cellStyle name="40% - Accent4 7 2 4 2 3" xfId="20455" xr:uid="{00000000-0005-0000-0000-00008A4F0000}"/>
    <cellStyle name="40% - Accent4 7 2 4 3" xfId="20456" xr:uid="{00000000-0005-0000-0000-00008B4F0000}"/>
    <cellStyle name="40% - Accent4 7 2 4 4" xfId="20457" xr:uid="{00000000-0005-0000-0000-00008C4F0000}"/>
    <cellStyle name="40% - Accent4 7 2 5" xfId="20458" xr:uid="{00000000-0005-0000-0000-00008D4F0000}"/>
    <cellStyle name="40% - Accent4 7 2 5 2" xfId="20459" xr:uid="{00000000-0005-0000-0000-00008E4F0000}"/>
    <cellStyle name="40% - Accent4 7 2 5 3" xfId="20460" xr:uid="{00000000-0005-0000-0000-00008F4F0000}"/>
    <cellStyle name="40% - Accent4 7 2 6" xfId="20461" xr:uid="{00000000-0005-0000-0000-0000904F0000}"/>
    <cellStyle name="40% - Accent4 7 2 7" xfId="20462" xr:uid="{00000000-0005-0000-0000-0000914F0000}"/>
    <cellStyle name="40% - Accent4 7 2 8" xfId="20463" xr:uid="{00000000-0005-0000-0000-0000924F0000}"/>
    <cellStyle name="40% - Accent4 7 3" xfId="20464" xr:uid="{00000000-0005-0000-0000-0000934F0000}"/>
    <cellStyle name="40% - Accent4 7 3 2" xfId="20465" xr:uid="{00000000-0005-0000-0000-0000944F0000}"/>
    <cellStyle name="40% - Accent4 7 3 2 2" xfId="20466" xr:uid="{00000000-0005-0000-0000-0000954F0000}"/>
    <cellStyle name="40% - Accent4 7 3 2 2 2" xfId="20467" xr:uid="{00000000-0005-0000-0000-0000964F0000}"/>
    <cellStyle name="40% - Accent4 7 3 2 2 2 2" xfId="20468" xr:uid="{00000000-0005-0000-0000-0000974F0000}"/>
    <cellStyle name="40% - Accent4 7 3 2 2 2 3" xfId="20469" xr:uid="{00000000-0005-0000-0000-0000984F0000}"/>
    <cellStyle name="40% - Accent4 7 3 2 2 3" xfId="20470" xr:uid="{00000000-0005-0000-0000-0000994F0000}"/>
    <cellStyle name="40% - Accent4 7 3 2 2 4" xfId="20471" xr:uid="{00000000-0005-0000-0000-00009A4F0000}"/>
    <cellStyle name="40% - Accent4 7 3 2 3" xfId="20472" xr:uid="{00000000-0005-0000-0000-00009B4F0000}"/>
    <cellStyle name="40% - Accent4 7 3 2 3 2" xfId="20473" xr:uid="{00000000-0005-0000-0000-00009C4F0000}"/>
    <cellStyle name="40% - Accent4 7 3 2 3 3" xfId="20474" xr:uid="{00000000-0005-0000-0000-00009D4F0000}"/>
    <cellStyle name="40% - Accent4 7 3 2 4" xfId="20475" xr:uid="{00000000-0005-0000-0000-00009E4F0000}"/>
    <cellStyle name="40% - Accent4 7 3 2 5" xfId="20476" xr:uid="{00000000-0005-0000-0000-00009F4F0000}"/>
    <cellStyle name="40% - Accent4 7 3 2 6" xfId="20477" xr:uid="{00000000-0005-0000-0000-0000A04F0000}"/>
    <cellStyle name="40% - Accent4 7 3 3" xfId="20478" xr:uid="{00000000-0005-0000-0000-0000A14F0000}"/>
    <cellStyle name="40% - Accent4 7 3 3 2" xfId="20479" xr:uid="{00000000-0005-0000-0000-0000A24F0000}"/>
    <cellStyle name="40% - Accent4 7 3 3 2 2" xfId="20480" xr:uid="{00000000-0005-0000-0000-0000A34F0000}"/>
    <cellStyle name="40% - Accent4 7 3 3 2 3" xfId="20481" xr:uid="{00000000-0005-0000-0000-0000A44F0000}"/>
    <cellStyle name="40% - Accent4 7 3 3 3" xfId="20482" xr:uid="{00000000-0005-0000-0000-0000A54F0000}"/>
    <cellStyle name="40% - Accent4 7 3 3 4" xfId="20483" xr:uid="{00000000-0005-0000-0000-0000A64F0000}"/>
    <cellStyle name="40% - Accent4 7 3 4" xfId="20484" xr:uid="{00000000-0005-0000-0000-0000A74F0000}"/>
    <cellStyle name="40% - Accent4 7 3 4 2" xfId="20485" xr:uid="{00000000-0005-0000-0000-0000A84F0000}"/>
    <cellStyle name="40% - Accent4 7 3 4 3" xfId="20486" xr:uid="{00000000-0005-0000-0000-0000A94F0000}"/>
    <cellStyle name="40% - Accent4 7 3 5" xfId="20487" xr:uid="{00000000-0005-0000-0000-0000AA4F0000}"/>
    <cellStyle name="40% - Accent4 7 3 6" xfId="20488" xr:uid="{00000000-0005-0000-0000-0000AB4F0000}"/>
    <cellStyle name="40% - Accent4 7 3 7" xfId="20489" xr:uid="{00000000-0005-0000-0000-0000AC4F0000}"/>
    <cellStyle name="40% - Accent4 7 4" xfId="20490" xr:uid="{00000000-0005-0000-0000-0000AD4F0000}"/>
    <cellStyle name="40% - Accent4 7 4 2" xfId="20491" xr:uid="{00000000-0005-0000-0000-0000AE4F0000}"/>
    <cellStyle name="40% - Accent4 7 4 2 2" xfId="20492" xr:uid="{00000000-0005-0000-0000-0000AF4F0000}"/>
    <cellStyle name="40% - Accent4 7 4 2 2 2" xfId="20493" xr:uid="{00000000-0005-0000-0000-0000B04F0000}"/>
    <cellStyle name="40% - Accent4 7 4 2 2 3" xfId="20494" xr:uid="{00000000-0005-0000-0000-0000B14F0000}"/>
    <cellStyle name="40% - Accent4 7 4 2 3" xfId="20495" xr:uid="{00000000-0005-0000-0000-0000B24F0000}"/>
    <cellStyle name="40% - Accent4 7 4 2 4" xfId="20496" xr:uid="{00000000-0005-0000-0000-0000B34F0000}"/>
    <cellStyle name="40% - Accent4 7 4 3" xfId="20497" xr:uid="{00000000-0005-0000-0000-0000B44F0000}"/>
    <cellStyle name="40% - Accent4 7 4 3 2" xfId="20498" xr:uid="{00000000-0005-0000-0000-0000B54F0000}"/>
    <cellStyle name="40% - Accent4 7 4 3 3" xfId="20499" xr:uid="{00000000-0005-0000-0000-0000B64F0000}"/>
    <cellStyle name="40% - Accent4 7 4 4" xfId="20500" xr:uid="{00000000-0005-0000-0000-0000B74F0000}"/>
    <cellStyle name="40% - Accent4 7 4 5" xfId="20501" xr:uid="{00000000-0005-0000-0000-0000B84F0000}"/>
    <cellStyle name="40% - Accent4 7 4 6" xfId="20502" xr:uid="{00000000-0005-0000-0000-0000B94F0000}"/>
    <cellStyle name="40% - Accent4 7 5" xfId="20503" xr:uid="{00000000-0005-0000-0000-0000BA4F0000}"/>
    <cellStyle name="40% - Accent4 7 5 2" xfId="20504" xr:uid="{00000000-0005-0000-0000-0000BB4F0000}"/>
    <cellStyle name="40% - Accent4 7 5 2 2" xfId="20505" xr:uid="{00000000-0005-0000-0000-0000BC4F0000}"/>
    <cellStyle name="40% - Accent4 7 5 2 3" xfId="20506" xr:uid="{00000000-0005-0000-0000-0000BD4F0000}"/>
    <cellStyle name="40% - Accent4 7 5 3" xfId="20507" xr:uid="{00000000-0005-0000-0000-0000BE4F0000}"/>
    <cellStyle name="40% - Accent4 7 5 4" xfId="20508" xr:uid="{00000000-0005-0000-0000-0000BF4F0000}"/>
    <cellStyle name="40% - Accent4 7 6" xfId="20509" xr:uid="{00000000-0005-0000-0000-0000C04F0000}"/>
    <cellStyle name="40% - Accent4 7 6 2" xfId="20510" xr:uid="{00000000-0005-0000-0000-0000C14F0000}"/>
    <cellStyle name="40% - Accent4 7 6 3" xfId="20511" xr:uid="{00000000-0005-0000-0000-0000C24F0000}"/>
    <cellStyle name="40% - Accent4 7 7" xfId="20512" xr:uid="{00000000-0005-0000-0000-0000C34F0000}"/>
    <cellStyle name="40% - Accent4 7 8" xfId="20513" xr:uid="{00000000-0005-0000-0000-0000C44F0000}"/>
    <cellStyle name="40% - Accent4 7 9" xfId="20514" xr:uid="{00000000-0005-0000-0000-0000C54F0000}"/>
    <cellStyle name="40% - Accent4 8" xfId="20515" xr:uid="{00000000-0005-0000-0000-0000C64F0000}"/>
    <cellStyle name="40% - Accent4 8 2" xfId="20516" xr:uid="{00000000-0005-0000-0000-0000C74F0000}"/>
    <cellStyle name="40% - Accent4 8 2 2" xfId="20517" xr:uid="{00000000-0005-0000-0000-0000C84F0000}"/>
    <cellStyle name="40% - Accent4 8 2 2 2" xfId="20518" xr:uid="{00000000-0005-0000-0000-0000C94F0000}"/>
    <cellStyle name="40% - Accent4 8 2 2 2 2" xfId="20519" xr:uid="{00000000-0005-0000-0000-0000CA4F0000}"/>
    <cellStyle name="40% - Accent4 8 2 2 2 2 2" xfId="20520" xr:uid="{00000000-0005-0000-0000-0000CB4F0000}"/>
    <cellStyle name="40% - Accent4 8 2 2 2 2 3" xfId="20521" xr:uid="{00000000-0005-0000-0000-0000CC4F0000}"/>
    <cellStyle name="40% - Accent4 8 2 2 2 3" xfId="20522" xr:uid="{00000000-0005-0000-0000-0000CD4F0000}"/>
    <cellStyle name="40% - Accent4 8 2 2 2 4" xfId="20523" xr:uid="{00000000-0005-0000-0000-0000CE4F0000}"/>
    <cellStyle name="40% - Accent4 8 2 2 3" xfId="20524" xr:uid="{00000000-0005-0000-0000-0000CF4F0000}"/>
    <cellStyle name="40% - Accent4 8 2 2 3 2" xfId="20525" xr:uid="{00000000-0005-0000-0000-0000D04F0000}"/>
    <cellStyle name="40% - Accent4 8 2 2 3 3" xfId="20526" xr:uid="{00000000-0005-0000-0000-0000D14F0000}"/>
    <cellStyle name="40% - Accent4 8 2 2 4" xfId="20527" xr:uid="{00000000-0005-0000-0000-0000D24F0000}"/>
    <cellStyle name="40% - Accent4 8 2 2 5" xfId="20528" xr:uid="{00000000-0005-0000-0000-0000D34F0000}"/>
    <cellStyle name="40% - Accent4 8 2 2 6" xfId="20529" xr:uid="{00000000-0005-0000-0000-0000D44F0000}"/>
    <cellStyle name="40% - Accent4 8 2 3" xfId="20530" xr:uid="{00000000-0005-0000-0000-0000D54F0000}"/>
    <cellStyle name="40% - Accent4 8 2 3 2" xfId="20531" xr:uid="{00000000-0005-0000-0000-0000D64F0000}"/>
    <cellStyle name="40% - Accent4 8 2 3 2 2" xfId="20532" xr:uid="{00000000-0005-0000-0000-0000D74F0000}"/>
    <cellStyle name="40% - Accent4 8 2 3 2 3" xfId="20533" xr:uid="{00000000-0005-0000-0000-0000D84F0000}"/>
    <cellStyle name="40% - Accent4 8 2 3 3" xfId="20534" xr:uid="{00000000-0005-0000-0000-0000D94F0000}"/>
    <cellStyle name="40% - Accent4 8 2 3 4" xfId="20535" xr:uid="{00000000-0005-0000-0000-0000DA4F0000}"/>
    <cellStyle name="40% - Accent4 8 2 4" xfId="20536" xr:uid="{00000000-0005-0000-0000-0000DB4F0000}"/>
    <cellStyle name="40% - Accent4 8 2 4 2" xfId="20537" xr:uid="{00000000-0005-0000-0000-0000DC4F0000}"/>
    <cellStyle name="40% - Accent4 8 2 4 3" xfId="20538" xr:uid="{00000000-0005-0000-0000-0000DD4F0000}"/>
    <cellStyle name="40% - Accent4 8 2 5" xfId="20539" xr:uid="{00000000-0005-0000-0000-0000DE4F0000}"/>
    <cellStyle name="40% - Accent4 8 2 6" xfId="20540" xr:uid="{00000000-0005-0000-0000-0000DF4F0000}"/>
    <cellStyle name="40% - Accent4 8 2 7" xfId="20541" xr:uid="{00000000-0005-0000-0000-0000E04F0000}"/>
    <cellStyle name="40% - Accent4 8 3" xfId="20542" xr:uid="{00000000-0005-0000-0000-0000E14F0000}"/>
    <cellStyle name="40% - Accent4 8 3 2" xfId="20543" xr:uid="{00000000-0005-0000-0000-0000E24F0000}"/>
    <cellStyle name="40% - Accent4 8 3 2 2" xfId="20544" xr:uid="{00000000-0005-0000-0000-0000E34F0000}"/>
    <cellStyle name="40% - Accent4 8 3 2 2 2" xfId="20545" xr:uid="{00000000-0005-0000-0000-0000E44F0000}"/>
    <cellStyle name="40% - Accent4 8 3 2 2 3" xfId="20546" xr:uid="{00000000-0005-0000-0000-0000E54F0000}"/>
    <cellStyle name="40% - Accent4 8 3 2 3" xfId="20547" xr:uid="{00000000-0005-0000-0000-0000E64F0000}"/>
    <cellStyle name="40% - Accent4 8 3 2 4" xfId="20548" xr:uid="{00000000-0005-0000-0000-0000E74F0000}"/>
    <cellStyle name="40% - Accent4 8 3 3" xfId="20549" xr:uid="{00000000-0005-0000-0000-0000E84F0000}"/>
    <cellStyle name="40% - Accent4 8 3 3 2" xfId="20550" xr:uid="{00000000-0005-0000-0000-0000E94F0000}"/>
    <cellStyle name="40% - Accent4 8 3 3 3" xfId="20551" xr:uid="{00000000-0005-0000-0000-0000EA4F0000}"/>
    <cellStyle name="40% - Accent4 8 3 4" xfId="20552" xr:uid="{00000000-0005-0000-0000-0000EB4F0000}"/>
    <cellStyle name="40% - Accent4 8 3 5" xfId="20553" xr:uid="{00000000-0005-0000-0000-0000EC4F0000}"/>
    <cellStyle name="40% - Accent4 8 3 6" xfId="20554" xr:uid="{00000000-0005-0000-0000-0000ED4F0000}"/>
    <cellStyle name="40% - Accent4 8 4" xfId="20555" xr:uid="{00000000-0005-0000-0000-0000EE4F0000}"/>
    <cellStyle name="40% - Accent4 8 4 2" xfId="20556" xr:uid="{00000000-0005-0000-0000-0000EF4F0000}"/>
    <cellStyle name="40% - Accent4 8 4 2 2" xfId="20557" xr:uid="{00000000-0005-0000-0000-0000F04F0000}"/>
    <cellStyle name="40% - Accent4 8 4 2 3" xfId="20558" xr:uid="{00000000-0005-0000-0000-0000F14F0000}"/>
    <cellStyle name="40% - Accent4 8 4 3" xfId="20559" xr:uid="{00000000-0005-0000-0000-0000F24F0000}"/>
    <cellStyle name="40% - Accent4 8 4 4" xfId="20560" xr:uid="{00000000-0005-0000-0000-0000F34F0000}"/>
    <cellStyle name="40% - Accent4 8 5" xfId="20561" xr:uid="{00000000-0005-0000-0000-0000F44F0000}"/>
    <cellStyle name="40% - Accent4 8 5 2" xfId="20562" xr:uid="{00000000-0005-0000-0000-0000F54F0000}"/>
    <cellStyle name="40% - Accent4 8 5 3" xfId="20563" xr:uid="{00000000-0005-0000-0000-0000F64F0000}"/>
    <cellStyle name="40% - Accent4 8 6" xfId="20564" xr:uid="{00000000-0005-0000-0000-0000F74F0000}"/>
    <cellStyle name="40% - Accent4 8 7" xfId="20565" xr:uid="{00000000-0005-0000-0000-0000F84F0000}"/>
    <cellStyle name="40% - Accent4 8 8" xfId="20566" xr:uid="{00000000-0005-0000-0000-0000F94F0000}"/>
    <cellStyle name="40% - Accent4 9" xfId="20567" xr:uid="{00000000-0005-0000-0000-0000FA4F0000}"/>
    <cellStyle name="40% - Accent4 9 2" xfId="20568" xr:uid="{00000000-0005-0000-0000-0000FB4F0000}"/>
    <cellStyle name="40% - Accent4 9 2 2" xfId="20569" xr:uid="{00000000-0005-0000-0000-0000FC4F0000}"/>
    <cellStyle name="40% - Accent4 9 2 2 2" xfId="20570" xr:uid="{00000000-0005-0000-0000-0000FD4F0000}"/>
    <cellStyle name="40% - Accent4 9 2 2 2 2" xfId="20571" xr:uid="{00000000-0005-0000-0000-0000FE4F0000}"/>
    <cellStyle name="40% - Accent4 9 2 2 2 2 2" xfId="20572" xr:uid="{00000000-0005-0000-0000-0000FF4F0000}"/>
    <cellStyle name="40% - Accent4 9 2 2 2 2 3" xfId="20573" xr:uid="{00000000-0005-0000-0000-000000500000}"/>
    <cellStyle name="40% - Accent4 9 2 2 2 3" xfId="20574" xr:uid="{00000000-0005-0000-0000-000001500000}"/>
    <cellStyle name="40% - Accent4 9 2 2 2 4" xfId="20575" xr:uid="{00000000-0005-0000-0000-000002500000}"/>
    <cellStyle name="40% - Accent4 9 2 2 3" xfId="20576" xr:uid="{00000000-0005-0000-0000-000003500000}"/>
    <cellStyle name="40% - Accent4 9 2 2 3 2" xfId="20577" xr:uid="{00000000-0005-0000-0000-000004500000}"/>
    <cellStyle name="40% - Accent4 9 2 2 3 3" xfId="20578" xr:uid="{00000000-0005-0000-0000-000005500000}"/>
    <cellStyle name="40% - Accent4 9 2 2 4" xfId="20579" xr:uid="{00000000-0005-0000-0000-000006500000}"/>
    <cellStyle name="40% - Accent4 9 2 2 5" xfId="20580" xr:uid="{00000000-0005-0000-0000-000007500000}"/>
    <cellStyle name="40% - Accent4 9 2 2 6" xfId="20581" xr:uid="{00000000-0005-0000-0000-000008500000}"/>
    <cellStyle name="40% - Accent4 9 2 3" xfId="20582" xr:uid="{00000000-0005-0000-0000-000009500000}"/>
    <cellStyle name="40% - Accent4 9 2 3 2" xfId="20583" xr:uid="{00000000-0005-0000-0000-00000A500000}"/>
    <cellStyle name="40% - Accent4 9 2 3 2 2" xfId="20584" xr:uid="{00000000-0005-0000-0000-00000B500000}"/>
    <cellStyle name="40% - Accent4 9 2 3 2 3" xfId="20585" xr:uid="{00000000-0005-0000-0000-00000C500000}"/>
    <cellStyle name="40% - Accent4 9 2 3 3" xfId="20586" xr:uid="{00000000-0005-0000-0000-00000D500000}"/>
    <cellStyle name="40% - Accent4 9 2 3 4" xfId="20587" xr:uid="{00000000-0005-0000-0000-00000E500000}"/>
    <cellStyle name="40% - Accent4 9 2 4" xfId="20588" xr:uid="{00000000-0005-0000-0000-00000F500000}"/>
    <cellStyle name="40% - Accent4 9 2 4 2" xfId="20589" xr:uid="{00000000-0005-0000-0000-000010500000}"/>
    <cellStyle name="40% - Accent4 9 2 4 3" xfId="20590" xr:uid="{00000000-0005-0000-0000-000011500000}"/>
    <cellStyle name="40% - Accent4 9 2 5" xfId="20591" xr:uid="{00000000-0005-0000-0000-000012500000}"/>
    <cellStyle name="40% - Accent4 9 2 6" xfId="20592" xr:uid="{00000000-0005-0000-0000-000013500000}"/>
    <cellStyle name="40% - Accent4 9 2 7" xfId="20593" xr:uid="{00000000-0005-0000-0000-000014500000}"/>
    <cellStyle name="40% - Accent4 9 3" xfId="20594" xr:uid="{00000000-0005-0000-0000-000015500000}"/>
    <cellStyle name="40% - Accent4 9 3 2" xfId="20595" xr:uid="{00000000-0005-0000-0000-000016500000}"/>
    <cellStyle name="40% - Accent4 9 3 2 2" xfId="20596" xr:uid="{00000000-0005-0000-0000-000017500000}"/>
    <cellStyle name="40% - Accent4 9 3 2 2 2" xfId="20597" xr:uid="{00000000-0005-0000-0000-000018500000}"/>
    <cellStyle name="40% - Accent4 9 3 2 2 3" xfId="20598" xr:uid="{00000000-0005-0000-0000-000019500000}"/>
    <cellStyle name="40% - Accent4 9 3 2 3" xfId="20599" xr:uid="{00000000-0005-0000-0000-00001A500000}"/>
    <cellStyle name="40% - Accent4 9 3 2 4" xfId="20600" xr:uid="{00000000-0005-0000-0000-00001B500000}"/>
    <cellStyle name="40% - Accent4 9 3 3" xfId="20601" xr:uid="{00000000-0005-0000-0000-00001C500000}"/>
    <cellStyle name="40% - Accent4 9 3 3 2" xfId="20602" xr:uid="{00000000-0005-0000-0000-00001D500000}"/>
    <cellStyle name="40% - Accent4 9 3 3 3" xfId="20603" xr:uid="{00000000-0005-0000-0000-00001E500000}"/>
    <cellStyle name="40% - Accent4 9 3 4" xfId="20604" xr:uid="{00000000-0005-0000-0000-00001F500000}"/>
    <cellStyle name="40% - Accent4 9 3 5" xfId="20605" xr:uid="{00000000-0005-0000-0000-000020500000}"/>
    <cellStyle name="40% - Accent4 9 3 6" xfId="20606" xr:uid="{00000000-0005-0000-0000-000021500000}"/>
    <cellStyle name="40% - Accent4 9 4" xfId="20607" xr:uid="{00000000-0005-0000-0000-000022500000}"/>
    <cellStyle name="40% - Accent4 9 4 2" xfId="20608" xr:uid="{00000000-0005-0000-0000-000023500000}"/>
    <cellStyle name="40% - Accent4 9 4 2 2" xfId="20609" xr:uid="{00000000-0005-0000-0000-000024500000}"/>
    <cellStyle name="40% - Accent4 9 4 2 3" xfId="20610" xr:uid="{00000000-0005-0000-0000-000025500000}"/>
    <cellStyle name="40% - Accent4 9 4 3" xfId="20611" xr:uid="{00000000-0005-0000-0000-000026500000}"/>
    <cellStyle name="40% - Accent4 9 4 4" xfId="20612" xr:uid="{00000000-0005-0000-0000-000027500000}"/>
    <cellStyle name="40% - Accent4 9 5" xfId="20613" xr:uid="{00000000-0005-0000-0000-000028500000}"/>
    <cellStyle name="40% - Accent4 9 5 2" xfId="20614" xr:uid="{00000000-0005-0000-0000-000029500000}"/>
    <cellStyle name="40% - Accent4 9 5 3" xfId="20615" xr:uid="{00000000-0005-0000-0000-00002A500000}"/>
    <cellStyle name="40% - Accent4 9 6" xfId="20616" xr:uid="{00000000-0005-0000-0000-00002B500000}"/>
    <cellStyle name="40% - Accent4 9 7" xfId="20617" xr:uid="{00000000-0005-0000-0000-00002C500000}"/>
    <cellStyle name="40% - Accent4 9 8" xfId="20618" xr:uid="{00000000-0005-0000-0000-00002D500000}"/>
    <cellStyle name="40% - Accent5 10" xfId="20619" xr:uid="{00000000-0005-0000-0000-00002E500000}"/>
    <cellStyle name="40% - Accent5 10 2" xfId="20620" xr:uid="{00000000-0005-0000-0000-00002F500000}"/>
    <cellStyle name="40% - Accent5 10 2 2" xfId="20621" xr:uid="{00000000-0005-0000-0000-000030500000}"/>
    <cellStyle name="40% - Accent5 10 2 2 2" xfId="20622" xr:uid="{00000000-0005-0000-0000-000031500000}"/>
    <cellStyle name="40% - Accent5 10 2 2 2 2" xfId="20623" xr:uid="{00000000-0005-0000-0000-000032500000}"/>
    <cellStyle name="40% - Accent5 10 2 2 2 2 2" xfId="20624" xr:uid="{00000000-0005-0000-0000-000033500000}"/>
    <cellStyle name="40% - Accent5 10 2 2 2 2 3" xfId="20625" xr:uid="{00000000-0005-0000-0000-000034500000}"/>
    <cellStyle name="40% - Accent5 10 2 2 2 3" xfId="20626" xr:uid="{00000000-0005-0000-0000-000035500000}"/>
    <cellStyle name="40% - Accent5 10 2 2 2 4" xfId="20627" xr:uid="{00000000-0005-0000-0000-000036500000}"/>
    <cellStyle name="40% - Accent5 10 2 2 3" xfId="20628" xr:uid="{00000000-0005-0000-0000-000037500000}"/>
    <cellStyle name="40% - Accent5 10 2 2 3 2" xfId="20629" xr:uid="{00000000-0005-0000-0000-000038500000}"/>
    <cellStyle name="40% - Accent5 10 2 2 3 3" xfId="20630" xr:uid="{00000000-0005-0000-0000-000039500000}"/>
    <cellStyle name="40% - Accent5 10 2 2 4" xfId="20631" xr:uid="{00000000-0005-0000-0000-00003A500000}"/>
    <cellStyle name="40% - Accent5 10 2 2 5" xfId="20632" xr:uid="{00000000-0005-0000-0000-00003B500000}"/>
    <cellStyle name="40% - Accent5 10 2 2 6" xfId="20633" xr:uid="{00000000-0005-0000-0000-00003C500000}"/>
    <cellStyle name="40% - Accent5 10 2 3" xfId="20634" xr:uid="{00000000-0005-0000-0000-00003D500000}"/>
    <cellStyle name="40% - Accent5 10 2 3 2" xfId="20635" xr:uid="{00000000-0005-0000-0000-00003E500000}"/>
    <cellStyle name="40% - Accent5 10 2 3 2 2" xfId="20636" xr:uid="{00000000-0005-0000-0000-00003F500000}"/>
    <cellStyle name="40% - Accent5 10 2 3 2 3" xfId="20637" xr:uid="{00000000-0005-0000-0000-000040500000}"/>
    <cellStyle name="40% - Accent5 10 2 3 3" xfId="20638" xr:uid="{00000000-0005-0000-0000-000041500000}"/>
    <cellStyle name="40% - Accent5 10 2 3 4" xfId="20639" xr:uid="{00000000-0005-0000-0000-000042500000}"/>
    <cellStyle name="40% - Accent5 10 2 4" xfId="20640" xr:uid="{00000000-0005-0000-0000-000043500000}"/>
    <cellStyle name="40% - Accent5 10 2 4 2" xfId="20641" xr:uid="{00000000-0005-0000-0000-000044500000}"/>
    <cellStyle name="40% - Accent5 10 2 4 3" xfId="20642" xr:uid="{00000000-0005-0000-0000-000045500000}"/>
    <cellStyle name="40% - Accent5 10 2 5" xfId="20643" xr:uid="{00000000-0005-0000-0000-000046500000}"/>
    <cellStyle name="40% - Accent5 10 2 6" xfId="20644" xr:uid="{00000000-0005-0000-0000-000047500000}"/>
    <cellStyle name="40% - Accent5 10 2 7" xfId="20645" xr:uid="{00000000-0005-0000-0000-000048500000}"/>
    <cellStyle name="40% - Accent5 10 3" xfId="20646" xr:uid="{00000000-0005-0000-0000-000049500000}"/>
    <cellStyle name="40% - Accent5 10 3 2" xfId="20647" xr:uid="{00000000-0005-0000-0000-00004A500000}"/>
    <cellStyle name="40% - Accent5 10 3 2 2" xfId="20648" xr:uid="{00000000-0005-0000-0000-00004B500000}"/>
    <cellStyle name="40% - Accent5 10 3 2 2 2" xfId="20649" xr:uid="{00000000-0005-0000-0000-00004C500000}"/>
    <cellStyle name="40% - Accent5 10 3 2 2 3" xfId="20650" xr:uid="{00000000-0005-0000-0000-00004D500000}"/>
    <cellStyle name="40% - Accent5 10 3 2 3" xfId="20651" xr:uid="{00000000-0005-0000-0000-00004E500000}"/>
    <cellStyle name="40% - Accent5 10 3 2 4" xfId="20652" xr:uid="{00000000-0005-0000-0000-00004F500000}"/>
    <cellStyle name="40% - Accent5 10 3 3" xfId="20653" xr:uid="{00000000-0005-0000-0000-000050500000}"/>
    <cellStyle name="40% - Accent5 10 3 3 2" xfId="20654" xr:uid="{00000000-0005-0000-0000-000051500000}"/>
    <cellStyle name="40% - Accent5 10 3 3 3" xfId="20655" xr:uid="{00000000-0005-0000-0000-000052500000}"/>
    <cellStyle name="40% - Accent5 10 3 4" xfId="20656" xr:uid="{00000000-0005-0000-0000-000053500000}"/>
    <cellStyle name="40% - Accent5 10 3 5" xfId="20657" xr:uid="{00000000-0005-0000-0000-000054500000}"/>
    <cellStyle name="40% - Accent5 10 3 6" xfId="20658" xr:uid="{00000000-0005-0000-0000-000055500000}"/>
    <cellStyle name="40% - Accent5 10 4" xfId="20659" xr:uid="{00000000-0005-0000-0000-000056500000}"/>
    <cellStyle name="40% - Accent5 10 4 2" xfId="20660" xr:uid="{00000000-0005-0000-0000-000057500000}"/>
    <cellStyle name="40% - Accent5 10 4 2 2" xfId="20661" xr:uid="{00000000-0005-0000-0000-000058500000}"/>
    <cellStyle name="40% - Accent5 10 4 2 3" xfId="20662" xr:uid="{00000000-0005-0000-0000-000059500000}"/>
    <cellStyle name="40% - Accent5 10 4 3" xfId="20663" xr:uid="{00000000-0005-0000-0000-00005A500000}"/>
    <cellStyle name="40% - Accent5 10 4 4" xfId="20664" xr:uid="{00000000-0005-0000-0000-00005B500000}"/>
    <cellStyle name="40% - Accent5 10 5" xfId="20665" xr:uid="{00000000-0005-0000-0000-00005C500000}"/>
    <cellStyle name="40% - Accent5 10 5 2" xfId="20666" xr:uid="{00000000-0005-0000-0000-00005D500000}"/>
    <cellStyle name="40% - Accent5 10 5 3" xfId="20667" xr:uid="{00000000-0005-0000-0000-00005E500000}"/>
    <cellStyle name="40% - Accent5 10 6" xfId="20668" xr:uid="{00000000-0005-0000-0000-00005F500000}"/>
    <cellStyle name="40% - Accent5 10 7" xfId="20669" xr:uid="{00000000-0005-0000-0000-000060500000}"/>
    <cellStyle name="40% - Accent5 10 8" xfId="20670" xr:uid="{00000000-0005-0000-0000-000061500000}"/>
    <cellStyle name="40% - Accent5 11" xfId="20671" xr:uid="{00000000-0005-0000-0000-000062500000}"/>
    <cellStyle name="40% - Accent5 11 2" xfId="20672" xr:uid="{00000000-0005-0000-0000-000063500000}"/>
    <cellStyle name="40% - Accent5 11 2 2" xfId="20673" xr:uid="{00000000-0005-0000-0000-000064500000}"/>
    <cellStyle name="40% - Accent5 11 2 2 2" xfId="20674" xr:uid="{00000000-0005-0000-0000-000065500000}"/>
    <cellStyle name="40% - Accent5 11 2 2 2 2" xfId="20675" xr:uid="{00000000-0005-0000-0000-000066500000}"/>
    <cellStyle name="40% - Accent5 11 2 2 2 3" xfId="20676" xr:uid="{00000000-0005-0000-0000-000067500000}"/>
    <cellStyle name="40% - Accent5 11 2 2 3" xfId="20677" xr:uid="{00000000-0005-0000-0000-000068500000}"/>
    <cellStyle name="40% - Accent5 11 2 2 4" xfId="20678" xr:uid="{00000000-0005-0000-0000-000069500000}"/>
    <cellStyle name="40% - Accent5 11 2 3" xfId="20679" xr:uid="{00000000-0005-0000-0000-00006A500000}"/>
    <cellStyle name="40% - Accent5 11 2 3 2" xfId="20680" xr:uid="{00000000-0005-0000-0000-00006B500000}"/>
    <cellStyle name="40% - Accent5 11 2 3 3" xfId="20681" xr:uid="{00000000-0005-0000-0000-00006C500000}"/>
    <cellStyle name="40% - Accent5 11 2 4" xfId="20682" xr:uid="{00000000-0005-0000-0000-00006D500000}"/>
    <cellStyle name="40% - Accent5 11 2 5" xfId="20683" xr:uid="{00000000-0005-0000-0000-00006E500000}"/>
    <cellStyle name="40% - Accent5 11 2 6" xfId="20684" xr:uid="{00000000-0005-0000-0000-00006F500000}"/>
    <cellStyle name="40% - Accent5 11 3" xfId="20685" xr:uid="{00000000-0005-0000-0000-000070500000}"/>
    <cellStyle name="40% - Accent5 11 3 2" xfId="20686" xr:uid="{00000000-0005-0000-0000-000071500000}"/>
    <cellStyle name="40% - Accent5 11 3 2 2" xfId="20687" xr:uid="{00000000-0005-0000-0000-000072500000}"/>
    <cellStyle name="40% - Accent5 11 3 2 3" xfId="20688" xr:uid="{00000000-0005-0000-0000-000073500000}"/>
    <cellStyle name="40% - Accent5 11 3 3" xfId="20689" xr:uid="{00000000-0005-0000-0000-000074500000}"/>
    <cellStyle name="40% - Accent5 11 3 4" xfId="20690" xr:uid="{00000000-0005-0000-0000-000075500000}"/>
    <cellStyle name="40% - Accent5 11 4" xfId="20691" xr:uid="{00000000-0005-0000-0000-000076500000}"/>
    <cellStyle name="40% - Accent5 11 4 2" xfId="20692" xr:uid="{00000000-0005-0000-0000-000077500000}"/>
    <cellStyle name="40% - Accent5 11 4 3" xfId="20693" xr:uid="{00000000-0005-0000-0000-000078500000}"/>
    <cellStyle name="40% - Accent5 11 5" xfId="20694" xr:uid="{00000000-0005-0000-0000-000079500000}"/>
    <cellStyle name="40% - Accent5 11 6" xfId="20695" xr:uid="{00000000-0005-0000-0000-00007A500000}"/>
    <cellStyle name="40% - Accent5 11 7" xfId="20696" xr:uid="{00000000-0005-0000-0000-00007B500000}"/>
    <cellStyle name="40% - Accent5 12" xfId="20697" xr:uid="{00000000-0005-0000-0000-00007C500000}"/>
    <cellStyle name="40% - Accent5 12 2" xfId="20698" xr:uid="{00000000-0005-0000-0000-00007D500000}"/>
    <cellStyle name="40% - Accent5 12 2 2" xfId="20699" xr:uid="{00000000-0005-0000-0000-00007E500000}"/>
    <cellStyle name="40% - Accent5 12 2 2 2" xfId="20700" xr:uid="{00000000-0005-0000-0000-00007F500000}"/>
    <cellStyle name="40% - Accent5 12 2 2 3" xfId="20701" xr:uid="{00000000-0005-0000-0000-000080500000}"/>
    <cellStyle name="40% - Accent5 12 2 3" xfId="20702" xr:uid="{00000000-0005-0000-0000-000081500000}"/>
    <cellStyle name="40% - Accent5 12 2 4" xfId="20703" xr:uid="{00000000-0005-0000-0000-000082500000}"/>
    <cellStyle name="40% - Accent5 12 3" xfId="20704" xr:uid="{00000000-0005-0000-0000-000083500000}"/>
    <cellStyle name="40% - Accent5 12 3 2" xfId="20705" xr:uid="{00000000-0005-0000-0000-000084500000}"/>
    <cellStyle name="40% - Accent5 12 3 3" xfId="20706" xr:uid="{00000000-0005-0000-0000-000085500000}"/>
    <cellStyle name="40% - Accent5 12 4" xfId="20707" xr:uid="{00000000-0005-0000-0000-000086500000}"/>
    <cellStyle name="40% - Accent5 12 5" xfId="20708" xr:uid="{00000000-0005-0000-0000-000087500000}"/>
    <cellStyle name="40% - Accent5 12 6" xfId="20709" xr:uid="{00000000-0005-0000-0000-000088500000}"/>
    <cellStyle name="40% - Accent5 13" xfId="20710" xr:uid="{00000000-0005-0000-0000-000089500000}"/>
    <cellStyle name="40% - Accent5 13 2" xfId="20711" xr:uid="{00000000-0005-0000-0000-00008A500000}"/>
    <cellStyle name="40% - Accent5 13 2 2" xfId="20712" xr:uid="{00000000-0005-0000-0000-00008B500000}"/>
    <cellStyle name="40% - Accent5 13 2 2 2" xfId="20713" xr:uid="{00000000-0005-0000-0000-00008C500000}"/>
    <cellStyle name="40% - Accent5 13 2 2 3" xfId="20714" xr:uid="{00000000-0005-0000-0000-00008D500000}"/>
    <cellStyle name="40% - Accent5 13 2 3" xfId="20715" xr:uid="{00000000-0005-0000-0000-00008E500000}"/>
    <cellStyle name="40% - Accent5 13 2 4" xfId="20716" xr:uid="{00000000-0005-0000-0000-00008F500000}"/>
    <cellStyle name="40% - Accent5 13 3" xfId="20717" xr:uid="{00000000-0005-0000-0000-000090500000}"/>
    <cellStyle name="40% - Accent5 13 3 2" xfId="20718" xr:uid="{00000000-0005-0000-0000-000091500000}"/>
    <cellStyle name="40% - Accent5 13 3 3" xfId="20719" xr:uid="{00000000-0005-0000-0000-000092500000}"/>
    <cellStyle name="40% - Accent5 13 4" xfId="20720" xr:uid="{00000000-0005-0000-0000-000093500000}"/>
    <cellStyle name="40% - Accent5 13 5" xfId="20721" xr:uid="{00000000-0005-0000-0000-000094500000}"/>
    <cellStyle name="40% - Accent5 13 6" xfId="20722" xr:uid="{00000000-0005-0000-0000-000095500000}"/>
    <cellStyle name="40% - Accent5 14" xfId="20723" xr:uid="{00000000-0005-0000-0000-000096500000}"/>
    <cellStyle name="40% - Accent5 14 2" xfId="20724" xr:uid="{00000000-0005-0000-0000-000097500000}"/>
    <cellStyle name="40% - Accent5 14 2 2" xfId="20725" xr:uid="{00000000-0005-0000-0000-000098500000}"/>
    <cellStyle name="40% - Accent5 14 2 3" xfId="20726" xr:uid="{00000000-0005-0000-0000-000099500000}"/>
    <cellStyle name="40% - Accent5 14 3" xfId="20727" xr:uid="{00000000-0005-0000-0000-00009A500000}"/>
    <cellStyle name="40% - Accent5 14 4" xfId="20728" xr:uid="{00000000-0005-0000-0000-00009B500000}"/>
    <cellStyle name="40% - Accent5 15" xfId="20729" xr:uid="{00000000-0005-0000-0000-00009C500000}"/>
    <cellStyle name="40% - Accent5 16" xfId="20730" xr:uid="{00000000-0005-0000-0000-00009D500000}"/>
    <cellStyle name="40% - Accent5 17" xfId="20731" xr:uid="{00000000-0005-0000-0000-00009E500000}"/>
    <cellStyle name="40% - Accent5 2" xfId="20732" xr:uid="{00000000-0005-0000-0000-00009F500000}"/>
    <cellStyle name="40% - Accent5 2 2" xfId="20733" xr:uid="{00000000-0005-0000-0000-0000A0500000}"/>
    <cellStyle name="40% - Accent5 3" xfId="20734" xr:uid="{00000000-0005-0000-0000-0000A1500000}"/>
    <cellStyle name="40% - Accent5 3 10" xfId="20735" xr:uid="{00000000-0005-0000-0000-0000A2500000}"/>
    <cellStyle name="40% - Accent5 3 10 2" xfId="20736" xr:uid="{00000000-0005-0000-0000-0000A3500000}"/>
    <cellStyle name="40% - Accent5 3 10 2 2" xfId="20737" xr:uid="{00000000-0005-0000-0000-0000A4500000}"/>
    <cellStyle name="40% - Accent5 3 10 2 2 2" xfId="20738" xr:uid="{00000000-0005-0000-0000-0000A5500000}"/>
    <cellStyle name="40% - Accent5 3 10 2 2 3" xfId="20739" xr:uid="{00000000-0005-0000-0000-0000A6500000}"/>
    <cellStyle name="40% - Accent5 3 10 2 3" xfId="20740" xr:uid="{00000000-0005-0000-0000-0000A7500000}"/>
    <cellStyle name="40% - Accent5 3 10 2 4" xfId="20741" xr:uid="{00000000-0005-0000-0000-0000A8500000}"/>
    <cellStyle name="40% - Accent5 3 10 3" xfId="20742" xr:uid="{00000000-0005-0000-0000-0000A9500000}"/>
    <cellStyle name="40% - Accent5 3 10 3 2" xfId="20743" xr:uid="{00000000-0005-0000-0000-0000AA500000}"/>
    <cellStyle name="40% - Accent5 3 10 3 3" xfId="20744" xr:uid="{00000000-0005-0000-0000-0000AB500000}"/>
    <cellStyle name="40% - Accent5 3 10 4" xfId="20745" xr:uid="{00000000-0005-0000-0000-0000AC500000}"/>
    <cellStyle name="40% - Accent5 3 10 5" xfId="20746" xr:uid="{00000000-0005-0000-0000-0000AD500000}"/>
    <cellStyle name="40% - Accent5 3 10 6" xfId="20747" xr:uid="{00000000-0005-0000-0000-0000AE500000}"/>
    <cellStyle name="40% - Accent5 3 11" xfId="20748" xr:uid="{00000000-0005-0000-0000-0000AF500000}"/>
    <cellStyle name="40% - Accent5 3 11 2" xfId="20749" xr:uid="{00000000-0005-0000-0000-0000B0500000}"/>
    <cellStyle name="40% - Accent5 3 11 2 2" xfId="20750" xr:uid="{00000000-0005-0000-0000-0000B1500000}"/>
    <cellStyle name="40% - Accent5 3 11 2 3" xfId="20751" xr:uid="{00000000-0005-0000-0000-0000B2500000}"/>
    <cellStyle name="40% - Accent5 3 11 3" xfId="20752" xr:uid="{00000000-0005-0000-0000-0000B3500000}"/>
    <cellStyle name="40% - Accent5 3 11 4" xfId="20753" xr:uid="{00000000-0005-0000-0000-0000B4500000}"/>
    <cellStyle name="40% - Accent5 3 12" xfId="20754" xr:uid="{00000000-0005-0000-0000-0000B5500000}"/>
    <cellStyle name="40% - Accent5 3 12 2" xfId="20755" xr:uid="{00000000-0005-0000-0000-0000B6500000}"/>
    <cellStyle name="40% - Accent5 3 12 3" xfId="20756" xr:uid="{00000000-0005-0000-0000-0000B7500000}"/>
    <cellStyle name="40% - Accent5 3 13" xfId="20757" xr:uid="{00000000-0005-0000-0000-0000B8500000}"/>
    <cellStyle name="40% - Accent5 3 14" xfId="20758" xr:uid="{00000000-0005-0000-0000-0000B9500000}"/>
    <cellStyle name="40% - Accent5 3 15" xfId="20759" xr:uid="{00000000-0005-0000-0000-0000BA500000}"/>
    <cellStyle name="40% - Accent5 3 2" xfId="20760" xr:uid="{00000000-0005-0000-0000-0000BB500000}"/>
    <cellStyle name="40% - Accent5 3 2 10" xfId="20761" xr:uid="{00000000-0005-0000-0000-0000BC500000}"/>
    <cellStyle name="40% - Accent5 3 2 11" xfId="20762" xr:uid="{00000000-0005-0000-0000-0000BD500000}"/>
    <cellStyle name="40% - Accent5 3 2 2" xfId="20763" xr:uid="{00000000-0005-0000-0000-0000BE500000}"/>
    <cellStyle name="40% - Accent5 3 2 2 10" xfId="20764" xr:uid="{00000000-0005-0000-0000-0000BF500000}"/>
    <cellStyle name="40% - Accent5 3 2 2 2" xfId="20765" xr:uid="{00000000-0005-0000-0000-0000C0500000}"/>
    <cellStyle name="40% - Accent5 3 2 2 2 2" xfId="20766" xr:uid="{00000000-0005-0000-0000-0000C1500000}"/>
    <cellStyle name="40% - Accent5 3 2 2 2 2 2" xfId="20767" xr:uid="{00000000-0005-0000-0000-0000C2500000}"/>
    <cellStyle name="40% - Accent5 3 2 2 2 2 2 2" xfId="20768" xr:uid="{00000000-0005-0000-0000-0000C3500000}"/>
    <cellStyle name="40% - Accent5 3 2 2 2 2 2 2 2" xfId="20769" xr:uid="{00000000-0005-0000-0000-0000C4500000}"/>
    <cellStyle name="40% - Accent5 3 2 2 2 2 2 2 2 2" xfId="20770" xr:uid="{00000000-0005-0000-0000-0000C5500000}"/>
    <cellStyle name="40% - Accent5 3 2 2 2 2 2 2 2 2 2" xfId="20771" xr:uid="{00000000-0005-0000-0000-0000C6500000}"/>
    <cellStyle name="40% - Accent5 3 2 2 2 2 2 2 2 2 3" xfId="20772" xr:uid="{00000000-0005-0000-0000-0000C7500000}"/>
    <cellStyle name="40% - Accent5 3 2 2 2 2 2 2 2 3" xfId="20773" xr:uid="{00000000-0005-0000-0000-0000C8500000}"/>
    <cellStyle name="40% - Accent5 3 2 2 2 2 2 2 2 4" xfId="20774" xr:uid="{00000000-0005-0000-0000-0000C9500000}"/>
    <cellStyle name="40% - Accent5 3 2 2 2 2 2 2 3" xfId="20775" xr:uid="{00000000-0005-0000-0000-0000CA500000}"/>
    <cellStyle name="40% - Accent5 3 2 2 2 2 2 2 3 2" xfId="20776" xr:uid="{00000000-0005-0000-0000-0000CB500000}"/>
    <cellStyle name="40% - Accent5 3 2 2 2 2 2 2 3 3" xfId="20777" xr:uid="{00000000-0005-0000-0000-0000CC500000}"/>
    <cellStyle name="40% - Accent5 3 2 2 2 2 2 2 4" xfId="20778" xr:uid="{00000000-0005-0000-0000-0000CD500000}"/>
    <cellStyle name="40% - Accent5 3 2 2 2 2 2 2 5" xfId="20779" xr:uid="{00000000-0005-0000-0000-0000CE500000}"/>
    <cellStyle name="40% - Accent5 3 2 2 2 2 2 2 6" xfId="20780" xr:uid="{00000000-0005-0000-0000-0000CF500000}"/>
    <cellStyle name="40% - Accent5 3 2 2 2 2 2 3" xfId="20781" xr:uid="{00000000-0005-0000-0000-0000D0500000}"/>
    <cellStyle name="40% - Accent5 3 2 2 2 2 2 3 2" xfId="20782" xr:uid="{00000000-0005-0000-0000-0000D1500000}"/>
    <cellStyle name="40% - Accent5 3 2 2 2 2 2 3 2 2" xfId="20783" xr:uid="{00000000-0005-0000-0000-0000D2500000}"/>
    <cellStyle name="40% - Accent5 3 2 2 2 2 2 3 2 3" xfId="20784" xr:uid="{00000000-0005-0000-0000-0000D3500000}"/>
    <cellStyle name="40% - Accent5 3 2 2 2 2 2 3 3" xfId="20785" xr:uid="{00000000-0005-0000-0000-0000D4500000}"/>
    <cellStyle name="40% - Accent5 3 2 2 2 2 2 3 4" xfId="20786" xr:uid="{00000000-0005-0000-0000-0000D5500000}"/>
    <cellStyle name="40% - Accent5 3 2 2 2 2 2 4" xfId="20787" xr:uid="{00000000-0005-0000-0000-0000D6500000}"/>
    <cellStyle name="40% - Accent5 3 2 2 2 2 2 4 2" xfId="20788" xr:uid="{00000000-0005-0000-0000-0000D7500000}"/>
    <cellStyle name="40% - Accent5 3 2 2 2 2 2 4 3" xfId="20789" xr:uid="{00000000-0005-0000-0000-0000D8500000}"/>
    <cellStyle name="40% - Accent5 3 2 2 2 2 2 5" xfId="20790" xr:uid="{00000000-0005-0000-0000-0000D9500000}"/>
    <cellStyle name="40% - Accent5 3 2 2 2 2 2 6" xfId="20791" xr:uid="{00000000-0005-0000-0000-0000DA500000}"/>
    <cellStyle name="40% - Accent5 3 2 2 2 2 2 7" xfId="20792" xr:uid="{00000000-0005-0000-0000-0000DB500000}"/>
    <cellStyle name="40% - Accent5 3 2 2 2 2 3" xfId="20793" xr:uid="{00000000-0005-0000-0000-0000DC500000}"/>
    <cellStyle name="40% - Accent5 3 2 2 2 2 3 2" xfId="20794" xr:uid="{00000000-0005-0000-0000-0000DD500000}"/>
    <cellStyle name="40% - Accent5 3 2 2 2 2 3 2 2" xfId="20795" xr:uid="{00000000-0005-0000-0000-0000DE500000}"/>
    <cellStyle name="40% - Accent5 3 2 2 2 2 3 2 2 2" xfId="20796" xr:uid="{00000000-0005-0000-0000-0000DF500000}"/>
    <cellStyle name="40% - Accent5 3 2 2 2 2 3 2 2 3" xfId="20797" xr:uid="{00000000-0005-0000-0000-0000E0500000}"/>
    <cellStyle name="40% - Accent5 3 2 2 2 2 3 2 3" xfId="20798" xr:uid="{00000000-0005-0000-0000-0000E1500000}"/>
    <cellStyle name="40% - Accent5 3 2 2 2 2 3 2 4" xfId="20799" xr:uid="{00000000-0005-0000-0000-0000E2500000}"/>
    <cellStyle name="40% - Accent5 3 2 2 2 2 3 3" xfId="20800" xr:uid="{00000000-0005-0000-0000-0000E3500000}"/>
    <cellStyle name="40% - Accent5 3 2 2 2 2 3 3 2" xfId="20801" xr:uid="{00000000-0005-0000-0000-0000E4500000}"/>
    <cellStyle name="40% - Accent5 3 2 2 2 2 3 3 3" xfId="20802" xr:uid="{00000000-0005-0000-0000-0000E5500000}"/>
    <cellStyle name="40% - Accent5 3 2 2 2 2 3 4" xfId="20803" xr:uid="{00000000-0005-0000-0000-0000E6500000}"/>
    <cellStyle name="40% - Accent5 3 2 2 2 2 3 5" xfId="20804" xr:uid="{00000000-0005-0000-0000-0000E7500000}"/>
    <cellStyle name="40% - Accent5 3 2 2 2 2 3 6" xfId="20805" xr:uid="{00000000-0005-0000-0000-0000E8500000}"/>
    <cellStyle name="40% - Accent5 3 2 2 2 2 4" xfId="20806" xr:uid="{00000000-0005-0000-0000-0000E9500000}"/>
    <cellStyle name="40% - Accent5 3 2 2 2 2 4 2" xfId="20807" xr:uid="{00000000-0005-0000-0000-0000EA500000}"/>
    <cellStyle name="40% - Accent5 3 2 2 2 2 4 2 2" xfId="20808" xr:uid="{00000000-0005-0000-0000-0000EB500000}"/>
    <cellStyle name="40% - Accent5 3 2 2 2 2 4 2 3" xfId="20809" xr:uid="{00000000-0005-0000-0000-0000EC500000}"/>
    <cellStyle name="40% - Accent5 3 2 2 2 2 4 3" xfId="20810" xr:uid="{00000000-0005-0000-0000-0000ED500000}"/>
    <cellStyle name="40% - Accent5 3 2 2 2 2 4 4" xfId="20811" xr:uid="{00000000-0005-0000-0000-0000EE500000}"/>
    <cellStyle name="40% - Accent5 3 2 2 2 2 5" xfId="20812" xr:uid="{00000000-0005-0000-0000-0000EF500000}"/>
    <cellStyle name="40% - Accent5 3 2 2 2 2 5 2" xfId="20813" xr:uid="{00000000-0005-0000-0000-0000F0500000}"/>
    <cellStyle name="40% - Accent5 3 2 2 2 2 5 3" xfId="20814" xr:uid="{00000000-0005-0000-0000-0000F1500000}"/>
    <cellStyle name="40% - Accent5 3 2 2 2 2 6" xfId="20815" xr:uid="{00000000-0005-0000-0000-0000F2500000}"/>
    <cellStyle name="40% - Accent5 3 2 2 2 2 7" xfId="20816" xr:uid="{00000000-0005-0000-0000-0000F3500000}"/>
    <cellStyle name="40% - Accent5 3 2 2 2 2 8" xfId="20817" xr:uid="{00000000-0005-0000-0000-0000F4500000}"/>
    <cellStyle name="40% - Accent5 3 2 2 2 3" xfId="20818" xr:uid="{00000000-0005-0000-0000-0000F5500000}"/>
    <cellStyle name="40% - Accent5 3 2 2 2 3 2" xfId="20819" xr:uid="{00000000-0005-0000-0000-0000F6500000}"/>
    <cellStyle name="40% - Accent5 3 2 2 2 3 2 2" xfId="20820" xr:uid="{00000000-0005-0000-0000-0000F7500000}"/>
    <cellStyle name="40% - Accent5 3 2 2 2 3 2 2 2" xfId="20821" xr:uid="{00000000-0005-0000-0000-0000F8500000}"/>
    <cellStyle name="40% - Accent5 3 2 2 2 3 2 2 2 2" xfId="20822" xr:uid="{00000000-0005-0000-0000-0000F9500000}"/>
    <cellStyle name="40% - Accent5 3 2 2 2 3 2 2 2 3" xfId="20823" xr:uid="{00000000-0005-0000-0000-0000FA500000}"/>
    <cellStyle name="40% - Accent5 3 2 2 2 3 2 2 3" xfId="20824" xr:uid="{00000000-0005-0000-0000-0000FB500000}"/>
    <cellStyle name="40% - Accent5 3 2 2 2 3 2 2 4" xfId="20825" xr:uid="{00000000-0005-0000-0000-0000FC500000}"/>
    <cellStyle name="40% - Accent5 3 2 2 2 3 2 3" xfId="20826" xr:uid="{00000000-0005-0000-0000-0000FD500000}"/>
    <cellStyle name="40% - Accent5 3 2 2 2 3 2 3 2" xfId="20827" xr:uid="{00000000-0005-0000-0000-0000FE500000}"/>
    <cellStyle name="40% - Accent5 3 2 2 2 3 2 3 3" xfId="20828" xr:uid="{00000000-0005-0000-0000-0000FF500000}"/>
    <cellStyle name="40% - Accent5 3 2 2 2 3 2 4" xfId="20829" xr:uid="{00000000-0005-0000-0000-000000510000}"/>
    <cellStyle name="40% - Accent5 3 2 2 2 3 2 5" xfId="20830" xr:uid="{00000000-0005-0000-0000-000001510000}"/>
    <cellStyle name="40% - Accent5 3 2 2 2 3 2 6" xfId="20831" xr:uid="{00000000-0005-0000-0000-000002510000}"/>
    <cellStyle name="40% - Accent5 3 2 2 2 3 3" xfId="20832" xr:uid="{00000000-0005-0000-0000-000003510000}"/>
    <cellStyle name="40% - Accent5 3 2 2 2 3 3 2" xfId="20833" xr:uid="{00000000-0005-0000-0000-000004510000}"/>
    <cellStyle name="40% - Accent5 3 2 2 2 3 3 2 2" xfId="20834" xr:uid="{00000000-0005-0000-0000-000005510000}"/>
    <cellStyle name="40% - Accent5 3 2 2 2 3 3 2 3" xfId="20835" xr:uid="{00000000-0005-0000-0000-000006510000}"/>
    <cellStyle name="40% - Accent5 3 2 2 2 3 3 3" xfId="20836" xr:uid="{00000000-0005-0000-0000-000007510000}"/>
    <cellStyle name="40% - Accent5 3 2 2 2 3 3 4" xfId="20837" xr:uid="{00000000-0005-0000-0000-000008510000}"/>
    <cellStyle name="40% - Accent5 3 2 2 2 3 4" xfId="20838" xr:uid="{00000000-0005-0000-0000-000009510000}"/>
    <cellStyle name="40% - Accent5 3 2 2 2 3 4 2" xfId="20839" xr:uid="{00000000-0005-0000-0000-00000A510000}"/>
    <cellStyle name="40% - Accent5 3 2 2 2 3 4 3" xfId="20840" xr:uid="{00000000-0005-0000-0000-00000B510000}"/>
    <cellStyle name="40% - Accent5 3 2 2 2 3 5" xfId="20841" xr:uid="{00000000-0005-0000-0000-00000C510000}"/>
    <cellStyle name="40% - Accent5 3 2 2 2 3 6" xfId="20842" xr:uid="{00000000-0005-0000-0000-00000D510000}"/>
    <cellStyle name="40% - Accent5 3 2 2 2 3 7" xfId="20843" xr:uid="{00000000-0005-0000-0000-00000E510000}"/>
    <cellStyle name="40% - Accent5 3 2 2 2 4" xfId="20844" xr:uid="{00000000-0005-0000-0000-00000F510000}"/>
    <cellStyle name="40% - Accent5 3 2 2 2 4 2" xfId="20845" xr:uid="{00000000-0005-0000-0000-000010510000}"/>
    <cellStyle name="40% - Accent5 3 2 2 2 4 2 2" xfId="20846" xr:uid="{00000000-0005-0000-0000-000011510000}"/>
    <cellStyle name="40% - Accent5 3 2 2 2 4 2 2 2" xfId="20847" xr:uid="{00000000-0005-0000-0000-000012510000}"/>
    <cellStyle name="40% - Accent5 3 2 2 2 4 2 2 3" xfId="20848" xr:uid="{00000000-0005-0000-0000-000013510000}"/>
    <cellStyle name="40% - Accent5 3 2 2 2 4 2 3" xfId="20849" xr:uid="{00000000-0005-0000-0000-000014510000}"/>
    <cellStyle name="40% - Accent5 3 2 2 2 4 2 4" xfId="20850" xr:uid="{00000000-0005-0000-0000-000015510000}"/>
    <cellStyle name="40% - Accent5 3 2 2 2 4 3" xfId="20851" xr:uid="{00000000-0005-0000-0000-000016510000}"/>
    <cellStyle name="40% - Accent5 3 2 2 2 4 3 2" xfId="20852" xr:uid="{00000000-0005-0000-0000-000017510000}"/>
    <cellStyle name="40% - Accent5 3 2 2 2 4 3 3" xfId="20853" xr:uid="{00000000-0005-0000-0000-000018510000}"/>
    <cellStyle name="40% - Accent5 3 2 2 2 4 4" xfId="20854" xr:uid="{00000000-0005-0000-0000-000019510000}"/>
    <cellStyle name="40% - Accent5 3 2 2 2 4 5" xfId="20855" xr:uid="{00000000-0005-0000-0000-00001A510000}"/>
    <cellStyle name="40% - Accent5 3 2 2 2 4 6" xfId="20856" xr:uid="{00000000-0005-0000-0000-00001B510000}"/>
    <cellStyle name="40% - Accent5 3 2 2 2 5" xfId="20857" xr:uid="{00000000-0005-0000-0000-00001C510000}"/>
    <cellStyle name="40% - Accent5 3 2 2 2 5 2" xfId="20858" xr:uid="{00000000-0005-0000-0000-00001D510000}"/>
    <cellStyle name="40% - Accent5 3 2 2 2 5 2 2" xfId="20859" xr:uid="{00000000-0005-0000-0000-00001E510000}"/>
    <cellStyle name="40% - Accent5 3 2 2 2 5 2 3" xfId="20860" xr:uid="{00000000-0005-0000-0000-00001F510000}"/>
    <cellStyle name="40% - Accent5 3 2 2 2 5 3" xfId="20861" xr:uid="{00000000-0005-0000-0000-000020510000}"/>
    <cellStyle name="40% - Accent5 3 2 2 2 5 4" xfId="20862" xr:uid="{00000000-0005-0000-0000-000021510000}"/>
    <cellStyle name="40% - Accent5 3 2 2 2 6" xfId="20863" xr:uid="{00000000-0005-0000-0000-000022510000}"/>
    <cellStyle name="40% - Accent5 3 2 2 2 6 2" xfId="20864" xr:uid="{00000000-0005-0000-0000-000023510000}"/>
    <cellStyle name="40% - Accent5 3 2 2 2 6 3" xfId="20865" xr:uid="{00000000-0005-0000-0000-000024510000}"/>
    <cellStyle name="40% - Accent5 3 2 2 2 7" xfId="20866" xr:uid="{00000000-0005-0000-0000-000025510000}"/>
    <cellStyle name="40% - Accent5 3 2 2 2 8" xfId="20867" xr:uid="{00000000-0005-0000-0000-000026510000}"/>
    <cellStyle name="40% - Accent5 3 2 2 2 9" xfId="20868" xr:uid="{00000000-0005-0000-0000-000027510000}"/>
    <cellStyle name="40% - Accent5 3 2 2 3" xfId="20869" xr:uid="{00000000-0005-0000-0000-000028510000}"/>
    <cellStyle name="40% - Accent5 3 2 2 3 2" xfId="20870" xr:uid="{00000000-0005-0000-0000-000029510000}"/>
    <cellStyle name="40% - Accent5 3 2 2 3 2 2" xfId="20871" xr:uid="{00000000-0005-0000-0000-00002A510000}"/>
    <cellStyle name="40% - Accent5 3 2 2 3 2 2 2" xfId="20872" xr:uid="{00000000-0005-0000-0000-00002B510000}"/>
    <cellStyle name="40% - Accent5 3 2 2 3 2 2 2 2" xfId="20873" xr:uid="{00000000-0005-0000-0000-00002C510000}"/>
    <cellStyle name="40% - Accent5 3 2 2 3 2 2 2 2 2" xfId="20874" xr:uid="{00000000-0005-0000-0000-00002D510000}"/>
    <cellStyle name="40% - Accent5 3 2 2 3 2 2 2 2 3" xfId="20875" xr:uid="{00000000-0005-0000-0000-00002E510000}"/>
    <cellStyle name="40% - Accent5 3 2 2 3 2 2 2 3" xfId="20876" xr:uid="{00000000-0005-0000-0000-00002F510000}"/>
    <cellStyle name="40% - Accent5 3 2 2 3 2 2 2 4" xfId="20877" xr:uid="{00000000-0005-0000-0000-000030510000}"/>
    <cellStyle name="40% - Accent5 3 2 2 3 2 2 3" xfId="20878" xr:uid="{00000000-0005-0000-0000-000031510000}"/>
    <cellStyle name="40% - Accent5 3 2 2 3 2 2 3 2" xfId="20879" xr:uid="{00000000-0005-0000-0000-000032510000}"/>
    <cellStyle name="40% - Accent5 3 2 2 3 2 2 3 3" xfId="20880" xr:uid="{00000000-0005-0000-0000-000033510000}"/>
    <cellStyle name="40% - Accent5 3 2 2 3 2 2 4" xfId="20881" xr:uid="{00000000-0005-0000-0000-000034510000}"/>
    <cellStyle name="40% - Accent5 3 2 2 3 2 2 5" xfId="20882" xr:uid="{00000000-0005-0000-0000-000035510000}"/>
    <cellStyle name="40% - Accent5 3 2 2 3 2 2 6" xfId="20883" xr:uid="{00000000-0005-0000-0000-000036510000}"/>
    <cellStyle name="40% - Accent5 3 2 2 3 2 3" xfId="20884" xr:uid="{00000000-0005-0000-0000-000037510000}"/>
    <cellStyle name="40% - Accent5 3 2 2 3 2 3 2" xfId="20885" xr:uid="{00000000-0005-0000-0000-000038510000}"/>
    <cellStyle name="40% - Accent5 3 2 2 3 2 3 2 2" xfId="20886" xr:uid="{00000000-0005-0000-0000-000039510000}"/>
    <cellStyle name="40% - Accent5 3 2 2 3 2 3 2 3" xfId="20887" xr:uid="{00000000-0005-0000-0000-00003A510000}"/>
    <cellStyle name="40% - Accent5 3 2 2 3 2 3 3" xfId="20888" xr:uid="{00000000-0005-0000-0000-00003B510000}"/>
    <cellStyle name="40% - Accent5 3 2 2 3 2 3 4" xfId="20889" xr:uid="{00000000-0005-0000-0000-00003C510000}"/>
    <cellStyle name="40% - Accent5 3 2 2 3 2 4" xfId="20890" xr:uid="{00000000-0005-0000-0000-00003D510000}"/>
    <cellStyle name="40% - Accent5 3 2 2 3 2 4 2" xfId="20891" xr:uid="{00000000-0005-0000-0000-00003E510000}"/>
    <cellStyle name="40% - Accent5 3 2 2 3 2 4 3" xfId="20892" xr:uid="{00000000-0005-0000-0000-00003F510000}"/>
    <cellStyle name="40% - Accent5 3 2 2 3 2 5" xfId="20893" xr:uid="{00000000-0005-0000-0000-000040510000}"/>
    <cellStyle name="40% - Accent5 3 2 2 3 2 6" xfId="20894" xr:uid="{00000000-0005-0000-0000-000041510000}"/>
    <cellStyle name="40% - Accent5 3 2 2 3 2 7" xfId="20895" xr:uid="{00000000-0005-0000-0000-000042510000}"/>
    <cellStyle name="40% - Accent5 3 2 2 3 3" xfId="20896" xr:uid="{00000000-0005-0000-0000-000043510000}"/>
    <cellStyle name="40% - Accent5 3 2 2 3 3 2" xfId="20897" xr:uid="{00000000-0005-0000-0000-000044510000}"/>
    <cellStyle name="40% - Accent5 3 2 2 3 3 2 2" xfId="20898" xr:uid="{00000000-0005-0000-0000-000045510000}"/>
    <cellStyle name="40% - Accent5 3 2 2 3 3 2 2 2" xfId="20899" xr:uid="{00000000-0005-0000-0000-000046510000}"/>
    <cellStyle name="40% - Accent5 3 2 2 3 3 2 2 3" xfId="20900" xr:uid="{00000000-0005-0000-0000-000047510000}"/>
    <cellStyle name="40% - Accent5 3 2 2 3 3 2 3" xfId="20901" xr:uid="{00000000-0005-0000-0000-000048510000}"/>
    <cellStyle name="40% - Accent5 3 2 2 3 3 2 4" xfId="20902" xr:uid="{00000000-0005-0000-0000-000049510000}"/>
    <cellStyle name="40% - Accent5 3 2 2 3 3 3" xfId="20903" xr:uid="{00000000-0005-0000-0000-00004A510000}"/>
    <cellStyle name="40% - Accent5 3 2 2 3 3 3 2" xfId="20904" xr:uid="{00000000-0005-0000-0000-00004B510000}"/>
    <cellStyle name="40% - Accent5 3 2 2 3 3 3 3" xfId="20905" xr:uid="{00000000-0005-0000-0000-00004C510000}"/>
    <cellStyle name="40% - Accent5 3 2 2 3 3 4" xfId="20906" xr:uid="{00000000-0005-0000-0000-00004D510000}"/>
    <cellStyle name="40% - Accent5 3 2 2 3 3 5" xfId="20907" xr:uid="{00000000-0005-0000-0000-00004E510000}"/>
    <cellStyle name="40% - Accent5 3 2 2 3 3 6" xfId="20908" xr:uid="{00000000-0005-0000-0000-00004F510000}"/>
    <cellStyle name="40% - Accent5 3 2 2 3 4" xfId="20909" xr:uid="{00000000-0005-0000-0000-000050510000}"/>
    <cellStyle name="40% - Accent5 3 2 2 3 4 2" xfId="20910" xr:uid="{00000000-0005-0000-0000-000051510000}"/>
    <cellStyle name="40% - Accent5 3 2 2 3 4 2 2" xfId="20911" xr:uid="{00000000-0005-0000-0000-000052510000}"/>
    <cellStyle name="40% - Accent5 3 2 2 3 4 2 3" xfId="20912" xr:uid="{00000000-0005-0000-0000-000053510000}"/>
    <cellStyle name="40% - Accent5 3 2 2 3 4 3" xfId="20913" xr:uid="{00000000-0005-0000-0000-000054510000}"/>
    <cellStyle name="40% - Accent5 3 2 2 3 4 4" xfId="20914" xr:uid="{00000000-0005-0000-0000-000055510000}"/>
    <cellStyle name="40% - Accent5 3 2 2 3 5" xfId="20915" xr:uid="{00000000-0005-0000-0000-000056510000}"/>
    <cellStyle name="40% - Accent5 3 2 2 3 5 2" xfId="20916" xr:uid="{00000000-0005-0000-0000-000057510000}"/>
    <cellStyle name="40% - Accent5 3 2 2 3 5 3" xfId="20917" xr:uid="{00000000-0005-0000-0000-000058510000}"/>
    <cellStyle name="40% - Accent5 3 2 2 3 6" xfId="20918" xr:uid="{00000000-0005-0000-0000-000059510000}"/>
    <cellStyle name="40% - Accent5 3 2 2 3 7" xfId="20919" xr:uid="{00000000-0005-0000-0000-00005A510000}"/>
    <cellStyle name="40% - Accent5 3 2 2 3 8" xfId="20920" xr:uid="{00000000-0005-0000-0000-00005B510000}"/>
    <cellStyle name="40% - Accent5 3 2 2 4" xfId="20921" xr:uid="{00000000-0005-0000-0000-00005C510000}"/>
    <cellStyle name="40% - Accent5 3 2 2 4 2" xfId="20922" xr:uid="{00000000-0005-0000-0000-00005D510000}"/>
    <cellStyle name="40% - Accent5 3 2 2 4 2 2" xfId="20923" xr:uid="{00000000-0005-0000-0000-00005E510000}"/>
    <cellStyle name="40% - Accent5 3 2 2 4 2 2 2" xfId="20924" xr:uid="{00000000-0005-0000-0000-00005F510000}"/>
    <cellStyle name="40% - Accent5 3 2 2 4 2 2 2 2" xfId="20925" xr:uid="{00000000-0005-0000-0000-000060510000}"/>
    <cellStyle name="40% - Accent5 3 2 2 4 2 2 2 3" xfId="20926" xr:uid="{00000000-0005-0000-0000-000061510000}"/>
    <cellStyle name="40% - Accent5 3 2 2 4 2 2 3" xfId="20927" xr:uid="{00000000-0005-0000-0000-000062510000}"/>
    <cellStyle name="40% - Accent5 3 2 2 4 2 2 4" xfId="20928" xr:uid="{00000000-0005-0000-0000-000063510000}"/>
    <cellStyle name="40% - Accent5 3 2 2 4 2 3" xfId="20929" xr:uid="{00000000-0005-0000-0000-000064510000}"/>
    <cellStyle name="40% - Accent5 3 2 2 4 2 3 2" xfId="20930" xr:uid="{00000000-0005-0000-0000-000065510000}"/>
    <cellStyle name="40% - Accent5 3 2 2 4 2 3 3" xfId="20931" xr:uid="{00000000-0005-0000-0000-000066510000}"/>
    <cellStyle name="40% - Accent5 3 2 2 4 2 4" xfId="20932" xr:uid="{00000000-0005-0000-0000-000067510000}"/>
    <cellStyle name="40% - Accent5 3 2 2 4 2 5" xfId="20933" xr:uid="{00000000-0005-0000-0000-000068510000}"/>
    <cellStyle name="40% - Accent5 3 2 2 4 2 6" xfId="20934" xr:uid="{00000000-0005-0000-0000-000069510000}"/>
    <cellStyle name="40% - Accent5 3 2 2 4 3" xfId="20935" xr:uid="{00000000-0005-0000-0000-00006A510000}"/>
    <cellStyle name="40% - Accent5 3 2 2 4 3 2" xfId="20936" xr:uid="{00000000-0005-0000-0000-00006B510000}"/>
    <cellStyle name="40% - Accent5 3 2 2 4 3 2 2" xfId="20937" xr:uid="{00000000-0005-0000-0000-00006C510000}"/>
    <cellStyle name="40% - Accent5 3 2 2 4 3 2 3" xfId="20938" xr:uid="{00000000-0005-0000-0000-00006D510000}"/>
    <cellStyle name="40% - Accent5 3 2 2 4 3 3" xfId="20939" xr:uid="{00000000-0005-0000-0000-00006E510000}"/>
    <cellStyle name="40% - Accent5 3 2 2 4 3 4" xfId="20940" xr:uid="{00000000-0005-0000-0000-00006F510000}"/>
    <cellStyle name="40% - Accent5 3 2 2 4 4" xfId="20941" xr:uid="{00000000-0005-0000-0000-000070510000}"/>
    <cellStyle name="40% - Accent5 3 2 2 4 4 2" xfId="20942" xr:uid="{00000000-0005-0000-0000-000071510000}"/>
    <cellStyle name="40% - Accent5 3 2 2 4 4 3" xfId="20943" xr:uid="{00000000-0005-0000-0000-000072510000}"/>
    <cellStyle name="40% - Accent5 3 2 2 4 5" xfId="20944" xr:uid="{00000000-0005-0000-0000-000073510000}"/>
    <cellStyle name="40% - Accent5 3 2 2 4 6" xfId="20945" xr:uid="{00000000-0005-0000-0000-000074510000}"/>
    <cellStyle name="40% - Accent5 3 2 2 4 7" xfId="20946" xr:uid="{00000000-0005-0000-0000-000075510000}"/>
    <cellStyle name="40% - Accent5 3 2 2 5" xfId="20947" xr:uid="{00000000-0005-0000-0000-000076510000}"/>
    <cellStyle name="40% - Accent5 3 2 2 5 2" xfId="20948" xr:uid="{00000000-0005-0000-0000-000077510000}"/>
    <cellStyle name="40% - Accent5 3 2 2 5 2 2" xfId="20949" xr:uid="{00000000-0005-0000-0000-000078510000}"/>
    <cellStyle name="40% - Accent5 3 2 2 5 2 2 2" xfId="20950" xr:uid="{00000000-0005-0000-0000-000079510000}"/>
    <cellStyle name="40% - Accent5 3 2 2 5 2 2 3" xfId="20951" xr:uid="{00000000-0005-0000-0000-00007A510000}"/>
    <cellStyle name="40% - Accent5 3 2 2 5 2 3" xfId="20952" xr:uid="{00000000-0005-0000-0000-00007B510000}"/>
    <cellStyle name="40% - Accent5 3 2 2 5 2 4" xfId="20953" xr:uid="{00000000-0005-0000-0000-00007C510000}"/>
    <cellStyle name="40% - Accent5 3 2 2 5 3" xfId="20954" xr:uid="{00000000-0005-0000-0000-00007D510000}"/>
    <cellStyle name="40% - Accent5 3 2 2 5 3 2" xfId="20955" xr:uid="{00000000-0005-0000-0000-00007E510000}"/>
    <cellStyle name="40% - Accent5 3 2 2 5 3 3" xfId="20956" xr:uid="{00000000-0005-0000-0000-00007F510000}"/>
    <cellStyle name="40% - Accent5 3 2 2 5 4" xfId="20957" xr:uid="{00000000-0005-0000-0000-000080510000}"/>
    <cellStyle name="40% - Accent5 3 2 2 5 5" xfId="20958" xr:uid="{00000000-0005-0000-0000-000081510000}"/>
    <cellStyle name="40% - Accent5 3 2 2 5 6" xfId="20959" xr:uid="{00000000-0005-0000-0000-000082510000}"/>
    <cellStyle name="40% - Accent5 3 2 2 6" xfId="20960" xr:uid="{00000000-0005-0000-0000-000083510000}"/>
    <cellStyle name="40% - Accent5 3 2 2 6 2" xfId="20961" xr:uid="{00000000-0005-0000-0000-000084510000}"/>
    <cellStyle name="40% - Accent5 3 2 2 6 2 2" xfId="20962" xr:uid="{00000000-0005-0000-0000-000085510000}"/>
    <cellStyle name="40% - Accent5 3 2 2 6 2 3" xfId="20963" xr:uid="{00000000-0005-0000-0000-000086510000}"/>
    <cellStyle name="40% - Accent5 3 2 2 6 3" xfId="20964" xr:uid="{00000000-0005-0000-0000-000087510000}"/>
    <cellStyle name="40% - Accent5 3 2 2 6 4" xfId="20965" xr:uid="{00000000-0005-0000-0000-000088510000}"/>
    <cellStyle name="40% - Accent5 3 2 2 7" xfId="20966" xr:uid="{00000000-0005-0000-0000-000089510000}"/>
    <cellStyle name="40% - Accent5 3 2 2 7 2" xfId="20967" xr:uid="{00000000-0005-0000-0000-00008A510000}"/>
    <cellStyle name="40% - Accent5 3 2 2 7 3" xfId="20968" xr:uid="{00000000-0005-0000-0000-00008B510000}"/>
    <cellStyle name="40% - Accent5 3 2 2 8" xfId="20969" xr:uid="{00000000-0005-0000-0000-00008C510000}"/>
    <cellStyle name="40% - Accent5 3 2 2 9" xfId="20970" xr:uid="{00000000-0005-0000-0000-00008D510000}"/>
    <cellStyle name="40% - Accent5 3 2 3" xfId="20971" xr:uid="{00000000-0005-0000-0000-00008E510000}"/>
    <cellStyle name="40% - Accent5 3 2 3 2" xfId="20972" xr:uid="{00000000-0005-0000-0000-00008F510000}"/>
    <cellStyle name="40% - Accent5 3 2 3 2 2" xfId="20973" xr:uid="{00000000-0005-0000-0000-000090510000}"/>
    <cellStyle name="40% - Accent5 3 2 3 2 2 2" xfId="20974" xr:uid="{00000000-0005-0000-0000-000091510000}"/>
    <cellStyle name="40% - Accent5 3 2 3 2 2 2 2" xfId="20975" xr:uid="{00000000-0005-0000-0000-000092510000}"/>
    <cellStyle name="40% - Accent5 3 2 3 2 2 2 2 2" xfId="20976" xr:uid="{00000000-0005-0000-0000-000093510000}"/>
    <cellStyle name="40% - Accent5 3 2 3 2 2 2 2 2 2" xfId="20977" xr:uid="{00000000-0005-0000-0000-000094510000}"/>
    <cellStyle name="40% - Accent5 3 2 3 2 2 2 2 2 3" xfId="20978" xr:uid="{00000000-0005-0000-0000-000095510000}"/>
    <cellStyle name="40% - Accent5 3 2 3 2 2 2 2 3" xfId="20979" xr:uid="{00000000-0005-0000-0000-000096510000}"/>
    <cellStyle name="40% - Accent5 3 2 3 2 2 2 2 4" xfId="20980" xr:uid="{00000000-0005-0000-0000-000097510000}"/>
    <cellStyle name="40% - Accent5 3 2 3 2 2 2 3" xfId="20981" xr:uid="{00000000-0005-0000-0000-000098510000}"/>
    <cellStyle name="40% - Accent5 3 2 3 2 2 2 3 2" xfId="20982" xr:uid="{00000000-0005-0000-0000-000099510000}"/>
    <cellStyle name="40% - Accent5 3 2 3 2 2 2 3 3" xfId="20983" xr:uid="{00000000-0005-0000-0000-00009A510000}"/>
    <cellStyle name="40% - Accent5 3 2 3 2 2 2 4" xfId="20984" xr:uid="{00000000-0005-0000-0000-00009B510000}"/>
    <cellStyle name="40% - Accent5 3 2 3 2 2 2 5" xfId="20985" xr:uid="{00000000-0005-0000-0000-00009C510000}"/>
    <cellStyle name="40% - Accent5 3 2 3 2 2 2 6" xfId="20986" xr:uid="{00000000-0005-0000-0000-00009D510000}"/>
    <cellStyle name="40% - Accent5 3 2 3 2 2 3" xfId="20987" xr:uid="{00000000-0005-0000-0000-00009E510000}"/>
    <cellStyle name="40% - Accent5 3 2 3 2 2 3 2" xfId="20988" xr:uid="{00000000-0005-0000-0000-00009F510000}"/>
    <cellStyle name="40% - Accent5 3 2 3 2 2 3 2 2" xfId="20989" xr:uid="{00000000-0005-0000-0000-0000A0510000}"/>
    <cellStyle name="40% - Accent5 3 2 3 2 2 3 2 3" xfId="20990" xr:uid="{00000000-0005-0000-0000-0000A1510000}"/>
    <cellStyle name="40% - Accent5 3 2 3 2 2 3 3" xfId="20991" xr:uid="{00000000-0005-0000-0000-0000A2510000}"/>
    <cellStyle name="40% - Accent5 3 2 3 2 2 3 4" xfId="20992" xr:uid="{00000000-0005-0000-0000-0000A3510000}"/>
    <cellStyle name="40% - Accent5 3 2 3 2 2 4" xfId="20993" xr:uid="{00000000-0005-0000-0000-0000A4510000}"/>
    <cellStyle name="40% - Accent5 3 2 3 2 2 4 2" xfId="20994" xr:uid="{00000000-0005-0000-0000-0000A5510000}"/>
    <cellStyle name="40% - Accent5 3 2 3 2 2 4 3" xfId="20995" xr:uid="{00000000-0005-0000-0000-0000A6510000}"/>
    <cellStyle name="40% - Accent5 3 2 3 2 2 5" xfId="20996" xr:uid="{00000000-0005-0000-0000-0000A7510000}"/>
    <cellStyle name="40% - Accent5 3 2 3 2 2 6" xfId="20997" xr:uid="{00000000-0005-0000-0000-0000A8510000}"/>
    <cellStyle name="40% - Accent5 3 2 3 2 2 7" xfId="20998" xr:uid="{00000000-0005-0000-0000-0000A9510000}"/>
    <cellStyle name="40% - Accent5 3 2 3 2 3" xfId="20999" xr:uid="{00000000-0005-0000-0000-0000AA510000}"/>
    <cellStyle name="40% - Accent5 3 2 3 2 3 2" xfId="21000" xr:uid="{00000000-0005-0000-0000-0000AB510000}"/>
    <cellStyle name="40% - Accent5 3 2 3 2 3 2 2" xfId="21001" xr:uid="{00000000-0005-0000-0000-0000AC510000}"/>
    <cellStyle name="40% - Accent5 3 2 3 2 3 2 2 2" xfId="21002" xr:uid="{00000000-0005-0000-0000-0000AD510000}"/>
    <cellStyle name="40% - Accent5 3 2 3 2 3 2 2 3" xfId="21003" xr:uid="{00000000-0005-0000-0000-0000AE510000}"/>
    <cellStyle name="40% - Accent5 3 2 3 2 3 2 3" xfId="21004" xr:uid="{00000000-0005-0000-0000-0000AF510000}"/>
    <cellStyle name="40% - Accent5 3 2 3 2 3 2 4" xfId="21005" xr:uid="{00000000-0005-0000-0000-0000B0510000}"/>
    <cellStyle name="40% - Accent5 3 2 3 2 3 3" xfId="21006" xr:uid="{00000000-0005-0000-0000-0000B1510000}"/>
    <cellStyle name="40% - Accent5 3 2 3 2 3 3 2" xfId="21007" xr:uid="{00000000-0005-0000-0000-0000B2510000}"/>
    <cellStyle name="40% - Accent5 3 2 3 2 3 3 3" xfId="21008" xr:uid="{00000000-0005-0000-0000-0000B3510000}"/>
    <cellStyle name="40% - Accent5 3 2 3 2 3 4" xfId="21009" xr:uid="{00000000-0005-0000-0000-0000B4510000}"/>
    <cellStyle name="40% - Accent5 3 2 3 2 3 5" xfId="21010" xr:uid="{00000000-0005-0000-0000-0000B5510000}"/>
    <cellStyle name="40% - Accent5 3 2 3 2 3 6" xfId="21011" xr:uid="{00000000-0005-0000-0000-0000B6510000}"/>
    <cellStyle name="40% - Accent5 3 2 3 2 4" xfId="21012" xr:uid="{00000000-0005-0000-0000-0000B7510000}"/>
    <cellStyle name="40% - Accent5 3 2 3 2 4 2" xfId="21013" xr:uid="{00000000-0005-0000-0000-0000B8510000}"/>
    <cellStyle name="40% - Accent5 3 2 3 2 4 2 2" xfId="21014" xr:uid="{00000000-0005-0000-0000-0000B9510000}"/>
    <cellStyle name="40% - Accent5 3 2 3 2 4 2 3" xfId="21015" xr:uid="{00000000-0005-0000-0000-0000BA510000}"/>
    <cellStyle name="40% - Accent5 3 2 3 2 4 3" xfId="21016" xr:uid="{00000000-0005-0000-0000-0000BB510000}"/>
    <cellStyle name="40% - Accent5 3 2 3 2 4 4" xfId="21017" xr:uid="{00000000-0005-0000-0000-0000BC510000}"/>
    <cellStyle name="40% - Accent5 3 2 3 2 5" xfId="21018" xr:uid="{00000000-0005-0000-0000-0000BD510000}"/>
    <cellStyle name="40% - Accent5 3 2 3 2 5 2" xfId="21019" xr:uid="{00000000-0005-0000-0000-0000BE510000}"/>
    <cellStyle name="40% - Accent5 3 2 3 2 5 3" xfId="21020" xr:uid="{00000000-0005-0000-0000-0000BF510000}"/>
    <cellStyle name="40% - Accent5 3 2 3 2 6" xfId="21021" xr:uid="{00000000-0005-0000-0000-0000C0510000}"/>
    <cellStyle name="40% - Accent5 3 2 3 2 7" xfId="21022" xr:uid="{00000000-0005-0000-0000-0000C1510000}"/>
    <cellStyle name="40% - Accent5 3 2 3 2 8" xfId="21023" xr:uid="{00000000-0005-0000-0000-0000C2510000}"/>
    <cellStyle name="40% - Accent5 3 2 3 3" xfId="21024" xr:uid="{00000000-0005-0000-0000-0000C3510000}"/>
    <cellStyle name="40% - Accent5 3 2 3 3 2" xfId="21025" xr:uid="{00000000-0005-0000-0000-0000C4510000}"/>
    <cellStyle name="40% - Accent5 3 2 3 3 2 2" xfId="21026" xr:uid="{00000000-0005-0000-0000-0000C5510000}"/>
    <cellStyle name="40% - Accent5 3 2 3 3 2 2 2" xfId="21027" xr:uid="{00000000-0005-0000-0000-0000C6510000}"/>
    <cellStyle name="40% - Accent5 3 2 3 3 2 2 2 2" xfId="21028" xr:uid="{00000000-0005-0000-0000-0000C7510000}"/>
    <cellStyle name="40% - Accent5 3 2 3 3 2 2 2 3" xfId="21029" xr:uid="{00000000-0005-0000-0000-0000C8510000}"/>
    <cellStyle name="40% - Accent5 3 2 3 3 2 2 3" xfId="21030" xr:uid="{00000000-0005-0000-0000-0000C9510000}"/>
    <cellStyle name="40% - Accent5 3 2 3 3 2 2 4" xfId="21031" xr:uid="{00000000-0005-0000-0000-0000CA510000}"/>
    <cellStyle name="40% - Accent5 3 2 3 3 2 3" xfId="21032" xr:uid="{00000000-0005-0000-0000-0000CB510000}"/>
    <cellStyle name="40% - Accent5 3 2 3 3 2 3 2" xfId="21033" xr:uid="{00000000-0005-0000-0000-0000CC510000}"/>
    <cellStyle name="40% - Accent5 3 2 3 3 2 3 3" xfId="21034" xr:uid="{00000000-0005-0000-0000-0000CD510000}"/>
    <cellStyle name="40% - Accent5 3 2 3 3 2 4" xfId="21035" xr:uid="{00000000-0005-0000-0000-0000CE510000}"/>
    <cellStyle name="40% - Accent5 3 2 3 3 2 5" xfId="21036" xr:uid="{00000000-0005-0000-0000-0000CF510000}"/>
    <cellStyle name="40% - Accent5 3 2 3 3 2 6" xfId="21037" xr:uid="{00000000-0005-0000-0000-0000D0510000}"/>
    <cellStyle name="40% - Accent5 3 2 3 3 3" xfId="21038" xr:uid="{00000000-0005-0000-0000-0000D1510000}"/>
    <cellStyle name="40% - Accent5 3 2 3 3 3 2" xfId="21039" xr:uid="{00000000-0005-0000-0000-0000D2510000}"/>
    <cellStyle name="40% - Accent5 3 2 3 3 3 2 2" xfId="21040" xr:uid="{00000000-0005-0000-0000-0000D3510000}"/>
    <cellStyle name="40% - Accent5 3 2 3 3 3 2 3" xfId="21041" xr:uid="{00000000-0005-0000-0000-0000D4510000}"/>
    <cellStyle name="40% - Accent5 3 2 3 3 3 3" xfId="21042" xr:uid="{00000000-0005-0000-0000-0000D5510000}"/>
    <cellStyle name="40% - Accent5 3 2 3 3 3 4" xfId="21043" xr:uid="{00000000-0005-0000-0000-0000D6510000}"/>
    <cellStyle name="40% - Accent5 3 2 3 3 4" xfId="21044" xr:uid="{00000000-0005-0000-0000-0000D7510000}"/>
    <cellStyle name="40% - Accent5 3 2 3 3 4 2" xfId="21045" xr:uid="{00000000-0005-0000-0000-0000D8510000}"/>
    <cellStyle name="40% - Accent5 3 2 3 3 4 3" xfId="21046" xr:uid="{00000000-0005-0000-0000-0000D9510000}"/>
    <cellStyle name="40% - Accent5 3 2 3 3 5" xfId="21047" xr:uid="{00000000-0005-0000-0000-0000DA510000}"/>
    <cellStyle name="40% - Accent5 3 2 3 3 6" xfId="21048" xr:uid="{00000000-0005-0000-0000-0000DB510000}"/>
    <cellStyle name="40% - Accent5 3 2 3 3 7" xfId="21049" xr:uid="{00000000-0005-0000-0000-0000DC510000}"/>
    <cellStyle name="40% - Accent5 3 2 3 4" xfId="21050" xr:uid="{00000000-0005-0000-0000-0000DD510000}"/>
    <cellStyle name="40% - Accent5 3 2 3 4 2" xfId="21051" xr:uid="{00000000-0005-0000-0000-0000DE510000}"/>
    <cellStyle name="40% - Accent5 3 2 3 4 2 2" xfId="21052" xr:uid="{00000000-0005-0000-0000-0000DF510000}"/>
    <cellStyle name="40% - Accent5 3 2 3 4 2 2 2" xfId="21053" xr:uid="{00000000-0005-0000-0000-0000E0510000}"/>
    <cellStyle name="40% - Accent5 3 2 3 4 2 2 3" xfId="21054" xr:uid="{00000000-0005-0000-0000-0000E1510000}"/>
    <cellStyle name="40% - Accent5 3 2 3 4 2 3" xfId="21055" xr:uid="{00000000-0005-0000-0000-0000E2510000}"/>
    <cellStyle name="40% - Accent5 3 2 3 4 2 4" xfId="21056" xr:uid="{00000000-0005-0000-0000-0000E3510000}"/>
    <cellStyle name="40% - Accent5 3 2 3 4 3" xfId="21057" xr:uid="{00000000-0005-0000-0000-0000E4510000}"/>
    <cellStyle name="40% - Accent5 3 2 3 4 3 2" xfId="21058" xr:uid="{00000000-0005-0000-0000-0000E5510000}"/>
    <cellStyle name="40% - Accent5 3 2 3 4 3 3" xfId="21059" xr:uid="{00000000-0005-0000-0000-0000E6510000}"/>
    <cellStyle name="40% - Accent5 3 2 3 4 4" xfId="21060" xr:uid="{00000000-0005-0000-0000-0000E7510000}"/>
    <cellStyle name="40% - Accent5 3 2 3 4 5" xfId="21061" xr:uid="{00000000-0005-0000-0000-0000E8510000}"/>
    <cellStyle name="40% - Accent5 3 2 3 4 6" xfId="21062" xr:uid="{00000000-0005-0000-0000-0000E9510000}"/>
    <cellStyle name="40% - Accent5 3 2 3 5" xfId="21063" xr:uid="{00000000-0005-0000-0000-0000EA510000}"/>
    <cellStyle name="40% - Accent5 3 2 3 5 2" xfId="21064" xr:uid="{00000000-0005-0000-0000-0000EB510000}"/>
    <cellStyle name="40% - Accent5 3 2 3 5 2 2" xfId="21065" xr:uid="{00000000-0005-0000-0000-0000EC510000}"/>
    <cellStyle name="40% - Accent5 3 2 3 5 2 3" xfId="21066" xr:uid="{00000000-0005-0000-0000-0000ED510000}"/>
    <cellStyle name="40% - Accent5 3 2 3 5 3" xfId="21067" xr:uid="{00000000-0005-0000-0000-0000EE510000}"/>
    <cellStyle name="40% - Accent5 3 2 3 5 4" xfId="21068" xr:uid="{00000000-0005-0000-0000-0000EF510000}"/>
    <cellStyle name="40% - Accent5 3 2 3 6" xfId="21069" xr:uid="{00000000-0005-0000-0000-0000F0510000}"/>
    <cellStyle name="40% - Accent5 3 2 3 6 2" xfId="21070" xr:uid="{00000000-0005-0000-0000-0000F1510000}"/>
    <cellStyle name="40% - Accent5 3 2 3 6 3" xfId="21071" xr:uid="{00000000-0005-0000-0000-0000F2510000}"/>
    <cellStyle name="40% - Accent5 3 2 3 7" xfId="21072" xr:uid="{00000000-0005-0000-0000-0000F3510000}"/>
    <cellStyle name="40% - Accent5 3 2 3 8" xfId="21073" xr:uid="{00000000-0005-0000-0000-0000F4510000}"/>
    <cellStyle name="40% - Accent5 3 2 3 9" xfId="21074" xr:uid="{00000000-0005-0000-0000-0000F5510000}"/>
    <cellStyle name="40% - Accent5 3 2 4" xfId="21075" xr:uid="{00000000-0005-0000-0000-0000F6510000}"/>
    <cellStyle name="40% - Accent5 3 2 4 2" xfId="21076" xr:uid="{00000000-0005-0000-0000-0000F7510000}"/>
    <cellStyle name="40% - Accent5 3 2 4 2 2" xfId="21077" xr:uid="{00000000-0005-0000-0000-0000F8510000}"/>
    <cellStyle name="40% - Accent5 3 2 4 2 2 2" xfId="21078" xr:uid="{00000000-0005-0000-0000-0000F9510000}"/>
    <cellStyle name="40% - Accent5 3 2 4 2 2 2 2" xfId="21079" xr:uid="{00000000-0005-0000-0000-0000FA510000}"/>
    <cellStyle name="40% - Accent5 3 2 4 2 2 2 2 2" xfId="21080" xr:uid="{00000000-0005-0000-0000-0000FB510000}"/>
    <cellStyle name="40% - Accent5 3 2 4 2 2 2 2 3" xfId="21081" xr:uid="{00000000-0005-0000-0000-0000FC510000}"/>
    <cellStyle name="40% - Accent5 3 2 4 2 2 2 3" xfId="21082" xr:uid="{00000000-0005-0000-0000-0000FD510000}"/>
    <cellStyle name="40% - Accent5 3 2 4 2 2 2 4" xfId="21083" xr:uid="{00000000-0005-0000-0000-0000FE510000}"/>
    <cellStyle name="40% - Accent5 3 2 4 2 2 3" xfId="21084" xr:uid="{00000000-0005-0000-0000-0000FF510000}"/>
    <cellStyle name="40% - Accent5 3 2 4 2 2 3 2" xfId="21085" xr:uid="{00000000-0005-0000-0000-000000520000}"/>
    <cellStyle name="40% - Accent5 3 2 4 2 2 3 3" xfId="21086" xr:uid="{00000000-0005-0000-0000-000001520000}"/>
    <cellStyle name="40% - Accent5 3 2 4 2 2 4" xfId="21087" xr:uid="{00000000-0005-0000-0000-000002520000}"/>
    <cellStyle name="40% - Accent5 3 2 4 2 2 5" xfId="21088" xr:uid="{00000000-0005-0000-0000-000003520000}"/>
    <cellStyle name="40% - Accent5 3 2 4 2 2 6" xfId="21089" xr:uid="{00000000-0005-0000-0000-000004520000}"/>
    <cellStyle name="40% - Accent5 3 2 4 2 3" xfId="21090" xr:uid="{00000000-0005-0000-0000-000005520000}"/>
    <cellStyle name="40% - Accent5 3 2 4 2 3 2" xfId="21091" xr:uid="{00000000-0005-0000-0000-000006520000}"/>
    <cellStyle name="40% - Accent5 3 2 4 2 3 2 2" xfId="21092" xr:uid="{00000000-0005-0000-0000-000007520000}"/>
    <cellStyle name="40% - Accent5 3 2 4 2 3 2 3" xfId="21093" xr:uid="{00000000-0005-0000-0000-000008520000}"/>
    <cellStyle name="40% - Accent5 3 2 4 2 3 3" xfId="21094" xr:uid="{00000000-0005-0000-0000-000009520000}"/>
    <cellStyle name="40% - Accent5 3 2 4 2 3 4" xfId="21095" xr:uid="{00000000-0005-0000-0000-00000A520000}"/>
    <cellStyle name="40% - Accent5 3 2 4 2 4" xfId="21096" xr:uid="{00000000-0005-0000-0000-00000B520000}"/>
    <cellStyle name="40% - Accent5 3 2 4 2 4 2" xfId="21097" xr:uid="{00000000-0005-0000-0000-00000C520000}"/>
    <cellStyle name="40% - Accent5 3 2 4 2 4 3" xfId="21098" xr:uid="{00000000-0005-0000-0000-00000D520000}"/>
    <cellStyle name="40% - Accent5 3 2 4 2 5" xfId="21099" xr:uid="{00000000-0005-0000-0000-00000E520000}"/>
    <cellStyle name="40% - Accent5 3 2 4 2 6" xfId="21100" xr:uid="{00000000-0005-0000-0000-00000F520000}"/>
    <cellStyle name="40% - Accent5 3 2 4 2 7" xfId="21101" xr:uid="{00000000-0005-0000-0000-000010520000}"/>
    <cellStyle name="40% - Accent5 3 2 4 3" xfId="21102" xr:uid="{00000000-0005-0000-0000-000011520000}"/>
    <cellStyle name="40% - Accent5 3 2 4 3 2" xfId="21103" xr:uid="{00000000-0005-0000-0000-000012520000}"/>
    <cellStyle name="40% - Accent5 3 2 4 3 2 2" xfId="21104" xr:uid="{00000000-0005-0000-0000-000013520000}"/>
    <cellStyle name="40% - Accent5 3 2 4 3 2 2 2" xfId="21105" xr:uid="{00000000-0005-0000-0000-000014520000}"/>
    <cellStyle name="40% - Accent5 3 2 4 3 2 2 3" xfId="21106" xr:uid="{00000000-0005-0000-0000-000015520000}"/>
    <cellStyle name="40% - Accent5 3 2 4 3 2 3" xfId="21107" xr:uid="{00000000-0005-0000-0000-000016520000}"/>
    <cellStyle name="40% - Accent5 3 2 4 3 2 4" xfId="21108" xr:uid="{00000000-0005-0000-0000-000017520000}"/>
    <cellStyle name="40% - Accent5 3 2 4 3 3" xfId="21109" xr:uid="{00000000-0005-0000-0000-000018520000}"/>
    <cellStyle name="40% - Accent5 3 2 4 3 3 2" xfId="21110" xr:uid="{00000000-0005-0000-0000-000019520000}"/>
    <cellStyle name="40% - Accent5 3 2 4 3 3 3" xfId="21111" xr:uid="{00000000-0005-0000-0000-00001A520000}"/>
    <cellStyle name="40% - Accent5 3 2 4 3 4" xfId="21112" xr:uid="{00000000-0005-0000-0000-00001B520000}"/>
    <cellStyle name="40% - Accent5 3 2 4 3 5" xfId="21113" xr:uid="{00000000-0005-0000-0000-00001C520000}"/>
    <cellStyle name="40% - Accent5 3 2 4 3 6" xfId="21114" xr:uid="{00000000-0005-0000-0000-00001D520000}"/>
    <cellStyle name="40% - Accent5 3 2 4 4" xfId="21115" xr:uid="{00000000-0005-0000-0000-00001E520000}"/>
    <cellStyle name="40% - Accent5 3 2 4 4 2" xfId="21116" xr:uid="{00000000-0005-0000-0000-00001F520000}"/>
    <cellStyle name="40% - Accent5 3 2 4 4 2 2" xfId="21117" xr:uid="{00000000-0005-0000-0000-000020520000}"/>
    <cellStyle name="40% - Accent5 3 2 4 4 2 3" xfId="21118" xr:uid="{00000000-0005-0000-0000-000021520000}"/>
    <cellStyle name="40% - Accent5 3 2 4 4 3" xfId="21119" xr:uid="{00000000-0005-0000-0000-000022520000}"/>
    <cellStyle name="40% - Accent5 3 2 4 4 4" xfId="21120" xr:uid="{00000000-0005-0000-0000-000023520000}"/>
    <cellStyle name="40% - Accent5 3 2 4 5" xfId="21121" xr:uid="{00000000-0005-0000-0000-000024520000}"/>
    <cellStyle name="40% - Accent5 3 2 4 5 2" xfId="21122" xr:uid="{00000000-0005-0000-0000-000025520000}"/>
    <cellStyle name="40% - Accent5 3 2 4 5 3" xfId="21123" xr:uid="{00000000-0005-0000-0000-000026520000}"/>
    <cellStyle name="40% - Accent5 3 2 4 6" xfId="21124" xr:uid="{00000000-0005-0000-0000-000027520000}"/>
    <cellStyle name="40% - Accent5 3 2 4 7" xfId="21125" xr:uid="{00000000-0005-0000-0000-000028520000}"/>
    <cellStyle name="40% - Accent5 3 2 4 8" xfId="21126" xr:uid="{00000000-0005-0000-0000-000029520000}"/>
    <cellStyle name="40% - Accent5 3 2 5" xfId="21127" xr:uid="{00000000-0005-0000-0000-00002A520000}"/>
    <cellStyle name="40% - Accent5 3 2 5 2" xfId="21128" xr:uid="{00000000-0005-0000-0000-00002B520000}"/>
    <cellStyle name="40% - Accent5 3 2 5 2 2" xfId="21129" xr:uid="{00000000-0005-0000-0000-00002C520000}"/>
    <cellStyle name="40% - Accent5 3 2 5 2 2 2" xfId="21130" xr:uid="{00000000-0005-0000-0000-00002D520000}"/>
    <cellStyle name="40% - Accent5 3 2 5 2 2 2 2" xfId="21131" xr:uid="{00000000-0005-0000-0000-00002E520000}"/>
    <cellStyle name="40% - Accent5 3 2 5 2 2 2 3" xfId="21132" xr:uid="{00000000-0005-0000-0000-00002F520000}"/>
    <cellStyle name="40% - Accent5 3 2 5 2 2 3" xfId="21133" xr:uid="{00000000-0005-0000-0000-000030520000}"/>
    <cellStyle name="40% - Accent5 3 2 5 2 2 4" xfId="21134" xr:uid="{00000000-0005-0000-0000-000031520000}"/>
    <cellStyle name="40% - Accent5 3 2 5 2 3" xfId="21135" xr:uid="{00000000-0005-0000-0000-000032520000}"/>
    <cellStyle name="40% - Accent5 3 2 5 2 3 2" xfId="21136" xr:uid="{00000000-0005-0000-0000-000033520000}"/>
    <cellStyle name="40% - Accent5 3 2 5 2 3 3" xfId="21137" xr:uid="{00000000-0005-0000-0000-000034520000}"/>
    <cellStyle name="40% - Accent5 3 2 5 2 4" xfId="21138" xr:uid="{00000000-0005-0000-0000-000035520000}"/>
    <cellStyle name="40% - Accent5 3 2 5 2 5" xfId="21139" xr:uid="{00000000-0005-0000-0000-000036520000}"/>
    <cellStyle name="40% - Accent5 3 2 5 2 6" xfId="21140" xr:uid="{00000000-0005-0000-0000-000037520000}"/>
    <cellStyle name="40% - Accent5 3 2 5 3" xfId="21141" xr:uid="{00000000-0005-0000-0000-000038520000}"/>
    <cellStyle name="40% - Accent5 3 2 5 3 2" xfId="21142" xr:uid="{00000000-0005-0000-0000-000039520000}"/>
    <cellStyle name="40% - Accent5 3 2 5 3 2 2" xfId="21143" xr:uid="{00000000-0005-0000-0000-00003A520000}"/>
    <cellStyle name="40% - Accent5 3 2 5 3 2 3" xfId="21144" xr:uid="{00000000-0005-0000-0000-00003B520000}"/>
    <cellStyle name="40% - Accent5 3 2 5 3 3" xfId="21145" xr:uid="{00000000-0005-0000-0000-00003C520000}"/>
    <cellStyle name="40% - Accent5 3 2 5 3 4" xfId="21146" xr:uid="{00000000-0005-0000-0000-00003D520000}"/>
    <cellStyle name="40% - Accent5 3 2 5 4" xfId="21147" xr:uid="{00000000-0005-0000-0000-00003E520000}"/>
    <cellStyle name="40% - Accent5 3 2 5 4 2" xfId="21148" xr:uid="{00000000-0005-0000-0000-00003F520000}"/>
    <cellStyle name="40% - Accent5 3 2 5 4 3" xfId="21149" xr:uid="{00000000-0005-0000-0000-000040520000}"/>
    <cellStyle name="40% - Accent5 3 2 5 5" xfId="21150" xr:uid="{00000000-0005-0000-0000-000041520000}"/>
    <cellStyle name="40% - Accent5 3 2 5 6" xfId="21151" xr:uid="{00000000-0005-0000-0000-000042520000}"/>
    <cellStyle name="40% - Accent5 3 2 5 7" xfId="21152" xr:uid="{00000000-0005-0000-0000-000043520000}"/>
    <cellStyle name="40% - Accent5 3 2 6" xfId="21153" xr:uid="{00000000-0005-0000-0000-000044520000}"/>
    <cellStyle name="40% - Accent5 3 2 6 2" xfId="21154" xr:uid="{00000000-0005-0000-0000-000045520000}"/>
    <cellStyle name="40% - Accent5 3 2 6 2 2" xfId="21155" xr:uid="{00000000-0005-0000-0000-000046520000}"/>
    <cellStyle name="40% - Accent5 3 2 6 2 2 2" xfId="21156" xr:uid="{00000000-0005-0000-0000-000047520000}"/>
    <cellStyle name="40% - Accent5 3 2 6 2 2 3" xfId="21157" xr:uid="{00000000-0005-0000-0000-000048520000}"/>
    <cellStyle name="40% - Accent5 3 2 6 2 3" xfId="21158" xr:uid="{00000000-0005-0000-0000-000049520000}"/>
    <cellStyle name="40% - Accent5 3 2 6 2 4" xfId="21159" xr:uid="{00000000-0005-0000-0000-00004A520000}"/>
    <cellStyle name="40% - Accent5 3 2 6 3" xfId="21160" xr:uid="{00000000-0005-0000-0000-00004B520000}"/>
    <cellStyle name="40% - Accent5 3 2 6 3 2" xfId="21161" xr:uid="{00000000-0005-0000-0000-00004C520000}"/>
    <cellStyle name="40% - Accent5 3 2 6 3 3" xfId="21162" xr:uid="{00000000-0005-0000-0000-00004D520000}"/>
    <cellStyle name="40% - Accent5 3 2 6 4" xfId="21163" xr:uid="{00000000-0005-0000-0000-00004E520000}"/>
    <cellStyle name="40% - Accent5 3 2 6 5" xfId="21164" xr:uid="{00000000-0005-0000-0000-00004F520000}"/>
    <cellStyle name="40% - Accent5 3 2 6 6" xfId="21165" xr:uid="{00000000-0005-0000-0000-000050520000}"/>
    <cellStyle name="40% - Accent5 3 2 7" xfId="21166" xr:uid="{00000000-0005-0000-0000-000051520000}"/>
    <cellStyle name="40% - Accent5 3 2 7 2" xfId="21167" xr:uid="{00000000-0005-0000-0000-000052520000}"/>
    <cellStyle name="40% - Accent5 3 2 7 2 2" xfId="21168" xr:uid="{00000000-0005-0000-0000-000053520000}"/>
    <cellStyle name="40% - Accent5 3 2 7 2 3" xfId="21169" xr:uid="{00000000-0005-0000-0000-000054520000}"/>
    <cellStyle name="40% - Accent5 3 2 7 3" xfId="21170" xr:uid="{00000000-0005-0000-0000-000055520000}"/>
    <cellStyle name="40% - Accent5 3 2 7 4" xfId="21171" xr:uid="{00000000-0005-0000-0000-000056520000}"/>
    <cellStyle name="40% - Accent5 3 2 8" xfId="21172" xr:uid="{00000000-0005-0000-0000-000057520000}"/>
    <cellStyle name="40% - Accent5 3 2 8 2" xfId="21173" xr:uid="{00000000-0005-0000-0000-000058520000}"/>
    <cellStyle name="40% - Accent5 3 2 8 3" xfId="21174" xr:uid="{00000000-0005-0000-0000-000059520000}"/>
    <cellStyle name="40% - Accent5 3 2 9" xfId="21175" xr:uid="{00000000-0005-0000-0000-00005A520000}"/>
    <cellStyle name="40% - Accent5 3 3" xfId="21176" xr:uid="{00000000-0005-0000-0000-00005B520000}"/>
    <cellStyle name="40% - Accent5 3 3 10" xfId="21177" xr:uid="{00000000-0005-0000-0000-00005C520000}"/>
    <cellStyle name="40% - Accent5 3 3 2" xfId="21178" xr:uid="{00000000-0005-0000-0000-00005D520000}"/>
    <cellStyle name="40% - Accent5 3 3 2 2" xfId="21179" xr:uid="{00000000-0005-0000-0000-00005E520000}"/>
    <cellStyle name="40% - Accent5 3 3 2 2 2" xfId="21180" xr:uid="{00000000-0005-0000-0000-00005F520000}"/>
    <cellStyle name="40% - Accent5 3 3 2 2 2 2" xfId="21181" xr:uid="{00000000-0005-0000-0000-000060520000}"/>
    <cellStyle name="40% - Accent5 3 3 2 2 2 2 2" xfId="21182" xr:uid="{00000000-0005-0000-0000-000061520000}"/>
    <cellStyle name="40% - Accent5 3 3 2 2 2 2 2 2" xfId="21183" xr:uid="{00000000-0005-0000-0000-000062520000}"/>
    <cellStyle name="40% - Accent5 3 3 2 2 2 2 2 2 2" xfId="21184" xr:uid="{00000000-0005-0000-0000-000063520000}"/>
    <cellStyle name="40% - Accent5 3 3 2 2 2 2 2 2 3" xfId="21185" xr:uid="{00000000-0005-0000-0000-000064520000}"/>
    <cellStyle name="40% - Accent5 3 3 2 2 2 2 2 3" xfId="21186" xr:uid="{00000000-0005-0000-0000-000065520000}"/>
    <cellStyle name="40% - Accent5 3 3 2 2 2 2 2 4" xfId="21187" xr:uid="{00000000-0005-0000-0000-000066520000}"/>
    <cellStyle name="40% - Accent5 3 3 2 2 2 2 3" xfId="21188" xr:uid="{00000000-0005-0000-0000-000067520000}"/>
    <cellStyle name="40% - Accent5 3 3 2 2 2 2 3 2" xfId="21189" xr:uid="{00000000-0005-0000-0000-000068520000}"/>
    <cellStyle name="40% - Accent5 3 3 2 2 2 2 3 3" xfId="21190" xr:uid="{00000000-0005-0000-0000-000069520000}"/>
    <cellStyle name="40% - Accent5 3 3 2 2 2 2 4" xfId="21191" xr:uid="{00000000-0005-0000-0000-00006A520000}"/>
    <cellStyle name="40% - Accent5 3 3 2 2 2 2 5" xfId="21192" xr:uid="{00000000-0005-0000-0000-00006B520000}"/>
    <cellStyle name="40% - Accent5 3 3 2 2 2 2 6" xfId="21193" xr:uid="{00000000-0005-0000-0000-00006C520000}"/>
    <cellStyle name="40% - Accent5 3 3 2 2 2 3" xfId="21194" xr:uid="{00000000-0005-0000-0000-00006D520000}"/>
    <cellStyle name="40% - Accent5 3 3 2 2 2 3 2" xfId="21195" xr:uid="{00000000-0005-0000-0000-00006E520000}"/>
    <cellStyle name="40% - Accent5 3 3 2 2 2 3 2 2" xfId="21196" xr:uid="{00000000-0005-0000-0000-00006F520000}"/>
    <cellStyle name="40% - Accent5 3 3 2 2 2 3 2 3" xfId="21197" xr:uid="{00000000-0005-0000-0000-000070520000}"/>
    <cellStyle name="40% - Accent5 3 3 2 2 2 3 3" xfId="21198" xr:uid="{00000000-0005-0000-0000-000071520000}"/>
    <cellStyle name="40% - Accent5 3 3 2 2 2 3 4" xfId="21199" xr:uid="{00000000-0005-0000-0000-000072520000}"/>
    <cellStyle name="40% - Accent5 3 3 2 2 2 4" xfId="21200" xr:uid="{00000000-0005-0000-0000-000073520000}"/>
    <cellStyle name="40% - Accent5 3 3 2 2 2 4 2" xfId="21201" xr:uid="{00000000-0005-0000-0000-000074520000}"/>
    <cellStyle name="40% - Accent5 3 3 2 2 2 4 3" xfId="21202" xr:uid="{00000000-0005-0000-0000-000075520000}"/>
    <cellStyle name="40% - Accent5 3 3 2 2 2 5" xfId="21203" xr:uid="{00000000-0005-0000-0000-000076520000}"/>
    <cellStyle name="40% - Accent5 3 3 2 2 2 6" xfId="21204" xr:uid="{00000000-0005-0000-0000-000077520000}"/>
    <cellStyle name="40% - Accent5 3 3 2 2 2 7" xfId="21205" xr:uid="{00000000-0005-0000-0000-000078520000}"/>
    <cellStyle name="40% - Accent5 3 3 2 2 3" xfId="21206" xr:uid="{00000000-0005-0000-0000-000079520000}"/>
    <cellStyle name="40% - Accent5 3 3 2 2 3 2" xfId="21207" xr:uid="{00000000-0005-0000-0000-00007A520000}"/>
    <cellStyle name="40% - Accent5 3 3 2 2 3 2 2" xfId="21208" xr:uid="{00000000-0005-0000-0000-00007B520000}"/>
    <cellStyle name="40% - Accent5 3 3 2 2 3 2 2 2" xfId="21209" xr:uid="{00000000-0005-0000-0000-00007C520000}"/>
    <cellStyle name="40% - Accent5 3 3 2 2 3 2 2 3" xfId="21210" xr:uid="{00000000-0005-0000-0000-00007D520000}"/>
    <cellStyle name="40% - Accent5 3 3 2 2 3 2 3" xfId="21211" xr:uid="{00000000-0005-0000-0000-00007E520000}"/>
    <cellStyle name="40% - Accent5 3 3 2 2 3 2 4" xfId="21212" xr:uid="{00000000-0005-0000-0000-00007F520000}"/>
    <cellStyle name="40% - Accent5 3 3 2 2 3 3" xfId="21213" xr:uid="{00000000-0005-0000-0000-000080520000}"/>
    <cellStyle name="40% - Accent5 3 3 2 2 3 3 2" xfId="21214" xr:uid="{00000000-0005-0000-0000-000081520000}"/>
    <cellStyle name="40% - Accent5 3 3 2 2 3 3 3" xfId="21215" xr:uid="{00000000-0005-0000-0000-000082520000}"/>
    <cellStyle name="40% - Accent5 3 3 2 2 3 4" xfId="21216" xr:uid="{00000000-0005-0000-0000-000083520000}"/>
    <cellStyle name="40% - Accent5 3 3 2 2 3 5" xfId="21217" xr:uid="{00000000-0005-0000-0000-000084520000}"/>
    <cellStyle name="40% - Accent5 3 3 2 2 3 6" xfId="21218" xr:uid="{00000000-0005-0000-0000-000085520000}"/>
    <cellStyle name="40% - Accent5 3 3 2 2 4" xfId="21219" xr:uid="{00000000-0005-0000-0000-000086520000}"/>
    <cellStyle name="40% - Accent5 3 3 2 2 4 2" xfId="21220" xr:uid="{00000000-0005-0000-0000-000087520000}"/>
    <cellStyle name="40% - Accent5 3 3 2 2 4 2 2" xfId="21221" xr:uid="{00000000-0005-0000-0000-000088520000}"/>
    <cellStyle name="40% - Accent5 3 3 2 2 4 2 3" xfId="21222" xr:uid="{00000000-0005-0000-0000-000089520000}"/>
    <cellStyle name="40% - Accent5 3 3 2 2 4 3" xfId="21223" xr:uid="{00000000-0005-0000-0000-00008A520000}"/>
    <cellStyle name="40% - Accent5 3 3 2 2 4 4" xfId="21224" xr:uid="{00000000-0005-0000-0000-00008B520000}"/>
    <cellStyle name="40% - Accent5 3 3 2 2 5" xfId="21225" xr:uid="{00000000-0005-0000-0000-00008C520000}"/>
    <cellStyle name="40% - Accent5 3 3 2 2 5 2" xfId="21226" xr:uid="{00000000-0005-0000-0000-00008D520000}"/>
    <cellStyle name="40% - Accent5 3 3 2 2 5 3" xfId="21227" xr:uid="{00000000-0005-0000-0000-00008E520000}"/>
    <cellStyle name="40% - Accent5 3 3 2 2 6" xfId="21228" xr:uid="{00000000-0005-0000-0000-00008F520000}"/>
    <cellStyle name="40% - Accent5 3 3 2 2 7" xfId="21229" xr:uid="{00000000-0005-0000-0000-000090520000}"/>
    <cellStyle name="40% - Accent5 3 3 2 2 8" xfId="21230" xr:uid="{00000000-0005-0000-0000-000091520000}"/>
    <cellStyle name="40% - Accent5 3 3 2 3" xfId="21231" xr:uid="{00000000-0005-0000-0000-000092520000}"/>
    <cellStyle name="40% - Accent5 3 3 2 3 2" xfId="21232" xr:uid="{00000000-0005-0000-0000-000093520000}"/>
    <cellStyle name="40% - Accent5 3 3 2 3 2 2" xfId="21233" xr:uid="{00000000-0005-0000-0000-000094520000}"/>
    <cellStyle name="40% - Accent5 3 3 2 3 2 2 2" xfId="21234" xr:uid="{00000000-0005-0000-0000-000095520000}"/>
    <cellStyle name="40% - Accent5 3 3 2 3 2 2 2 2" xfId="21235" xr:uid="{00000000-0005-0000-0000-000096520000}"/>
    <cellStyle name="40% - Accent5 3 3 2 3 2 2 2 3" xfId="21236" xr:uid="{00000000-0005-0000-0000-000097520000}"/>
    <cellStyle name="40% - Accent5 3 3 2 3 2 2 3" xfId="21237" xr:uid="{00000000-0005-0000-0000-000098520000}"/>
    <cellStyle name="40% - Accent5 3 3 2 3 2 2 4" xfId="21238" xr:uid="{00000000-0005-0000-0000-000099520000}"/>
    <cellStyle name="40% - Accent5 3 3 2 3 2 3" xfId="21239" xr:uid="{00000000-0005-0000-0000-00009A520000}"/>
    <cellStyle name="40% - Accent5 3 3 2 3 2 3 2" xfId="21240" xr:uid="{00000000-0005-0000-0000-00009B520000}"/>
    <cellStyle name="40% - Accent5 3 3 2 3 2 3 3" xfId="21241" xr:uid="{00000000-0005-0000-0000-00009C520000}"/>
    <cellStyle name="40% - Accent5 3 3 2 3 2 4" xfId="21242" xr:uid="{00000000-0005-0000-0000-00009D520000}"/>
    <cellStyle name="40% - Accent5 3 3 2 3 2 5" xfId="21243" xr:uid="{00000000-0005-0000-0000-00009E520000}"/>
    <cellStyle name="40% - Accent5 3 3 2 3 2 6" xfId="21244" xr:uid="{00000000-0005-0000-0000-00009F520000}"/>
    <cellStyle name="40% - Accent5 3 3 2 3 3" xfId="21245" xr:uid="{00000000-0005-0000-0000-0000A0520000}"/>
    <cellStyle name="40% - Accent5 3 3 2 3 3 2" xfId="21246" xr:uid="{00000000-0005-0000-0000-0000A1520000}"/>
    <cellStyle name="40% - Accent5 3 3 2 3 3 2 2" xfId="21247" xr:uid="{00000000-0005-0000-0000-0000A2520000}"/>
    <cellStyle name="40% - Accent5 3 3 2 3 3 2 3" xfId="21248" xr:uid="{00000000-0005-0000-0000-0000A3520000}"/>
    <cellStyle name="40% - Accent5 3 3 2 3 3 3" xfId="21249" xr:uid="{00000000-0005-0000-0000-0000A4520000}"/>
    <cellStyle name="40% - Accent5 3 3 2 3 3 4" xfId="21250" xr:uid="{00000000-0005-0000-0000-0000A5520000}"/>
    <cellStyle name="40% - Accent5 3 3 2 3 4" xfId="21251" xr:uid="{00000000-0005-0000-0000-0000A6520000}"/>
    <cellStyle name="40% - Accent5 3 3 2 3 4 2" xfId="21252" xr:uid="{00000000-0005-0000-0000-0000A7520000}"/>
    <cellStyle name="40% - Accent5 3 3 2 3 4 3" xfId="21253" xr:uid="{00000000-0005-0000-0000-0000A8520000}"/>
    <cellStyle name="40% - Accent5 3 3 2 3 5" xfId="21254" xr:uid="{00000000-0005-0000-0000-0000A9520000}"/>
    <cellStyle name="40% - Accent5 3 3 2 3 6" xfId="21255" xr:uid="{00000000-0005-0000-0000-0000AA520000}"/>
    <cellStyle name="40% - Accent5 3 3 2 3 7" xfId="21256" xr:uid="{00000000-0005-0000-0000-0000AB520000}"/>
    <cellStyle name="40% - Accent5 3 3 2 4" xfId="21257" xr:uid="{00000000-0005-0000-0000-0000AC520000}"/>
    <cellStyle name="40% - Accent5 3 3 2 4 2" xfId="21258" xr:uid="{00000000-0005-0000-0000-0000AD520000}"/>
    <cellStyle name="40% - Accent5 3 3 2 4 2 2" xfId="21259" xr:uid="{00000000-0005-0000-0000-0000AE520000}"/>
    <cellStyle name="40% - Accent5 3 3 2 4 2 2 2" xfId="21260" xr:uid="{00000000-0005-0000-0000-0000AF520000}"/>
    <cellStyle name="40% - Accent5 3 3 2 4 2 2 3" xfId="21261" xr:uid="{00000000-0005-0000-0000-0000B0520000}"/>
    <cellStyle name="40% - Accent5 3 3 2 4 2 3" xfId="21262" xr:uid="{00000000-0005-0000-0000-0000B1520000}"/>
    <cellStyle name="40% - Accent5 3 3 2 4 2 4" xfId="21263" xr:uid="{00000000-0005-0000-0000-0000B2520000}"/>
    <cellStyle name="40% - Accent5 3 3 2 4 3" xfId="21264" xr:uid="{00000000-0005-0000-0000-0000B3520000}"/>
    <cellStyle name="40% - Accent5 3 3 2 4 3 2" xfId="21265" xr:uid="{00000000-0005-0000-0000-0000B4520000}"/>
    <cellStyle name="40% - Accent5 3 3 2 4 3 3" xfId="21266" xr:uid="{00000000-0005-0000-0000-0000B5520000}"/>
    <cellStyle name="40% - Accent5 3 3 2 4 4" xfId="21267" xr:uid="{00000000-0005-0000-0000-0000B6520000}"/>
    <cellStyle name="40% - Accent5 3 3 2 4 5" xfId="21268" xr:uid="{00000000-0005-0000-0000-0000B7520000}"/>
    <cellStyle name="40% - Accent5 3 3 2 4 6" xfId="21269" xr:uid="{00000000-0005-0000-0000-0000B8520000}"/>
    <cellStyle name="40% - Accent5 3 3 2 5" xfId="21270" xr:uid="{00000000-0005-0000-0000-0000B9520000}"/>
    <cellStyle name="40% - Accent5 3 3 2 5 2" xfId="21271" xr:uid="{00000000-0005-0000-0000-0000BA520000}"/>
    <cellStyle name="40% - Accent5 3 3 2 5 2 2" xfId="21272" xr:uid="{00000000-0005-0000-0000-0000BB520000}"/>
    <cellStyle name="40% - Accent5 3 3 2 5 2 3" xfId="21273" xr:uid="{00000000-0005-0000-0000-0000BC520000}"/>
    <cellStyle name="40% - Accent5 3 3 2 5 3" xfId="21274" xr:uid="{00000000-0005-0000-0000-0000BD520000}"/>
    <cellStyle name="40% - Accent5 3 3 2 5 4" xfId="21275" xr:uid="{00000000-0005-0000-0000-0000BE520000}"/>
    <cellStyle name="40% - Accent5 3 3 2 6" xfId="21276" xr:uid="{00000000-0005-0000-0000-0000BF520000}"/>
    <cellStyle name="40% - Accent5 3 3 2 6 2" xfId="21277" xr:uid="{00000000-0005-0000-0000-0000C0520000}"/>
    <cellStyle name="40% - Accent5 3 3 2 6 3" xfId="21278" xr:uid="{00000000-0005-0000-0000-0000C1520000}"/>
    <cellStyle name="40% - Accent5 3 3 2 7" xfId="21279" xr:uid="{00000000-0005-0000-0000-0000C2520000}"/>
    <cellStyle name="40% - Accent5 3 3 2 8" xfId="21280" xr:uid="{00000000-0005-0000-0000-0000C3520000}"/>
    <cellStyle name="40% - Accent5 3 3 2 9" xfId="21281" xr:uid="{00000000-0005-0000-0000-0000C4520000}"/>
    <cellStyle name="40% - Accent5 3 3 3" xfId="21282" xr:uid="{00000000-0005-0000-0000-0000C5520000}"/>
    <cellStyle name="40% - Accent5 3 3 3 2" xfId="21283" xr:uid="{00000000-0005-0000-0000-0000C6520000}"/>
    <cellStyle name="40% - Accent5 3 3 3 2 2" xfId="21284" xr:uid="{00000000-0005-0000-0000-0000C7520000}"/>
    <cellStyle name="40% - Accent5 3 3 3 2 2 2" xfId="21285" xr:uid="{00000000-0005-0000-0000-0000C8520000}"/>
    <cellStyle name="40% - Accent5 3 3 3 2 2 2 2" xfId="21286" xr:uid="{00000000-0005-0000-0000-0000C9520000}"/>
    <cellStyle name="40% - Accent5 3 3 3 2 2 2 2 2" xfId="21287" xr:uid="{00000000-0005-0000-0000-0000CA520000}"/>
    <cellStyle name="40% - Accent5 3 3 3 2 2 2 2 3" xfId="21288" xr:uid="{00000000-0005-0000-0000-0000CB520000}"/>
    <cellStyle name="40% - Accent5 3 3 3 2 2 2 3" xfId="21289" xr:uid="{00000000-0005-0000-0000-0000CC520000}"/>
    <cellStyle name="40% - Accent5 3 3 3 2 2 2 4" xfId="21290" xr:uid="{00000000-0005-0000-0000-0000CD520000}"/>
    <cellStyle name="40% - Accent5 3 3 3 2 2 3" xfId="21291" xr:uid="{00000000-0005-0000-0000-0000CE520000}"/>
    <cellStyle name="40% - Accent5 3 3 3 2 2 3 2" xfId="21292" xr:uid="{00000000-0005-0000-0000-0000CF520000}"/>
    <cellStyle name="40% - Accent5 3 3 3 2 2 3 3" xfId="21293" xr:uid="{00000000-0005-0000-0000-0000D0520000}"/>
    <cellStyle name="40% - Accent5 3 3 3 2 2 4" xfId="21294" xr:uid="{00000000-0005-0000-0000-0000D1520000}"/>
    <cellStyle name="40% - Accent5 3 3 3 2 2 5" xfId="21295" xr:uid="{00000000-0005-0000-0000-0000D2520000}"/>
    <cellStyle name="40% - Accent5 3 3 3 2 2 6" xfId="21296" xr:uid="{00000000-0005-0000-0000-0000D3520000}"/>
    <cellStyle name="40% - Accent5 3 3 3 2 3" xfId="21297" xr:uid="{00000000-0005-0000-0000-0000D4520000}"/>
    <cellStyle name="40% - Accent5 3 3 3 2 3 2" xfId="21298" xr:uid="{00000000-0005-0000-0000-0000D5520000}"/>
    <cellStyle name="40% - Accent5 3 3 3 2 3 2 2" xfId="21299" xr:uid="{00000000-0005-0000-0000-0000D6520000}"/>
    <cellStyle name="40% - Accent5 3 3 3 2 3 2 3" xfId="21300" xr:uid="{00000000-0005-0000-0000-0000D7520000}"/>
    <cellStyle name="40% - Accent5 3 3 3 2 3 3" xfId="21301" xr:uid="{00000000-0005-0000-0000-0000D8520000}"/>
    <cellStyle name="40% - Accent5 3 3 3 2 3 4" xfId="21302" xr:uid="{00000000-0005-0000-0000-0000D9520000}"/>
    <cellStyle name="40% - Accent5 3 3 3 2 4" xfId="21303" xr:uid="{00000000-0005-0000-0000-0000DA520000}"/>
    <cellStyle name="40% - Accent5 3 3 3 2 4 2" xfId="21304" xr:uid="{00000000-0005-0000-0000-0000DB520000}"/>
    <cellStyle name="40% - Accent5 3 3 3 2 4 3" xfId="21305" xr:uid="{00000000-0005-0000-0000-0000DC520000}"/>
    <cellStyle name="40% - Accent5 3 3 3 2 5" xfId="21306" xr:uid="{00000000-0005-0000-0000-0000DD520000}"/>
    <cellStyle name="40% - Accent5 3 3 3 2 6" xfId="21307" xr:uid="{00000000-0005-0000-0000-0000DE520000}"/>
    <cellStyle name="40% - Accent5 3 3 3 2 7" xfId="21308" xr:uid="{00000000-0005-0000-0000-0000DF520000}"/>
    <cellStyle name="40% - Accent5 3 3 3 3" xfId="21309" xr:uid="{00000000-0005-0000-0000-0000E0520000}"/>
    <cellStyle name="40% - Accent5 3 3 3 3 2" xfId="21310" xr:uid="{00000000-0005-0000-0000-0000E1520000}"/>
    <cellStyle name="40% - Accent5 3 3 3 3 2 2" xfId="21311" xr:uid="{00000000-0005-0000-0000-0000E2520000}"/>
    <cellStyle name="40% - Accent5 3 3 3 3 2 2 2" xfId="21312" xr:uid="{00000000-0005-0000-0000-0000E3520000}"/>
    <cellStyle name="40% - Accent5 3 3 3 3 2 2 3" xfId="21313" xr:uid="{00000000-0005-0000-0000-0000E4520000}"/>
    <cellStyle name="40% - Accent5 3 3 3 3 2 3" xfId="21314" xr:uid="{00000000-0005-0000-0000-0000E5520000}"/>
    <cellStyle name="40% - Accent5 3 3 3 3 2 4" xfId="21315" xr:uid="{00000000-0005-0000-0000-0000E6520000}"/>
    <cellStyle name="40% - Accent5 3 3 3 3 3" xfId="21316" xr:uid="{00000000-0005-0000-0000-0000E7520000}"/>
    <cellStyle name="40% - Accent5 3 3 3 3 3 2" xfId="21317" xr:uid="{00000000-0005-0000-0000-0000E8520000}"/>
    <cellStyle name="40% - Accent5 3 3 3 3 3 3" xfId="21318" xr:uid="{00000000-0005-0000-0000-0000E9520000}"/>
    <cellStyle name="40% - Accent5 3 3 3 3 4" xfId="21319" xr:uid="{00000000-0005-0000-0000-0000EA520000}"/>
    <cellStyle name="40% - Accent5 3 3 3 3 5" xfId="21320" xr:uid="{00000000-0005-0000-0000-0000EB520000}"/>
    <cellStyle name="40% - Accent5 3 3 3 3 6" xfId="21321" xr:uid="{00000000-0005-0000-0000-0000EC520000}"/>
    <cellStyle name="40% - Accent5 3 3 3 4" xfId="21322" xr:uid="{00000000-0005-0000-0000-0000ED520000}"/>
    <cellStyle name="40% - Accent5 3 3 3 4 2" xfId="21323" xr:uid="{00000000-0005-0000-0000-0000EE520000}"/>
    <cellStyle name="40% - Accent5 3 3 3 4 2 2" xfId="21324" xr:uid="{00000000-0005-0000-0000-0000EF520000}"/>
    <cellStyle name="40% - Accent5 3 3 3 4 2 3" xfId="21325" xr:uid="{00000000-0005-0000-0000-0000F0520000}"/>
    <cellStyle name="40% - Accent5 3 3 3 4 3" xfId="21326" xr:uid="{00000000-0005-0000-0000-0000F1520000}"/>
    <cellStyle name="40% - Accent5 3 3 3 4 4" xfId="21327" xr:uid="{00000000-0005-0000-0000-0000F2520000}"/>
    <cellStyle name="40% - Accent5 3 3 3 5" xfId="21328" xr:uid="{00000000-0005-0000-0000-0000F3520000}"/>
    <cellStyle name="40% - Accent5 3 3 3 5 2" xfId="21329" xr:uid="{00000000-0005-0000-0000-0000F4520000}"/>
    <cellStyle name="40% - Accent5 3 3 3 5 3" xfId="21330" xr:uid="{00000000-0005-0000-0000-0000F5520000}"/>
    <cellStyle name="40% - Accent5 3 3 3 6" xfId="21331" xr:uid="{00000000-0005-0000-0000-0000F6520000}"/>
    <cellStyle name="40% - Accent5 3 3 3 7" xfId="21332" xr:uid="{00000000-0005-0000-0000-0000F7520000}"/>
    <cellStyle name="40% - Accent5 3 3 3 8" xfId="21333" xr:uid="{00000000-0005-0000-0000-0000F8520000}"/>
    <cellStyle name="40% - Accent5 3 3 4" xfId="21334" xr:uid="{00000000-0005-0000-0000-0000F9520000}"/>
    <cellStyle name="40% - Accent5 3 3 4 2" xfId="21335" xr:uid="{00000000-0005-0000-0000-0000FA520000}"/>
    <cellStyle name="40% - Accent5 3 3 4 2 2" xfId="21336" xr:uid="{00000000-0005-0000-0000-0000FB520000}"/>
    <cellStyle name="40% - Accent5 3 3 4 2 2 2" xfId="21337" xr:uid="{00000000-0005-0000-0000-0000FC520000}"/>
    <cellStyle name="40% - Accent5 3 3 4 2 2 2 2" xfId="21338" xr:uid="{00000000-0005-0000-0000-0000FD520000}"/>
    <cellStyle name="40% - Accent5 3 3 4 2 2 2 3" xfId="21339" xr:uid="{00000000-0005-0000-0000-0000FE520000}"/>
    <cellStyle name="40% - Accent5 3 3 4 2 2 3" xfId="21340" xr:uid="{00000000-0005-0000-0000-0000FF520000}"/>
    <cellStyle name="40% - Accent5 3 3 4 2 2 4" xfId="21341" xr:uid="{00000000-0005-0000-0000-000000530000}"/>
    <cellStyle name="40% - Accent5 3 3 4 2 3" xfId="21342" xr:uid="{00000000-0005-0000-0000-000001530000}"/>
    <cellStyle name="40% - Accent5 3 3 4 2 3 2" xfId="21343" xr:uid="{00000000-0005-0000-0000-000002530000}"/>
    <cellStyle name="40% - Accent5 3 3 4 2 3 3" xfId="21344" xr:uid="{00000000-0005-0000-0000-000003530000}"/>
    <cellStyle name="40% - Accent5 3 3 4 2 4" xfId="21345" xr:uid="{00000000-0005-0000-0000-000004530000}"/>
    <cellStyle name="40% - Accent5 3 3 4 2 5" xfId="21346" xr:uid="{00000000-0005-0000-0000-000005530000}"/>
    <cellStyle name="40% - Accent5 3 3 4 2 6" xfId="21347" xr:uid="{00000000-0005-0000-0000-000006530000}"/>
    <cellStyle name="40% - Accent5 3 3 4 3" xfId="21348" xr:uid="{00000000-0005-0000-0000-000007530000}"/>
    <cellStyle name="40% - Accent5 3 3 4 3 2" xfId="21349" xr:uid="{00000000-0005-0000-0000-000008530000}"/>
    <cellStyle name="40% - Accent5 3 3 4 3 2 2" xfId="21350" xr:uid="{00000000-0005-0000-0000-000009530000}"/>
    <cellStyle name="40% - Accent5 3 3 4 3 2 3" xfId="21351" xr:uid="{00000000-0005-0000-0000-00000A530000}"/>
    <cellStyle name="40% - Accent5 3 3 4 3 3" xfId="21352" xr:uid="{00000000-0005-0000-0000-00000B530000}"/>
    <cellStyle name="40% - Accent5 3 3 4 3 4" xfId="21353" xr:uid="{00000000-0005-0000-0000-00000C530000}"/>
    <cellStyle name="40% - Accent5 3 3 4 4" xfId="21354" xr:uid="{00000000-0005-0000-0000-00000D530000}"/>
    <cellStyle name="40% - Accent5 3 3 4 4 2" xfId="21355" xr:uid="{00000000-0005-0000-0000-00000E530000}"/>
    <cellStyle name="40% - Accent5 3 3 4 4 3" xfId="21356" xr:uid="{00000000-0005-0000-0000-00000F530000}"/>
    <cellStyle name="40% - Accent5 3 3 4 5" xfId="21357" xr:uid="{00000000-0005-0000-0000-000010530000}"/>
    <cellStyle name="40% - Accent5 3 3 4 6" xfId="21358" xr:uid="{00000000-0005-0000-0000-000011530000}"/>
    <cellStyle name="40% - Accent5 3 3 4 7" xfId="21359" xr:uid="{00000000-0005-0000-0000-000012530000}"/>
    <cellStyle name="40% - Accent5 3 3 5" xfId="21360" xr:uid="{00000000-0005-0000-0000-000013530000}"/>
    <cellStyle name="40% - Accent5 3 3 5 2" xfId="21361" xr:uid="{00000000-0005-0000-0000-000014530000}"/>
    <cellStyle name="40% - Accent5 3 3 5 2 2" xfId="21362" xr:uid="{00000000-0005-0000-0000-000015530000}"/>
    <cellStyle name="40% - Accent5 3 3 5 2 2 2" xfId="21363" xr:uid="{00000000-0005-0000-0000-000016530000}"/>
    <cellStyle name="40% - Accent5 3 3 5 2 2 3" xfId="21364" xr:uid="{00000000-0005-0000-0000-000017530000}"/>
    <cellStyle name="40% - Accent5 3 3 5 2 3" xfId="21365" xr:uid="{00000000-0005-0000-0000-000018530000}"/>
    <cellStyle name="40% - Accent5 3 3 5 2 4" xfId="21366" xr:uid="{00000000-0005-0000-0000-000019530000}"/>
    <cellStyle name="40% - Accent5 3 3 5 3" xfId="21367" xr:uid="{00000000-0005-0000-0000-00001A530000}"/>
    <cellStyle name="40% - Accent5 3 3 5 3 2" xfId="21368" xr:uid="{00000000-0005-0000-0000-00001B530000}"/>
    <cellStyle name="40% - Accent5 3 3 5 3 3" xfId="21369" xr:uid="{00000000-0005-0000-0000-00001C530000}"/>
    <cellStyle name="40% - Accent5 3 3 5 4" xfId="21370" xr:uid="{00000000-0005-0000-0000-00001D530000}"/>
    <cellStyle name="40% - Accent5 3 3 5 5" xfId="21371" xr:uid="{00000000-0005-0000-0000-00001E530000}"/>
    <cellStyle name="40% - Accent5 3 3 5 6" xfId="21372" xr:uid="{00000000-0005-0000-0000-00001F530000}"/>
    <cellStyle name="40% - Accent5 3 3 6" xfId="21373" xr:uid="{00000000-0005-0000-0000-000020530000}"/>
    <cellStyle name="40% - Accent5 3 3 6 2" xfId="21374" xr:uid="{00000000-0005-0000-0000-000021530000}"/>
    <cellStyle name="40% - Accent5 3 3 6 2 2" xfId="21375" xr:uid="{00000000-0005-0000-0000-000022530000}"/>
    <cellStyle name="40% - Accent5 3 3 6 2 3" xfId="21376" xr:uid="{00000000-0005-0000-0000-000023530000}"/>
    <cellStyle name="40% - Accent5 3 3 6 3" xfId="21377" xr:uid="{00000000-0005-0000-0000-000024530000}"/>
    <cellStyle name="40% - Accent5 3 3 6 4" xfId="21378" xr:uid="{00000000-0005-0000-0000-000025530000}"/>
    <cellStyle name="40% - Accent5 3 3 7" xfId="21379" xr:uid="{00000000-0005-0000-0000-000026530000}"/>
    <cellStyle name="40% - Accent5 3 3 7 2" xfId="21380" xr:uid="{00000000-0005-0000-0000-000027530000}"/>
    <cellStyle name="40% - Accent5 3 3 7 3" xfId="21381" xr:uid="{00000000-0005-0000-0000-000028530000}"/>
    <cellStyle name="40% - Accent5 3 3 8" xfId="21382" xr:uid="{00000000-0005-0000-0000-000029530000}"/>
    <cellStyle name="40% - Accent5 3 3 9" xfId="21383" xr:uid="{00000000-0005-0000-0000-00002A530000}"/>
    <cellStyle name="40% - Accent5 3 4" xfId="21384" xr:uid="{00000000-0005-0000-0000-00002B530000}"/>
    <cellStyle name="40% - Accent5 3 4 2" xfId="21385" xr:uid="{00000000-0005-0000-0000-00002C530000}"/>
    <cellStyle name="40% - Accent5 3 4 2 2" xfId="21386" xr:uid="{00000000-0005-0000-0000-00002D530000}"/>
    <cellStyle name="40% - Accent5 3 4 2 2 2" xfId="21387" xr:uid="{00000000-0005-0000-0000-00002E530000}"/>
    <cellStyle name="40% - Accent5 3 4 2 2 2 2" xfId="21388" xr:uid="{00000000-0005-0000-0000-00002F530000}"/>
    <cellStyle name="40% - Accent5 3 4 2 2 2 2 2" xfId="21389" xr:uid="{00000000-0005-0000-0000-000030530000}"/>
    <cellStyle name="40% - Accent5 3 4 2 2 2 2 2 2" xfId="21390" xr:uid="{00000000-0005-0000-0000-000031530000}"/>
    <cellStyle name="40% - Accent5 3 4 2 2 2 2 2 3" xfId="21391" xr:uid="{00000000-0005-0000-0000-000032530000}"/>
    <cellStyle name="40% - Accent5 3 4 2 2 2 2 3" xfId="21392" xr:uid="{00000000-0005-0000-0000-000033530000}"/>
    <cellStyle name="40% - Accent5 3 4 2 2 2 2 4" xfId="21393" xr:uid="{00000000-0005-0000-0000-000034530000}"/>
    <cellStyle name="40% - Accent5 3 4 2 2 2 3" xfId="21394" xr:uid="{00000000-0005-0000-0000-000035530000}"/>
    <cellStyle name="40% - Accent5 3 4 2 2 2 3 2" xfId="21395" xr:uid="{00000000-0005-0000-0000-000036530000}"/>
    <cellStyle name="40% - Accent5 3 4 2 2 2 3 3" xfId="21396" xr:uid="{00000000-0005-0000-0000-000037530000}"/>
    <cellStyle name="40% - Accent5 3 4 2 2 2 4" xfId="21397" xr:uid="{00000000-0005-0000-0000-000038530000}"/>
    <cellStyle name="40% - Accent5 3 4 2 2 2 5" xfId="21398" xr:uid="{00000000-0005-0000-0000-000039530000}"/>
    <cellStyle name="40% - Accent5 3 4 2 2 2 6" xfId="21399" xr:uid="{00000000-0005-0000-0000-00003A530000}"/>
    <cellStyle name="40% - Accent5 3 4 2 2 3" xfId="21400" xr:uid="{00000000-0005-0000-0000-00003B530000}"/>
    <cellStyle name="40% - Accent5 3 4 2 2 3 2" xfId="21401" xr:uid="{00000000-0005-0000-0000-00003C530000}"/>
    <cellStyle name="40% - Accent5 3 4 2 2 3 2 2" xfId="21402" xr:uid="{00000000-0005-0000-0000-00003D530000}"/>
    <cellStyle name="40% - Accent5 3 4 2 2 3 2 3" xfId="21403" xr:uid="{00000000-0005-0000-0000-00003E530000}"/>
    <cellStyle name="40% - Accent5 3 4 2 2 3 3" xfId="21404" xr:uid="{00000000-0005-0000-0000-00003F530000}"/>
    <cellStyle name="40% - Accent5 3 4 2 2 3 4" xfId="21405" xr:uid="{00000000-0005-0000-0000-000040530000}"/>
    <cellStyle name="40% - Accent5 3 4 2 2 4" xfId="21406" xr:uid="{00000000-0005-0000-0000-000041530000}"/>
    <cellStyle name="40% - Accent5 3 4 2 2 4 2" xfId="21407" xr:uid="{00000000-0005-0000-0000-000042530000}"/>
    <cellStyle name="40% - Accent5 3 4 2 2 4 3" xfId="21408" xr:uid="{00000000-0005-0000-0000-000043530000}"/>
    <cellStyle name="40% - Accent5 3 4 2 2 5" xfId="21409" xr:uid="{00000000-0005-0000-0000-000044530000}"/>
    <cellStyle name="40% - Accent5 3 4 2 2 6" xfId="21410" xr:uid="{00000000-0005-0000-0000-000045530000}"/>
    <cellStyle name="40% - Accent5 3 4 2 2 7" xfId="21411" xr:uid="{00000000-0005-0000-0000-000046530000}"/>
    <cellStyle name="40% - Accent5 3 4 2 3" xfId="21412" xr:uid="{00000000-0005-0000-0000-000047530000}"/>
    <cellStyle name="40% - Accent5 3 4 2 3 2" xfId="21413" xr:uid="{00000000-0005-0000-0000-000048530000}"/>
    <cellStyle name="40% - Accent5 3 4 2 3 2 2" xfId="21414" xr:uid="{00000000-0005-0000-0000-000049530000}"/>
    <cellStyle name="40% - Accent5 3 4 2 3 2 2 2" xfId="21415" xr:uid="{00000000-0005-0000-0000-00004A530000}"/>
    <cellStyle name="40% - Accent5 3 4 2 3 2 2 3" xfId="21416" xr:uid="{00000000-0005-0000-0000-00004B530000}"/>
    <cellStyle name="40% - Accent5 3 4 2 3 2 3" xfId="21417" xr:uid="{00000000-0005-0000-0000-00004C530000}"/>
    <cellStyle name="40% - Accent5 3 4 2 3 2 4" xfId="21418" xr:uid="{00000000-0005-0000-0000-00004D530000}"/>
    <cellStyle name="40% - Accent5 3 4 2 3 3" xfId="21419" xr:uid="{00000000-0005-0000-0000-00004E530000}"/>
    <cellStyle name="40% - Accent5 3 4 2 3 3 2" xfId="21420" xr:uid="{00000000-0005-0000-0000-00004F530000}"/>
    <cellStyle name="40% - Accent5 3 4 2 3 3 3" xfId="21421" xr:uid="{00000000-0005-0000-0000-000050530000}"/>
    <cellStyle name="40% - Accent5 3 4 2 3 4" xfId="21422" xr:uid="{00000000-0005-0000-0000-000051530000}"/>
    <cellStyle name="40% - Accent5 3 4 2 3 5" xfId="21423" xr:uid="{00000000-0005-0000-0000-000052530000}"/>
    <cellStyle name="40% - Accent5 3 4 2 3 6" xfId="21424" xr:uid="{00000000-0005-0000-0000-000053530000}"/>
    <cellStyle name="40% - Accent5 3 4 2 4" xfId="21425" xr:uid="{00000000-0005-0000-0000-000054530000}"/>
    <cellStyle name="40% - Accent5 3 4 2 4 2" xfId="21426" xr:uid="{00000000-0005-0000-0000-000055530000}"/>
    <cellStyle name="40% - Accent5 3 4 2 4 2 2" xfId="21427" xr:uid="{00000000-0005-0000-0000-000056530000}"/>
    <cellStyle name="40% - Accent5 3 4 2 4 2 3" xfId="21428" xr:uid="{00000000-0005-0000-0000-000057530000}"/>
    <cellStyle name="40% - Accent5 3 4 2 4 3" xfId="21429" xr:uid="{00000000-0005-0000-0000-000058530000}"/>
    <cellStyle name="40% - Accent5 3 4 2 4 4" xfId="21430" xr:uid="{00000000-0005-0000-0000-000059530000}"/>
    <cellStyle name="40% - Accent5 3 4 2 5" xfId="21431" xr:uid="{00000000-0005-0000-0000-00005A530000}"/>
    <cellStyle name="40% - Accent5 3 4 2 5 2" xfId="21432" xr:uid="{00000000-0005-0000-0000-00005B530000}"/>
    <cellStyle name="40% - Accent5 3 4 2 5 3" xfId="21433" xr:uid="{00000000-0005-0000-0000-00005C530000}"/>
    <cellStyle name="40% - Accent5 3 4 2 6" xfId="21434" xr:uid="{00000000-0005-0000-0000-00005D530000}"/>
    <cellStyle name="40% - Accent5 3 4 2 7" xfId="21435" xr:uid="{00000000-0005-0000-0000-00005E530000}"/>
    <cellStyle name="40% - Accent5 3 4 2 8" xfId="21436" xr:uid="{00000000-0005-0000-0000-00005F530000}"/>
    <cellStyle name="40% - Accent5 3 4 3" xfId="21437" xr:uid="{00000000-0005-0000-0000-000060530000}"/>
    <cellStyle name="40% - Accent5 3 4 3 2" xfId="21438" xr:uid="{00000000-0005-0000-0000-000061530000}"/>
    <cellStyle name="40% - Accent5 3 4 3 2 2" xfId="21439" xr:uid="{00000000-0005-0000-0000-000062530000}"/>
    <cellStyle name="40% - Accent5 3 4 3 2 2 2" xfId="21440" xr:uid="{00000000-0005-0000-0000-000063530000}"/>
    <cellStyle name="40% - Accent5 3 4 3 2 2 2 2" xfId="21441" xr:uid="{00000000-0005-0000-0000-000064530000}"/>
    <cellStyle name="40% - Accent5 3 4 3 2 2 2 3" xfId="21442" xr:uid="{00000000-0005-0000-0000-000065530000}"/>
    <cellStyle name="40% - Accent5 3 4 3 2 2 3" xfId="21443" xr:uid="{00000000-0005-0000-0000-000066530000}"/>
    <cellStyle name="40% - Accent5 3 4 3 2 2 4" xfId="21444" xr:uid="{00000000-0005-0000-0000-000067530000}"/>
    <cellStyle name="40% - Accent5 3 4 3 2 3" xfId="21445" xr:uid="{00000000-0005-0000-0000-000068530000}"/>
    <cellStyle name="40% - Accent5 3 4 3 2 3 2" xfId="21446" xr:uid="{00000000-0005-0000-0000-000069530000}"/>
    <cellStyle name="40% - Accent5 3 4 3 2 3 3" xfId="21447" xr:uid="{00000000-0005-0000-0000-00006A530000}"/>
    <cellStyle name="40% - Accent5 3 4 3 2 4" xfId="21448" xr:uid="{00000000-0005-0000-0000-00006B530000}"/>
    <cellStyle name="40% - Accent5 3 4 3 2 5" xfId="21449" xr:uid="{00000000-0005-0000-0000-00006C530000}"/>
    <cellStyle name="40% - Accent5 3 4 3 2 6" xfId="21450" xr:uid="{00000000-0005-0000-0000-00006D530000}"/>
    <cellStyle name="40% - Accent5 3 4 3 3" xfId="21451" xr:uid="{00000000-0005-0000-0000-00006E530000}"/>
    <cellStyle name="40% - Accent5 3 4 3 3 2" xfId="21452" xr:uid="{00000000-0005-0000-0000-00006F530000}"/>
    <cellStyle name="40% - Accent5 3 4 3 3 2 2" xfId="21453" xr:uid="{00000000-0005-0000-0000-000070530000}"/>
    <cellStyle name="40% - Accent5 3 4 3 3 2 3" xfId="21454" xr:uid="{00000000-0005-0000-0000-000071530000}"/>
    <cellStyle name="40% - Accent5 3 4 3 3 3" xfId="21455" xr:uid="{00000000-0005-0000-0000-000072530000}"/>
    <cellStyle name="40% - Accent5 3 4 3 3 4" xfId="21456" xr:uid="{00000000-0005-0000-0000-000073530000}"/>
    <cellStyle name="40% - Accent5 3 4 3 4" xfId="21457" xr:uid="{00000000-0005-0000-0000-000074530000}"/>
    <cellStyle name="40% - Accent5 3 4 3 4 2" xfId="21458" xr:uid="{00000000-0005-0000-0000-000075530000}"/>
    <cellStyle name="40% - Accent5 3 4 3 4 3" xfId="21459" xr:uid="{00000000-0005-0000-0000-000076530000}"/>
    <cellStyle name="40% - Accent5 3 4 3 5" xfId="21460" xr:uid="{00000000-0005-0000-0000-000077530000}"/>
    <cellStyle name="40% - Accent5 3 4 3 6" xfId="21461" xr:uid="{00000000-0005-0000-0000-000078530000}"/>
    <cellStyle name="40% - Accent5 3 4 3 7" xfId="21462" xr:uid="{00000000-0005-0000-0000-000079530000}"/>
    <cellStyle name="40% - Accent5 3 4 4" xfId="21463" xr:uid="{00000000-0005-0000-0000-00007A530000}"/>
    <cellStyle name="40% - Accent5 3 4 4 2" xfId="21464" xr:uid="{00000000-0005-0000-0000-00007B530000}"/>
    <cellStyle name="40% - Accent5 3 4 4 2 2" xfId="21465" xr:uid="{00000000-0005-0000-0000-00007C530000}"/>
    <cellStyle name="40% - Accent5 3 4 4 2 2 2" xfId="21466" xr:uid="{00000000-0005-0000-0000-00007D530000}"/>
    <cellStyle name="40% - Accent5 3 4 4 2 2 3" xfId="21467" xr:uid="{00000000-0005-0000-0000-00007E530000}"/>
    <cellStyle name="40% - Accent5 3 4 4 2 3" xfId="21468" xr:uid="{00000000-0005-0000-0000-00007F530000}"/>
    <cellStyle name="40% - Accent5 3 4 4 2 4" xfId="21469" xr:uid="{00000000-0005-0000-0000-000080530000}"/>
    <cellStyle name="40% - Accent5 3 4 4 3" xfId="21470" xr:uid="{00000000-0005-0000-0000-000081530000}"/>
    <cellStyle name="40% - Accent5 3 4 4 3 2" xfId="21471" xr:uid="{00000000-0005-0000-0000-000082530000}"/>
    <cellStyle name="40% - Accent5 3 4 4 3 3" xfId="21472" xr:uid="{00000000-0005-0000-0000-000083530000}"/>
    <cellStyle name="40% - Accent5 3 4 4 4" xfId="21473" xr:uid="{00000000-0005-0000-0000-000084530000}"/>
    <cellStyle name="40% - Accent5 3 4 4 5" xfId="21474" xr:uid="{00000000-0005-0000-0000-000085530000}"/>
    <cellStyle name="40% - Accent5 3 4 4 6" xfId="21475" xr:uid="{00000000-0005-0000-0000-000086530000}"/>
    <cellStyle name="40% - Accent5 3 4 5" xfId="21476" xr:uid="{00000000-0005-0000-0000-000087530000}"/>
    <cellStyle name="40% - Accent5 3 4 5 2" xfId="21477" xr:uid="{00000000-0005-0000-0000-000088530000}"/>
    <cellStyle name="40% - Accent5 3 4 5 2 2" xfId="21478" xr:uid="{00000000-0005-0000-0000-000089530000}"/>
    <cellStyle name="40% - Accent5 3 4 5 2 3" xfId="21479" xr:uid="{00000000-0005-0000-0000-00008A530000}"/>
    <cellStyle name="40% - Accent5 3 4 5 3" xfId="21480" xr:uid="{00000000-0005-0000-0000-00008B530000}"/>
    <cellStyle name="40% - Accent5 3 4 5 4" xfId="21481" xr:uid="{00000000-0005-0000-0000-00008C530000}"/>
    <cellStyle name="40% - Accent5 3 4 6" xfId="21482" xr:uid="{00000000-0005-0000-0000-00008D530000}"/>
    <cellStyle name="40% - Accent5 3 4 6 2" xfId="21483" xr:uid="{00000000-0005-0000-0000-00008E530000}"/>
    <cellStyle name="40% - Accent5 3 4 6 3" xfId="21484" xr:uid="{00000000-0005-0000-0000-00008F530000}"/>
    <cellStyle name="40% - Accent5 3 4 7" xfId="21485" xr:uid="{00000000-0005-0000-0000-000090530000}"/>
    <cellStyle name="40% - Accent5 3 4 8" xfId="21486" xr:uid="{00000000-0005-0000-0000-000091530000}"/>
    <cellStyle name="40% - Accent5 3 4 9" xfId="21487" xr:uid="{00000000-0005-0000-0000-000092530000}"/>
    <cellStyle name="40% - Accent5 3 5" xfId="21488" xr:uid="{00000000-0005-0000-0000-000093530000}"/>
    <cellStyle name="40% - Accent5 3 5 2" xfId="21489" xr:uid="{00000000-0005-0000-0000-000094530000}"/>
    <cellStyle name="40% - Accent5 3 5 2 2" xfId="21490" xr:uid="{00000000-0005-0000-0000-000095530000}"/>
    <cellStyle name="40% - Accent5 3 5 2 2 2" xfId="21491" xr:uid="{00000000-0005-0000-0000-000096530000}"/>
    <cellStyle name="40% - Accent5 3 5 2 2 2 2" xfId="21492" xr:uid="{00000000-0005-0000-0000-000097530000}"/>
    <cellStyle name="40% - Accent5 3 5 2 2 2 2 2" xfId="21493" xr:uid="{00000000-0005-0000-0000-000098530000}"/>
    <cellStyle name="40% - Accent5 3 5 2 2 2 2 2 2" xfId="21494" xr:uid="{00000000-0005-0000-0000-000099530000}"/>
    <cellStyle name="40% - Accent5 3 5 2 2 2 2 2 3" xfId="21495" xr:uid="{00000000-0005-0000-0000-00009A530000}"/>
    <cellStyle name="40% - Accent5 3 5 2 2 2 2 3" xfId="21496" xr:uid="{00000000-0005-0000-0000-00009B530000}"/>
    <cellStyle name="40% - Accent5 3 5 2 2 2 2 4" xfId="21497" xr:uid="{00000000-0005-0000-0000-00009C530000}"/>
    <cellStyle name="40% - Accent5 3 5 2 2 2 3" xfId="21498" xr:uid="{00000000-0005-0000-0000-00009D530000}"/>
    <cellStyle name="40% - Accent5 3 5 2 2 2 3 2" xfId="21499" xr:uid="{00000000-0005-0000-0000-00009E530000}"/>
    <cellStyle name="40% - Accent5 3 5 2 2 2 3 3" xfId="21500" xr:uid="{00000000-0005-0000-0000-00009F530000}"/>
    <cellStyle name="40% - Accent5 3 5 2 2 2 4" xfId="21501" xr:uid="{00000000-0005-0000-0000-0000A0530000}"/>
    <cellStyle name="40% - Accent5 3 5 2 2 2 5" xfId="21502" xr:uid="{00000000-0005-0000-0000-0000A1530000}"/>
    <cellStyle name="40% - Accent5 3 5 2 2 2 6" xfId="21503" xr:uid="{00000000-0005-0000-0000-0000A2530000}"/>
    <cellStyle name="40% - Accent5 3 5 2 2 3" xfId="21504" xr:uid="{00000000-0005-0000-0000-0000A3530000}"/>
    <cellStyle name="40% - Accent5 3 5 2 2 3 2" xfId="21505" xr:uid="{00000000-0005-0000-0000-0000A4530000}"/>
    <cellStyle name="40% - Accent5 3 5 2 2 3 2 2" xfId="21506" xr:uid="{00000000-0005-0000-0000-0000A5530000}"/>
    <cellStyle name="40% - Accent5 3 5 2 2 3 2 3" xfId="21507" xr:uid="{00000000-0005-0000-0000-0000A6530000}"/>
    <cellStyle name="40% - Accent5 3 5 2 2 3 3" xfId="21508" xr:uid="{00000000-0005-0000-0000-0000A7530000}"/>
    <cellStyle name="40% - Accent5 3 5 2 2 3 4" xfId="21509" xr:uid="{00000000-0005-0000-0000-0000A8530000}"/>
    <cellStyle name="40% - Accent5 3 5 2 2 4" xfId="21510" xr:uid="{00000000-0005-0000-0000-0000A9530000}"/>
    <cellStyle name="40% - Accent5 3 5 2 2 4 2" xfId="21511" xr:uid="{00000000-0005-0000-0000-0000AA530000}"/>
    <cellStyle name="40% - Accent5 3 5 2 2 4 3" xfId="21512" xr:uid="{00000000-0005-0000-0000-0000AB530000}"/>
    <cellStyle name="40% - Accent5 3 5 2 2 5" xfId="21513" xr:uid="{00000000-0005-0000-0000-0000AC530000}"/>
    <cellStyle name="40% - Accent5 3 5 2 2 6" xfId="21514" xr:uid="{00000000-0005-0000-0000-0000AD530000}"/>
    <cellStyle name="40% - Accent5 3 5 2 2 7" xfId="21515" xr:uid="{00000000-0005-0000-0000-0000AE530000}"/>
    <cellStyle name="40% - Accent5 3 5 2 3" xfId="21516" xr:uid="{00000000-0005-0000-0000-0000AF530000}"/>
    <cellStyle name="40% - Accent5 3 5 2 3 2" xfId="21517" xr:uid="{00000000-0005-0000-0000-0000B0530000}"/>
    <cellStyle name="40% - Accent5 3 5 2 3 2 2" xfId="21518" xr:uid="{00000000-0005-0000-0000-0000B1530000}"/>
    <cellStyle name="40% - Accent5 3 5 2 3 2 2 2" xfId="21519" xr:uid="{00000000-0005-0000-0000-0000B2530000}"/>
    <cellStyle name="40% - Accent5 3 5 2 3 2 2 3" xfId="21520" xr:uid="{00000000-0005-0000-0000-0000B3530000}"/>
    <cellStyle name="40% - Accent5 3 5 2 3 2 3" xfId="21521" xr:uid="{00000000-0005-0000-0000-0000B4530000}"/>
    <cellStyle name="40% - Accent5 3 5 2 3 2 4" xfId="21522" xr:uid="{00000000-0005-0000-0000-0000B5530000}"/>
    <cellStyle name="40% - Accent5 3 5 2 3 3" xfId="21523" xr:uid="{00000000-0005-0000-0000-0000B6530000}"/>
    <cellStyle name="40% - Accent5 3 5 2 3 3 2" xfId="21524" xr:uid="{00000000-0005-0000-0000-0000B7530000}"/>
    <cellStyle name="40% - Accent5 3 5 2 3 3 3" xfId="21525" xr:uid="{00000000-0005-0000-0000-0000B8530000}"/>
    <cellStyle name="40% - Accent5 3 5 2 3 4" xfId="21526" xr:uid="{00000000-0005-0000-0000-0000B9530000}"/>
    <cellStyle name="40% - Accent5 3 5 2 3 5" xfId="21527" xr:uid="{00000000-0005-0000-0000-0000BA530000}"/>
    <cellStyle name="40% - Accent5 3 5 2 3 6" xfId="21528" xr:uid="{00000000-0005-0000-0000-0000BB530000}"/>
    <cellStyle name="40% - Accent5 3 5 2 4" xfId="21529" xr:uid="{00000000-0005-0000-0000-0000BC530000}"/>
    <cellStyle name="40% - Accent5 3 5 2 4 2" xfId="21530" xr:uid="{00000000-0005-0000-0000-0000BD530000}"/>
    <cellStyle name="40% - Accent5 3 5 2 4 2 2" xfId="21531" xr:uid="{00000000-0005-0000-0000-0000BE530000}"/>
    <cellStyle name="40% - Accent5 3 5 2 4 2 3" xfId="21532" xr:uid="{00000000-0005-0000-0000-0000BF530000}"/>
    <cellStyle name="40% - Accent5 3 5 2 4 3" xfId="21533" xr:uid="{00000000-0005-0000-0000-0000C0530000}"/>
    <cellStyle name="40% - Accent5 3 5 2 4 4" xfId="21534" xr:uid="{00000000-0005-0000-0000-0000C1530000}"/>
    <cellStyle name="40% - Accent5 3 5 2 5" xfId="21535" xr:uid="{00000000-0005-0000-0000-0000C2530000}"/>
    <cellStyle name="40% - Accent5 3 5 2 5 2" xfId="21536" xr:uid="{00000000-0005-0000-0000-0000C3530000}"/>
    <cellStyle name="40% - Accent5 3 5 2 5 3" xfId="21537" xr:uid="{00000000-0005-0000-0000-0000C4530000}"/>
    <cellStyle name="40% - Accent5 3 5 2 6" xfId="21538" xr:uid="{00000000-0005-0000-0000-0000C5530000}"/>
    <cellStyle name="40% - Accent5 3 5 2 7" xfId="21539" xr:uid="{00000000-0005-0000-0000-0000C6530000}"/>
    <cellStyle name="40% - Accent5 3 5 2 8" xfId="21540" xr:uid="{00000000-0005-0000-0000-0000C7530000}"/>
    <cellStyle name="40% - Accent5 3 5 3" xfId="21541" xr:uid="{00000000-0005-0000-0000-0000C8530000}"/>
    <cellStyle name="40% - Accent5 3 5 3 2" xfId="21542" xr:uid="{00000000-0005-0000-0000-0000C9530000}"/>
    <cellStyle name="40% - Accent5 3 5 3 2 2" xfId="21543" xr:uid="{00000000-0005-0000-0000-0000CA530000}"/>
    <cellStyle name="40% - Accent5 3 5 3 2 2 2" xfId="21544" xr:uid="{00000000-0005-0000-0000-0000CB530000}"/>
    <cellStyle name="40% - Accent5 3 5 3 2 2 2 2" xfId="21545" xr:uid="{00000000-0005-0000-0000-0000CC530000}"/>
    <cellStyle name="40% - Accent5 3 5 3 2 2 2 3" xfId="21546" xr:uid="{00000000-0005-0000-0000-0000CD530000}"/>
    <cellStyle name="40% - Accent5 3 5 3 2 2 3" xfId="21547" xr:uid="{00000000-0005-0000-0000-0000CE530000}"/>
    <cellStyle name="40% - Accent5 3 5 3 2 2 4" xfId="21548" xr:uid="{00000000-0005-0000-0000-0000CF530000}"/>
    <cellStyle name="40% - Accent5 3 5 3 2 3" xfId="21549" xr:uid="{00000000-0005-0000-0000-0000D0530000}"/>
    <cellStyle name="40% - Accent5 3 5 3 2 3 2" xfId="21550" xr:uid="{00000000-0005-0000-0000-0000D1530000}"/>
    <cellStyle name="40% - Accent5 3 5 3 2 3 3" xfId="21551" xr:uid="{00000000-0005-0000-0000-0000D2530000}"/>
    <cellStyle name="40% - Accent5 3 5 3 2 4" xfId="21552" xr:uid="{00000000-0005-0000-0000-0000D3530000}"/>
    <cellStyle name="40% - Accent5 3 5 3 2 5" xfId="21553" xr:uid="{00000000-0005-0000-0000-0000D4530000}"/>
    <cellStyle name="40% - Accent5 3 5 3 2 6" xfId="21554" xr:uid="{00000000-0005-0000-0000-0000D5530000}"/>
    <cellStyle name="40% - Accent5 3 5 3 3" xfId="21555" xr:uid="{00000000-0005-0000-0000-0000D6530000}"/>
    <cellStyle name="40% - Accent5 3 5 3 3 2" xfId="21556" xr:uid="{00000000-0005-0000-0000-0000D7530000}"/>
    <cellStyle name="40% - Accent5 3 5 3 3 2 2" xfId="21557" xr:uid="{00000000-0005-0000-0000-0000D8530000}"/>
    <cellStyle name="40% - Accent5 3 5 3 3 2 3" xfId="21558" xr:uid="{00000000-0005-0000-0000-0000D9530000}"/>
    <cellStyle name="40% - Accent5 3 5 3 3 3" xfId="21559" xr:uid="{00000000-0005-0000-0000-0000DA530000}"/>
    <cellStyle name="40% - Accent5 3 5 3 3 4" xfId="21560" xr:uid="{00000000-0005-0000-0000-0000DB530000}"/>
    <cellStyle name="40% - Accent5 3 5 3 4" xfId="21561" xr:uid="{00000000-0005-0000-0000-0000DC530000}"/>
    <cellStyle name="40% - Accent5 3 5 3 4 2" xfId="21562" xr:uid="{00000000-0005-0000-0000-0000DD530000}"/>
    <cellStyle name="40% - Accent5 3 5 3 4 3" xfId="21563" xr:uid="{00000000-0005-0000-0000-0000DE530000}"/>
    <cellStyle name="40% - Accent5 3 5 3 5" xfId="21564" xr:uid="{00000000-0005-0000-0000-0000DF530000}"/>
    <cellStyle name="40% - Accent5 3 5 3 6" xfId="21565" xr:uid="{00000000-0005-0000-0000-0000E0530000}"/>
    <cellStyle name="40% - Accent5 3 5 3 7" xfId="21566" xr:uid="{00000000-0005-0000-0000-0000E1530000}"/>
    <cellStyle name="40% - Accent5 3 5 4" xfId="21567" xr:uid="{00000000-0005-0000-0000-0000E2530000}"/>
    <cellStyle name="40% - Accent5 3 5 4 2" xfId="21568" xr:uid="{00000000-0005-0000-0000-0000E3530000}"/>
    <cellStyle name="40% - Accent5 3 5 4 2 2" xfId="21569" xr:uid="{00000000-0005-0000-0000-0000E4530000}"/>
    <cellStyle name="40% - Accent5 3 5 4 2 2 2" xfId="21570" xr:uid="{00000000-0005-0000-0000-0000E5530000}"/>
    <cellStyle name="40% - Accent5 3 5 4 2 2 3" xfId="21571" xr:uid="{00000000-0005-0000-0000-0000E6530000}"/>
    <cellStyle name="40% - Accent5 3 5 4 2 3" xfId="21572" xr:uid="{00000000-0005-0000-0000-0000E7530000}"/>
    <cellStyle name="40% - Accent5 3 5 4 2 4" xfId="21573" xr:uid="{00000000-0005-0000-0000-0000E8530000}"/>
    <cellStyle name="40% - Accent5 3 5 4 3" xfId="21574" xr:uid="{00000000-0005-0000-0000-0000E9530000}"/>
    <cellStyle name="40% - Accent5 3 5 4 3 2" xfId="21575" xr:uid="{00000000-0005-0000-0000-0000EA530000}"/>
    <cellStyle name="40% - Accent5 3 5 4 3 3" xfId="21576" xr:uid="{00000000-0005-0000-0000-0000EB530000}"/>
    <cellStyle name="40% - Accent5 3 5 4 4" xfId="21577" xr:uid="{00000000-0005-0000-0000-0000EC530000}"/>
    <cellStyle name="40% - Accent5 3 5 4 5" xfId="21578" xr:uid="{00000000-0005-0000-0000-0000ED530000}"/>
    <cellStyle name="40% - Accent5 3 5 4 6" xfId="21579" xr:uid="{00000000-0005-0000-0000-0000EE530000}"/>
    <cellStyle name="40% - Accent5 3 5 5" xfId="21580" xr:uid="{00000000-0005-0000-0000-0000EF530000}"/>
    <cellStyle name="40% - Accent5 3 5 5 2" xfId="21581" xr:uid="{00000000-0005-0000-0000-0000F0530000}"/>
    <cellStyle name="40% - Accent5 3 5 5 2 2" xfId="21582" xr:uid="{00000000-0005-0000-0000-0000F1530000}"/>
    <cellStyle name="40% - Accent5 3 5 5 2 3" xfId="21583" xr:uid="{00000000-0005-0000-0000-0000F2530000}"/>
    <cellStyle name="40% - Accent5 3 5 5 3" xfId="21584" xr:uid="{00000000-0005-0000-0000-0000F3530000}"/>
    <cellStyle name="40% - Accent5 3 5 5 4" xfId="21585" xr:uid="{00000000-0005-0000-0000-0000F4530000}"/>
    <cellStyle name="40% - Accent5 3 5 6" xfId="21586" xr:uid="{00000000-0005-0000-0000-0000F5530000}"/>
    <cellStyle name="40% - Accent5 3 5 6 2" xfId="21587" xr:uid="{00000000-0005-0000-0000-0000F6530000}"/>
    <cellStyle name="40% - Accent5 3 5 6 3" xfId="21588" xr:uid="{00000000-0005-0000-0000-0000F7530000}"/>
    <cellStyle name="40% - Accent5 3 5 7" xfId="21589" xr:uid="{00000000-0005-0000-0000-0000F8530000}"/>
    <cellStyle name="40% - Accent5 3 5 8" xfId="21590" xr:uid="{00000000-0005-0000-0000-0000F9530000}"/>
    <cellStyle name="40% - Accent5 3 5 9" xfId="21591" xr:uid="{00000000-0005-0000-0000-0000FA530000}"/>
    <cellStyle name="40% - Accent5 3 6" xfId="21592" xr:uid="{00000000-0005-0000-0000-0000FB530000}"/>
    <cellStyle name="40% - Accent5 3 6 2" xfId="21593" xr:uid="{00000000-0005-0000-0000-0000FC530000}"/>
    <cellStyle name="40% - Accent5 3 6 2 2" xfId="21594" xr:uid="{00000000-0005-0000-0000-0000FD530000}"/>
    <cellStyle name="40% - Accent5 3 6 2 2 2" xfId="21595" xr:uid="{00000000-0005-0000-0000-0000FE530000}"/>
    <cellStyle name="40% - Accent5 3 6 2 2 2 2" xfId="21596" xr:uid="{00000000-0005-0000-0000-0000FF530000}"/>
    <cellStyle name="40% - Accent5 3 6 2 2 2 2 2" xfId="21597" xr:uid="{00000000-0005-0000-0000-000000540000}"/>
    <cellStyle name="40% - Accent5 3 6 2 2 2 2 3" xfId="21598" xr:uid="{00000000-0005-0000-0000-000001540000}"/>
    <cellStyle name="40% - Accent5 3 6 2 2 2 3" xfId="21599" xr:uid="{00000000-0005-0000-0000-000002540000}"/>
    <cellStyle name="40% - Accent5 3 6 2 2 2 4" xfId="21600" xr:uid="{00000000-0005-0000-0000-000003540000}"/>
    <cellStyle name="40% - Accent5 3 6 2 2 3" xfId="21601" xr:uid="{00000000-0005-0000-0000-000004540000}"/>
    <cellStyle name="40% - Accent5 3 6 2 2 3 2" xfId="21602" xr:uid="{00000000-0005-0000-0000-000005540000}"/>
    <cellStyle name="40% - Accent5 3 6 2 2 3 3" xfId="21603" xr:uid="{00000000-0005-0000-0000-000006540000}"/>
    <cellStyle name="40% - Accent5 3 6 2 2 4" xfId="21604" xr:uid="{00000000-0005-0000-0000-000007540000}"/>
    <cellStyle name="40% - Accent5 3 6 2 2 5" xfId="21605" xr:uid="{00000000-0005-0000-0000-000008540000}"/>
    <cellStyle name="40% - Accent5 3 6 2 2 6" xfId="21606" xr:uid="{00000000-0005-0000-0000-000009540000}"/>
    <cellStyle name="40% - Accent5 3 6 2 3" xfId="21607" xr:uid="{00000000-0005-0000-0000-00000A540000}"/>
    <cellStyle name="40% - Accent5 3 6 2 3 2" xfId="21608" xr:uid="{00000000-0005-0000-0000-00000B540000}"/>
    <cellStyle name="40% - Accent5 3 6 2 3 2 2" xfId="21609" xr:uid="{00000000-0005-0000-0000-00000C540000}"/>
    <cellStyle name="40% - Accent5 3 6 2 3 2 3" xfId="21610" xr:uid="{00000000-0005-0000-0000-00000D540000}"/>
    <cellStyle name="40% - Accent5 3 6 2 3 3" xfId="21611" xr:uid="{00000000-0005-0000-0000-00000E540000}"/>
    <cellStyle name="40% - Accent5 3 6 2 3 4" xfId="21612" xr:uid="{00000000-0005-0000-0000-00000F540000}"/>
    <cellStyle name="40% - Accent5 3 6 2 4" xfId="21613" xr:uid="{00000000-0005-0000-0000-000010540000}"/>
    <cellStyle name="40% - Accent5 3 6 2 4 2" xfId="21614" xr:uid="{00000000-0005-0000-0000-000011540000}"/>
    <cellStyle name="40% - Accent5 3 6 2 4 3" xfId="21615" xr:uid="{00000000-0005-0000-0000-000012540000}"/>
    <cellStyle name="40% - Accent5 3 6 2 5" xfId="21616" xr:uid="{00000000-0005-0000-0000-000013540000}"/>
    <cellStyle name="40% - Accent5 3 6 2 6" xfId="21617" xr:uid="{00000000-0005-0000-0000-000014540000}"/>
    <cellStyle name="40% - Accent5 3 6 2 7" xfId="21618" xr:uid="{00000000-0005-0000-0000-000015540000}"/>
    <cellStyle name="40% - Accent5 3 6 3" xfId="21619" xr:uid="{00000000-0005-0000-0000-000016540000}"/>
    <cellStyle name="40% - Accent5 3 6 3 2" xfId="21620" xr:uid="{00000000-0005-0000-0000-000017540000}"/>
    <cellStyle name="40% - Accent5 3 6 3 2 2" xfId="21621" xr:uid="{00000000-0005-0000-0000-000018540000}"/>
    <cellStyle name="40% - Accent5 3 6 3 2 2 2" xfId="21622" xr:uid="{00000000-0005-0000-0000-000019540000}"/>
    <cellStyle name="40% - Accent5 3 6 3 2 2 3" xfId="21623" xr:uid="{00000000-0005-0000-0000-00001A540000}"/>
    <cellStyle name="40% - Accent5 3 6 3 2 3" xfId="21624" xr:uid="{00000000-0005-0000-0000-00001B540000}"/>
    <cellStyle name="40% - Accent5 3 6 3 2 4" xfId="21625" xr:uid="{00000000-0005-0000-0000-00001C540000}"/>
    <cellStyle name="40% - Accent5 3 6 3 3" xfId="21626" xr:uid="{00000000-0005-0000-0000-00001D540000}"/>
    <cellStyle name="40% - Accent5 3 6 3 3 2" xfId="21627" xr:uid="{00000000-0005-0000-0000-00001E540000}"/>
    <cellStyle name="40% - Accent5 3 6 3 3 3" xfId="21628" xr:uid="{00000000-0005-0000-0000-00001F540000}"/>
    <cellStyle name="40% - Accent5 3 6 3 4" xfId="21629" xr:uid="{00000000-0005-0000-0000-000020540000}"/>
    <cellStyle name="40% - Accent5 3 6 3 5" xfId="21630" xr:uid="{00000000-0005-0000-0000-000021540000}"/>
    <cellStyle name="40% - Accent5 3 6 3 6" xfId="21631" xr:uid="{00000000-0005-0000-0000-000022540000}"/>
    <cellStyle name="40% - Accent5 3 6 4" xfId="21632" xr:uid="{00000000-0005-0000-0000-000023540000}"/>
    <cellStyle name="40% - Accent5 3 6 4 2" xfId="21633" xr:uid="{00000000-0005-0000-0000-000024540000}"/>
    <cellStyle name="40% - Accent5 3 6 4 2 2" xfId="21634" xr:uid="{00000000-0005-0000-0000-000025540000}"/>
    <cellStyle name="40% - Accent5 3 6 4 2 3" xfId="21635" xr:uid="{00000000-0005-0000-0000-000026540000}"/>
    <cellStyle name="40% - Accent5 3 6 4 3" xfId="21636" xr:uid="{00000000-0005-0000-0000-000027540000}"/>
    <cellStyle name="40% - Accent5 3 6 4 4" xfId="21637" xr:uid="{00000000-0005-0000-0000-000028540000}"/>
    <cellStyle name="40% - Accent5 3 6 5" xfId="21638" xr:uid="{00000000-0005-0000-0000-000029540000}"/>
    <cellStyle name="40% - Accent5 3 6 5 2" xfId="21639" xr:uid="{00000000-0005-0000-0000-00002A540000}"/>
    <cellStyle name="40% - Accent5 3 6 5 3" xfId="21640" xr:uid="{00000000-0005-0000-0000-00002B540000}"/>
    <cellStyle name="40% - Accent5 3 6 6" xfId="21641" xr:uid="{00000000-0005-0000-0000-00002C540000}"/>
    <cellStyle name="40% - Accent5 3 6 7" xfId="21642" xr:uid="{00000000-0005-0000-0000-00002D540000}"/>
    <cellStyle name="40% - Accent5 3 6 8" xfId="21643" xr:uid="{00000000-0005-0000-0000-00002E540000}"/>
    <cellStyle name="40% - Accent5 3 7" xfId="21644" xr:uid="{00000000-0005-0000-0000-00002F540000}"/>
    <cellStyle name="40% - Accent5 3 7 2" xfId="21645" xr:uid="{00000000-0005-0000-0000-000030540000}"/>
    <cellStyle name="40% - Accent5 3 7 2 2" xfId="21646" xr:uid="{00000000-0005-0000-0000-000031540000}"/>
    <cellStyle name="40% - Accent5 3 7 2 2 2" xfId="21647" xr:uid="{00000000-0005-0000-0000-000032540000}"/>
    <cellStyle name="40% - Accent5 3 7 2 2 2 2" xfId="21648" xr:uid="{00000000-0005-0000-0000-000033540000}"/>
    <cellStyle name="40% - Accent5 3 7 2 2 2 2 2" xfId="21649" xr:uid="{00000000-0005-0000-0000-000034540000}"/>
    <cellStyle name="40% - Accent5 3 7 2 2 2 2 3" xfId="21650" xr:uid="{00000000-0005-0000-0000-000035540000}"/>
    <cellStyle name="40% - Accent5 3 7 2 2 2 3" xfId="21651" xr:uid="{00000000-0005-0000-0000-000036540000}"/>
    <cellStyle name="40% - Accent5 3 7 2 2 2 4" xfId="21652" xr:uid="{00000000-0005-0000-0000-000037540000}"/>
    <cellStyle name="40% - Accent5 3 7 2 2 3" xfId="21653" xr:uid="{00000000-0005-0000-0000-000038540000}"/>
    <cellStyle name="40% - Accent5 3 7 2 2 3 2" xfId="21654" xr:uid="{00000000-0005-0000-0000-000039540000}"/>
    <cellStyle name="40% - Accent5 3 7 2 2 3 3" xfId="21655" xr:uid="{00000000-0005-0000-0000-00003A540000}"/>
    <cellStyle name="40% - Accent5 3 7 2 2 4" xfId="21656" xr:uid="{00000000-0005-0000-0000-00003B540000}"/>
    <cellStyle name="40% - Accent5 3 7 2 2 5" xfId="21657" xr:uid="{00000000-0005-0000-0000-00003C540000}"/>
    <cellStyle name="40% - Accent5 3 7 2 2 6" xfId="21658" xr:uid="{00000000-0005-0000-0000-00003D540000}"/>
    <cellStyle name="40% - Accent5 3 7 2 3" xfId="21659" xr:uid="{00000000-0005-0000-0000-00003E540000}"/>
    <cellStyle name="40% - Accent5 3 7 2 3 2" xfId="21660" xr:uid="{00000000-0005-0000-0000-00003F540000}"/>
    <cellStyle name="40% - Accent5 3 7 2 3 2 2" xfId="21661" xr:uid="{00000000-0005-0000-0000-000040540000}"/>
    <cellStyle name="40% - Accent5 3 7 2 3 2 3" xfId="21662" xr:uid="{00000000-0005-0000-0000-000041540000}"/>
    <cellStyle name="40% - Accent5 3 7 2 3 3" xfId="21663" xr:uid="{00000000-0005-0000-0000-000042540000}"/>
    <cellStyle name="40% - Accent5 3 7 2 3 4" xfId="21664" xr:uid="{00000000-0005-0000-0000-000043540000}"/>
    <cellStyle name="40% - Accent5 3 7 2 4" xfId="21665" xr:uid="{00000000-0005-0000-0000-000044540000}"/>
    <cellStyle name="40% - Accent5 3 7 2 4 2" xfId="21666" xr:uid="{00000000-0005-0000-0000-000045540000}"/>
    <cellStyle name="40% - Accent5 3 7 2 4 3" xfId="21667" xr:uid="{00000000-0005-0000-0000-000046540000}"/>
    <cellStyle name="40% - Accent5 3 7 2 5" xfId="21668" xr:uid="{00000000-0005-0000-0000-000047540000}"/>
    <cellStyle name="40% - Accent5 3 7 2 6" xfId="21669" xr:uid="{00000000-0005-0000-0000-000048540000}"/>
    <cellStyle name="40% - Accent5 3 7 2 7" xfId="21670" xr:uid="{00000000-0005-0000-0000-000049540000}"/>
    <cellStyle name="40% - Accent5 3 7 3" xfId="21671" xr:uid="{00000000-0005-0000-0000-00004A540000}"/>
    <cellStyle name="40% - Accent5 3 7 3 2" xfId="21672" xr:uid="{00000000-0005-0000-0000-00004B540000}"/>
    <cellStyle name="40% - Accent5 3 7 3 2 2" xfId="21673" xr:uid="{00000000-0005-0000-0000-00004C540000}"/>
    <cellStyle name="40% - Accent5 3 7 3 2 2 2" xfId="21674" xr:uid="{00000000-0005-0000-0000-00004D540000}"/>
    <cellStyle name="40% - Accent5 3 7 3 2 2 3" xfId="21675" xr:uid="{00000000-0005-0000-0000-00004E540000}"/>
    <cellStyle name="40% - Accent5 3 7 3 2 3" xfId="21676" xr:uid="{00000000-0005-0000-0000-00004F540000}"/>
    <cellStyle name="40% - Accent5 3 7 3 2 4" xfId="21677" xr:uid="{00000000-0005-0000-0000-000050540000}"/>
    <cellStyle name="40% - Accent5 3 7 3 3" xfId="21678" xr:uid="{00000000-0005-0000-0000-000051540000}"/>
    <cellStyle name="40% - Accent5 3 7 3 3 2" xfId="21679" xr:uid="{00000000-0005-0000-0000-000052540000}"/>
    <cellStyle name="40% - Accent5 3 7 3 3 3" xfId="21680" xr:uid="{00000000-0005-0000-0000-000053540000}"/>
    <cellStyle name="40% - Accent5 3 7 3 4" xfId="21681" xr:uid="{00000000-0005-0000-0000-000054540000}"/>
    <cellStyle name="40% - Accent5 3 7 3 5" xfId="21682" xr:uid="{00000000-0005-0000-0000-000055540000}"/>
    <cellStyle name="40% - Accent5 3 7 3 6" xfId="21683" xr:uid="{00000000-0005-0000-0000-000056540000}"/>
    <cellStyle name="40% - Accent5 3 7 4" xfId="21684" xr:uid="{00000000-0005-0000-0000-000057540000}"/>
    <cellStyle name="40% - Accent5 3 7 4 2" xfId="21685" xr:uid="{00000000-0005-0000-0000-000058540000}"/>
    <cellStyle name="40% - Accent5 3 7 4 2 2" xfId="21686" xr:uid="{00000000-0005-0000-0000-000059540000}"/>
    <cellStyle name="40% - Accent5 3 7 4 2 3" xfId="21687" xr:uid="{00000000-0005-0000-0000-00005A540000}"/>
    <cellStyle name="40% - Accent5 3 7 4 3" xfId="21688" xr:uid="{00000000-0005-0000-0000-00005B540000}"/>
    <cellStyle name="40% - Accent5 3 7 4 4" xfId="21689" xr:uid="{00000000-0005-0000-0000-00005C540000}"/>
    <cellStyle name="40% - Accent5 3 7 5" xfId="21690" xr:uid="{00000000-0005-0000-0000-00005D540000}"/>
    <cellStyle name="40% - Accent5 3 7 5 2" xfId="21691" xr:uid="{00000000-0005-0000-0000-00005E540000}"/>
    <cellStyle name="40% - Accent5 3 7 5 3" xfId="21692" xr:uid="{00000000-0005-0000-0000-00005F540000}"/>
    <cellStyle name="40% - Accent5 3 7 6" xfId="21693" xr:uid="{00000000-0005-0000-0000-000060540000}"/>
    <cellStyle name="40% - Accent5 3 7 7" xfId="21694" xr:uid="{00000000-0005-0000-0000-000061540000}"/>
    <cellStyle name="40% - Accent5 3 7 8" xfId="21695" xr:uid="{00000000-0005-0000-0000-000062540000}"/>
    <cellStyle name="40% - Accent5 3 8" xfId="21696" xr:uid="{00000000-0005-0000-0000-000063540000}"/>
    <cellStyle name="40% - Accent5 3 8 2" xfId="21697" xr:uid="{00000000-0005-0000-0000-000064540000}"/>
    <cellStyle name="40% - Accent5 3 8 2 2" xfId="21698" xr:uid="{00000000-0005-0000-0000-000065540000}"/>
    <cellStyle name="40% - Accent5 3 8 2 2 2" xfId="21699" xr:uid="{00000000-0005-0000-0000-000066540000}"/>
    <cellStyle name="40% - Accent5 3 8 2 2 2 2" xfId="21700" xr:uid="{00000000-0005-0000-0000-000067540000}"/>
    <cellStyle name="40% - Accent5 3 8 2 2 2 3" xfId="21701" xr:uid="{00000000-0005-0000-0000-000068540000}"/>
    <cellStyle name="40% - Accent5 3 8 2 2 3" xfId="21702" xr:uid="{00000000-0005-0000-0000-000069540000}"/>
    <cellStyle name="40% - Accent5 3 8 2 2 4" xfId="21703" xr:uid="{00000000-0005-0000-0000-00006A540000}"/>
    <cellStyle name="40% - Accent5 3 8 2 3" xfId="21704" xr:uid="{00000000-0005-0000-0000-00006B540000}"/>
    <cellStyle name="40% - Accent5 3 8 2 3 2" xfId="21705" xr:uid="{00000000-0005-0000-0000-00006C540000}"/>
    <cellStyle name="40% - Accent5 3 8 2 3 3" xfId="21706" xr:uid="{00000000-0005-0000-0000-00006D540000}"/>
    <cellStyle name="40% - Accent5 3 8 2 4" xfId="21707" xr:uid="{00000000-0005-0000-0000-00006E540000}"/>
    <cellStyle name="40% - Accent5 3 8 2 5" xfId="21708" xr:uid="{00000000-0005-0000-0000-00006F540000}"/>
    <cellStyle name="40% - Accent5 3 8 2 6" xfId="21709" xr:uid="{00000000-0005-0000-0000-000070540000}"/>
    <cellStyle name="40% - Accent5 3 8 3" xfId="21710" xr:uid="{00000000-0005-0000-0000-000071540000}"/>
    <cellStyle name="40% - Accent5 3 8 3 2" xfId="21711" xr:uid="{00000000-0005-0000-0000-000072540000}"/>
    <cellStyle name="40% - Accent5 3 8 3 2 2" xfId="21712" xr:uid="{00000000-0005-0000-0000-000073540000}"/>
    <cellStyle name="40% - Accent5 3 8 3 2 3" xfId="21713" xr:uid="{00000000-0005-0000-0000-000074540000}"/>
    <cellStyle name="40% - Accent5 3 8 3 3" xfId="21714" xr:uid="{00000000-0005-0000-0000-000075540000}"/>
    <cellStyle name="40% - Accent5 3 8 3 4" xfId="21715" xr:uid="{00000000-0005-0000-0000-000076540000}"/>
    <cellStyle name="40% - Accent5 3 8 4" xfId="21716" xr:uid="{00000000-0005-0000-0000-000077540000}"/>
    <cellStyle name="40% - Accent5 3 8 4 2" xfId="21717" xr:uid="{00000000-0005-0000-0000-000078540000}"/>
    <cellStyle name="40% - Accent5 3 8 4 3" xfId="21718" xr:uid="{00000000-0005-0000-0000-000079540000}"/>
    <cellStyle name="40% - Accent5 3 8 5" xfId="21719" xr:uid="{00000000-0005-0000-0000-00007A540000}"/>
    <cellStyle name="40% - Accent5 3 8 6" xfId="21720" xr:uid="{00000000-0005-0000-0000-00007B540000}"/>
    <cellStyle name="40% - Accent5 3 8 7" xfId="21721" xr:uid="{00000000-0005-0000-0000-00007C540000}"/>
    <cellStyle name="40% - Accent5 3 9" xfId="21722" xr:uid="{00000000-0005-0000-0000-00007D540000}"/>
    <cellStyle name="40% - Accent5 3 9 2" xfId="21723" xr:uid="{00000000-0005-0000-0000-00007E540000}"/>
    <cellStyle name="40% - Accent5 3 9 2 2" xfId="21724" xr:uid="{00000000-0005-0000-0000-00007F540000}"/>
    <cellStyle name="40% - Accent5 3 9 2 2 2" xfId="21725" xr:uid="{00000000-0005-0000-0000-000080540000}"/>
    <cellStyle name="40% - Accent5 3 9 2 2 3" xfId="21726" xr:uid="{00000000-0005-0000-0000-000081540000}"/>
    <cellStyle name="40% - Accent5 3 9 2 3" xfId="21727" xr:uid="{00000000-0005-0000-0000-000082540000}"/>
    <cellStyle name="40% - Accent5 3 9 2 4" xfId="21728" xr:uid="{00000000-0005-0000-0000-000083540000}"/>
    <cellStyle name="40% - Accent5 3 9 3" xfId="21729" xr:uid="{00000000-0005-0000-0000-000084540000}"/>
    <cellStyle name="40% - Accent5 3 9 3 2" xfId="21730" xr:uid="{00000000-0005-0000-0000-000085540000}"/>
    <cellStyle name="40% - Accent5 3 9 3 3" xfId="21731" xr:uid="{00000000-0005-0000-0000-000086540000}"/>
    <cellStyle name="40% - Accent5 3 9 4" xfId="21732" xr:uid="{00000000-0005-0000-0000-000087540000}"/>
    <cellStyle name="40% - Accent5 3 9 5" xfId="21733" xr:uid="{00000000-0005-0000-0000-000088540000}"/>
    <cellStyle name="40% - Accent5 3 9 6" xfId="21734" xr:uid="{00000000-0005-0000-0000-000089540000}"/>
    <cellStyle name="40% - Accent5 4" xfId="21735" xr:uid="{00000000-0005-0000-0000-00008A540000}"/>
    <cellStyle name="40% - Accent5 4 10" xfId="21736" xr:uid="{00000000-0005-0000-0000-00008B540000}"/>
    <cellStyle name="40% - Accent5 4 11" xfId="21737" xr:uid="{00000000-0005-0000-0000-00008C540000}"/>
    <cellStyle name="40% - Accent5 4 2" xfId="21738" xr:uid="{00000000-0005-0000-0000-00008D540000}"/>
    <cellStyle name="40% - Accent5 4 2 10" xfId="21739" xr:uid="{00000000-0005-0000-0000-00008E540000}"/>
    <cellStyle name="40% - Accent5 4 2 2" xfId="21740" xr:uid="{00000000-0005-0000-0000-00008F540000}"/>
    <cellStyle name="40% - Accent5 4 2 2 2" xfId="21741" xr:uid="{00000000-0005-0000-0000-000090540000}"/>
    <cellStyle name="40% - Accent5 4 2 2 2 2" xfId="21742" xr:uid="{00000000-0005-0000-0000-000091540000}"/>
    <cellStyle name="40% - Accent5 4 2 2 2 2 2" xfId="21743" xr:uid="{00000000-0005-0000-0000-000092540000}"/>
    <cellStyle name="40% - Accent5 4 2 2 2 2 2 2" xfId="21744" xr:uid="{00000000-0005-0000-0000-000093540000}"/>
    <cellStyle name="40% - Accent5 4 2 2 2 2 2 2 2" xfId="21745" xr:uid="{00000000-0005-0000-0000-000094540000}"/>
    <cellStyle name="40% - Accent5 4 2 2 2 2 2 2 2 2" xfId="21746" xr:uid="{00000000-0005-0000-0000-000095540000}"/>
    <cellStyle name="40% - Accent5 4 2 2 2 2 2 2 2 3" xfId="21747" xr:uid="{00000000-0005-0000-0000-000096540000}"/>
    <cellStyle name="40% - Accent5 4 2 2 2 2 2 2 3" xfId="21748" xr:uid="{00000000-0005-0000-0000-000097540000}"/>
    <cellStyle name="40% - Accent5 4 2 2 2 2 2 2 4" xfId="21749" xr:uid="{00000000-0005-0000-0000-000098540000}"/>
    <cellStyle name="40% - Accent5 4 2 2 2 2 2 3" xfId="21750" xr:uid="{00000000-0005-0000-0000-000099540000}"/>
    <cellStyle name="40% - Accent5 4 2 2 2 2 2 3 2" xfId="21751" xr:uid="{00000000-0005-0000-0000-00009A540000}"/>
    <cellStyle name="40% - Accent5 4 2 2 2 2 2 3 3" xfId="21752" xr:uid="{00000000-0005-0000-0000-00009B540000}"/>
    <cellStyle name="40% - Accent5 4 2 2 2 2 2 4" xfId="21753" xr:uid="{00000000-0005-0000-0000-00009C540000}"/>
    <cellStyle name="40% - Accent5 4 2 2 2 2 2 5" xfId="21754" xr:uid="{00000000-0005-0000-0000-00009D540000}"/>
    <cellStyle name="40% - Accent5 4 2 2 2 2 2 6" xfId="21755" xr:uid="{00000000-0005-0000-0000-00009E540000}"/>
    <cellStyle name="40% - Accent5 4 2 2 2 2 3" xfId="21756" xr:uid="{00000000-0005-0000-0000-00009F540000}"/>
    <cellStyle name="40% - Accent5 4 2 2 2 2 3 2" xfId="21757" xr:uid="{00000000-0005-0000-0000-0000A0540000}"/>
    <cellStyle name="40% - Accent5 4 2 2 2 2 3 2 2" xfId="21758" xr:uid="{00000000-0005-0000-0000-0000A1540000}"/>
    <cellStyle name="40% - Accent5 4 2 2 2 2 3 2 3" xfId="21759" xr:uid="{00000000-0005-0000-0000-0000A2540000}"/>
    <cellStyle name="40% - Accent5 4 2 2 2 2 3 3" xfId="21760" xr:uid="{00000000-0005-0000-0000-0000A3540000}"/>
    <cellStyle name="40% - Accent5 4 2 2 2 2 3 4" xfId="21761" xr:uid="{00000000-0005-0000-0000-0000A4540000}"/>
    <cellStyle name="40% - Accent5 4 2 2 2 2 4" xfId="21762" xr:uid="{00000000-0005-0000-0000-0000A5540000}"/>
    <cellStyle name="40% - Accent5 4 2 2 2 2 4 2" xfId="21763" xr:uid="{00000000-0005-0000-0000-0000A6540000}"/>
    <cellStyle name="40% - Accent5 4 2 2 2 2 4 3" xfId="21764" xr:uid="{00000000-0005-0000-0000-0000A7540000}"/>
    <cellStyle name="40% - Accent5 4 2 2 2 2 5" xfId="21765" xr:uid="{00000000-0005-0000-0000-0000A8540000}"/>
    <cellStyle name="40% - Accent5 4 2 2 2 2 6" xfId="21766" xr:uid="{00000000-0005-0000-0000-0000A9540000}"/>
    <cellStyle name="40% - Accent5 4 2 2 2 2 7" xfId="21767" xr:uid="{00000000-0005-0000-0000-0000AA540000}"/>
    <cellStyle name="40% - Accent5 4 2 2 2 3" xfId="21768" xr:uid="{00000000-0005-0000-0000-0000AB540000}"/>
    <cellStyle name="40% - Accent5 4 2 2 2 3 2" xfId="21769" xr:uid="{00000000-0005-0000-0000-0000AC540000}"/>
    <cellStyle name="40% - Accent5 4 2 2 2 3 2 2" xfId="21770" xr:uid="{00000000-0005-0000-0000-0000AD540000}"/>
    <cellStyle name="40% - Accent5 4 2 2 2 3 2 2 2" xfId="21771" xr:uid="{00000000-0005-0000-0000-0000AE540000}"/>
    <cellStyle name="40% - Accent5 4 2 2 2 3 2 2 3" xfId="21772" xr:uid="{00000000-0005-0000-0000-0000AF540000}"/>
    <cellStyle name="40% - Accent5 4 2 2 2 3 2 3" xfId="21773" xr:uid="{00000000-0005-0000-0000-0000B0540000}"/>
    <cellStyle name="40% - Accent5 4 2 2 2 3 2 4" xfId="21774" xr:uid="{00000000-0005-0000-0000-0000B1540000}"/>
    <cellStyle name="40% - Accent5 4 2 2 2 3 3" xfId="21775" xr:uid="{00000000-0005-0000-0000-0000B2540000}"/>
    <cellStyle name="40% - Accent5 4 2 2 2 3 3 2" xfId="21776" xr:uid="{00000000-0005-0000-0000-0000B3540000}"/>
    <cellStyle name="40% - Accent5 4 2 2 2 3 3 3" xfId="21777" xr:uid="{00000000-0005-0000-0000-0000B4540000}"/>
    <cellStyle name="40% - Accent5 4 2 2 2 3 4" xfId="21778" xr:uid="{00000000-0005-0000-0000-0000B5540000}"/>
    <cellStyle name="40% - Accent5 4 2 2 2 3 5" xfId="21779" xr:uid="{00000000-0005-0000-0000-0000B6540000}"/>
    <cellStyle name="40% - Accent5 4 2 2 2 3 6" xfId="21780" xr:uid="{00000000-0005-0000-0000-0000B7540000}"/>
    <cellStyle name="40% - Accent5 4 2 2 2 4" xfId="21781" xr:uid="{00000000-0005-0000-0000-0000B8540000}"/>
    <cellStyle name="40% - Accent5 4 2 2 2 4 2" xfId="21782" xr:uid="{00000000-0005-0000-0000-0000B9540000}"/>
    <cellStyle name="40% - Accent5 4 2 2 2 4 2 2" xfId="21783" xr:uid="{00000000-0005-0000-0000-0000BA540000}"/>
    <cellStyle name="40% - Accent5 4 2 2 2 4 2 3" xfId="21784" xr:uid="{00000000-0005-0000-0000-0000BB540000}"/>
    <cellStyle name="40% - Accent5 4 2 2 2 4 3" xfId="21785" xr:uid="{00000000-0005-0000-0000-0000BC540000}"/>
    <cellStyle name="40% - Accent5 4 2 2 2 4 4" xfId="21786" xr:uid="{00000000-0005-0000-0000-0000BD540000}"/>
    <cellStyle name="40% - Accent5 4 2 2 2 5" xfId="21787" xr:uid="{00000000-0005-0000-0000-0000BE540000}"/>
    <cellStyle name="40% - Accent5 4 2 2 2 5 2" xfId="21788" xr:uid="{00000000-0005-0000-0000-0000BF540000}"/>
    <cellStyle name="40% - Accent5 4 2 2 2 5 3" xfId="21789" xr:uid="{00000000-0005-0000-0000-0000C0540000}"/>
    <cellStyle name="40% - Accent5 4 2 2 2 6" xfId="21790" xr:uid="{00000000-0005-0000-0000-0000C1540000}"/>
    <cellStyle name="40% - Accent5 4 2 2 2 7" xfId="21791" xr:uid="{00000000-0005-0000-0000-0000C2540000}"/>
    <cellStyle name="40% - Accent5 4 2 2 2 8" xfId="21792" xr:uid="{00000000-0005-0000-0000-0000C3540000}"/>
    <cellStyle name="40% - Accent5 4 2 2 3" xfId="21793" xr:uid="{00000000-0005-0000-0000-0000C4540000}"/>
    <cellStyle name="40% - Accent5 4 2 2 3 2" xfId="21794" xr:uid="{00000000-0005-0000-0000-0000C5540000}"/>
    <cellStyle name="40% - Accent5 4 2 2 3 2 2" xfId="21795" xr:uid="{00000000-0005-0000-0000-0000C6540000}"/>
    <cellStyle name="40% - Accent5 4 2 2 3 2 2 2" xfId="21796" xr:uid="{00000000-0005-0000-0000-0000C7540000}"/>
    <cellStyle name="40% - Accent5 4 2 2 3 2 2 2 2" xfId="21797" xr:uid="{00000000-0005-0000-0000-0000C8540000}"/>
    <cellStyle name="40% - Accent5 4 2 2 3 2 2 2 3" xfId="21798" xr:uid="{00000000-0005-0000-0000-0000C9540000}"/>
    <cellStyle name="40% - Accent5 4 2 2 3 2 2 3" xfId="21799" xr:uid="{00000000-0005-0000-0000-0000CA540000}"/>
    <cellStyle name="40% - Accent5 4 2 2 3 2 2 4" xfId="21800" xr:uid="{00000000-0005-0000-0000-0000CB540000}"/>
    <cellStyle name="40% - Accent5 4 2 2 3 2 3" xfId="21801" xr:uid="{00000000-0005-0000-0000-0000CC540000}"/>
    <cellStyle name="40% - Accent5 4 2 2 3 2 3 2" xfId="21802" xr:uid="{00000000-0005-0000-0000-0000CD540000}"/>
    <cellStyle name="40% - Accent5 4 2 2 3 2 3 3" xfId="21803" xr:uid="{00000000-0005-0000-0000-0000CE540000}"/>
    <cellStyle name="40% - Accent5 4 2 2 3 2 4" xfId="21804" xr:uid="{00000000-0005-0000-0000-0000CF540000}"/>
    <cellStyle name="40% - Accent5 4 2 2 3 2 5" xfId="21805" xr:uid="{00000000-0005-0000-0000-0000D0540000}"/>
    <cellStyle name="40% - Accent5 4 2 2 3 2 6" xfId="21806" xr:uid="{00000000-0005-0000-0000-0000D1540000}"/>
    <cellStyle name="40% - Accent5 4 2 2 3 3" xfId="21807" xr:uid="{00000000-0005-0000-0000-0000D2540000}"/>
    <cellStyle name="40% - Accent5 4 2 2 3 3 2" xfId="21808" xr:uid="{00000000-0005-0000-0000-0000D3540000}"/>
    <cellStyle name="40% - Accent5 4 2 2 3 3 2 2" xfId="21809" xr:uid="{00000000-0005-0000-0000-0000D4540000}"/>
    <cellStyle name="40% - Accent5 4 2 2 3 3 2 3" xfId="21810" xr:uid="{00000000-0005-0000-0000-0000D5540000}"/>
    <cellStyle name="40% - Accent5 4 2 2 3 3 3" xfId="21811" xr:uid="{00000000-0005-0000-0000-0000D6540000}"/>
    <cellStyle name="40% - Accent5 4 2 2 3 3 4" xfId="21812" xr:uid="{00000000-0005-0000-0000-0000D7540000}"/>
    <cellStyle name="40% - Accent5 4 2 2 3 4" xfId="21813" xr:uid="{00000000-0005-0000-0000-0000D8540000}"/>
    <cellStyle name="40% - Accent5 4 2 2 3 4 2" xfId="21814" xr:uid="{00000000-0005-0000-0000-0000D9540000}"/>
    <cellStyle name="40% - Accent5 4 2 2 3 4 3" xfId="21815" xr:uid="{00000000-0005-0000-0000-0000DA540000}"/>
    <cellStyle name="40% - Accent5 4 2 2 3 5" xfId="21816" xr:uid="{00000000-0005-0000-0000-0000DB540000}"/>
    <cellStyle name="40% - Accent5 4 2 2 3 6" xfId="21817" xr:uid="{00000000-0005-0000-0000-0000DC540000}"/>
    <cellStyle name="40% - Accent5 4 2 2 3 7" xfId="21818" xr:uid="{00000000-0005-0000-0000-0000DD540000}"/>
    <cellStyle name="40% - Accent5 4 2 2 4" xfId="21819" xr:uid="{00000000-0005-0000-0000-0000DE540000}"/>
    <cellStyle name="40% - Accent5 4 2 2 4 2" xfId="21820" xr:uid="{00000000-0005-0000-0000-0000DF540000}"/>
    <cellStyle name="40% - Accent5 4 2 2 4 2 2" xfId="21821" xr:uid="{00000000-0005-0000-0000-0000E0540000}"/>
    <cellStyle name="40% - Accent5 4 2 2 4 2 2 2" xfId="21822" xr:uid="{00000000-0005-0000-0000-0000E1540000}"/>
    <cellStyle name="40% - Accent5 4 2 2 4 2 2 3" xfId="21823" xr:uid="{00000000-0005-0000-0000-0000E2540000}"/>
    <cellStyle name="40% - Accent5 4 2 2 4 2 3" xfId="21824" xr:uid="{00000000-0005-0000-0000-0000E3540000}"/>
    <cellStyle name="40% - Accent5 4 2 2 4 2 4" xfId="21825" xr:uid="{00000000-0005-0000-0000-0000E4540000}"/>
    <cellStyle name="40% - Accent5 4 2 2 4 3" xfId="21826" xr:uid="{00000000-0005-0000-0000-0000E5540000}"/>
    <cellStyle name="40% - Accent5 4 2 2 4 3 2" xfId="21827" xr:uid="{00000000-0005-0000-0000-0000E6540000}"/>
    <cellStyle name="40% - Accent5 4 2 2 4 3 3" xfId="21828" xr:uid="{00000000-0005-0000-0000-0000E7540000}"/>
    <cellStyle name="40% - Accent5 4 2 2 4 4" xfId="21829" xr:uid="{00000000-0005-0000-0000-0000E8540000}"/>
    <cellStyle name="40% - Accent5 4 2 2 4 5" xfId="21830" xr:uid="{00000000-0005-0000-0000-0000E9540000}"/>
    <cellStyle name="40% - Accent5 4 2 2 4 6" xfId="21831" xr:uid="{00000000-0005-0000-0000-0000EA540000}"/>
    <cellStyle name="40% - Accent5 4 2 2 5" xfId="21832" xr:uid="{00000000-0005-0000-0000-0000EB540000}"/>
    <cellStyle name="40% - Accent5 4 2 2 5 2" xfId="21833" xr:uid="{00000000-0005-0000-0000-0000EC540000}"/>
    <cellStyle name="40% - Accent5 4 2 2 5 2 2" xfId="21834" xr:uid="{00000000-0005-0000-0000-0000ED540000}"/>
    <cellStyle name="40% - Accent5 4 2 2 5 2 3" xfId="21835" xr:uid="{00000000-0005-0000-0000-0000EE540000}"/>
    <cellStyle name="40% - Accent5 4 2 2 5 3" xfId="21836" xr:uid="{00000000-0005-0000-0000-0000EF540000}"/>
    <cellStyle name="40% - Accent5 4 2 2 5 4" xfId="21837" xr:uid="{00000000-0005-0000-0000-0000F0540000}"/>
    <cellStyle name="40% - Accent5 4 2 2 6" xfId="21838" xr:uid="{00000000-0005-0000-0000-0000F1540000}"/>
    <cellStyle name="40% - Accent5 4 2 2 6 2" xfId="21839" xr:uid="{00000000-0005-0000-0000-0000F2540000}"/>
    <cellStyle name="40% - Accent5 4 2 2 6 3" xfId="21840" xr:uid="{00000000-0005-0000-0000-0000F3540000}"/>
    <cellStyle name="40% - Accent5 4 2 2 7" xfId="21841" xr:uid="{00000000-0005-0000-0000-0000F4540000}"/>
    <cellStyle name="40% - Accent5 4 2 2 8" xfId="21842" xr:uid="{00000000-0005-0000-0000-0000F5540000}"/>
    <cellStyle name="40% - Accent5 4 2 2 9" xfId="21843" xr:uid="{00000000-0005-0000-0000-0000F6540000}"/>
    <cellStyle name="40% - Accent5 4 2 3" xfId="21844" xr:uid="{00000000-0005-0000-0000-0000F7540000}"/>
    <cellStyle name="40% - Accent5 4 2 3 2" xfId="21845" xr:uid="{00000000-0005-0000-0000-0000F8540000}"/>
    <cellStyle name="40% - Accent5 4 2 3 2 2" xfId="21846" xr:uid="{00000000-0005-0000-0000-0000F9540000}"/>
    <cellStyle name="40% - Accent5 4 2 3 2 2 2" xfId="21847" xr:uid="{00000000-0005-0000-0000-0000FA540000}"/>
    <cellStyle name="40% - Accent5 4 2 3 2 2 2 2" xfId="21848" xr:uid="{00000000-0005-0000-0000-0000FB540000}"/>
    <cellStyle name="40% - Accent5 4 2 3 2 2 2 2 2" xfId="21849" xr:uid="{00000000-0005-0000-0000-0000FC540000}"/>
    <cellStyle name="40% - Accent5 4 2 3 2 2 2 2 3" xfId="21850" xr:uid="{00000000-0005-0000-0000-0000FD540000}"/>
    <cellStyle name="40% - Accent5 4 2 3 2 2 2 3" xfId="21851" xr:uid="{00000000-0005-0000-0000-0000FE540000}"/>
    <cellStyle name="40% - Accent5 4 2 3 2 2 2 4" xfId="21852" xr:uid="{00000000-0005-0000-0000-0000FF540000}"/>
    <cellStyle name="40% - Accent5 4 2 3 2 2 3" xfId="21853" xr:uid="{00000000-0005-0000-0000-000000550000}"/>
    <cellStyle name="40% - Accent5 4 2 3 2 2 3 2" xfId="21854" xr:uid="{00000000-0005-0000-0000-000001550000}"/>
    <cellStyle name="40% - Accent5 4 2 3 2 2 3 3" xfId="21855" xr:uid="{00000000-0005-0000-0000-000002550000}"/>
    <cellStyle name="40% - Accent5 4 2 3 2 2 4" xfId="21856" xr:uid="{00000000-0005-0000-0000-000003550000}"/>
    <cellStyle name="40% - Accent5 4 2 3 2 2 5" xfId="21857" xr:uid="{00000000-0005-0000-0000-000004550000}"/>
    <cellStyle name="40% - Accent5 4 2 3 2 2 6" xfId="21858" xr:uid="{00000000-0005-0000-0000-000005550000}"/>
    <cellStyle name="40% - Accent5 4 2 3 2 3" xfId="21859" xr:uid="{00000000-0005-0000-0000-000006550000}"/>
    <cellStyle name="40% - Accent5 4 2 3 2 3 2" xfId="21860" xr:uid="{00000000-0005-0000-0000-000007550000}"/>
    <cellStyle name="40% - Accent5 4 2 3 2 3 2 2" xfId="21861" xr:uid="{00000000-0005-0000-0000-000008550000}"/>
    <cellStyle name="40% - Accent5 4 2 3 2 3 2 3" xfId="21862" xr:uid="{00000000-0005-0000-0000-000009550000}"/>
    <cellStyle name="40% - Accent5 4 2 3 2 3 3" xfId="21863" xr:uid="{00000000-0005-0000-0000-00000A550000}"/>
    <cellStyle name="40% - Accent5 4 2 3 2 3 4" xfId="21864" xr:uid="{00000000-0005-0000-0000-00000B550000}"/>
    <cellStyle name="40% - Accent5 4 2 3 2 4" xfId="21865" xr:uid="{00000000-0005-0000-0000-00000C550000}"/>
    <cellStyle name="40% - Accent5 4 2 3 2 4 2" xfId="21866" xr:uid="{00000000-0005-0000-0000-00000D550000}"/>
    <cellStyle name="40% - Accent5 4 2 3 2 4 3" xfId="21867" xr:uid="{00000000-0005-0000-0000-00000E550000}"/>
    <cellStyle name="40% - Accent5 4 2 3 2 5" xfId="21868" xr:uid="{00000000-0005-0000-0000-00000F550000}"/>
    <cellStyle name="40% - Accent5 4 2 3 2 6" xfId="21869" xr:uid="{00000000-0005-0000-0000-000010550000}"/>
    <cellStyle name="40% - Accent5 4 2 3 2 7" xfId="21870" xr:uid="{00000000-0005-0000-0000-000011550000}"/>
    <cellStyle name="40% - Accent5 4 2 3 3" xfId="21871" xr:uid="{00000000-0005-0000-0000-000012550000}"/>
    <cellStyle name="40% - Accent5 4 2 3 3 2" xfId="21872" xr:uid="{00000000-0005-0000-0000-000013550000}"/>
    <cellStyle name="40% - Accent5 4 2 3 3 2 2" xfId="21873" xr:uid="{00000000-0005-0000-0000-000014550000}"/>
    <cellStyle name="40% - Accent5 4 2 3 3 2 2 2" xfId="21874" xr:uid="{00000000-0005-0000-0000-000015550000}"/>
    <cellStyle name="40% - Accent5 4 2 3 3 2 2 3" xfId="21875" xr:uid="{00000000-0005-0000-0000-000016550000}"/>
    <cellStyle name="40% - Accent5 4 2 3 3 2 3" xfId="21876" xr:uid="{00000000-0005-0000-0000-000017550000}"/>
    <cellStyle name="40% - Accent5 4 2 3 3 2 4" xfId="21877" xr:uid="{00000000-0005-0000-0000-000018550000}"/>
    <cellStyle name="40% - Accent5 4 2 3 3 3" xfId="21878" xr:uid="{00000000-0005-0000-0000-000019550000}"/>
    <cellStyle name="40% - Accent5 4 2 3 3 3 2" xfId="21879" xr:uid="{00000000-0005-0000-0000-00001A550000}"/>
    <cellStyle name="40% - Accent5 4 2 3 3 3 3" xfId="21880" xr:uid="{00000000-0005-0000-0000-00001B550000}"/>
    <cellStyle name="40% - Accent5 4 2 3 3 4" xfId="21881" xr:uid="{00000000-0005-0000-0000-00001C550000}"/>
    <cellStyle name="40% - Accent5 4 2 3 3 5" xfId="21882" xr:uid="{00000000-0005-0000-0000-00001D550000}"/>
    <cellStyle name="40% - Accent5 4 2 3 3 6" xfId="21883" xr:uid="{00000000-0005-0000-0000-00001E550000}"/>
    <cellStyle name="40% - Accent5 4 2 3 4" xfId="21884" xr:uid="{00000000-0005-0000-0000-00001F550000}"/>
    <cellStyle name="40% - Accent5 4 2 3 4 2" xfId="21885" xr:uid="{00000000-0005-0000-0000-000020550000}"/>
    <cellStyle name="40% - Accent5 4 2 3 4 2 2" xfId="21886" xr:uid="{00000000-0005-0000-0000-000021550000}"/>
    <cellStyle name="40% - Accent5 4 2 3 4 2 3" xfId="21887" xr:uid="{00000000-0005-0000-0000-000022550000}"/>
    <cellStyle name="40% - Accent5 4 2 3 4 3" xfId="21888" xr:uid="{00000000-0005-0000-0000-000023550000}"/>
    <cellStyle name="40% - Accent5 4 2 3 4 4" xfId="21889" xr:uid="{00000000-0005-0000-0000-000024550000}"/>
    <cellStyle name="40% - Accent5 4 2 3 5" xfId="21890" xr:uid="{00000000-0005-0000-0000-000025550000}"/>
    <cellStyle name="40% - Accent5 4 2 3 5 2" xfId="21891" xr:uid="{00000000-0005-0000-0000-000026550000}"/>
    <cellStyle name="40% - Accent5 4 2 3 5 3" xfId="21892" xr:uid="{00000000-0005-0000-0000-000027550000}"/>
    <cellStyle name="40% - Accent5 4 2 3 6" xfId="21893" xr:uid="{00000000-0005-0000-0000-000028550000}"/>
    <cellStyle name="40% - Accent5 4 2 3 7" xfId="21894" xr:uid="{00000000-0005-0000-0000-000029550000}"/>
    <cellStyle name="40% - Accent5 4 2 3 8" xfId="21895" xr:uid="{00000000-0005-0000-0000-00002A550000}"/>
    <cellStyle name="40% - Accent5 4 2 4" xfId="21896" xr:uid="{00000000-0005-0000-0000-00002B550000}"/>
    <cellStyle name="40% - Accent5 4 2 4 2" xfId="21897" xr:uid="{00000000-0005-0000-0000-00002C550000}"/>
    <cellStyle name="40% - Accent5 4 2 4 2 2" xfId="21898" xr:uid="{00000000-0005-0000-0000-00002D550000}"/>
    <cellStyle name="40% - Accent5 4 2 4 2 2 2" xfId="21899" xr:uid="{00000000-0005-0000-0000-00002E550000}"/>
    <cellStyle name="40% - Accent5 4 2 4 2 2 2 2" xfId="21900" xr:uid="{00000000-0005-0000-0000-00002F550000}"/>
    <cellStyle name="40% - Accent5 4 2 4 2 2 2 3" xfId="21901" xr:uid="{00000000-0005-0000-0000-000030550000}"/>
    <cellStyle name="40% - Accent5 4 2 4 2 2 3" xfId="21902" xr:uid="{00000000-0005-0000-0000-000031550000}"/>
    <cellStyle name="40% - Accent5 4 2 4 2 2 4" xfId="21903" xr:uid="{00000000-0005-0000-0000-000032550000}"/>
    <cellStyle name="40% - Accent5 4 2 4 2 3" xfId="21904" xr:uid="{00000000-0005-0000-0000-000033550000}"/>
    <cellStyle name="40% - Accent5 4 2 4 2 3 2" xfId="21905" xr:uid="{00000000-0005-0000-0000-000034550000}"/>
    <cellStyle name="40% - Accent5 4 2 4 2 3 3" xfId="21906" xr:uid="{00000000-0005-0000-0000-000035550000}"/>
    <cellStyle name="40% - Accent5 4 2 4 2 4" xfId="21907" xr:uid="{00000000-0005-0000-0000-000036550000}"/>
    <cellStyle name="40% - Accent5 4 2 4 2 5" xfId="21908" xr:uid="{00000000-0005-0000-0000-000037550000}"/>
    <cellStyle name="40% - Accent5 4 2 4 2 6" xfId="21909" xr:uid="{00000000-0005-0000-0000-000038550000}"/>
    <cellStyle name="40% - Accent5 4 2 4 3" xfId="21910" xr:uid="{00000000-0005-0000-0000-000039550000}"/>
    <cellStyle name="40% - Accent5 4 2 4 3 2" xfId="21911" xr:uid="{00000000-0005-0000-0000-00003A550000}"/>
    <cellStyle name="40% - Accent5 4 2 4 3 2 2" xfId="21912" xr:uid="{00000000-0005-0000-0000-00003B550000}"/>
    <cellStyle name="40% - Accent5 4 2 4 3 2 3" xfId="21913" xr:uid="{00000000-0005-0000-0000-00003C550000}"/>
    <cellStyle name="40% - Accent5 4 2 4 3 3" xfId="21914" xr:uid="{00000000-0005-0000-0000-00003D550000}"/>
    <cellStyle name="40% - Accent5 4 2 4 3 4" xfId="21915" xr:uid="{00000000-0005-0000-0000-00003E550000}"/>
    <cellStyle name="40% - Accent5 4 2 4 4" xfId="21916" xr:uid="{00000000-0005-0000-0000-00003F550000}"/>
    <cellStyle name="40% - Accent5 4 2 4 4 2" xfId="21917" xr:uid="{00000000-0005-0000-0000-000040550000}"/>
    <cellStyle name="40% - Accent5 4 2 4 4 3" xfId="21918" xr:uid="{00000000-0005-0000-0000-000041550000}"/>
    <cellStyle name="40% - Accent5 4 2 4 5" xfId="21919" xr:uid="{00000000-0005-0000-0000-000042550000}"/>
    <cellStyle name="40% - Accent5 4 2 4 6" xfId="21920" xr:uid="{00000000-0005-0000-0000-000043550000}"/>
    <cellStyle name="40% - Accent5 4 2 4 7" xfId="21921" xr:uid="{00000000-0005-0000-0000-000044550000}"/>
    <cellStyle name="40% - Accent5 4 2 5" xfId="21922" xr:uid="{00000000-0005-0000-0000-000045550000}"/>
    <cellStyle name="40% - Accent5 4 2 5 2" xfId="21923" xr:uid="{00000000-0005-0000-0000-000046550000}"/>
    <cellStyle name="40% - Accent5 4 2 5 2 2" xfId="21924" xr:uid="{00000000-0005-0000-0000-000047550000}"/>
    <cellStyle name="40% - Accent5 4 2 5 2 2 2" xfId="21925" xr:uid="{00000000-0005-0000-0000-000048550000}"/>
    <cellStyle name="40% - Accent5 4 2 5 2 2 3" xfId="21926" xr:uid="{00000000-0005-0000-0000-000049550000}"/>
    <cellStyle name="40% - Accent5 4 2 5 2 3" xfId="21927" xr:uid="{00000000-0005-0000-0000-00004A550000}"/>
    <cellStyle name="40% - Accent5 4 2 5 2 4" xfId="21928" xr:uid="{00000000-0005-0000-0000-00004B550000}"/>
    <cellStyle name="40% - Accent5 4 2 5 3" xfId="21929" xr:uid="{00000000-0005-0000-0000-00004C550000}"/>
    <cellStyle name="40% - Accent5 4 2 5 3 2" xfId="21930" xr:uid="{00000000-0005-0000-0000-00004D550000}"/>
    <cellStyle name="40% - Accent5 4 2 5 3 3" xfId="21931" xr:uid="{00000000-0005-0000-0000-00004E550000}"/>
    <cellStyle name="40% - Accent5 4 2 5 4" xfId="21932" xr:uid="{00000000-0005-0000-0000-00004F550000}"/>
    <cellStyle name="40% - Accent5 4 2 5 5" xfId="21933" xr:uid="{00000000-0005-0000-0000-000050550000}"/>
    <cellStyle name="40% - Accent5 4 2 5 6" xfId="21934" xr:uid="{00000000-0005-0000-0000-000051550000}"/>
    <cellStyle name="40% - Accent5 4 2 6" xfId="21935" xr:uid="{00000000-0005-0000-0000-000052550000}"/>
    <cellStyle name="40% - Accent5 4 2 6 2" xfId="21936" xr:uid="{00000000-0005-0000-0000-000053550000}"/>
    <cellStyle name="40% - Accent5 4 2 6 2 2" xfId="21937" xr:uid="{00000000-0005-0000-0000-000054550000}"/>
    <cellStyle name="40% - Accent5 4 2 6 2 3" xfId="21938" xr:uid="{00000000-0005-0000-0000-000055550000}"/>
    <cellStyle name="40% - Accent5 4 2 6 3" xfId="21939" xr:uid="{00000000-0005-0000-0000-000056550000}"/>
    <cellStyle name="40% - Accent5 4 2 6 4" xfId="21940" xr:uid="{00000000-0005-0000-0000-000057550000}"/>
    <cellStyle name="40% - Accent5 4 2 7" xfId="21941" xr:uid="{00000000-0005-0000-0000-000058550000}"/>
    <cellStyle name="40% - Accent5 4 2 7 2" xfId="21942" xr:uid="{00000000-0005-0000-0000-000059550000}"/>
    <cellStyle name="40% - Accent5 4 2 7 3" xfId="21943" xr:uid="{00000000-0005-0000-0000-00005A550000}"/>
    <cellStyle name="40% - Accent5 4 2 8" xfId="21944" xr:uid="{00000000-0005-0000-0000-00005B550000}"/>
    <cellStyle name="40% - Accent5 4 2 9" xfId="21945" xr:uid="{00000000-0005-0000-0000-00005C550000}"/>
    <cellStyle name="40% - Accent5 4 3" xfId="21946" xr:uid="{00000000-0005-0000-0000-00005D550000}"/>
    <cellStyle name="40% - Accent5 4 3 2" xfId="21947" xr:uid="{00000000-0005-0000-0000-00005E550000}"/>
    <cellStyle name="40% - Accent5 4 3 2 2" xfId="21948" xr:uid="{00000000-0005-0000-0000-00005F550000}"/>
    <cellStyle name="40% - Accent5 4 3 2 2 2" xfId="21949" xr:uid="{00000000-0005-0000-0000-000060550000}"/>
    <cellStyle name="40% - Accent5 4 3 2 2 2 2" xfId="21950" xr:uid="{00000000-0005-0000-0000-000061550000}"/>
    <cellStyle name="40% - Accent5 4 3 2 2 2 2 2" xfId="21951" xr:uid="{00000000-0005-0000-0000-000062550000}"/>
    <cellStyle name="40% - Accent5 4 3 2 2 2 2 2 2" xfId="21952" xr:uid="{00000000-0005-0000-0000-000063550000}"/>
    <cellStyle name="40% - Accent5 4 3 2 2 2 2 2 3" xfId="21953" xr:uid="{00000000-0005-0000-0000-000064550000}"/>
    <cellStyle name="40% - Accent5 4 3 2 2 2 2 3" xfId="21954" xr:uid="{00000000-0005-0000-0000-000065550000}"/>
    <cellStyle name="40% - Accent5 4 3 2 2 2 2 4" xfId="21955" xr:uid="{00000000-0005-0000-0000-000066550000}"/>
    <cellStyle name="40% - Accent5 4 3 2 2 2 3" xfId="21956" xr:uid="{00000000-0005-0000-0000-000067550000}"/>
    <cellStyle name="40% - Accent5 4 3 2 2 2 3 2" xfId="21957" xr:uid="{00000000-0005-0000-0000-000068550000}"/>
    <cellStyle name="40% - Accent5 4 3 2 2 2 3 3" xfId="21958" xr:uid="{00000000-0005-0000-0000-000069550000}"/>
    <cellStyle name="40% - Accent5 4 3 2 2 2 4" xfId="21959" xr:uid="{00000000-0005-0000-0000-00006A550000}"/>
    <cellStyle name="40% - Accent5 4 3 2 2 2 5" xfId="21960" xr:uid="{00000000-0005-0000-0000-00006B550000}"/>
    <cellStyle name="40% - Accent5 4 3 2 2 2 6" xfId="21961" xr:uid="{00000000-0005-0000-0000-00006C550000}"/>
    <cellStyle name="40% - Accent5 4 3 2 2 3" xfId="21962" xr:uid="{00000000-0005-0000-0000-00006D550000}"/>
    <cellStyle name="40% - Accent5 4 3 2 2 3 2" xfId="21963" xr:uid="{00000000-0005-0000-0000-00006E550000}"/>
    <cellStyle name="40% - Accent5 4 3 2 2 3 2 2" xfId="21964" xr:uid="{00000000-0005-0000-0000-00006F550000}"/>
    <cellStyle name="40% - Accent5 4 3 2 2 3 2 3" xfId="21965" xr:uid="{00000000-0005-0000-0000-000070550000}"/>
    <cellStyle name="40% - Accent5 4 3 2 2 3 3" xfId="21966" xr:uid="{00000000-0005-0000-0000-000071550000}"/>
    <cellStyle name="40% - Accent5 4 3 2 2 3 4" xfId="21967" xr:uid="{00000000-0005-0000-0000-000072550000}"/>
    <cellStyle name="40% - Accent5 4 3 2 2 4" xfId="21968" xr:uid="{00000000-0005-0000-0000-000073550000}"/>
    <cellStyle name="40% - Accent5 4 3 2 2 4 2" xfId="21969" xr:uid="{00000000-0005-0000-0000-000074550000}"/>
    <cellStyle name="40% - Accent5 4 3 2 2 4 3" xfId="21970" xr:uid="{00000000-0005-0000-0000-000075550000}"/>
    <cellStyle name="40% - Accent5 4 3 2 2 5" xfId="21971" xr:uid="{00000000-0005-0000-0000-000076550000}"/>
    <cellStyle name="40% - Accent5 4 3 2 2 6" xfId="21972" xr:uid="{00000000-0005-0000-0000-000077550000}"/>
    <cellStyle name="40% - Accent5 4 3 2 2 7" xfId="21973" xr:uid="{00000000-0005-0000-0000-000078550000}"/>
    <cellStyle name="40% - Accent5 4 3 2 3" xfId="21974" xr:uid="{00000000-0005-0000-0000-000079550000}"/>
    <cellStyle name="40% - Accent5 4 3 2 3 2" xfId="21975" xr:uid="{00000000-0005-0000-0000-00007A550000}"/>
    <cellStyle name="40% - Accent5 4 3 2 3 2 2" xfId="21976" xr:uid="{00000000-0005-0000-0000-00007B550000}"/>
    <cellStyle name="40% - Accent5 4 3 2 3 2 2 2" xfId="21977" xr:uid="{00000000-0005-0000-0000-00007C550000}"/>
    <cellStyle name="40% - Accent5 4 3 2 3 2 2 3" xfId="21978" xr:uid="{00000000-0005-0000-0000-00007D550000}"/>
    <cellStyle name="40% - Accent5 4 3 2 3 2 3" xfId="21979" xr:uid="{00000000-0005-0000-0000-00007E550000}"/>
    <cellStyle name="40% - Accent5 4 3 2 3 2 4" xfId="21980" xr:uid="{00000000-0005-0000-0000-00007F550000}"/>
    <cellStyle name="40% - Accent5 4 3 2 3 3" xfId="21981" xr:uid="{00000000-0005-0000-0000-000080550000}"/>
    <cellStyle name="40% - Accent5 4 3 2 3 3 2" xfId="21982" xr:uid="{00000000-0005-0000-0000-000081550000}"/>
    <cellStyle name="40% - Accent5 4 3 2 3 3 3" xfId="21983" xr:uid="{00000000-0005-0000-0000-000082550000}"/>
    <cellStyle name="40% - Accent5 4 3 2 3 4" xfId="21984" xr:uid="{00000000-0005-0000-0000-000083550000}"/>
    <cellStyle name="40% - Accent5 4 3 2 3 5" xfId="21985" xr:uid="{00000000-0005-0000-0000-000084550000}"/>
    <cellStyle name="40% - Accent5 4 3 2 3 6" xfId="21986" xr:uid="{00000000-0005-0000-0000-000085550000}"/>
    <cellStyle name="40% - Accent5 4 3 2 4" xfId="21987" xr:uid="{00000000-0005-0000-0000-000086550000}"/>
    <cellStyle name="40% - Accent5 4 3 2 4 2" xfId="21988" xr:uid="{00000000-0005-0000-0000-000087550000}"/>
    <cellStyle name="40% - Accent5 4 3 2 4 2 2" xfId="21989" xr:uid="{00000000-0005-0000-0000-000088550000}"/>
    <cellStyle name="40% - Accent5 4 3 2 4 2 3" xfId="21990" xr:uid="{00000000-0005-0000-0000-000089550000}"/>
    <cellStyle name="40% - Accent5 4 3 2 4 3" xfId="21991" xr:uid="{00000000-0005-0000-0000-00008A550000}"/>
    <cellStyle name="40% - Accent5 4 3 2 4 4" xfId="21992" xr:uid="{00000000-0005-0000-0000-00008B550000}"/>
    <cellStyle name="40% - Accent5 4 3 2 5" xfId="21993" xr:uid="{00000000-0005-0000-0000-00008C550000}"/>
    <cellStyle name="40% - Accent5 4 3 2 5 2" xfId="21994" xr:uid="{00000000-0005-0000-0000-00008D550000}"/>
    <cellStyle name="40% - Accent5 4 3 2 5 3" xfId="21995" xr:uid="{00000000-0005-0000-0000-00008E550000}"/>
    <cellStyle name="40% - Accent5 4 3 2 6" xfId="21996" xr:uid="{00000000-0005-0000-0000-00008F550000}"/>
    <cellStyle name="40% - Accent5 4 3 2 7" xfId="21997" xr:uid="{00000000-0005-0000-0000-000090550000}"/>
    <cellStyle name="40% - Accent5 4 3 2 8" xfId="21998" xr:uid="{00000000-0005-0000-0000-000091550000}"/>
    <cellStyle name="40% - Accent5 4 3 3" xfId="21999" xr:uid="{00000000-0005-0000-0000-000092550000}"/>
    <cellStyle name="40% - Accent5 4 3 3 2" xfId="22000" xr:uid="{00000000-0005-0000-0000-000093550000}"/>
    <cellStyle name="40% - Accent5 4 3 3 2 2" xfId="22001" xr:uid="{00000000-0005-0000-0000-000094550000}"/>
    <cellStyle name="40% - Accent5 4 3 3 2 2 2" xfId="22002" xr:uid="{00000000-0005-0000-0000-000095550000}"/>
    <cellStyle name="40% - Accent5 4 3 3 2 2 2 2" xfId="22003" xr:uid="{00000000-0005-0000-0000-000096550000}"/>
    <cellStyle name="40% - Accent5 4 3 3 2 2 2 3" xfId="22004" xr:uid="{00000000-0005-0000-0000-000097550000}"/>
    <cellStyle name="40% - Accent5 4 3 3 2 2 3" xfId="22005" xr:uid="{00000000-0005-0000-0000-000098550000}"/>
    <cellStyle name="40% - Accent5 4 3 3 2 2 4" xfId="22006" xr:uid="{00000000-0005-0000-0000-000099550000}"/>
    <cellStyle name="40% - Accent5 4 3 3 2 3" xfId="22007" xr:uid="{00000000-0005-0000-0000-00009A550000}"/>
    <cellStyle name="40% - Accent5 4 3 3 2 3 2" xfId="22008" xr:uid="{00000000-0005-0000-0000-00009B550000}"/>
    <cellStyle name="40% - Accent5 4 3 3 2 3 3" xfId="22009" xr:uid="{00000000-0005-0000-0000-00009C550000}"/>
    <cellStyle name="40% - Accent5 4 3 3 2 4" xfId="22010" xr:uid="{00000000-0005-0000-0000-00009D550000}"/>
    <cellStyle name="40% - Accent5 4 3 3 2 5" xfId="22011" xr:uid="{00000000-0005-0000-0000-00009E550000}"/>
    <cellStyle name="40% - Accent5 4 3 3 2 6" xfId="22012" xr:uid="{00000000-0005-0000-0000-00009F550000}"/>
    <cellStyle name="40% - Accent5 4 3 3 3" xfId="22013" xr:uid="{00000000-0005-0000-0000-0000A0550000}"/>
    <cellStyle name="40% - Accent5 4 3 3 3 2" xfId="22014" xr:uid="{00000000-0005-0000-0000-0000A1550000}"/>
    <cellStyle name="40% - Accent5 4 3 3 3 2 2" xfId="22015" xr:uid="{00000000-0005-0000-0000-0000A2550000}"/>
    <cellStyle name="40% - Accent5 4 3 3 3 2 3" xfId="22016" xr:uid="{00000000-0005-0000-0000-0000A3550000}"/>
    <cellStyle name="40% - Accent5 4 3 3 3 3" xfId="22017" xr:uid="{00000000-0005-0000-0000-0000A4550000}"/>
    <cellStyle name="40% - Accent5 4 3 3 3 4" xfId="22018" xr:uid="{00000000-0005-0000-0000-0000A5550000}"/>
    <cellStyle name="40% - Accent5 4 3 3 4" xfId="22019" xr:uid="{00000000-0005-0000-0000-0000A6550000}"/>
    <cellStyle name="40% - Accent5 4 3 3 4 2" xfId="22020" xr:uid="{00000000-0005-0000-0000-0000A7550000}"/>
    <cellStyle name="40% - Accent5 4 3 3 4 3" xfId="22021" xr:uid="{00000000-0005-0000-0000-0000A8550000}"/>
    <cellStyle name="40% - Accent5 4 3 3 5" xfId="22022" xr:uid="{00000000-0005-0000-0000-0000A9550000}"/>
    <cellStyle name="40% - Accent5 4 3 3 6" xfId="22023" xr:uid="{00000000-0005-0000-0000-0000AA550000}"/>
    <cellStyle name="40% - Accent5 4 3 3 7" xfId="22024" xr:uid="{00000000-0005-0000-0000-0000AB550000}"/>
    <cellStyle name="40% - Accent5 4 3 4" xfId="22025" xr:uid="{00000000-0005-0000-0000-0000AC550000}"/>
    <cellStyle name="40% - Accent5 4 3 4 2" xfId="22026" xr:uid="{00000000-0005-0000-0000-0000AD550000}"/>
    <cellStyle name="40% - Accent5 4 3 4 2 2" xfId="22027" xr:uid="{00000000-0005-0000-0000-0000AE550000}"/>
    <cellStyle name="40% - Accent5 4 3 4 2 2 2" xfId="22028" xr:uid="{00000000-0005-0000-0000-0000AF550000}"/>
    <cellStyle name="40% - Accent5 4 3 4 2 2 3" xfId="22029" xr:uid="{00000000-0005-0000-0000-0000B0550000}"/>
    <cellStyle name="40% - Accent5 4 3 4 2 3" xfId="22030" xr:uid="{00000000-0005-0000-0000-0000B1550000}"/>
    <cellStyle name="40% - Accent5 4 3 4 2 4" xfId="22031" xr:uid="{00000000-0005-0000-0000-0000B2550000}"/>
    <cellStyle name="40% - Accent5 4 3 4 3" xfId="22032" xr:uid="{00000000-0005-0000-0000-0000B3550000}"/>
    <cellStyle name="40% - Accent5 4 3 4 3 2" xfId="22033" xr:uid="{00000000-0005-0000-0000-0000B4550000}"/>
    <cellStyle name="40% - Accent5 4 3 4 3 3" xfId="22034" xr:uid="{00000000-0005-0000-0000-0000B5550000}"/>
    <cellStyle name="40% - Accent5 4 3 4 4" xfId="22035" xr:uid="{00000000-0005-0000-0000-0000B6550000}"/>
    <cellStyle name="40% - Accent5 4 3 4 5" xfId="22036" xr:uid="{00000000-0005-0000-0000-0000B7550000}"/>
    <cellStyle name="40% - Accent5 4 3 4 6" xfId="22037" xr:uid="{00000000-0005-0000-0000-0000B8550000}"/>
    <cellStyle name="40% - Accent5 4 3 5" xfId="22038" xr:uid="{00000000-0005-0000-0000-0000B9550000}"/>
    <cellStyle name="40% - Accent5 4 3 5 2" xfId="22039" xr:uid="{00000000-0005-0000-0000-0000BA550000}"/>
    <cellStyle name="40% - Accent5 4 3 5 2 2" xfId="22040" xr:uid="{00000000-0005-0000-0000-0000BB550000}"/>
    <cellStyle name="40% - Accent5 4 3 5 2 3" xfId="22041" xr:uid="{00000000-0005-0000-0000-0000BC550000}"/>
    <cellStyle name="40% - Accent5 4 3 5 3" xfId="22042" xr:uid="{00000000-0005-0000-0000-0000BD550000}"/>
    <cellStyle name="40% - Accent5 4 3 5 4" xfId="22043" xr:uid="{00000000-0005-0000-0000-0000BE550000}"/>
    <cellStyle name="40% - Accent5 4 3 6" xfId="22044" xr:uid="{00000000-0005-0000-0000-0000BF550000}"/>
    <cellStyle name="40% - Accent5 4 3 6 2" xfId="22045" xr:uid="{00000000-0005-0000-0000-0000C0550000}"/>
    <cellStyle name="40% - Accent5 4 3 6 3" xfId="22046" xr:uid="{00000000-0005-0000-0000-0000C1550000}"/>
    <cellStyle name="40% - Accent5 4 3 7" xfId="22047" xr:uid="{00000000-0005-0000-0000-0000C2550000}"/>
    <cellStyle name="40% - Accent5 4 3 8" xfId="22048" xr:uid="{00000000-0005-0000-0000-0000C3550000}"/>
    <cellStyle name="40% - Accent5 4 3 9" xfId="22049" xr:uid="{00000000-0005-0000-0000-0000C4550000}"/>
    <cellStyle name="40% - Accent5 4 4" xfId="22050" xr:uid="{00000000-0005-0000-0000-0000C5550000}"/>
    <cellStyle name="40% - Accent5 4 4 2" xfId="22051" xr:uid="{00000000-0005-0000-0000-0000C6550000}"/>
    <cellStyle name="40% - Accent5 4 4 2 2" xfId="22052" xr:uid="{00000000-0005-0000-0000-0000C7550000}"/>
    <cellStyle name="40% - Accent5 4 4 2 2 2" xfId="22053" xr:uid="{00000000-0005-0000-0000-0000C8550000}"/>
    <cellStyle name="40% - Accent5 4 4 2 2 2 2" xfId="22054" xr:uid="{00000000-0005-0000-0000-0000C9550000}"/>
    <cellStyle name="40% - Accent5 4 4 2 2 2 2 2" xfId="22055" xr:uid="{00000000-0005-0000-0000-0000CA550000}"/>
    <cellStyle name="40% - Accent5 4 4 2 2 2 2 3" xfId="22056" xr:uid="{00000000-0005-0000-0000-0000CB550000}"/>
    <cellStyle name="40% - Accent5 4 4 2 2 2 3" xfId="22057" xr:uid="{00000000-0005-0000-0000-0000CC550000}"/>
    <cellStyle name="40% - Accent5 4 4 2 2 2 4" xfId="22058" xr:uid="{00000000-0005-0000-0000-0000CD550000}"/>
    <cellStyle name="40% - Accent5 4 4 2 2 3" xfId="22059" xr:uid="{00000000-0005-0000-0000-0000CE550000}"/>
    <cellStyle name="40% - Accent5 4 4 2 2 3 2" xfId="22060" xr:uid="{00000000-0005-0000-0000-0000CF550000}"/>
    <cellStyle name="40% - Accent5 4 4 2 2 3 3" xfId="22061" xr:uid="{00000000-0005-0000-0000-0000D0550000}"/>
    <cellStyle name="40% - Accent5 4 4 2 2 4" xfId="22062" xr:uid="{00000000-0005-0000-0000-0000D1550000}"/>
    <cellStyle name="40% - Accent5 4 4 2 2 5" xfId="22063" xr:uid="{00000000-0005-0000-0000-0000D2550000}"/>
    <cellStyle name="40% - Accent5 4 4 2 2 6" xfId="22064" xr:uid="{00000000-0005-0000-0000-0000D3550000}"/>
    <cellStyle name="40% - Accent5 4 4 2 3" xfId="22065" xr:uid="{00000000-0005-0000-0000-0000D4550000}"/>
    <cellStyle name="40% - Accent5 4 4 2 3 2" xfId="22066" xr:uid="{00000000-0005-0000-0000-0000D5550000}"/>
    <cellStyle name="40% - Accent5 4 4 2 3 2 2" xfId="22067" xr:uid="{00000000-0005-0000-0000-0000D6550000}"/>
    <cellStyle name="40% - Accent5 4 4 2 3 2 3" xfId="22068" xr:uid="{00000000-0005-0000-0000-0000D7550000}"/>
    <cellStyle name="40% - Accent5 4 4 2 3 3" xfId="22069" xr:uid="{00000000-0005-0000-0000-0000D8550000}"/>
    <cellStyle name="40% - Accent5 4 4 2 3 4" xfId="22070" xr:uid="{00000000-0005-0000-0000-0000D9550000}"/>
    <cellStyle name="40% - Accent5 4 4 2 4" xfId="22071" xr:uid="{00000000-0005-0000-0000-0000DA550000}"/>
    <cellStyle name="40% - Accent5 4 4 2 4 2" xfId="22072" xr:uid="{00000000-0005-0000-0000-0000DB550000}"/>
    <cellStyle name="40% - Accent5 4 4 2 4 3" xfId="22073" xr:uid="{00000000-0005-0000-0000-0000DC550000}"/>
    <cellStyle name="40% - Accent5 4 4 2 5" xfId="22074" xr:uid="{00000000-0005-0000-0000-0000DD550000}"/>
    <cellStyle name="40% - Accent5 4 4 2 6" xfId="22075" xr:uid="{00000000-0005-0000-0000-0000DE550000}"/>
    <cellStyle name="40% - Accent5 4 4 2 7" xfId="22076" xr:uid="{00000000-0005-0000-0000-0000DF550000}"/>
    <cellStyle name="40% - Accent5 4 4 3" xfId="22077" xr:uid="{00000000-0005-0000-0000-0000E0550000}"/>
    <cellStyle name="40% - Accent5 4 4 3 2" xfId="22078" xr:uid="{00000000-0005-0000-0000-0000E1550000}"/>
    <cellStyle name="40% - Accent5 4 4 3 2 2" xfId="22079" xr:uid="{00000000-0005-0000-0000-0000E2550000}"/>
    <cellStyle name="40% - Accent5 4 4 3 2 2 2" xfId="22080" xr:uid="{00000000-0005-0000-0000-0000E3550000}"/>
    <cellStyle name="40% - Accent5 4 4 3 2 2 3" xfId="22081" xr:uid="{00000000-0005-0000-0000-0000E4550000}"/>
    <cellStyle name="40% - Accent5 4 4 3 2 3" xfId="22082" xr:uid="{00000000-0005-0000-0000-0000E5550000}"/>
    <cellStyle name="40% - Accent5 4 4 3 2 4" xfId="22083" xr:uid="{00000000-0005-0000-0000-0000E6550000}"/>
    <cellStyle name="40% - Accent5 4 4 3 3" xfId="22084" xr:uid="{00000000-0005-0000-0000-0000E7550000}"/>
    <cellStyle name="40% - Accent5 4 4 3 3 2" xfId="22085" xr:uid="{00000000-0005-0000-0000-0000E8550000}"/>
    <cellStyle name="40% - Accent5 4 4 3 3 3" xfId="22086" xr:uid="{00000000-0005-0000-0000-0000E9550000}"/>
    <cellStyle name="40% - Accent5 4 4 3 4" xfId="22087" xr:uid="{00000000-0005-0000-0000-0000EA550000}"/>
    <cellStyle name="40% - Accent5 4 4 3 5" xfId="22088" xr:uid="{00000000-0005-0000-0000-0000EB550000}"/>
    <cellStyle name="40% - Accent5 4 4 3 6" xfId="22089" xr:uid="{00000000-0005-0000-0000-0000EC550000}"/>
    <cellStyle name="40% - Accent5 4 4 4" xfId="22090" xr:uid="{00000000-0005-0000-0000-0000ED550000}"/>
    <cellStyle name="40% - Accent5 4 4 4 2" xfId="22091" xr:uid="{00000000-0005-0000-0000-0000EE550000}"/>
    <cellStyle name="40% - Accent5 4 4 4 2 2" xfId="22092" xr:uid="{00000000-0005-0000-0000-0000EF550000}"/>
    <cellStyle name="40% - Accent5 4 4 4 2 3" xfId="22093" xr:uid="{00000000-0005-0000-0000-0000F0550000}"/>
    <cellStyle name="40% - Accent5 4 4 4 3" xfId="22094" xr:uid="{00000000-0005-0000-0000-0000F1550000}"/>
    <cellStyle name="40% - Accent5 4 4 4 4" xfId="22095" xr:uid="{00000000-0005-0000-0000-0000F2550000}"/>
    <cellStyle name="40% - Accent5 4 4 5" xfId="22096" xr:uid="{00000000-0005-0000-0000-0000F3550000}"/>
    <cellStyle name="40% - Accent5 4 4 5 2" xfId="22097" xr:uid="{00000000-0005-0000-0000-0000F4550000}"/>
    <cellStyle name="40% - Accent5 4 4 5 3" xfId="22098" xr:uid="{00000000-0005-0000-0000-0000F5550000}"/>
    <cellStyle name="40% - Accent5 4 4 6" xfId="22099" xr:uid="{00000000-0005-0000-0000-0000F6550000}"/>
    <cellStyle name="40% - Accent5 4 4 7" xfId="22100" xr:uid="{00000000-0005-0000-0000-0000F7550000}"/>
    <cellStyle name="40% - Accent5 4 4 8" xfId="22101" xr:uid="{00000000-0005-0000-0000-0000F8550000}"/>
    <cellStyle name="40% - Accent5 4 5" xfId="22102" xr:uid="{00000000-0005-0000-0000-0000F9550000}"/>
    <cellStyle name="40% - Accent5 4 5 2" xfId="22103" xr:uid="{00000000-0005-0000-0000-0000FA550000}"/>
    <cellStyle name="40% - Accent5 4 5 2 2" xfId="22104" xr:uid="{00000000-0005-0000-0000-0000FB550000}"/>
    <cellStyle name="40% - Accent5 4 5 2 2 2" xfId="22105" xr:uid="{00000000-0005-0000-0000-0000FC550000}"/>
    <cellStyle name="40% - Accent5 4 5 2 2 2 2" xfId="22106" xr:uid="{00000000-0005-0000-0000-0000FD550000}"/>
    <cellStyle name="40% - Accent5 4 5 2 2 2 3" xfId="22107" xr:uid="{00000000-0005-0000-0000-0000FE550000}"/>
    <cellStyle name="40% - Accent5 4 5 2 2 3" xfId="22108" xr:uid="{00000000-0005-0000-0000-0000FF550000}"/>
    <cellStyle name="40% - Accent5 4 5 2 2 4" xfId="22109" xr:uid="{00000000-0005-0000-0000-000000560000}"/>
    <cellStyle name="40% - Accent5 4 5 2 3" xfId="22110" xr:uid="{00000000-0005-0000-0000-000001560000}"/>
    <cellStyle name="40% - Accent5 4 5 2 3 2" xfId="22111" xr:uid="{00000000-0005-0000-0000-000002560000}"/>
    <cellStyle name="40% - Accent5 4 5 2 3 3" xfId="22112" xr:uid="{00000000-0005-0000-0000-000003560000}"/>
    <cellStyle name="40% - Accent5 4 5 2 4" xfId="22113" xr:uid="{00000000-0005-0000-0000-000004560000}"/>
    <cellStyle name="40% - Accent5 4 5 2 5" xfId="22114" xr:uid="{00000000-0005-0000-0000-000005560000}"/>
    <cellStyle name="40% - Accent5 4 5 2 6" xfId="22115" xr:uid="{00000000-0005-0000-0000-000006560000}"/>
    <cellStyle name="40% - Accent5 4 5 3" xfId="22116" xr:uid="{00000000-0005-0000-0000-000007560000}"/>
    <cellStyle name="40% - Accent5 4 5 3 2" xfId="22117" xr:uid="{00000000-0005-0000-0000-000008560000}"/>
    <cellStyle name="40% - Accent5 4 5 3 2 2" xfId="22118" xr:uid="{00000000-0005-0000-0000-000009560000}"/>
    <cellStyle name="40% - Accent5 4 5 3 2 3" xfId="22119" xr:uid="{00000000-0005-0000-0000-00000A560000}"/>
    <cellStyle name="40% - Accent5 4 5 3 3" xfId="22120" xr:uid="{00000000-0005-0000-0000-00000B560000}"/>
    <cellStyle name="40% - Accent5 4 5 3 4" xfId="22121" xr:uid="{00000000-0005-0000-0000-00000C560000}"/>
    <cellStyle name="40% - Accent5 4 5 4" xfId="22122" xr:uid="{00000000-0005-0000-0000-00000D560000}"/>
    <cellStyle name="40% - Accent5 4 5 4 2" xfId="22123" xr:uid="{00000000-0005-0000-0000-00000E560000}"/>
    <cellStyle name="40% - Accent5 4 5 4 3" xfId="22124" xr:uid="{00000000-0005-0000-0000-00000F560000}"/>
    <cellStyle name="40% - Accent5 4 5 5" xfId="22125" xr:uid="{00000000-0005-0000-0000-000010560000}"/>
    <cellStyle name="40% - Accent5 4 5 6" xfId="22126" xr:uid="{00000000-0005-0000-0000-000011560000}"/>
    <cellStyle name="40% - Accent5 4 5 7" xfId="22127" xr:uid="{00000000-0005-0000-0000-000012560000}"/>
    <cellStyle name="40% - Accent5 4 6" xfId="22128" xr:uid="{00000000-0005-0000-0000-000013560000}"/>
    <cellStyle name="40% - Accent5 4 6 2" xfId="22129" xr:uid="{00000000-0005-0000-0000-000014560000}"/>
    <cellStyle name="40% - Accent5 4 6 2 2" xfId="22130" xr:uid="{00000000-0005-0000-0000-000015560000}"/>
    <cellStyle name="40% - Accent5 4 6 2 2 2" xfId="22131" xr:uid="{00000000-0005-0000-0000-000016560000}"/>
    <cellStyle name="40% - Accent5 4 6 2 2 3" xfId="22132" xr:uid="{00000000-0005-0000-0000-000017560000}"/>
    <cellStyle name="40% - Accent5 4 6 2 3" xfId="22133" xr:uid="{00000000-0005-0000-0000-000018560000}"/>
    <cellStyle name="40% - Accent5 4 6 2 4" xfId="22134" xr:uid="{00000000-0005-0000-0000-000019560000}"/>
    <cellStyle name="40% - Accent5 4 6 3" xfId="22135" xr:uid="{00000000-0005-0000-0000-00001A560000}"/>
    <cellStyle name="40% - Accent5 4 6 3 2" xfId="22136" xr:uid="{00000000-0005-0000-0000-00001B560000}"/>
    <cellStyle name="40% - Accent5 4 6 3 3" xfId="22137" xr:uid="{00000000-0005-0000-0000-00001C560000}"/>
    <cellStyle name="40% - Accent5 4 6 4" xfId="22138" xr:uid="{00000000-0005-0000-0000-00001D560000}"/>
    <cellStyle name="40% - Accent5 4 6 5" xfId="22139" xr:uid="{00000000-0005-0000-0000-00001E560000}"/>
    <cellStyle name="40% - Accent5 4 6 6" xfId="22140" xr:uid="{00000000-0005-0000-0000-00001F560000}"/>
    <cellStyle name="40% - Accent5 4 7" xfId="22141" xr:uid="{00000000-0005-0000-0000-000020560000}"/>
    <cellStyle name="40% - Accent5 4 7 2" xfId="22142" xr:uid="{00000000-0005-0000-0000-000021560000}"/>
    <cellStyle name="40% - Accent5 4 7 2 2" xfId="22143" xr:uid="{00000000-0005-0000-0000-000022560000}"/>
    <cellStyle name="40% - Accent5 4 7 2 3" xfId="22144" xr:uid="{00000000-0005-0000-0000-000023560000}"/>
    <cellStyle name="40% - Accent5 4 7 3" xfId="22145" xr:uid="{00000000-0005-0000-0000-000024560000}"/>
    <cellStyle name="40% - Accent5 4 7 4" xfId="22146" xr:uid="{00000000-0005-0000-0000-000025560000}"/>
    <cellStyle name="40% - Accent5 4 8" xfId="22147" xr:uid="{00000000-0005-0000-0000-000026560000}"/>
    <cellStyle name="40% - Accent5 4 8 2" xfId="22148" xr:uid="{00000000-0005-0000-0000-000027560000}"/>
    <cellStyle name="40% - Accent5 4 8 3" xfId="22149" xr:uid="{00000000-0005-0000-0000-000028560000}"/>
    <cellStyle name="40% - Accent5 4 9" xfId="22150" xr:uid="{00000000-0005-0000-0000-000029560000}"/>
    <cellStyle name="40% - Accent5 5" xfId="22151" xr:uid="{00000000-0005-0000-0000-00002A560000}"/>
    <cellStyle name="40% - Accent5 5 10" xfId="22152" xr:uid="{00000000-0005-0000-0000-00002B560000}"/>
    <cellStyle name="40% - Accent5 5 2" xfId="22153" xr:uid="{00000000-0005-0000-0000-00002C560000}"/>
    <cellStyle name="40% - Accent5 5 2 2" xfId="22154" xr:uid="{00000000-0005-0000-0000-00002D560000}"/>
    <cellStyle name="40% - Accent5 5 2 2 2" xfId="22155" xr:uid="{00000000-0005-0000-0000-00002E560000}"/>
    <cellStyle name="40% - Accent5 5 2 2 2 2" xfId="22156" xr:uid="{00000000-0005-0000-0000-00002F560000}"/>
    <cellStyle name="40% - Accent5 5 2 2 2 2 2" xfId="22157" xr:uid="{00000000-0005-0000-0000-000030560000}"/>
    <cellStyle name="40% - Accent5 5 2 2 2 2 2 2" xfId="22158" xr:uid="{00000000-0005-0000-0000-000031560000}"/>
    <cellStyle name="40% - Accent5 5 2 2 2 2 2 2 2" xfId="22159" xr:uid="{00000000-0005-0000-0000-000032560000}"/>
    <cellStyle name="40% - Accent5 5 2 2 2 2 2 2 3" xfId="22160" xr:uid="{00000000-0005-0000-0000-000033560000}"/>
    <cellStyle name="40% - Accent5 5 2 2 2 2 2 3" xfId="22161" xr:uid="{00000000-0005-0000-0000-000034560000}"/>
    <cellStyle name="40% - Accent5 5 2 2 2 2 2 4" xfId="22162" xr:uid="{00000000-0005-0000-0000-000035560000}"/>
    <cellStyle name="40% - Accent5 5 2 2 2 2 3" xfId="22163" xr:uid="{00000000-0005-0000-0000-000036560000}"/>
    <cellStyle name="40% - Accent5 5 2 2 2 2 3 2" xfId="22164" xr:uid="{00000000-0005-0000-0000-000037560000}"/>
    <cellStyle name="40% - Accent5 5 2 2 2 2 3 3" xfId="22165" xr:uid="{00000000-0005-0000-0000-000038560000}"/>
    <cellStyle name="40% - Accent5 5 2 2 2 2 4" xfId="22166" xr:uid="{00000000-0005-0000-0000-000039560000}"/>
    <cellStyle name="40% - Accent5 5 2 2 2 2 5" xfId="22167" xr:uid="{00000000-0005-0000-0000-00003A560000}"/>
    <cellStyle name="40% - Accent5 5 2 2 2 2 6" xfId="22168" xr:uid="{00000000-0005-0000-0000-00003B560000}"/>
    <cellStyle name="40% - Accent5 5 2 2 2 3" xfId="22169" xr:uid="{00000000-0005-0000-0000-00003C560000}"/>
    <cellStyle name="40% - Accent5 5 2 2 2 3 2" xfId="22170" xr:uid="{00000000-0005-0000-0000-00003D560000}"/>
    <cellStyle name="40% - Accent5 5 2 2 2 3 2 2" xfId="22171" xr:uid="{00000000-0005-0000-0000-00003E560000}"/>
    <cellStyle name="40% - Accent5 5 2 2 2 3 2 3" xfId="22172" xr:uid="{00000000-0005-0000-0000-00003F560000}"/>
    <cellStyle name="40% - Accent5 5 2 2 2 3 3" xfId="22173" xr:uid="{00000000-0005-0000-0000-000040560000}"/>
    <cellStyle name="40% - Accent5 5 2 2 2 3 4" xfId="22174" xr:uid="{00000000-0005-0000-0000-000041560000}"/>
    <cellStyle name="40% - Accent5 5 2 2 2 4" xfId="22175" xr:uid="{00000000-0005-0000-0000-000042560000}"/>
    <cellStyle name="40% - Accent5 5 2 2 2 4 2" xfId="22176" xr:uid="{00000000-0005-0000-0000-000043560000}"/>
    <cellStyle name="40% - Accent5 5 2 2 2 4 3" xfId="22177" xr:uid="{00000000-0005-0000-0000-000044560000}"/>
    <cellStyle name="40% - Accent5 5 2 2 2 5" xfId="22178" xr:uid="{00000000-0005-0000-0000-000045560000}"/>
    <cellStyle name="40% - Accent5 5 2 2 2 6" xfId="22179" xr:uid="{00000000-0005-0000-0000-000046560000}"/>
    <cellStyle name="40% - Accent5 5 2 2 2 7" xfId="22180" xr:uid="{00000000-0005-0000-0000-000047560000}"/>
    <cellStyle name="40% - Accent5 5 2 2 3" xfId="22181" xr:uid="{00000000-0005-0000-0000-000048560000}"/>
    <cellStyle name="40% - Accent5 5 2 2 3 2" xfId="22182" xr:uid="{00000000-0005-0000-0000-000049560000}"/>
    <cellStyle name="40% - Accent5 5 2 2 3 2 2" xfId="22183" xr:uid="{00000000-0005-0000-0000-00004A560000}"/>
    <cellStyle name="40% - Accent5 5 2 2 3 2 2 2" xfId="22184" xr:uid="{00000000-0005-0000-0000-00004B560000}"/>
    <cellStyle name="40% - Accent5 5 2 2 3 2 2 3" xfId="22185" xr:uid="{00000000-0005-0000-0000-00004C560000}"/>
    <cellStyle name="40% - Accent5 5 2 2 3 2 3" xfId="22186" xr:uid="{00000000-0005-0000-0000-00004D560000}"/>
    <cellStyle name="40% - Accent5 5 2 2 3 2 4" xfId="22187" xr:uid="{00000000-0005-0000-0000-00004E560000}"/>
    <cellStyle name="40% - Accent5 5 2 2 3 3" xfId="22188" xr:uid="{00000000-0005-0000-0000-00004F560000}"/>
    <cellStyle name="40% - Accent5 5 2 2 3 3 2" xfId="22189" xr:uid="{00000000-0005-0000-0000-000050560000}"/>
    <cellStyle name="40% - Accent5 5 2 2 3 3 3" xfId="22190" xr:uid="{00000000-0005-0000-0000-000051560000}"/>
    <cellStyle name="40% - Accent5 5 2 2 3 4" xfId="22191" xr:uid="{00000000-0005-0000-0000-000052560000}"/>
    <cellStyle name="40% - Accent5 5 2 2 3 5" xfId="22192" xr:uid="{00000000-0005-0000-0000-000053560000}"/>
    <cellStyle name="40% - Accent5 5 2 2 3 6" xfId="22193" xr:uid="{00000000-0005-0000-0000-000054560000}"/>
    <cellStyle name="40% - Accent5 5 2 2 4" xfId="22194" xr:uid="{00000000-0005-0000-0000-000055560000}"/>
    <cellStyle name="40% - Accent5 5 2 2 4 2" xfId="22195" xr:uid="{00000000-0005-0000-0000-000056560000}"/>
    <cellStyle name="40% - Accent5 5 2 2 4 2 2" xfId="22196" xr:uid="{00000000-0005-0000-0000-000057560000}"/>
    <cellStyle name="40% - Accent5 5 2 2 4 2 3" xfId="22197" xr:uid="{00000000-0005-0000-0000-000058560000}"/>
    <cellStyle name="40% - Accent5 5 2 2 4 3" xfId="22198" xr:uid="{00000000-0005-0000-0000-000059560000}"/>
    <cellStyle name="40% - Accent5 5 2 2 4 4" xfId="22199" xr:uid="{00000000-0005-0000-0000-00005A560000}"/>
    <cellStyle name="40% - Accent5 5 2 2 5" xfId="22200" xr:uid="{00000000-0005-0000-0000-00005B560000}"/>
    <cellStyle name="40% - Accent5 5 2 2 5 2" xfId="22201" xr:uid="{00000000-0005-0000-0000-00005C560000}"/>
    <cellStyle name="40% - Accent5 5 2 2 5 3" xfId="22202" xr:uid="{00000000-0005-0000-0000-00005D560000}"/>
    <cellStyle name="40% - Accent5 5 2 2 6" xfId="22203" xr:uid="{00000000-0005-0000-0000-00005E560000}"/>
    <cellStyle name="40% - Accent5 5 2 2 7" xfId="22204" xr:uid="{00000000-0005-0000-0000-00005F560000}"/>
    <cellStyle name="40% - Accent5 5 2 2 8" xfId="22205" xr:uid="{00000000-0005-0000-0000-000060560000}"/>
    <cellStyle name="40% - Accent5 5 2 3" xfId="22206" xr:uid="{00000000-0005-0000-0000-000061560000}"/>
    <cellStyle name="40% - Accent5 5 2 3 2" xfId="22207" xr:uid="{00000000-0005-0000-0000-000062560000}"/>
    <cellStyle name="40% - Accent5 5 2 3 2 2" xfId="22208" xr:uid="{00000000-0005-0000-0000-000063560000}"/>
    <cellStyle name="40% - Accent5 5 2 3 2 2 2" xfId="22209" xr:uid="{00000000-0005-0000-0000-000064560000}"/>
    <cellStyle name="40% - Accent5 5 2 3 2 2 2 2" xfId="22210" xr:uid="{00000000-0005-0000-0000-000065560000}"/>
    <cellStyle name="40% - Accent5 5 2 3 2 2 2 3" xfId="22211" xr:uid="{00000000-0005-0000-0000-000066560000}"/>
    <cellStyle name="40% - Accent5 5 2 3 2 2 3" xfId="22212" xr:uid="{00000000-0005-0000-0000-000067560000}"/>
    <cellStyle name="40% - Accent5 5 2 3 2 2 4" xfId="22213" xr:uid="{00000000-0005-0000-0000-000068560000}"/>
    <cellStyle name="40% - Accent5 5 2 3 2 3" xfId="22214" xr:uid="{00000000-0005-0000-0000-000069560000}"/>
    <cellStyle name="40% - Accent5 5 2 3 2 3 2" xfId="22215" xr:uid="{00000000-0005-0000-0000-00006A560000}"/>
    <cellStyle name="40% - Accent5 5 2 3 2 3 3" xfId="22216" xr:uid="{00000000-0005-0000-0000-00006B560000}"/>
    <cellStyle name="40% - Accent5 5 2 3 2 4" xfId="22217" xr:uid="{00000000-0005-0000-0000-00006C560000}"/>
    <cellStyle name="40% - Accent5 5 2 3 2 5" xfId="22218" xr:uid="{00000000-0005-0000-0000-00006D560000}"/>
    <cellStyle name="40% - Accent5 5 2 3 2 6" xfId="22219" xr:uid="{00000000-0005-0000-0000-00006E560000}"/>
    <cellStyle name="40% - Accent5 5 2 3 3" xfId="22220" xr:uid="{00000000-0005-0000-0000-00006F560000}"/>
    <cellStyle name="40% - Accent5 5 2 3 3 2" xfId="22221" xr:uid="{00000000-0005-0000-0000-000070560000}"/>
    <cellStyle name="40% - Accent5 5 2 3 3 2 2" xfId="22222" xr:uid="{00000000-0005-0000-0000-000071560000}"/>
    <cellStyle name="40% - Accent5 5 2 3 3 2 3" xfId="22223" xr:uid="{00000000-0005-0000-0000-000072560000}"/>
    <cellStyle name="40% - Accent5 5 2 3 3 3" xfId="22224" xr:uid="{00000000-0005-0000-0000-000073560000}"/>
    <cellStyle name="40% - Accent5 5 2 3 3 4" xfId="22225" xr:uid="{00000000-0005-0000-0000-000074560000}"/>
    <cellStyle name="40% - Accent5 5 2 3 4" xfId="22226" xr:uid="{00000000-0005-0000-0000-000075560000}"/>
    <cellStyle name="40% - Accent5 5 2 3 4 2" xfId="22227" xr:uid="{00000000-0005-0000-0000-000076560000}"/>
    <cellStyle name="40% - Accent5 5 2 3 4 3" xfId="22228" xr:uid="{00000000-0005-0000-0000-000077560000}"/>
    <cellStyle name="40% - Accent5 5 2 3 5" xfId="22229" xr:uid="{00000000-0005-0000-0000-000078560000}"/>
    <cellStyle name="40% - Accent5 5 2 3 6" xfId="22230" xr:uid="{00000000-0005-0000-0000-000079560000}"/>
    <cellStyle name="40% - Accent5 5 2 3 7" xfId="22231" xr:uid="{00000000-0005-0000-0000-00007A560000}"/>
    <cellStyle name="40% - Accent5 5 2 4" xfId="22232" xr:uid="{00000000-0005-0000-0000-00007B560000}"/>
    <cellStyle name="40% - Accent5 5 2 4 2" xfId="22233" xr:uid="{00000000-0005-0000-0000-00007C560000}"/>
    <cellStyle name="40% - Accent5 5 2 4 2 2" xfId="22234" xr:uid="{00000000-0005-0000-0000-00007D560000}"/>
    <cellStyle name="40% - Accent5 5 2 4 2 2 2" xfId="22235" xr:uid="{00000000-0005-0000-0000-00007E560000}"/>
    <cellStyle name="40% - Accent5 5 2 4 2 2 3" xfId="22236" xr:uid="{00000000-0005-0000-0000-00007F560000}"/>
    <cellStyle name="40% - Accent5 5 2 4 2 3" xfId="22237" xr:uid="{00000000-0005-0000-0000-000080560000}"/>
    <cellStyle name="40% - Accent5 5 2 4 2 4" xfId="22238" xr:uid="{00000000-0005-0000-0000-000081560000}"/>
    <cellStyle name="40% - Accent5 5 2 4 3" xfId="22239" xr:uid="{00000000-0005-0000-0000-000082560000}"/>
    <cellStyle name="40% - Accent5 5 2 4 3 2" xfId="22240" xr:uid="{00000000-0005-0000-0000-000083560000}"/>
    <cellStyle name="40% - Accent5 5 2 4 3 3" xfId="22241" xr:uid="{00000000-0005-0000-0000-000084560000}"/>
    <cellStyle name="40% - Accent5 5 2 4 4" xfId="22242" xr:uid="{00000000-0005-0000-0000-000085560000}"/>
    <cellStyle name="40% - Accent5 5 2 4 5" xfId="22243" xr:uid="{00000000-0005-0000-0000-000086560000}"/>
    <cellStyle name="40% - Accent5 5 2 4 6" xfId="22244" xr:uid="{00000000-0005-0000-0000-000087560000}"/>
    <cellStyle name="40% - Accent5 5 2 5" xfId="22245" xr:uid="{00000000-0005-0000-0000-000088560000}"/>
    <cellStyle name="40% - Accent5 5 2 5 2" xfId="22246" xr:uid="{00000000-0005-0000-0000-000089560000}"/>
    <cellStyle name="40% - Accent5 5 2 5 2 2" xfId="22247" xr:uid="{00000000-0005-0000-0000-00008A560000}"/>
    <cellStyle name="40% - Accent5 5 2 5 2 3" xfId="22248" xr:uid="{00000000-0005-0000-0000-00008B560000}"/>
    <cellStyle name="40% - Accent5 5 2 5 3" xfId="22249" xr:uid="{00000000-0005-0000-0000-00008C560000}"/>
    <cellStyle name="40% - Accent5 5 2 5 4" xfId="22250" xr:uid="{00000000-0005-0000-0000-00008D560000}"/>
    <cellStyle name="40% - Accent5 5 2 6" xfId="22251" xr:uid="{00000000-0005-0000-0000-00008E560000}"/>
    <cellStyle name="40% - Accent5 5 2 6 2" xfId="22252" xr:uid="{00000000-0005-0000-0000-00008F560000}"/>
    <cellStyle name="40% - Accent5 5 2 6 3" xfId="22253" xr:uid="{00000000-0005-0000-0000-000090560000}"/>
    <cellStyle name="40% - Accent5 5 2 7" xfId="22254" xr:uid="{00000000-0005-0000-0000-000091560000}"/>
    <cellStyle name="40% - Accent5 5 2 8" xfId="22255" xr:uid="{00000000-0005-0000-0000-000092560000}"/>
    <cellStyle name="40% - Accent5 5 2 9" xfId="22256" xr:uid="{00000000-0005-0000-0000-000093560000}"/>
    <cellStyle name="40% - Accent5 5 3" xfId="22257" xr:uid="{00000000-0005-0000-0000-000094560000}"/>
    <cellStyle name="40% - Accent5 5 3 2" xfId="22258" xr:uid="{00000000-0005-0000-0000-000095560000}"/>
    <cellStyle name="40% - Accent5 5 3 2 2" xfId="22259" xr:uid="{00000000-0005-0000-0000-000096560000}"/>
    <cellStyle name="40% - Accent5 5 3 2 2 2" xfId="22260" xr:uid="{00000000-0005-0000-0000-000097560000}"/>
    <cellStyle name="40% - Accent5 5 3 2 2 2 2" xfId="22261" xr:uid="{00000000-0005-0000-0000-000098560000}"/>
    <cellStyle name="40% - Accent5 5 3 2 2 2 2 2" xfId="22262" xr:uid="{00000000-0005-0000-0000-000099560000}"/>
    <cellStyle name="40% - Accent5 5 3 2 2 2 2 3" xfId="22263" xr:uid="{00000000-0005-0000-0000-00009A560000}"/>
    <cellStyle name="40% - Accent5 5 3 2 2 2 3" xfId="22264" xr:uid="{00000000-0005-0000-0000-00009B560000}"/>
    <cellStyle name="40% - Accent5 5 3 2 2 2 4" xfId="22265" xr:uid="{00000000-0005-0000-0000-00009C560000}"/>
    <cellStyle name="40% - Accent5 5 3 2 2 3" xfId="22266" xr:uid="{00000000-0005-0000-0000-00009D560000}"/>
    <cellStyle name="40% - Accent5 5 3 2 2 3 2" xfId="22267" xr:uid="{00000000-0005-0000-0000-00009E560000}"/>
    <cellStyle name="40% - Accent5 5 3 2 2 3 3" xfId="22268" xr:uid="{00000000-0005-0000-0000-00009F560000}"/>
    <cellStyle name="40% - Accent5 5 3 2 2 4" xfId="22269" xr:uid="{00000000-0005-0000-0000-0000A0560000}"/>
    <cellStyle name="40% - Accent5 5 3 2 2 5" xfId="22270" xr:uid="{00000000-0005-0000-0000-0000A1560000}"/>
    <cellStyle name="40% - Accent5 5 3 2 2 6" xfId="22271" xr:uid="{00000000-0005-0000-0000-0000A2560000}"/>
    <cellStyle name="40% - Accent5 5 3 2 3" xfId="22272" xr:uid="{00000000-0005-0000-0000-0000A3560000}"/>
    <cellStyle name="40% - Accent5 5 3 2 3 2" xfId="22273" xr:uid="{00000000-0005-0000-0000-0000A4560000}"/>
    <cellStyle name="40% - Accent5 5 3 2 3 2 2" xfId="22274" xr:uid="{00000000-0005-0000-0000-0000A5560000}"/>
    <cellStyle name="40% - Accent5 5 3 2 3 2 3" xfId="22275" xr:uid="{00000000-0005-0000-0000-0000A6560000}"/>
    <cellStyle name="40% - Accent5 5 3 2 3 3" xfId="22276" xr:uid="{00000000-0005-0000-0000-0000A7560000}"/>
    <cellStyle name="40% - Accent5 5 3 2 3 4" xfId="22277" xr:uid="{00000000-0005-0000-0000-0000A8560000}"/>
    <cellStyle name="40% - Accent5 5 3 2 4" xfId="22278" xr:uid="{00000000-0005-0000-0000-0000A9560000}"/>
    <cellStyle name="40% - Accent5 5 3 2 4 2" xfId="22279" xr:uid="{00000000-0005-0000-0000-0000AA560000}"/>
    <cellStyle name="40% - Accent5 5 3 2 4 3" xfId="22280" xr:uid="{00000000-0005-0000-0000-0000AB560000}"/>
    <cellStyle name="40% - Accent5 5 3 2 5" xfId="22281" xr:uid="{00000000-0005-0000-0000-0000AC560000}"/>
    <cellStyle name="40% - Accent5 5 3 2 6" xfId="22282" xr:uid="{00000000-0005-0000-0000-0000AD560000}"/>
    <cellStyle name="40% - Accent5 5 3 2 7" xfId="22283" xr:uid="{00000000-0005-0000-0000-0000AE560000}"/>
    <cellStyle name="40% - Accent5 5 3 3" xfId="22284" xr:uid="{00000000-0005-0000-0000-0000AF560000}"/>
    <cellStyle name="40% - Accent5 5 3 3 2" xfId="22285" xr:uid="{00000000-0005-0000-0000-0000B0560000}"/>
    <cellStyle name="40% - Accent5 5 3 3 2 2" xfId="22286" xr:uid="{00000000-0005-0000-0000-0000B1560000}"/>
    <cellStyle name="40% - Accent5 5 3 3 2 2 2" xfId="22287" xr:uid="{00000000-0005-0000-0000-0000B2560000}"/>
    <cellStyle name="40% - Accent5 5 3 3 2 2 3" xfId="22288" xr:uid="{00000000-0005-0000-0000-0000B3560000}"/>
    <cellStyle name="40% - Accent5 5 3 3 2 3" xfId="22289" xr:uid="{00000000-0005-0000-0000-0000B4560000}"/>
    <cellStyle name="40% - Accent5 5 3 3 2 4" xfId="22290" xr:uid="{00000000-0005-0000-0000-0000B5560000}"/>
    <cellStyle name="40% - Accent5 5 3 3 3" xfId="22291" xr:uid="{00000000-0005-0000-0000-0000B6560000}"/>
    <cellStyle name="40% - Accent5 5 3 3 3 2" xfId="22292" xr:uid="{00000000-0005-0000-0000-0000B7560000}"/>
    <cellStyle name="40% - Accent5 5 3 3 3 3" xfId="22293" xr:uid="{00000000-0005-0000-0000-0000B8560000}"/>
    <cellStyle name="40% - Accent5 5 3 3 4" xfId="22294" xr:uid="{00000000-0005-0000-0000-0000B9560000}"/>
    <cellStyle name="40% - Accent5 5 3 3 5" xfId="22295" xr:uid="{00000000-0005-0000-0000-0000BA560000}"/>
    <cellStyle name="40% - Accent5 5 3 3 6" xfId="22296" xr:uid="{00000000-0005-0000-0000-0000BB560000}"/>
    <cellStyle name="40% - Accent5 5 3 4" xfId="22297" xr:uid="{00000000-0005-0000-0000-0000BC560000}"/>
    <cellStyle name="40% - Accent5 5 3 4 2" xfId="22298" xr:uid="{00000000-0005-0000-0000-0000BD560000}"/>
    <cellStyle name="40% - Accent5 5 3 4 2 2" xfId="22299" xr:uid="{00000000-0005-0000-0000-0000BE560000}"/>
    <cellStyle name="40% - Accent5 5 3 4 2 3" xfId="22300" xr:uid="{00000000-0005-0000-0000-0000BF560000}"/>
    <cellStyle name="40% - Accent5 5 3 4 3" xfId="22301" xr:uid="{00000000-0005-0000-0000-0000C0560000}"/>
    <cellStyle name="40% - Accent5 5 3 4 4" xfId="22302" xr:uid="{00000000-0005-0000-0000-0000C1560000}"/>
    <cellStyle name="40% - Accent5 5 3 5" xfId="22303" xr:uid="{00000000-0005-0000-0000-0000C2560000}"/>
    <cellStyle name="40% - Accent5 5 3 5 2" xfId="22304" xr:uid="{00000000-0005-0000-0000-0000C3560000}"/>
    <cellStyle name="40% - Accent5 5 3 5 3" xfId="22305" xr:uid="{00000000-0005-0000-0000-0000C4560000}"/>
    <cellStyle name="40% - Accent5 5 3 6" xfId="22306" xr:uid="{00000000-0005-0000-0000-0000C5560000}"/>
    <cellStyle name="40% - Accent5 5 3 7" xfId="22307" xr:uid="{00000000-0005-0000-0000-0000C6560000}"/>
    <cellStyle name="40% - Accent5 5 3 8" xfId="22308" xr:uid="{00000000-0005-0000-0000-0000C7560000}"/>
    <cellStyle name="40% - Accent5 5 4" xfId="22309" xr:uid="{00000000-0005-0000-0000-0000C8560000}"/>
    <cellStyle name="40% - Accent5 5 4 2" xfId="22310" xr:uid="{00000000-0005-0000-0000-0000C9560000}"/>
    <cellStyle name="40% - Accent5 5 4 2 2" xfId="22311" xr:uid="{00000000-0005-0000-0000-0000CA560000}"/>
    <cellStyle name="40% - Accent5 5 4 2 2 2" xfId="22312" xr:uid="{00000000-0005-0000-0000-0000CB560000}"/>
    <cellStyle name="40% - Accent5 5 4 2 2 2 2" xfId="22313" xr:uid="{00000000-0005-0000-0000-0000CC560000}"/>
    <cellStyle name="40% - Accent5 5 4 2 2 2 3" xfId="22314" xr:uid="{00000000-0005-0000-0000-0000CD560000}"/>
    <cellStyle name="40% - Accent5 5 4 2 2 3" xfId="22315" xr:uid="{00000000-0005-0000-0000-0000CE560000}"/>
    <cellStyle name="40% - Accent5 5 4 2 2 4" xfId="22316" xr:uid="{00000000-0005-0000-0000-0000CF560000}"/>
    <cellStyle name="40% - Accent5 5 4 2 3" xfId="22317" xr:uid="{00000000-0005-0000-0000-0000D0560000}"/>
    <cellStyle name="40% - Accent5 5 4 2 3 2" xfId="22318" xr:uid="{00000000-0005-0000-0000-0000D1560000}"/>
    <cellStyle name="40% - Accent5 5 4 2 3 3" xfId="22319" xr:uid="{00000000-0005-0000-0000-0000D2560000}"/>
    <cellStyle name="40% - Accent5 5 4 2 4" xfId="22320" xr:uid="{00000000-0005-0000-0000-0000D3560000}"/>
    <cellStyle name="40% - Accent5 5 4 2 5" xfId="22321" xr:uid="{00000000-0005-0000-0000-0000D4560000}"/>
    <cellStyle name="40% - Accent5 5 4 2 6" xfId="22322" xr:uid="{00000000-0005-0000-0000-0000D5560000}"/>
    <cellStyle name="40% - Accent5 5 4 3" xfId="22323" xr:uid="{00000000-0005-0000-0000-0000D6560000}"/>
    <cellStyle name="40% - Accent5 5 4 3 2" xfId="22324" xr:uid="{00000000-0005-0000-0000-0000D7560000}"/>
    <cellStyle name="40% - Accent5 5 4 3 2 2" xfId="22325" xr:uid="{00000000-0005-0000-0000-0000D8560000}"/>
    <cellStyle name="40% - Accent5 5 4 3 2 3" xfId="22326" xr:uid="{00000000-0005-0000-0000-0000D9560000}"/>
    <cellStyle name="40% - Accent5 5 4 3 3" xfId="22327" xr:uid="{00000000-0005-0000-0000-0000DA560000}"/>
    <cellStyle name="40% - Accent5 5 4 3 4" xfId="22328" xr:uid="{00000000-0005-0000-0000-0000DB560000}"/>
    <cellStyle name="40% - Accent5 5 4 4" xfId="22329" xr:uid="{00000000-0005-0000-0000-0000DC560000}"/>
    <cellStyle name="40% - Accent5 5 4 4 2" xfId="22330" xr:uid="{00000000-0005-0000-0000-0000DD560000}"/>
    <cellStyle name="40% - Accent5 5 4 4 3" xfId="22331" xr:uid="{00000000-0005-0000-0000-0000DE560000}"/>
    <cellStyle name="40% - Accent5 5 4 5" xfId="22332" xr:uid="{00000000-0005-0000-0000-0000DF560000}"/>
    <cellStyle name="40% - Accent5 5 4 6" xfId="22333" xr:uid="{00000000-0005-0000-0000-0000E0560000}"/>
    <cellStyle name="40% - Accent5 5 4 7" xfId="22334" xr:uid="{00000000-0005-0000-0000-0000E1560000}"/>
    <cellStyle name="40% - Accent5 5 5" xfId="22335" xr:uid="{00000000-0005-0000-0000-0000E2560000}"/>
    <cellStyle name="40% - Accent5 5 5 2" xfId="22336" xr:uid="{00000000-0005-0000-0000-0000E3560000}"/>
    <cellStyle name="40% - Accent5 5 5 2 2" xfId="22337" xr:uid="{00000000-0005-0000-0000-0000E4560000}"/>
    <cellStyle name="40% - Accent5 5 5 2 2 2" xfId="22338" xr:uid="{00000000-0005-0000-0000-0000E5560000}"/>
    <cellStyle name="40% - Accent5 5 5 2 2 3" xfId="22339" xr:uid="{00000000-0005-0000-0000-0000E6560000}"/>
    <cellStyle name="40% - Accent5 5 5 2 3" xfId="22340" xr:uid="{00000000-0005-0000-0000-0000E7560000}"/>
    <cellStyle name="40% - Accent5 5 5 2 4" xfId="22341" xr:uid="{00000000-0005-0000-0000-0000E8560000}"/>
    <cellStyle name="40% - Accent5 5 5 3" xfId="22342" xr:uid="{00000000-0005-0000-0000-0000E9560000}"/>
    <cellStyle name="40% - Accent5 5 5 3 2" xfId="22343" xr:uid="{00000000-0005-0000-0000-0000EA560000}"/>
    <cellStyle name="40% - Accent5 5 5 3 3" xfId="22344" xr:uid="{00000000-0005-0000-0000-0000EB560000}"/>
    <cellStyle name="40% - Accent5 5 5 4" xfId="22345" xr:uid="{00000000-0005-0000-0000-0000EC560000}"/>
    <cellStyle name="40% - Accent5 5 5 5" xfId="22346" xr:uid="{00000000-0005-0000-0000-0000ED560000}"/>
    <cellStyle name="40% - Accent5 5 5 6" xfId="22347" xr:uid="{00000000-0005-0000-0000-0000EE560000}"/>
    <cellStyle name="40% - Accent5 5 6" xfId="22348" xr:uid="{00000000-0005-0000-0000-0000EF560000}"/>
    <cellStyle name="40% - Accent5 5 6 2" xfId="22349" xr:uid="{00000000-0005-0000-0000-0000F0560000}"/>
    <cellStyle name="40% - Accent5 5 6 2 2" xfId="22350" xr:uid="{00000000-0005-0000-0000-0000F1560000}"/>
    <cellStyle name="40% - Accent5 5 6 2 3" xfId="22351" xr:uid="{00000000-0005-0000-0000-0000F2560000}"/>
    <cellStyle name="40% - Accent5 5 6 3" xfId="22352" xr:uid="{00000000-0005-0000-0000-0000F3560000}"/>
    <cellStyle name="40% - Accent5 5 6 4" xfId="22353" xr:uid="{00000000-0005-0000-0000-0000F4560000}"/>
    <cellStyle name="40% - Accent5 5 7" xfId="22354" xr:uid="{00000000-0005-0000-0000-0000F5560000}"/>
    <cellStyle name="40% - Accent5 5 7 2" xfId="22355" xr:uid="{00000000-0005-0000-0000-0000F6560000}"/>
    <cellStyle name="40% - Accent5 5 7 3" xfId="22356" xr:uid="{00000000-0005-0000-0000-0000F7560000}"/>
    <cellStyle name="40% - Accent5 5 8" xfId="22357" xr:uid="{00000000-0005-0000-0000-0000F8560000}"/>
    <cellStyle name="40% - Accent5 5 9" xfId="22358" xr:uid="{00000000-0005-0000-0000-0000F9560000}"/>
    <cellStyle name="40% - Accent5 6" xfId="22359" xr:uid="{00000000-0005-0000-0000-0000FA560000}"/>
    <cellStyle name="40% - Accent5 6 2" xfId="22360" xr:uid="{00000000-0005-0000-0000-0000FB560000}"/>
    <cellStyle name="40% - Accent5 6 2 2" xfId="22361" xr:uid="{00000000-0005-0000-0000-0000FC560000}"/>
    <cellStyle name="40% - Accent5 6 2 2 2" xfId="22362" xr:uid="{00000000-0005-0000-0000-0000FD560000}"/>
    <cellStyle name="40% - Accent5 6 2 2 2 2" xfId="22363" xr:uid="{00000000-0005-0000-0000-0000FE560000}"/>
    <cellStyle name="40% - Accent5 6 2 2 2 2 2" xfId="22364" xr:uid="{00000000-0005-0000-0000-0000FF560000}"/>
    <cellStyle name="40% - Accent5 6 2 2 2 2 2 2" xfId="22365" xr:uid="{00000000-0005-0000-0000-000000570000}"/>
    <cellStyle name="40% - Accent5 6 2 2 2 2 2 3" xfId="22366" xr:uid="{00000000-0005-0000-0000-000001570000}"/>
    <cellStyle name="40% - Accent5 6 2 2 2 2 3" xfId="22367" xr:uid="{00000000-0005-0000-0000-000002570000}"/>
    <cellStyle name="40% - Accent5 6 2 2 2 2 4" xfId="22368" xr:uid="{00000000-0005-0000-0000-000003570000}"/>
    <cellStyle name="40% - Accent5 6 2 2 2 3" xfId="22369" xr:uid="{00000000-0005-0000-0000-000004570000}"/>
    <cellStyle name="40% - Accent5 6 2 2 2 3 2" xfId="22370" xr:uid="{00000000-0005-0000-0000-000005570000}"/>
    <cellStyle name="40% - Accent5 6 2 2 2 3 3" xfId="22371" xr:uid="{00000000-0005-0000-0000-000006570000}"/>
    <cellStyle name="40% - Accent5 6 2 2 2 4" xfId="22372" xr:uid="{00000000-0005-0000-0000-000007570000}"/>
    <cellStyle name="40% - Accent5 6 2 2 2 5" xfId="22373" xr:uid="{00000000-0005-0000-0000-000008570000}"/>
    <cellStyle name="40% - Accent5 6 2 2 2 6" xfId="22374" xr:uid="{00000000-0005-0000-0000-000009570000}"/>
    <cellStyle name="40% - Accent5 6 2 2 3" xfId="22375" xr:uid="{00000000-0005-0000-0000-00000A570000}"/>
    <cellStyle name="40% - Accent5 6 2 2 3 2" xfId="22376" xr:uid="{00000000-0005-0000-0000-00000B570000}"/>
    <cellStyle name="40% - Accent5 6 2 2 3 2 2" xfId="22377" xr:uid="{00000000-0005-0000-0000-00000C570000}"/>
    <cellStyle name="40% - Accent5 6 2 2 3 2 3" xfId="22378" xr:uid="{00000000-0005-0000-0000-00000D570000}"/>
    <cellStyle name="40% - Accent5 6 2 2 3 3" xfId="22379" xr:uid="{00000000-0005-0000-0000-00000E570000}"/>
    <cellStyle name="40% - Accent5 6 2 2 3 4" xfId="22380" xr:uid="{00000000-0005-0000-0000-00000F570000}"/>
    <cellStyle name="40% - Accent5 6 2 2 4" xfId="22381" xr:uid="{00000000-0005-0000-0000-000010570000}"/>
    <cellStyle name="40% - Accent5 6 2 2 4 2" xfId="22382" xr:uid="{00000000-0005-0000-0000-000011570000}"/>
    <cellStyle name="40% - Accent5 6 2 2 4 3" xfId="22383" xr:uid="{00000000-0005-0000-0000-000012570000}"/>
    <cellStyle name="40% - Accent5 6 2 2 5" xfId="22384" xr:uid="{00000000-0005-0000-0000-000013570000}"/>
    <cellStyle name="40% - Accent5 6 2 2 6" xfId="22385" xr:uid="{00000000-0005-0000-0000-000014570000}"/>
    <cellStyle name="40% - Accent5 6 2 2 7" xfId="22386" xr:uid="{00000000-0005-0000-0000-000015570000}"/>
    <cellStyle name="40% - Accent5 6 2 3" xfId="22387" xr:uid="{00000000-0005-0000-0000-000016570000}"/>
    <cellStyle name="40% - Accent5 6 2 3 2" xfId="22388" xr:uid="{00000000-0005-0000-0000-000017570000}"/>
    <cellStyle name="40% - Accent5 6 2 3 2 2" xfId="22389" xr:uid="{00000000-0005-0000-0000-000018570000}"/>
    <cellStyle name="40% - Accent5 6 2 3 2 2 2" xfId="22390" xr:uid="{00000000-0005-0000-0000-000019570000}"/>
    <cellStyle name="40% - Accent5 6 2 3 2 2 3" xfId="22391" xr:uid="{00000000-0005-0000-0000-00001A570000}"/>
    <cellStyle name="40% - Accent5 6 2 3 2 3" xfId="22392" xr:uid="{00000000-0005-0000-0000-00001B570000}"/>
    <cellStyle name="40% - Accent5 6 2 3 2 4" xfId="22393" xr:uid="{00000000-0005-0000-0000-00001C570000}"/>
    <cellStyle name="40% - Accent5 6 2 3 3" xfId="22394" xr:uid="{00000000-0005-0000-0000-00001D570000}"/>
    <cellStyle name="40% - Accent5 6 2 3 3 2" xfId="22395" xr:uid="{00000000-0005-0000-0000-00001E570000}"/>
    <cellStyle name="40% - Accent5 6 2 3 3 3" xfId="22396" xr:uid="{00000000-0005-0000-0000-00001F570000}"/>
    <cellStyle name="40% - Accent5 6 2 3 4" xfId="22397" xr:uid="{00000000-0005-0000-0000-000020570000}"/>
    <cellStyle name="40% - Accent5 6 2 3 5" xfId="22398" xr:uid="{00000000-0005-0000-0000-000021570000}"/>
    <cellStyle name="40% - Accent5 6 2 3 6" xfId="22399" xr:uid="{00000000-0005-0000-0000-000022570000}"/>
    <cellStyle name="40% - Accent5 6 2 4" xfId="22400" xr:uid="{00000000-0005-0000-0000-000023570000}"/>
    <cellStyle name="40% - Accent5 6 2 4 2" xfId="22401" xr:uid="{00000000-0005-0000-0000-000024570000}"/>
    <cellStyle name="40% - Accent5 6 2 4 2 2" xfId="22402" xr:uid="{00000000-0005-0000-0000-000025570000}"/>
    <cellStyle name="40% - Accent5 6 2 4 2 3" xfId="22403" xr:uid="{00000000-0005-0000-0000-000026570000}"/>
    <cellStyle name="40% - Accent5 6 2 4 3" xfId="22404" xr:uid="{00000000-0005-0000-0000-000027570000}"/>
    <cellStyle name="40% - Accent5 6 2 4 4" xfId="22405" xr:uid="{00000000-0005-0000-0000-000028570000}"/>
    <cellStyle name="40% - Accent5 6 2 5" xfId="22406" xr:uid="{00000000-0005-0000-0000-000029570000}"/>
    <cellStyle name="40% - Accent5 6 2 5 2" xfId="22407" xr:uid="{00000000-0005-0000-0000-00002A570000}"/>
    <cellStyle name="40% - Accent5 6 2 5 3" xfId="22408" xr:uid="{00000000-0005-0000-0000-00002B570000}"/>
    <cellStyle name="40% - Accent5 6 2 6" xfId="22409" xr:uid="{00000000-0005-0000-0000-00002C570000}"/>
    <cellStyle name="40% - Accent5 6 2 7" xfId="22410" xr:uid="{00000000-0005-0000-0000-00002D570000}"/>
    <cellStyle name="40% - Accent5 6 2 8" xfId="22411" xr:uid="{00000000-0005-0000-0000-00002E570000}"/>
    <cellStyle name="40% - Accent5 6 3" xfId="22412" xr:uid="{00000000-0005-0000-0000-00002F570000}"/>
    <cellStyle name="40% - Accent5 6 3 2" xfId="22413" xr:uid="{00000000-0005-0000-0000-000030570000}"/>
    <cellStyle name="40% - Accent5 6 3 2 2" xfId="22414" xr:uid="{00000000-0005-0000-0000-000031570000}"/>
    <cellStyle name="40% - Accent5 6 3 2 2 2" xfId="22415" xr:uid="{00000000-0005-0000-0000-000032570000}"/>
    <cellStyle name="40% - Accent5 6 3 2 2 2 2" xfId="22416" xr:uid="{00000000-0005-0000-0000-000033570000}"/>
    <cellStyle name="40% - Accent5 6 3 2 2 2 3" xfId="22417" xr:uid="{00000000-0005-0000-0000-000034570000}"/>
    <cellStyle name="40% - Accent5 6 3 2 2 3" xfId="22418" xr:uid="{00000000-0005-0000-0000-000035570000}"/>
    <cellStyle name="40% - Accent5 6 3 2 2 4" xfId="22419" xr:uid="{00000000-0005-0000-0000-000036570000}"/>
    <cellStyle name="40% - Accent5 6 3 2 3" xfId="22420" xr:uid="{00000000-0005-0000-0000-000037570000}"/>
    <cellStyle name="40% - Accent5 6 3 2 3 2" xfId="22421" xr:uid="{00000000-0005-0000-0000-000038570000}"/>
    <cellStyle name="40% - Accent5 6 3 2 3 3" xfId="22422" xr:uid="{00000000-0005-0000-0000-000039570000}"/>
    <cellStyle name="40% - Accent5 6 3 2 4" xfId="22423" xr:uid="{00000000-0005-0000-0000-00003A570000}"/>
    <cellStyle name="40% - Accent5 6 3 2 5" xfId="22424" xr:uid="{00000000-0005-0000-0000-00003B570000}"/>
    <cellStyle name="40% - Accent5 6 3 2 6" xfId="22425" xr:uid="{00000000-0005-0000-0000-00003C570000}"/>
    <cellStyle name="40% - Accent5 6 3 3" xfId="22426" xr:uid="{00000000-0005-0000-0000-00003D570000}"/>
    <cellStyle name="40% - Accent5 6 3 3 2" xfId="22427" xr:uid="{00000000-0005-0000-0000-00003E570000}"/>
    <cellStyle name="40% - Accent5 6 3 3 2 2" xfId="22428" xr:uid="{00000000-0005-0000-0000-00003F570000}"/>
    <cellStyle name="40% - Accent5 6 3 3 2 3" xfId="22429" xr:uid="{00000000-0005-0000-0000-000040570000}"/>
    <cellStyle name="40% - Accent5 6 3 3 3" xfId="22430" xr:uid="{00000000-0005-0000-0000-000041570000}"/>
    <cellStyle name="40% - Accent5 6 3 3 4" xfId="22431" xr:uid="{00000000-0005-0000-0000-000042570000}"/>
    <cellStyle name="40% - Accent5 6 3 4" xfId="22432" xr:uid="{00000000-0005-0000-0000-000043570000}"/>
    <cellStyle name="40% - Accent5 6 3 4 2" xfId="22433" xr:uid="{00000000-0005-0000-0000-000044570000}"/>
    <cellStyle name="40% - Accent5 6 3 4 3" xfId="22434" xr:uid="{00000000-0005-0000-0000-000045570000}"/>
    <cellStyle name="40% - Accent5 6 3 5" xfId="22435" xr:uid="{00000000-0005-0000-0000-000046570000}"/>
    <cellStyle name="40% - Accent5 6 3 6" xfId="22436" xr:uid="{00000000-0005-0000-0000-000047570000}"/>
    <cellStyle name="40% - Accent5 6 3 7" xfId="22437" xr:uid="{00000000-0005-0000-0000-000048570000}"/>
    <cellStyle name="40% - Accent5 6 4" xfId="22438" xr:uid="{00000000-0005-0000-0000-000049570000}"/>
    <cellStyle name="40% - Accent5 6 4 2" xfId="22439" xr:uid="{00000000-0005-0000-0000-00004A570000}"/>
    <cellStyle name="40% - Accent5 6 4 2 2" xfId="22440" xr:uid="{00000000-0005-0000-0000-00004B570000}"/>
    <cellStyle name="40% - Accent5 6 4 2 2 2" xfId="22441" xr:uid="{00000000-0005-0000-0000-00004C570000}"/>
    <cellStyle name="40% - Accent5 6 4 2 2 3" xfId="22442" xr:uid="{00000000-0005-0000-0000-00004D570000}"/>
    <cellStyle name="40% - Accent5 6 4 2 3" xfId="22443" xr:uid="{00000000-0005-0000-0000-00004E570000}"/>
    <cellStyle name="40% - Accent5 6 4 2 4" xfId="22444" xr:uid="{00000000-0005-0000-0000-00004F570000}"/>
    <cellStyle name="40% - Accent5 6 4 3" xfId="22445" xr:uid="{00000000-0005-0000-0000-000050570000}"/>
    <cellStyle name="40% - Accent5 6 4 3 2" xfId="22446" xr:uid="{00000000-0005-0000-0000-000051570000}"/>
    <cellStyle name="40% - Accent5 6 4 3 3" xfId="22447" xr:uid="{00000000-0005-0000-0000-000052570000}"/>
    <cellStyle name="40% - Accent5 6 4 4" xfId="22448" xr:uid="{00000000-0005-0000-0000-000053570000}"/>
    <cellStyle name="40% - Accent5 6 4 5" xfId="22449" xr:uid="{00000000-0005-0000-0000-000054570000}"/>
    <cellStyle name="40% - Accent5 6 4 6" xfId="22450" xr:uid="{00000000-0005-0000-0000-000055570000}"/>
    <cellStyle name="40% - Accent5 6 5" xfId="22451" xr:uid="{00000000-0005-0000-0000-000056570000}"/>
    <cellStyle name="40% - Accent5 6 5 2" xfId="22452" xr:uid="{00000000-0005-0000-0000-000057570000}"/>
    <cellStyle name="40% - Accent5 6 5 2 2" xfId="22453" xr:uid="{00000000-0005-0000-0000-000058570000}"/>
    <cellStyle name="40% - Accent5 6 5 2 3" xfId="22454" xr:uid="{00000000-0005-0000-0000-000059570000}"/>
    <cellStyle name="40% - Accent5 6 5 3" xfId="22455" xr:uid="{00000000-0005-0000-0000-00005A570000}"/>
    <cellStyle name="40% - Accent5 6 5 4" xfId="22456" xr:uid="{00000000-0005-0000-0000-00005B570000}"/>
    <cellStyle name="40% - Accent5 6 6" xfId="22457" xr:uid="{00000000-0005-0000-0000-00005C570000}"/>
    <cellStyle name="40% - Accent5 6 6 2" xfId="22458" xr:uid="{00000000-0005-0000-0000-00005D570000}"/>
    <cellStyle name="40% - Accent5 6 6 3" xfId="22459" xr:uid="{00000000-0005-0000-0000-00005E570000}"/>
    <cellStyle name="40% - Accent5 6 7" xfId="22460" xr:uid="{00000000-0005-0000-0000-00005F570000}"/>
    <cellStyle name="40% - Accent5 6 8" xfId="22461" xr:uid="{00000000-0005-0000-0000-000060570000}"/>
    <cellStyle name="40% - Accent5 6 9" xfId="22462" xr:uid="{00000000-0005-0000-0000-000061570000}"/>
    <cellStyle name="40% - Accent5 7" xfId="22463" xr:uid="{00000000-0005-0000-0000-000062570000}"/>
    <cellStyle name="40% - Accent5 7 2" xfId="22464" xr:uid="{00000000-0005-0000-0000-000063570000}"/>
    <cellStyle name="40% - Accent5 7 2 2" xfId="22465" xr:uid="{00000000-0005-0000-0000-000064570000}"/>
    <cellStyle name="40% - Accent5 7 2 2 2" xfId="22466" xr:uid="{00000000-0005-0000-0000-000065570000}"/>
    <cellStyle name="40% - Accent5 7 2 2 2 2" xfId="22467" xr:uid="{00000000-0005-0000-0000-000066570000}"/>
    <cellStyle name="40% - Accent5 7 2 2 2 2 2" xfId="22468" xr:uid="{00000000-0005-0000-0000-000067570000}"/>
    <cellStyle name="40% - Accent5 7 2 2 2 2 2 2" xfId="22469" xr:uid="{00000000-0005-0000-0000-000068570000}"/>
    <cellStyle name="40% - Accent5 7 2 2 2 2 2 3" xfId="22470" xr:uid="{00000000-0005-0000-0000-000069570000}"/>
    <cellStyle name="40% - Accent5 7 2 2 2 2 3" xfId="22471" xr:uid="{00000000-0005-0000-0000-00006A570000}"/>
    <cellStyle name="40% - Accent5 7 2 2 2 2 4" xfId="22472" xr:uid="{00000000-0005-0000-0000-00006B570000}"/>
    <cellStyle name="40% - Accent5 7 2 2 2 3" xfId="22473" xr:uid="{00000000-0005-0000-0000-00006C570000}"/>
    <cellStyle name="40% - Accent5 7 2 2 2 3 2" xfId="22474" xr:uid="{00000000-0005-0000-0000-00006D570000}"/>
    <cellStyle name="40% - Accent5 7 2 2 2 3 3" xfId="22475" xr:uid="{00000000-0005-0000-0000-00006E570000}"/>
    <cellStyle name="40% - Accent5 7 2 2 2 4" xfId="22476" xr:uid="{00000000-0005-0000-0000-00006F570000}"/>
    <cellStyle name="40% - Accent5 7 2 2 2 5" xfId="22477" xr:uid="{00000000-0005-0000-0000-000070570000}"/>
    <cellStyle name="40% - Accent5 7 2 2 2 6" xfId="22478" xr:uid="{00000000-0005-0000-0000-000071570000}"/>
    <cellStyle name="40% - Accent5 7 2 2 3" xfId="22479" xr:uid="{00000000-0005-0000-0000-000072570000}"/>
    <cellStyle name="40% - Accent5 7 2 2 3 2" xfId="22480" xr:uid="{00000000-0005-0000-0000-000073570000}"/>
    <cellStyle name="40% - Accent5 7 2 2 3 2 2" xfId="22481" xr:uid="{00000000-0005-0000-0000-000074570000}"/>
    <cellStyle name="40% - Accent5 7 2 2 3 2 3" xfId="22482" xr:uid="{00000000-0005-0000-0000-000075570000}"/>
    <cellStyle name="40% - Accent5 7 2 2 3 3" xfId="22483" xr:uid="{00000000-0005-0000-0000-000076570000}"/>
    <cellStyle name="40% - Accent5 7 2 2 3 4" xfId="22484" xr:uid="{00000000-0005-0000-0000-000077570000}"/>
    <cellStyle name="40% - Accent5 7 2 2 4" xfId="22485" xr:uid="{00000000-0005-0000-0000-000078570000}"/>
    <cellStyle name="40% - Accent5 7 2 2 4 2" xfId="22486" xr:uid="{00000000-0005-0000-0000-000079570000}"/>
    <cellStyle name="40% - Accent5 7 2 2 4 3" xfId="22487" xr:uid="{00000000-0005-0000-0000-00007A570000}"/>
    <cellStyle name="40% - Accent5 7 2 2 5" xfId="22488" xr:uid="{00000000-0005-0000-0000-00007B570000}"/>
    <cellStyle name="40% - Accent5 7 2 2 6" xfId="22489" xr:uid="{00000000-0005-0000-0000-00007C570000}"/>
    <cellStyle name="40% - Accent5 7 2 2 7" xfId="22490" xr:uid="{00000000-0005-0000-0000-00007D570000}"/>
    <cellStyle name="40% - Accent5 7 2 3" xfId="22491" xr:uid="{00000000-0005-0000-0000-00007E570000}"/>
    <cellStyle name="40% - Accent5 7 2 3 2" xfId="22492" xr:uid="{00000000-0005-0000-0000-00007F570000}"/>
    <cellStyle name="40% - Accent5 7 2 3 2 2" xfId="22493" xr:uid="{00000000-0005-0000-0000-000080570000}"/>
    <cellStyle name="40% - Accent5 7 2 3 2 2 2" xfId="22494" xr:uid="{00000000-0005-0000-0000-000081570000}"/>
    <cellStyle name="40% - Accent5 7 2 3 2 2 3" xfId="22495" xr:uid="{00000000-0005-0000-0000-000082570000}"/>
    <cellStyle name="40% - Accent5 7 2 3 2 3" xfId="22496" xr:uid="{00000000-0005-0000-0000-000083570000}"/>
    <cellStyle name="40% - Accent5 7 2 3 2 4" xfId="22497" xr:uid="{00000000-0005-0000-0000-000084570000}"/>
    <cellStyle name="40% - Accent5 7 2 3 3" xfId="22498" xr:uid="{00000000-0005-0000-0000-000085570000}"/>
    <cellStyle name="40% - Accent5 7 2 3 3 2" xfId="22499" xr:uid="{00000000-0005-0000-0000-000086570000}"/>
    <cellStyle name="40% - Accent5 7 2 3 3 3" xfId="22500" xr:uid="{00000000-0005-0000-0000-000087570000}"/>
    <cellStyle name="40% - Accent5 7 2 3 4" xfId="22501" xr:uid="{00000000-0005-0000-0000-000088570000}"/>
    <cellStyle name="40% - Accent5 7 2 3 5" xfId="22502" xr:uid="{00000000-0005-0000-0000-000089570000}"/>
    <cellStyle name="40% - Accent5 7 2 3 6" xfId="22503" xr:uid="{00000000-0005-0000-0000-00008A570000}"/>
    <cellStyle name="40% - Accent5 7 2 4" xfId="22504" xr:uid="{00000000-0005-0000-0000-00008B570000}"/>
    <cellStyle name="40% - Accent5 7 2 4 2" xfId="22505" xr:uid="{00000000-0005-0000-0000-00008C570000}"/>
    <cellStyle name="40% - Accent5 7 2 4 2 2" xfId="22506" xr:uid="{00000000-0005-0000-0000-00008D570000}"/>
    <cellStyle name="40% - Accent5 7 2 4 2 3" xfId="22507" xr:uid="{00000000-0005-0000-0000-00008E570000}"/>
    <cellStyle name="40% - Accent5 7 2 4 3" xfId="22508" xr:uid="{00000000-0005-0000-0000-00008F570000}"/>
    <cellStyle name="40% - Accent5 7 2 4 4" xfId="22509" xr:uid="{00000000-0005-0000-0000-000090570000}"/>
    <cellStyle name="40% - Accent5 7 2 5" xfId="22510" xr:uid="{00000000-0005-0000-0000-000091570000}"/>
    <cellStyle name="40% - Accent5 7 2 5 2" xfId="22511" xr:uid="{00000000-0005-0000-0000-000092570000}"/>
    <cellStyle name="40% - Accent5 7 2 5 3" xfId="22512" xr:uid="{00000000-0005-0000-0000-000093570000}"/>
    <cellStyle name="40% - Accent5 7 2 6" xfId="22513" xr:uid="{00000000-0005-0000-0000-000094570000}"/>
    <cellStyle name="40% - Accent5 7 2 7" xfId="22514" xr:uid="{00000000-0005-0000-0000-000095570000}"/>
    <cellStyle name="40% - Accent5 7 2 8" xfId="22515" xr:uid="{00000000-0005-0000-0000-000096570000}"/>
    <cellStyle name="40% - Accent5 7 3" xfId="22516" xr:uid="{00000000-0005-0000-0000-000097570000}"/>
    <cellStyle name="40% - Accent5 7 3 2" xfId="22517" xr:uid="{00000000-0005-0000-0000-000098570000}"/>
    <cellStyle name="40% - Accent5 7 3 2 2" xfId="22518" xr:uid="{00000000-0005-0000-0000-000099570000}"/>
    <cellStyle name="40% - Accent5 7 3 2 2 2" xfId="22519" xr:uid="{00000000-0005-0000-0000-00009A570000}"/>
    <cellStyle name="40% - Accent5 7 3 2 2 2 2" xfId="22520" xr:uid="{00000000-0005-0000-0000-00009B570000}"/>
    <cellStyle name="40% - Accent5 7 3 2 2 2 3" xfId="22521" xr:uid="{00000000-0005-0000-0000-00009C570000}"/>
    <cellStyle name="40% - Accent5 7 3 2 2 3" xfId="22522" xr:uid="{00000000-0005-0000-0000-00009D570000}"/>
    <cellStyle name="40% - Accent5 7 3 2 2 4" xfId="22523" xr:uid="{00000000-0005-0000-0000-00009E570000}"/>
    <cellStyle name="40% - Accent5 7 3 2 3" xfId="22524" xr:uid="{00000000-0005-0000-0000-00009F570000}"/>
    <cellStyle name="40% - Accent5 7 3 2 3 2" xfId="22525" xr:uid="{00000000-0005-0000-0000-0000A0570000}"/>
    <cellStyle name="40% - Accent5 7 3 2 3 3" xfId="22526" xr:uid="{00000000-0005-0000-0000-0000A1570000}"/>
    <cellStyle name="40% - Accent5 7 3 2 4" xfId="22527" xr:uid="{00000000-0005-0000-0000-0000A2570000}"/>
    <cellStyle name="40% - Accent5 7 3 2 5" xfId="22528" xr:uid="{00000000-0005-0000-0000-0000A3570000}"/>
    <cellStyle name="40% - Accent5 7 3 2 6" xfId="22529" xr:uid="{00000000-0005-0000-0000-0000A4570000}"/>
    <cellStyle name="40% - Accent5 7 3 3" xfId="22530" xr:uid="{00000000-0005-0000-0000-0000A5570000}"/>
    <cellStyle name="40% - Accent5 7 3 3 2" xfId="22531" xr:uid="{00000000-0005-0000-0000-0000A6570000}"/>
    <cellStyle name="40% - Accent5 7 3 3 2 2" xfId="22532" xr:uid="{00000000-0005-0000-0000-0000A7570000}"/>
    <cellStyle name="40% - Accent5 7 3 3 2 3" xfId="22533" xr:uid="{00000000-0005-0000-0000-0000A8570000}"/>
    <cellStyle name="40% - Accent5 7 3 3 3" xfId="22534" xr:uid="{00000000-0005-0000-0000-0000A9570000}"/>
    <cellStyle name="40% - Accent5 7 3 3 4" xfId="22535" xr:uid="{00000000-0005-0000-0000-0000AA570000}"/>
    <cellStyle name="40% - Accent5 7 3 4" xfId="22536" xr:uid="{00000000-0005-0000-0000-0000AB570000}"/>
    <cellStyle name="40% - Accent5 7 3 4 2" xfId="22537" xr:uid="{00000000-0005-0000-0000-0000AC570000}"/>
    <cellStyle name="40% - Accent5 7 3 4 3" xfId="22538" xr:uid="{00000000-0005-0000-0000-0000AD570000}"/>
    <cellStyle name="40% - Accent5 7 3 5" xfId="22539" xr:uid="{00000000-0005-0000-0000-0000AE570000}"/>
    <cellStyle name="40% - Accent5 7 3 6" xfId="22540" xr:uid="{00000000-0005-0000-0000-0000AF570000}"/>
    <cellStyle name="40% - Accent5 7 3 7" xfId="22541" xr:uid="{00000000-0005-0000-0000-0000B0570000}"/>
    <cellStyle name="40% - Accent5 7 4" xfId="22542" xr:uid="{00000000-0005-0000-0000-0000B1570000}"/>
    <cellStyle name="40% - Accent5 7 4 2" xfId="22543" xr:uid="{00000000-0005-0000-0000-0000B2570000}"/>
    <cellStyle name="40% - Accent5 7 4 2 2" xfId="22544" xr:uid="{00000000-0005-0000-0000-0000B3570000}"/>
    <cellStyle name="40% - Accent5 7 4 2 2 2" xfId="22545" xr:uid="{00000000-0005-0000-0000-0000B4570000}"/>
    <cellStyle name="40% - Accent5 7 4 2 2 3" xfId="22546" xr:uid="{00000000-0005-0000-0000-0000B5570000}"/>
    <cellStyle name="40% - Accent5 7 4 2 3" xfId="22547" xr:uid="{00000000-0005-0000-0000-0000B6570000}"/>
    <cellStyle name="40% - Accent5 7 4 2 4" xfId="22548" xr:uid="{00000000-0005-0000-0000-0000B7570000}"/>
    <cellStyle name="40% - Accent5 7 4 3" xfId="22549" xr:uid="{00000000-0005-0000-0000-0000B8570000}"/>
    <cellStyle name="40% - Accent5 7 4 3 2" xfId="22550" xr:uid="{00000000-0005-0000-0000-0000B9570000}"/>
    <cellStyle name="40% - Accent5 7 4 3 3" xfId="22551" xr:uid="{00000000-0005-0000-0000-0000BA570000}"/>
    <cellStyle name="40% - Accent5 7 4 4" xfId="22552" xr:uid="{00000000-0005-0000-0000-0000BB570000}"/>
    <cellStyle name="40% - Accent5 7 4 5" xfId="22553" xr:uid="{00000000-0005-0000-0000-0000BC570000}"/>
    <cellStyle name="40% - Accent5 7 4 6" xfId="22554" xr:uid="{00000000-0005-0000-0000-0000BD570000}"/>
    <cellStyle name="40% - Accent5 7 5" xfId="22555" xr:uid="{00000000-0005-0000-0000-0000BE570000}"/>
    <cellStyle name="40% - Accent5 7 5 2" xfId="22556" xr:uid="{00000000-0005-0000-0000-0000BF570000}"/>
    <cellStyle name="40% - Accent5 7 5 2 2" xfId="22557" xr:uid="{00000000-0005-0000-0000-0000C0570000}"/>
    <cellStyle name="40% - Accent5 7 5 2 3" xfId="22558" xr:uid="{00000000-0005-0000-0000-0000C1570000}"/>
    <cellStyle name="40% - Accent5 7 5 3" xfId="22559" xr:uid="{00000000-0005-0000-0000-0000C2570000}"/>
    <cellStyle name="40% - Accent5 7 5 4" xfId="22560" xr:uid="{00000000-0005-0000-0000-0000C3570000}"/>
    <cellStyle name="40% - Accent5 7 6" xfId="22561" xr:uid="{00000000-0005-0000-0000-0000C4570000}"/>
    <cellStyle name="40% - Accent5 7 6 2" xfId="22562" xr:uid="{00000000-0005-0000-0000-0000C5570000}"/>
    <cellStyle name="40% - Accent5 7 6 3" xfId="22563" xr:uid="{00000000-0005-0000-0000-0000C6570000}"/>
    <cellStyle name="40% - Accent5 7 7" xfId="22564" xr:uid="{00000000-0005-0000-0000-0000C7570000}"/>
    <cellStyle name="40% - Accent5 7 8" xfId="22565" xr:uid="{00000000-0005-0000-0000-0000C8570000}"/>
    <cellStyle name="40% - Accent5 7 9" xfId="22566" xr:uid="{00000000-0005-0000-0000-0000C9570000}"/>
    <cellStyle name="40% - Accent5 8" xfId="22567" xr:uid="{00000000-0005-0000-0000-0000CA570000}"/>
    <cellStyle name="40% - Accent5 8 2" xfId="22568" xr:uid="{00000000-0005-0000-0000-0000CB570000}"/>
    <cellStyle name="40% - Accent5 8 2 2" xfId="22569" xr:uid="{00000000-0005-0000-0000-0000CC570000}"/>
    <cellStyle name="40% - Accent5 8 2 2 2" xfId="22570" xr:uid="{00000000-0005-0000-0000-0000CD570000}"/>
    <cellStyle name="40% - Accent5 8 2 2 2 2" xfId="22571" xr:uid="{00000000-0005-0000-0000-0000CE570000}"/>
    <cellStyle name="40% - Accent5 8 2 2 2 2 2" xfId="22572" xr:uid="{00000000-0005-0000-0000-0000CF570000}"/>
    <cellStyle name="40% - Accent5 8 2 2 2 2 3" xfId="22573" xr:uid="{00000000-0005-0000-0000-0000D0570000}"/>
    <cellStyle name="40% - Accent5 8 2 2 2 3" xfId="22574" xr:uid="{00000000-0005-0000-0000-0000D1570000}"/>
    <cellStyle name="40% - Accent5 8 2 2 2 4" xfId="22575" xr:uid="{00000000-0005-0000-0000-0000D2570000}"/>
    <cellStyle name="40% - Accent5 8 2 2 3" xfId="22576" xr:uid="{00000000-0005-0000-0000-0000D3570000}"/>
    <cellStyle name="40% - Accent5 8 2 2 3 2" xfId="22577" xr:uid="{00000000-0005-0000-0000-0000D4570000}"/>
    <cellStyle name="40% - Accent5 8 2 2 3 3" xfId="22578" xr:uid="{00000000-0005-0000-0000-0000D5570000}"/>
    <cellStyle name="40% - Accent5 8 2 2 4" xfId="22579" xr:uid="{00000000-0005-0000-0000-0000D6570000}"/>
    <cellStyle name="40% - Accent5 8 2 2 5" xfId="22580" xr:uid="{00000000-0005-0000-0000-0000D7570000}"/>
    <cellStyle name="40% - Accent5 8 2 2 6" xfId="22581" xr:uid="{00000000-0005-0000-0000-0000D8570000}"/>
    <cellStyle name="40% - Accent5 8 2 3" xfId="22582" xr:uid="{00000000-0005-0000-0000-0000D9570000}"/>
    <cellStyle name="40% - Accent5 8 2 3 2" xfId="22583" xr:uid="{00000000-0005-0000-0000-0000DA570000}"/>
    <cellStyle name="40% - Accent5 8 2 3 2 2" xfId="22584" xr:uid="{00000000-0005-0000-0000-0000DB570000}"/>
    <cellStyle name="40% - Accent5 8 2 3 2 3" xfId="22585" xr:uid="{00000000-0005-0000-0000-0000DC570000}"/>
    <cellStyle name="40% - Accent5 8 2 3 3" xfId="22586" xr:uid="{00000000-0005-0000-0000-0000DD570000}"/>
    <cellStyle name="40% - Accent5 8 2 3 4" xfId="22587" xr:uid="{00000000-0005-0000-0000-0000DE570000}"/>
    <cellStyle name="40% - Accent5 8 2 4" xfId="22588" xr:uid="{00000000-0005-0000-0000-0000DF570000}"/>
    <cellStyle name="40% - Accent5 8 2 4 2" xfId="22589" xr:uid="{00000000-0005-0000-0000-0000E0570000}"/>
    <cellStyle name="40% - Accent5 8 2 4 3" xfId="22590" xr:uid="{00000000-0005-0000-0000-0000E1570000}"/>
    <cellStyle name="40% - Accent5 8 2 5" xfId="22591" xr:uid="{00000000-0005-0000-0000-0000E2570000}"/>
    <cellStyle name="40% - Accent5 8 2 6" xfId="22592" xr:uid="{00000000-0005-0000-0000-0000E3570000}"/>
    <cellStyle name="40% - Accent5 8 2 7" xfId="22593" xr:uid="{00000000-0005-0000-0000-0000E4570000}"/>
    <cellStyle name="40% - Accent5 8 3" xfId="22594" xr:uid="{00000000-0005-0000-0000-0000E5570000}"/>
    <cellStyle name="40% - Accent5 8 3 2" xfId="22595" xr:uid="{00000000-0005-0000-0000-0000E6570000}"/>
    <cellStyle name="40% - Accent5 8 3 2 2" xfId="22596" xr:uid="{00000000-0005-0000-0000-0000E7570000}"/>
    <cellStyle name="40% - Accent5 8 3 2 2 2" xfId="22597" xr:uid="{00000000-0005-0000-0000-0000E8570000}"/>
    <cellStyle name="40% - Accent5 8 3 2 2 3" xfId="22598" xr:uid="{00000000-0005-0000-0000-0000E9570000}"/>
    <cellStyle name="40% - Accent5 8 3 2 3" xfId="22599" xr:uid="{00000000-0005-0000-0000-0000EA570000}"/>
    <cellStyle name="40% - Accent5 8 3 2 4" xfId="22600" xr:uid="{00000000-0005-0000-0000-0000EB570000}"/>
    <cellStyle name="40% - Accent5 8 3 3" xfId="22601" xr:uid="{00000000-0005-0000-0000-0000EC570000}"/>
    <cellStyle name="40% - Accent5 8 3 3 2" xfId="22602" xr:uid="{00000000-0005-0000-0000-0000ED570000}"/>
    <cellStyle name="40% - Accent5 8 3 3 3" xfId="22603" xr:uid="{00000000-0005-0000-0000-0000EE570000}"/>
    <cellStyle name="40% - Accent5 8 3 4" xfId="22604" xr:uid="{00000000-0005-0000-0000-0000EF570000}"/>
    <cellStyle name="40% - Accent5 8 3 5" xfId="22605" xr:uid="{00000000-0005-0000-0000-0000F0570000}"/>
    <cellStyle name="40% - Accent5 8 3 6" xfId="22606" xr:uid="{00000000-0005-0000-0000-0000F1570000}"/>
    <cellStyle name="40% - Accent5 8 4" xfId="22607" xr:uid="{00000000-0005-0000-0000-0000F2570000}"/>
    <cellStyle name="40% - Accent5 8 4 2" xfId="22608" xr:uid="{00000000-0005-0000-0000-0000F3570000}"/>
    <cellStyle name="40% - Accent5 8 4 2 2" xfId="22609" xr:uid="{00000000-0005-0000-0000-0000F4570000}"/>
    <cellStyle name="40% - Accent5 8 4 2 3" xfId="22610" xr:uid="{00000000-0005-0000-0000-0000F5570000}"/>
    <cellStyle name="40% - Accent5 8 4 3" xfId="22611" xr:uid="{00000000-0005-0000-0000-0000F6570000}"/>
    <cellStyle name="40% - Accent5 8 4 4" xfId="22612" xr:uid="{00000000-0005-0000-0000-0000F7570000}"/>
    <cellStyle name="40% - Accent5 8 5" xfId="22613" xr:uid="{00000000-0005-0000-0000-0000F8570000}"/>
    <cellStyle name="40% - Accent5 8 5 2" xfId="22614" xr:uid="{00000000-0005-0000-0000-0000F9570000}"/>
    <cellStyle name="40% - Accent5 8 5 3" xfId="22615" xr:uid="{00000000-0005-0000-0000-0000FA570000}"/>
    <cellStyle name="40% - Accent5 8 6" xfId="22616" xr:uid="{00000000-0005-0000-0000-0000FB570000}"/>
    <cellStyle name="40% - Accent5 8 7" xfId="22617" xr:uid="{00000000-0005-0000-0000-0000FC570000}"/>
    <cellStyle name="40% - Accent5 8 8" xfId="22618" xr:uid="{00000000-0005-0000-0000-0000FD570000}"/>
    <cellStyle name="40% - Accent5 9" xfId="22619" xr:uid="{00000000-0005-0000-0000-0000FE570000}"/>
    <cellStyle name="40% - Accent5 9 2" xfId="22620" xr:uid="{00000000-0005-0000-0000-0000FF570000}"/>
    <cellStyle name="40% - Accent5 9 2 2" xfId="22621" xr:uid="{00000000-0005-0000-0000-000000580000}"/>
    <cellStyle name="40% - Accent5 9 2 2 2" xfId="22622" xr:uid="{00000000-0005-0000-0000-000001580000}"/>
    <cellStyle name="40% - Accent5 9 2 2 2 2" xfId="22623" xr:uid="{00000000-0005-0000-0000-000002580000}"/>
    <cellStyle name="40% - Accent5 9 2 2 2 2 2" xfId="22624" xr:uid="{00000000-0005-0000-0000-000003580000}"/>
    <cellStyle name="40% - Accent5 9 2 2 2 2 3" xfId="22625" xr:uid="{00000000-0005-0000-0000-000004580000}"/>
    <cellStyle name="40% - Accent5 9 2 2 2 3" xfId="22626" xr:uid="{00000000-0005-0000-0000-000005580000}"/>
    <cellStyle name="40% - Accent5 9 2 2 2 4" xfId="22627" xr:uid="{00000000-0005-0000-0000-000006580000}"/>
    <cellStyle name="40% - Accent5 9 2 2 3" xfId="22628" xr:uid="{00000000-0005-0000-0000-000007580000}"/>
    <cellStyle name="40% - Accent5 9 2 2 3 2" xfId="22629" xr:uid="{00000000-0005-0000-0000-000008580000}"/>
    <cellStyle name="40% - Accent5 9 2 2 3 3" xfId="22630" xr:uid="{00000000-0005-0000-0000-000009580000}"/>
    <cellStyle name="40% - Accent5 9 2 2 4" xfId="22631" xr:uid="{00000000-0005-0000-0000-00000A580000}"/>
    <cellStyle name="40% - Accent5 9 2 2 5" xfId="22632" xr:uid="{00000000-0005-0000-0000-00000B580000}"/>
    <cellStyle name="40% - Accent5 9 2 2 6" xfId="22633" xr:uid="{00000000-0005-0000-0000-00000C580000}"/>
    <cellStyle name="40% - Accent5 9 2 3" xfId="22634" xr:uid="{00000000-0005-0000-0000-00000D580000}"/>
    <cellStyle name="40% - Accent5 9 2 3 2" xfId="22635" xr:uid="{00000000-0005-0000-0000-00000E580000}"/>
    <cellStyle name="40% - Accent5 9 2 3 2 2" xfId="22636" xr:uid="{00000000-0005-0000-0000-00000F580000}"/>
    <cellStyle name="40% - Accent5 9 2 3 2 3" xfId="22637" xr:uid="{00000000-0005-0000-0000-000010580000}"/>
    <cellStyle name="40% - Accent5 9 2 3 3" xfId="22638" xr:uid="{00000000-0005-0000-0000-000011580000}"/>
    <cellStyle name="40% - Accent5 9 2 3 4" xfId="22639" xr:uid="{00000000-0005-0000-0000-000012580000}"/>
    <cellStyle name="40% - Accent5 9 2 4" xfId="22640" xr:uid="{00000000-0005-0000-0000-000013580000}"/>
    <cellStyle name="40% - Accent5 9 2 4 2" xfId="22641" xr:uid="{00000000-0005-0000-0000-000014580000}"/>
    <cellStyle name="40% - Accent5 9 2 4 3" xfId="22642" xr:uid="{00000000-0005-0000-0000-000015580000}"/>
    <cellStyle name="40% - Accent5 9 2 5" xfId="22643" xr:uid="{00000000-0005-0000-0000-000016580000}"/>
    <cellStyle name="40% - Accent5 9 2 6" xfId="22644" xr:uid="{00000000-0005-0000-0000-000017580000}"/>
    <cellStyle name="40% - Accent5 9 2 7" xfId="22645" xr:uid="{00000000-0005-0000-0000-000018580000}"/>
    <cellStyle name="40% - Accent5 9 3" xfId="22646" xr:uid="{00000000-0005-0000-0000-000019580000}"/>
    <cellStyle name="40% - Accent5 9 3 2" xfId="22647" xr:uid="{00000000-0005-0000-0000-00001A580000}"/>
    <cellStyle name="40% - Accent5 9 3 2 2" xfId="22648" xr:uid="{00000000-0005-0000-0000-00001B580000}"/>
    <cellStyle name="40% - Accent5 9 3 2 2 2" xfId="22649" xr:uid="{00000000-0005-0000-0000-00001C580000}"/>
    <cellStyle name="40% - Accent5 9 3 2 2 3" xfId="22650" xr:uid="{00000000-0005-0000-0000-00001D580000}"/>
    <cellStyle name="40% - Accent5 9 3 2 3" xfId="22651" xr:uid="{00000000-0005-0000-0000-00001E580000}"/>
    <cellStyle name="40% - Accent5 9 3 2 4" xfId="22652" xr:uid="{00000000-0005-0000-0000-00001F580000}"/>
    <cellStyle name="40% - Accent5 9 3 3" xfId="22653" xr:uid="{00000000-0005-0000-0000-000020580000}"/>
    <cellStyle name="40% - Accent5 9 3 3 2" xfId="22654" xr:uid="{00000000-0005-0000-0000-000021580000}"/>
    <cellStyle name="40% - Accent5 9 3 3 3" xfId="22655" xr:uid="{00000000-0005-0000-0000-000022580000}"/>
    <cellStyle name="40% - Accent5 9 3 4" xfId="22656" xr:uid="{00000000-0005-0000-0000-000023580000}"/>
    <cellStyle name="40% - Accent5 9 3 5" xfId="22657" xr:uid="{00000000-0005-0000-0000-000024580000}"/>
    <cellStyle name="40% - Accent5 9 3 6" xfId="22658" xr:uid="{00000000-0005-0000-0000-000025580000}"/>
    <cellStyle name="40% - Accent5 9 4" xfId="22659" xr:uid="{00000000-0005-0000-0000-000026580000}"/>
    <cellStyle name="40% - Accent5 9 4 2" xfId="22660" xr:uid="{00000000-0005-0000-0000-000027580000}"/>
    <cellStyle name="40% - Accent5 9 4 2 2" xfId="22661" xr:uid="{00000000-0005-0000-0000-000028580000}"/>
    <cellStyle name="40% - Accent5 9 4 2 3" xfId="22662" xr:uid="{00000000-0005-0000-0000-000029580000}"/>
    <cellStyle name="40% - Accent5 9 4 3" xfId="22663" xr:uid="{00000000-0005-0000-0000-00002A580000}"/>
    <cellStyle name="40% - Accent5 9 4 4" xfId="22664" xr:uid="{00000000-0005-0000-0000-00002B580000}"/>
    <cellStyle name="40% - Accent5 9 5" xfId="22665" xr:uid="{00000000-0005-0000-0000-00002C580000}"/>
    <cellStyle name="40% - Accent5 9 5 2" xfId="22666" xr:uid="{00000000-0005-0000-0000-00002D580000}"/>
    <cellStyle name="40% - Accent5 9 5 3" xfId="22667" xr:uid="{00000000-0005-0000-0000-00002E580000}"/>
    <cellStyle name="40% - Accent5 9 6" xfId="22668" xr:uid="{00000000-0005-0000-0000-00002F580000}"/>
    <cellStyle name="40% - Accent5 9 7" xfId="22669" xr:uid="{00000000-0005-0000-0000-000030580000}"/>
    <cellStyle name="40% - Accent5 9 8" xfId="22670" xr:uid="{00000000-0005-0000-0000-000031580000}"/>
    <cellStyle name="40% - Accent6 10" xfId="22671" xr:uid="{00000000-0005-0000-0000-000032580000}"/>
    <cellStyle name="40% - Accent6 10 2" xfId="22672" xr:uid="{00000000-0005-0000-0000-000033580000}"/>
    <cellStyle name="40% - Accent6 10 2 2" xfId="22673" xr:uid="{00000000-0005-0000-0000-000034580000}"/>
    <cellStyle name="40% - Accent6 10 2 2 2" xfId="22674" xr:uid="{00000000-0005-0000-0000-000035580000}"/>
    <cellStyle name="40% - Accent6 10 2 2 2 2" xfId="22675" xr:uid="{00000000-0005-0000-0000-000036580000}"/>
    <cellStyle name="40% - Accent6 10 2 2 2 2 2" xfId="22676" xr:uid="{00000000-0005-0000-0000-000037580000}"/>
    <cellStyle name="40% - Accent6 10 2 2 2 2 3" xfId="22677" xr:uid="{00000000-0005-0000-0000-000038580000}"/>
    <cellStyle name="40% - Accent6 10 2 2 2 3" xfId="22678" xr:uid="{00000000-0005-0000-0000-000039580000}"/>
    <cellStyle name="40% - Accent6 10 2 2 2 4" xfId="22679" xr:uid="{00000000-0005-0000-0000-00003A580000}"/>
    <cellStyle name="40% - Accent6 10 2 2 3" xfId="22680" xr:uid="{00000000-0005-0000-0000-00003B580000}"/>
    <cellStyle name="40% - Accent6 10 2 2 3 2" xfId="22681" xr:uid="{00000000-0005-0000-0000-00003C580000}"/>
    <cellStyle name="40% - Accent6 10 2 2 3 3" xfId="22682" xr:uid="{00000000-0005-0000-0000-00003D580000}"/>
    <cellStyle name="40% - Accent6 10 2 2 4" xfId="22683" xr:uid="{00000000-0005-0000-0000-00003E580000}"/>
    <cellStyle name="40% - Accent6 10 2 2 5" xfId="22684" xr:uid="{00000000-0005-0000-0000-00003F580000}"/>
    <cellStyle name="40% - Accent6 10 2 2 6" xfId="22685" xr:uid="{00000000-0005-0000-0000-000040580000}"/>
    <cellStyle name="40% - Accent6 10 2 3" xfId="22686" xr:uid="{00000000-0005-0000-0000-000041580000}"/>
    <cellStyle name="40% - Accent6 10 2 3 2" xfId="22687" xr:uid="{00000000-0005-0000-0000-000042580000}"/>
    <cellStyle name="40% - Accent6 10 2 3 2 2" xfId="22688" xr:uid="{00000000-0005-0000-0000-000043580000}"/>
    <cellStyle name="40% - Accent6 10 2 3 2 3" xfId="22689" xr:uid="{00000000-0005-0000-0000-000044580000}"/>
    <cellStyle name="40% - Accent6 10 2 3 3" xfId="22690" xr:uid="{00000000-0005-0000-0000-000045580000}"/>
    <cellStyle name="40% - Accent6 10 2 3 4" xfId="22691" xr:uid="{00000000-0005-0000-0000-000046580000}"/>
    <cellStyle name="40% - Accent6 10 2 4" xfId="22692" xr:uid="{00000000-0005-0000-0000-000047580000}"/>
    <cellStyle name="40% - Accent6 10 2 4 2" xfId="22693" xr:uid="{00000000-0005-0000-0000-000048580000}"/>
    <cellStyle name="40% - Accent6 10 2 4 3" xfId="22694" xr:uid="{00000000-0005-0000-0000-000049580000}"/>
    <cellStyle name="40% - Accent6 10 2 5" xfId="22695" xr:uid="{00000000-0005-0000-0000-00004A580000}"/>
    <cellStyle name="40% - Accent6 10 2 6" xfId="22696" xr:uid="{00000000-0005-0000-0000-00004B580000}"/>
    <cellStyle name="40% - Accent6 10 2 7" xfId="22697" xr:uid="{00000000-0005-0000-0000-00004C580000}"/>
    <cellStyle name="40% - Accent6 10 3" xfId="22698" xr:uid="{00000000-0005-0000-0000-00004D580000}"/>
    <cellStyle name="40% - Accent6 10 3 2" xfId="22699" xr:uid="{00000000-0005-0000-0000-00004E580000}"/>
    <cellStyle name="40% - Accent6 10 3 2 2" xfId="22700" xr:uid="{00000000-0005-0000-0000-00004F580000}"/>
    <cellStyle name="40% - Accent6 10 3 2 2 2" xfId="22701" xr:uid="{00000000-0005-0000-0000-000050580000}"/>
    <cellStyle name="40% - Accent6 10 3 2 2 3" xfId="22702" xr:uid="{00000000-0005-0000-0000-000051580000}"/>
    <cellStyle name="40% - Accent6 10 3 2 3" xfId="22703" xr:uid="{00000000-0005-0000-0000-000052580000}"/>
    <cellStyle name="40% - Accent6 10 3 2 4" xfId="22704" xr:uid="{00000000-0005-0000-0000-000053580000}"/>
    <cellStyle name="40% - Accent6 10 3 3" xfId="22705" xr:uid="{00000000-0005-0000-0000-000054580000}"/>
    <cellStyle name="40% - Accent6 10 3 3 2" xfId="22706" xr:uid="{00000000-0005-0000-0000-000055580000}"/>
    <cellStyle name="40% - Accent6 10 3 3 3" xfId="22707" xr:uid="{00000000-0005-0000-0000-000056580000}"/>
    <cellStyle name="40% - Accent6 10 3 4" xfId="22708" xr:uid="{00000000-0005-0000-0000-000057580000}"/>
    <cellStyle name="40% - Accent6 10 3 5" xfId="22709" xr:uid="{00000000-0005-0000-0000-000058580000}"/>
    <cellStyle name="40% - Accent6 10 3 6" xfId="22710" xr:uid="{00000000-0005-0000-0000-000059580000}"/>
    <cellStyle name="40% - Accent6 10 4" xfId="22711" xr:uid="{00000000-0005-0000-0000-00005A580000}"/>
    <cellStyle name="40% - Accent6 10 4 2" xfId="22712" xr:uid="{00000000-0005-0000-0000-00005B580000}"/>
    <cellStyle name="40% - Accent6 10 4 2 2" xfId="22713" xr:uid="{00000000-0005-0000-0000-00005C580000}"/>
    <cellStyle name="40% - Accent6 10 4 2 3" xfId="22714" xr:uid="{00000000-0005-0000-0000-00005D580000}"/>
    <cellStyle name="40% - Accent6 10 4 3" xfId="22715" xr:uid="{00000000-0005-0000-0000-00005E580000}"/>
    <cellStyle name="40% - Accent6 10 4 4" xfId="22716" xr:uid="{00000000-0005-0000-0000-00005F580000}"/>
    <cellStyle name="40% - Accent6 10 5" xfId="22717" xr:uid="{00000000-0005-0000-0000-000060580000}"/>
    <cellStyle name="40% - Accent6 10 5 2" xfId="22718" xr:uid="{00000000-0005-0000-0000-000061580000}"/>
    <cellStyle name="40% - Accent6 10 5 3" xfId="22719" xr:uid="{00000000-0005-0000-0000-000062580000}"/>
    <cellStyle name="40% - Accent6 10 6" xfId="22720" xr:uid="{00000000-0005-0000-0000-000063580000}"/>
    <cellStyle name="40% - Accent6 10 7" xfId="22721" xr:uid="{00000000-0005-0000-0000-000064580000}"/>
    <cellStyle name="40% - Accent6 10 8" xfId="22722" xr:uid="{00000000-0005-0000-0000-000065580000}"/>
    <cellStyle name="40% - Accent6 11" xfId="22723" xr:uid="{00000000-0005-0000-0000-000066580000}"/>
    <cellStyle name="40% - Accent6 11 2" xfId="22724" xr:uid="{00000000-0005-0000-0000-000067580000}"/>
    <cellStyle name="40% - Accent6 11 2 2" xfId="22725" xr:uid="{00000000-0005-0000-0000-000068580000}"/>
    <cellStyle name="40% - Accent6 11 2 2 2" xfId="22726" xr:uid="{00000000-0005-0000-0000-000069580000}"/>
    <cellStyle name="40% - Accent6 11 2 2 2 2" xfId="22727" xr:uid="{00000000-0005-0000-0000-00006A580000}"/>
    <cellStyle name="40% - Accent6 11 2 2 2 3" xfId="22728" xr:uid="{00000000-0005-0000-0000-00006B580000}"/>
    <cellStyle name="40% - Accent6 11 2 2 3" xfId="22729" xr:uid="{00000000-0005-0000-0000-00006C580000}"/>
    <cellStyle name="40% - Accent6 11 2 2 4" xfId="22730" xr:uid="{00000000-0005-0000-0000-00006D580000}"/>
    <cellStyle name="40% - Accent6 11 2 3" xfId="22731" xr:uid="{00000000-0005-0000-0000-00006E580000}"/>
    <cellStyle name="40% - Accent6 11 2 3 2" xfId="22732" xr:uid="{00000000-0005-0000-0000-00006F580000}"/>
    <cellStyle name="40% - Accent6 11 2 3 3" xfId="22733" xr:uid="{00000000-0005-0000-0000-000070580000}"/>
    <cellStyle name="40% - Accent6 11 2 4" xfId="22734" xr:uid="{00000000-0005-0000-0000-000071580000}"/>
    <cellStyle name="40% - Accent6 11 2 5" xfId="22735" xr:uid="{00000000-0005-0000-0000-000072580000}"/>
    <cellStyle name="40% - Accent6 11 2 6" xfId="22736" xr:uid="{00000000-0005-0000-0000-000073580000}"/>
    <cellStyle name="40% - Accent6 11 3" xfId="22737" xr:uid="{00000000-0005-0000-0000-000074580000}"/>
    <cellStyle name="40% - Accent6 11 3 2" xfId="22738" xr:uid="{00000000-0005-0000-0000-000075580000}"/>
    <cellStyle name="40% - Accent6 11 3 2 2" xfId="22739" xr:uid="{00000000-0005-0000-0000-000076580000}"/>
    <cellStyle name="40% - Accent6 11 3 2 3" xfId="22740" xr:uid="{00000000-0005-0000-0000-000077580000}"/>
    <cellStyle name="40% - Accent6 11 3 3" xfId="22741" xr:uid="{00000000-0005-0000-0000-000078580000}"/>
    <cellStyle name="40% - Accent6 11 3 4" xfId="22742" xr:uid="{00000000-0005-0000-0000-000079580000}"/>
    <cellStyle name="40% - Accent6 11 4" xfId="22743" xr:uid="{00000000-0005-0000-0000-00007A580000}"/>
    <cellStyle name="40% - Accent6 11 4 2" xfId="22744" xr:uid="{00000000-0005-0000-0000-00007B580000}"/>
    <cellStyle name="40% - Accent6 11 4 3" xfId="22745" xr:uid="{00000000-0005-0000-0000-00007C580000}"/>
    <cellStyle name="40% - Accent6 11 5" xfId="22746" xr:uid="{00000000-0005-0000-0000-00007D580000}"/>
    <cellStyle name="40% - Accent6 11 6" xfId="22747" xr:uid="{00000000-0005-0000-0000-00007E580000}"/>
    <cellStyle name="40% - Accent6 11 7" xfId="22748" xr:uid="{00000000-0005-0000-0000-00007F580000}"/>
    <cellStyle name="40% - Accent6 12" xfId="22749" xr:uid="{00000000-0005-0000-0000-000080580000}"/>
    <cellStyle name="40% - Accent6 12 2" xfId="22750" xr:uid="{00000000-0005-0000-0000-000081580000}"/>
    <cellStyle name="40% - Accent6 12 2 2" xfId="22751" xr:uid="{00000000-0005-0000-0000-000082580000}"/>
    <cellStyle name="40% - Accent6 12 2 2 2" xfId="22752" xr:uid="{00000000-0005-0000-0000-000083580000}"/>
    <cellStyle name="40% - Accent6 12 2 2 3" xfId="22753" xr:uid="{00000000-0005-0000-0000-000084580000}"/>
    <cellStyle name="40% - Accent6 12 2 3" xfId="22754" xr:uid="{00000000-0005-0000-0000-000085580000}"/>
    <cellStyle name="40% - Accent6 12 2 4" xfId="22755" xr:uid="{00000000-0005-0000-0000-000086580000}"/>
    <cellStyle name="40% - Accent6 12 3" xfId="22756" xr:uid="{00000000-0005-0000-0000-000087580000}"/>
    <cellStyle name="40% - Accent6 12 3 2" xfId="22757" xr:uid="{00000000-0005-0000-0000-000088580000}"/>
    <cellStyle name="40% - Accent6 12 3 3" xfId="22758" xr:uid="{00000000-0005-0000-0000-000089580000}"/>
    <cellStyle name="40% - Accent6 12 4" xfId="22759" xr:uid="{00000000-0005-0000-0000-00008A580000}"/>
    <cellStyle name="40% - Accent6 12 5" xfId="22760" xr:uid="{00000000-0005-0000-0000-00008B580000}"/>
    <cellStyle name="40% - Accent6 12 6" xfId="22761" xr:uid="{00000000-0005-0000-0000-00008C580000}"/>
    <cellStyle name="40% - Accent6 13" xfId="22762" xr:uid="{00000000-0005-0000-0000-00008D580000}"/>
    <cellStyle name="40% - Accent6 13 2" xfId="22763" xr:uid="{00000000-0005-0000-0000-00008E580000}"/>
    <cellStyle name="40% - Accent6 13 2 2" xfId="22764" xr:uid="{00000000-0005-0000-0000-00008F580000}"/>
    <cellStyle name="40% - Accent6 13 2 2 2" xfId="22765" xr:uid="{00000000-0005-0000-0000-000090580000}"/>
    <cellStyle name="40% - Accent6 13 2 2 3" xfId="22766" xr:uid="{00000000-0005-0000-0000-000091580000}"/>
    <cellStyle name="40% - Accent6 13 2 3" xfId="22767" xr:uid="{00000000-0005-0000-0000-000092580000}"/>
    <cellStyle name="40% - Accent6 13 2 4" xfId="22768" xr:uid="{00000000-0005-0000-0000-000093580000}"/>
    <cellStyle name="40% - Accent6 13 3" xfId="22769" xr:uid="{00000000-0005-0000-0000-000094580000}"/>
    <cellStyle name="40% - Accent6 13 3 2" xfId="22770" xr:uid="{00000000-0005-0000-0000-000095580000}"/>
    <cellStyle name="40% - Accent6 13 3 3" xfId="22771" xr:uid="{00000000-0005-0000-0000-000096580000}"/>
    <cellStyle name="40% - Accent6 13 4" xfId="22772" xr:uid="{00000000-0005-0000-0000-000097580000}"/>
    <cellStyle name="40% - Accent6 13 5" xfId="22773" xr:uid="{00000000-0005-0000-0000-000098580000}"/>
    <cellStyle name="40% - Accent6 13 6" xfId="22774" xr:uid="{00000000-0005-0000-0000-000099580000}"/>
    <cellStyle name="40% - Accent6 14" xfId="22775" xr:uid="{00000000-0005-0000-0000-00009A580000}"/>
    <cellStyle name="40% - Accent6 14 2" xfId="22776" xr:uid="{00000000-0005-0000-0000-00009B580000}"/>
    <cellStyle name="40% - Accent6 14 2 2" xfId="22777" xr:uid="{00000000-0005-0000-0000-00009C580000}"/>
    <cellStyle name="40% - Accent6 14 2 3" xfId="22778" xr:uid="{00000000-0005-0000-0000-00009D580000}"/>
    <cellStyle name="40% - Accent6 14 3" xfId="22779" xr:uid="{00000000-0005-0000-0000-00009E580000}"/>
    <cellStyle name="40% - Accent6 14 4" xfId="22780" xr:uid="{00000000-0005-0000-0000-00009F580000}"/>
    <cellStyle name="40% - Accent6 15" xfId="22781" xr:uid="{00000000-0005-0000-0000-0000A0580000}"/>
    <cellStyle name="40% - Accent6 16" xfId="22782" xr:uid="{00000000-0005-0000-0000-0000A1580000}"/>
    <cellStyle name="40% - Accent6 17" xfId="22783" xr:uid="{00000000-0005-0000-0000-0000A2580000}"/>
    <cellStyle name="40% - Accent6 2" xfId="22784" xr:uid="{00000000-0005-0000-0000-0000A3580000}"/>
    <cellStyle name="40% - Accent6 2 2" xfId="22785" xr:uid="{00000000-0005-0000-0000-0000A4580000}"/>
    <cellStyle name="40% - Accent6 3" xfId="22786" xr:uid="{00000000-0005-0000-0000-0000A5580000}"/>
    <cellStyle name="40% - Accent6 3 10" xfId="22787" xr:uid="{00000000-0005-0000-0000-0000A6580000}"/>
    <cellStyle name="40% - Accent6 3 10 2" xfId="22788" xr:uid="{00000000-0005-0000-0000-0000A7580000}"/>
    <cellStyle name="40% - Accent6 3 10 2 2" xfId="22789" xr:uid="{00000000-0005-0000-0000-0000A8580000}"/>
    <cellStyle name="40% - Accent6 3 10 2 2 2" xfId="22790" xr:uid="{00000000-0005-0000-0000-0000A9580000}"/>
    <cellStyle name="40% - Accent6 3 10 2 2 3" xfId="22791" xr:uid="{00000000-0005-0000-0000-0000AA580000}"/>
    <cellStyle name="40% - Accent6 3 10 2 3" xfId="22792" xr:uid="{00000000-0005-0000-0000-0000AB580000}"/>
    <cellStyle name="40% - Accent6 3 10 2 4" xfId="22793" xr:uid="{00000000-0005-0000-0000-0000AC580000}"/>
    <cellStyle name="40% - Accent6 3 10 3" xfId="22794" xr:uid="{00000000-0005-0000-0000-0000AD580000}"/>
    <cellStyle name="40% - Accent6 3 10 3 2" xfId="22795" xr:uid="{00000000-0005-0000-0000-0000AE580000}"/>
    <cellStyle name="40% - Accent6 3 10 3 3" xfId="22796" xr:uid="{00000000-0005-0000-0000-0000AF580000}"/>
    <cellStyle name="40% - Accent6 3 10 4" xfId="22797" xr:uid="{00000000-0005-0000-0000-0000B0580000}"/>
    <cellStyle name="40% - Accent6 3 10 5" xfId="22798" xr:uid="{00000000-0005-0000-0000-0000B1580000}"/>
    <cellStyle name="40% - Accent6 3 10 6" xfId="22799" xr:uid="{00000000-0005-0000-0000-0000B2580000}"/>
    <cellStyle name="40% - Accent6 3 11" xfId="22800" xr:uid="{00000000-0005-0000-0000-0000B3580000}"/>
    <cellStyle name="40% - Accent6 3 11 2" xfId="22801" xr:uid="{00000000-0005-0000-0000-0000B4580000}"/>
    <cellStyle name="40% - Accent6 3 11 2 2" xfId="22802" xr:uid="{00000000-0005-0000-0000-0000B5580000}"/>
    <cellStyle name="40% - Accent6 3 11 2 3" xfId="22803" xr:uid="{00000000-0005-0000-0000-0000B6580000}"/>
    <cellStyle name="40% - Accent6 3 11 3" xfId="22804" xr:uid="{00000000-0005-0000-0000-0000B7580000}"/>
    <cellStyle name="40% - Accent6 3 11 4" xfId="22805" xr:uid="{00000000-0005-0000-0000-0000B8580000}"/>
    <cellStyle name="40% - Accent6 3 12" xfId="22806" xr:uid="{00000000-0005-0000-0000-0000B9580000}"/>
    <cellStyle name="40% - Accent6 3 12 2" xfId="22807" xr:uid="{00000000-0005-0000-0000-0000BA580000}"/>
    <cellStyle name="40% - Accent6 3 12 3" xfId="22808" xr:uid="{00000000-0005-0000-0000-0000BB580000}"/>
    <cellStyle name="40% - Accent6 3 13" xfId="22809" xr:uid="{00000000-0005-0000-0000-0000BC580000}"/>
    <cellStyle name="40% - Accent6 3 14" xfId="22810" xr:uid="{00000000-0005-0000-0000-0000BD580000}"/>
    <cellStyle name="40% - Accent6 3 15" xfId="22811" xr:uid="{00000000-0005-0000-0000-0000BE580000}"/>
    <cellStyle name="40% - Accent6 3 2" xfId="22812" xr:uid="{00000000-0005-0000-0000-0000BF580000}"/>
    <cellStyle name="40% - Accent6 3 2 10" xfId="22813" xr:uid="{00000000-0005-0000-0000-0000C0580000}"/>
    <cellStyle name="40% - Accent6 3 2 11" xfId="22814" xr:uid="{00000000-0005-0000-0000-0000C1580000}"/>
    <cellStyle name="40% - Accent6 3 2 2" xfId="22815" xr:uid="{00000000-0005-0000-0000-0000C2580000}"/>
    <cellStyle name="40% - Accent6 3 2 2 10" xfId="22816" xr:uid="{00000000-0005-0000-0000-0000C3580000}"/>
    <cellStyle name="40% - Accent6 3 2 2 2" xfId="22817" xr:uid="{00000000-0005-0000-0000-0000C4580000}"/>
    <cellStyle name="40% - Accent6 3 2 2 2 2" xfId="22818" xr:uid="{00000000-0005-0000-0000-0000C5580000}"/>
    <cellStyle name="40% - Accent6 3 2 2 2 2 2" xfId="22819" xr:uid="{00000000-0005-0000-0000-0000C6580000}"/>
    <cellStyle name="40% - Accent6 3 2 2 2 2 2 2" xfId="22820" xr:uid="{00000000-0005-0000-0000-0000C7580000}"/>
    <cellStyle name="40% - Accent6 3 2 2 2 2 2 2 2" xfId="22821" xr:uid="{00000000-0005-0000-0000-0000C8580000}"/>
    <cellStyle name="40% - Accent6 3 2 2 2 2 2 2 2 2" xfId="22822" xr:uid="{00000000-0005-0000-0000-0000C9580000}"/>
    <cellStyle name="40% - Accent6 3 2 2 2 2 2 2 2 2 2" xfId="22823" xr:uid="{00000000-0005-0000-0000-0000CA580000}"/>
    <cellStyle name="40% - Accent6 3 2 2 2 2 2 2 2 2 3" xfId="22824" xr:uid="{00000000-0005-0000-0000-0000CB580000}"/>
    <cellStyle name="40% - Accent6 3 2 2 2 2 2 2 2 3" xfId="22825" xr:uid="{00000000-0005-0000-0000-0000CC580000}"/>
    <cellStyle name="40% - Accent6 3 2 2 2 2 2 2 2 4" xfId="22826" xr:uid="{00000000-0005-0000-0000-0000CD580000}"/>
    <cellStyle name="40% - Accent6 3 2 2 2 2 2 2 3" xfId="22827" xr:uid="{00000000-0005-0000-0000-0000CE580000}"/>
    <cellStyle name="40% - Accent6 3 2 2 2 2 2 2 3 2" xfId="22828" xr:uid="{00000000-0005-0000-0000-0000CF580000}"/>
    <cellStyle name="40% - Accent6 3 2 2 2 2 2 2 3 3" xfId="22829" xr:uid="{00000000-0005-0000-0000-0000D0580000}"/>
    <cellStyle name="40% - Accent6 3 2 2 2 2 2 2 4" xfId="22830" xr:uid="{00000000-0005-0000-0000-0000D1580000}"/>
    <cellStyle name="40% - Accent6 3 2 2 2 2 2 2 5" xfId="22831" xr:uid="{00000000-0005-0000-0000-0000D2580000}"/>
    <cellStyle name="40% - Accent6 3 2 2 2 2 2 2 6" xfId="22832" xr:uid="{00000000-0005-0000-0000-0000D3580000}"/>
    <cellStyle name="40% - Accent6 3 2 2 2 2 2 3" xfId="22833" xr:uid="{00000000-0005-0000-0000-0000D4580000}"/>
    <cellStyle name="40% - Accent6 3 2 2 2 2 2 3 2" xfId="22834" xr:uid="{00000000-0005-0000-0000-0000D5580000}"/>
    <cellStyle name="40% - Accent6 3 2 2 2 2 2 3 2 2" xfId="22835" xr:uid="{00000000-0005-0000-0000-0000D6580000}"/>
    <cellStyle name="40% - Accent6 3 2 2 2 2 2 3 2 3" xfId="22836" xr:uid="{00000000-0005-0000-0000-0000D7580000}"/>
    <cellStyle name="40% - Accent6 3 2 2 2 2 2 3 3" xfId="22837" xr:uid="{00000000-0005-0000-0000-0000D8580000}"/>
    <cellStyle name="40% - Accent6 3 2 2 2 2 2 3 4" xfId="22838" xr:uid="{00000000-0005-0000-0000-0000D9580000}"/>
    <cellStyle name="40% - Accent6 3 2 2 2 2 2 4" xfId="22839" xr:uid="{00000000-0005-0000-0000-0000DA580000}"/>
    <cellStyle name="40% - Accent6 3 2 2 2 2 2 4 2" xfId="22840" xr:uid="{00000000-0005-0000-0000-0000DB580000}"/>
    <cellStyle name="40% - Accent6 3 2 2 2 2 2 4 3" xfId="22841" xr:uid="{00000000-0005-0000-0000-0000DC580000}"/>
    <cellStyle name="40% - Accent6 3 2 2 2 2 2 5" xfId="22842" xr:uid="{00000000-0005-0000-0000-0000DD580000}"/>
    <cellStyle name="40% - Accent6 3 2 2 2 2 2 6" xfId="22843" xr:uid="{00000000-0005-0000-0000-0000DE580000}"/>
    <cellStyle name="40% - Accent6 3 2 2 2 2 2 7" xfId="22844" xr:uid="{00000000-0005-0000-0000-0000DF580000}"/>
    <cellStyle name="40% - Accent6 3 2 2 2 2 3" xfId="22845" xr:uid="{00000000-0005-0000-0000-0000E0580000}"/>
    <cellStyle name="40% - Accent6 3 2 2 2 2 3 2" xfId="22846" xr:uid="{00000000-0005-0000-0000-0000E1580000}"/>
    <cellStyle name="40% - Accent6 3 2 2 2 2 3 2 2" xfId="22847" xr:uid="{00000000-0005-0000-0000-0000E2580000}"/>
    <cellStyle name="40% - Accent6 3 2 2 2 2 3 2 2 2" xfId="22848" xr:uid="{00000000-0005-0000-0000-0000E3580000}"/>
    <cellStyle name="40% - Accent6 3 2 2 2 2 3 2 2 3" xfId="22849" xr:uid="{00000000-0005-0000-0000-0000E4580000}"/>
    <cellStyle name="40% - Accent6 3 2 2 2 2 3 2 3" xfId="22850" xr:uid="{00000000-0005-0000-0000-0000E5580000}"/>
    <cellStyle name="40% - Accent6 3 2 2 2 2 3 2 4" xfId="22851" xr:uid="{00000000-0005-0000-0000-0000E6580000}"/>
    <cellStyle name="40% - Accent6 3 2 2 2 2 3 3" xfId="22852" xr:uid="{00000000-0005-0000-0000-0000E7580000}"/>
    <cellStyle name="40% - Accent6 3 2 2 2 2 3 3 2" xfId="22853" xr:uid="{00000000-0005-0000-0000-0000E8580000}"/>
    <cellStyle name="40% - Accent6 3 2 2 2 2 3 3 3" xfId="22854" xr:uid="{00000000-0005-0000-0000-0000E9580000}"/>
    <cellStyle name="40% - Accent6 3 2 2 2 2 3 4" xfId="22855" xr:uid="{00000000-0005-0000-0000-0000EA580000}"/>
    <cellStyle name="40% - Accent6 3 2 2 2 2 3 5" xfId="22856" xr:uid="{00000000-0005-0000-0000-0000EB580000}"/>
    <cellStyle name="40% - Accent6 3 2 2 2 2 3 6" xfId="22857" xr:uid="{00000000-0005-0000-0000-0000EC580000}"/>
    <cellStyle name="40% - Accent6 3 2 2 2 2 4" xfId="22858" xr:uid="{00000000-0005-0000-0000-0000ED580000}"/>
    <cellStyle name="40% - Accent6 3 2 2 2 2 4 2" xfId="22859" xr:uid="{00000000-0005-0000-0000-0000EE580000}"/>
    <cellStyle name="40% - Accent6 3 2 2 2 2 4 2 2" xfId="22860" xr:uid="{00000000-0005-0000-0000-0000EF580000}"/>
    <cellStyle name="40% - Accent6 3 2 2 2 2 4 2 3" xfId="22861" xr:uid="{00000000-0005-0000-0000-0000F0580000}"/>
    <cellStyle name="40% - Accent6 3 2 2 2 2 4 3" xfId="22862" xr:uid="{00000000-0005-0000-0000-0000F1580000}"/>
    <cellStyle name="40% - Accent6 3 2 2 2 2 4 4" xfId="22863" xr:uid="{00000000-0005-0000-0000-0000F2580000}"/>
    <cellStyle name="40% - Accent6 3 2 2 2 2 5" xfId="22864" xr:uid="{00000000-0005-0000-0000-0000F3580000}"/>
    <cellStyle name="40% - Accent6 3 2 2 2 2 5 2" xfId="22865" xr:uid="{00000000-0005-0000-0000-0000F4580000}"/>
    <cellStyle name="40% - Accent6 3 2 2 2 2 5 3" xfId="22866" xr:uid="{00000000-0005-0000-0000-0000F5580000}"/>
    <cellStyle name="40% - Accent6 3 2 2 2 2 6" xfId="22867" xr:uid="{00000000-0005-0000-0000-0000F6580000}"/>
    <cellStyle name="40% - Accent6 3 2 2 2 2 7" xfId="22868" xr:uid="{00000000-0005-0000-0000-0000F7580000}"/>
    <cellStyle name="40% - Accent6 3 2 2 2 2 8" xfId="22869" xr:uid="{00000000-0005-0000-0000-0000F8580000}"/>
    <cellStyle name="40% - Accent6 3 2 2 2 3" xfId="22870" xr:uid="{00000000-0005-0000-0000-0000F9580000}"/>
    <cellStyle name="40% - Accent6 3 2 2 2 3 2" xfId="22871" xr:uid="{00000000-0005-0000-0000-0000FA580000}"/>
    <cellStyle name="40% - Accent6 3 2 2 2 3 2 2" xfId="22872" xr:uid="{00000000-0005-0000-0000-0000FB580000}"/>
    <cellStyle name="40% - Accent6 3 2 2 2 3 2 2 2" xfId="22873" xr:uid="{00000000-0005-0000-0000-0000FC580000}"/>
    <cellStyle name="40% - Accent6 3 2 2 2 3 2 2 2 2" xfId="22874" xr:uid="{00000000-0005-0000-0000-0000FD580000}"/>
    <cellStyle name="40% - Accent6 3 2 2 2 3 2 2 2 3" xfId="22875" xr:uid="{00000000-0005-0000-0000-0000FE580000}"/>
    <cellStyle name="40% - Accent6 3 2 2 2 3 2 2 3" xfId="22876" xr:uid="{00000000-0005-0000-0000-0000FF580000}"/>
    <cellStyle name="40% - Accent6 3 2 2 2 3 2 2 4" xfId="22877" xr:uid="{00000000-0005-0000-0000-000000590000}"/>
    <cellStyle name="40% - Accent6 3 2 2 2 3 2 3" xfId="22878" xr:uid="{00000000-0005-0000-0000-000001590000}"/>
    <cellStyle name="40% - Accent6 3 2 2 2 3 2 3 2" xfId="22879" xr:uid="{00000000-0005-0000-0000-000002590000}"/>
    <cellStyle name="40% - Accent6 3 2 2 2 3 2 3 3" xfId="22880" xr:uid="{00000000-0005-0000-0000-000003590000}"/>
    <cellStyle name="40% - Accent6 3 2 2 2 3 2 4" xfId="22881" xr:uid="{00000000-0005-0000-0000-000004590000}"/>
    <cellStyle name="40% - Accent6 3 2 2 2 3 2 5" xfId="22882" xr:uid="{00000000-0005-0000-0000-000005590000}"/>
    <cellStyle name="40% - Accent6 3 2 2 2 3 2 6" xfId="22883" xr:uid="{00000000-0005-0000-0000-000006590000}"/>
    <cellStyle name="40% - Accent6 3 2 2 2 3 3" xfId="22884" xr:uid="{00000000-0005-0000-0000-000007590000}"/>
    <cellStyle name="40% - Accent6 3 2 2 2 3 3 2" xfId="22885" xr:uid="{00000000-0005-0000-0000-000008590000}"/>
    <cellStyle name="40% - Accent6 3 2 2 2 3 3 2 2" xfId="22886" xr:uid="{00000000-0005-0000-0000-000009590000}"/>
    <cellStyle name="40% - Accent6 3 2 2 2 3 3 2 3" xfId="22887" xr:uid="{00000000-0005-0000-0000-00000A590000}"/>
    <cellStyle name="40% - Accent6 3 2 2 2 3 3 3" xfId="22888" xr:uid="{00000000-0005-0000-0000-00000B590000}"/>
    <cellStyle name="40% - Accent6 3 2 2 2 3 3 4" xfId="22889" xr:uid="{00000000-0005-0000-0000-00000C590000}"/>
    <cellStyle name="40% - Accent6 3 2 2 2 3 4" xfId="22890" xr:uid="{00000000-0005-0000-0000-00000D590000}"/>
    <cellStyle name="40% - Accent6 3 2 2 2 3 4 2" xfId="22891" xr:uid="{00000000-0005-0000-0000-00000E590000}"/>
    <cellStyle name="40% - Accent6 3 2 2 2 3 4 3" xfId="22892" xr:uid="{00000000-0005-0000-0000-00000F590000}"/>
    <cellStyle name="40% - Accent6 3 2 2 2 3 5" xfId="22893" xr:uid="{00000000-0005-0000-0000-000010590000}"/>
    <cellStyle name="40% - Accent6 3 2 2 2 3 6" xfId="22894" xr:uid="{00000000-0005-0000-0000-000011590000}"/>
    <cellStyle name="40% - Accent6 3 2 2 2 3 7" xfId="22895" xr:uid="{00000000-0005-0000-0000-000012590000}"/>
    <cellStyle name="40% - Accent6 3 2 2 2 4" xfId="22896" xr:uid="{00000000-0005-0000-0000-000013590000}"/>
    <cellStyle name="40% - Accent6 3 2 2 2 4 2" xfId="22897" xr:uid="{00000000-0005-0000-0000-000014590000}"/>
    <cellStyle name="40% - Accent6 3 2 2 2 4 2 2" xfId="22898" xr:uid="{00000000-0005-0000-0000-000015590000}"/>
    <cellStyle name="40% - Accent6 3 2 2 2 4 2 2 2" xfId="22899" xr:uid="{00000000-0005-0000-0000-000016590000}"/>
    <cellStyle name="40% - Accent6 3 2 2 2 4 2 2 3" xfId="22900" xr:uid="{00000000-0005-0000-0000-000017590000}"/>
    <cellStyle name="40% - Accent6 3 2 2 2 4 2 3" xfId="22901" xr:uid="{00000000-0005-0000-0000-000018590000}"/>
    <cellStyle name="40% - Accent6 3 2 2 2 4 2 4" xfId="22902" xr:uid="{00000000-0005-0000-0000-000019590000}"/>
    <cellStyle name="40% - Accent6 3 2 2 2 4 3" xfId="22903" xr:uid="{00000000-0005-0000-0000-00001A590000}"/>
    <cellStyle name="40% - Accent6 3 2 2 2 4 3 2" xfId="22904" xr:uid="{00000000-0005-0000-0000-00001B590000}"/>
    <cellStyle name="40% - Accent6 3 2 2 2 4 3 3" xfId="22905" xr:uid="{00000000-0005-0000-0000-00001C590000}"/>
    <cellStyle name="40% - Accent6 3 2 2 2 4 4" xfId="22906" xr:uid="{00000000-0005-0000-0000-00001D590000}"/>
    <cellStyle name="40% - Accent6 3 2 2 2 4 5" xfId="22907" xr:uid="{00000000-0005-0000-0000-00001E590000}"/>
    <cellStyle name="40% - Accent6 3 2 2 2 4 6" xfId="22908" xr:uid="{00000000-0005-0000-0000-00001F590000}"/>
    <cellStyle name="40% - Accent6 3 2 2 2 5" xfId="22909" xr:uid="{00000000-0005-0000-0000-000020590000}"/>
    <cellStyle name="40% - Accent6 3 2 2 2 5 2" xfId="22910" xr:uid="{00000000-0005-0000-0000-000021590000}"/>
    <cellStyle name="40% - Accent6 3 2 2 2 5 2 2" xfId="22911" xr:uid="{00000000-0005-0000-0000-000022590000}"/>
    <cellStyle name="40% - Accent6 3 2 2 2 5 2 3" xfId="22912" xr:uid="{00000000-0005-0000-0000-000023590000}"/>
    <cellStyle name="40% - Accent6 3 2 2 2 5 3" xfId="22913" xr:uid="{00000000-0005-0000-0000-000024590000}"/>
    <cellStyle name="40% - Accent6 3 2 2 2 5 4" xfId="22914" xr:uid="{00000000-0005-0000-0000-000025590000}"/>
    <cellStyle name="40% - Accent6 3 2 2 2 6" xfId="22915" xr:uid="{00000000-0005-0000-0000-000026590000}"/>
    <cellStyle name="40% - Accent6 3 2 2 2 6 2" xfId="22916" xr:uid="{00000000-0005-0000-0000-000027590000}"/>
    <cellStyle name="40% - Accent6 3 2 2 2 6 3" xfId="22917" xr:uid="{00000000-0005-0000-0000-000028590000}"/>
    <cellStyle name="40% - Accent6 3 2 2 2 7" xfId="22918" xr:uid="{00000000-0005-0000-0000-000029590000}"/>
    <cellStyle name="40% - Accent6 3 2 2 2 8" xfId="22919" xr:uid="{00000000-0005-0000-0000-00002A590000}"/>
    <cellStyle name="40% - Accent6 3 2 2 2 9" xfId="22920" xr:uid="{00000000-0005-0000-0000-00002B590000}"/>
    <cellStyle name="40% - Accent6 3 2 2 3" xfId="22921" xr:uid="{00000000-0005-0000-0000-00002C590000}"/>
    <cellStyle name="40% - Accent6 3 2 2 3 2" xfId="22922" xr:uid="{00000000-0005-0000-0000-00002D590000}"/>
    <cellStyle name="40% - Accent6 3 2 2 3 2 2" xfId="22923" xr:uid="{00000000-0005-0000-0000-00002E590000}"/>
    <cellStyle name="40% - Accent6 3 2 2 3 2 2 2" xfId="22924" xr:uid="{00000000-0005-0000-0000-00002F590000}"/>
    <cellStyle name="40% - Accent6 3 2 2 3 2 2 2 2" xfId="22925" xr:uid="{00000000-0005-0000-0000-000030590000}"/>
    <cellStyle name="40% - Accent6 3 2 2 3 2 2 2 2 2" xfId="22926" xr:uid="{00000000-0005-0000-0000-000031590000}"/>
    <cellStyle name="40% - Accent6 3 2 2 3 2 2 2 2 3" xfId="22927" xr:uid="{00000000-0005-0000-0000-000032590000}"/>
    <cellStyle name="40% - Accent6 3 2 2 3 2 2 2 3" xfId="22928" xr:uid="{00000000-0005-0000-0000-000033590000}"/>
    <cellStyle name="40% - Accent6 3 2 2 3 2 2 2 4" xfId="22929" xr:uid="{00000000-0005-0000-0000-000034590000}"/>
    <cellStyle name="40% - Accent6 3 2 2 3 2 2 3" xfId="22930" xr:uid="{00000000-0005-0000-0000-000035590000}"/>
    <cellStyle name="40% - Accent6 3 2 2 3 2 2 3 2" xfId="22931" xr:uid="{00000000-0005-0000-0000-000036590000}"/>
    <cellStyle name="40% - Accent6 3 2 2 3 2 2 3 3" xfId="22932" xr:uid="{00000000-0005-0000-0000-000037590000}"/>
    <cellStyle name="40% - Accent6 3 2 2 3 2 2 4" xfId="22933" xr:uid="{00000000-0005-0000-0000-000038590000}"/>
    <cellStyle name="40% - Accent6 3 2 2 3 2 2 5" xfId="22934" xr:uid="{00000000-0005-0000-0000-000039590000}"/>
    <cellStyle name="40% - Accent6 3 2 2 3 2 2 6" xfId="22935" xr:uid="{00000000-0005-0000-0000-00003A590000}"/>
    <cellStyle name="40% - Accent6 3 2 2 3 2 3" xfId="22936" xr:uid="{00000000-0005-0000-0000-00003B590000}"/>
    <cellStyle name="40% - Accent6 3 2 2 3 2 3 2" xfId="22937" xr:uid="{00000000-0005-0000-0000-00003C590000}"/>
    <cellStyle name="40% - Accent6 3 2 2 3 2 3 2 2" xfId="22938" xr:uid="{00000000-0005-0000-0000-00003D590000}"/>
    <cellStyle name="40% - Accent6 3 2 2 3 2 3 2 3" xfId="22939" xr:uid="{00000000-0005-0000-0000-00003E590000}"/>
    <cellStyle name="40% - Accent6 3 2 2 3 2 3 3" xfId="22940" xr:uid="{00000000-0005-0000-0000-00003F590000}"/>
    <cellStyle name="40% - Accent6 3 2 2 3 2 3 4" xfId="22941" xr:uid="{00000000-0005-0000-0000-000040590000}"/>
    <cellStyle name="40% - Accent6 3 2 2 3 2 4" xfId="22942" xr:uid="{00000000-0005-0000-0000-000041590000}"/>
    <cellStyle name="40% - Accent6 3 2 2 3 2 4 2" xfId="22943" xr:uid="{00000000-0005-0000-0000-000042590000}"/>
    <cellStyle name="40% - Accent6 3 2 2 3 2 4 3" xfId="22944" xr:uid="{00000000-0005-0000-0000-000043590000}"/>
    <cellStyle name="40% - Accent6 3 2 2 3 2 5" xfId="22945" xr:uid="{00000000-0005-0000-0000-000044590000}"/>
    <cellStyle name="40% - Accent6 3 2 2 3 2 6" xfId="22946" xr:uid="{00000000-0005-0000-0000-000045590000}"/>
    <cellStyle name="40% - Accent6 3 2 2 3 2 7" xfId="22947" xr:uid="{00000000-0005-0000-0000-000046590000}"/>
    <cellStyle name="40% - Accent6 3 2 2 3 3" xfId="22948" xr:uid="{00000000-0005-0000-0000-000047590000}"/>
    <cellStyle name="40% - Accent6 3 2 2 3 3 2" xfId="22949" xr:uid="{00000000-0005-0000-0000-000048590000}"/>
    <cellStyle name="40% - Accent6 3 2 2 3 3 2 2" xfId="22950" xr:uid="{00000000-0005-0000-0000-000049590000}"/>
    <cellStyle name="40% - Accent6 3 2 2 3 3 2 2 2" xfId="22951" xr:uid="{00000000-0005-0000-0000-00004A590000}"/>
    <cellStyle name="40% - Accent6 3 2 2 3 3 2 2 3" xfId="22952" xr:uid="{00000000-0005-0000-0000-00004B590000}"/>
    <cellStyle name="40% - Accent6 3 2 2 3 3 2 3" xfId="22953" xr:uid="{00000000-0005-0000-0000-00004C590000}"/>
    <cellStyle name="40% - Accent6 3 2 2 3 3 2 4" xfId="22954" xr:uid="{00000000-0005-0000-0000-00004D590000}"/>
    <cellStyle name="40% - Accent6 3 2 2 3 3 3" xfId="22955" xr:uid="{00000000-0005-0000-0000-00004E590000}"/>
    <cellStyle name="40% - Accent6 3 2 2 3 3 3 2" xfId="22956" xr:uid="{00000000-0005-0000-0000-00004F590000}"/>
    <cellStyle name="40% - Accent6 3 2 2 3 3 3 3" xfId="22957" xr:uid="{00000000-0005-0000-0000-000050590000}"/>
    <cellStyle name="40% - Accent6 3 2 2 3 3 4" xfId="22958" xr:uid="{00000000-0005-0000-0000-000051590000}"/>
    <cellStyle name="40% - Accent6 3 2 2 3 3 5" xfId="22959" xr:uid="{00000000-0005-0000-0000-000052590000}"/>
    <cellStyle name="40% - Accent6 3 2 2 3 3 6" xfId="22960" xr:uid="{00000000-0005-0000-0000-000053590000}"/>
    <cellStyle name="40% - Accent6 3 2 2 3 4" xfId="22961" xr:uid="{00000000-0005-0000-0000-000054590000}"/>
    <cellStyle name="40% - Accent6 3 2 2 3 4 2" xfId="22962" xr:uid="{00000000-0005-0000-0000-000055590000}"/>
    <cellStyle name="40% - Accent6 3 2 2 3 4 2 2" xfId="22963" xr:uid="{00000000-0005-0000-0000-000056590000}"/>
    <cellStyle name="40% - Accent6 3 2 2 3 4 2 3" xfId="22964" xr:uid="{00000000-0005-0000-0000-000057590000}"/>
    <cellStyle name="40% - Accent6 3 2 2 3 4 3" xfId="22965" xr:uid="{00000000-0005-0000-0000-000058590000}"/>
    <cellStyle name="40% - Accent6 3 2 2 3 4 4" xfId="22966" xr:uid="{00000000-0005-0000-0000-000059590000}"/>
    <cellStyle name="40% - Accent6 3 2 2 3 5" xfId="22967" xr:uid="{00000000-0005-0000-0000-00005A590000}"/>
    <cellStyle name="40% - Accent6 3 2 2 3 5 2" xfId="22968" xr:uid="{00000000-0005-0000-0000-00005B590000}"/>
    <cellStyle name="40% - Accent6 3 2 2 3 5 3" xfId="22969" xr:uid="{00000000-0005-0000-0000-00005C590000}"/>
    <cellStyle name="40% - Accent6 3 2 2 3 6" xfId="22970" xr:uid="{00000000-0005-0000-0000-00005D590000}"/>
    <cellStyle name="40% - Accent6 3 2 2 3 7" xfId="22971" xr:uid="{00000000-0005-0000-0000-00005E590000}"/>
    <cellStyle name="40% - Accent6 3 2 2 3 8" xfId="22972" xr:uid="{00000000-0005-0000-0000-00005F590000}"/>
    <cellStyle name="40% - Accent6 3 2 2 4" xfId="22973" xr:uid="{00000000-0005-0000-0000-000060590000}"/>
    <cellStyle name="40% - Accent6 3 2 2 4 2" xfId="22974" xr:uid="{00000000-0005-0000-0000-000061590000}"/>
    <cellStyle name="40% - Accent6 3 2 2 4 2 2" xfId="22975" xr:uid="{00000000-0005-0000-0000-000062590000}"/>
    <cellStyle name="40% - Accent6 3 2 2 4 2 2 2" xfId="22976" xr:uid="{00000000-0005-0000-0000-000063590000}"/>
    <cellStyle name="40% - Accent6 3 2 2 4 2 2 2 2" xfId="22977" xr:uid="{00000000-0005-0000-0000-000064590000}"/>
    <cellStyle name="40% - Accent6 3 2 2 4 2 2 2 3" xfId="22978" xr:uid="{00000000-0005-0000-0000-000065590000}"/>
    <cellStyle name="40% - Accent6 3 2 2 4 2 2 3" xfId="22979" xr:uid="{00000000-0005-0000-0000-000066590000}"/>
    <cellStyle name="40% - Accent6 3 2 2 4 2 2 4" xfId="22980" xr:uid="{00000000-0005-0000-0000-000067590000}"/>
    <cellStyle name="40% - Accent6 3 2 2 4 2 3" xfId="22981" xr:uid="{00000000-0005-0000-0000-000068590000}"/>
    <cellStyle name="40% - Accent6 3 2 2 4 2 3 2" xfId="22982" xr:uid="{00000000-0005-0000-0000-000069590000}"/>
    <cellStyle name="40% - Accent6 3 2 2 4 2 3 3" xfId="22983" xr:uid="{00000000-0005-0000-0000-00006A590000}"/>
    <cellStyle name="40% - Accent6 3 2 2 4 2 4" xfId="22984" xr:uid="{00000000-0005-0000-0000-00006B590000}"/>
    <cellStyle name="40% - Accent6 3 2 2 4 2 5" xfId="22985" xr:uid="{00000000-0005-0000-0000-00006C590000}"/>
    <cellStyle name="40% - Accent6 3 2 2 4 2 6" xfId="22986" xr:uid="{00000000-0005-0000-0000-00006D590000}"/>
    <cellStyle name="40% - Accent6 3 2 2 4 3" xfId="22987" xr:uid="{00000000-0005-0000-0000-00006E590000}"/>
    <cellStyle name="40% - Accent6 3 2 2 4 3 2" xfId="22988" xr:uid="{00000000-0005-0000-0000-00006F590000}"/>
    <cellStyle name="40% - Accent6 3 2 2 4 3 2 2" xfId="22989" xr:uid="{00000000-0005-0000-0000-000070590000}"/>
    <cellStyle name="40% - Accent6 3 2 2 4 3 2 3" xfId="22990" xr:uid="{00000000-0005-0000-0000-000071590000}"/>
    <cellStyle name="40% - Accent6 3 2 2 4 3 3" xfId="22991" xr:uid="{00000000-0005-0000-0000-000072590000}"/>
    <cellStyle name="40% - Accent6 3 2 2 4 3 4" xfId="22992" xr:uid="{00000000-0005-0000-0000-000073590000}"/>
    <cellStyle name="40% - Accent6 3 2 2 4 4" xfId="22993" xr:uid="{00000000-0005-0000-0000-000074590000}"/>
    <cellStyle name="40% - Accent6 3 2 2 4 4 2" xfId="22994" xr:uid="{00000000-0005-0000-0000-000075590000}"/>
    <cellStyle name="40% - Accent6 3 2 2 4 4 3" xfId="22995" xr:uid="{00000000-0005-0000-0000-000076590000}"/>
    <cellStyle name="40% - Accent6 3 2 2 4 5" xfId="22996" xr:uid="{00000000-0005-0000-0000-000077590000}"/>
    <cellStyle name="40% - Accent6 3 2 2 4 6" xfId="22997" xr:uid="{00000000-0005-0000-0000-000078590000}"/>
    <cellStyle name="40% - Accent6 3 2 2 4 7" xfId="22998" xr:uid="{00000000-0005-0000-0000-000079590000}"/>
    <cellStyle name="40% - Accent6 3 2 2 5" xfId="22999" xr:uid="{00000000-0005-0000-0000-00007A590000}"/>
    <cellStyle name="40% - Accent6 3 2 2 5 2" xfId="23000" xr:uid="{00000000-0005-0000-0000-00007B590000}"/>
    <cellStyle name="40% - Accent6 3 2 2 5 2 2" xfId="23001" xr:uid="{00000000-0005-0000-0000-00007C590000}"/>
    <cellStyle name="40% - Accent6 3 2 2 5 2 2 2" xfId="23002" xr:uid="{00000000-0005-0000-0000-00007D590000}"/>
    <cellStyle name="40% - Accent6 3 2 2 5 2 2 3" xfId="23003" xr:uid="{00000000-0005-0000-0000-00007E590000}"/>
    <cellStyle name="40% - Accent6 3 2 2 5 2 3" xfId="23004" xr:uid="{00000000-0005-0000-0000-00007F590000}"/>
    <cellStyle name="40% - Accent6 3 2 2 5 2 4" xfId="23005" xr:uid="{00000000-0005-0000-0000-000080590000}"/>
    <cellStyle name="40% - Accent6 3 2 2 5 3" xfId="23006" xr:uid="{00000000-0005-0000-0000-000081590000}"/>
    <cellStyle name="40% - Accent6 3 2 2 5 3 2" xfId="23007" xr:uid="{00000000-0005-0000-0000-000082590000}"/>
    <cellStyle name="40% - Accent6 3 2 2 5 3 3" xfId="23008" xr:uid="{00000000-0005-0000-0000-000083590000}"/>
    <cellStyle name="40% - Accent6 3 2 2 5 4" xfId="23009" xr:uid="{00000000-0005-0000-0000-000084590000}"/>
    <cellStyle name="40% - Accent6 3 2 2 5 5" xfId="23010" xr:uid="{00000000-0005-0000-0000-000085590000}"/>
    <cellStyle name="40% - Accent6 3 2 2 5 6" xfId="23011" xr:uid="{00000000-0005-0000-0000-000086590000}"/>
    <cellStyle name="40% - Accent6 3 2 2 6" xfId="23012" xr:uid="{00000000-0005-0000-0000-000087590000}"/>
    <cellStyle name="40% - Accent6 3 2 2 6 2" xfId="23013" xr:uid="{00000000-0005-0000-0000-000088590000}"/>
    <cellStyle name="40% - Accent6 3 2 2 6 2 2" xfId="23014" xr:uid="{00000000-0005-0000-0000-000089590000}"/>
    <cellStyle name="40% - Accent6 3 2 2 6 2 3" xfId="23015" xr:uid="{00000000-0005-0000-0000-00008A590000}"/>
    <cellStyle name="40% - Accent6 3 2 2 6 3" xfId="23016" xr:uid="{00000000-0005-0000-0000-00008B590000}"/>
    <cellStyle name="40% - Accent6 3 2 2 6 4" xfId="23017" xr:uid="{00000000-0005-0000-0000-00008C590000}"/>
    <cellStyle name="40% - Accent6 3 2 2 7" xfId="23018" xr:uid="{00000000-0005-0000-0000-00008D590000}"/>
    <cellStyle name="40% - Accent6 3 2 2 7 2" xfId="23019" xr:uid="{00000000-0005-0000-0000-00008E590000}"/>
    <cellStyle name="40% - Accent6 3 2 2 7 3" xfId="23020" xr:uid="{00000000-0005-0000-0000-00008F590000}"/>
    <cellStyle name="40% - Accent6 3 2 2 8" xfId="23021" xr:uid="{00000000-0005-0000-0000-000090590000}"/>
    <cellStyle name="40% - Accent6 3 2 2 9" xfId="23022" xr:uid="{00000000-0005-0000-0000-000091590000}"/>
    <cellStyle name="40% - Accent6 3 2 3" xfId="23023" xr:uid="{00000000-0005-0000-0000-000092590000}"/>
    <cellStyle name="40% - Accent6 3 2 3 2" xfId="23024" xr:uid="{00000000-0005-0000-0000-000093590000}"/>
    <cellStyle name="40% - Accent6 3 2 3 2 2" xfId="23025" xr:uid="{00000000-0005-0000-0000-000094590000}"/>
    <cellStyle name="40% - Accent6 3 2 3 2 2 2" xfId="23026" xr:uid="{00000000-0005-0000-0000-000095590000}"/>
    <cellStyle name="40% - Accent6 3 2 3 2 2 2 2" xfId="23027" xr:uid="{00000000-0005-0000-0000-000096590000}"/>
    <cellStyle name="40% - Accent6 3 2 3 2 2 2 2 2" xfId="23028" xr:uid="{00000000-0005-0000-0000-000097590000}"/>
    <cellStyle name="40% - Accent6 3 2 3 2 2 2 2 2 2" xfId="23029" xr:uid="{00000000-0005-0000-0000-000098590000}"/>
    <cellStyle name="40% - Accent6 3 2 3 2 2 2 2 2 3" xfId="23030" xr:uid="{00000000-0005-0000-0000-000099590000}"/>
    <cellStyle name="40% - Accent6 3 2 3 2 2 2 2 3" xfId="23031" xr:uid="{00000000-0005-0000-0000-00009A590000}"/>
    <cellStyle name="40% - Accent6 3 2 3 2 2 2 2 4" xfId="23032" xr:uid="{00000000-0005-0000-0000-00009B590000}"/>
    <cellStyle name="40% - Accent6 3 2 3 2 2 2 3" xfId="23033" xr:uid="{00000000-0005-0000-0000-00009C590000}"/>
    <cellStyle name="40% - Accent6 3 2 3 2 2 2 3 2" xfId="23034" xr:uid="{00000000-0005-0000-0000-00009D590000}"/>
    <cellStyle name="40% - Accent6 3 2 3 2 2 2 3 3" xfId="23035" xr:uid="{00000000-0005-0000-0000-00009E590000}"/>
    <cellStyle name="40% - Accent6 3 2 3 2 2 2 4" xfId="23036" xr:uid="{00000000-0005-0000-0000-00009F590000}"/>
    <cellStyle name="40% - Accent6 3 2 3 2 2 2 5" xfId="23037" xr:uid="{00000000-0005-0000-0000-0000A0590000}"/>
    <cellStyle name="40% - Accent6 3 2 3 2 2 2 6" xfId="23038" xr:uid="{00000000-0005-0000-0000-0000A1590000}"/>
    <cellStyle name="40% - Accent6 3 2 3 2 2 3" xfId="23039" xr:uid="{00000000-0005-0000-0000-0000A2590000}"/>
    <cellStyle name="40% - Accent6 3 2 3 2 2 3 2" xfId="23040" xr:uid="{00000000-0005-0000-0000-0000A3590000}"/>
    <cellStyle name="40% - Accent6 3 2 3 2 2 3 2 2" xfId="23041" xr:uid="{00000000-0005-0000-0000-0000A4590000}"/>
    <cellStyle name="40% - Accent6 3 2 3 2 2 3 2 3" xfId="23042" xr:uid="{00000000-0005-0000-0000-0000A5590000}"/>
    <cellStyle name="40% - Accent6 3 2 3 2 2 3 3" xfId="23043" xr:uid="{00000000-0005-0000-0000-0000A6590000}"/>
    <cellStyle name="40% - Accent6 3 2 3 2 2 3 4" xfId="23044" xr:uid="{00000000-0005-0000-0000-0000A7590000}"/>
    <cellStyle name="40% - Accent6 3 2 3 2 2 4" xfId="23045" xr:uid="{00000000-0005-0000-0000-0000A8590000}"/>
    <cellStyle name="40% - Accent6 3 2 3 2 2 4 2" xfId="23046" xr:uid="{00000000-0005-0000-0000-0000A9590000}"/>
    <cellStyle name="40% - Accent6 3 2 3 2 2 4 3" xfId="23047" xr:uid="{00000000-0005-0000-0000-0000AA590000}"/>
    <cellStyle name="40% - Accent6 3 2 3 2 2 5" xfId="23048" xr:uid="{00000000-0005-0000-0000-0000AB590000}"/>
    <cellStyle name="40% - Accent6 3 2 3 2 2 6" xfId="23049" xr:uid="{00000000-0005-0000-0000-0000AC590000}"/>
    <cellStyle name="40% - Accent6 3 2 3 2 2 7" xfId="23050" xr:uid="{00000000-0005-0000-0000-0000AD590000}"/>
    <cellStyle name="40% - Accent6 3 2 3 2 3" xfId="23051" xr:uid="{00000000-0005-0000-0000-0000AE590000}"/>
    <cellStyle name="40% - Accent6 3 2 3 2 3 2" xfId="23052" xr:uid="{00000000-0005-0000-0000-0000AF590000}"/>
    <cellStyle name="40% - Accent6 3 2 3 2 3 2 2" xfId="23053" xr:uid="{00000000-0005-0000-0000-0000B0590000}"/>
    <cellStyle name="40% - Accent6 3 2 3 2 3 2 2 2" xfId="23054" xr:uid="{00000000-0005-0000-0000-0000B1590000}"/>
    <cellStyle name="40% - Accent6 3 2 3 2 3 2 2 3" xfId="23055" xr:uid="{00000000-0005-0000-0000-0000B2590000}"/>
    <cellStyle name="40% - Accent6 3 2 3 2 3 2 3" xfId="23056" xr:uid="{00000000-0005-0000-0000-0000B3590000}"/>
    <cellStyle name="40% - Accent6 3 2 3 2 3 2 4" xfId="23057" xr:uid="{00000000-0005-0000-0000-0000B4590000}"/>
    <cellStyle name="40% - Accent6 3 2 3 2 3 3" xfId="23058" xr:uid="{00000000-0005-0000-0000-0000B5590000}"/>
    <cellStyle name="40% - Accent6 3 2 3 2 3 3 2" xfId="23059" xr:uid="{00000000-0005-0000-0000-0000B6590000}"/>
    <cellStyle name="40% - Accent6 3 2 3 2 3 3 3" xfId="23060" xr:uid="{00000000-0005-0000-0000-0000B7590000}"/>
    <cellStyle name="40% - Accent6 3 2 3 2 3 4" xfId="23061" xr:uid="{00000000-0005-0000-0000-0000B8590000}"/>
    <cellStyle name="40% - Accent6 3 2 3 2 3 5" xfId="23062" xr:uid="{00000000-0005-0000-0000-0000B9590000}"/>
    <cellStyle name="40% - Accent6 3 2 3 2 3 6" xfId="23063" xr:uid="{00000000-0005-0000-0000-0000BA590000}"/>
    <cellStyle name="40% - Accent6 3 2 3 2 4" xfId="23064" xr:uid="{00000000-0005-0000-0000-0000BB590000}"/>
    <cellStyle name="40% - Accent6 3 2 3 2 4 2" xfId="23065" xr:uid="{00000000-0005-0000-0000-0000BC590000}"/>
    <cellStyle name="40% - Accent6 3 2 3 2 4 2 2" xfId="23066" xr:uid="{00000000-0005-0000-0000-0000BD590000}"/>
    <cellStyle name="40% - Accent6 3 2 3 2 4 2 3" xfId="23067" xr:uid="{00000000-0005-0000-0000-0000BE590000}"/>
    <cellStyle name="40% - Accent6 3 2 3 2 4 3" xfId="23068" xr:uid="{00000000-0005-0000-0000-0000BF590000}"/>
    <cellStyle name="40% - Accent6 3 2 3 2 4 4" xfId="23069" xr:uid="{00000000-0005-0000-0000-0000C0590000}"/>
    <cellStyle name="40% - Accent6 3 2 3 2 5" xfId="23070" xr:uid="{00000000-0005-0000-0000-0000C1590000}"/>
    <cellStyle name="40% - Accent6 3 2 3 2 5 2" xfId="23071" xr:uid="{00000000-0005-0000-0000-0000C2590000}"/>
    <cellStyle name="40% - Accent6 3 2 3 2 5 3" xfId="23072" xr:uid="{00000000-0005-0000-0000-0000C3590000}"/>
    <cellStyle name="40% - Accent6 3 2 3 2 6" xfId="23073" xr:uid="{00000000-0005-0000-0000-0000C4590000}"/>
    <cellStyle name="40% - Accent6 3 2 3 2 7" xfId="23074" xr:uid="{00000000-0005-0000-0000-0000C5590000}"/>
    <cellStyle name="40% - Accent6 3 2 3 2 8" xfId="23075" xr:uid="{00000000-0005-0000-0000-0000C6590000}"/>
    <cellStyle name="40% - Accent6 3 2 3 3" xfId="23076" xr:uid="{00000000-0005-0000-0000-0000C7590000}"/>
    <cellStyle name="40% - Accent6 3 2 3 3 2" xfId="23077" xr:uid="{00000000-0005-0000-0000-0000C8590000}"/>
    <cellStyle name="40% - Accent6 3 2 3 3 2 2" xfId="23078" xr:uid="{00000000-0005-0000-0000-0000C9590000}"/>
    <cellStyle name="40% - Accent6 3 2 3 3 2 2 2" xfId="23079" xr:uid="{00000000-0005-0000-0000-0000CA590000}"/>
    <cellStyle name="40% - Accent6 3 2 3 3 2 2 2 2" xfId="23080" xr:uid="{00000000-0005-0000-0000-0000CB590000}"/>
    <cellStyle name="40% - Accent6 3 2 3 3 2 2 2 3" xfId="23081" xr:uid="{00000000-0005-0000-0000-0000CC590000}"/>
    <cellStyle name="40% - Accent6 3 2 3 3 2 2 3" xfId="23082" xr:uid="{00000000-0005-0000-0000-0000CD590000}"/>
    <cellStyle name="40% - Accent6 3 2 3 3 2 2 4" xfId="23083" xr:uid="{00000000-0005-0000-0000-0000CE590000}"/>
    <cellStyle name="40% - Accent6 3 2 3 3 2 3" xfId="23084" xr:uid="{00000000-0005-0000-0000-0000CF590000}"/>
    <cellStyle name="40% - Accent6 3 2 3 3 2 3 2" xfId="23085" xr:uid="{00000000-0005-0000-0000-0000D0590000}"/>
    <cellStyle name="40% - Accent6 3 2 3 3 2 3 3" xfId="23086" xr:uid="{00000000-0005-0000-0000-0000D1590000}"/>
    <cellStyle name="40% - Accent6 3 2 3 3 2 4" xfId="23087" xr:uid="{00000000-0005-0000-0000-0000D2590000}"/>
    <cellStyle name="40% - Accent6 3 2 3 3 2 5" xfId="23088" xr:uid="{00000000-0005-0000-0000-0000D3590000}"/>
    <cellStyle name="40% - Accent6 3 2 3 3 2 6" xfId="23089" xr:uid="{00000000-0005-0000-0000-0000D4590000}"/>
    <cellStyle name="40% - Accent6 3 2 3 3 3" xfId="23090" xr:uid="{00000000-0005-0000-0000-0000D5590000}"/>
    <cellStyle name="40% - Accent6 3 2 3 3 3 2" xfId="23091" xr:uid="{00000000-0005-0000-0000-0000D6590000}"/>
    <cellStyle name="40% - Accent6 3 2 3 3 3 2 2" xfId="23092" xr:uid="{00000000-0005-0000-0000-0000D7590000}"/>
    <cellStyle name="40% - Accent6 3 2 3 3 3 2 3" xfId="23093" xr:uid="{00000000-0005-0000-0000-0000D8590000}"/>
    <cellStyle name="40% - Accent6 3 2 3 3 3 3" xfId="23094" xr:uid="{00000000-0005-0000-0000-0000D9590000}"/>
    <cellStyle name="40% - Accent6 3 2 3 3 3 4" xfId="23095" xr:uid="{00000000-0005-0000-0000-0000DA590000}"/>
    <cellStyle name="40% - Accent6 3 2 3 3 4" xfId="23096" xr:uid="{00000000-0005-0000-0000-0000DB590000}"/>
    <cellStyle name="40% - Accent6 3 2 3 3 4 2" xfId="23097" xr:uid="{00000000-0005-0000-0000-0000DC590000}"/>
    <cellStyle name="40% - Accent6 3 2 3 3 4 3" xfId="23098" xr:uid="{00000000-0005-0000-0000-0000DD590000}"/>
    <cellStyle name="40% - Accent6 3 2 3 3 5" xfId="23099" xr:uid="{00000000-0005-0000-0000-0000DE590000}"/>
    <cellStyle name="40% - Accent6 3 2 3 3 6" xfId="23100" xr:uid="{00000000-0005-0000-0000-0000DF590000}"/>
    <cellStyle name="40% - Accent6 3 2 3 3 7" xfId="23101" xr:uid="{00000000-0005-0000-0000-0000E0590000}"/>
    <cellStyle name="40% - Accent6 3 2 3 4" xfId="23102" xr:uid="{00000000-0005-0000-0000-0000E1590000}"/>
    <cellStyle name="40% - Accent6 3 2 3 4 2" xfId="23103" xr:uid="{00000000-0005-0000-0000-0000E2590000}"/>
    <cellStyle name="40% - Accent6 3 2 3 4 2 2" xfId="23104" xr:uid="{00000000-0005-0000-0000-0000E3590000}"/>
    <cellStyle name="40% - Accent6 3 2 3 4 2 2 2" xfId="23105" xr:uid="{00000000-0005-0000-0000-0000E4590000}"/>
    <cellStyle name="40% - Accent6 3 2 3 4 2 2 3" xfId="23106" xr:uid="{00000000-0005-0000-0000-0000E5590000}"/>
    <cellStyle name="40% - Accent6 3 2 3 4 2 3" xfId="23107" xr:uid="{00000000-0005-0000-0000-0000E6590000}"/>
    <cellStyle name="40% - Accent6 3 2 3 4 2 4" xfId="23108" xr:uid="{00000000-0005-0000-0000-0000E7590000}"/>
    <cellStyle name="40% - Accent6 3 2 3 4 3" xfId="23109" xr:uid="{00000000-0005-0000-0000-0000E8590000}"/>
    <cellStyle name="40% - Accent6 3 2 3 4 3 2" xfId="23110" xr:uid="{00000000-0005-0000-0000-0000E9590000}"/>
    <cellStyle name="40% - Accent6 3 2 3 4 3 3" xfId="23111" xr:uid="{00000000-0005-0000-0000-0000EA590000}"/>
    <cellStyle name="40% - Accent6 3 2 3 4 4" xfId="23112" xr:uid="{00000000-0005-0000-0000-0000EB590000}"/>
    <cellStyle name="40% - Accent6 3 2 3 4 5" xfId="23113" xr:uid="{00000000-0005-0000-0000-0000EC590000}"/>
    <cellStyle name="40% - Accent6 3 2 3 4 6" xfId="23114" xr:uid="{00000000-0005-0000-0000-0000ED590000}"/>
    <cellStyle name="40% - Accent6 3 2 3 5" xfId="23115" xr:uid="{00000000-0005-0000-0000-0000EE590000}"/>
    <cellStyle name="40% - Accent6 3 2 3 5 2" xfId="23116" xr:uid="{00000000-0005-0000-0000-0000EF590000}"/>
    <cellStyle name="40% - Accent6 3 2 3 5 2 2" xfId="23117" xr:uid="{00000000-0005-0000-0000-0000F0590000}"/>
    <cellStyle name="40% - Accent6 3 2 3 5 2 3" xfId="23118" xr:uid="{00000000-0005-0000-0000-0000F1590000}"/>
    <cellStyle name="40% - Accent6 3 2 3 5 3" xfId="23119" xr:uid="{00000000-0005-0000-0000-0000F2590000}"/>
    <cellStyle name="40% - Accent6 3 2 3 5 4" xfId="23120" xr:uid="{00000000-0005-0000-0000-0000F3590000}"/>
    <cellStyle name="40% - Accent6 3 2 3 6" xfId="23121" xr:uid="{00000000-0005-0000-0000-0000F4590000}"/>
    <cellStyle name="40% - Accent6 3 2 3 6 2" xfId="23122" xr:uid="{00000000-0005-0000-0000-0000F5590000}"/>
    <cellStyle name="40% - Accent6 3 2 3 6 3" xfId="23123" xr:uid="{00000000-0005-0000-0000-0000F6590000}"/>
    <cellStyle name="40% - Accent6 3 2 3 7" xfId="23124" xr:uid="{00000000-0005-0000-0000-0000F7590000}"/>
    <cellStyle name="40% - Accent6 3 2 3 8" xfId="23125" xr:uid="{00000000-0005-0000-0000-0000F8590000}"/>
    <cellStyle name="40% - Accent6 3 2 3 9" xfId="23126" xr:uid="{00000000-0005-0000-0000-0000F9590000}"/>
    <cellStyle name="40% - Accent6 3 2 4" xfId="23127" xr:uid="{00000000-0005-0000-0000-0000FA590000}"/>
    <cellStyle name="40% - Accent6 3 2 4 2" xfId="23128" xr:uid="{00000000-0005-0000-0000-0000FB590000}"/>
    <cellStyle name="40% - Accent6 3 2 4 2 2" xfId="23129" xr:uid="{00000000-0005-0000-0000-0000FC590000}"/>
    <cellStyle name="40% - Accent6 3 2 4 2 2 2" xfId="23130" xr:uid="{00000000-0005-0000-0000-0000FD590000}"/>
    <cellStyle name="40% - Accent6 3 2 4 2 2 2 2" xfId="23131" xr:uid="{00000000-0005-0000-0000-0000FE590000}"/>
    <cellStyle name="40% - Accent6 3 2 4 2 2 2 2 2" xfId="23132" xr:uid="{00000000-0005-0000-0000-0000FF590000}"/>
    <cellStyle name="40% - Accent6 3 2 4 2 2 2 2 3" xfId="23133" xr:uid="{00000000-0005-0000-0000-0000005A0000}"/>
    <cellStyle name="40% - Accent6 3 2 4 2 2 2 3" xfId="23134" xr:uid="{00000000-0005-0000-0000-0000015A0000}"/>
    <cellStyle name="40% - Accent6 3 2 4 2 2 2 4" xfId="23135" xr:uid="{00000000-0005-0000-0000-0000025A0000}"/>
    <cellStyle name="40% - Accent6 3 2 4 2 2 3" xfId="23136" xr:uid="{00000000-0005-0000-0000-0000035A0000}"/>
    <cellStyle name="40% - Accent6 3 2 4 2 2 3 2" xfId="23137" xr:uid="{00000000-0005-0000-0000-0000045A0000}"/>
    <cellStyle name="40% - Accent6 3 2 4 2 2 3 3" xfId="23138" xr:uid="{00000000-0005-0000-0000-0000055A0000}"/>
    <cellStyle name="40% - Accent6 3 2 4 2 2 4" xfId="23139" xr:uid="{00000000-0005-0000-0000-0000065A0000}"/>
    <cellStyle name="40% - Accent6 3 2 4 2 2 5" xfId="23140" xr:uid="{00000000-0005-0000-0000-0000075A0000}"/>
    <cellStyle name="40% - Accent6 3 2 4 2 2 6" xfId="23141" xr:uid="{00000000-0005-0000-0000-0000085A0000}"/>
    <cellStyle name="40% - Accent6 3 2 4 2 3" xfId="23142" xr:uid="{00000000-0005-0000-0000-0000095A0000}"/>
    <cellStyle name="40% - Accent6 3 2 4 2 3 2" xfId="23143" xr:uid="{00000000-0005-0000-0000-00000A5A0000}"/>
    <cellStyle name="40% - Accent6 3 2 4 2 3 2 2" xfId="23144" xr:uid="{00000000-0005-0000-0000-00000B5A0000}"/>
    <cellStyle name="40% - Accent6 3 2 4 2 3 2 3" xfId="23145" xr:uid="{00000000-0005-0000-0000-00000C5A0000}"/>
    <cellStyle name="40% - Accent6 3 2 4 2 3 3" xfId="23146" xr:uid="{00000000-0005-0000-0000-00000D5A0000}"/>
    <cellStyle name="40% - Accent6 3 2 4 2 3 4" xfId="23147" xr:uid="{00000000-0005-0000-0000-00000E5A0000}"/>
    <cellStyle name="40% - Accent6 3 2 4 2 4" xfId="23148" xr:uid="{00000000-0005-0000-0000-00000F5A0000}"/>
    <cellStyle name="40% - Accent6 3 2 4 2 4 2" xfId="23149" xr:uid="{00000000-0005-0000-0000-0000105A0000}"/>
    <cellStyle name="40% - Accent6 3 2 4 2 4 3" xfId="23150" xr:uid="{00000000-0005-0000-0000-0000115A0000}"/>
    <cellStyle name="40% - Accent6 3 2 4 2 5" xfId="23151" xr:uid="{00000000-0005-0000-0000-0000125A0000}"/>
    <cellStyle name="40% - Accent6 3 2 4 2 6" xfId="23152" xr:uid="{00000000-0005-0000-0000-0000135A0000}"/>
    <cellStyle name="40% - Accent6 3 2 4 2 7" xfId="23153" xr:uid="{00000000-0005-0000-0000-0000145A0000}"/>
    <cellStyle name="40% - Accent6 3 2 4 3" xfId="23154" xr:uid="{00000000-0005-0000-0000-0000155A0000}"/>
    <cellStyle name="40% - Accent6 3 2 4 3 2" xfId="23155" xr:uid="{00000000-0005-0000-0000-0000165A0000}"/>
    <cellStyle name="40% - Accent6 3 2 4 3 2 2" xfId="23156" xr:uid="{00000000-0005-0000-0000-0000175A0000}"/>
    <cellStyle name="40% - Accent6 3 2 4 3 2 2 2" xfId="23157" xr:uid="{00000000-0005-0000-0000-0000185A0000}"/>
    <cellStyle name="40% - Accent6 3 2 4 3 2 2 3" xfId="23158" xr:uid="{00000000-0005-0000-0000-0000195A0000}"/>
    <cellStyle name="40% - Accent6 3 2 4 3 2 3" xfId="23159" xr:uid="{00000000-0005-0000-0000-00001A5A0000}"/>
    <cellStyle name="40% - Accent6 3 2 4 3 2 4" xfId="23160" xr:uid="{00000000-0005-0000-0000-00001B5A0000}"/>
    <cellStyle name="40% - Accent6 3 2 4 3 3" xfId="23161" xr:uid="{00000000-0005-0000-0000-00001C5A0000}"/>
    <cellStyle name="40% - Accent6 3 2 4 3 3 2" xfId="23162" xr:uid="{00000000-0005-0000-0000-00001D5A0000}"/>
    <cellStyle name="40% - Accent6 3 2 4 3 3 3" xfId="23163" xr:uid="{00000000-0005-0000-0000-00001E5A0000}"/>
    <cellStyle name="40% - Accent6 3 2 4 3 4" xfId="23164" xr:uid="{00000000-0005-0000-0000-00001F5A0000}"/>
    <cellStyle name="40% - Accent6 3 2 4 3 5" xfId="23165" xr:uid="{00000000-0005-0000-0000-0000205A0000}"/>
    <cellStyle name="40% - Accent6 3 2 4 3 6" xfId="23166" xr:uid="{00000000-0005-0000-0000-0000215A0000}"/>
    <cellStyle name="40% - Accent6 3 2 4 4" xfId="23167" xr:uid="{00000000-0005-0000-0000-0000225A0000}"/>
    <cellStyle name="40% - Accent6 3 2 4 4 2" xfId="23168" xr:uid="{00000000-0005-0000-0000-0000235A0000}"/>
    <cellStyle name="40% - Accent6 3 2 4 4 2 2" xfId="23169" xr:uid="{00000000-0005-0000-0000-0000245A0000}"/>
    <cellStyle name="40% - Accent6 3 2 4 4 2 3" xfId="23170" xr:uid="{00000000-0005-0000-0000-0000255A0000}"/>
    <cellStyle name="40% - Accent6 3 2 4 4 3" xfId="23171" xr:uid="{00000000-0005-0000-0000-0000265A0000}"/>
    <cellStyle name="40% - Accent6 3 2 4 4 4" xfId="23172" xr:uid="{00000000-0005-0000-0000-0000275A0000}"/>
    <cellStyle name="40% - Accent6 3 2 4 5" xfId="23173" xr:uid="{00000000-0005-0000-0000-0000285A0000}"/>
    <cellStyle name="40% - Accent6 3 2 4 5 2" xfId="23174" xr:uid="{00000000-0005-0000-0000-0000295A0000}"/>
    <cellStyle name="40% - Accent6 3 2 4 5 3" xfId="23175" xr:uid="{00000000-0005-0000-0000-00002A5A0000}"/>
    <cellStyle name="40% - Accent6 3 2 4 6" xfId="23176" xr:uid="{00000000-0005-0000-0000-00002B5A0000}"/>
    <cellStyle name="40% - Accent6 3 2 4 7" xfId="23177" xr:uid="{00000000-0005-0000-0000-00002C5A0000}"/>
    <cellStyle name="40% - Accent6 3 2 4 8" xfId="23178" xr:uid="{00000000-0005-0000-0000-00002D5A0000}"/>
    <cellStyle name="40% - Accent6 3 2 5" xfId="23179" xr:uid="{00000000-0005-0000-0000-00002E5A0000}"/>
    <cellStyle name="40% - Accent6 3 2 5 2" xfId="23180" xr:uid="{00000000-0005-0000-0000-00002F5A0000}"/>
    <cellStyle name="40% - Accent6 3 2 5 2 2" xfId="23181" xr:uid="{00000000-0005-0000-0000-0000305A0000}"/>
    <cellStyle name="40% - Accent6 3 2 5 2 2 2" xfId="23182" xr:uid="{00000000-0005-0000-0000-0000315A0000}"/>
    <cellStyle name="40% - Accent6 3 2 5 2 2 2 2" xfId="23183" xr:uid="{00000000-0005-0000-0000-0000325A0000}"/>
    <cellStyle name="40% - Accent6 3 2 5 2 2 2 3" xfId="23184" xr:uid="{00000000-0005-0000-0000-0000335A0000}"/>
    <cellStyle name="40% - Accent6 3 2 5 2 2 3" xfId="23185" xr:uid="{00000000-0005-0000-0000-0000345A0000}"/>
    <cellStyle name="40% - Accent6 3 2 5 2 2 4" xfId="23186" xr:uid="{00000000-0005-0000-0000-0000355A0000}"/>
    <cellStyle name="40% - Accent6 3 2 5 2 3" xfId="23187" xr:uid="{00000000-0005-0000-0000-0000365A0000}"/>
    <cellStyle name="40% - Accent6 3 2 5 2 3 2" xfId="23188" xr:uid="{00000000-0005-0000-0000-0000375A0000}"/>
    <cellStyle name="40% - Accent6 3 2 5 2 3 3" xfId="23189" xr:uid="{00000000-0005-0000-0000-0000385A0000}"/>
    <cellStyle name="40% - Accent6 3 2 5 2 4" xfId="23190" xr:uid="{00000000-0005-0000-0000-0000395A0000}"/>
    <cellStyle name="40% - Accent6 3 2 5 2 5" xfId="23191" xr:uid="{00000000-0005-0000-0000-00003A5A0000}"/>
    <cellStyle name="40% - Accent6 3 2 5 2 6" xfId="23192" xr:uid="{00000000-0005-0000-0000-00003B5A0000}"/>
    <cellStyle name="40% - Accent6 3 2 5 3" xfId="23193" xr:uid="{00000000-0005-0000-0000-00003C5A0000}"/>
    <cellStyle name="40% - Accent6 3 2 5 3 2" xfId="23194" xr:uid="{00000000-0005-0000-0000-00003D5A0000}"/>
    <cellStyle name="40% - Accent6 3 2 5 3 2 2" xfId="23195" xr:uid="{00000000-0005-0000-0000-00003E5A0000}"/>
    <cellStyle name="40% - Accent6 3 2 5 3 2 3" xfId="23196" xr:uid="{00000000-0005-0000-0000-00003F5A0000}"/>
    <cellStyle name="40% - Accent6 3 2 5 3 3" xfId="23197" xr:uid="{00000000-0005-0000-0000-0000405A0000}"/>
    <cellStyle name="40% - Accent6 3 2 5 3 4" xfId="23198" xr:uid="{00000000-0005-0000-0000-0000415A0000}"/>
    <cellStyle name="40% - Accent6 3 2 5 4" xfId="23199" xr:uid="{00000000-0005-0000-0000-0000425A0000}"/>
    <cellStyle name="40% - Accent6 3 2 5 4 2" xfId="23200" xr:uid="{00000000-0005-0000-0000-0000435A0000}"/>
    <cellStyle name="40% - Accent6 3 2 5 4 3" xfId="23201" xr:uid="{00000000-0005-0000-0000-0000445A0000}"/>
    <cellStyle name="40% - Accent6 3 2 5 5" xfId="23202" xr:uid="{00000000-0005-0000-0000-0000455A0000}"/>
    <cellStyle name="40% - Accent6 3 2 5 6" xfId="23203" xr:uid="{00000000-0005-0000-0000-0000465A0000}"/>
    <cellStyle name="40% - Accent6 3 2 5 7" xfId="23204" xr:uid="{00000000-0005-0000-0000-0000475A0000}"/>
    <cellStyle name="40% - Accent6 3 2 6" xfId="23205" xr:uid="{00000000-0005-0000-0000-0000485A0000}"/>
    <cellStyle name="40% - Accent6 3 2 6 2" xfId="23206" xr:uid="{00000000-0005-0000-0000-0000495A0000}"/>
    <cellStyle name="40% - Accent6 3 2 6 2 2" xfId="23207" xr:uid="{00000000-0005-0000-0000-00004A5A0000}"/>
    <cellStyle name="40% - Accent6 3 2 6 2 2 2" xfId="23208" xr:uid="{00000000-0005-0000-0000-00004B5A0000}"/>
    <cellStyle name="40% - Accent6 3 2 6 2 2 3" xfId="23209" xr:uid="{00000000-0005-0000-0000-00004C5A0000}"/>
    <cellStyle name="40% - Accent6 3 2 6 2 3" xfId="23210" xr:uid="{00000000-0005-0000-0000-00004D5A0000}"/>
    <cellStyle name="40% - Accent6 3 2 6 2 4" xfId="23211" xr:uid="{00000000-0005-0000-0000-00004E5A0000}"/>
    <cellStyle name="40% - Accent6 3 2 6 3" xfId="23212" xr:uid="{00000000-0005-0000-0000-00004F5A0000}"/>
    <cellStyle name="40% - Accent6 3 2 6 3 2" xfId="23213" xr:uid="{00000000-0005-0000-0000-0000505A0000}"/>
    <cellStyle name="40% - Accent6 3 2 6 3 3" xfId="23214" xr:uid="{00000000-0005-0000-0000-0000515A0000}"/>
    <cellStyle name="40% - Accent6 3 2 6 4" xfId="23215" xr:uid="{00000000-0005-0000-0000-0000525A0000}"/>
    <cellStyle name="40% - Accent6 3 2 6 5" xfId="23216" xr:uid="{00000000-0005-0000-0000-0000535A0000}"/>
    <cellStyle name="40% - Accent6 3 2 6 6" xfId="23217" xr:uid="{00000000-0005-0000-0000-0000545A0000}"/>
    <cellStyle name="40% - Accent6 3 2 7" xfId="23218" xr:uid="{00000000-0005-0000-0000-0000555A0000}"/>
    <cellStyle name="40% - Accent6 3 2 7 2" xfId="23219" xr:uid="{00000000-0005-0000-0000-0000565A0000}"/>
    <cellStyle name="40% - Accent6 3 2 7 2 2" xfId="23220" xr:uid="{00000000-0005-0000-0000-0000575A0000}"/>
    <cellStyle name="40% - Accent6 3 2 7 2 3" xfId="23221" xr:uid="{00000000-0005-0000-0000-0000585A0000}"/>
    <cellStyle name="40% - Accent6 3 2 7 3" xfId="23222" xr:uid="{00000000-0005-0000-0000-0000595A0000}"/>
    <cellStyle name="40% - Accent6 3 2 7 4" xfId="23223" xr:uid="{00000000-0005-0000-0000-00005A5A0000}"/>
    <cellStyle name="40% - Accent6 3 2 8" xfId="23224" xr:uid="{00000000-0005-0000-0000-00005B5A0000}"/>
    <cellStyle name="40% - Accent6 3 2 8 2" xfId="23225" xr:uid="{00000000-0005-0000-0000-00005C5A0000}"/>
    <cellStyle name="40% - Accent6 3 2 8 3" xfId="23226" xr:uid="{00000000-0005-0000-0000-00005D5A0000}"/>
    <cellStyle name="40% - Accent6 3 2 9" xfId="23227" xr:uid="{00000000-0005-0000-0000-00005E5A0000}"/>
    <cellStyle name="40% - Accent6 3 3" xfId="23228" xr:uid="{00000000-0005-0000-0000-00005F5A0000}"/>
    <cellStyle name="40% - Accent6 3 3 10" xfId="23229" xr:uid="{00000000-0005-0000-0000-0000605A0000}"/>
    <cellStyle name="40% - Accent6 3 3 2" xfId="23230" xr:uid="{00000000-0005-0000-0000-0000615A0000}"/>
    <cellStyle name="40% - Accent6 3 3 2 2" xfId="23231" xr:uid="{00000000-0005-0000-0000-0000625A0000}"/>
    <cellStyle name="40% - Accent6 3 3 2 2 2" xfId="23232" xr:uid="{00000000-0005-0000-0000-0000635A0000}"/>
    <cellStyle name="40% - Accent6 3 3 2 2 2 2" xfId="23233" xr:uid="{00000000-0005-0000-0000-0000645A0000}"/>
    <cellStyle name="40% - Accent6 3 3 2 2 2 2 2" xfId="23234" xr:uid="{00000000-0005-0000-0000-0000655A0000}"/>
    <cellStyle name="40% - Accent6 3 3 2 2 2 2 2 2" xfId="23235" xr:uid="{00000000-0005-0000-0000-0000665A0000}"/>
    <cellStyle name="40% - Accent6 3 3 2 2 2 2 2 2 2" xfId="23236" xr:uid="{00000000-0005-0000-0000-0000675A0000}"/>
    <cellStyle name="40% - Accent6 3 3 2 2 2 2 2 2 3" xfId="23237" xr:uid="{00000000-0005-0000-0000-0000685A0000}"/>
    <cellStyle name="40% - Accent6 3 3 2 2 2 2 2 3" xfId="23238" xr:uid="{00000000-0005-0000-0000-0000695A0000}"/>
    <cellStyle name="40% - Accent6 3 3 2 2 2 2 2 4" xfId="23239" xr:uid="{00000000-0005-0000-0000-00006A5A0000}"/>
    <cellStyle name="40% - Accent6 3 3 2 2 2 2 3" xfId="23240" xr:uid="{00000000-0005-0000-0000-00006B5A0000}"/>
    <cellStyle name="40% - Accent6 3 3 2 2 2 2 3 2" xfId="23241" xr:uid="{00000000-0005-0000-0000-00006C5A0000}"/>
    <cellStyle name="40% - Accent6 3 3 2 2 2 2 3 3" xfId="23242" xr:uid="{00000000-0005-0000-0000-00006D5A0000}"/>
    <cellStyle name="40% - Accent6 3 3 2 2 2 2 4" xfId="23243" xr:uid="{00000000-0005-0000-0000-00006E5A0000}"/>
    <cellStyle name="40% - Accent6 3 3 2 2 2 2 5" xfId="23244" xr:uid="{00000000-0005-0000-0000-00006F5A0000}"/>
    <cellStyle name="40% - Accent6 3 3 2 2 2 2 6" xfId="23245" xr:uid="{00000000-0005-0000-0000-0000705A0000}"/>
    <cellStyle name="40% - Accent6 3 3 2 2 2 3" xfId="23246" xr:uid="{00000000-0005-0000-0000-0000715A0000}"/>
    <cellStyle name="40% - Accent6 3 3 2 2 2 3 2" xfId="23247" xr:uid="{00000000-0005-0000-0000-0000725A0000}"/>
    <cellStyle name="40% - Accent6 3 3 2 2 2 3 2 2" xfId="23248" xr:uid="{00000000-0005-0000-0000-0000735A0000}"/>
    <cellStyle name="40% - Accent6 3 3 2 2 2 3 2 3" xfId="23249" xr:uid="{00000000-0005-0000-0000-0000745A0000}"/>
    <cellStyle name="40% - Accent6 3 3 2 2 2 3 3" xfId="23250" xr:uid="{00000000-0005-0000-0000-0000755A0000}"/>
    <cellStyle name="40% - Accent6 3 3 2 2 2 3 4" xfId="23251" xr:uid="{00000000-0005-0000-0000-0000765A0000}"/>
    <cellStyle name="40% - Accent6 3 3 2 2 2 4" xfId="23252" xr:uid="{00000000-0005-0000-0000-0000775A0000}"/>
    <cellStyle name="40% - Accent6 3 3 2 2 2 4 2" xfId="23253" xr:uid="{00000000-0005-0000-0000-0000785A0000}"/>
    <cellStyle name="40% - Accent6 3 3 2 2 2 4 3" xfId="23254" xr:uid="{00000000-0005-0000-0000-0000795A0000}"/>
    <cellStyle name="40% - Accent6 3 3 2 2 2 5" xfId="23255" xr:uid="{00000000-0005-0000-0000-00007A5A0000}"/>
    <cellStyle name="40% - Accent6 3 3 2 2 2 6" xfId="23256" xr:uid="{00000000-0005-0000-0000-00007B5A0000}"/>
    <cellStyle name="40% - Accent6 3 3 2 2 2 7" xfId="23257" xr:uid="{00000000-0005-0000-0000-00007C5A0000}"/>
    <cellStyle name="40% - Accent6 3 3 2 2 3" xfId="23258" xr:uid="{00000000-0005-0000-0000-00007D5A0000}"/>
    <cellStyle name="40% - Accent6 3 3 2 2 3 2" xfId="23259" xr:uid="{00000000-0005-0000-0000-00007E5A0000}"/>
    <cellStyle name="40% - Accent6 3 3 2 2 3 2 2" xfId="23260" xr:uid="{00000000-0005-0000-0000-00007F5A0000}"/>
    <cellStyle name="40% - Accent6 3 3 2 2 3 2 2 2" xfId="23261" xr:uid="{00000000-0005-0000-0000-0000805A0000}"/>
    <cellStyle name="40% - Accent6 3 3 2 2 3 2 2 3" xfId="23262" xr:uid="{00000000-0005-0000-0000-0000815A0000}"/>
    <cellStyle name="40% - Accent6 3 3 2 2 3 2 3" xfId="23263" xr:uid="{00000000-0005-0000-0000-0000825A0000}"/>
    <cellStyle name="40% - Accent6 3 3 2 2 3 2 4" xfId="23264" xr:uid="{00000000-0005-0000-0000-0000835A0000}"/>
    <cellStyle name="40% - Accent6 3 3 2 2 3 3" xfId="23265" xr:uid="{00000000-0005-0000-0000-0000845A0000}"/>
    <cellStyle name="40% - Accent6 3 3 2 2 3 3 2" xfId="23266" xr:uid="{00000000-0005-0000-0000-0000855A0000}"/>
    <cellStyle name="40% - Accent6 3 3 2 2 3 3 3" xfId="23267" xr:uid="{00000000-0005-0000-0000-0000865A0000}"/>
    <cellStyle name="40% - Accent6 3 3 2 2 3 4" xfId="23268" xr:uid="{00000000-0005-0000-0000-0000875A0000}"/>
    <cellStyle name="40% - Accent6 3 3 2 2 3 5" xfId="23269" xr:uid="{00000000-0005-0000-0000-0000885A0000}"/>
    <cellStyle name="40% - Accent6 3 3 2 2 3 6" xfId="23270" xr:uid="{00000000-0005-0000-0000-0000895A0000}"/>
    <cellStyle name="40% - Accent6 3 3 2 2 4" xfId="23271" xr:uid="{00000000-0005-0000-0000-00008A5A0000}"/>
    <cellStyle name="40% - Accent6 3 3 2 2 4 2" xfId="23272" xr:uid="{00000000-0005-0000-0000-00008B5A0000}"/>
    <cellStyle name="40% - Accent6 3 3 2 2 4 2 2" xfId="23273" xr:uid="{00000000-0005-0000-0000-00008C5A0000}"/>
    <cellStyle name="40% - Accent6 3 3 2 2 4 2 3" xfId="23274" xr:uid="{00000000-0005-0000-0000-00008D5A0000}"/>
    <cellStyle name="40% - Accent6 3 3 2 2 4 3" xfId="23275" xr:uid="{00000000-0005-0000-0000-00008E5A0000}"/>
    <cellStyle name="40% - Accent6 3 3 2 2 4 4" xfId="23276" xr:uid="{00000000-0005-0000-0000-00008F5A0000}"/>
    <cellStyle name="40% - Accent6 3 3 2 2 5" xfId="23277" xr:uid="{00000000-0005-0000-0000-0000905A0000}"/>
    <cellStyle name="40% - Accent6 3 3 2 2 5 2" xfId="23278" xr:uid="{00000000-0005-0000-0000-0000915A0000}"/>
    <cellStyle name="40% - Accent6 3 3 2 2 5 3" xfId="23279" xr:uid="{00000000-0005-0000-0000-0000925A0000}"/>
    <cellStyle name="40% - Accent6 3 3 2 2 6" xfId="23280" xr:uid="{00000000-0005-0000-0000-0000935A0000}"/>
    <cellStyle name="40% - Accent6 3 3 2 2 7" xfId="23281" xr:uid="{00000000-0005-0000-0000-0000945A0000}"/>
    <cellStyle name="40% - Accent6 3 3 2 2 8" xfId="23282" xr:uid="{00000000-0005-0000-0000-0000955A0000}"/>
    <cellStyle name="40% - Accent6 3 3 2 3" xfId="23283" xr:uid="{00000000-0005-0000-0000-0000965A0000}"/>
    <cellStyle name="40% - Accent6 3 3 2 3 2" xfId="23284" xr:uid="{00000000-0005-0000-0000-0000975A0000}"/>
    <cellStyle name="40% - Accent6 3 3 2 3 2 2" xfId="23285" xr:uid="{00000000-0005-0000-0000-0000985A0000}"/>
    <cellStyle name="40% - Accent6 3 3 2 3 2 2 2" xfId="23286" xr:uid="{00000000-0005-0000-0000-0000995A0000}"/>
    <cellStyle name="40% - Accent6 3 3 2 3 2 2 2 2" xfId="23287" xr:uid="{00000000-0005-0000-0000-00009A5A0000}"/>
    <cellStyle name="40% - Accent6 3 3 2 3 2 2 2 3" xfId="23288" xr:uid="{00000000-0005-0000-0000-00009B5A0000}"/>
    <cellStyle name="40% - Accent6 3 3 2 3 2 2 3" xfId="23289" xr:uid="{00000000-0005-0000-0000-00009C5A0000}"/>
    <cellStyle name="40% - Accent6 3 3 2 3 2 2 4" xfId="23290" xr:uid="{00000000-0005-0000-0000-00009D5A0000}"/>
    <cellStyle name="40% - Accent6 3 3 2 3 2 3" xfId="23291" xr:uid="{00000000-0005-0000-0000-00009E5A0000}"/>
    <cellStyle name="40% - Accent6 3 3 2 3 2 3 2" xfId="23292" xr:uid="{00000000-0005-0000-0000-00009F5A0000}"/>
    <cellStyle name="40% - Accent6 3 3 2 3 2 3 3" xfId="23293" xr:uid="{00000000-0005-0000-0000-0000A05A0000}"/>
    <cellStyle name="40% - Accent6 3 3 2 3 2 4" xfId="23294" xr:uid="{00000000-0005-0000-0000-0000A15A0000}"/>
    <cellStyle name="40% - Accent6 3 3 2 3 2 5" xfId="23295" xr:uid="{00000000-0005-0000-0000-0000A25A0000}"/>
    <cellStyle name="40% - Accent6 3 3 2 3 2 6" xfId="23296" xr:uid="{00000000-0005-0000-0000-0000A35A0000}"/>
    <cellStyle name="40% - Accent6 3 3 2 3 3" xfId="23297" xr:uid="{00000000-0005-0000-0000-0000A45A0000}"/>
    <cellStyle name="40% - Accent6 3 3 2 3 3 2" xfId="23298" xr:uid="{00000000-0005-0000-0000-0000A55A0000}"/>
    <cellStyle name="40% - Accent6 3 3 2 3 3 2 2" xfId="23299" xr:uid="{00000000-0005-0000-0000-0000A65A0000}"/>
    <cellStyle name="40% - Accent6 3 3 2 3 3 2 3" xfId="23300" xr:uid="{00000000-0005-0000-0000-0000A75A0000}"/>
    <cellStyle name="40% - Accent6 3 3 2 3 3 3" xfId="23301" xr:uid="{00000000-0005-0000-0000-0000A85A0000}"/>
    <cellStyle name="40% - Accent6 3 3 2 3 3 4" xfId="23302" xr:uid="{00000000-0005-0000-0000-0000A95A0000}"/>
    <cellStyle name="40% - Accent6 3 3 2 3 4" xfId="23303" xr:uid="{00000000-0005-0000-0000-0000AA5A0000}"/>
    <cellStyle name="40% - Accent6 3 3 2 3 4 2" xfId="23304" xr:uid="{00000000-0005-0000-0000-0000AB5A0000}"/>
    <cellStyle name="40% - Accent6 3 3 2 3 4 3" xfId="23305" xr:uid="{00000000-0005-0000-0000-0000AC5A0000}"/>
    <cellStyle name="40% - Accent6 3 3 2 3 5" xfId="23306" xr:uid="{00000000-0005-0000-0000-0000AD5A0000}"/>
    <cellStyle name="40% - Accent6 3 3 2 3 6" xfId="23307" xr:uid="{00000000-0005-0000-0000-0000AE5A0000}"/>
    <cellStyle name="40% - Accent6 3 3 2 3 7" xfId="23308" xr:uid="{00000000-0005-0000-0000-0000AF5A0000}"/>
    <cellStyle name="40% - Accent6 3 3 2 4" xfId="23309" xr:uid="{00000000-0005-0000-0000-0000B05A0000}"/>
    <cellStyle name="40% - Accent6 3 3 2 4 2" xfId="23310" xr:uid="{00000000-0005-0000-0000-0000B15A0000}"/>
    <cellStyle name="40% - Accent6 3 3 2 4 2 2" xfId="23311" xr:uid="{00000000-0005-0000-0000-0000B25A0000}"/>
    <cellStyle name="40% - Accent6 3 3 2 4 2 2 2" xfId="23312" xr:uid="{00000000-0005-0000-0000-0000B35A0000}"/>
    <cellStyle name="40% - Accent6 3 3 2 4 2 2 3" xfId="23313" xr:uid="{00000000-0005-0000-0000-0000B45A0000}"/>
    <cellStyle name="40% - Accent6 3 3 2 4 2 3" xfId="23314" xr:uid="{00000000-0005-0000-0000-0000B55A0000}"/>
    <cellStyle name="40% - Accent6 3 3 2 4 2 4" xfId="23315" xr:uid="{00000000-0005-0000-0000-0000B65A0000}"/>
    <cellStyle name="40% - Accent6 3 3 2 4 3" xfId="23316" xr:uid="{00000000-0005-0000-0000-0000B75A0000}"/>
    <cellStyle name="40% - Accent6 3 3 2 4 3 2" xfId="23317" xr:uid="{00000000-0005-0000-0000-0000B85A0000}"/>
    <cellStyle name="40% - Accent6 3 3 2 4 3 3" xfId="23318" xr:uid="{00000000-0005-0000-0000-0000B95A0000}"/>
    <cellStyle name="40% - Accent6 3 3 2 4 4" xfId="23319" xr:uid="{00000000-0005-0000-0000-0000BA5A0000}"/>
    <cellStyle name="40% - Accent6 3 3 2 4 5" xfId="23320" xr:uid="{00000000-0005-0000-0000-0000BB5A0000}"/>
    <cellStyle name="40% - Accent6 3 3 2 4 6" xfId="23321" xr:uid="{00000000-0005-0000-0000-0000BC5A0000}"/>
    <cellStyle name="40% - Accent6 3 3 2 5" xfId="23322" xr:uid="{00000000-0005-0000-0000-0000BD5A0000}"/>
    <cellStyle name="40% - Accent6 3 3 2 5 2" xfId="23323" xr:uid="{00000000-0005-0000-0000-0000BE5A0000}"/>
    <cellStyle name="40% - Accent6 3 3 2 5 2 2" xfId="23324" xr:uid="{00000000-0005-0000-0000-0000BF5A0000}"/>
    <cellStyle name="40% - Accent6 3 3 2 5 2 3" xfId="23325" xr:uid="{00000000-0005-0000-0000-0000C05A0000}"/>
    <cellStyle name="40% - Accent6 3 3 2 5 3" xfId="23326" xr:uid="{00000000-0005-0000-0000-0000C15A0000}"/>
    <cellStyle name="40% - Accent6 3 3 2 5 4" xfId="23327" xr:uid="{00000000-0005-0000-0000-0000C25A0000}"/>
    <cellStyle name="40% - Accent6 3 3 2 6" xfId="23328" xr:uid="{00000000-0005-0000-0000-0000C35A0000}"/>
    <cellStyle name="40% - Accent6 3 3 2 6 2" xfId="23329" xr:uid="{00000000-0005-0000-0000-0000C45A0000}"/>
    <cellStyle name="40% - Accent6 3 3 2 6 3" xfId="23330" xr:uid="{00000000-0005-0000-0000-0000C55A0000}"/>
    <cellStyle name="40% - Accent6 3 3 2 7" xfId="23331" xr:uid="{00000000-0005-0000-0000-0000C65A0000}"/>
    <cellStyle name="40% - Accent6 3 3 2 8" xfId="23332" xr:uid="{00000000-0005-0000-0000-0000C75A0000}"/>
    <cellStyle name="40% - Accent6 3 3 2 9" xfId="23333" xr:uid="{00000000-0005-0000-0000-0000C85A0000}"/>
    <cellStyle name="40% - Accent6 3 3 3" xfId="23334" xr:uid="{00000000-0005-0000-0000-0000C95A0000}"/>
    <cellStyle name="40% - Accent6 3 3 3 2" xfId="23335" xr:uid="{00000000-0005-0000-0000-0000CA5A0000}"/>
    <cellStyle name="40% - Accent6 3 3 3 2 2" xfId="23336" xr:uid="{00000000-0005-0000-0000-0000CB5A0000}"/>
    <cellStyle name="40% - Accent6 3 3 3 2 2 2" xfId="23337" xr:uid="{00000000-0005-0000-0000-0000CC5A0000}"/>
    <cellStyle name="40% - Accent6 3 3 3 2 2 2 2" xfId="23338" xr:uid="{00000000-0005-0000-0000-0000CD5A0000}"/>
    <cellStyle name="40% - Accent6 3 3 3 2 2 2 2 2" xfId="23339" xr:uid="{00000000-0005-0000-0000-0000CE5A0000}"/>
    <cellStyle name="40% - Accent6 3 3 3 2 2 2 2 3" xfId="23340" xr:uid="{00000000-0005-0000-0000-0000CF5A0000}"/>
    <cellStyle name="40% - Accent6 3 3 3 2 2 2 3" xfId="23341" xr:uid="{00000000-0005-0000-0000-0000D05A0000}"/>
    <cellStyle name="40% - Accent6 3 3 3 2 2 2 4" xfId="23342" xr:uid="{00000000-0005-0000-0000-0000D15A0000}"/>
    <cellStyle name="40% - Accent6 3 3 3 2 2 3" xfId="23343" xr:uid="{00000000-0005-0000-0000-0000D25A0000}"/>
    <cellStyle name="40% - Accent6 3 3 3 2 2 3 2" xfId="23344" xr:uid="{00000000-0005-0000-0000-0000D35A0000}"/>
    <cellStyle name="40% - Accent6 3 3 3 2 2 3 3" xfId="23345" xr:uid="{00000000-0005-0000-0000-0000D45A0000}"/>
    <cellStyle name="40% - Accent6 3 3 3 2 2 4" xfId="23346" xr:uid="{00000000-0005-0000-0000-0000D55A0000}"/>
    <cellStyle name="40% - Accent6 3 3 3 2 2 5" xfId="23347" xr:uid="{00000000-0005-0000-0000-0000D65A0000}"/>
    <cellStyle name="40% - Accent6 3 3 3 2 2 6" xfId="23348" xr:uid="{00000000-0005-0000-0000-0000D75A0000}"/>
    <cellStyle name="40% - Accent6 3 3 3 2 3" xfId="23349" xr:uid="{00000000-0005-0000-0000-0000D85A0000}"/>
    <cellStyle name="40% - Accent6 3 3 3 2 3 2" xfId="23350" xr:uid="{00000000-0005-0000-0000-0000D95A0000}"/>
    <cellStyle name="40% - Accent6 3 3 3 2 3 2 2" xfId="23351" xr:uid="{00000000-0005-0000-0000-0000DA5A0000}"/>
    <cellStyle name="40% - Accent6 3 3 3 2 3 2 3" xfId="23352" xr:uid="{00000000-0005-0000-0000-0000DB5A0000}"/>
    <cellStyle name="40% - Accent6 3 3 3 2 3 3" xfId="23353" xr:uid="{00000000-0005-0000-0000-0000DC5A0000}"/>
    <cellStyle name="40% - Accent6 3 3 3 2 3 4" xfId="23354" xr:uid="{00000000-0005-0000-0000-0000DD5A0000}"/>
    <cellStyle name="40% - Accent6 3 3 3 2 4" xfId="23355" xr:uid="{00000000-0005-0000-0000-0000DE5A0000}"/>
    <cellStyle name="40% - Accent6 3 3 3 2 4 2" xfId="23356" xr:uid="{00000000-0005-0000-0000-0000DF5A0000}"/>
    <cellStyle name="40% - Accent6 3 3 3 2 4 3" xfId="23357" xr:uid="{00000000-0005-0000-0000-0000E05A0000}"/>
    <cellStyle name="40% - Accent6 3 3 3 2 5" xfId="23358" xr:uid="{00000000-0005-0000-0000-0000E15A0000}"/>
    <cellStyle name="40% - Accent6 3 3 3 2 6" xfId="23359" xr:uid="{00000000-0005-0000-0000-0000E25A0000}"/>
    <cellStyle name="40% - Accent6 3 3 3 2 7" xfId="23360" xr:uid="{00000000-0005-0000-0000-0000E35A0000}"/>
    <cellStyle name="40% - Accent6 3 3 3 3" xfId="23361" xr:uid="{00000000-0005-0000-0000-0000E45A0000}"/>
    <cellStyle name="40% - Accent6 3 3 3 3 2" xfId="23362" xr:uid="{00000000-0005-0000-0000-0000E55A0000}"/>
    <cellStyle name="40% - Accent6 3 3 3 3 2 2" xfId="23363" xr:uid="{00000000-0005-0000-0000-0000E65A0000}"/>
    <cellStyle name="40% - Accent6 3 3 3 3 2 2 2" xfId="23364" xr:uid="{00000000-0005-0000-0000-0000E75A0000}"/>
    <cellStyle name="40% - Accent6 3 3 3 3 2 2 3" xfId="23365" xr:uid="{00000000-0005-0000-0000-0000E85A0000}"/>
    <cellStyle name="40% - Accent6 3 3 3 3 2 3" xfId="23366" xr:uid="{00000000-0005-0000-0000-0000E95A0000}"/>
    <cellStyle name="40% - Accent6 3 3 3 3 2 4" xfId="23367" xr:uid="{00000000-0005-0000-0000-0000EA5A0000}"/>
    <cellStyle name="40% - Accent6 3 3 3 3 3" xfId="23368" xr:uid="{00000000-0005-0000-0000-0000EB5A0000}"/>
    <cellStyle name="40% - Accent6 3 3 3 3 3 2" xfId="23369" xr:uid="{00000000-0005-0000-0000-0000EC5A0000}"/>
    <cellStyle name="40% - Accent6 3 3 3 3 3 3" xfId="23370" xr:uid="{00000000-0005-0000-0000-0000ED5A0000}"/>
    <cellStyle name="40% - Accent6 3 3 3 3 4" xfId="23371" xr:uid="{00000000-0005-0000-0000-0000EE5A0000}"/>
    <cellStyle name="40% - Accent6 3 3 3 3 5" xfId="23372" xr:uid="{00000000-0005-0000-0000-0000EF5A0000}"/>
    <cellStyle name="40% - Accent6 3 3 3 3 6" xfId="23373" xr:uid="{00000000-0005-0000-0000-0000F05A0000}"/>
    <cellStyle name="40% - Accent6 3 3 3 4" xfId="23374" xr:uid="{00000000-0005-0000-0000-0000F15A0000}"/>
    <cellStyle name="40% - Accent6 3 3 3 4 2" xfId="23375" xr:uid="{00000000-0005-0000-0000-0000F25A0000}"/>
    <cellStyle name="40% - Accent6 3 3 3 4 2 2" xfId="23376" xr:uid="{00000000-0005-0000-0000-0000F35A0000}"/>
    <cellStyle name="40% - Accent6 3 3 3 4 2 3" xfId="23377" xr:uid="{00000000-0005-0000-0000-0000F45A0000}"/>
    <cellStyle name="40% - Accent6 3 3 3 4 3" xfId="23378" xr:uid="{00000000-0005-0000-0000-0000F55A0000}"/>
    <cellStyle name="40% - Accent6 3 3 3 4 4" xfId="23379" xr:uid="{00000000-0005-0000-0000-0000F65A0000}"/>
    <cellStyle name="40% - Accent6 3 3 3 5" xfId="23380" xr:uid="{00000000-0005-0000-0000-0000F75A0000}"/>
    <cellStyle name="40% - Accent6 3 3 3 5 2" xfId="23381" xr:uid="{00000000-0005-0000-0000-0000F85A0000}"/>
    <cellStyle name="40% - Accent6 3 3 3 5 3" xfId="23382" xr:uid="{00000000-0005-0000-0000-0000F95A0000}"/>
    <cellStyle name="40% - Accent6 3 3 3 6" xfId="23383" xr:uid="{00000000-0005-0000-0000-0000FA5A0000}"/>
    <cellStyle name="40% - Accent6 3 3 3 7" xfId="23384" xr:uid="{00000000-0005-0000-0000-0000FB5A0000}"/>
    <cellStyle name="40% - Accent6 3 3 3 8" xfId="23385" xr:uid="{00000000-0005-0000-0000-0000FC5A0000}"/>
    <cellStyle name="40% - Accent6 3 3 4" xfId="23386" xr:uid="{00000000-0005-0000-0000-0000FD5A0000}"/>
    <cellStyle name="40% - Accent6 3 3 4 2" xfId="23387" xr:uid="{00000000-0005-0000-0000-0000FE5A0000}"/>
    <cellStyle name="40% - Accent6 3 3 4 2 2" xfId="23388" xr:uid="{00000000-0005-0000-0000-0000FF5A0000}"/>
    <cellStyle name="40% - Accent6 3 3 4 2 2 2" xfId="23389" xr:uid="{00000000-0005-0000-0000-0000005B0000}"/>
    <cellStyle name="40% - Accent6 3 3 4 2 2 2 2" xfId="23390" xr:uid="{00000000-0005-0000-0000-0000015B0000}"/>
    <cellStyle name="40% - Accent6 3 3 4 2 2 2 3" xfId="23391" xr:uid="{00000000-0005-0000-0000-0000025B0000}"/>
    <cellStyle name="40% - Accent6 3 3 4 2 2 3" xfId="23392" xr:uid="{00000000-0005-0000-0000-0000035B0000}"/>
    <cellStyle name="40% - Accent6 3 3 4 2 2 4" xfId="23393" xr:uid="{00000000-0005-0000-0000-0000045B0000}"/>
    <cellStyle name="40% - Accent6 3 3 4 2 3" xfId="23394" xr:uid="{00000000-0005-0000-0000-0000055B0000}"/>
    <cellStyle name="40% - Accent6 3 3 4 2 3 2" xfId="23395" xr:uid="{00000000-0005-0000-0000-0000065B0000}"/>
    <cellStyle name="40% - Accent6 3 3 4 2 3 3" xfId="23396" xr:uid="{00000000-0005-0000-0000-0000075B0000}"/>
    <cellStyle name="40% - Accent6 3 3 4 2 4" xfId="23397" xr:uid="{00000000-0005-0000-0000-0000085B0000}"/>
    <cellStyle name="40% - Accent6 3 3 4 2 5" xfId="23398" xr:uid="{00000000-0005-0000-0000-0000095B0000}"/>
    <cellStyle name="40% - Accent6 3 3 4 2 6" xfId="23399" xr:uid="{00000000-0005-0000-0000-00000A5B0000}"/>
    <cellStyle name="40% - Accent6 3 3 4 3" xfId="23400" xr:uid="{00000000-0005-0000-0000-00000B5B0000}"/>
    <cellStyle name="40% - Accent6 3 3 4 3 2" xfId="23401" xr:uid="{00000000-0005-0000-0000-00000C5B0000}"/>
    <cellStyle name="40% - Accent6 3 3 4 3 2 2" xfId="23402" xr:uid="{00000000-0005-0000-0000-00000D5B0000}"/>
    <cellStyle name="40% - Accent6 3 3 4 3 2 3" xfId="23403" xr:uid="{00000000-0005-0000-0000-00000E5B0000}"/>
    <cellStyle name="40% - Accent6 3 3 4 3 3" xfId="23404" xr:uid="{00000000-0005-0000-0000-00000F5B0000}"/>
    <cellStyle name="40% - Accent6 3 3 4 3 4" xfId="23405" xr:uid="{00000000-0005-0000-0000-0000105B0000}"/>
    <cellStyle name="40% - Accent6 3 3 4 4" xfId="23406" xr:uid="{00000000-0005-0000-0000-0000115B0000}"/>
    <cellStyle name="40% - Accent6 3 3 4 4 2" xfId="23407" xr:uid="{00000000-0005-0000-0000-0000125B0000}"/>
    <cellStyle name="40% - Accent6 3 3 4 4 3" xfId="23408" xr:uid="{00000000-0005-0000-0000-0000135B0000}"/>
    <cellStyle name="40% - Accent6 3 3 4 5" xfId="23409" xr:uid="{00000000-0005-0000-0000-0000145B0000}"/>
    <cellStyle name="40% - Accent6 3 3 4 6" xfId="23410" xr:uid="{00000000-0005-0000-0000-0000155B0000}"/>
    <cellStyle name="40% - Accent6 3 3 4 7" xfId="23411" xr:uid="{00000000-0005-0000-0000-0000165B0000}"/>
    <cellStyle name="40% - Accent6 3 3 5" xfId="23412" xr:uid="{00000000-0005-0000-0000-0000175B0000}"/>
    <cellStyle name="40% - Accent6 3 3 5 2" xfId="23413" xr:uid="{00000000-0005-0000-0000-0000185B0000}"/>
    <cellStyle name="40% - Accent6 3 3 5 2 2" xfId="23414" xr:uid="{00000000-0005-0000-0000-0000195B0000}"/>
    <cellStyle name="40% - Accent6 3 3 5 2 2 2" xfId="23415" xr:uid="{00000000-0005-0000-0000-00001A5B0000}"/>
    <cellStyle name="40% - Accent6 3 3 5 2 2 3" xfId="23416" xr:uid="{00000000-0005-0000-0000-00001B5B0000}"/>
    <cellStyle name="40% - Accent6 3 3 5 2 3" xfId="23417" xr:uid="{00000000-0005-0000-0000-00001C5B0000}"/>
    <cellStyle name="40% - Accent6 3 3 5 2 4" xfId="23418" xr:uid="{00000000-0005-0000-0000-00001D5B0000}"/>
    <cellStyle name="40% - Accent6 3 3 5 3" xfId="23419" xr:uid="{00000000-0005-0000-0000-00001E5B0000}"/>
    <cellStyle name="40% - Accent6 3 3 5 3 2" xfId="23420" xr:uid="{00000000-0005-0000-0000-00001F5B0000}"/>
    <cellStyle name="40% - Accent6 3 3 5 3 3" xfId="23421" xr:uid="{00000000-0005-0000-0000-0000205B0000}"/>
    <cellStyle name="40% - Accent6 3 3 5 4" xfId="23422" xr:uid="{00000000-0005-0000-0000-0000215B0000}"/>
    <cellStyle name="40% - Accent6 3 3 5 5" xfId="23423" xr:uid="{00000000-0005-0000-0000-0000225B0000}"/>
    <cellStyle name="40% - Accent6 3 3 5 6" xfId="23424" xr:uid="{00000000-0005-0000-0000-0000235B0000}"/>
    <cellStyle name="40% - Accent6 3 3 6" xfId="23425" xr:uid="{00000000-0005-0000-0000-0000245B0000}"/>
    <cellStyle name="40% - Accent6 3 3 6 2" xfId="23426" xr:uid="{00000000-0005-0000-0000-0000255B0000}"/>
    <cellStyle name="40% - Accent6 3 3 6 2 2" xfId="23427" xr:uid="{00000000-0005-0000-0000-0000265B0000}"/>
    <cellStyle name="40% - Accent6 3 3 6 2 3" xfId="23428" xr:uid="{00000000-0005-0000-0000-0000275B0000}"/>
    <cellStyle name="40% - Accent6 3 3 6 3" xfId="23429" xr:uid="{00000000-0005-0000-0000-0000285B0000}"/>
    <cellStyle name="40% - Accent6 3 3 6 4" xfId="23430" xr:uid="{00000000-0005-0000-0000-0000295B0000}"/>
    <cellStyle name="40% - Accent6 3 3 7" xfId="23431" xr:uid="{00000000-0005-0000-0000-00002A5B0000}"/>
    <cellStyle name="40% - Accent6 3 3 7 2" xfId="23432" xr:uid="{00000000-0005-0000-0000-00002B5B0000}"/>
    <cellStyle name="40% - Accent6 3 3 7 3" xfId="23433" xr:uid="{00000000-0005-0000-0000-00002C5B0000}"/>
    <cellStyle name="40% - Accent6 3 3 8" xfId="23434" xr:uid="{00000000-0005-0000-0000-00002D5B0000}"/>
    <cellStyle name="40% - Accent6 3 3 9" xfId="23435" xr:uid="{00000000-0005-0000-0000-00002E5B0000}"/>
    <cellStyle name="40% - Accent6 3 4" xfId="23436" xr:uid="{00000000-0005-0000-0000-00002F5B0000}"/>
    <cellStyle name="40% - Accent6 3 4 2" xfId="23437" xr:uid="{00000000-0005-0000-0000-0000305B0000}"/>
    <cellStyle name="40% - Accent6 3 4 2 2" xfId="23438" xr:uid="{00000000-0005-0000-0000-0000315B0000}"/>
    <cellStyle name="40% - Accent6 3 4 2 2 2" xfId="23439" xr:uid="{00000000-0005-0000-0000-0000325B0000}"/>
    <cellStyle name="40% - Accent6 3 4 2 2 2 2" xfId="23440" xr:uid="{00000000-0005-0000-0000-0000335B0000}"/>
    <cellStyle name="40% - Accent6 3 4 2 2 2 2 2" xfId="23441" xr:uid="{00000000-0005-0000-0000-0000345B0000}"/>
    <cellStyle name="40% - Accent6 3 4 2 2 2 2 2 2" xfId="23442" xr:uid="{00000000-0005-0000-0000-0000355B0000}"/>
    <cellStyle name="40% - Accent6 3 4 2 2 2 2 2 3" xfId="23443" xr:uid="{00000000-0005-0000-0000-0000365B0000}"/>
    <cellStyle name="40% - Accent6 3 4 2 2 2 2 3" xfId="23444" xr:uid="{00000000-0005-0000-0000-0000375B0000}"/>
    <cellStyle name="40% - Accent6 3 4 2 2 2 2 4" xfId="23445" xr:uid="{00000000-0005-0000-0000-0000385B0000}"/>
    <cellStyle name="40% - Accent6 3 4 2 2 2 3" xfId="23446" xr:uid="{00000000-0005-0000-0000-0000395B0000}"/>
    <cellStyle name="40% - Accent6 3 4 2 2 2 3 2" xfId="23447" xr:uid="{00000000-0005-0000-0000-00003A5B0000}"/>
    <cellStyle name="40% - Accent6 3 4 2 2 2 3 3" xfId="23448" xr:uid="{00000000-0005-0000-0000-00003B5B0000}"/>
    <cellStyle name="40% - Accent6 3 4 2 2 2 4" xfId="23449" xr:uid="{00000000-0005-0000-0000-00003C5B0000}"/>
    <cellStyle name="40% - Accent6 3 4 2 2 2 5" xfId="23450" xr:uid="{00000000-0005-0000-0000-00003D5B0000}"/>
    <cellStyle name="40% - Accent6 3 4 2 2 2 6" xfId="23451" xr:uid="{00000000-0005-0000-0000-00003E5B0000}"/>
    <cellStyle name="40% - Accent6 3 4 2 2 3" xfId="23452" xr:uid="{00000000-0005-0000-0000-00003F5B0000}"/>
    <cellStyle name="40% - Accent6 3 4 2 2 3 2" xfId="23453" xr:uid="{00000000-0005-0000-0000-0000405B0000}"/>
    <cellStyle name="40% - Accent6 3 4 2 2 3 2 2" xfId="23454" xr:uid="{00000000-0005-0000-0000-0000415B0000}"/>
    <cellStyle name="40% - Accent6 3 4 2 2 3 2 3" xfId="23455" xr:uid="{00000000-0005-0000-0000-0000425B0000}"/>
    <cellStyle name="40% - Accent6 3 4 2 2 3 3" xfId="23456" xr:uid="{00000000-0005-0000-0000-0000435B0000}"/>
    <cellStyle name="40% - Accent6 3 4 2 2 3 4" xfId="23457" xr:uid="{00000000-0005-0000-0000-0000445B0000}"/>
    <cellStyle name="40% - Accent6 3 4 2 2 4" xfId="23458" xr:uid="{00000000-0005-0000-0000-0000455B0000}"/>
    <cellStyle name="40% - Accent6 3 4 2 2 4 2" xfId="23459" xr:uid="{00000000-0005-0000-0000-0000465B0000}"/>
    <cellStyle name="40% - Accent6 3 4 2 2 4 3" xfId="23460" xr:uid="{00000000-0005-0000-0000-0000475B0000}"/>
    <cellStyle name="40% - Accent6 3 4 2 2 5" xfId="23461" xr:uid="{00000000-0005-0000-0000-0000485B0000}"/>
    <cellStyle name="40% - Accent6 3 4 2 2 6" xfId="23462" xr:uid="{00000000-0005-0000-0000-0000495B0000}"/>
    <cellStyle name="40% - Accent6 3 4 2 2 7" xfId="23463" xr:uid="{00000000-0005-0000-0000-00004A5B0000}"/>
    <cellStyle name="40% - Accent6 3 4 2 3" xfId="23464" xr:uid="{00000000-0005-0000-0000-00004B5B0000}"/>
    <cellStyle name="40% - Accent6 3 4 2 3 2" xfId="23465" xr:uid="{00000000-0005-0000-0000-00004C5B0000}"/>
    <cellStyle name="40% - Accent6 3 4 2 3 2 2" xfId="23466" xr:uid="{00000000-0005-0000-0000-00004D5B0000}"/>
    <cellStyle name="40% - Accent6 3 4 2 3 2 2 2" xfId="23467" xr:uid="{00000000-0005-0000-0000-00004E5B0000}"/>
    <cellStyle name="40% - Accent6 3 4 2 3 2 2 3" xfId="23468" xr:uid="{00000000-0005-0000-0000-00004F5B0000}"/>
    <cellStyle name="40% - Accent6 3 4 2 3 2 3" xfId="23469" xr:uid="{00000000-0005-0000-0000-0000505B0000}"/>
    <cellStyle name="40% - Accent6 3 4 2 3 2 4" xfId="23470" xr:uid="{00000000-0005-0000-0000-0000515B0000}"/>
    <cellStyle name="40% - Accent6 3 4 2 3 3" xfId="23471" xr:uid="{00000000-0005-0000-0000-0000525B0000}"/>
    <cellStyle name="40% - Accent6 3 4 2 3 3 2" xfId="23472" xr:uid="{00000000-0005-0000-0000-0000535B0000}"/>
    <cellStyle name="40% - Accent6 3 4 2 3 3 3" xfId="23473" xr:uid="{00000000-0005-0000-0000-0000545B0000}"/>
    <cellStyle name="40% - Accent6 3 4 2 3 4" xfId="23474" xr:uid="{00000000-0005-0000-0000-0000555B0000}"/>
    <cellStyle name="40% - Accent6 3 4 2 3 5" xfId="23475" xr:uid="{00000000-0005-0000-0000-0000565B0000}"/>
    <cellStyle name="40% - Accent6 3 4 2 3 6" xfId="23476" xr:uid="{00000000-0005-0000-0000-0000575B0000}"/>
    <cellStyle name="40% - Accent6 3 4 2 4" xfId="23477" xr:uid="{00000000-0005-0000-0000-0000585B0000}"/>
    <cellStyle name="40% - Accent6 3 4 2 4 2" xfId="23478" xr:uid="{00000000-0005-0000-0000-0000595B0000}"/>
    <cellStyle name="40% - Accent6 3 4 2 4 2 2" xfId="23479" xr:uid="{00000000-0005-0000-0000-00005A5B0000}"/>
    <cellStyle name="40% - Accent6 3 4 2 4 2 3" xfId="23480" xr:uid="{00000000-0005-0000-0000-00005B5B0000}"/>
    <cellStyle name="40% - Accent6 3 4 2 4 3" xfId="23481" xr:uid="{00000000-0005-0000-0000-00005C5B0000}"/>
    <cellStyle name="40% - Accent6 3 4 2 4 4" xfId="23482" xr:uid="{00000000-0005-0000-0000-00005D5B0000}"/>
    <cellStyle name="40% - Accent6 3 4 2 5" xfId="23483" xr:uid="{00000000-0005-0000-0000-00005E5B0000}"/>
    <cellStyle name="40% - Accent6 3 4 2 5 2" xfId="23484" xr:uid="{00000000-0005-0000-0000-00005F5B0000}"/>
    <cellStyle name="40% - Accent6 3 4 2 5 3" xfId="23485" xr:uid="{00000000-0005-0000-0000-0000605B0000}"/>
    <cellStyle name="40% - Accent6 3 4 2 6" xfId="23486" xr:uid="{00000000-0005-0000-0000-0000615B0000}"/>
    <cellStyle name="40% - Accent6 3 4 2 7" xfId="23487" xr:uid="{00000000-0005-0000-0000-0000625B0000}"/>
    <cellStyle name="40% - Accent6 3 4 2 8" xfId="23488" xr:uid="{00000000-0005-0000-0000-0000635B0000}"/>
    <cellStyle name="40% - Accent6 3 4 3" xfId="23489" xr:uid="{00000000-0005-0000-0000-0000645B0000}"/>
    <cellStyle name="40% - Accent6 3 4 3 2" xfId="23490" xr:uid="{00000000-0005-0000-0000-0000655B0000}"/>
    <cellStyle name="40% - Accent6 3 4 3 2 2" xfId="23491" xr:uid="{00000000-0005-0000-0000-0000665B0000}"/>
    <cellStyle name="40% - Accent6 3 4 3 2 2 2" xfId="23492" xr:uid="{00000000-0005-0000-0000-0000675B0000}"/>
    <cellStyle name="40% - Accent6 3 4 3 2 2 2 2" xfId="23493" xr:uid="{00000000-0005-0000-0000-0000685B0000}"/>
    <cellStyle name="40% - Accent6 3 4 3 2 2 2 3" xfId="23494" xr:uid="{00000000-0005-0000-0000-0000695B0000}"/>
    <cellStyle name="40% - Accent6 3 4 3 2 2 3" xfId="23495" xr:uid="{00000000-0005-0000-0000-00006A5B0000}"/>
    <cellStyle name="40% - Accent6 3 4 3 2 2 4" xfId="23496" xr:uid="{00000000-0005-0000-0000-00006B5B0000}"/>
    <cellStyle name="40% - Accent6 3 4 3 2 3" xfId="23497" xr:uid="{00000000-0005-0000-0000-00006C5B0000}"/>
    <cellStyle name="40% - Accent6 3 4 3 2 3 2" xfId="23498" xr:uid="{00000000-0005-0000-0000-00006D5B0000}"/>
    <cellStyle name="40% - Accent6 3 4 3 2 3 3" xfId="23499" xr:uid="{00000000-0005-0000-0000-00006E5B0000}"/>
    <cellStyle name="40% - Accent6 3 4 3 2 4" xfId="23500" xr:uid="{00000000-0005-0000-0000-00006F5B0000}"/>
    <cellStyle name="40% - Accent6 3 4 3 2 5" xfId="23501" xr:uid="{00000000-0005-0000-0000-0000705B0000}"/>
    <cellStyle name="40% - Accent6 3 4 3 2 6" xfId="23502" xr:uid="{00000000-0005-0000-0000-0000715B0000}"/>
    <cellStyle name="40% - Accent6 3 4 3 3" xfId="23503" xr:uid="{00000000-0005-0000-0000-0000725B0000}"/>
    <cellStyle name="40% - Accent6 3 4 3 3 2" xfId="23504" xr:uid="{00000000-0005-0000-0000-0000735B0000}"/>
    <cellStyle name="40% - Accent6 3 4 3 3 2 2" xfId="23505" xr:uid="{00000000-0005-0000-0000-0000745B0000}"/>
    <cellStyle name="40% - Accent6 3 4 3 3 2 3" xfId="23506" xr:uid="{00000000-0005-0000-0000-0000755B0000}"/>
    <cellStyle name="40% - Accent6 3 4 3 3 3" xfId="23507" xr:uid="{00000000-0005-0000-0000-0000765B0000}"/>
    <cellStyle name="40% - Accent6 3 4 3 3 4" xfId="23508" xr:uid="{00000000-0005-0000-0000-0000775B0000}"/>
    <cellStyle name="40% - Accent6 3 4 3 4" xfId="23509" xr:uid="{00000000-0005-0000-0000-0000785B0000}"/>
    <cellStyle name="40% - Accent6 3 4 3 4 2" xfId="23510" xr:uid="{00000000-0005-0000-0000-0000795B0000}"/>
    <cellStyle name="40% - Accent6 3 4 3 4 3" xfId="23511" xr:uid="{00000000-0005-0000-0000-00007A5B0000}"/>
    <cellStyle name="40% - Accent6 3 4 3 5" xfId="23512" xr:uid="{00000000-0005-0000-0000-00007B5B0000}"/>
    <cellStyle name="40% - Accent6 3 4 3 6" xfId="23513" xr:uid="{00000000-0005-0000-0000-00007C5B0000}"/>
    <cellStyle name="40% - Accent6 3 4 3 7" xfId="23514" xr:uid="{00000000-0005-0000-0000-00007D5B0000}"/>
    <cellStyle name="40% - Accent6 3 4 4" xfId="23515" xr:uid="{00000000-0005-0000-0000-00007E5B0000}"/>
    <cellStyle name="40% - Accent6 3 4 4 2" xfId="23516" xr:uid="{00000000-0005-0000-0000-00007F5B0000}"/>
    <cellStyle name="40% - Accent6 3 4 4 2 2" xfId="23517" xr:uid="{00000000-0005-0000-0000-0000805B0000}"/>
    <cellStyle name="40% - Accent6 3 4 4 2 2 2" xfId="23518" xr:uid="{00000000-0005-0000-0000-0000815B0000}"/>
    <cellStyle name="40% - Accent6 3 4 4 2 2 3" xfId="23519" xr:uid="{00000000-0005-0000-0000-0000825B0000}"/>
    <cellStyle name="40% - Accent6 3 4 4 2 3" xfId="23520" xr:uid="{00000000-0005-0000-0000-0000835B0000}"/>
    <cellStyle name="40% - Accent6 3 4 4 2 4" xfId="23521" xr:uid="{00000000-0005-0000-0000-0000845B0000}"/>
    <cellStyle name="40% - Accent6 3 4 4 3" xfId="23522" xr:uid="{00000000-0005-0000-0000-0000855B0000}"/>
    <cellStyle name="40% - Accent6 3 4 4 3 2" xfId="23523" xr:uid="{00000000-0005-0000-0000-0000865B0000}"/>
    <cellStyle name="40% - Accent6 3 4 4 3 3" xfId="23524" xr:uid="{00000000-0005-0000-0000-0000875B0000}"/>
    <cellStyle name="40% - Accent6 3 4 4 4" xfId="23525" xr:uid="{00000000-0005-0000-0000-0000885B0000}"/>
    <cellStyle name="40% - Accent6 3 4 4 5" xfId="23526" xr:uid="{00000000-0005-0000-0000-0000895B0000}"/>
    <cellStyle name="40% - Accent6 3 4 4 6" xfId="23527" xr:uid="{00000000-0005-0000-0000-00008A5B0000}"/>
    <cellStyle name="40% - Accent6 3 4 5" xfId="23528" xr:uid="{00000000-0005-0000-0000-00008B5B0000}"/>
    <cellStyle name="40% - Accent6 3 4 5 2" xfId="23529" xr:uid="{00000000-0005-0000-0000-00008C5B0000}"/>
    <cellStyle name="40% - Accent6 3 4 5 2 2" xfId="23530" xr:uid="{00000000-0005-0000-0000-00008D5B0000}"/>
    <cellStyle name="40% - Accent6 3 4 5 2 3" xfId="23531" xr:uid="{00000000-0005-0000-0000-00008E5B0000}"/>
    <cellStyle name="40% - Accent6 3 4 5 3" xfId="23532" xr:uid="{00000000-0005-0000-0000-00008F5B0000}"/>
    <cellStyle name="40% - Accent6 3 4 5 4" xfId="23533" xr:uid="{00000000-0005-0000-0000-0000905B0000}"/>
    <cellStyle name="40% - Accent6 3 4 6" xfId="23534" xr:uid="{00000000-0005-0000-0000-0000915B0000}"/>
    <cellStyle name="40% - Accent6 3 4 6 2" xfId="23535" xr:uid="{00000000-0005-0000-0000-0000925B0000}"/>
    <cellStyle name="40% - Accent6 3 4 6 3" xfId="23536" xr:uid="{00000000-0005-0000-0000-0000935B0000}"/>
    <cellStyle name="40% - Accent6 3 4 7" xfId="23537" xr:uid="{00000000-0005-0000-0000-0000945B0000}"/>
    <cellStyle name="40% - Accent6 3 4 8" xfId="23538" xr:uid="{00000000-0005-0000-0000-0000955B0000}"/>
    <cellStyle name="40% - Accent6 3 4 9" xfId="23539" xr:uid="{00000000-0005-0000-0000-0000965B0000}"/>
    <cellStyle name="40% - Accent6 3 5" xfId="23540" xr:uid="{00000000-0005-0000-0000-0000975B0000}"/>
    <cellStyle name="40% - Accent6 3 5 2" xfId="23541" xr:uid="{00000000-0005-0000-0000-0000985B0000}"/>
    <cellStyle name="40% - Accent6 3 5 2 2" xfId="23542" xr:uid="{00000000-0005-0000-0000-0000995B0000}"/>
    <cellStyle name="40% - Accent6 3 5 2 2 2" xfId="23543" xr:uid="{00000000-0005-0000-0000-00009A5B0000}"/>
    <cellStyle name="40% - Accent6 3 5 2 2 2 2" xfId="23544" xr:uid="{00000000-0005-0000-0000-00009B5B0000}"/>
    <cellStyle name="40% - Accent6 3 5 2 2 2 2 2" xfId="23545" xr:uid="{00000000-0005-0000-0000-00009C5B0000}"/>
    <cellStyle name="40% - Accent6 3 5 2 2 2 2 2 2" xfId="23546" xr:uid="{00000000-0005-0000-0000-00009D5B0000}"/>
    <cellStyle name="40% - Accent6 3 5 2 2 2 2 2 3" xfId="23547" xr:uid="{00000000-0005-0000-0000-00009E5B0000}"/>
    <cellStyle name="40% - Accent6 3 5 2 2 2 2 3" xfId="23548" xr:uid="{00000000-0005-0000-0000-00009F5B0000}"/>
    <cellStyle name="40% - Accent6 3 5 2 2 2 2 4" xfId="23549" xr:uid="{00000000-0005-0000-0000-0000A05B0000}"/>
    <cellStyle name="40% - Accent6 3 5 2 2 2 3" xfId="23550" xr:uid="{00000000-0005-0000-0000-0000A15B0000}"/>
    <cellStyle name="40% - Accent6 3 5 2 2 2 3 2" xfId="23551" xr:uid="{00000000-0005-0000-0000-0000A25B0000}"/>
    <cellStyle name="40% - Accent6 3 5 2 2 2 3 3" xfId="23552" xr:uid="{00000000-0005-0000-0000-0000A35B0000}"/>
    <cellStyle name="40% - Accent6 3 5 2 2 2 4" xfId="23553" xr:uid="{00000000-0005-0000-0000-0000A45B0000}"/>
    <cellStyle name="40% - Accent6 3 5 2 2 2 5" xfId="23554" xr:uid="{00000000-0005-0000-0000-0000A55B0000}"/>
    <cellStyle name="40% - Accent6 3 5 2 2 2 6" xfId="23555" xr:uid="{00000000-0005-0000-0000-0000A65B0000}"/>
    <cellStyle name="40% - Accent6 3 5 2 2 3" xfId="23556" xr:uid="{00000000-0005-0000-0000-0000A75B0000}"/>
    <cellStyle name="40% - Accent6 3 5 2 2 3 2" xfId="23557" xr:uid="{00000000-0005-0000-0000-0000A85B0000}"/>
    <cellStyle name="40% - Accent6 3 5 2 2 3 2 2" xfId="23558" xr:uid="{00000000-0005-0000-0000-0000A95B0000}"/>
    <cellStyle name="40% - Accent6 3 5 2 2 3 2 3" xfId="23559" xr:uid="{00000000-0005-0000-0000-0000AA5B0000}"/>
    <cellStyle name="40% - Accent6 3 5 2 2 3 3" xfId="23560" xr:uid="{00000000-0005-0000-0000-0000AB5B0000}"/>
    <cellStyle name="40% - Accent6 3 5 2 2 3 4" xfId="23561" xr:uid="{00000000-0005-0000-0000-0000AC5B0000}"/>
    <cellStyle name="40% - Accent6 3 5 2 2 4" xfId="23562" xr:uid="{00000000-0005-0000-0000-0000AD5B0000}"/>
    <cellStyle name="40% - Accent6 3 5 2 2 4 2" xfId="23563" xr:uid="{00000000-0005-0000-0000-0000AE5B0000}"/>
    <cellStyle name="40% - Accent6 3 5 2 2 4 3" xfId="23564" xr:uid="{00000000-0005-0000-0000-0000AF5B0000}"/>
    <cellStyle name="40% - Accent6 3 5 2 2 5" xfId="23565" xr:uid="{00000000-0005-0000-0000-0000B05B0000}"/>
    <cellStyle name="40% - Accent6 3 5 2 2 6" xfId="23566" xr:uid="{00000000-0005-0000-0000-0000B15B0000}"/>
    <cellStyle name="40% - Accent6 3 5 2 2 7" xfId="23567" xr:uid="{00000000-0005-0000-0000-0000B25B0000}"/>
    <cellStyle name="40% - Accent6 3 5 2 3" xfId="23568" xr:uid="{00000000-0005-0000-0000-0000B35B0000}"/>
    <cellStyle name="40% - Accent6 3 5 2 3 2" xfId="23569" xr:uid="{00000000-0005-0000-0000-0000B45B0000}"/>
    <cellStyle name="40% - Accent6 3 5 2 3 2 2" xfId="23570" xr:uid="{00000000-0005-0000-0000-0000B55B0000}"/>
    <cellStyle name="40% - Accent6 3 5 2 3 2 2 2" xfId="23571" xr:uid="{00000000-0005-0000-0000-0000B65B0000}"/>
    <cellStyle name="40% - Accent6 3 5 2 3 2 2 3" xfId="23572" xr:uid="{00000000-0005-0000-0000-0000B75B0000}"/>
    <cellStyle name="40% - Accent6 3 5 2 3 2 3" xfId="23573" xr:uid="{00000000-0005-0000-0000-0000B85B0000}"/>
    <cellStyle name="40% - Accent6 3 5 2 3 2 4" xfId="23574" xr:uid="{00000000-0005-0000-0000-0000B95B0000}"/>
    <cellStyle name="40% - Accent6 3 5 2 3 3" xfId="23575" xr:uid="{00000000-0005-0000-0000-0000BA5B0000}"/>
    <cellStyle name="40% - Accent6 3 5 2 3 3 2" xfId="23576" xr:uid="{00000000-0005-0000-0000-0000BB5B0000}"/>
    <cellStyle name="40% - Accent6 3 5 2 3 3 3" xfId="23577" xr:uid="{00000000-0005-0000-0000-0000BC5B0000}"/>
    <cellStyle name="40% - Accent6 3 5 2 3 4" xfId="23578" xr:uid="{00000000-0005-0000-0000-0000BD5B0000}"/>
    <cellStyle name="40% - Accent6 3 5 2 3 5" xfId="23579" xr:uid="{00000000-0005-0000-0000-0000BE5B0000}"/>
    <cellStyle name="40% - Accent6 3 5 2 3 6" xfId="23580" xr:uid="{00000000-0005-0000-0000-0000BF5B0000}"/>
    <cellStyle name="40% - Accent6 3 5 2 4" xfId="23581" xr:uid="{00000000-0005-0000-0000-0000C05B0000}"/>
    <cellStyle name="40% - Accent6 3 5 2 4 2" xfId="23582" xr:uid="{00000000-0005-0000-0000-0000C15B0000}"/>
    <cellStyle name="40% - Accent6 3 5 2 4 2 2" xfId="23583" xr:uid="{00000000-0005-0000-0000-0000C25B0000}"/>
    <cellStyle name="40% - Accent6 3 5 2 4 2 3" xfId="23584" xr:uid="{00000000-0005-0000-0000-0000C35B0000}"/>
    <cellStyle name="40% - Accent6 3 5 2 4 3" xfId="23585" xr:uid="{00000000-0005-0000-0000-0000C45B0000}"/>
    <cellStyle name="40% - Accent6 3 5 2 4 4" xfId="23586" xr:uid="{00000000-0005-0000-0000-0000C55B0000}"/>
    <cellStyle name="40% - Accent6 3 5 2 5" xfId="23587" xr:uid="{00000000-0005-0000-0000-0000C65B0000}"/>
    <cellStyle name="40% - Accent6 3 5 2 5 2" xfId="23588" xr:uid="{00000000-0005-0000-0000-0000C75B0000}"/>
    <cellStyle name="40% - Accent6 3 5 2 5 3" xfId="23589" xr:uid="{00000000-0005-0000-0000-0000C85B0000}"/>
    <cellStyle name="40% - Accent6 3 5 2 6" xfId="23590" xr:uid="{00000000-0005-0000-0000-0000C95B0000}"/>
    <cellStyle name="40% - Accent6 3 5 2 7" xfId="23591" xr:uid="{00000000-0005-0000-0000-0000CA5B0000}"/>
    <cellStyle name="40% - Accent6 3 5 2 8" xfId="23592" xr:uid="{00000000-0005-0000-0000-0000CB5B0000}"/>
    <cellStyle name="40% - Accent6 3 5 3" xfId="23593" xr:uid="{00000000-0005-0000-0000-0000CC5B0000}"/>
    <cellStyle name="40% - Accent6 3 5 3 2" xfId="23594" xr:uid="{00000000-0005-0000-0000-0000CD5B0000}"/>
    <cellStyle name="40% - Accent6 3 5 3 2 2" xfId="23595" xr:uid="{00000000-0005-0000-0000-0000CE5B0000}"/>
    <cellStyle name="40% - Accent6 3 5 3 2 2 2" xfId="23596" xr:uid="{00000000-0005-0000-0000-0000CF5B0000}"/>
    <cellStyle name="40% - Accent6 3 5 3 2 2 2 2" xfId="23597" xr:uid="{00000000-0005-0000-0000-0000D05B0000}"/>
    <cellStyle name="40% - Accent6 3 5 3 2 2 2 3" xfId="23598" xr:uid="{00000000-0005-0000-0000-0000D15B0000}"/>
    <cellStyle name="40% - Accent6 3 5 3 2 2 3" xfId="23599" xr:uid="{00000000-0005-0000-0000-0000D25B0000}"/>
    <cellStyle name="40% - Accent6 3 5 3 2 2 4" xfId="23600" xr:uid="{00000000-0005-0000-0000-0000D35B0000}"/>
    <cellStyle name="40% - Accent6 3 5 3 2 3" xfId="23601" xr:uid="{00000000-0005-0000-0000-0000D45B0000}"/>
    <cellStyle name="40% - Accent6 3 5 3 2 3 2" xfId="23602" xr:uid="{00000000-0005-0000-0000-0000D55B0000}"/>
    <cellStyle name="40% - Accent6 3 5 3 2 3 3" xfId="23603" xr:uid="{00000000-0005-0000-0000-0000D65B0000}"/>
    <cellStyle name="40% - Accent6 3 5 3 2 4" xfId="23604" xr:uid="{00000000-0005-0000-0000-0000D75B0000}"/>
    <cellStyle name="40% - Accent6 3 5 3 2 5" xfId="23605" xr:uid="{00000000-0005-0000-0000-0000D85B0000}"/>
    <cellStyle name="40% - Accent6 3 5 3 2 6" xfId="23606" xr:uid="{00000000-0005-0000-0000-0000D95B0000}"/>
    <cellStyle name="40% - Accent6 3 5 3 3" xfId="23607" xr:uid="{00000000-0005-0000-0000-0000DA5B0000}"/>
    <cellStyle name="40% - Accent6 3 5 3 3 2" xfId="23608" xr:uid="{00000000-0005-0000-0000-0000DB5B0000}"/>
    <cellStyle name="40% - Accent6 3 5 3 3 2 2" xfId="23609" xr:uid="{00000000-0005-0000-0000-0000DC5B0000}"/>
    <cellStyle name="40% - Accent6 3 5 3 3 2 3" xfId="23610" xr:uid="{00000000-0005-0000-0000-0000DD5B0000}"/>
    <cellStyle name="40% - Accent6 3 5 3 3 3" xfId="23611" xr:uid="{00000000-0005-0000-0000-0000DE5B0000}"/>
    <cellStyle name="40% - Accent6 3 5 3 3 4" xfId="23612" xr:uid="{00000000-0005-0000-0000-0000DF5B0000}"/>
    <cellStyle name="40% - Accent6 3 5 3 4" xfId="23613" xr:uid="{00000000-0005-0000-0000-0000E05B0000}"/>
    <cellStyle name="40% - Accent6 3 5 3 4 2" xfId="23614" xr:uid="{00000000-0005-0000-0000-0000E15B0000}"/>
    <cellStyle name="40% - Accent6 3 5 3 4 3" xfId="23615" xr:uid="{00000000-0005-0000-0000-0000E25B0000}"/>
    <cellStyle name="40% - Accent6 3 5 3 5" xfId="23616" xr:uid="{00000000-0005-0000-0000-0000E35B0000}"/>
    <cellStyle name="40% - Accent6 3 5 3 6" xfId="23617" xr:uid="{00000000-0005-0000-0000-0000E45B0000}"/>
    <cellStyle name="40% - Accent6 3 5 3 7" xfId="23618" xr:uid="{00000000-0005-0000-0000-0000E55B0000}"/>
    <cellStyle name="40% - Accent6 3 5 4" xfId="23619" xr:uid="{00000000-0005-0000-0000-0000E65B0000}"/>
    <cellStyle name="40% - Accent6 3 5 4 2" xfId="23620" xr:uid="{00000000-0005-0000-0000-0000E75B0000}"/>
    <cellStyle name="40% - Accent6 3 5 4 2 2" xfId="23621" xr:uid="{00000000-0005-0000-0000-0000E85B0000}"/>
    <cellStyle name="40% - Accent6 3 5 4 2 2 2" xfId="23622" xr:uid="{00000000-0005-0000-0000-0000E95B0000}"/>
    <cellStyle name="40% - Accent6 3 5 4 2 2 3" xfId="23623" xr:uid="{00000000-0005-0000-0000-0000EA5B0000}"/>
    <cellStyle name="40% - Accent6 3 5 4 2 3" xfId="23624" xr:uid="{00000000-0005-0000-0000-0000EB5B0000}"/>
    <cellStyle name="40% - Accent6 3 5 4 2 4" xfId="23625" xr:uid="{00000000-0005-0000-0000-0000EC5B0000}"/>
    <cellStyle name="40% - Accent6 3 5 4 3" xfId="23626" xr:uid="{00000000-0005-0000-0000-0000ED5B0000}"/>
    <cellStyle name="40% - Accent6 3 5 4 3 2" xfId="23627" xr:uid="{00000000-0005-0000-0000-0000EE5B0000}"/>
    <cellStyle name="40% - Accent6 3 5 4 3 3" xfId="23628" xr:uid="{00000000-0005-0000-0000-0000EF5B0000}"/>
    <cellStyle name="40% - Accent6 3 5 4 4" xfId="23629" xr:uid="{00000000-0005-0000-0000-0000F05B0000}"/>
    <cellStyle name="40% - Accent6 3 5 4 5" xfId="23630" xr:uid="{00000000-0005-0000-0000-0000F15B0000}"/>
    <cellStyle name="40% - Accent6 3 5 4 6" xfId="23631" xr:uid="{00000000-0005-0000-0000-0000F25B0000}"/>
    <cellStyle name="40% - Accent6 3 5 5" xfId="23632" xr:uid="{00000000-0005-0000-0000-0000F35B0000}"/>
    <cellStyle name="40% - Accent6 3 5 5 2" xfId="23633" xr:uid="{00000000-0005-0000-0000-0000F45B0000}"/>
    <cellStyle name="40% - Accent6 3 5 5 2 2" xfId="23634" xr:uid="{00000000-0005-0000-0000-0000F55B0000}"/>
    <cellStyle name="40% - Accent6 3 5 5 2 3" xfId="23635" xr:uid="{00000000-0005-0000-0000-0000F65B0000}"/>
    <cellStyle name="40% - Accent6 3 5 5 3" xfId="23636" xr:uid="{00000000-0005-0000-0000-0000F75B0000}"/>
    <cellStyle name="40% - Accent6 3 5 5 4" xfId="23637" xr:uid="{00000000-0005-0000-0000-0000F85B0000}"/>
    <cellStyle name="40% - Accent6 3 5 6" xfId="23638" xr:uid="{00000000-0005-0000-0000-0000F95B0000}"/>
    <cellStyle name="40% - Accent6 3 5 6 2" xfId="23639" xr:uid="{00000000-0005-0000-0000-0000FA5B0000}"/>
    <cellStyle name="40% - Accent6 3 5 6 3" xfId="23640" xr:uid="{00000000-0005-0000-0000-0000FB5B0000}"/>
    <cellStyle name="40% - Accent6 3 5 7" xfId="23641" xr:uid="{00000000-0005-0000-0000-0000FC5B0000}"/>
    <cellStyle name="40% - Accent6 3 5 8" xfId="23642" xr:uid="{00000000-0005-0000-0000-0000FD5B0000}"/>
    <cellStyle name="40% - Accent6 3 5 9" xfId="23643" xr:uid="{00000000-0005-0000-0000-0000FE5B0000}"/>
    <cellStyle name="40% - Accent6 3 6" xfId="23644" xr:uid="{00000000-0005-0000-0000-0000FF5B0000}"/>
    <cellStyle name="40% - Accent6 3 6 2" xfId="23645" xr:uid="{00000000-0005-0000-0000-0000005C0000}"/>
    <cellStyle name="40% - Accent6 3 6 2 2" xfId="23646" xr:uid="{00000000-0005-0000-0000-0000015C0000}"/>
    <cellStyle name="40% - Accent6 3 6 2 2 2" xfId="23647" xr:uid="{00000000-0005-0000-0000-0000025C0000}"/>
    <cellStyle name="40% - Accent6 3 6 2 2 2 2" xfId="23648" xr:uid="{00000000-0005-0000-0000-0000035C0000}"/>
    <cellStyle name="40% - Accent6 3 6 2 2 2 2 2" xfId="23649" xr:uid="{00000000-0005-0000-0000-0000045C0000}"/>
    <cellStyle name="40% - Accent6 3 6 2 2 2 2 3" xfId="23650" xr:uid="{00000000-0005-0000-0000-0000055C0000}"/>
    <cellStyle name="40% - Accent6 3 6 2 2 2 3" xfId="23651" xr:uid="{00000000-0005-0000-0000-0000065C0000}"/>
    <cellStyle name="40% - Accent6 3 6 2 2 2 4" xfId="23652" xr:uid="{00000000-0005-0000-0000-0000075C0000}"/>
    <cellStyle name="40% - Accent6 3 6 2 2 3" xfId="23653" xr:uid="{00000000-0005-0000-0000-0000085C0000}"/>
    <cellStyle name="40% - Accent6 3 6 2 2 3 2" xfId="23654" xr:uid="{00000000-0005-0000-0000-0000095C0000}"/>
    <cellStyle name="40% - Accent6 3 6 2 2 3 3" xfId="23655" xr:uid="{00000000-0005-0000-0000-00000A5C0000}"/>
    <cellStyle name="40% - Accent6 3 6 2 2 4" xfId="23656" xr:uid="{00000000-0005-0000-0000-00000B5C0000}"/>
    <cellStyle name="40% - Accent6 3 6 2 2 5" xfId="23657" xr:uid="{00000000-0005-0000-0000-00000C5C0000}"/>
    <cellStyle name="40% - Accent6 3 6 2 2 6" xfId="23658" xr:uid="{00000000-0005-0000-0000-00000D5C0000}"/>
    <cellStyle name="40% - Accent6 3 6 2 3" xfId="23659" xr:uid="{00000000-0005-0000-0000-00000E5C0000}"/>
    <cellStyle name="40% - Accent6 3 6 2 3 2" xfId="23660" xr:uid="{00000000-0005-0000-0000-00000F5C0000}"/>
    <cellStyle name="40% - Accent6 3 6 2 3 2 2" xfId="23661" xr:uid="{00000000-0005-0000-0000-0000105C0000}"/>
    <cellStyle name="40% - Accent6 3 6 2 3 2 3" xfId="23662" xr:uid="{00000000-0005-0000-0000-0000115C0000}"/>
    <cellStyle name="40% - Accent6 3 6 2 3 3" xfId="23663" xr:uid="{00000000-0005-0000-0000-0000125C0000}"/>
    <cellStyle name="40% - Accent6 3 6 2 3 4" xfId="23664" xr:uid="{00000000-0005-0000-0000-0000135C0000}"/>
    <cellStyle name="40% - Accent6 3 6 2 4" xfId="23665" xr:uid="{00000000-0005-0000-0000-0000145C0000}"/>
    <cellStyle name="40% - Accent6 3 6 2 4 2" xfId="23666" xr:uid="{00000000-0005-0000-0000-0000155C0000}"/>
    <cellStyle name="40% - Accent6 3 6 2 4 3" xfId="23667" xr:uid="{00000000-0005-0000-0000-0000165C0000}"/>
    <cellStyle name="40% - Accent6 3 6 2 5" xfId="23668" xr:uid="{00000000-0005-0000-0000-0000175C0000}"/>
    <cellStyle name="40% - Accent6 3 6 2 6" xfId="23669" xr:uid="{00000000-0005-0000-0000-0000185C0000}"/>
    <cellStyle name="40% - Accent6 3 6 2 7" xfId="23670" xr:uid="{00000000-0005-0000-0000-0000195C0000}"/>
    <cellStyle name="40% - Accent6 3 6 3" xfId="23671" xr:uid="{00000000-0005-0000-0000-00001A5C0000}"/>
    <cellStyle name="40% - Accent6 3 6 3 2" xfId="23672" xr:uid="{00000000-0005-0000-0000-00001B5C0000}"/>
    <cellStyle name="40% - Accent6 3 6 3 2 2" xfId="23673" xr:uid="{00000000-0005-0000-0000-00001C5C0000}"/>
    <cellStyle name="40% - Accent6 3 6 3 2 2 2" xfId="23674" xr:uid="{00000000-0005-0000-0000-00001D5C0000}"/>
    <cellStyle name="40% - Accent6 3 6 3 2 2 3" xfId="23675" xr:uid="{00000000-0005-0000-0000-00001E5C0000}"/>
    <cellStyle name="40% - Accent6 3 6 3 2 3" xfId="23676" xr:uid="{00000000-0005-0000-0000-00001F5C0000}"/>
    <cellStyle name="40% - Accent6 3 6 3 2 4" xfId="23677" xr:uid="{00000000-0005-0000-0000-0000205C0000}"/>
    <cellStyle name="40% - Accent6 3 6 3 3" xfId="23678" xr:uid="{00000000-0005-0000-0000-0000215C0000}"/>
    <cellStyle name="40% - Accent6 3 6 3 3 2" xfId="23679" xr:uid="{00000000-0005-0000-0000-0000225C0000}"/>
    <cellStyle name="40% - Accent6 3 6 3 3 3" xfId="23680" xr:uid="{00000000-0005-0000-0000-0000235C0000}"/>
    <cellStyle name="40% - Accent6 3 6 3 4" xfId="23681" xr:uid="{00000000-0005-0000-0000-0000245C0000}"/>
    <cellStyle name="40% - Accent6 3 6 3 5" xfId="23682" xr:uid="{00000000-0005-0000-0000-0000255C0000}"/>
    <cellStyle name="40% - Accent6 3 6 3 6" xfId="23683" xr:uid="{00000000-0005-0000-0000-0000265C0000}"/>
    <cellStyle name="40% - Accent6 3 6 4" xfId="23684" xr:uid="{00000000-0005-0000-0000-0000275C0000}"/>
    <cellStyle name="40% - Accent6 3 6 4 2" xfId="23685" xr:uid="{00000000-0005-0000-0000-0000285C0000}"/>
    <cellStyle name="40% - Accent6 3 6 4 2 2" xfId="23686" xr:uid="{00000000-0005-0000-0000-0000295C0000}"/>
    <cellStyle name="40% - Accent6 3 6 4 2 3" xfId="23687" xr:uid="{00000000-0005-0000-0000-00002A5C0000}"/>
    <cellStyle name="40% - Accent6 3 6 4 3" xfId="23688" xr:uid="{00000000-0005-0000-0000-00002B5C0000}"/>
    <cellStyle name="40% - Accent6 3 6 4 4" xfId="23689" xr:uid="{00000000-0005-0000-0000-00002C5C0000}"/>
    <cellStyle name="40% - Accent6 3 6 5" xfId="23690" xr:uid="{00000000-0005-0000-0000-00002D5C0000}"/>
    <cellStyle name="40% - Accent6 3 6 5 2" xfId="23691" xr:uid="{00000000-0005-0000-0000-00002E5C0000}"/>
    <cellStyle name="40% - Accent6 3 6 5 3" xfId="23692" xr:uid="{00000000-0005-0000-0000-00002F5C0000}"/>
    <cellStyle name="40% - Accent6 3 6 6" xfId="23693" xr:uid="{00000000-0005-0000-0000-0000305C0000}"/>
    <cellStyle name="40% - Accent6 3 6 7" xfId="23694" xr:uid="{00000000-0005-0000-0000-0000315C0000}"/>
    <cellStyle name="40% - Accent6 3 6 8" xfId="23695" xr:uid="{00000000-0005-0000-0000-0000325C0000}"/>
    <cellStyle name="40% - Accent6 3 7" xfId="23696" xr:uid="{00000000-0005-0000-0000-0000335C0000}"/>
    <cellStyle name="40% - Accent6 3 7 2" xfId="23697" xr:uid="{00000000-0005-0000-0000-0000345C0000}"/>
    <cellStyle name="40% - Accent6 3 7 2 2" xfId="23698" xr:uid="{00000000-0005-0000-0000-0000355C0000}"/>
    <cellStyle name="40% - Accent6 3 7 2 2 2" xfId="23699" xr:uid="{00000000-0005-0000-0000-0000365C0000}"/>
    <cellStyle name="40% - Accent6 3 7 2 2 2 2" xfId="23700" xr:uid="{00000000-0005-0000-0000-0000375C0000}"/>
    <cellStyle name="40% - Accent6 3 7 2 2 2 2 2" xfId="23701" xr:uid="{00000000-0005-0000-0000-0000385C0000}"/>
    <cellStyle name="40% - Accent6 3 7 2 2 2 2 3" xfId="23702" xr:uid="{00000000-0005-0000-0000-0000395C0000}"/>
    <cellStyle name="40% - Accent6 3 7 2 2 2 3" xfId="23703" xr:uid="{00000000-0005-0000-0000-00003A5C0000}"/>
    <cellStyle name="40% - Accent6 3 7 2 2 2 4" xfId="23704" xr:uid="{00000000-0005-0000-0000-00003B5C0000}"/>
    <cellStyle name="40% - Accent6 3 7 2 2 3" xfId="23705" xr:uid="{00000000-0005-0000-0000-00003C5C0000}"/>
    <cellStyle name="40% - Accent6 3 7 2 2 3 2" xfId="23706" xr:uid="{00000000-0005-0000-0000-00003D5C0000}"/>
    <cellStyle name="40% - Accent6 3 7 2 2 3 3" xfId="23707" xr:uid="{00000000-0005-0000-0000-00003E5C0000}"/>
    <cellStyle name="40% - Accent6 3 7 2 2 4" xfId="23708" xr:uid="{00000000-0005-0000-0000-00003F5C0000}"/>
    <cellStyle name="40% - Accent6 3 7 2 2 5" xfId="23709" xr:uid="{00000000-0005-0000-0000-0000405C0000}"/>
    <cellStyle name="40% - Accent6 3 7 2 2 6" xfId="23710" xr:uid="{00000000-0005-0000-0000-0000415C0000}"/>
    <cellStyle name="40% - Accent6 3 7 2 3" xfId="23711" xr:uid="{00000000-0005-0000-0000-0000425C0000}"/>
    <cellStyle name="40% - Accent6 3 7 2 3 2" xfId="23712" xr:uid="{00000000-0005-0000-0000-0000435C0000}"/>
    <cellStyle name="40% - Accent6 3 7 2 3 2 2" xfId="23713" xr:uid="{00000000-0005-0000-0000-0000445C0000}"/>
    <cellStyle name="40% - Accent6 3 7 2 3 2 3" xfId="23714" xr:uid="{00000000-0005-0000-0000-0000455C0000}"/>
    <cellStyle name="40% - Accent6 3 7 2 3 3" xfId="23715" xr:uid="{00000000-0005-0000-0000-0000465C0000}"/>
    <cellStyle name="40% - Accent6 3 7 2 3 4" xfId="23716" xr:uid="{00000000-0005-0000-0000-0000475C0000}"/>
    <cellStyle name="40% - Accent6 3 7 2 4" xfId="23717" xr:uid="{00000000-0005-0000-0000-0000485C0000}"/>
    <cellStyle name="40% - Accent6 3 7 2 4 2" xfId="23718" xr:uid="{00000000-0005-0000-0000-0000495C0000}"/>
    <cellStyle name="40% - Accent6 3 7 2 4 3" xfId="23719" xr:uid="{00000000-0005-0000-0000-00004A5C0000}"/>
    <cellStyle name="40% - Accent6 3 7 2 5" xfId="23720" xr:uid="{00000000-0005-0000-0000-00004B5C0000}"/>
    <cellStyle name="40% - Accent6 3 7 2 6" xfId="23721" xr:uid="{00000000-0005-0000-0000-00004C5C0000}"/>
    <cellStyle name="40% - Accent6 3 7 2 7" xfId="23722" xr:uid="{00000000-0005-0000-0000-00004D5C0000}"/>
    <cellStyle name="40% - Accent6 3 7 3" xfId="23723" xr:uid="{00000000-0005-0000-0000-00004E5C0000}"/>
    <cellStyle name="40% - Accent6 3 7 3 2" xfId="23724" xr:uid="{00000000-0005-0000-0000-00004F5C0000}"/>
    <cellStyle name="40% - Accent6 3 7 3 2 2" xfId="23725" xr:uid="{00000000-0005-0000-0000-0000505C0000}"/>
    <cellStyle name="40% - Accent6 3 7 3 2 2 2" xfId="23726" xr:uid="{00000000-0005-0000-0000-0000515C0000}"/>
    <cellStyle name="40% - Accent6 3 7 3 2 2 3" xfId="23727" xr:uid="{00000000-0005-0000-0000-0000525C0000}"/>
    <cellStyle name="40% - Accent6 3 7 3 2 3" xfId="23728" xr:uid="{00000000-0005-0000-0000-0000535C0000}"/>
    <cellStyle name="40% - Accent6 3 7 3 2 4" xfId="23729" xr:uid="{00000000-0005-0000-0000-0000545C0000}"/>
    <cellStyle name="40% - Accent6 3 7 3 3" xfId="23730" xr:uid="{00000000-0005-0000-0000-0000555C0000}"/>
    <cellStyle name="40% - Accent6 3 7 3 3 2" xfId="23731" xr:uid="{00000000-0005-0000-0000-0000565C0000}"/>
    <cellStyle name="40% - Accent6 3 7 3 3 3" xfId="23732" xr:uid="{00000000-0005-0000-0000-0000575C0000}"/>
    <cellStyle name="40% - Accent6 3 7 3 4" xfId="23733" xr:uid="{00000000-0005-0000-0000-0000585C0000}"/>
    <cellStyle name="40% - Accent6 3 7 3 5" xfId="23734" xr:uid="{00000000-0005-0000-0000-0000595C0000}"/>
    <cellStyle name="40% - Accent6 3 7 3 6" xfId="23735" xr:uid="{00000000-0005-0000-0000-00005A5C0000}"/>
    <cellStyle name="40% - Accent6 3 7 4" xfId="23736" xr:uid="{00000000-0005-0000-0000-00005B5C0000}"/>
    <cellStyle name="40% - Accent6 3 7 4 2" xfId="23737" xr:uid="{00000000-0005-0000-0000-00005C5C0000}"/>
    <cellStyle name="40% - Accent6 3 7 4 2 2" xfId="23738" xr:uid="{00000000-0005-0000-0000-00005D5C0000}"/>
    <cellStyle name="40% - Accent6 3 7 4 2 3" xfId="23739" xr:uid="{00000000-0005-0000-0000-00005E5C0000}"/>
    <cellStyle name="40% - Accent6 3 7 4 3" xfId="23740" xr:uid="{00000000-0005-0000-0000-00005F5C0000}"/>
    <cellStyle name="40% - Accent6 3 7 4 4" xfId="23741" xr:uid="{00000000-0005-0000-0000-0000605C0000}"/>
    <cellStyle name="40% - Accent6 3 7 5" xfId="23742" xr:uid="{00000000-0005-0000-0000-0000615C0000}"/>
    <cellStyle name="40% - Accent6 3 7 5 2" xfId="23743" xr:uid="{00000000-0005-0000-0000-0000625C0000}"/>
    <cellStyle name="40% - Accent6 3 7 5 3" xfId="23744" xr:uid="{00000000-0005-0000-0000-0000635C0000}"/>
    <cellStyle name="40% - Accent6 3 7 6" xfId="23745" xr:uid="{00000000-0005-0000-0000-0000645C0000}"/>
    <cellStyle name="40% - Accent6 3 7 7" xfId="23746" xr:uid="{00000000-0005-0000-0000-0000655C0000}"/>
    <cellStyle name="40% - Accent6 3 7 8" xfId="23747" xr:uid="{00000000-0005-0000-0000-0000665C0000}"/>
    <cellStyle name="40% - Accent6 3 8" xfId="23748" xr:uid="{00000000-0005-0000-0000-0000675C0000}"/>
    <cellStyle name="40% - Accent6 3 8 2" xfId="23749" xr:uid="{00000000-0005-0000-0000-0000685C0000}"/>
    <cellStyle name="40% - Accent6 3 8 2 2" xfId="23750" xr:uid="{00000000-0005-0000-0000-0000695C0000}"/>
    <cellStyle name="40% - Accent6 3 8 2 2 2" xfId="23751" xr:uid="{00000000-0005-0000-0000-00006A5C0000}"/>
    <cellStyle name="40% - Accent6 3 8 2 2 2 2" xfId="23752" xr:uid="{00000000-0005-0000-0000-00006B5C0000}"/>
    <cellStyle name="40% - Accent6 3 8 2 2 2 3" xfId="23753" xr:uid="{00000000-0005-0000-0000-00006C5C0000}"/>
    <cellStyle name="40% - Accent6 3 8 2 2 3" xfId="23754" xr:uid="{00000000-0005-0000-0000-00006D5C0000}"/>
    <cellStyle name="40% - Accent6 3 8 2 2 4" xfId="23755" xr:uid="{00000000-0005-0000-0000-00006E5C0000}"/>
    <cellStyle name="40% - Accent6 3 8 2 3" xfId="23756" xr:uid="{00000000-0005-0000-0000-00006F5C0000}"/>
    <cellStyle name="40% - Accent6 3 8 2 3 2" xfId="23757" xr:uid="{00000000-0005-0000-0000-0000705C0000}"/>
    <cellStyle name="40% - Accent6 3 8 2 3 3" xfId="23758" xr:uid="{00000000-0005-0000-0000-0000715C0000}"/>
    <cellStyle name="40% - Accent6 3 8 2 4" xfId="23759" xr:uid="{00000000-0005-0000-0000-0000725C0000}"/>
    <cellStyle name="40% - Accent6 3 8 2 5" xfId="23760" xr:uid="{00000000-0005-0000-0000-0000735C0000}"/>
    <cellStyle name="40% - Accent6 3 8 2 6" xfId="23761" xr:uid="{00000000-0005-0000-0000-0000745C0000}"/>
    <cellStyle name="40% - Accent6 3 8 3" xfId="23762" xr:uid="{00000000-0005-0000-0000-0000755C0000}"/>
    <cellStyle name="40% - Accent6 3 8 3 2" xfId="23763" xr:uid="{00000000-0005-0000-0000-0000765C0000}"/>
    <cellStyle name="40% - Accent6 3 8 3 2 2" xfId="23764" xr:uid="{00000000-0005-0000-0000-0000775C0000}"/>
    <cellStyle name="40% - Accent6 3 8 3 2 3" xfId="23765" xr:uid="{00000000-0005-0000-0000-0000785C0000}"/>
    <cellStyle name="40% - Accent6 3 8 3 3" xfId="23766" xr:uid="{00000000-0005-0000-0000-0000795C0000}"/>
    <cellStyle name="40% - Accent6 3 8 3 4" xfId="23767" xr:uid="{00000000-0005-0000-0000-00007A5C0000}"/>
    <cellStyle name="40% - Accent6 3 8 4" xfId="23768" xr:uid="{00000000-0005-0000-0000-00007B5C0000}"/>
    <cellStyle name="40% - Accent6 3 8 4 2" xfId="23769" xr:uid="{00000000-0005-0000-0000-00007C5C0000}"/>
    <cellStyle name="40% - Accent6 3 8 4 3" xfId="23770" xr:uid="{00000000-0005-0000-0000-00007D5C0000}"/>
    <cellStyle name="40% - Accent6 3 8 5" xfId="23771" xr:uid="{00000000-0005-0000-0000-00007E5C0000}"/>
    <cellStyle name="40% - Accent6 3 8 6" xfId="23772" xr:uid="{00000000-0005-0000-0000-00007F5C0000}"/>
    <cellStyle name="40% - Accent6 3 8 7" xfId="23773" xr:uid="{00000000-0005-0000-0000-0000805C0000}"/>
    <cellStyle name="40% - Accent6 3 9" xfId="23774" xr:uid="{00000000-0005-0000-0000-0000815C0000}"/>
    <cellStyle name="40% - Accent6 3 9 2" xfId="23775" xr:uid="{00000000-0005-0000-0000-0000825C0000}"/>
    <cellStyle name="40% - Accent6 3 9 2 2" xfId="23776" xr:uid="{00000000-0005-0000-0000-0000835C0000}"/>
    <cellStyle name="40% - Accent6 3 9 2 2 2" xfId="23777" xr:uid="{00000000-0005-0000-0000-0000845C0000}"/>
    <cellStyle name="40% - Accent6 3 9 2 2 3" xfId="23778" xr:uid="{00000000-0005-0000-0000-0000855C0000}"/>
    <cellStyle name="40% - Accent6 3 9 2 3" xfId="23779" xr:uid="{00000000-0005-0000-0000-0000865C0000}"/>
    <cellStyle name="40% - Accent6 3 9 2 4" xfId="23780" xr:uid="{00000000-0005-0000-0000-0000875C0000}"/>
    <cellStyle name="40% - Accent6 3 9 3" xfId="23781" xr:uid="{00000000-0005-0000-0000-0000885C0000}"/>
    <cellStyle name="40% - Accent6 3 9 3 2" xfId="23782" xr:uid="{00000000-0005-0000-0000-0000895C0000}"/>
    <cellStyle name="40% - Accent6 3 9 3 3" xfId="23783" xr:uid="{00000000-0005-0000-0000-00008A5C0000}"/>
    <cellStyle name="40% - Accent6 3 9 4" xfId="23784" xr:uid="{00000000-0005-0000-0000-00008B5C0000}"/>
    <cellStyle name="40% - Accent6 3 9 5" xfId="23785" xr:uid="{00000000-0005-0000-0000-00008C5C0000}"/>
    <cellStyle name="40% - Accent6 3 9 6" xfId="23786" xr:uid="{00000000-0005-0000-0000-00008D5C0000}"/>
    <cellStyle name="40% - Accent6 4" xfId="23787" xr:uid="{00000000-0005-0000-0000-00008E5C0000}"/>
    <cellStyle name="40% - Accent6 4 10" xfId="23788" xr:uid="{00000000-0005-0000-0000-00008F5C0000}"/>
    <cellStyle name="40% - Accent6 4 11" xfId="23789" xr:uid="{00000000-0005-0000-0000-0000905C0000}"/>
    <cellStyle name="40% - Accent6 4 2" xfId="23790" xr:uid="{00000000-0005-0000-0000-0000915C0000}"/>
    <cellStyle name="40% - Accent6 4 2 10" xfId="23791" xr:uid="{00000000-0005-0000-0000-0000925C0000}"/>
    <cellStyle name="40% - Accent6 4 2 2" xfId="23792" xr:uid="{00000000-0005-0000-0000-0000935C0000}"/>
    <cellStyle name="40% - Accent6 4 2 2 2" xfId="23793" xr:uid="{00000000-0005-0000-0000-0000945C0000}"/>
    <cellStyle name="40% - Accent6 4 2 2 2 2" xfId="23794" xr:uid="{00000000-0005-0000-0000-0000955C0000}"/>
    <cellStyle name="40% - Accent6 4 2 2 2 2 2" xfId="23795" xr:uid="{00000000-0005-0000-0000-0000965C0000}"/>
    <cellStyle name="40% - Accent6 4 2 2 2 2 2 2" xfId="23796" xr:uid="{00000000-0005-0000-0000-0000975C0000}"/>
    <cellStyle name="40% - Accent6 4 2 2 2 2 2 2 2" xfId="23797" xr:uid="{00000000-0005-0000-0000-0000985C0000}"/>
    <cellStyle name="40% - Accent6 4 2 2 2 2 2 2 2 2" xfId="23798" xr:uid="{00000000-0005-0000-0000-0000995C0000}"/>
    <cellStyle name="40% - Accent6 4 2 2 2 2 2 2 2 3" xfId="23799" xr:uid="{00000000-0005-0000-0000-00009A5C0000}"/>
    <cellStyle name="40% - Accent6 4 2 2 2 2 2 2 3" xfId="23800" xr:uid="{00000000-0005-0000-0000-00009B5C0000}"/>
    <cellStyle name="40% - Accent6 4 2 2 2 2 2 2 4" xfId="23801" xr:uid="{00000000-0005-0000-0000-00009C5C0000}"/>
    <cellStyle name="40% - Accent6 4 2 2 2 2 2 3" xfId="23802" xr:uid="{00000000-0005-0000-0000-00009D5C0000}"/>
    <cellStyle name="40% - Accent6 4 2 2 2 2 2 3 2" xfId="23803" xr:uid="{00000000-0005-0000-0000-00009E5C0000}"/>
    <cellStyle name="40% - Accent6 4 2 2 2 2 2 3 3" xfId="23804" xr:uid="{00000000-0005-0000-0000-00009F5C0000}"/>
    <cellStyle name="40% - Accent6 4 2 2 2 2 2 4" xfId="23805" xr:uid="{00000000-0005-0000-0000-0000A05C0000}"/>
    <cellStyle name="40% - Accent6 4 2 2 2 2 2 5" xfId="23806" xr:uid="{00000000-0005-0000-0000-0000A15C0000}"/>
    <cellStyle name="40% - Accent6 4 2 2 2 2 2 6" xfId="23807" xr:uid="{00000000-0005-0000-0000-0000A25C0000}"/>
    <cellStyle name="40% - Accent6 4 2 2 2 2 3" xfId="23808" xr:uid="{00000000-0005-0000-0000-0000A35C0000}"/>
    <cellStyle name="40% - Accent6 4 2 2 2 2 3 2" xfId="23809" xr:uid="{00000000-0005-0000-0000-0000A45C0000}"/>
    <cellStyle name="40% - Accent6 4 2 2 2 2 3 2 2" xfId="23810" xr:uid="{00000000-0005-0000-0000-0000A55C0000}"/>
    <cellStyle name="40% - Accent6 4 2 2 2 2 3 2 3" xfId="23811" xr:uid="{00000000-0005-0000-0000-0000A65C0000}"/>
    <cellStyle name="40% - Accent6 4 2 2 2 2 3 3" xfId="23812" xr:uid="{00000000-0005-0000-0000-0000A75C0000}"/>
    <cellStyle name="40% - Accent6 4 2 2 2 2 3 4" xfId="23813" xr:uid="{00000000-0005-0000-0000-0000A85C0000}"/>
    <cellStyle name="40% - Accent6 4 2 2 2 2 4" xfId="23814" xr:uid="{00000000-0005-0000-0000-0000A95C0000}"/>
    <cellStyle name="40% - Accent6 4 2 2 2 2 4 2" xfId="23815" xr:uid="{00000000-0005-0000-0000-0000AA5C0000}"/>
    <cellStyle name="40% - Accent6 4 2 2 2 2 4 3" xfId="23816" xr:uid="{00000000-0005-0000-0000-0000AB5C0000}"/>
    <cellStyle name="40% - Accent6 4 2 2 2 2 5" xfId="23817" xr:uid="{00000000-0005-0000-0000-0000AC5C0000}"/>
    <cellStyle name="40% - Accent6 4 2 2 2 2 6" xfId="23818" xr:uid="{00000000-0005-0000-0000-0000AD5C0000}"/>
    <cellStyle name="40% - Accent6 4 2 2 2 2 7" xfId="23819" xr:uid="{00000000-0005-0000-0000-0000AE5C0000}"/>
    <cellStyle name="40% - Accent6 4 2 2 2 3" xfId="23820" xr:uid="{00000000-0005-0000-0000-0000AF5C0000}"/>
    <cellStyle name="40% - Accent6 4 2 2 2 3 2" xfId="23821" xr:uid="{00000000-0005-0000-0000-0000B05C0000}"/>
    <cellStyle name="40% - Accent6 4 2 2 2 3 2 2" xfId="23822" xr:uid="{00000000-0005-0000-0000-0000B15C0000}"/>
    <cellStyle name="40% - Accent6 4 2 2 2 3 2 2 2" xfId="23823" xr:uid="{00000000-0005-0000-0000-0000B25C0000}"/>
    <cellStyle name="40% - Accent6 4 2 2 2 3 2 2 3" xfId="23824" xr:uid="{00000000-0005-0000-0000-0000B35C0000}"/>
    <cellStyle name="40% - Accent6 4 2 2 2 3 2 3" xfId="23825" xr:uid="{00000000-0005-0000-0000-0000B45C0000}"/>
    <cellStyle name="40% - Accent6 4 2 2 2 3 2 4" xfId="23826" xr:uid="{00000000-0005-0000-0000-0000B55C0000}"/>
    <cellStyle name="40% - Accent6 4 2 2 2 3 3" xfId="23827" xr:uid="{00000000-0005-0000-0000-0000B65C0000}"/>
    <cellStyle name="40% - Accent6 4 2 2 2 3 3 2" xfId="23828" xr:uid="{00000000-0005-0000-0000-0000B75C0000}"/>
    <cellStyle name="40% - Accent6 4 2 2 2 3 3 3" xfId="23829" xr:uid="{00000000-0005-0000-0000-0000B85C0000}"/>
    <cellStyle name="40% - Accent6 4 2 2 2 3 4" xfId="23830" xr:uid="{00000000-0005-0000-0000-0000B95C0000}"/>
    <cellStyle name="40% - Accent6 4 2 2 2 3 5" xfId="23831" xr:uid="{00000000-0005-0000-0000-0000BA5C0000}"/>
    <cellStyle name="40% - Accent6 4 2 2 2 3 6" xfId="23832" xr:uid="{00000000-0005-0000-0000-0000BB5C0000}"/>
    <cellStyle name="40% - Accent6 4 2 2 2 4" xfId="23833" xr:uid="{00000000-0005-0000-0000-0000BC5C0000}"/>
    <cellStyle name="40% - Accent6 4 2 2 2 4 2" xfId="23834" xr:uid="{00000000-0005-0000-0000-0000BD5C0000}"/>
    <cellStyle name="40% - Accent6 4 2 2 2 4 2 2" xfId="23835" xr:uid="{00000000-0005-0000-0000-0000BE5C0000}"/>
    <cellStyle name="40% - Accent6 4 2 2 2 4 2 3" xfId="23836" xr:uid="{00000000-0005-0000-0000-0000BF5C0000}"/>
    <cellStyle name="40% - Accent6 4 2 2 2 4 3" xfId="23837" xr:uid="{00000000-0005-0000-0000-0000C05C0000}"/>
    <cellStyle name="40% - Accent6 4 2 2 2 4 4" xfId="23838" xr:uid="{00000000-0005-0000-0000-0000C15C0000}"/>
    <cellStyle name="40% - Accent6 4 2 2 2 5" xfId="23839" xr:uid="{00000000-0005-0000-0000-0000C25C0000}"/>
    <cellStyle name="40% - Accent6 4 2 2 2 5 2" xfId="23840" xr:uid="{00000000-0005-0000-0000-0000C35C0000}"/>
    <cellStyle name="40% - Accent6 4 2 2 2 5 3" xfId="23841" xr:uid="{00000000-0005-0000-0000-0000C45C0000}"/>
    <cellStyle name="40% - Accent6 4 2 2 2 6" xfId="23842" xr:uid="{00000000-0005-0000-0000-0000C55C0000}"/>
    <cellStyle name="40% - Accent6 4 2 2 2 7" xfId="23843" xr:uid="{00000000-0005-0000-0000-0000C65C0000}"/>
    <cellStyle name="40% - Accent6 4 2 2 2 8" xfId="23844" xr:uid="{00000000-0005-0000-0000-0000C75C0000}"/>
    <cellStyle name="40% - Accent6 4 2 2 3" xfId="23845" xr:uid="{00000000-0005-0000-0000-0000C85C0000}"/>
    <cellStyle name="40% - Accent6 4 2 2 3 2" xfId="23846" xr:uid="{00000000-0005-0000-0000-0000C95C0000}"/>
    <cellStyle name="40% - Accent6 4 2 2 3 2 2" xfId="23847" xr:uid="{00000000-0005-0000-0000-0000CA5C0000}"/>
    <cellStyle name="40% - Accent6 4 2 2 3 2 2 2" xfId="23848" xr:uid="{00000000-0005-0000-0000-0000CB5C0000}"/>
    <cellStyle name="40% - Accent6 4 2 2 3 2 2 2 2" xfId="23849" xr:uid="{00000000-0005-0000-0000-0000CC5C0000}"/>
    <cellStyle name="40% - Accent6 4 2 2 3 2 2 2 3" xfId="23850" xr:uid="{00000000-0005-0000-0000-0000CD5C0000}"/>
    <cellStyle name="40% - Accent6 4 2 2 3 2 2 3" xfId="23851" xr:uid="{00000000-0005-0000-0000-0000CE5C0000}"/>
    <cellStyle name="40% - Accent6 4 2 2 3 2 2 4" xfId="23852" xr:uid="{00000000-0005-0000-0000-0000CF5C0000}"/>
    <cellStyle name="40% - Accent6 4 2 2 3 2 3" xfId="23853" xr:uid="{00000000-0005-0000-0000-0000D05C0000}"/>
    <cellStyle name="40% - Accent6 4 2 2 3 2 3 2" xfId="23854" xr:uid="{00000000-0005-0000-0000-0000D15C0000}"/>
    <cellStyle name="40% - Accent6 4 2 2 3 2 3 3" xfId="23855" xr:uid="{00000000-0005-0000-0000-0000D25C0000}"/>
    <cellStyle name="40% - Accent6 4 2 2 3 2 4" xfId="23856" xr:uid="{00000000-0005-0000-0000-0000D35C0000}"/>
    <cellStyle name="40% - Accent6 4 2 2 3 2 5" xfId="23857" xr:uid="{00000000-0005-0000-0000-0000D45C0000}"/>
    <cellStyle name="40% - Accent6 4 2 2 3 2 6" xfId="23858" xr:uid="{00000000-0005-0000-0000-0000D55C0000}"/>
    <cellStyle name="40% - Accent6 4 2 2 3 3" xfId="23859" xr:uid="{00000000-0005-0000-0000-0000D65C0000}"/>
    <cellStyle name="40% - Accent6 4 2 2 3 3 2" xfId="23860" xr:uid="{00000000-0005-0000-0000-0000D75C0000}"/>
    <cellStyle name="40% - Accent6 4 2 2 3 3 2 2" xfId="23861" xr:uid="{00000000-0005-0000-0000-0000D85C0000}"/>
    <cellStyle name="40% - Accent6 4 2 2 3 3 2 3" xfId="23862" xr:uid="{00000000-0005-0000-0000-0000D95C0000}"/>
    <cellStyle name="40% - Accent6 4 2 2 3 3 3" xfId="23863" xr:uid="{00000000-0005-0000-0000-0000DA5C0000}"/>
    <cellStyle name="40% - Accent6 4 2 2 3 3 4" xfId="23864" xr:uid="{00000000-0005-0000-0000-0000DB5C0000}"/>
    <cellStyle name="40% - Accent6 4 2 2 3 4" xfId="23865" xr:uid="{00000000-0005-0000-0000-0000DC5C0000}"/>
    <cellStyle name="40% - Accent6 4 2 2 3 4 2" xfId="23866" xr:uid="{00000000-0005-0000-0000-0000DD5C0000}"/>
    <cellStyle name="40% - Accent6 4 2 2 3 4 3" xfId="23867" xr:uid="{00000000-0005-0000-0000-0000DE5C0000}"/>
    <cellStyle name="40% - Accent6 4 2 2 3 5" xfId="23868" xr:uid="{00000000-0005-0000-0000-0000DF5C0000}"/>
    <cellStyle name="40% - Accent6 4 2 2 3 6" xfId="23869" xr:uid="{00000000-0005-0000-0000-0000E05C0000}"/>
    <cellStyle name="40% - Accent6 4 2 2 3 7" xfId="23870" xr:uid="{00000000-0005-0000-0000-0000E15C0000}"/>
    <cellStyle name="40% - Accent6 4 2 2 4" xfId="23871" xr:uid="{00000000-0005-0000-0000-0000E25C0000}"/>
    <cellStyle name="40% - Accent6 4 2 2 4 2" xfId="23872" xr:uid="{00000000-0005-0000-0000-0000E35C0000}"/>
    <cellStyle name="40% - Accent6 4 2 2 4 2 2" xfId="23873" xr:uid="{00000000-0005-0000-0000-0000E45C0000}"/>
    <cellStyle name="40% - Accent6 4 2 2 4 2 2 2" xfId="23874" xr:uid="{00000000-0005-0000-0000-0000E55C0000}"/>
    <cellStyle name="40% - Accent6 4 2 2 4 2 2 3" xfId="23875" xr:uid="{00000000-0005-0000-0000-0000E65C0000}"/>
    <cellStyle name="40% - Accent6 4 2 2 4 2 3" xfId="23876" xr:uid="{00000000-0005-0000-0000-0000E75C0000}"/>
    <cellStyle name="40% - Accent6 4 2 2 4 2 4" xfId="23877" xr:uid="{00000000-0005-0000-0000-0000E85C0000}"/>
    <cellStyle name="40% - Accent6 4 2 2 4 3" xfId="23878" xr:uid="{00000000-0005-0000-0000-0000E95C0000}"/>
    <cellStyle name="40% - Accent6 4 2 2 4 3 2" xfId="23879" xr:uid="{00000000-0005-0000-0000-0000EA5C0000}"/>
    <cellStyle name="40% - Accent6 4 2 2 4 3 3" xfId="23880" xr:uid="{00000000-0005-0000-0000-0000EB5C0000}"/>
    <cellStyle name="40% - Accent6 4 2 2 4 4" xfId="23881" xr:uid="{00000000-0005-0000-0000-0000EC5C0000}"/>
    <cellStyle name="40% - Accent6 4 2 2 4 5" xfId="23882" xr:uid="{00000000-0005-0000-0000-0000ED5C0000}"/>
    <cellStyle name="40% - Accent6 4 2 2 4 6" xfId="23883" xr:uid="{00000000-0005-0000-0000-0000EE5C0000}"/>
    <cellStyle name="40% - Accent6 4 2 2 5" xfId="23884" xr:uid="{00000000-0005-0000-0000-0000EF5C0000}"/>
    <cellStyle name="40% - Accent6 4 2 2 5 2" xfId="23885" xr:uid="{00000000-0005-0000-0000-0000F05C0000}"/>
    <cellStyle name="40% - Accent6 4 2 2 5 2 2" xfId="23886" xr:uid="{00000000-0005-0000-0000-0000F15C0000}"/>
    <cellStyle name="40% - Accent6 4 2 2 5 2 3" xfId="23887" xr:uid="{00000000-0005-0000-0000-0000F25C0000}"/>
    <cellStyle name="40% - Accent6 4 2 2 5 3" xfId="23888" xr:uid="{00000000-0005-0000-0000-0000F35C0000}"/>
    <cellStyle name="40% - Accent6 4 2 2 5 4" xfId="23889" xr:uid="{00000000-0005-0000-0000-0000F45C0000}"/>
    <cellStyle name="40% - Accent6 4 2 2 6" xfId="23890" xr:uid="{00000000-0005-0000-0000-0000F55C0000}"/>
    <cellStyle name="40% - Accent6 4 2 2 6 2" xfId="23891" xr:uid="{00000000-0005-0000-0000-0000F65C0000}"/>
    <cellStyle name="40% - Accent6 4 2 2 6 3" xfId="23892" xr:uid="{00000000-0005-0000-0000-0000F75C0000}"/>
    <cellStyle name="40% - Accent6 4 2 2 7" xfId="23893" xr:uid="{00000000-0005-0000-0000-0000F85C0000}"/>
    <cellStyle name="40% - Accent6 4 2 2 8" xfId="23894" xr:uid="{00000000-0005-0000-0000-0000F95C0000}"/>
    <cellStyle name="40% - Accent6 4 2 2 9" xfId="23895" xr:uid="{00000000-0005-0000-0000-0000FA5C0000}"/>
    <cellStyle name="40% - Accent6 4 2 3" xfId="23896" xr:uid="{00000000-0005-0000-0000-0000FB5C0000}"/>
    <cellStyle name="40% - Accent6 4 2 3 2" xfId="23897" xr:uid="{00000000-0005-0000-0000-0000FC5C0000}"/>
    <cellStyle name="40% - Accent6 4 2 3 2 2" xfId="23898" xr:uid="{00000000-0005-0000-0000-0000FD5C0000}"/>
    <cellStyle name="40% - Accent6 4 2 3 2 2 2" xfId="23899" xr:uid="{00000000-0005-0000-0000-0000FE5C0000}"/>
    <cellStyle name="40% - Accent6 4 2 3 2 2 2 2" xfId="23900" xr:uid="{00000000-0005-0000-0000-0000FF5C0000}"/>
    <cellStyle name="40% - Accent6 4 2 3 2 2 2 2 2" xfId="23901" xr:uid="{00000000-0005-0000-0000-0000005D0000}"/>
    <cellStyle name="40% - Accent6 4 2 3 2 2 2 2 3" xfId="23902" xr:uid="{00000000-0005-0000-0000-0000015D0000}"/>
    <cellStyle name="40% - Accent6 4 2 3 2 2 2 3" xfId="23903" xr:uid="{00000000-0005-0000-0000-0000025D0000}"/>
    <cellStyle name="40% - Accent6 4 2 3 2 2 2 4" xfId="23904" xr:uid="{00000000-0005-0000-0000-0000035D0000}"/>
    <cellStyle name="40% - Accent6 4 2 3 2 2 3" xfId="23905" xr:uid="{00000000-0005-0000-0000-0000045D0000}"/>
    <cellStyle name="40% - Accent6 4 2 3 2 2 3 2" xfId="23906" xr:uid="{00000000-0005-0000-0000-0000055D0000}"/>
    <cellStyle name="40% - Accent6 4 2 3 2 2 3 3" xfId="23907" xr:uid="{00000000-0005-0000-0000-0000065D0000}"/>
    <cellStyle name="40% - Accent6 4 2 3 2 2 4" xfId="23908" xr:uid="{00000000-0005-0000-0000-0000075D0000}"/>
    <cellStyle name="40% - Accent6 4 2 3 2 2 5" xfId="23909" xr:uid="{00000000-0005-0000-0000-0000085D0000}"/>
    <cellStyle name="40% - Accent6 4 2 3 2 2 6" xfId="23910" xr:uid="{00000000-0005-0000-0000-0000095D0000}"/>
    <cellStyle name="40% - Accent6 4 2 3 2 3" xfId="23911" xr:uid="{00000000-0005-0000-0000-00000A5D0000}"/>
    <cellStyle name="40% - Accent6 4 2 3 2 3 2" xfId="23912" xr:uid="{00000000-0005-0000-0000-00000B5D0000}"/>
    <cellStyle name="40% - Accent6 4 2 3 2 3 2 2" xfId="23913" xr:uid="{00000000-0005-0000-0000-00000C5D0000}"/>
    <cellStyle name="40% - Accent6 4 2 3 2 3 2 3" xfId="23914" xr:uid="{00000000-0005-0000-0000-00000D5D0000}"/>
    <cellStyle name="40% - Accent6 4 2 3 2 3 3" xfId="23915" xr:uid="{00000000-0005-0000-0000-00000E5D0000}"/>
    <cellStyle name="40% - Accent6 4 2 3 2 3 4" xfId="23916" xr:uid="{00000000-0005-0000-0000-00000F5D0000}"/>
    <cellStyle name="40% - Accent6 4 2 3 2 4" xfId="23917" xr:uid="{00000000-0005-0000-0000-0000105D0000}"/>
    <cellStyle name="40% - Accent6 4 2 3 2 4 2" xfId="23918" xr:uid="{00000000-0005-0000-0000-0000115D0000}"/>
    <cellStyle name="40% - Accent6 4 2 3 2 4 3" xfId="23919" xr:uid="{00000000-0005-0000-0000-0000125D0000}"/>
    <cellStyle name="40% - Accent6 4 2 3 2 5" xfId="23920" xr:uid="{00000000-0005-0000-0000-0000135D0000}"/>
    <cellStyle name="40% - Accent6 4 2 3 2 6" xfId="23921" xr:uid="{00000000-0005-0000-0000-0000145D0000}"/>
    <cellStyle name="40% - Accent6 4 2 3 2 7" xfId="23922" xr:uid="{00000000-0005-0000-0000-0000155D0000}"/>
    <cellStyle name="40% - Accent6 4 2 3 3" xfId="23923" xr:uid="{00000000-0005-0000-0000-0000165D0000}"/>
    <cellStyle name="40% - Accent6 4 2 3 3 2" xfId="23924" xr:uid="{00000000-0005-0000-0000-0000175D0000}"/>
    <cellStyle name="40% - Accent6 4 2 3 3 2 2" xfId="23925" xr:uid="{00000000-0005-0000-0000-0000185D0000}"/>
    <cellStyle name="40% - Accent6 4 2 3 3 2 2 2" xfId="23926" xr:uid="{00000000-0005-0000-0000-0000195D0000}"/>
    <cellStyle name="40% - Accent6 4 2 3 3 2 2 3" xfId="23927" xr:uid="{00000000-0005-0000-0000-00001A5D0000}"/>
    <cellStyle name="40% - Accent6 4 2 3 3 2 3" xfId="23928" xr:uid="{00000000-0005-0000-0000-00001B5D0000}"/>
    <cellStyle name="40% - Accent6 4 2 3 3 2 4" xfId="23929" xr:uid="{00000000-0005-0000-0000-00001C5D0000}"/>
    <cellStyle name="40% - Accent6 4 2 3 3 3" xfId="23930" xr:uid="{00000000-0005-0000-0000-00001D5D0000}"/>
    <cellStyle name="40% - Accent6 4 2 3 3 3 2" xfId="23931" xr:uid="{00000000-0005-0000-0000-00001E5D0000}"/>
    <cellStyle name="40% - Accent6 4 2 3 3 3 3" xfId="23932" xr:uid="{00000000-0005-0000-0000-00001F5D0000}"/>
    <cellStyle name="40% - Accent6 4 2 3 3 4" xfId="23933" xr:uid="{00000000-0005-0000-0000-0000205D0000}"/>
    <cellStyle name="40% - Accent6 4 2 3 3 5" xfId="23934" xr:uid="{00000000-0005-0000-0000-0000215D0000}"/>
    <cellStyle name="40% - Accent6 4 2 3 3 6" xfId="23935" xr:uid="{00000000-0005-0000-0000-0000225D0000}"/>
    <cellStyle name="40% - Accent6 4 2 3 4" xfId="23936" xr:uid="{00000000-0005-0000-0000-0000235D0000}"/>
    <cellStyle name="40% - Accent6 4 2 3 4 2" xfId="23937" xr:uid="{00000000-0005-0000-0000-0000245D0000}"/>
    <cellStyle name="40% - Accent6 4 2 3 4 2 2" xfId="23938" xr:uid="{00000000-0005-0000-0000-0000255D0000}"/>
    <cellStyle name="40% - Accent6 4 2 3 4 2 3" xfId="23939" xr:uid="{00000000-0005-0000-0000-0000265D0000}"/>
    <cellStyle name="40% - Accent6 4 2 3 4 3" xfId="23940" xr:uid="{00000000-0005-0000-0000-0000275D0000}"/>
    <cellStyle name="40% - Accent6 4 2 3 4 4" xfId="23941" xr:uid="{00000000-0005-0000-0000-0000285D0000}"/>
    <cellStyle name="40% - Accent6 4 2 3 5" xfId="23942" xr:uid="{00000000-0005-0000-0000-0000295D0000}"/>
    <cellStyle name="40% - Accent6 4 2 3 5 2" xfId="23943" xr:uid="{00000000-0005-0000-0000-00002A5D0000}"/>
    <cellStyle name="40% - Accent6 4 2 3 5 3" xfId="23944" xr:uid="{00000000-0005-0000-0000-00002B5D0000}"/>
    <cellStyle name="40% - Accent6 4 2 3 6" xfId="23945" xr:uid="{00000000-0005-0000-0000-00002C5D0000}"/>
    <cellStyle name="40% - Accent6 4 2 3 7" xfId="23946" xr:uid="{00000000-0005-0000-0000-00002D5D0000}"/>
    <cellStyle name="40% - Accent6 4 2 3 8" xfId="23947" xr:uid="{00000000-0005-0000-0000-00002E5D0000}"/>
    <cellStyle name="40% - Accent6 4 2 4" xfId="23948" xr:uid="{00000000-0005-0000-0000-00002F5D0000}"/>
    <cellStyle name="40% - Accent6 4 2 4 2" xfId="23949" xr:uid="{00000000-0005-0000-0000-0000305D0000}"/>
    <cellStyle name="40% - Accent6 4 2 4 2 2" xfId="23950" xr:uid="{00000000-0005-0000-0000-0000315D0000}"/>
    <cellStyle name="40% - Accent6 4 2 4 2 2 2" xfId="23951" xr:uid="{00000000-0005-0000-0000-0000325D0000}"/>
    <cellStyle name="40% - Accent6 4 2 4 2 2 2 2" xfId="23952" xr:uid="{00000000-0005-0000-0000-0000335D0000}"/>
    <cellStyle name="40% - Accent6 4 2 4 2 2 2 3" xfId="23953" xr:uid="{00000000-0005-0000-0000-0000345D0000}"/>
    <cellStyle name="40% - Accent6 4 2 4 2 2 3" xfId="23954" xr:uid="{00000000-0005-0000-0000-0000355D0000}"/>
    <cellStyle name="40% - Accent6 4 2 4 2 2 4" xfId="23955" xr:uid="{00000000-0005-0000-0000-0000365D0000}"/>
    <cellStyle name="40% - Accent6 4 2 4 2 3" xfId="23956" xr:uid="{00000000-0005-0000-0000-0000375D0000}"/>
    <cellStyle name="40% - Accent6 4 2 4 2 3 2" xfId="23957" xr:uid="{00000000-0005-0000-0000-0000385D0000}"/>
    <cellStyle name="40% - Accent6 4 2 4 2 3 3" xfId="23958" xr:uid="{00000000-0005-0000-0000-0000395D0000}"/>
    <cellStyle name="40% - Accent6 4 2 4 2 4" xfId="23959" xr:uid="{00000000-0005-0000-0000-00003A5D0000}"/>
    <cellStyle name="40% - Accent6 4 2 4 2 5" xfId="23960" xr:uid="{00000000-0005-0000-0000-00003B5D0000}"/>
    <cellStyle name="40% - Accent6 4 2 4 2 6" xfId="23961" xr:uid="{00000000-0005-0000-0000-00003C5D0000}"/>
    <cellStyle name="40% - Accent6 4 2 4 3" xfId="23962" xr:uid="{00000000-0005-0000-0000-00003D5D0000}"/>
    <cellStyle name="40% - Accent6 4 2 4 3 2" xfId="23963" xr:uid="{00000000-0005-0000-0000-00003E5D0000}"/>
    <cellStyle name="40% - Accent6 4 2 4 3 2 2" xfId="23964" xr:uid="{00000000-0005-0000-0000-00003F5D0000}"/>
    <cellStyle name="40% - Accent6 4 2 4 3 2 3" xfId="23965" xr:uid="{00000000-0005-0000-0000-0000405D0000}"/>
    <cellStyle name="40% - Accent6 4 2 4 3 3" xfId="23966" xr:uid="{00000000-0005-0000-0000-0000415D0000}"/>
    <cellStyle name="40% - Accent6 4 2 4 3 4" xfId="23967" xr:uid="{00000000-0005-0000-0000-0000425D0000}"/>
    <cellStyle name="40% - Accent6 4 2 4 4" xfId="23968" xr:uid="{00000000-0005-0000-0000-0000435D0000}"/>
    <cellStyle name="40% - Accent6 4 2 4 4 2" xfId="23969" xr:uid="{00000000-0005-0000-0000-0000445D0000}"/>
    <cellStyle name="40% - Accent6 4 2 4 4 3" xfId="23970" xr:uid="{00000000-0005-0000-0000-0000455D0000}"/>
    <cellStyle name="40% - Accent6 4 2 4 5" xfId="23971" xr:uid="{00000000-0005-0000-0000-0000465D0000}"/>
    <cellStyle name="40% - Accent6 4 2 4 6" xfId="23972" xr:uid="{00000000-0005-0000-0000-0000475D0000}"/>
    <cellStyle name="40% - Accent6 4 2 4 7" xfId="23973" xr:uid="{00000000-0005-0000-0000-0000485D0000}"/>
    <cellStyle name="40% - Accent6 4 2 5" xfId="23974" xr:uid="{00000000-0005-0000-0000-0000495D0000}"/>
    <cellStyle name="40% - Accent6 4 2 5 2" xfId="23975" xr:uid="{00000000-0005-0000-0000-00004A5D0000}"/>
    <cellStyle name="40% - Accent6 4 2 5 2 2" xfId="23976" xr:uid="{00000000-0005-0000-0000-00004B5D0000}"/>
    <cellStyle name="40% - Accent6 4 2 5 2 2 2" xfId="23977" xr:uid="{00000000-0005-0000-0000-00004C5D0000}"/>
    <cellStyle name="40% - Accent6 4 2 5 2 2 3" xfId="23978" xr:uid="{00000000-0005-0000-0000-00004D5D0000}"/>
    <cellStyle name="40% - Accent6 4 2 5 2 3" xfId="23979" xr:uid="{00000000-0005-0000-0000-00004E5D0000}"/>
    <cellStyle name="40% - Accent6 4 2 5 2 4" xfId="23980" xr:uid="{00000000-0005-0000-0000-00004F5D0000}"/>
    <cellStyle name="40% - Accent6 4 2 5 3" xfId="23981" xr:uid="{00000000-0005-0000-0000-0000505D0000}"/>
    <cellStyle name="40% - Accent6 4 2 5 3 2" xfId="23982" xr:uid="{00000000-0005-0000-0000-0000515D0000}"/>
    <cellStyle name="40% - Accent6 4 2 5 3 3" xfId="23983" xr:uid="{00000000-0005-0000-0000-0000525D0000}"/>
    <cellStyle name="40% - Accent6 4 2 5 4" xfId="23984" xr:uid="{00000000-0005-0000-0000-0000535D0000}"/>
    <cellStyle name="40% - Accent6 4 2 5 5" xfId="23985" xr:uid="{00000000-0005-0000-0000-0000545D0000}"/>
    <cellStyle name="40% - Accent6 4 2 5 6" xfId="23986" xr:uid="{00000000-0005-0000-0000-0000555D0000}"/>
    <cellStyle name="40% - Accent6 4 2 6" xfId="23987" xr:uid="{00000000-0005-0000-0000-0000565D0000}"/>
    <cellStyle name="40% - Accent6 4 2 6 2" xfId="23988" xr:uid="{00000000-0005-0000-0000-0000575D0000}"/>
    <cellStyle name="40% - Accent6 4 2 6 2 2" xfId="23989" xr:uid="{00000000-0005-0000-0000-0000585D0000}"/>
    <cellStyle name="40% - Accent6 4 2 6 2 3" xfId="23990" xr:uid="{00000000-0005-0000-0000-0000595D0000}"/>
    <cellStyle name="40% - Accent6 4 2 6 3" xfId="23991" xr:uid="{00000000-0005-0000-0000-00005A5D0000}"/>
    <cellStyle name="40% - Accent6 4 2 6 4" xfId="23992" xr:uid="{00000000-0005-0000-0000-00005B5D0000}"/>
    <cellStyle name="40% - Accent6 4 2 7" xfId="23993" xr:uid="{00000000-0005-0000-0000-00005C5D0000}"/>
    <cellStyle name="40% - Accent6 4 2 7 2" xfId="23994" xr:uid="{00000000-0005-0000-0000-00005D5D0000}"/>
    <cellStyle name="40% - Accent6 4 2 7 3" xfId="23995" xr:uid="{00000000-0005-0000-0000-00005E5D0000}"/>
    <cellStyle name="40% - Accent6 4 2 8" xfId="23996" xr:uid="{00000000-0005-0000-0000-00005F5D0000}"/>
    <cellStyle name="40% - Accent6 4 2 9" xfId="23997" xr:uid="{00000000-0005-0000-0000-0000605D0000}"/>
    <cellStyle name="40% - Accent6 4 3" xfId="23998" xr:uid="{00000000-0005-0000-0000-0000615D0000}"/>
    <cellStyle name="40% - Accent6 4 3 2" xfId="23999" xr:uid="{00000000-0005-0000-0000-0000625D0000}"/>
    <cellStyle name="40% - Accent6 4 3 2 2" xfId="24000" xr:uid="{00000000-0005-0000-0000-0000635D0000}"/>
    <cellStyle name="40% - Accent6 4 3 2 2 2" xfId="24001" xr:uid="{00000000-0005-0000-0000-0000645D0000}"/>
    <cellStyle name="40% - Accent6 4 3 2 2 2 2" xfId="24002" xr:uid="{00000000-0005-0000-0000-0000655D0000}"/>
    <cellStyle name="40% - Accent6 4 3 2 2 2 2 2" xfId="24003" xr:uid="{00000000-0005-0000-0000-0000665D0000}"/>
    <cellStyle name="40% - Accent6 4 3 2 2 2 2 2 2" xfId="24004" xr:uid="{00000000-0005-0000-0000-0000675D0000}"/>
    <cellStyle name="40% - Accent6 4 3 2 2 2 2 2 3" xfId="24005" xr:uid="{00000000-0005-0000-0000-0000685D0000}"/>
    <cellStyle name="40% - Accent6 4 3 2 2 2 2 3" xfId="24006" xr:uid="{00000000-0005-0000-0000-0000695D0000}"/>
    <cellStyle name="40% - Accent6 4 3 2 2 2 2 4" xfId="24007" xr:uid="{00000000-0005-0000-0000-00006A5D0000}"/>
    <cellStyle name="40% - Accent6 4 3 2 2 2 3" xfId="24008" xr:uid="{00000000-0005-0000-0000-00006B5D0000}"/>
    <cellStyle name="40% - Accent6 4 3 2 2 2 3 2" xfId="24009" xr:uid="{00000000-0005-0000-0000-00006C5D0000}"/>
    <cellStyle name="40% - Accent6 4 3 2 2 2 3 3" xfId="24010" xr:uid="{00000000-0005-0000-0000-00006D5D0000}"/>
    <cellStyle name="40% - Accent6 4 3 2 2 2 4" xfId="24011" xr:uid="{00000000-0005-0000-0000-00006E5D0000}"/>
    <cellStyle name="40% - Accent6 4 3 2 2 2 5" xfId="24012" xr:uid="{00000000-0005-0000-0000-00006F5D0000}"/>
    <cellStyle name="40% - Accent6 4 3 2 2 2 6" xfId="24013" xr:uid="{00000000-0005-0000-0000-0000705D0000}"/>
    <cellStyle name="40% - Accent6 4 3 2 2 3" xfId="24014" xr:uid="{00000000-0005-0000-0000-0000715D0000}"/>
    <cellStyle name="40% - Accent6 4 3 2 2 3 2" xfId="24015" xr:uid="{00000000-0005-0000-0000-0000725D0000}"/>
    <cellStyle name="40% - Accent6 4 3 2 2 3 2 2" xfId="24016" xr:uid="{00000000-0005-0000-0000-0000735D0000}"/>
    <cellStyle name="40% - Accent6 4 3 2 2 3 2 3" xfId="24017" xr:uid="{00000000-0005-0000-0000-0000745D0000}"/>
    <cellStyle name="40% - Accent6 4 3 2 2 3 3" xfId="24018" xr:uid="{00000000-0005-0000-0000-0000755D0000}"/>
    <cellStyle name="40% - Accent6 4 3 2 2 3 4" xfId="24019" xr:uid="{00000000-0005-0000-0000-0000765D0000}"/>
    <cellStyle name="40% - Accent6 4 3 2 2 4" xfId="24020" xr:uid="{00000000-0005-0000-0000-0000775D0000}"/>
    <cellStyle name="40% - Accent6 4 3 2 2 4 2" xfId="24021" xr:uid="{00000000-0005-0000-0000-0000785D0000}"/>
    <cellStyle name="40% - Accent6 4 3 2 2 4 3" xfId="24022" xr:uid="{00000000-0005-0000-0000-0000795D0000}"/>
    <cellStyle name="40% - Accent6 4 3 2 2 5" xfId="24023" xr:uid="{00000000-0005-0000-0000-00007A5D0000}"/>
    <cellStyle name="40% - Accent6 4 3 2 2 6" xfId="24024" xr:uid="{00000000-0005-0000-0000-00007B5D0000}"/>
    <cellStyle name="40% - Accent6 4 3 2 2 7" xfId="24025" xr:uid="{00000000-0005-0000-0000-00007C5D0000}"/>
    <cellStyle name="40% - Accent6 4 3 2 3" xfId="24026" xr:uid="{00000000-0005-0000-0000-00007D5D0000}"/>
    <cellStyle name="40% - Accent6 4 3 2 3 2" xfId="24027" xr:uid="{00000000-0005-0000-0000-00007E5D0000}"/>
    <cellStyle name="40% - Accent6 4 3 2 3 2 2" xfId="24028" xr:uid="{00000000-0005-0000-0000-00007F5D0000}"/>
    <cellStyle name="40% - Accent6 4 3 2 3 2 2 2" xfId="24029" xr:uid="{00000000-0005-0000-0000-0000805D0000}"/>
    <cellStyle name="40% - Accent6 4 3 2 3 2 2 3" xfId="24030" xr:uid="{00000000-0005-0000-0000-0000815D0000}"/>
    <cellStyle name="40% - Accent6 4 3 2 3 2 3" xfId="24031" xr:uid="{00000000-0005-0000-0000-0000825D0000}"/>
    <cellStyle name="40% - Accent6 4 3 2 3 2 4" xfId="24032" xr:uid="{00000000-0005-0000-0000-0000835D0000}"/>
    <cellStyle name="40% - Accent6 4 3 2 3 3" xfId="24033" xr:uid="{00000000-0005-0000-0000-0000845D0000}"/>
    <cellStyle name="40% - Accent6 4 3 2 3 3 2" xfId="24034" xr:uid="{00000000-0005-0000-0000-0000855D0000}"/>
    <cellStyle name="40% - Accent6 4 3 2 3 3 3" xfId="24035" xr:uid="{00000000-0005-0000-0000-0000865D0000}"/>
    <cellStyle name="40% - Accent6 4 3 2 3 4" xfId="24036" xr:uid="{00000000-0005-0000-0000-0000875D0000}"/>
    <cellStyle name="40% - Accent6 4 3 2 3 5" xfId="24037" xr:uid="{00000000-0005-0000-0000-0000885D0000}"/>
    <cellStyle name="40% - Accent6 4 3 2 3 6" xfId="24038" xr:uid="{00000000-0005-0000-0000-0000895D0000}"/>
    <cellStyle name="40% - Accent6 4 3 2 4" xfId="24039" xr:uid="{00000000-0005-0000-0000-00008A5D0000}"/>
    <cellStyle name="40% - Accent6 4 3 2 4 2" xfId="24040" xr:uid="{00000000-0005-0000-0000-00008B5D0000}"/>
    <cellStyle name="40% - Accent6 4 3 2 4 2 2" xfId="24041" xr:uid="{00000000-0005-0000-0000-00008C5D0000}"/>
    <cellStyle name="40% - Accent6 4 3 2 4 2 3" xfId="24042" xr:uid="{00000000-0005-0000-0000-00008D5D0000}"/>
    <cellStyle name="40% - Accent6 4 3 2 4 3" xfId="24043" xr:uid="{00000000-0005-0000-0000-00008E5D0000}"/>
    <cellStyle name="40% - Accent6 4 3 2 4 4" xfId="24044" xr:uid="{00000000-0005-0000-0000-00008F5D0000}"/>
    <cellStyle name="40% - Accent6 4 3 2 5" xfId="24045" xr:uid="{00000000-0005-0000-0000-0000905D0000}"/>
    <cellStyle name="40% - Accent6 4 3 2 5 2" xfId="24046" xr:uid="{00000000-0005-0000-0000-0000915D0000}"/>
    <cellStyle name="40% - Accent6 4 3 2 5 3" xfId="24047" xr:uid="{00000000-0005-0000-0000-0000925D0000}"/>
    <cellStyle name="40% - Accent6 4 3 2 6" xfId="24048" xr:uid="{00000000-0005-0000-0000-0000935D0000}"/>
    <cellStyle name="40% - Accent6 4 3 2 7" xfId="24049" xr:uid="{00000000-0005-0000-0000-0000945D0000}"/>
    <cellStyle name="40% - Accent6 4 3 2 8" xfId="24050" xr:uid="{00000000-0005-0000-0000-0000955D0000}"/>
    <cellStyle name="40% - Accent6 4 3 3" xfId="24051" xr:uid="{00000000-0005-0000-0000-0000965D0000}"/>
    <cellStyle name="40% - Accent6 4 3 3 2" xfId="24052" xr:uid="{00000000-0005-0000-0000-0000975D0000}"/>
    <cellStyle name="40% - Accent6 4 3 3 2 2" xfId="24053" xr:uid="{00000000-0005-0000-0000-0000985D0000}"/>
    <cellStyle name="40% - Accent6 4 3 3 2 2 2" xfId="24054" xr:uid="{00000000-0005-0000-0000-0000995D0000}"/>
    <cellStyle name="40% - Accent6 4 3 3 2 2 2 2" xfId="24055" xr:uid="{00000000-0005-0000-0000-00009A5D0000}"/>
    <cellStyle name="40% - Accent6 4 3 3 2 2 2 3" xfId="24056" xr:uid="{00000000-0005-0000-0000-00009B5D0000}"/>
    <cellStyle name="40% - Accent6 4 3 3 2 2 3" xfId="24057" xr:uid="{00000000-0005-0000-0000-00009C5D0000}"/>
    <cellStyle name="40% - Accent6 4 3 3 2 2 4" xfId="24058" xr:uid="{00000000-0005-0000-0000-00009D5D0000}"/>
    <cellStyle name="40% - Accent6 4 3 3 2 3" xfId="24059" xr:uid="{00000000-0005-0000-0000-00009E5D0000}"/>
    <cellStyle name="40% - Accent6 4 3 3 2 3 2" xfId="24060" xr:uid="{00000000-0005-0000-0000-00009F5D0000}"/>
    <cellStyle name="40% - Accent6 4 3 3 2 3 3" xfId="24061" xr:uid="{00000000-0005-0000-0000-0000A05D0000}"/>
    <cellStyle name="40% - Accent6 4 3 3 2 4" xfId="24062" xr:uid="{00000000-0005-0000-0000-0000A15D0000}"/>
    <cellStyle name="40% - Accent6 4 3 3 2 5" xfId="24063" xr:uid="{00000000-0005-0000-0000-0000A25D0000}"/>
    <cellStyle name="40% - Accent6 4 3 3 2 6" xfId="24064" xr:uid="{00000000-0005-0000-0000-0000A35D0000}"/>
    <cellStyle name="40% - Accent6 4 3 3 3" xfId="24065" xr:uid="{00000000-0005-0000-0000-0000A45D0000}"/>
    <cellStyle name="40% - Accent6 4 3 3 3 2" xfId="24066" xr:uid="{00000000-0005-0000-0000-0000A55D0000}"/>
    <cellStyle name="40% - Accent6 4 3 3 3 2 2" xfId="24067" xr:uid="{00000000-0005-0000-0000-0000A65D0000}"/>
    <cellStyle name="40% - Accent6 4 3 3 3 2 3" xfId="24068" xr:uid="{00000000-0005-0000-0000-0000A75D0000}"/>
    <cellStyle name="40% - Accent6 4 3 3 3 3" xfId="24069" xr:uid="{00000000-0005-0000-0000-0000A85D0000}"/>
    <cellStyle name="40% - Accent6 4 3 3 3 4" xfId="24070" xr:uid="{00000000-0005-0000-0000-0000A95D0000}"/>
    <cellStyle name="40% - Accent6 4 3 3 4" xfId="24071" xr:uid="{00000000-0005-0000-0000-0000AA5D0000}"/>
    <cellStyle name="40% - Accent6 4 3 3 4 2" xfId="24072" xr:uid="{00000000-0005-0000-0000-0000AB5D0000}"/>
    <cellStyle name="40% - Accent6 4 3 3 4 3" xfId="24073" xr:uid="{00000000-0005-0000-0000-0000AC5D0000}"/>
    <cellStyle name="40% - Accent6 4 3 3 5" xfId="24074" xr:uid="{00000000-0005-0000-0000-0000AD5D0000}"/>
    <cellStyle name="40% - Accent6 4 3 3 6" xfId="24075" xr:uid="{00000000-0005-0000-0000-0000AE5D0000}"/>
    <cellStyle name="40% - Accent6 4 3 3 7" xfId="24076" xr:uid="{00000000-0005-0000-0000-0000AF5D0000}"/>
    <cellStyle name="40% - Accent6 4 3 4" xfId="24077" xr:uid="{00000000-0005-0000-0000-0000B05D0000}"/>
    <cellStyle name="40% - Accent6 4 3 4 2" xfId="24078" xr:uid="{00000000-0005-0000-0000-0000B15D0000}"/>
    <cellStyle name="40% - Accent6 4 3 4 2 2" xfId="24079" xr:uid="{00000000-0005-0000-0000-0000B25D0000}"/>
    <cellStyle name="40% - Accent6 4 3 4 2 2 2" xfId="24080" xr:uid="{00000000-0005-0000-0000-0000B35D0000}"/>
    <cellStyle name="40% - Accent6 4 3 4 2 2 3" xfId="24081" xr:uid="{00000000-0005-0000-0000-0000B45D0000}"/>
    <cellStyle name="40% - Accent6 4 3 4 2 3" xfId="24082" xr:uid="{00000000-0005-0000-0000-0000B55D0000}"/>
    <cellStyle name="40% - Accent6 4 3 4 2 4" xfId="24083" xr:uid="{00000000-0005-0000-0000-0000B65D0000}"/>
    <cellStyle name="40% - Accent6 4 3 4 3" xfId="24084" xr:uid="{00000000-0005-0000-0000-0000B75D0000}"/>
    <cellStyle name="40% - Accent6 4 3 4 3 2" xfId="24085" xr:uid="{00000000-0005-0000-0000-0000B85D0000}"/>
    <cellStyle name="40% - Accent6 4 3 4 3 3" xfId="24086" xr:uid="{00000000-0005-0000-0000-0000B95D0000}"/>
    <cellStyle name="40% - Accent6 4 3 4 4" xfId="24087" xr:uid="{00000000-0005-0000-0000-0000BA5D0000}"/>
    <cellStyle name="40% - Accent6 4 3 4 5" xfId="24088" xr:uid="{00000000-0005-0000-0000-0000BB5D0000}"/>
    <cellStyle name="40% - Accent6 4 3 4 6" xfId="24089" xr:uid="{00000000-0005-0000-0000-0000BC5D0000}"/>
    <cellStyle name="40% - Accent6 4 3 5" xfId="24090" xr:uid="{00000000-0005-0000-0000-0000BD5D0000}"/>
    <cellStyle name="40% - Accent6 4 3 5 2" xfId="24091" xr:uid="{00000000-0005-0000-0000-0000BE5D0000}"/>
    <cellStyle name="40% - Accent6 4 3 5 2 2" xfId="24092" xr:uid="{00000000-0005-0000-0000-0000BF5D0000}"/>
    <cellStyle name="40% - Accent6 4 3 5 2 3" xfId="24093" xr:uid="{00000000-0005-0000-0000-0000C05D0000}"/>
    <cellStyle name="40% - Accent6 4 3 5 3" xfId="24094" xr:uid="{00000000-0005-0000-0000-0000C15D0000}"/>
    <cellStyle name="40% - Accent6 4 3 5 4" xfId="24095" xr:uid="{00000000-0005-0000-0000-0000C25D0000}"/>
    <cellStyle name="40% - Accent6 4 3 6" xfId="24096" xr:uid="{00000000-0005-0000-0000-0000C35D0000}"/>
    <cellStyle name="40% - Accent6 4 3 6 2" xfId="24097" xr:uid="{00000000-0005-0000-0000-0000C45D0000}"/>
    <cellStyle name="40% - Accent6 4 3 6 3" xfId="24098" xr:uid="{00000000-0005-0000-0000-0000C55D0000}"/>
    <cellStyle name="40% - Accent6 4 3 7" xfId="24099" xr:uid="{00000000-0005-0000-0000-0000C65D0000}"/>
    <cellStyle name="40% - Accent6 4 3 8" xfId="24100" xr:uid="{00000000-0005-0000-0000-0000C75D0000}"/>
    <cellStyle name="40% - Accent6 4 3 9" xfId="24101" xr:uid="{00000000-0005-0000-0000-0000C85D0000}"/>
    <cellStyle name="40% - Accent6 4 4" xfId="24102" xr:uid="{00000000-0005-0000-0000-0000C95D0000}"/>
    <cellStyle name="40% - Accent6 4 4 2" xfId="24103" xr:uid="{00000000-0005-0000-0000-0000CA5D0000}"/>
    <cellStyle name="40% - Accent6 4 4 2 2" xfId="24104" xr:uid="{00000000-0005-0000-0000-0000CB5D0000}"/>
    <cellStyle name="40% - Accent6 4 4 2 2 2" xfId="24105" xr:uid="{00000000-0005-0000-0000-0000CC5D0000}"/>
    <cellStyle name="40% - Accent6 4 4 2 2 2 2" xfId="24106" xr:uid="{00000000-0005-0000-0000-0000CD5D0000}"/>
    <cellStyle name="40% - Accent6 4 4 2 2 2 2 2" xfId="24107" xr:uid="{00000000-0005-0000-0000-0000CE5D0000}"/>
    <cellStyle name="40% - Accent6 4 4 2 2 2 2 3" xfId="24108" xr:uid="{00000000-0005-0000-0000-0000CF5D0000}"/>
    <cellStyle name="40% - Accent6 4 4 2 2 2 3" xfId="24109" xr:uid="{00000000-0005-0000-0000-0000D05D0000}"/>
    <cellStyle name="40% - Accent6 4 4 2 2 2 4" xfId="24110" xr:uid="{00000000-0005-0000-0000-0000D15D0000}"/>
    <cellStyle name="40% - Accent6 4 4 2 2 3" xfId="24111" xr:uid="{00000000-0005-0000-0000-0000D25D0000}"/>
    <cellStyle name="40% - Accent6 4 4 2 2 3 2" xfId="24112" xr:uid="{00000000-0005-0000-0000-0000D35D0000}"/>
    <cellStyle name="40% - Accent6 4 4 2 2 3 3" xfId="24113" xr:uid="{00000000-0005-0000-0000-0000D45D0000}"/>
    <cellStyle name="40% - Accent6 4 4 2 2 4" xfId="24114" xr:uid="{00000000-0005-0000-0000-0000D55D0000}"/>
    <cellStyle name="40% - Accent6 4 4 2 2 5" xfId="24115" xr:uid="{00000000-0005-0000-0000-0000D65D0000}"/>
    <cellStyle name="40% - Accent6 4 4 2 2 6" xfId="24116" xr:uid="{00000000-0005-0000-0000-0000D75D0000}"/>
    <cellStyle name="40% - Accent6 4 4 2 3" xfId="24117" xr:uid="{00000000-0005-0000-0000-0000D85D0000}"/>
    <cellStyle name="40% - Accent6 4 4 2 3 2" xfId="24118" xr:uid="{00000000-0005-0000-0000-0000D95D0000}"/>
    <cellStyle name="40% - Accent6 4 4 2 3 2 2" xfId="24119" xr:uid="{00000000-0005-0000-0000-0000DA5D0000}"/>
    <cellStyle name="40% - Accent6 4 4 2 3 2 3" xfId="24120" xr:uid="{00000000-0005-0000-0000-0000DB5D0000}"/>
    <cellStyle name="40% - Accent6 4 4 2 3 3" xfId="24121" xr:uid="{00000000-0005-0000-0000-0000DC5D0000}"/>
    <cellStyle name="40% - Accent6 4 4 2 3 4" xfId="24122" xr:uid="{00000000-0005-0000-0000-0000DD5D0000}"/>
    <cellStyle name="40% - Accent6 4 4 2 4" xfId="24123" xr:uid="{00000000-0005-0000-0000-0000DE5D0000}"/>
    <cellStyle name="40% - Accent6 4 4 2 4 2" xfId="24124" xr:uid="{00000000-0005-0000-0000-0000DF5D0000}"/>
    <cellStyle name="40% - Accent6 4 4 2 4 3" xfId="24125" xr:uid="{00000000-0005-0000-0000-0000E05D0000}"/>
    <cellStyle name="40% - Accent6 4 4 2 5" xfId="24126" xr:uid="{00000000-0005-0000-0000-0000E15D0000}"/>
    <cellStyle name="40% - Accent6 4 4 2 6" xfId="24127" xr:uid="{00000000-0005-0000-0000-0000E25D0000}"/>
    <cellStyle name="40% - Accent6 4 4 2 7" xfId="24128" xr:uid="{00000000-0005-0000-0000-0000E35D0000}"/>
    <cellStyle name="40% - Accent6 4 4 3" xfId="24129" xr:uid="{00000000-0005-0000-0000-0000E45D0000}"/>
    <cellStyle name="40% - Accent6 4 4 3 2" xfId="24130" xr:uid="{00000000-0005-0000-0000-0000E55D0000}"/>
    <cellStyle name="40% - Accent6 4 4 3 2 2" xfId="24131" xr:uid="{00000000-0005-0000-0000-0000E65D0000}"/>
    <cellStyle name="40% - Accent6 4 4 3 2 2 2" xfId="24132" xr:uid="{00000000-0005-0000-0000-0000E75D0000}"/>
    <cellStyle name="40% - Accent6 4 4 3 2 2 3" xfId="24133" xr:uid="{00000000-0005-0000-0000-0000E85D0000}"/>
    <cellStyle name="40% - Accent6 4 4 3 2 3" xfId="24134" xr:uid="{00000000-0005-0000-0000-0000E95D0000}"/>
    <cellStyle name="40% - Accent6 4 4 3 2 4" xfId="24135" xr:uid="{00000000-0005-0000-0000-0000EA5D0000}"/>
    <cellStyle name="40% - Accent6 4 4 3 3" xfId="24136" xr:uid="{00000000-0005-0000-0000-0000EB5D0000}"/>
    <cellStyle name="40% - Accent6 4 4 3 3 2" xfId="24137" xr:uid="{00000000-0005-0000-0000-0000EC5D0000}"/>
    <cellStyle name="40% - Accent6 4 4 3 3 3" xfId="24138" xr:uid="{00000000-0005-0000-0000-0000ED5D0000}"/>
    <cellStyle name="40% - Accent6 4 4 3 4" xfId="24139" xr:uid="{00000000-0005-0000-0000-0000EE5D0000}"/>
    <cellStyle name="40% - Accent6 4 4 3 5" xfId="24140" xr:uid="{00000000-0005-0000-0000-0000EF5D0000}"/>
    <cellStyle name="40% - Accent6 4 4 3 6" xfId="24141" xr:uid="{00000000-0005-0000-0000-0000F05D0000}"/>
    <cellStyle name="40% - Accent6 4 4 4" xfId="24142" xr:uid="{00000000-0005-0000-0000-0000F15D0000}"/>
    <cellStyle name="40% - Accent6 4 4 4 2" xfId="24143" xr:uid="{00000000-0005-0000-0000-0000F25D0000}"/>
    <cellStyle name="40% - Accent6 4 4 4 2 2" xfId="24144" xr:uid="{00000000-0005-0000-0000-0000F35D0000}"/>
    <cellStyle name="40% - Accent6 4 4 4 2 3" xfId="24145" xr:uid="{00000000-0005-0000-0000-0000F45D0000}"/>
    <cellStyle name="40% - Accent6 4 4 4 3" xfId="24146" xr:uid="{00000000-0005-0000-0000-0000F55D0000}"/>
    <cellStyle name="40% - Accent6 4 4 4 4" xfId="24147" xr:uid="{00000000-0005-0000-0000-0000F65D0000}"/>
    <cellStyle name="40% - Accent6 4 4 5" xfId="24148" xr:uid="{00000000-0005-0000-0000-0000F75D0000}"/>
    <cellStyle name="40% - Accent6 4 4 5 2" xfId="24149" xr:uid="{00000000-0005-0000-0000-0000F85D0000}"/>
    <cellStyle name="40% - Accent6 4 4 5 3" xfId="24150" xr:uid="{00000000-0005-0000-0000-0000F95D0000}"/>
    <cellStyle name="40% - Accent6 4 4 6" xfId="24151" xr:uid="{00000000-0005-0000-0000-0000FA5D0000}"/>
    <cellStyle name="40% - Accent6 4 4 7" xfId="24152" xr:uid="{00000000-0005-0000-0000-0000FB5D0000}"/>
    <cellStyle name="40% - Accent6 4 4 8" xfId="24153" xr:uid="{00000000-0005-0000-0000-0000FC5D0000}"/>
    <cellStyle name="40% - Accent6 4 5" xfId="24154" xr:uid="{00000000-0005-0000-0000-0000FD5D0000}"/>
    <cellStyle name="40% - Accent6 4 5 2" xfId="24155" xr:uid="{00000000-0005-0000-0000-0000FE5D0000}"/>
    <cellStyle name="40% - Accent6 4 5 2 2" xfId="24156" xr:uid="{00000000-0005-0000-0000-0000FF5D0000}"/>
    <cellStyle name="40% - Accent6 4 5 2 2 2" xfId="24157" xr:uid="{00000000-0005-0000-0000-0000005E0000}"/>
    <cellStyle name="40% - Accent6 4 5 2 2 2 2" xfId="24158" xr:uid="{00000000-0005-0000-0000-0000015E0000}"/>
    <cellStyle name="40% - Accent6 4 5 2 2 2 3" xfId="24159" xr:uid="{00000000-0005-0000-0000-0000025E0000}"/>
    <cellStyle name="40% - Accent6 4 5 2 2 3" xfId="24160" xr:uid="{00000000-0005-0000-0000-0000035E0000}"/>
    <cellStyle name="40% - Accent6 4 5 2 2 4" xfId="24161" xr:uid="{00000000-0005-0000-0000-0000045E0000}"/>
    <cellStyle name="40% - Accent6 4 5 2 3" xfId="24162" xr:uid="{00000000-0005-0000-0000-0000055E0000}"/>
    <cellStyle name="40% - Accent6 4 5 2 3 2" xfId="24163" xr:uid="{00000000-0005-0000-0000-0000065E0000}"/>
    <cellStyle name="40% - Accent6 4 5 2 3 3" xfId="24164" xr:uid="{00000000-0005-0000-0000-0000075E0000}"/>
    <cellStyle name="40% - Accent6 4 5 2 4" xfId="24165" xr:uid="{00000000-0005-0000-0000-0000085E0000}"/>
    <cellStyle name="40% - Accent6 4 5 2 5" xfId="24166" xr:uid="{00000000-0005-0000-0000-0000095E0000}"/>
    <cellStyle name="40% - Accent6 4 5 2 6" xfId="24167" xr:uid="{00000000-0005-0000-0000-00000A5E0000}"/>
    <cellStyle name="40% - Accent6 4 5 3" xfId="24168" xr:uid="{00000000-0005-0000-0000-00000B5E0000}"/>
    <cellStyle name="40% - Accent6 4 5 3 2" xfId="24169" xr:uid="{00000000-0005-0000-0000-00000C5E0000}"/>
    <cellStyle name="40% - Accent6 4 5 3 2 2" xfId="24170" xr:uid="{00000000-0005-0000-0000-00000D5E0000}"/>
    <cellStyle name="40% - Accent6 4 5 3 2 3" xfId="24171" xr:uid="{00000000-0005-0000-0000-00000E5E0000}"/>
    <cellStyle name="40% - Accent6 4 5 3 3" xfId="24172" xr:uid="{00000000-0005-0000-0000-00000F5E0000}"/>
    <cellStyle name="40% - Accent6 4 5 3 4" xfId="24173" xr:uid="{00000000-0005-0000-0000-0000105E0000}"/>
    <cellStyle name="40% - Accent6 4 5 4" xfId="24174" xr:uid="{00000000-0005-0000-0000-0000115E0000}"/>
    <cellStyle name="40% - Accent6 4 5 4 2" xfId="24175" xr:uid="{00000000-0005-0000-0000-0000125E0000}"/>
    <cellStyle name="40% - Accent6 4 5 4 3" xfId="24176" xr:uid="{00000000-0005-0000-0000-0000135E0000}"/>
    <cellStyle name="40% - Accent6 4 5 5" xfId="24177" xr:uid="{00000000-0005-0000-0000-0000145E0000}"/>
    <cellStyle name="40% - Accent6 4 5 6" xfId="24178" xr:uid="{00000000-0005-0000-0000-0000155E0000}"/>
    <cellStyle name="40% - Accent6 4 5 7" xfId="24179" xr:uid="{00000000-0005-0000-0000-0000165E0000}"/>
    <cellStyle name="40% - Accent6 4 6" xfId="24180" xr:uid="{00000000-0005-0000-0000-0000175E0000}"/>
    <cellStyle name="40% - Accent6 4 6 2" xfId="24181" xr:uid="{00000000-0005-0000-0000-0000185E0000}"/>
    <cellStyle name="40% - Accent6 4 6 2 2" xfId="24182" xr:uid="{00000000-0005-0000-0000-0000195E0000}"/>
    <cellStyle name="40% - Accent6 4 6 2 2 2" xfId="24183" xr:uid="{00000000-0005-0000-0000-00001A5E0000}"/>
    <cellStyle name="40% - Accent6 4 6 2 2 3" xfId="24184" xr:uid="{00000000-0005-0000-0000-00001B5E0000}"/>
    <cellStyle name="40% - Accent6 4 6 2 3" xfId="24185" xr:uid="{00000000-0005-0000-0000-00001C5E0000}"/>
    <cellStyle name="40% - Accent6 4 6 2 4" xfId="24186" xr:uid="{00000000-0005-0000-0000-00001D5E0000}"/>
    <cellStyle name="40% - Accent6 4 6 3" xfId="24187" xr:uid="{00000000-0005-0000-0000-00001E5E0000}"/>
    <cellStyle name="40% - Accent6 4 6 3 2" xfId="24188" xr:uid="{00000000-0005-0000-0000-00001F5E0000}"/>
    <cellStyle name="40% - Accent6 4 6 3 3" xfId="24189" xr:uid="{00000000-0005-0000-0000-0000205E0000}"/>
    <cellStyle name="40% - Accent6 4 6 4" xfId="24190" xr:uid="{00000000-0005-0000-0000-0000215E0000}"/>
    <cellStyle name="40% - Accent6 4 6 5" xfId="24191" xr:uid="{00000000-0005-0000-0000-0000225E0000}"/>
    <cellStyle name="40% - Accent6 4 6 6" xfId="24192" xr:uid="{00000000-0005-0000-0000-0000235E0000}"/>
    <cellStyle name="40% - Accent6 4 7" xfId="24193" xr:uid="{00000000-0005-0000-0000-0000245E0000}"/>
    <cellStyle name="40% - Accent6 4 7 2" xfId="24194" xr:uid="{00000000-0005-0000-0000-0000255E0000}"/>
    <cellStyle name="40% - Accent6 4 7 2 2" xfId="24195" xr:uid="{00000000-0005-0000-0000-0000265E0000}"/>
    <cellStyle name="40% - Accent6 4 7 2 3" xfId="24196" xr:uid="{00000000-0005-0000-0000-0000275E0000}"/>
    <cellStyle name="40% - Accent6 4 7 3" xfId="24197" xr:uid="{00000000-0005-0000-0000-0000285E0000}"/>
    <cellStyle name="40% - Accent6 4 7 4" xfId="24198" xr:uid="{00000000-0005-0000-0000-0000295E0000}"/>
    <cellStyle name="40% - Accent6 4 8" xfId="24199" xr:uid="{00000000-0005-0000-0000-00002A5E0000}"/>
    <cellStyle name="40% - Accent6 4 8 2" xfId="24200" xr:uid="{00000000-0005-0000-0000-00002B5E0000}"/>
    <cellStyle name="40% - Accent6 4 8 3" xfId="24201" xr:uid="{00000000-0005-0000-0000-00002C5E0000}"/>
    <cellStyle name="40% - Accent6 4 9" xfId="24202" xr:uid="{00000000-0005-0000-0000-00002D5E0000}"/>
    <cellStyle name="40% - Accent6 5" xfId="24203" xr:uid="{00000000-0005-0000-0000-00002E5E0000}"/>
    <cellStyle name="40% - Accent6 5 10" xfId="24204" xr:uid="{00000000-0005-0000-0000-00002F5E0000}"/>
    <cellStyle name="40% - Accent6 5 2" xfId="24205" xr:uid="{00000000-0005-0000-0000-0000305E0000}"/>
    <cellStyle name="40% - Accent6 5 2 2" xfId="24206" xr:uid="{00000000-0005-0000-0000-0000315E0000}"/>
    <cellStyle name="40% - Accent6 5 2 2 2" xfId="24207" xr:uid="{00000000-0005-0000-0000-0000325E0000}"/>
    <cellStyle name="40% - Accent6 5 2 2 2 2" xfId="24208" xr:uid="{00000000-0005-0000-0000-0000335E0000}"/>
    <cellStyle name="40% - Accent6 5 2 2 2 2 2" xfId="24209" xr:uid="{00000000-0005-0000-0000-0000345E0000}"/>
    <cellStyle name="40% - Accent6 5 2 2 2 2 2 2" xfId="24210" xr:uid="{00000000-0005-0000-0000-0000355E0000}"/>
    <cellStyle name="40% - Accent6 5 2 2 2 2 2 2 2" xfId="24211" xr:uid="{00000000-0005-0000-0000-0000365E0000}"/>
    <cellStyle name="40% - Accent6 5 2 2 2 2 2 2 3" xfId="24212" xr:uid="{00000000-0005-0000-0000-0000375E0000}"/>
    <cellStyle name="40% - Accent6 5 2 2 2 2 2 3" xfId="24213" xr:uid="{00000000-0005-0000-0000-0000385E0000}"/>
    <cellStyle name="40% - Accent6 5 2 2 2 2 2 4" xfId="24214" xr:uid="{00000000-0005-0000-0000-0000395E0000}"/>
    <cellStyle name="40% - Accent6 5 2 2 2 2 3" xfId="24215" xr:uid="{00000000-0005-0000-0000-00003A5E0000}"/>
    <cellStyle name="40% - Accent6 5 2 2 2 2 3 2" xfId="24216" xr:uid="{00000000-0005-0000-0000-00003B5E0000}"/>
    <cellStyle name="40% - Accent6 5 2 2 2 2 3 3" xfId="24217" xr:uid="{00000000-0005-0000-0000-00003C5E0000}"/>
    <cellStyle name="40% - Accent6 5 2 2 2 2 4" xfId="24218" xr:uid="{00000000-0005-0000-0000-00003D5E0000}"/>
    <cellStyle name="40% - Accent6 5 2 2 2 2 5" xfId="24219" xr:uid="{00000000-0005-0000-0000-00003E5E0000}"/>
    <cellStyle name="40% - Accent6 5 2 2 2 2 6" xfId="24220" xr:uid="{00000000-0005-0000-0000-00003F5E0000}"/>
    <cellStyle name="40% - Accent6 5 2 2 2 3" xfId="24221" xr:uid="{00000000-0005-0000-0000-0000405E0000}"/>
    <cellStyle name="40% - Accent6 5 2 2 2 3 2" xfId="24222" xr:uid="{00000000-0005-0000-0000-0000415E0000}"/>
    <cellStyle name="40% - Accent6 5 2 2 2 3 2 2" xfId="24223" xr:uid="{00000000-0005-0000-0000-0000425E0000}"/>
    <cellStyle name="40% - Accent6 5 2 2 2 3 2 3" xfId="24224" xr:uid="{00000000-0005-0000-0000-0000435E0000}"/>
    <cellStyle name="40% - Accent6 5 2 2 2 3 3" xfId="24225" xr:uid="{00000000-0005-0000-0000-0000445E0000}"/>
    <cellStyle name="40% - Accent6 5 2 2 2 3 4" xfId="24226" xr:uid="{00000000-0005-0000-0000-0000455E0000}"/>
    <cellStyle name="40% - Accent6 5 2 2 2 4" xfId="24227" xr:uid="{00000000-0005-0000-0000-0000465E0000}"/>
    <cellStyle name="40% - Accent6 5 2 2 2 4 2" xfId="24228" xr:uid="{00000000-0005-0000-0000-0000475E0000}"/>
    <cellStyle name="40% - Accent6 5 2 2 2 4 3" xfId="24229" xr:uid="{00000000-0005-0000-0000-0000485E0000}"/>
    <cellStyle name="40% - Accent6 5 2 2 2 5" xfId="24230" xr:uid="{00000000-0005-0000-0000-0000495E0000}"/>
    <cellStyle name="40% - Accent6 5 2 2 2 6" xfId="24231" xr:uid="{00000000-0005-0000-0000-00004A5E0000}"/>
    <cellStyle name="40% - Accent6 5 2 2 2 7" xfId="24232" xr:uid="{00000000-0005-0000-0000-00004B5E0000}"/>
    <cellStyle name="40% - Accent6 5 2 2 3" xfId="24233" xr:uid="{00000000-0005-0000-0000-00004C5E0000}"/>
    <cellStyle name="40% - Accent6 5 2 2 3 2" xfId="24234" xr:uid="{00000000-0005-0000-0000-00004D5E0000}"/>
    <cellStyle name="40% - Accent6 5 2 2 3 2 2" xfId="24235" xr:uid="{00000000-0005-0000-0000-00004E5E0000}"/>
    <cellStyle name="40% - Accent6 5 2 2 3 2 2 2" xfId="24236" xr:uid="{00000000-0005-0000-0000-00004F5E0000}"/>
    <cellStyle name="40% - Accent6 5 2 2 3 2 2 3" xfId="24237" xr:uid="{00000000-0005-0000-0000-0000505E0000}"/>
    <cellStyle name="40% - Accent6 5 2 2 3 2 3" xfId="24238" xr:uid="{00000000-0005-0000-0000-0000515E0000}"/>
    <cellStyle name="40% - Accent6 5 2 2 3 2 4" xfId="24239" xr:uid="{00000000-0005-0000-0000-0000525E0000}"/>
    <cellStyle name="40% - Accent6 5 2 2 3 3" xfId="24240" xr:uid="{00000000-0005-0000-0000-0000535E0000}"/>
    <cellStyle name="40% - Accent6 5 2 2 3 3 2" xfId="24241" xr:uid="{00000000-0005-0000-0000-0000545E0000}"/>
    <cellStyle name="40% - Accent6 5 2 2 3 3 3" xfId="24242" xr:uid="{00000000-0005-0000-0000-0000555E0000}"/>
    <cellStyle name="40% - Accent6 5 2 2 3 4" xfId="24243" xr:uid="{00000000-0005-0000-0000-0000565E0000}"/>
    <cellStyle name="40% - Accent6 5 2 2 3 5" xfId="24244" xr:uid="{00000000-0005-0000-0000-0000575E0000}"/>
    <cellStyle name="40% - Accent6 5 2 2 3 6" xfId="24245" xr:uid="{00000000-0005-0000-0000-0000585E0000}"/>
    <cellStyle name="40% - Accent6 5 2 2 4" xfId="24246" xr:uid="{00000000-0005-0000-0000-0000595E0000}"/>
    <cellStyle name="40% - Accent6 5 2 2 4 2" xfId="24247" xr:uid="{00000000-0005-0000-0000-00005A5E0000}"/>
    <cellStyle name="40% - Accent6 5 2 2 4 2 2" xfId="24248" xr:uid="{00000000-0005-0000-0000-00005B5E0000}"/>
    <cellStyle name="40% - Accent6 5 2 2 4 2 3" xfId="24249" xr:uid="{00000000-0005-0000-0000-00005C5E0000}"/>
    <cellStyle name="40% - Accent6 5 2 2 4 3" xfId="24250" xr:uid="{00000000-0005-0000-0000-00005D5E0000}"/>
    <cellStyle name="40% - Accent6 5 2 2 4 4" xfId="24251" xr:uid="{00000000-0005-0000-0000-00005E5E0000}"/>
    <cellStyle name="40% - Accent6 5 2 2 5" xfId="24252" xr:uid="{00000000-0005-0000-0000-00005F5E0000}"/>
    <cellStyle name="40% - Accent6 5 2 2 5 2" xfId="24253" xr:uid="{00000000-0005-0000-0000-0000605E0000}"/>
    <cellStyle name="40% - Accent6 5 2 2 5 3" xfId="24254" xr:uid="{00000000-0005-0000-0000-0000615E0000}"/>
    <cellStyle name="40% - Accent6 5 2 2 6" xfId="24255" xr:uid="{00000000-0005-0000-0000-0000625E0000}"/>
    <cellStyle name="40% - Accent6 5 2 2 7" xfId="24256" xr:uid="{00000000-0005-0000-0000-0000635E0000}"/>
    <cellStyle name="40% - Accent6 5 2 2 8" xfId="24257" xr:uid="{00000000-0005-0000-0000-0000645E0000}"/>
    <cellStyle name="40% - Accent6 5 2 3" xfId="24258" xr:uid="{00000000-0005-0000-0000-0000655E0000}"/>
    <cellStyle name="40% - Accent6 5 2 3 2" xfId="24259" xr:uid="{00000000-0005-0000-0000-0000665E0000}"/>
    <cellStyle name="40% - Accent6 5 2 3 2 2" xfId="24260" xr:uid="{00000000-0005-0000-0000-0000675E0000}"/>
    <cellStyle name="40% - Accent6 5 2 3 2 2 2" xfId="24261" xr:uid="{00000000-0005-0000-0000-0000685E0000}"/>
    <cellStyle name="40% - Accent6 5 2 3 2 2 2 2" xfId="24262" xr:uid="{00000000-0005-0000-0000-0000695E0000}"/>
    <cellStyle name="40% - Accent6 5 2 3 2 2 2 3" xfId="24263" xr:uid="{00000000-0005-0000-0000-00006A5E0000}"/>
    <cellStyle name="40% - Accent6 5 2 3 2 2 3" xfId="24264" xr:uid="{00000000-0005-0000-0000-00006B5E0000}"/>
    <cellStyle name="40% - Accent6 5 2 3 2 2 4" xfId="24265" xr:uid="{00000000-0005-0000-0000-00006C5E0000}"/>
    <cellStyle name="40% - Accent6 5 2 3 2 3" xfId="24266" xr:uid="{00000000-0005-0000-0000-00006D5E0000}"/>
    <cellStyle name="40% - Accent6 5 2 3 2 3 2" xfId="24267" xr:uid="{00000000-0005-0000-0000-00006E5E0000}"/>
    <cellStyle name="40% - Accent6 5 2 3 2 3 3" xfId="24268" xr:uid="{00000000-0005-0000-0000-00006F5E0000}"/>
    <cellStyle name="40% - Accent6 5 2 3 2 4" xfId="24269" xr:uid="{00000000-0005-0000-0000-0000705E0000}"/>
    <cellStyle name="40% - Accent6 5 2 3 2 5" xfId="24270" xr:uid="{00000000-0005-0000-0000-0000715E0000}"/>
    <cellStyle name="40% - Accent6 5 2 3 2 6" xfId="24271" xr:uid="{00000000-0005-0000-0000-0000725E0000}"/>
    <cellStyle name="40% - Accent6 5 2 3 3" xfId="24272" xr:uid="{00000000-0005-0000-0000-0000735E0000}"/>
    <cellStyle name="40% - Accent6 5 2 3 3 2" xfId="24273" xr:uid="{00000000-0005-0000-0000-0000745E0000}"/>
    <cellStyle name="40% - Accent6 5 2 3 3 2 2" xfId="24274" xr:uid="{00000000-0005-0000-0000-0000755E0000}"/>
    <cellStyle name="40% - Accent6 5 2 3 3 2 3" xfId="24275" xr:uid="{00000000-0005-0000-0000-0000765E0000}"/>
    <cellStyle name="40% - Accent6 5 2 3 3 3" xfId="24276" xr:uid="{00000000-0005-0000-0000-0000775E0000}"/>
    <cellStyle name="40% - Accent6 5 2 3 3 4" xfId="24277" xr:uid="{00000000-0005-0000-0000-0000785E0000}"/>
    <cellStyle name="40% - Accent6 5 2 3 4" xfId="24278" xr:uid="{00000000-0005-0000-0000-0000795E0000}"/>
    <cellStyle name="40% - Accent6 5 2 3 4 2" xfId="24279" xr:uid="{00000000-0005-0000-0000-00007A5E0000}"/>
    <cellStyle name="40% - Accent6 5 2 3 4 3" xfId="24280" xr:uid="{00000000-0005-0000-0000-00007B5E0000}"/>
    <cellStyle name="40% - Accent6 5 2 3 5" xfId="24281" xr:uid="{00000000-0005-0000-0000-00007C5E0000}"/>
    <cellStyle name="40% - Accent6 5 2 3 6" xfId="24282" xr:uid="{00000000-0005-0000-0000-00007D5E0000}"/>
    <cellStyle name="40% - Accent6 5 2 3 7" xfId="24283" xr:uid="{00000000-0005-0000-0000-00007E5E0000}"/>
    <cellStyle name="40% - Accent6 5 2 4" xfId="24284" xr:uid="{00000000-0005-0000-0000-00007F5E0000}"/>
    <cellStyle name="40% - Accent6 5 2 4 2" xfId="24285" xr:uid="{00000000-0005-0000-0000-0000805E0000}"/>
    <cellStyle name="40% - Accent6 5 2 4 2 2" xfId="24286" xr:uid="{00000000-0005-0000-0000-0000815E0000}"/>
    <cellStyle name="40% - Accent6 5 2 4 2 2 2" xfId="24287" xr:uid="{00000000-0005-0000-0000-0000825E0000}"/>
    <cellStyle name="40% - Accent6 5 2 4 2 2 3" xfId="24288" xr:uid="{00000000-0005-0000-0000-0000835E0000}"/>
    <cellStyle name="40% - Accent6 5 2 4 2 3" xfId="24289" xr:uid="{00000000-0005-0000-0000-0000845E0000}"/>
    <cellStyle name="40% - Accent6 5 2 4 2 4" xfId="24290" xr:uid="{00000000-0005-0000-0000-0000855E0000}"/>
    <cellStyle name="40% - Accent6 5 2 4 3" xfId="24291" xr:uid="{00000000-0005-0000-0000-0000865E0000}"/>
    <cellStyle name="40% - Accent6 5 2 4 3 2" xfId="24292" xr:uid="{00000000-0005-0000-0000-0000875E0000}"/>
    <cellStyle name="40% - Accent6 5 2 4 3 3" xfId="24293" xr:uid="{00000000-0005-0000-0000-0000885E0000}"/>
    <cellStyle name="40% - Accent6 5 2 4 4" xfId="24294" xr:uid="{00000000-0005-0000-0000-0000895E0000}"/>
    <cellStyle name="40% - Accent6 5 2 4 5" xfId="24295" xr:uid="{00000000-0005-0000-0000-00008A5E0000}"/>
    <cellStyle name="40% - Accent6 5 2 4 6" xfId="24296" xr:uid="{00000000-0005-0000-0000-00008B5E0000}"/>
    <cellStyle name="40% - Accent6 5 2 5" xfId="24297" xr:uid="{00000000-0005-0000-0000-00008C5E0000}"/>
    <cellStyle name="40% - Accent6 5 2 5 2" xfId="24298" xr:uid="{00000000-0005-0000-0000-00008D5E0000}"/>
    <cellStyle name="40% - Accent6 5 2 5 2 2" xfId="24299" xr:uid="{00000000-0005-0000-0000-00008E5E0000}"/>
    <cellStyle name="40% - Accent6 5 2 5 2 3" xfId="24300" xr:uid="{00000000-0005-0000-0000-00008F5E0000}"/>
    <cellStyle name="40% - Accent6 5 2 5 3" xfId="24301" xr:uid="{00000000-0005-0000-0000-0000905E0000}"/>
    <cellStyle name="40% - Accent6 5 2 5 4" xfId="24302" xr:uid="{00000000-0005-0000-0000-0000915E0000}"/>
    <cellStyle name="40% - Accent6 5 2 6" xfId="24303" xr:uid="{00000000-0005-0000-0000-0000925E0000}"/>
    <cellStyle name="40% - Accent6 5 2 6 2" xfId="24304" xr:uid="{00000000-0005-0000-0000-0000935E0000}"/>
    <cellStyle name="40% - Accent6 5 2 6 3" xfId="24305" xr:uid="{00000000-0005-0000-0000-0000945E0000}"/>
    <cellStyle name="40% - Accent6 5 2 7" xfId="24306" xr:uid="{00000000-0005-0000-0000-0000955E0000}"/>
    <cellStyle name="40% - Accent6 5 2 8" xfId="24307" xr:uid="{00000000-0005-0000-0000-0000965E0000}"/>
    <cellStyle name="40% - Accent6 5 2 9" xfId="24308" xr:uid="{00000000-0005-0000-0000-0000975E0000}"/>
    <cellStyle name="40% - Accent6 5 3" xfId="24309" xr:uid="{00000000-0005-0000-0000-0000985E0000}"/>
    <cellStyle name="40% - Accent6 5 3 2" xfId="24310" xr:uid="{00000000-0005-0000-0000-0000995E0000}"/>
    <cellStyle name="40% - Accent6 5 3 2 2" xfId="24311" xr:uid="{00000000-0005-0000-0000-00009A5E0000}"/>
    <cellStyle name="40% - Accent6 5 3 2 2 2" xfId="24312" xr:uid="{00000000-0005-0000-0000-00009B5E0000}"/>
    <cellStyle name="40% - Accent6 5 3 2 2 2 2" xfId="24313" xr:uid="{00000000-0005-0000-0000-00009C5E0000}"/>
    <cellStyle name="40% - Accent6 5 3 2 2 2 2 2" xfId="24314" xr:uid="{00000000-0005-0000-0000-00009D5E0000}"/>
    <cellStyle name="40% - Accent6 5 3 2 2 2 2 3" xfId="24315" xr:uid="{00000000-0005-0000-0000-00009E5E0000}"/>
    <cellStyle name="40% - Accent6 5 3 2 2 2 3" xfId="24316" xr:uid="{00000000-0005-0000-0000-00009F5E0000}"/>
    <cellStyle name="40% - Accent6 5 3 2 2 2 4" xfId="24317" xr:uid="{00000000-0005-0000-0000-0000A05E0000}"/>
    <cellStyle name="40% - Accent6 5 3 2 2 3" xfId="24318" xr:uid="{00000000-0005-0000-0000-0000A15E0000}"/>
    <cellStyle name="40% - Accent6 5 3 2 2 3 2" xfId="24319" xr:uid="{00000000-0005-0000-0000-0000A25E0000}"/>
    <cellStyle name="40% - Accent6 5 3 2 2 3 3" xfId="24320" xr:uid="{00000000-0005-0000-0000-0000A35E0000}"/>
    <cellStyle name="40% - Accent6 5 3 2 2 4" xfId="24321" xr:uid="{00000000-0005-0000-0000-0000A45E0000}"/>
    <cellStyle name="40% - Accent6 5 3 2 2 5" xfId="24322" xr:uid="{00000000-0005-0000-0000-0000A55E0000}"/>
    <cellStyle name="40% - Accent6 5 3 2 2 6" xfId="24323" xr:uid="{00000000-0005-0000-0000-0000A65E0000}"/>
    <cellStyle name="40% - Accent6 5 3 2 3" xfId="24324" xr:uid="{00000000-0005-0000-0000-0000A75E0000}"/>
    <cellStyle name="40% - Accent6 5 3 2 3 2" xfId="24325" xr:uid="{00000000-0005-0000-0000-0000A85E0000}"/>
    <cellStyle name="40% - Accent6 5 3 2 3 2 2" xfId="24326" xr:uid="{00000000-0005-0000-0000-0000A95E0000}"/>
    <cellStyle name="40% - Accent6 5 3 2 3 2 3" xfId="24327" xr:uid="{00000000-0005-0000-0000-0000AA5E0000}"/>
    <cellStyle name="40% - Accent6 5 3 2 3 3" xfId="24328" xr:uid="{00000000-0005-0000-0000-0000AB5E0000}"/>
    <cellStyle name="40% - Accent6 5 3 2 3 4" xfId="24329" xr:uid="{00000000-0005-0000-0000-0000AC5E0000}"/>
    <cellStyle name="40% - Accent6 5 3 2 4" xfId="24330" xr:uid="{00000000-0005-0000-0000-0000AD5E0000}"/>
    <cellStyle name="40% - Accent6 5 3 2 4 2" xfId="24331" xr:uid="{00000000-0005-0000-0000-0000AE5E0000}"/>
    <cellStyle name="40% - Accent6 5 3 2 4 3" xfId="24332" xr:uid="{00000000-0005-0000-0000-0000AF5E0000}"/>
    <cellStyle name="40% - Accent6 5 3 2 5" xfId="24333" xr:uid="{00000000-0005-0000-0000-0000B05E0000}"/>
    <cellStyle name="40% - Accent6 5 3 2 6" xfId="24334" xr:uid="{00000000-0005-0000-0000-0000B15E0000}"/>
    <cellStyle name="40% - Accent6 5 3 2 7" xfId="24335" xr:uid="{00000000-0005-0000-0000-0000B25E0000}"/>
    <cellStyle name="40% - Accent6 5 3 3" xfId="24336" xr:uid="{00000000-0005-0000-0000-0000B35E0000}"/>
    <cellStyle name="40% - Accent6 5 3 3 2" xfId="24337" xr:uid="{00000000-0005-0000-0000-0000B45E0000}"/>
    <cellStyle name="40% - Accent6 5 3 3 2 2" xfId="24338" xr:uid="{00000000-0005-0000-0000-0000B55E0000}"/>
    <cellStyle name="40% - Accent6 5 3 3 2 2 2" xfId="24339" xr:uid="{00000000-0005-0000-0000-0000B65E0000}"/>
    <cellStyle name="40% - Accent6 5 3 3 2 2 3" xfId="24340" xr:uid="{00000000-0005-0000-0000-0000B75E0000}"/>
    <cellStyle name="40% - Accent6 5 3 3 2 3" xfId="24341" xr:uid="{00000000-0005-0000-0000-0000B85E0000}"/>
    <cellStyle name="40% - Accent6 5 3 3 2 4" xfId="24342" xr:uid="{00000000-0005-0000-0000-0000B95E0000}"/>
    <cellStyle name="40% - Accent6 5 3 3 3" xfId="24343" xr:uid="{00000000-0005-0000-0000-0000BA5E0000}"/>
    <cellStyle name="40% - Accent6 5 3 3 3 2" xfId="24344" xr:uid="{00000000-0005-0000-0000-0000BB5E0000}"/>
    <cellStyle name="40% - Accent6 5 3 3 3 3" xfId="24345" xr:uid="{00000000-0005-0000-0000-0000BC5E0000}"/>
    <cellStyle name="40% - Accent6 5 3 3 4" xfId="24346" xr:uid="{00000000-0005-0000-0000-0000BD5E0000}"/>
    <cellStyle name="40% - Accent6 5 3 3 5" xfId="24347" xr:uid="{00000000-0005-0000-0000-0000BE5E0000}"/>
    <cellStyle name="40% - Accent6 5 3 3 6" xfId="24348" xr:uid="{00000000-0005-0000-0000-0000BF5E0000}"/>
    <cellStyle name="40% - Accent6 5 3 4" xfId="24349" xr:uid="{00000000-0005-0000-0000-0000C05E0000}"/>
    <cellStyle name="40% - Accent6 5 3 4 2" xfId="24350" xr:uid="{00000000-0005-0000-0000-0000C15E0000}"/>
    <cellStyle name="40% - Accent6 5 3 4 2 2" xfId="24351" xr:uid="{00000000-0005-0000-0000-0000C25E0000}"/>
    <cellStyle name="40% - Accent6 5 3 4 2 3" xfId="24352" xr:uid="{00000000-0005-0000-0000-0000C35E0000}"/>
    <cellStyle name="40% - Accent6 5 3 4 3" xfId="24353" xr:uid="{00000000-0005-0000-0000-0000C45E0000}"/>
    <cellStyle name="40% - Accent6 5 3 4 4" xfId="24354" xr:uid="{00000000-0005-0000-0000-0000C55E0000}"/>
    <cellStyle name="40% - Accent6 5 3 5" xfId="24355" xr:uid="{00000000-0005-0000-0000-0000C65E0000}"/>
    <cellStyle name="40% - Accent6 5 3 5 2" xfId="24356" xr:uid="{00000000-0005-0000-0000-0000C75E0000}"/>
    <cellStyle name="40% - Accent6 5 3 5 3" xfId="24357" xr:uid="{00000000-0005-0000-0000-0000C85E0000}"/>
    <cellStyle name="40% - Accent6 5 3 6" xfId="24358" xr:uid="{00000000-0005-0000-0000-0000C95E0000}"/>
    <cellStyle name="40% - Accent6 5 3 7" xfId="24359" xr:uid="{00000000-0005-0000-0000-0000CA5E0000}"/>
    <cellStyle name="40% - Accent6 5 3 8" xfId="24360" xr:uid="{00000000-0005-0000-0000-0000CB5E0000}"/>
    <cellStyle name="40% - Accent6 5 4" xfId="24361" xr:uid="{00000000-0005-0000-0000-0000CC5E0000}"/>
    <cellStyle name="40% - Accent6 5 4 2" xfId="24362" xr:uid="{00000000-0005-0000-0000-0000CD5E0000}"/>
    <cellStyle name="40% - Accent6 5 4 2 2" xfId="24363" xr:uid="{00000000-0005-0000-0000-0000CE5E0000}"/>
    <cellStyle name="40% - Accent6 5 4 2 2 2" xfId="24364" xr:uid="{00000000-0005-0000-0000-0000CF5E0000}"/>
    <cellStyle name="40% - Accent6 5 4 2 2 2 2" xfId="24365" xr:uid="{00000000-0005-0000-0000-0000D05E0000}"/>
    <cellStyle name="40% - Accent6 5 4 2 2 2 3" xfId="24366" xr:uid="{00000000-0005-0000-0000-0000D15E0000}"/>
    <cellStyle name="40% - Accent6 5 4 2 2 3" xfId="24367" xr:uid="{00000000-0005-0000-0000-0000D25E0000}"/>
    <cellStyle name="40% - Accent6 5 4 2 2 4" xfId="24368" xr:uid="{00000000-0005-0000-0000-0000D35E0000}"/>
    <cellStyle name="40% - Accent6 5 4 2 3" xfId="24369" xr:uid="{00000000-0005-0000-0000-0000D45E0000}"/>
    <cellStyle name="40% - Accent6 5 4 2 3 2" xfId="24370" xr:uid="{00000000-0005-0000-0000-0000D55E0000}"/>
    <cellStyle name="40% - Accent6 5 4 2 3 3" xfId="24371" xr:uid="{00000000-0005-0000-0000-0000D65E0000}"/>
    <cellStyle name="40% - Accent6 5 4 2 4" xfId="24372" xr:uid="{00000000-0005-0000-0000-0000D75E0000}"/>
    <cellStyle name="40% - Accent6 5 4 2 5" xfId="24373" xr:uid="{00000000-0005-0000-0000-0000D85E0000}"/>
    <cellStyle name="40% - Accent6 5 4 2 6" xfId="24374" xr:uid="{00000000-0005-0000-0000-0000D95E0000}"/>
    <cellStyle name="40% - Accent6 5 4 3" xfId="24375" xr:uid="{00000000-0005-0000-0000-0000DA5E0000}"/>
    <cellStyle name="40% - Accent6 5 4 3 2" xfId="24376" xr:uid="{00000000-0005-0000-0000-0000DB5E0000}"/>
    <cellStyle name="40% - Accent6 5 4 3 2 2" xfId="24377" xr:uid="{00000000-0005-0000-0000-0000DC5E0000}"/>
    <cellStyle name="40% - Accent6 5 4 3 2 3" xfId="24378" xr:uid="{00000000-0005-0000-0000-0000DD5E0000}"/>
    <cellStyle name="40% - Accent6 5 4 3 3" xfId="24379" xr:uid="{00000000-0005-0000-0000-0000DE5E0000}"/>
    <cellStyle name="40% - Accent6 5 4 3 4" xfId="24380" xr:uid="{00000000-0005-0000-0000-0000DF5E0000}"/>
    <cellStyle name="40% - Accent6 5 4 4" xfId="24381" xr:uid="{00000000-0005-0000-0000-0000E05E0000}"/>
    <cellStyle name="40% - Accent6 5 4 4 2" xfId="24382" xr:uid="{00000000-0005-0000-0000-0000E15E0000}"/>
    <cellStyle name="40% - Accent6 5 4 4 3" xfId="24383" xr:uid="{00000000-0005-0000-0000-0000E25E0000}"/>
    <cellStyle name="40% - Accent6 5 4 5" xfId="24384" xr:uid="{00000000-0005-0000-0000-0000E35E0000}"/>
    <cellStyle name="40% - Accent6 5 4 6" xfId="24385" xr:uid="{00000000-0005-0000-0000-0000E45E0000}"/>
    <cellStyle name="40% - Accent6 5 4 7" xfId="24386" xr:uid="{00000000-0005-0000-0000-0000E55E0000}"/>
    <cellStyle name="40% - Accent6 5 5" xfId="24387" xr:uid="{00000000-0005-0000-0000-0000E65E0000}"/>
    <cellStyle name="40% - Accent6 5 5 2" xfId="24388" xr:uid="{00000000-0005-0000-0000-0000E75E0000}"/>
    <cellStyle name="40% - Accent6 5 5 2 2" xfId="24389" xr:uid="{00000000-0005-0000-0000-0000E85E0000}"/>
    <cellStyle name="40% - Accent6 5 5 2 2 2" xfId="24390" xr:uid="{00000000-0005-0000-0000-0000E95E0000}"/>
    <cellStyle name="40% - Accent6 5 5 2 2 3" xfId="24391" xr:uid="{00000000-0005-0000-0000-0000EA5E0000}"/>
    <cellStyle name="40% - Accent6 5 5 2 3" xfId="24392" xr:uid="{00000000-0005-0000-0000-0000EB5E0000}"/>
    <cellStyle name="40% - Accent6 5 5 2 4" xfId="24393" xr:uid="{00000000-0005-0000-0000-0000EC5E0000}"/>
    <cellStyle name="40% - Accent6 5 5 3" xfId="24394" xr:uid="{00000000-0005-0000-0000-0000ED5E0000}"/>
    <cellStyle name="40% - Accent6 5 5 3 2" xfId="24395" xr:uid="{00000000-0005-0000-0000-0000EE5E0000}"/>
    <cellStyle name="40% - Accent6 5 5 3 3" xfId="24396" xr:uid="{00000000-0005-0000-0000-0000EF5E0000}"/>
    <cellStyle name="40% - Accent6 5 5 4" xfId="24397" xr:uid="{00000000-0005-0000-0000-0000F05E0000}"/>
    <cellStyle name="40% - Accent6 5 5 5" xfId="24398" xr:uid="{00000000-0005-0000-0000-0000F15E0000}"/>
    <cellStyle name="40% - Accent6 5 5 6" xfId="24399" xr:uid="{00000000-0005-0000-0000-0000F25E0000}"/>
    <cellStyle name="40% - Accent6 5 6" xfId="24400" xr:uid="{00000000-0005-0000-0000-0000F35E0000}"/>
    <cellStyle name="40% - Accent6 5 6 2" xfId="24401" xr:uid="{00000000-0005-0000-0000-0000F45E0000}"/>
    <cellStyle name="40% - Accent6 5 6 2 2" xfId="24402" xr:uid="{00000000-0005-0000-0000-0000F55E0000}"/>
    <cellStyle name="40% - Accent6 5 6 2 3" xfId="24403" xr:uid="{00000000-0005-0000-0000-0000F65E0000}"/>
    <cellStyle name="40% - Accent6 5 6 3" xfId="24404" xr:uid="{00000000-0005-0000-0000-0000F75E0000}"/>
    <cellStyle name="40% - Accent6 5 6 4" xfId="24405" xr:uid="{00000000-0005-0000-0000-0000F85E0000}"/>
    <cellStyle name="40% - Accent6 5 7" xfId="24406" xr:uid="{00000000-0005-0000-0000-0000F95E0000}"/>
    <cellStyle name="40% - Accent6 5 7 2" xfId="24407" xr:uid="{00000000-0005-0000-0000-0000FA5E0000}"/>
    <cellStyle name="40% - Accent6 5 7 3" xfId="24408" xr:uid="{00000000-0005-0000-0000-0000FB5E0000}"/>
    <cellStyle name="40% - Accent6 5 8" xfId="24409" xr:uid="{00000000-0005-0000-0000-0000FC5E0000}"/>
    <cellStyle name="40% - Accent6 5 9" xfId="24410" xr:uid="{00000000-0005-0000-0000-0000FD5E0000}"/>
    <cellStyle name="40% - Accent6 6" xfId="24411" xr:uid="{00000000-0005-0000-0000-0000FE5E0000}"/>
    <cellStyle name="40% - Accent6 6 2" xfId="24412" xr:uid="{00000000-0005-0000-0000-0000FF5E0000}"/>
    <cellStyle name="40% - Accent6 6 2 2" xfId="24413" xr:uid="{00000000-0005-0000-0000-0000005F0000}"/>
    <cellStyle name="40% - Accent6 6 2 2 2" xfId="24414" xr:uid="{00000000-0005-0000-0000-0000015F0000}"/>
    <cellStyle name="40% - Accent6 6 2 2 2 2" xfId="24415" xr:uid="{00000000-0005-0000-0000-0000025F0000}"/>
    <cellStyle name="40% - Accent6 6 2 2 2 2 2" xfId="24416" xr:uid="{00000000-0005-0000-0000-0000035F0000}"/>
    <cellStyle name="40% - Accent6 6 2 2 2 2 2 2" xfId="24417" xr:uid="{00000000-0005-0000-0000-0000045F0000}"/>
    <cellStyle name="40% - Accent6 6 2 2 2 2 2 3" xfId="24418" xr:uid="{00000000-0005-0000-0000-0000055F0000}"/>
    <cellStyle name="40% - Accent6 6 2 2 2 2 3" xfId="24419" xr:uid="{00000000-0005-0000-0000-0000065F0000}"/>
    <cellStyle name="40% - Accent6 6 2 2 2 2 4" xfId="24420" xr:uid="{00000000-0005-0000-0000-0000075F0000}"/>
    <cellStyle name="40% - Accent6 6 2 2 2 3" xfId="24421" xr:uid="{00000000-0005-0000-0000-0000085F0000}"/>
    <cellStyle name="40% - Accent6 6 2 2 2 3 2" xfId="24422" xr:uid="{00000000-0005-0000-0000-0000095F0000}"/>
    <cellStyle name="40% - Accent6 6 2 2 2 3 3" xfId="24423" xr:uid="{00000000-0005-0000-0000-00000A5F0000}"/>
    <cellStyle name="40% - Accent6 6 2 2 2 4" xfId="24424" xr:uid="{00000000-0005-0000-0000-00000B5F0000}"/>
    <cellStyle name="40% - Accent6 6 2 2 2 5" xfId="24425" xr:uid="{00000000-0005-0000-0000-00000C5F0000}"/>
    <cellStyle name="40% - Accent6 6 2 2 2 6" xfId="24426" xr:uid="{00000000-0005-0000-0000-00000D5F0000}"/>
    <cellStyle name="40% - Accent6 6 2 2 3" xfId="24427" xr:uid="{00000000-0005-0000-0000-00000E5F0000}"/>
    <cellStyle name="40% - Accent6 6 2 2 3 2" xfId="24428" xr:uid="{00000000-0005-0000-0000-00000F5F0000}"/>
    <cellStyle name="40% - Accent6 6 2 2 3 2 2" xfId="24429" xr:uid="{00000000-0005-0000-0000-0000105F0000}"/>
    <cellStyle name="40% - Accent6 6 2 2 3 2 3" xfId="24430" xr:uid="{00000000-0005-0000-0000-0000115F0000}"/>
    <cellStyle name="40% - Accent6 6 2 2 3 3" xfId="24431" xr:uid="{00000000-0005-0000-0000-0000125F0000}"/>
    <cellStyle name="40% - Accent6 6 2 2 3 4" xfId="24432" xr:uid="{00000000-0005-0000-0000-0000135F0000}"/>
    <cellStyle name="40% - Accent6 6 2 2 4" xfId="24433" xr:uid="{00000000-0005-0000-0000-0000145F0000}"/>
    <cellStyle name="40% - Accent6 6 2 2 4 2" xfId="24434" xr:uid="{00000000-0005-0000-0000-0000155F0000}"/>
    <cellStyle name="40% - Accent6 6 2 2 4 3" xfId="24435" xr:uid="{00000000-0005-0000-0000-0000165F0000}"/>
    <cellStyle name="40% - Accent6 6 2 2 5" xfId="24436" xr:uid="{00000000-0005-0000-0000-0000175F0000}"/>
    <cellStyle name="40% - Accent6 6 2 2 6" xfId="24437" xr:uid="{00000000-0005-0000-0000-0000185F0000}"/>
    <cellStyle name="40% - Accent6 6 2 2 7" xfId="24438" xr:uid="{00000000-0005-0000-0000-0000195F0000}"/>
    <cellStyle name="40% - Accent6 6 2 3" xfId="24439" xr:uid="{00000000-0005-0000-0000-00001A5F0000}"/>
    <cellStyle name="40% - Accent6 6 2 3 2" xfId="24440" xr:uid="{00000000-0005-0000-0000-00001B5F0000}"/>
    <cellStyle name="40% - Accent6 6 2 3 2 2" xfId="24441" xr:uid="{00000000-0005-0000-0000-00001C5F0000}"/>
    <cellStyle name="40% - Accent6 6 2 3 2 2 2" xfId="24442" xr:uid="{00000000-0005-0000-0000-00001D5F0000}"/>
    <cellStyle name="40% - Accent6 6 2 3 2 2 3" xfId="24443" xr:uid="{00000000-0005-0000-0000-00001E5F0000}"/>
    <cellStyle name="40% - Accent6 6 2 3 2 3" xfId="24444" xr:uid="{00000000-0005-0000-0000-00001F5F0000}"/>
    <cellStyle name="40% - Accent6 6 2 3 2 4" xfId="24445" xr:uid="{00000000-0005-0000-0000-0000205F0000}"/>
    <cellStyle name="40% - Accent6 6 2 3 3" xfId="24446" xr:uid="{00000000-0005-0000-0000-0000215F0000}"/>
    <cellStyle name="40% - Accent6 6 2 3 3 2" xfId="24447" xr:uid="{00000000-0005-0000-0000-0000225F0000}"/>
    <cellStyle name="40% - Accent6 6 2 3 3 3" xfId="24448" xr:uid="{00000000-0005-0000-0000-0000235F0000}"/>
    <cellStyle name="40% - Accent6 6 2 3 4" xfId="24449" xr:uid="{00000000-0005-0000-0000-0000245F0000}"/>
    <cellStyle name="40% - Accent6 6 2 3 5" xfId="24450" xr:uid="{00000000-0005-0000-0000-0000255F0000}"/>
    <cellStyle name="40% - Accent6 6 2 3 6" xfId="24451" xr:uid="{00000000-0005-0000-0000-0000265F0000}"/>
    <cellStyle name="40% - Accent6 6 2 4" xfId="24452" xr:uid="{00000000-0005-0000-0000-0000275F0000}"/>
    <cellStyle name="40% - Accent6 6 2 4 2" xfId="24453" xr:uid="{00000000-0005-0000-0000-0000285F0000}"/>
    <cellStyle name="40% - Accent6 6 2 4 2 2" xfId="24454" xr:uid="{00000000-0005-0000-0000-0000295F0000}"/>
    <cellStyle name="40% - Accent6 6 2 4 2 3" xfId="24455" xr:uid="{00000000-0005-0000-0000-00002A5F0000}"/>
    <cellStyle name="40% - Accent6 6 2 4 3" xfId="24456" xr:uid="{00000000-0005-0000-0000-00002B5F0000}"/>
    <cellStyle name="40% - Accent6 6 2 4 4" xfId="24457" xr:uid="{00000000-0005-0000-0000-00002C5F0000}"/>
    <cellStyle name="40% - Accent6 6 2 5" xfId="24458" xr:uid="{00000000-0005-0000-0000-00002D5F0000}"/>
    <cellStyle name="40% - Accent6 6 2 5 2" xfId="24459" xr:uid="{00000000-0005-0000-0000-00002E5F0000}"/>
    <cellStyle name="40% - Accent6 6 2 5 3" xfId="24460" xr:uid="{00000000-0005-0000-0000-00002F5F0000}"/>
    <cellStyle name="40% - Accent6 6 2 6" xfId="24461" xr:uid="{00000000-0005-0000-0000-0000305F0000}"/>
    <cellStyle name="40% - Accent6 6 2 7" xfId="24462" xr:uid="{00000000-0005-0000-0000-0000315F0000}"/>
    <cellStyle name="40% - Accent6 6 2 8" xfId="24463" xr:uid="{00000000-0005-0000-0000-0000325F0000}"/>
    <cellStyle name="40% - Accent6 6 3" xfId="24464" xr:uid="{00000000-0005-0000-0000-0000335F0000}"/>
    <cellStyle name="40% - Accent6 6 3 2" xfId="24465" xr:uid="{00000000-0005-0000-0000-0000345F0000}"/>
    <cellStyle name="40% - Accent6 6 3 2 2" xfId="24466" xr:uid="{00000000-0005-0000-0000-0000355F0000}"/>
    <cellStyle name="40% - Accent6 6 3 2 2 2" xfId="24467" xr:uid="{00000000-0005-0000-0000-0000365F0000}"/>
    <cellStyle name="40% - Accent6 6 3 2 2 2 2" xfId="24468" xr:uid="{00000000-0005-0000-0000-0000375F0000}"/>
    <cellStyle name="40% - Accent6 6 3 2 2 2 3" xfId="24469" xr:uid="{00000000-0005-0000-0000-0000385F0000}"/>
    <cellStyle name="40% - Accent6 6 3 2 2 3" xfId="24470" xr:uid="{00000000-0005-0000-0000-0000395F0000}"/>
    <cellStyle name="40% - Accent6 6 3 2 2 4" xfId="24471" xr:uid="{00000000-0005-0000-0000-00003A5F0000}"/>
    <cellStyle name="40% - Accent6 6 3 2 3" xfId="24472" xr:uid="{00000000-0005-0000-0000-00003B5F0000}"/>
    <cellStyle name="40% - Accent6 6 3 2 3 2" xfId="24473" xr:uid="{00000000-0005-0000-0000-00003C5F0000}"/>
    <cellStyle name="40% - Accent6 6 3 2 3 3" xfId="24474" xr:uid="{00000000-0005-0000-0000-00003D5F0000}"/>
    <cellStyle name="40% - Accent6 6 3 2 4" xfId="24475" xr:uid="{00000000-0005-0000-0000-00003E5F0000}"/>
    <cellStyle name="40% - Accent6 6 3 2 5" xfId="24476" xr:uid="{00000000-0005-0000-0000-00003F5F0000}"/>
    <cellStyle name="40% - Accent6 6 3 2 6" xfId="24477" xr:uid="{00000000-0005-0000-0000-0000405F0000}"/>
    <cellStyle name="40% - Accent6 6 3 3" xfId="24478" xr:uid="{00000000-0005-0000-0000-0000415F0000}"/>
    <cellStyle name="40% - Accent6 6 3 3 2" xfId="24479" xr:uid="{00000000-0005-0000-0000-0000425F0000}"/>
    <cellStyle name="40% - Accent6 6 3 3 2 2" xfId="24480" xr:uid="{00000000-0005-0000-0000-0000435F0000}"/>
    <cellStyle name="40% - Accent6 6 3 3 2 3" xfId="24481" xr:uid="{00000000-0005-0000-0000-0000445F0000}"/>
    <cellStyle name="40% - Accent6 6 3 3 3" xfId="24482" xr:uid="{00000000-0005-0000-0000-0000455F0000}"/>
    <cellStyle name="40% - Accent6 6 3 3 4" xfId="24483" xr:uid="{00000000-0005-0000-0000-0000465F0000}"/>
    <cellStyle name="40% - Accent6 6 3 4" xfId="24484" xr:uid="{00000000-0005-0000-0000-0000475F0000}"/>
    <cellStyle name="40% - Accent6 6 3 4 2" xfId="24485" xr:uid="{00000000-0005-0000-0000-0000485F0000}"/>
    <cellStyle name="40% - Accent6 6 3 4 3" xfId="24486" xr:uid="{00000000-0005-0000-0000-0000495F0000}"/>
    <cellStyle name="40% - Accent6 6 3 5" xfId="24487" xr:uid="{00000000-0005-0000-0000-00004A5F0000}"/>
    <cellStyle name="40% - Accent6 6 3 6" xfId="24488" xr:uid="{00000000-0005-0000-0000-00004B5F0000}"/>
    <cellStyle name="40% - Accent6 6 3 7" xfId="24489" xr:uid="{00000000-0005-0000-0000-00004C5F0000}"/>
    <cellStyle name="40% - Accent6 6 4" xfId="24490" xr:uid="{00000000-0005-0000-0000-00004D5F0000}"/>
    <cellStyle name="40% - Accent6 6 4 2" xfId="24491" xr:uid="{00000000-0005-0000-0000-00004E5F0000}"/>
    <cellStyle name="40% - Accent6 6 4 2 2" xfId="24492" xr:uid="{00000000-0005-0000-0000-00004F5F0000}"/>
    <cellStyle name="40% - Accent6 6 4 2 2 2" xfId="24493" xr:uid="{00000000-0005-0000-0000-0000505F0000}"/>
    <cellStyle name="40% - Accent6 6 4 2 2 3" xfId="24494" xr:uid="{00000000-0005-0000-0000-0000515F0000}"/>
    <cellStyle name="40% - Accent6 6 4 2 3" xfId="24495" xr:uid="{00000000-0005-0000-0000-0000525F0000}"/>
    <cellStyle name="40% - Accent6 6 4 2 4" xfId="24496" xr:uid="{00000000-0005-0000-0000-0000535F0000}"/>
    <cellStyle name="40% - Accent6 6 4 3" xfId="24497" xr:uid="{00000000-0005-0000-0000-0000545F0000}"/>
    <cellStyle name="40% - Accent6 6 4 3 2" xfId="24498" xr:uid="{00000000-0005-0000-0000-0000555F0000}"/>
    <cellStyle name="40% - Accent6 6 4 3 3" xfId="24499" xr:uid="{00000000-0005-0000-0000-0000565F0000}"/>
    <cellStyle name="40% - Accent6 6 4 4" xfId="24500" xr:uid="{00000000-0005-0000-0000-0000575F0000}"/>
    <cellStyle name="40% - Accent6 6 4 5" xfId="24501" xr:uid="{00000000-0005-0000-0000-0000585F0000}"/>
    <cellStyle name="40% - Accent6 6 4 6" xfId="24502" xr:uid="{00000000-0005-0000-0000-0000595F0000}"/>
    <cellStyle name="40% - Accent6 6 5" xfId="24503" xr:uid="{00000000-0005-0000-0000-00005A5F0000}"/>
    <cellStyle name="40% - Accent6 6 5 2" xfId="24504" xr:uid="{00000000-0005-0000-0000-00005B5F0000}"/>
    <cellStyle name="40% - Accent6 6 5 2 2" xfId="24505" xr:uid="{00000000-0005-0000-0000-00005C5F0000}"/>
    <cellStyle name="40% - Accent6 6 5 2 3" xfId="24506" xr:uid="{00000000-0005-0000-0000-00005D5F0000}"/>
    <cellStyle name="40% - Accent6 6 5 3" xfId="24507" xr:uid="{00000000-0005-0000-0000-00005E5F0000}"/>
    <cellStyle name="40% - Accent6 6 5 4" xfId="24508" xr:uid="{00000000-0005-0000-0000-00005F5F0000}"/>
    <cellStyle name="40% - Accent6 6 6" xfId="24509" xr:uid="{00000000-0005-0000-0000-0000605F0000}"/>
    <cellStyle name="40% - Accent6 6 6 2" xfId="24510" xr:uid="{00000000-0005-0000-0000-0000615F0000}"/>
    <cellStyle name="40% - Accent6 6 6 3" xfId="24511" xr:uid="{00000000-0005-0000-0000-0000625F0000}"/>
    <cellStyle name="40% - Accent6 6 7" xfId="24512" xr:uid="{00000000-0005-0000-0000-0000635F0000}"/>
    <cellStyle name="40% - Accent6 6 8" xfId="24513" xr:uid="{00000000-0005-0000-0000-0000645F0000}"/>
    <cellStyle name="40% - Accent6 6 9" xfId="24514" xr:uid="{00000000-0005-0000-0000-0000655F0000}"/>
    <cellStyle name="40% - Accent6 7" xfId="24515" xr:uid="{00000000-0005-0000-0000-0000665F0000}"/>
    <cellStyle name="40% - Accent6 7 2" xfId="24516" xr:uid="{00000000-0005-0000-0000-0000675F0000}"/>
    <cellStyle name="40% - Accent6 7 2 2" xfId="24517" xr:uid="{00000000-0005-0000-0000-0000685F0000}"/>
    <cellStyle name="40% - Accent6 7 2 2 2" xfId="24518" xr:uid="{00000000-0005-0000-0000-0000695F0000}"/>
    <cellStyle name="40% - Accent6 7 2 2 2 2" xfId="24519" xr:uid="{00000000-0005-0000-0000-00006A5F0000}"/>
    <cellStyle name="40% - Accent6 7 2 2 2 2 2" xfId="24520" xr:uid="{00000000-0005-0000-0000-00006B5F0000}"/>
    <cellStyle name="40% - Accent6 7 2 2 2 2 2 2" xfId="24521" xr:uid="{00000000-0005-0000-0000-00006C5F0000}"/>
    <cellStyle name="40% - Accent6 7 2 2 2 2 2 3" xfId="24522" xr:uid="{00000000-0005-0000-0000-00006D5F0000}"/>
    <cellStyle name="40% - Accent6 7 2 2 2 2 3" xfId="24523" xr:uid="{00000000-0005-0000-0000-00006E5F0000}"/>
    <cellStyle name="40% - Accent6 7 2 2 2 2 4" xfId="24524" xr:uid="{00000000-0005-0000-0000-00006F5F0000}"/>
    <cellStyle name="40% - Accent6 7 2 2 2 3" xfId="24525" xr:uid="{00000000-0005-0000-0000-0000705F0000}"/>
    <cellStyle name="40% - Accent6 7 2 2 2 3 2" xfId="24526" xr:uid="{00000000-0005-0000-0000-0000715F0000}"/>
    <cellStyle name="40% - Accent6 7 2 2 2 3 3" xfId="24527" xr:uid="{00000000-0005-0000-0000-0000725F0000}"/>
    <cellStyle name="40% - Accent6 7 2 2 2 4" xfId="24528" xr:uid="{00000000-0005-0000-0000-0000735F0000}"/>
    <cellStyle name="40% - Accent6 7 2 2 2 5" xfId="24529" xr:uid="{00000000-0005-0000-0000-0000745F0000}"/>
    <cellStyle name="40% - Accent6 7 2 2 2 6" xfId="24530" xr:uid="{00000000-0005-0000-0000-0000755F0000}"/>
    <cellStyle name="40% - Accent6 7 2 2 3" xfId="24531" xr:uid="{00000000-0005-0000-0000-0000765F0000}"/>
    <cellStyle name="40% - Accent6 7 2 2 3 2" xfId="24532" xr:uid="{00000000-0005-0000-0000-0000775F0000}"/>
    <cellStyle name="40% - Accent6 7 2 2 3 2 2" xfId="24533" xr:uid="{00000000-0005-0000-0000-0000785F0000}"/>
    <cellStyle name="40% - Accent6 7 2 2 3 2 3" xfId="24534" xr:uid="{00000000-0005-0000-0000-0000795F0000}"/>
    <cellStyle name="40% - Accent6 7 2 2 3 3" xfId="24535" xr:uid="{00000000-0005-0000-0000-00007A5F0000}"/>
    <cellStyle name="40% - Accent6 7 2 2 3 4" xfId="24536" xr:uid="{00000000-0005-0000-0000-00007B5F0000}"/>
    <cellStyle name="40% - Accent6 7 2 2 4" xfId="24537" xr:uid="{00000000-0005-0000-0000-00007C5F0000}"/>
    <cellStyle name="40% - Accent6 7 2 2 4 2" xfId="24538" xr:uid="{00000000-0005-0000-0000-00007D5F0000}"/>
    <cellStyle name="40% - Accent6 7 2 2 4 3" xfId="24539" xr:uid="{00000000-0005-0000-0000-00007E5F0000}"/>
    <cellStyle name="40% - Accent6 7 2 2 5" xfId="24540" xr:uid="{00000000-0005-0000-0000-00007F5F0000}"/>
    <cellStyle name="40% - Accent6 7 2 2 6" xfId="24541" xr:uid="{00000000-0005-0000-0000-0000805F0000}"/>
    <cellStyle name="40% - Accent6 7 2 2 7" xfId="24542" xr:uid="{00000000-0005-0000-0000-0000815F0000}"/>
    <cellStyle name="40% - Accent6 7 2 3" xfId="24543" xr:uid="{00000000-0005-0000-0000-0000825F0000}"/>
    <cellStyle name="40% - Accent6 7 2 3 2" xfId="24544" xr:uid="{00000000-0005-0000-0000-0000835F0000}"/>
    <cellStyle name="40% - Accent6 7 2 3 2 2" xfId="24545" xr:uid="{00000000-0005-0000-0000-0000845F0000}"/>
    <cellStyle name="40% - Accent6 7 2 3 2 2 2" xfId="24546" xr:uid="{00000000-0005-0000-0000-0000855F0000}"/>
    <cellStyle name="40% - Accent6 7 2 3 2 2 3" xfId="24547" xr:uid="{00000000-0005-0000-0000-0000865F0000}"/>
    <cellStyle name="40% - Accent6 7 2 3 2 3" xfId="24548" xr:uid="{00000000-0005-0000-0000-0000875F0000}"/>
    <cellStyle name="40% - Accent6 7 2 3 2 4" xfId="24549" xr:uid="{00000000-0005-0000-0000-0000885F0000}"/>
    <cellStyle name="40% - Accent6 7 2 3 3" xfId="24550" xr:uid="{00000000-0005-0000-0000-0000895F0000}"/>
    <cellStyle name="40% - Accent6 7 2 3 3 2" xfId="24551" xr:uid="{00000000-0005-0000-0000-00008A5F0000}"/>
    <cellStyle name="40% - Accent6 7 2 3 3 3" xfId="24552" xr:uid="{00000000-0005-0000-0000-00008B5F0000}"/>
    <cellStyle name="40% - Accent6 7 2 3 4" xfId="24553" xr:uid="{00000000-0005-0000-0000-00008C5F0000}"/>
    <cellStyle name="40% - Accent6 7 2 3 5" xfId="24554" xr:uid="{00000000-0005-0000-0000-00008D5F0000}"/>
    <cellStyle name="40% - Accent6 7 2 3 6" xfId="24555" xr:uid="{00000000-0005-0000-0000-00008E5F0000}"/>
    <cellStyle name="40% - Accent6 7 2 4" xfId="24556" xr:uid="{00000000-0005-0000-0000-00008F5F0000}"/>
    <cellStyle name="40% - Accent6 7 2 4 2" xfId="24557" xr:uid="{00000000-0005-0000-0000-0000905F0000}"/>
    <cellStyle name="40% - Accent6 7 2 4 2 2" xfId="24558" xr:uid="{00000000-0005-0000-0000-0000915F0000}"/>
    <cellStyle name="40% - Accent6 7 2 4 2 3" xfId="24559" xr:uid="{00000000-0005-0000-0000-0000925F0000}"/>
    <cellStyle name="40% - Accent6 7 2 4 3" xfId="24560" xr:uid="{00000000-0005-0000-0000-0000935F0000}"/>
    <cellStyle name="40% - Accent6 7 2 4 4" xfId="24561" xr:uid="{00000000-0005-0000-0000-0000945F0000}"/>
    <cellStyle name="40% - Accent6 7 2 5" xfId="24562" xr:uid="{00000000-0005-0000-0000-0000955F0000}"/>
    <cellStyle name="40% - Accent6 7 2 5 2" xfId="24563" xr:uid="{00000000-0005-0000-0000-0000965F0000}"/>
    <cellStyle name="40% - Accent6 7 2 5 3" xfId="24564" xr:uid="{00000000-0005-0000-0000-0000975F0000}"/>
    <cellStyle name="40% - Accent6 7 2 6" xfId="24565" xr:uid="{00000000-0005-0000-0000-0000985F0000}"/>
    <cellStyle name="40% - Accent6 7 2 7" xfId="24566" xr:uid="{00000000-0005-0000-0000-0000995F0000}"/>
    <cellStyle name="40% - Accent6 7 2 8" xfId="24567" xr:uid="{00000000-0005-0000-0000-00009A5F0000}"/>
    <cellStyle name="40% - Accent6 7 3" xfId="24568" xr:uid="{00000000-0005-0000-0000-00009B5F0000}"/>
    <cellStyle name="40% - Accent6 7 3 2" xfId="24569" xr:uid="{00000000-0005-0000-0000-00009C5F0000}"/>
    <cellStyle name="40% - Accent6 7 3 2 2" xfId="24570" xr:uid="{00000000-0005-0000-0000-00009D5F0000}"/>
    <cellStyle name="40% - Accent6 7 3 2 2 2" xfId="24571" xr:uid="{00000000-0005-0000-0000-00009E5F0000}"/>
    <cellStyle name="40% - Accent6 7 3 2 2 2 2" xfId="24572" xr:uid="{00000000-0005-0000-0000-00009F5F0000}"/>
    <cellStyle name="40% - Accent6 7 3 2 2 2 3" xfId="24573" xr:uid="{00000000-0005-0000-0000-0000A05F0000}"/>
    <cellStyle name="40% - Accent6 7 3 2 2 3" xfId="24574" xr:uid="{00000000-0005-0000-0000-0000A15F0000}"/>
    <cellStyle name="40% - Accent6 7 3 2 2 4" xfId="24575" xr:uid="{00000000-0005-0000-0000-0000A25F0000}"/>
    <cellStyle name="40% - Accent6 7 3 2 3" xfId="24576" xr:uid="{00000000-0005-0000-0000-0000A35F0000}"/>
    <cellStyle name="40% - Accent6 7 3 2 3 2" xfId="24577" xr:uid="{00000000-0005-0000-0000-0000A45F0000}"/>
    <cellStyle name="40% - Accent6 7 3 2 3 3" xfId="24578" xr:uid="{00000000-0005-0000-0000-0000A55F0000}"/>
    <cellStyle name="40% - Accent6 7 3 2 4" xfId="24579" xr:uid="{00000000-0005-0000-0000-0000A65F0000}"/>
    <cellStyle name="40% - Accent6 7 3 2 5" xfId="24580" xr:uid="{00000000-0005-0000-0000-0000A75F0000}"/>
    <cellStyle name="40% - Accent6 7 3 2 6" xfId="24581" xr:uid="{00000000-0005-0000-0000-0000A85F0000}"/>
    <cellStyle name="40% - Accent6 7 3 3" xfId="24582" xr:uid="{00000000-0005-0000-0000-0000A95F0000}"/>
    <cellStyle name="40% - Accent6 7 3 3 2" xfId="24583" xr:uid="{00000000-0005-0000-0000-0000AA5F0000}"/>
    <cellStyle name="40% - Accent6 7 3 3 2 2" xfId="24584" xr:uid="{00000000-0005-0000-0000-0000AB5F0000}"/>
    <cellStyle name="40% - Accent6 7 3 3 2 3" xfId="24585" xr:uid="{00000000-0005-0000-0000-0000AC5F0000}"/>
    <cellStyle name="40% - Accent6 7 3 3 3" xfId="24586" xr:uid="{00000000-0005-0000-0000-0000AD5F0000}"/>
    <cellStyle name="40% - Accent6 7 3 3 4" xfId="24587" xr:uid="{00000000-0005-0000-0000-0000AE5F0000}"/>
    <cellStyle name="40% - Accent6 7 3 4" xfId="24588" xr:uid="{00000000-0005-0000-0000-0000AF5F0000}"/>
    <cellStyle name="40% - Accent6 7 3 4 2" xfId="24589" xr:uid="{00000000-0005-0000-0000-0000B05F0000}"/>
    <cellStyle name="40% - Accent6 7 3 4 3" xfId="24590" xr:uid="{00000000-0005-0000-0000-0000B15F0000}"/>
    <cellStyle name="40% - Accent6 7 3 5" xfId="24591" xr:uid="{00000000-0005-0000-0000-0000B25F0000}"/>
    <cellStyle name="40% - Accent6 7 3 6" xfId="24592" xr:uid="{00000000-0005-0000-0000-0000B35F0000}"/>
    <cellStyle name="40% - Accent6 7 3 7" xfId="24593" xr:uid="{00000000-0005-0000-0000-0000B45F0000}"/>
    <cellStyle name="40% - Accent6 7 4" xfId="24594" xr:uid="{00000000-0005-0000-0000-0000B55F0000}"/>
    <cellStyle name="40% - Accent6 7 4 2" xfId="24595" xr:uid="{00000000-0005-0000-0000-0000B65F0000}"/>
    <cellStyle name="40% - Accent6 7 4 2 2" xfId="24596" xr:uid="{00000000-0005-0000-0000-0000B75F0000}"/>
    <cellStyle name="40% - Accent6 7 4 2 2 2" xfId="24597" xr:uid="{00000000-0005-0000-0000-0000B85F0000}"/>
    <cellStyle name="40% - Accent6 7 4 2 2 3" xfId="24598" xr:uid="{00000000-0005-0000-0000-0000B95F0000}"/>
    <cellStyle name="40% - Accent6 7 4 2 3" xfId="24599" xr:uid="{00000000-0005-0000-0000-0000BA5F0000}"/>
    <cellStyle name="40% - Accent6 7 4 2 4" xfId="24600" xr:uid="{00000000-0005-0000-0000-0000BB5F0000}"/>
    <cellStyle name="40% - Accent6 7 4 3" xfId="24601" xr:uid="{00000000-0005-0000-0000-0000BC5F0000}"/>
    <cellStyle name="40% - Accent6 7 4 3 2" xfId="24602" xr:uid="{00000000-0005-0000-0000-0000BD5F0000}"/>
    <cellStyle name="40% - Accent6 7 4 3 3" xfId="24603" xr:uid="{00000000-0005-0000-0000-0000BE5F0000}"/>
    <cellStyle name="40% - Accent6 7 4 4" xfId="24604" xr:uid="{00000000-0005-0000-0000-0000BF5F0000}"/>
    <cellStyle name="40% - Accent6 7 4 5" xfId="24605" xr:uid="{00000000-0005-0000-0000-0000C05F0000}"/>
    <cellStyle name="40% - Accent6 7 4 6" xfId="24606" xr:uid="{00000000-0005-0000-0000-0000C15F0000}"/>
    <cellStyle name="40% - Accent6 7 5" xfId="24607" xr:uid="{00000000-0005-0000-0000-0000C25F0000}"/>
    <cellStyle name="40% - Accent6 7 5 2" xfId="24608" xr:uid="{00000000-0005-0000-0000-0000C35F0000}"/>
    <cellStyle name="40% - Accent6 7 5 2 2" xfId="24609" xr:uid="{00000000-0005-0000-0000-0000C45F0000}"/>
    <cellStyle name="40% - Accent6 7 5 2 3" xfId="24610" xr:uid="{00000000-0005-0000-0000-0000C55F0000}"/>
    <cellStyle name="40% - Accent6 7 5 3" xfId="24611" xr:uid="{00000000-0005-0000-0000-0000C65F0000}"/>
    <cellStyle name="40% - Accent6 7 5 4" xfId="24612" xr:uid="{00000000-0005-0000-0000-0000C75F0000}"/>
    <cellStyle name="40% - Accent6 7 6" xfId="24613" xr:uid="{00000000-0005-0000-0000-0000C85F0000}"/>
    <cellStyle name="40% - Accent6 7 6 2" xfId="24614" xr:uid="{00000000-0005-0000-0000-0000C95F0000}"/>
    <cellStyle name="40% - Accent6 7 6 3" xfId="24615" xr:uid="{00000000-0005-0000-0000-0000CA5F0000}"/>
    <cellStyle name="40% - Accent6 7 7" xfId="24616" xr:uid="{00000000-0005-0000-0000-0000CB5F0000}"/>
    <cellStyle name="40% - Accent6 7 8" xfId="24617" xr:uid="{00000000-0005-0000-0000-0000CC5F0000}"/>
    <cellStyle name="40% - Accent6 7 9" xfId="24618" xr:uid="{00000000-0005-0000-0000-0000CD5F0000}"/>
    <cellStyle name="40% - Accent6 8" xfId="24619" xr:uid="{00000000-0005-0000-0000-0000CE5F0000}"/>
    <cellStyle name="40% - Accent6 8 2" xfId="24620" xr:uid="{00000000-0005-0000-0000-0000CF5F0000}"/>
    <cellStyle name="40% - Accent6 8 2 2" xfId="24621" xr:uid="{00000000-0005-0000-0000-0000D05F0000}"/>
    <cellStyle name="40% - Accent6 8 2 2 2" xfId="24622" xr:uid="{00000000-0005-0000-0000-0000D15F0000}"/>
    <cellStyle name="40% - Accent6 8 2 2 2 2" xfId="24623" xr:uid="{00000000-0005-0000-0000-0000D25F0000}"/>
    <cellStyle name="40% - Accent6 8 2 2 2 2 2" xfId="24624" xr:uid="{00000000-0005-0000-0000-0000D35F0000}"/>
    <cellStyle name="40% - Accent6 8 2 2 2 2 3" xfId="24625" xr:uid="{00000000-0005-0000-0000-0000D45F0000}"/>
    <cellStyle name="40% - Accent6 8 2 2 2 3" xfId="24626" xr:uid="{00000000-0005-0000-0000-0000D55F0000}"/>
    <cellStyle name="40% - Accent6 8 2 2 2 4" xfId="24627" xr:uid="{00000000-0005-0000-0000-0000D65F0000}"/>
    <cellStyle name="40% - Accent6 8 2 2 3" xfId="24628" xr:uid="{00000000-0005-0000-0000-0000D75F0000}"/>
    <cellStyle name="40% - Accent6 8 2 2 3 2" xfId="24629" xr:uid="{00000000-0005-0000-0000-0000D85F0000}"/>
    <cellStyle name="40% - Accent6 8 2 2 3 3" xfId="24630" xr:uid="{00000000-0005-0000-0000-0000D95F0000}"/>
    <cellStyle name="40% - Accent6 8 2 2 4" xfId="24631" xr:uid="{00000000-0005-0000-0000-0000DA5F0000}"/>
    <cellStyle name="40% - Accent6 8 2 2 5" xfId="24632" xr:uid="{00000000-0005-0000-0000-0000DB5F0000}"/>
    <cellStyle name="40% - Accent6 8 2 2 6" xfId="24633" xr:uid="{00000000-0005-0000-0000-0000DC5F0000}"/>
    <cellStyle name="40% - Accent6 8 2 3" xfId="24634" xr:uid="{00000000-0005-0000-0000-0000DD5F0000}"/>
    <cellStyle name="40% - Accent6 8 2 3 2" xfId="24635" xr:uid="{00000000-0005-0000-0000-0000DE5F0000}"/>
    <cellStyle name="40% - Accent6 8 2 3 2 2" xfId="24636" xr:uid="{00000000-0005-0000-0000-0000DF5F0000}"/>
    <cellStyle name="40% - Accent6 8 2 3 2 3" xfId="24637" xr:uid="{00000000-0005-0000-0000-0000E05F0000}"/>
    <cellStyle name="40% - Accent6 8 2 3 3" xfId="24638" xr:uid="{00000000-0005-0000-0000-0000E15F0000}"/>
    <cellStyle name="40% - Accent6 8 2 3 4" xfId="24639" xr:uid="{00000000-0005-0000-0000-0000E25F0000}"/>
    <cellStyle name="40% - Accent6 8 2 4" xfId="24640" xr:uid="{00000000-0005-0000-0000-0000E35F0000}"/>
    <cellStyle name="40% - Accent6 8 2 4 2" xfId="24641" xr:uid="{00000000-0005-0000-0000-0000E45F0000}"/>
    <cellStyle name="40% - Accent6 8 2 4 3" xfId="24642" xr:uid="{00000000-0005-0000-0000-0000E55F0000}"/>
    <cellStyle name="40% - Accent6 8 2 5" xfId="24643" xr:uid="{00000000-0005-0000-0000-0000E65F0000}"/>
    <cellStyle name="40% - Accent6 8 2 6" xfId="24644" xr:uid="{00000000-0005-0000-0000-0000E75F0000}"/>
    <cellStyle name="40% - Accent6 8 2 7" xfId="24645" xr:uid="{00000000-0005-0000-0000-0000E85F0000}"/>
    <cellStyle name="40% - Accent6 8 3" xfId="24646" xr:uid="{00000000-0005-0000-0000-0000E95F0000}"/>
    <cellStyle name="40% - Accent6 8 3 2" xfId="24647" xr:uid="{00000000-0005-0000-0000-0000EA5F0000}"/>
    <cellStyle name="40% - Accent6 8 3 2 2" xfId="24648" xr:uid="{00000000-0005-0000-0000-0000EB5F0000}"/>
    <cellStyle name="40% - Accent6 8 3 2 2 2" xfId="24649" xr:uid="{00000000-0005-0000-0000-0000EC5F0000}"/>
    <cellStyle name="40% - Accent6 8 3 2 2 3" xfId="24650" xr:uid="{00000000-0005-0000-0000-0000ED5F0000}"/>
    <cellStyle name="40% - Accent6 8 3 2 3" xfId="24651" xr:uid="{00000000-0005-0000-0000-0000EE5F0000}"/>
    <cellStyle name="40% - Accent6 8 3 2 4" xfId="24652" xr:uid="{00000000-0005-0000-0000-0000EF5F0000}"/>
    <cellStyle name="40% - Accent6 8 3 3" xfId="24653" xr:uid="{00000000-0005-0000-0000-0000F05F0000}"/>
    <cellStyle name="40% - Accent6 8 3 3 2" xfId="24654" xr:uid="{00000000-0005-0000-0000-0000F15F0000}"/>
    <cellStyle name="40% - Accent6 8 3 3 3" xfId="24655" xr:uid="{00000000-0005-0000-0000-0000F25F0000}"/>
    <cellStyle name="40% - Accent6 8 3 4" xfId="24656" xr:uid="{00000000-0005-0000-0000-0000F35F0000}"/>
    <cellStyle name="40% - Accent6 8 3 5" xfId="24657" xr:uid="{00000000-0005-0000-0000-0000F45F0000}"/>
    <cellStyle name="40% - Accent6 8 3 6" xfId="24658" xr:uid="{00000000-0005-0000-0000-0000F55F0000}"/>
    <cellStyle name="40% - Accent6 8 4" xfId="24659" xr:uid="{00000000-0005-0000-0000-0000F65F0000}"/>
    <cellStyle name="40% - Accent6 8 4 2" xfId="24660" xr:uid="{00000000-0005-0000-0000-0000F75F0000}"/>
    <cellStyle name="40% - Accent6 8 4 2 2" xfId="24661" xr:uid="{00000000-0005-0000-0000-0000F85F0000}"/>
    <cellStyle name="40% - Accent6 8 4 2 3" xfId="24662" xr:uid="{00000000-0005-0000-0000-0000F95F0000}"/>
    <cellStyle name="40% - Accent6 8 4 3" xfId="24663" xr:uid="{00000000-0005-0000-0000-0000FA5F0000}"/>
    <cellStyle name="40% - Accent6 8 4 4" xfId="24664" xr:uid="{00000000-0005-0000-0000-0000FB5F0000}"/>
    <cellStyle name="40% - Accent6 8 5" xfId="24665" xr:uid="{00000000-0005-0000-0000-0000FC5F0000}"/>
    <cellStyle name="40% - Accent6 8 5 2" xfId="24666" xr:uid="{00000000-0005-0000-0000-0000FD5F0000}"/>
    <cellStyle name="40% - Accent6 8 5 3" xfId="24667" xr:uid="{00000000-0005-0000-0000-0000FE5F0000}"/>
    <cellStyle name="40% - Accent6 8 6" xfId="24668" xr:uid="{00000000-0005-0000-0000-0000FF5F0000}"/>
    <cellStyle name="40% - Accent6 8 7" xfId="24669" xr:uid="{00000000-0005-0000-0000-000000600000}"/>
    <cellStyle name="40% - Accent6 8 8" xfId="24670" xr:uid="{00000000-0005-0000-0000-000001600000}"/>
    <cellStyle name="40% - Accent6 9" xfId="24671" xr:uid="{00000000-0005-0000-0000-000002600000}"/>
    <cellStyle name="40% - Accent6 9 2" xfId="24672" xr:uid="{00000000-0005-0000-0000-000003600000}"/>
    <cellStyle name="40% - Accent6 9 2 2" xfId="24673" xr:uid="{00000000-0005-0000-0000-000004600000}"/>
    <cellStyle name="40% - Accent6 9 2 2 2" xfId="24674" xr:uid="{00000000-0005-0000-0000-000005600000}"/>
    <cellStyle name="40% - Accent6 9 2 2 2 2" xfId="24675" xr:uid="{00000000-0005-0000-0000-000006600000}"/>
    <cellStyle name="40% - Accent6 9 2 2 2 2 2" xfId="24676" xr:uid="{00000000-0005-0000-0000-000007600000}"/>
    <cellStyle name="40% - Accent6 9 2 2 2 2 3" xfId="24677" xr:uid="{00000000-0005-0000-0000-000008600000}"/>
    <cellStyle name="40% - Accent6 9 2 2 2 3" xfId="24678" xr:uid="{00000000-0005-0000-0000-000009600000}"/>
    <cellStyle name="40% - Accent6 9 2 2 2 4" xfId="24679" xr:uid="{00000000-0005-0000-0000-00000A600000}"/>
    <cellStyle name="40% - Accent6 9 2 2 3" xfId="24680" xr:uid="{00000000-0005-0000-0000-00000B600000}"/>
    <cellStyle name="40% - Accent6 9 2 2 3 2" xfId="24681" xr:uid="{00000000-0005-0000-0000-00000C600000}"/>
    <cellStyle name="40% - Accent6 9 2 2 3 3" xfId="24682" xr:uid="{00000000-0005-0000-0000-00000D600000}"/>
    <cellStyle name="40% - Accent6 9 2 2 4" xfId="24683" xr:uid="{00000000-0005-0000-0000-00000E600000}"/>
    <cellStyle name="40% - Accent6 9 2 2 5" xfId="24684" xr:uid="{00000000-0005-0000-0000-00000F600000}"/>
    <cellStyle name="40% - Accent6 9 2 2 6" xfId="24685" xr:uid="{00000000-0005-0000-0000-000010600000}"/>
    <cellStyle name="40% - Accent6 9 2 3" xfId="24686" xr:uid="{00000000-0005-0000-0000-000011600000}"/>
    <cellStyle name="40% - Accent6 9 2 3 2" xfId="24687" xr:uid="{00000000-0005-0000-0000-000012600000}"/>
    <cellStyle name="40% - Accent6 9 2 3 2 2" xfId="24688" xr:uid="{00000000-0005-0000-0000-000013600000}"/>
    <cellStyle name="40% - Accent6 9 2 3 2 3" xfId="24689" xr:uid="{00000000-0005-0000-0000-000014600000}"/>
    <cellStyle name="40% - Accent6 9 2 3 3" xfId="24690" xr:uid="{00000000-0005-0000-0000-000015600000}"/>
    <cellStyle name="40% - Accent6 9 2 3 4" xfId="24691" xr:uid="{00000000-0005-0000-0000-000016600000}"/>
    <cellStyle name="40% - Accent6 9 2 4" xfId="24692" xr:uid="{00000000-0005-0000-0000-000017600000}"/>
    <cellStyle name="40% - Accent6 9 2 4 2" xfId="24693" xr:uid="{00000000-0005-0000-0000-000018600000}"/>
    <cellStyle name="40% - Accent6 9 2 4 3" xfId="24694" xr:uid="{00000000-0005-0000-0000-000019600000}"/>
    <cellStyle name="40% - Accent6 9 2 5" xfId="24695" xr:uid="{00000000-0005-0000-0000-00001A600000}"/>
    <cellStyle name="40% - Accent6 9 2 6" xfId="24696" xr:uid="{00000000-0005-0000-0000-00001B600000}"/>
    <cellStyle name="40% - Accent6 9 2 7" xfId="24697" xr:uid="{00000000-0005-0000-0000-00001C600000}"/>
    <cellStyle name="40% - Accent6 9 3" xfId="24698" xr:uid="{00000000-0005-0000-0000-00001D600000}"/>
    <cellStyle name="40% - Accent6 9 3 2" xfId="24699" xr:uid="{00000000-0005-0000-0000-00001E600000}"/>
    <cellStyle name="40% - Accent6 9 3 2 2" xfId="24700" xr:uid="{00000000-0005-0000-0000-00001F600000}"/>
    <cellStyle name="40% - Accent6 9 3 2 2 2" xfId="24701" xr:uid="{00000000-0005-0000-0000-000020600000}"/>
    <cellStyle name="40% - Accent6 9 3 2 2 3" xfId="24702" xr:uid="{00000000-0005-0000-0000-000021600000}"/>
    <cellStyle name="40% - Accent6 9 3 2 3" xfId="24703" xr:uid="{00000000-0005-0000-0000-000022600000}"/>
    <cellStyle name="40% - Accent6 9 3 2 4" xfId="24704" xr:uid="{00000000-0005-0000-0000-000023600000}"/>
    <cellStyle name="40% - Accent6 9 3 3" xfId="24705" xr:uid="{00000000-0005-0000-0000-000024600000}"/>
    <cellStyle name="40% - Accent6 9 3 3 2" xfId="24706" xr:uid="{00000000-0005-0000-0000-000025600000}"/>
    <cellStyle name="40% - Accent6 9 3 3 3" xfId="24707" xr:uid="{00000000-0005-0000-0000-000026600000}"/>
    <cellStyle name="40% - Accent6 9 3 4" xfId="24708" xr:uid="{00000000-0005-0000-0000-000027600000}"/>
    <cellStyle name="40% - Accent6 9 3 5" xfId="24709" xr:uid="{00000000-0005-0000-0000-000028600000}"/>
    <cellStyle name="40% - Accent6 9 3 6" xfId="24710" xr:uid="{00000000-0005-0000-0000-000029600000}"/>
    <cellStyle name="40% - Accent6 9 4" xfId="24711" xr:uid="{00000000-0005-0000-0000-00002A600000}"/>
    <cellStyle name="40% - Accent6 9 4 2" xfId="24712" xr:uid="{00000000-0005-0000-0000-00002B600000}"/>
    <cellStyle name="40% - Accent6 9 4 2 2" xfId="24713" xr:uid="{00000000-0005-0000-0000-00002C600000}"/>
    <cellStyle name="40% - Accent6 9 4 2 3" xfId="24714" xr:uid="{00000000-0005-0000-0000-00002D600000}"/>
    <cellStyle name="40% - Accent6 9 4 3" xfId="24715" xr:uid="{00000000-0005-0000-0000-00002E600000}"/>
    <cellStyle name="40% - Accent6 9 4 4" xfId="24716" xr:uid="{00000000-0005-0000-0000-00002F600000}"/>
    <cellStyle name="40% - Accent6 9 5" xfId="24717" xr:uid="{00000000-0005-0000-0000-000030600000}"/>
    <cellStyle name="40% - Accent6 9 5 2" xfId="24718" xr:uid="{00000000-0005-0000-0000-000031600000}"/>
    <cellStyle name="40% - Accent6 9 5 3" xfId="24719" xr:uid="{00000000-0005-0000-0000-000032600000}"/>
    <cellStyle name="40% - Accent6 9 6" xfId="24720" xr:uid="{00000000-0005-0000-0000-000033600000}"/>
    <cellStyle name="40% - Accent6 9 7" xfId="24721" xr:uid="{00000000-0005-0000-0000-000034600000}"/>
    <cellStyle name="40% - Accent6 9 8" xfId="24722" xr:uid="{00000000-0005-0000-0000-000035600000}"/>
    <cellStyle name="60% - Accent1 2" xfId="24723" xr:uid="{00000000-0005-0000-0000-000036600000}"/>
    <cellStyle name="60% - Accent1 2 2" xfId="24724" xr:uid="{00000000-0005-0000-0000-000037600000}"/>
    <cellStyle name="60% - Accent2 2" xfId="24725" xr:uid="{00000000-0005-0000-0000-000038600000}"/>
    <cellStyle name="60% - Accent2 2 2" xfId="24726" xr:uid="{00000000-0005-0000-0000-000039600000}"/>
    <cellStyle name="60% - Accent3 2" xfId="24727" xr:uid="{00000000-0005-0000-0000-00003A600000}"/>
    <cellStyle name="60% - Accent3 2 2" xfId="24728" xr:uid="{00000000-0005-0000-0000-00003B600000}"/>
    <cellStyle name="60% - Accent3 2 3" xfId="24729" xr:uid="{00000000-0005-0000-0000-00003C600000}"/>
    <cellStyle name="60% - Accent4 2" xfId="24730" xr:uid="{00000000-0005-0000-0000-00003D600000}"/>
    <cellStyle name="60% - Accent4 2 2" xfId="24731" xr:uid="{00000000-0005-0000-0000-00003E600000}"/>
    <cellStyle name="60% - Accent4 2 3" xfId="24732" xr:uid="{00000000-0005-0000-0000-00003F600000}"/>
    <cellStyle name="60% - Accent5 2" xfId="24733" xr:uid="{00000000-0005-0000-0000-000040600000}"/>
    <cellStyle name="60% - Accent5 2 2" xfId="24734" xr:uid="{00000000-0005-0000-0000-000041600000}"/>
    <cellStyle name="60% - Accent6 2" xfId="24735" xr:uid="{00000000-0005-0000-0000-000042600000}"/>
    <cellStyle name="60% - Accent6 2 2" xfId="24736" xr:uid="{00000000-0005-0000-0000-000043600000}"/>
    <cellStyle name="60% - Accent6 2 3" xfId="24737" xr:uid="{00000000-0005-0000-0000-000044600000}"/>
    <cellStyle name="Accent1 2" xfId="24738" xr:uid="{00000000-0005-0000-0000-000045600000}"/>
    <cellStyle name="Accent1 2 2" xfId="24739" xr:uid="{00000000-0005-0000-0000-000046600000}"/>
    <cellStyle name="Accent2 2" xfId="24740" xr:uid="{00000000-0005-0000-0000-000047600000}"/>
    <cellStyle name="Accent2 2 2" xfId="24741" xr:uid="{00000000-0005-0000-0000-000048600000}"/>
    <cellStyle name="Accent3 2" xfId="24742" xr:uid="{00000000-0005-0000-0000-000049600000}"/>
    <cellStyle name="Accent3 2 2" xfId="24743" xr:uid="{00000000-0005-0000-0000-00004A600000}"/>
    <cellStyle name="Accent4 2" xfId="24744" xr:uid="{00000000-0005-0000-0000-00004B600000}"/>
    <cellStyle name="Accent4 2 2" xfId="24745" xr:uid="{00000000-0005-0000-0000-00004C600000}"/>
    <cellStyle name="Accent5 2" xfId="24746" xr:uid="{00000000-0005-0000-0000-00004D600000}"/>
    <cellStyle name="Accent5 2 2" xfId="24747" xr:uid="{00000000-0005-0000-0000-00004E600000}"/>
    <cellStyle name="Accent6 2" xfId="24748" xr:uid="{00000000-0005-0000-0000-00004F600000}"/>
    <cellStyle name="Accent6 2 2" xfId="24749" xr:uid="{00000000-0005-0000-0000-000050600000}"/>
    <cellStyle name="Bad 2" xfId="24750" xr:uid="{00000000-0005-0000-0000-000051600000}"/>
    <cellStyle name="Bad 2 2" xfId="24751" xr:uid="{00000000-0005-0000-0000-000052600000}"/>
    <cellStyle name="BS" xfId="24752" xr:uid="{00000000-0005-0000-0000-000053600000}"/>
    <cellStyle name="BudgComp" xfId="24753" xr:uid="{00000000-0005-0000-0000-000054600000}"/>
    <cellStyle name="C00A" xfId="24754" xr:uid="{00000000-0005-0000-0000-000055600000}"/>
    <cellStyle name="C00B" xfId="24755" xr:uid="{00000000-0005-0000-0000-000056600000}"/>
    <cellStyle name="C00L" xfId="24756" xr:uid="{00000000-0005-0000-0000-000057600000}"/>
    <cellStyle name="C01A" xfId="24757" xr:uid="{00000000-0005-0000-0000-000058600000}"/>
    <cellStyle name="C01B" xfId="24758" xr:uid="{00000000-0005-0000-0000-000059600000}"/>
    <cellStyle name="C01H" xfId="24759" xr:uid="{00000000-0005-0000-0000-00005A600000}"/>
    <cellStyle name="C01L" xfId="24760" xr:uid="{00000000-0005-0000-0000-00005B600000}"/>
    <cellStyle name="C02A" xfId="24761" xr:uid="{00000000-0005-0000-0000-00005C600000}"/>
    <cellStyle name="C02B" xfId="24762" xr:uid="{00000000-0005-0000-0000-00005D600000}"/>
    <cellStyle name="C02H" xfId="24763" xr:uid="{00000000-0005-0000-0000-00005E600000}"/>
    <cellStyle name="C02L" xfId="24764" xr:uid="{00000000-0005-0000-0000-00005F600000}"/>
    <cellStyle name="C03A" xfId="24765" xr:uid="{00000000-0005-0000-0000-000060600000}"/>
    <cellStyle name="C03B" xfId="24766" xr:uid="{00000000-0005-0000-0000-000061600000}"/>
    <cellStyle name="C03H" xfId="24767" xr:uid="{00000000-0005-0000-0000-000062600000}"/>
    <cellStyle name="C03L" xfId="24768" xr:uid="{00000000-0005-0000-0000-000063600000}"/>
    <cellStyle name="C04A" xfId="24769" xr:uid="{00000000-0005-0000-0000-000064600000}"/>
    <cellStyle name="C04B" xfId="24770" xr:uid="{00000000-0005-0000-0000-000065600000}"/>
    <cellStyle name="C04H" xfId="24771" xr:uid="{00000000-0005-0000-0000-000066600000}"/>
    <cellStyle name="C04L" xfId="24772" xr:uid="{00000000-0005-0000-0000-000067600000}"/>
    <cellStyle name="C05A" xfId="24773" xr:uid="{00000000-0005-0000-0000-000068600000}"/>
    <cellStyle name="C05B" xfId="24774" xr:uid="{00000000-0005-0000-0000-000069600000}"/>
    <cellStyle name="C05H" xfId="24775" xr:uid="{00000000-0005-0000-0000-00006A600000}"/>
    <cellStyle name="C05L" xfId="24776" xr:uid="{00000000-0005-0000-0000-00006B600000}"/>
    <cellStyle name="C06A" xfId="24777" xr:uid="{00000000-0005-0000-0000-00006C600000}"/>
    <cellStyle name="C06B" xfId="24778" xr:uid="{00000000-0005-0000-0000-00006D600000}"/>
    <cellStyle name="C06H" xfId="24779" xr:uid="{00000000-0005-0000-0000-00006E600000}"/>
    <cellStyle name="C06L" xfId="24780" xr:uid="{00000000-0005-0000-0000-00006F600000}"/>
    <cellStyle name="C07A" xfId="24781" xr:uid="{00000000-0005-0000-0000-000070600000}"/>
    <cellStyle name="C07B" xfId="24782" xr:uid="{00000000-0005-0000-0000-000071600000}"/>
    <cellStyle name="C07H" xfId="24783" xr:uid="{00000000-0005-0000-0000-000072600000}"/>
    <cellStyle name="C07L" xfId="24784" xr:uid="{00000000-0005-0000-0000-000073600000}"/>
    <cellStyle name="Calculation 2" xfId="24785" xr:uid="{00000000-0005-0000-0000-000074600000}"/>
    <cellStyle name="Calculation 2 2" xfId="24786" xr:uid="{00000000-0005-0000-0000-000075600000}"/>
    <cellStyle name="Centered Heading" xfId="24787" xr:uid="{00000000-0005-0000-0000-000076600000}"/>
    <cellStyle name="Check Cell 2" xfId="24788" xr:uid="{00000000-0005-0000-0000-000077600000}"/>
    <cellStyle name="Check Cell 2 2" xfId="24789" xr:uid="{00000000-0005-0000-0000-000078600000}"/>
    <cellStyle name="ColumnHeading" xfId="24790" xr:uid="{00000000-0005-0000-0000-000079600000}"/>
    <cellStyle name="Comma" xfId="1" builtinId="3"/>
    <cellStyle name="Comma 0.0" xfId="24791" xr:uid="{00000000-0005-0000-0000-00007B600000}"/>
    <cellStyle name="Comma 0.00" xfId="24792" xr:uid="{00000000-0005-0000-0000-00007C600000}"/>
    <cellStyle name="Comma 0.000" xfId="24793" xr:uid="{00000000-0005-0000-0000-00007D600000}"/>
    <cellStyle name="Comma 10" xfId="24794" xr:uid="{00000000-0005-0000-0000-00007E600000}"/>
    <cellStyle name="Comma 11" xfId="24795" xr:uid="{00000000-0005-0000-0000-00007F600000}"/>
    <cellStyle name="Comma 12" xfId="24796" xr:uid="{00000000-0005-0000-0000-000080600000}"/>
    <cellStyle name="Comma 13" xfId="24797" xr:uid="{00000000-0005-0000-0000-000081600000}"/>
    <cellStyle name="Comma 13 2" xfId="24798" xr:uid="{00000000-0005-0000-0000-000082600000}"/>
    <cellStyle name="Comma 2" xfId="4" xr:uid="{00000000-0005-0000-0000-000083600000}"/>
    <cellStyle name="Comma 2 2" xfId="87" xr:uid="{00000000-0005-0000-0000-000084600000}"/>
    <cellStyle name="Comma 2 2 2" xfId="24799" xr:uid="{00000000-0005-0000-0000-000085600000}"/>
    <cellStyle name="Comma 2 3" xfId="24800" xr:uid="{00000000-0005-0000-0000-000086600000}"/>
    <cellStyle name="Comma 2 4" xfId="24801" xr:uid="{00000000-0005-0000-0000-000087600000}"/>
    <cellStyle name="Comma 2 5" xfId="24802" xr:uid="{00000000-0005-0000-0000-000088600000}"/>
    <cellStyle name="Comma 2 6" xfId="36028" xr:uid="{00000000-0005-0000-0000-000089600000}"/>
    <cellStyle name="Comma 3" xfId="6" xr:uid="{00000000-0005-0000-0000-00008A600000}"/>
    <cellStyle name="Comma 3 2" xfId="24803" xr:uid="{00000000-0005-0000-0000-00008B600000}"/>
    <cellStyle name="Comma 3 3" xfId="24804" xr:uid="{00000000-0005-0000-0000-00008C600000}"/>
    <cellStyle name="Comma 3 3 2" xfId="24805" xr:uid="{00000000-0005-0000-0000-00008D600000}"/>
    <cellStyle name="Comma 3 3 2 2" xfId="24806" xr:uid="{00000000-0005-0000-0000-00008E600000}"/>
    <cellStyle name="Comma 3 3 2 2 2" xfId="24807" xr:uid="{00000000-0005-0000-0000-00008F600000}"/>
    <cellStyle name="Comma 3 3 2 2 2 2" xfId="24808" xr:uid="{00000000-0005-0000-0000-000090600000}"/>
    <cellStyle name="Comma 3 3 2 2 2 3" xfId="24809" xr:uid="{00000000-0005-0000-0000-000091600000}"/>
    <cellStyle name="Comma 3 3 2 2 3" xfId="24810" xr:uid="{00000000-0005-0000-0000-000092600000}"/>
    <cellStyle name="Comma 3 3 2 2 4" xfId="24811" xr:uid="{00000000-0005-0000-0000-000093600000}"/>
    <cellStyle name="Comma 3 3 2 3" xfId="24812" xr:uid="{00000000-0005-0000-0000-000094600000}"/>
    <cellStyle name="Comma 3 3 2 3 2" xfId="24813" xr:uid="{00000000-0005-0000-0000-000095600000}"/>
    <cellStyle name="Comma 3 3 2 3 3" xfId="24814" xr:uid="{00000000-0005-0000-0000-000096600000}"/>
    <cellStyle name="Comma 3 3 2 4" xfId="24815" xr:uid="{00000000-0005-0000-0000-000097600000}"/>
    <cellStyle name="Comma 3 3 2 5" xfId="24816" xr:uid="{00000000-0005-0000-0000-000098600000}"/>
    <cellStyle name="Comma 3 3 2 6" xfId="24817" xr:uid="{00000000-0005-0000-0000-000099600000}"/>
    <cellStyle name="Comma 3 3 3" xfId="24818" xr:uid="{00000000-0005-0000-0000-00009A600000}"/>
    <cellStyle name="Comma 3 3 3 2" xfId="24819" xr:uid="{00000000-0005-0000-0000-00009B600000}"/>
    <cellStyle name="Comma 3 3 3 2 2" xfId="24820" xr:uid="{00000000-0005-0000-0000-00009C600000}"/>
    <cellStyle name="Comma 3 3 3 2 3" xfId="24821" xr:uid="{00000000-0005-0000-0000-00009D600000}"/>
    <cellStyle name="Comma 3 3 3 3" xfId="24822" xr:uid="{00000000-0005-0000-0000-00009E600000}"/>
    <cellStyle name="Comma 3 3 3 4" xfId="24823" xr:uid="{00000000-0005-0000-0000-00009F600000}"/>
    <cellStyle name="Comma 3 3 4" xfId="24824" xr:uid="{00000000-0005-0000-0000-0000A0600000}"/>
    <cellStyle name="Comma 3 3 4 2" xfId="24825" xr:uid="{00000000-0005-0000-0000-0000A1600000}"/>
    <cellStyle name="Comma 3 3 4 3" xfId="24826" xr:uid="{00000000-0005-0000-0000-0000A2600000}"/>
    <cellStyle name="Comma 3 3 5" xfId="24827" xr:uid="{00000000-0005-0000-0000-0000A3600000}"/>
    <cellStyle name="Comma 3 3 6" xfId="24828" xr:uid="{00000000-0005-0000-0000-0000A4600000}"/>
    <cellStyle name="Comma 3 3 7" xfId="24829" xr:uid="{00000000-0005-0000-0000-0000A5600000}"/>
    <cellStyle name="Comma 3 4" xfId="24830" xr:uid="{00000000-0005-0000-0000-0000A6600000}"/>
    <cellStyle name="Comma 3 4 2" xfId="24831" xr:uid="{00000000-0005-0000-0000-0000A7600000}"/>
    <cellStyle name="Comma 3 4 2 2" xfId="24832" xr:uid="{00000000-0005-0000-0000-0000A8600000}"/>
    <cellStyle name="Comma 3 4 2 2 2" xfId="24833" xr:uid="{00000000-0005-0000-0000-0000A9600000}"/>
    <cellStyle name="Comma 3 4 2 2 3" xfId="24834" xr:uid="{00000000-0005-0000-0000-0000AA600000}"/>
    <cellStyle name="Comma 3 4 2 3" xfId="24835" xr:uid="{00000000-0005-0000-0000-0000AB600000}"/>
    <cellStyle name="Comma 3 4 2 4" xfId="24836" xr:uid="{00000000-0005-0000-0000-0000AC600000}"/>
    <cellStyle name="Comma 3 4 3" xfId="24837" xr:uid="{00000000-0005-0000-0000-0000AD600000}"/>
    <cellStyle name="Comma 3 4 3 2" xfId="24838" xr:uid="{00000000-0005-0000-0000-0000AE600000}"/>
    <cellStyle name="Comma 3 4 3 3" xfId="24839" xr:uid="{00000000-0005-0000-0000-0000AF600000}"/>
    <cellStyle name="Comma 3 4 4" xfId="24840" xr:uid="{00000000-0005-0000-0000-0000B0600000}"/>
    <cellStyle name="Comma 3 4 5" xfId="24841" xr:uid="{00000000-0005-0000-0000-0000B1600000}"/>
    <cellStyle name="Comma 3 4 6" xfId="24842" xr:uid="{00000000-0005-0000-0000-0000B2600000}"/>
    <cellStyle name="Comma 3 5" xfId="24843" xr:uid="{00000000-0005-0000-0000-0000B3600000}"/>
    <cellStyle name="Comma 3 5 2" xfId="24844" xr:uid="{00000000-0005-0000-0000-0000B4600000}"/>
    <cellStyle name="Comma 3 5 2 2" xfId="24845" xr:uid="{00000000-0005-0000-0000-0000B5600000}"/>
    <cellStyle name="Comma 3 5 2 3" xfId="24846" xr:uid="{00000000-0005-0000-0000-0000B6600000}"/>
    <cellStyle name="Comma 3 5 3" xfId="24847" xr:uid="{00000000-0005-0000-0000-0000B7600000}"/>
    <cellStyle name="Comma 3 5 4" xfId="24848" xr:uid="{00000000-0005-0000-0000-0000B8600000}"/>
    <cellStyle name="Comma 3 6" xfId="24849" xr:uid="{00000000-0005-0000-0000-0000B9600000}"/>
    <cellStyle name="Comma 3 6 2" xfId="24850" xr:uid="{00000000-0005-0000-0000-0000BA600000}"/>
    <cellStyle name="Comma 3 6 3" xfId="24851" xr:uid="{00000000-0005-0000-0000-0000BB600000}"/>
    <cellStyle name="Comma 3 7" xfId="24852" xr:uid="{00000000-0005-0000-0000-0000BC600000}"/>
    <cellStyle name="Comma 3 8" xfId="24853" xr:uid="{00000000-0005-0000-0000-0000BD600000}"/>
    <cellStyle name="Comma 3 9" xfId="24854" xr:uid="{00000000-0005-0000-0000-0000BE600000}"/>
    <cellStyle name="Comma 4" xfId="10" xr:uid="{00000000-0005-0000-0000-0000BF600000}"/>
    <cellStyle name="Comma 5" xfId="92" xr:uid="{00000000-0005-0000-0000-0000C0600000}"/>
    <cellStyle name="Comma 6" xfId="24855" xr:uid="{00000000-0005-0000-0000-0000C1600000}"/>
    <cellStyle name="Comma 6 2" xfId="24856" xr:uid="{00000000-0005-0000-0000-0000C2600000}"/>
    <cellStyle name="Comma 7" xfId="24857" xr:uid="{00000000-0005-0000-0000-0000C3600000}"/>
    <cellStyle name="Comma 8" xfId="24858" xr:uid="{00000000-0005-0000-0000-0000C4600000}"/>
    <cellStyle name="Comma 9" xfId="24859" xr:uid="{00000000-0005-0000-0000-0000C5600000}"/>
    <cellStyle name="Company Name" xfId="24860" xr:uid="{00000000-0005-0000-0000-0000C6600000}"/>
    <cellStyle name="Currency" xfId="36025" builtinId="4"/>
    <cellStyle name="Currency 0.0" xfId="24861" xr:uid="{00000000-0005-0000-0000-0000C8600000}"/>
    <cellStyle name="Currency 0.00" xfId="24862" xr:uid="{00000000-0005-0000-0000-0000C9600000}"/>
    <cellStyle name="Currency 0.000" xfId="24863" xr:uid="{00000000-0005-0000-0000-0000CA600000}"/>
    <cellStyle name="Currency 2" xfId="12" xr:uid="{00000000-0005-0000-0000-0000CB600000}"/>
    <cellStyle name="Currency 2 2" xfId="24864" xr:uid="{00000000-0005-0000-0000-0000CC600000}"/>
    <cellStyle name="Currency 3" xfId="13" xr:uid="{00000000-0005-0000-0000-0000CD600000}"/>
    <cellStyle name="Currency 3 2" xfId="24865" xr:uid="{00000000-0005-0000-0000-0000CE600000}"/>
    <cellStyle name="Currency 3 3" xfId="24866" xr:uid="{00000000-0005-0000-0000-0000CF600000}"/>
    <cellStyle name="Currency 3 4" xfId="24867" xr:uid="{00000000-0005-0000-0000-0000D0600000}"/>
    <cellStyle name="Currency 4" xfId="24868" xr:uid="{00000000-0005-0000-0000-0000D1600000}"/>
    <cellStyle name="Currency 4 2" xfId="24869" xr:uid="{00000000-0005-0000-0000-0000D2600000}"/>
    <cellStyle name="Currency 4 2 2" xfId="24870" xr:uid="{00000000-0005-0000-0000-0000D3600000}"/>
    <cellStyle name="Currency 4 2 2 2" xfId="24871" xr:uid="{00000000-0005-0000-0000-0000D4600000}"/>
    <cellStyle name="Currency 4 2 2 2 2" xfId="24872" xr:uid="{00000000-0005-0000-0000-0000D5600000}"/>
    <cellStyle name="Currency 4 2 2 2 2 2" xfId="24873" xr:uid="{00000000-0005-0000-0000-0000D6600000}"/>
    <cellStyle name="Currency 4 2 2 2 2 3" xfId="24874" xr:uid="{00000000-0005-0000-0000-0000D7600000}"/>
    <cellStyle name="Currency 4 2 2 2 3" xfId="24875" xr:uid="{00000000-0005-0000-0000-0000D8600000}"/>
    <cellStyle name="Currency 4 2 2 2 4" xfId="24876" xr:uid="{00000000-0005-0000-0000-0000D9600000}"/>
    <cellStyle name="Currency 4 2 2 3" xfId="24877" xr:uid="{00000000-0005-0000-0000-0000DA600000}"/>
    <cellStyle name="Currency 4 2 2 3 2" xfId="24878" xr:uid="{00000000-0005-0000-0000-0000DB600000}"/>
    <cellStyle name="Currency 4 2 2 3 3" xfId="24879" xr:uid="{00000000-0005-0000-0000-0000DC600000}"/>
    <cellStyle name="Currency 4 2 2 4" xfId="24880" xr:uid="{00000000-0005-0000-0000-0000DD600000}"/>
    <cellStyle name="Currency 4 2 2 5" xfId="24881" xr:uid="{00000000-0005-0000-0000-0000DE600000}"/>
    <cellStyle name="Currency 4 2 2 6" xfId="24882" xr:uid="{00000000-0005-0000-0000-0000DF600000}"/>
    <cellStyle name="Currency 4 2 3" xfId="24883" xr:uid="{00000000-0005-0000-0000-0000E0600000}"/>
    <cellStyle name="Currency 4 2 3 2" xfId="24884" xr:uid="{00000000-0005-0000-0000-0000E1600000}"/>
    <cellStyle name="Currency 4 2 3 2 2" xfId="24885" xr:uid="{00000000-0005-0000-0000-0000E2600000}"/>
    <cellStyle name="Currency 4 2 3 2 3" xfId="24886" xr:uid="{00000000-0005-0000-0000-0000E3600000}"/>
    <cellStyle name="Currency 4 2 3 3" xfId="24887" xr:uid="{00000000-0005-0000-0000-0000E4600000}"/>
    <cellStyle name="Currency 4 2 3 4" xfId="24888" xr:uid="{00000000-0005-0000-0000-0000E5600000}"/>
    <cellStyle name="Currency 4 2 4" xfId="24889" xr:uid="{00000000-0005-0000-0000-0000E6600000}"/>
    <cellStyle name="Currency 4 2 4 2" xfId="24890" xr:uid="{00000000-0005-0000-0000-0000E7600000}"/>
    <cellStyle name="Currency 4 2 4 3" xfId="24891" xr:uid="{00000000-0005-0000-0000-0000E8600000}"/>
    <cellStyle name="Currency 4 2 5" xfId="24892" xr:uid="{00000000-0005-0000-0000-0000E9600000}"/>
    <cellStyle name="Currency 4 2 6" xfId="24893" xr:uid="{00000000-0005-0000-0000-0000EA600000}"/>
    <cellStyle name="Currency 4 2 7" xfId="24894" xr:uid="{00000000-0005-0000-0000-0000EB600000}"/>
    <cellStyle name="Currency 4 3" xfId="24895" xr:uid="{00000000-0005-0000-0000-0000EC600000}"/>
    <cellStyle name="Currency 4 3 2" xfId="24896" xr:uid="{00000000-0005-0000-0000-0000ED600000}"/>
    <cellStyle name="Currency 4 3 2 2" xfId="24897" xr:uid="{00000000-0005-0000-0000-0000EE600000}"/>
    <cellStyle name="Currency 4 3 2 2 2" xfId="24898" xr:uid="{00000000-0005-0000-0000-0000EF600000}"/>
    <cellStyle name="Currency 4 3 2 2 3" xfId="24899" xr:uid="{00000000-0005-0000-0000-0000F0600000}"/>
    <cellStyle name="Currency 4 3 2 3" xfId="24900" xr:uid="{00000000-0005-0000-0000-0000F1600000}"/>
    <cellStyle name="Currency 4 3 2 4" xfId="24901" xr:uid="{00000000-0005-0000-0000-0000F2600000}"/>
    <cellStyle name="Currency 4 3 3" xfId="24902" xr:uid="{00000000-0005-0000-0000-0000F3600000}"/>
    <cellStyle name="Currency 4 3 3 2" xfId="24903" xr:uid="{00000000-0005-0000-0000-0000F4600000}"/>
    <cellStyle name="Currency 4 3 3 3" xfId="24904" xr:uid="{00000000-0005-0000-0000-0000F5600000}"/>
    <cellStyle name="Currency 4 3 4" xfId="24905" xr:uid="{00000000-0005-0000-0000-0000F6600000}"/>
    <cellStyle name="Currency 4 3 5" xfId="24906" xr:uid="{00000000-0005-0000-0000-0000F7600000}"/>
    <cellStyle name="Currency 4 3 6" xfId="24907" xr:uid="{00000000-0005-0000-0000-0000F8600000}"/>
    <cellStyle name="Currency 4 4" xfId="24908" xr:uid="{00000000-0005-0000-0000-0000F9600000}"/>
    <cellStyle name="Currency 4 4 2" xfId="24909" xr:uid="{00000000-0005-0000-0000-0000FA600000}"/>
    <cellStyle name="Currency 4 4 2 2" xfId="24910" xr:uid="{00000000-0005-0000-0000-0000FB600000}"/>
    <cellStyle name="Currency 4 4 2 3" xfId="24911" xr:uid="{00000000-0005-0000-0000-0000FC600000}"/>
    <cellStyle name="Currency 4 4 3" xfId="24912" xr:uid="{00000000-0005-0000-0000-0000FD600000}"/>
    <cellStyle name="Currency 4 4 4" xfId="24913" xr:uid="{00000000-0005-0000-0000-0000FE600000}"/>
    <cellStyle name="Currency 4 5" xfId="24914" xr:uid="{00000000-0005-0000-0000-0000FF600000}"/>
    <cellStyle name="Currency 4 5 2" xfId="24915" xr:uid="{00000000-0005-0000-0000-000000610000}"/>
    <cellStyle name="Currency 4 5 3" xfId="24916" xr:uid="{00000000-0005-0000-0000-000001610000}"/>
    <cellStyle name="Currency 4 6" xfId="24917" xr:uid="{00000000-0005-0000-0000-000002610000}"/>
    <cellStyle name="Currency 4 7" xfId="24918" xr:uid="{00000000-0005-0000-0000-000003610000}"/>
    <cellStyle name="Currency 4 8" xfId="24919" xr:uid="{00000000-0005-0000-0000-000004610000}"/>
    <cellStyle name="Currency 5" xfId="24920" xr:uid="{00000000-0005-0000-0000-000005610000}"/>
    <cellStyle name="Date" xfId="24921" xr:uid="{00000000-0005-0000-0000-000006610000}"/>
    <cellStyle name="Euro" xfId="24922" xr:uid="{00000000-0005-0000-0000-000007610000}"/>
    <cellStyle name="Explanatory Text 2" xfId="24923" xr:uid="{00000000-0005-0000-0000-000008610000}"/>
    <cellStyle name="Explanatory Text 2 2" xfId="24924" xr:uid="{00000000-0005-0000-0000-000009610000}"/>
    <cellStyle name="F9ReportControlStyle_ctpRepWiz" xfId="24925" xr:uid="{00000000-0005-0000-0000-00000A610000}"/>
    <cellStyle name="FRxAmtStyle" xfId="9" xr:uid="{00000000-0005-0000-0000-00000B610000}"/>
    <cellStyle name="FRxAmtStyle 10" xfId="14" xr:uid="{00000000-0005-0000-0000-00000C610000}"/>
    <cellStyle name="FRxAmtStyle 11" xfId="15" xr:uid="{00000000-0005-0000-0000-00000D610000}"/>
    <cellStyle name="FRxAmtStyle 12" xfId="16" xr:uid="{00000000-0005-0000-0000-00000E610000}"/>
    <cellStyle name="FRxAmtStyle 13" xfId="17" xr:uid="{00000000-0005-0000-0000-00000F610000}"/>
    <cellStyle name="FRxAmtStyle 14" xfId="18" xr:uid="{00000000-0005-0000-0000-000010610000}"/>
    <cellStyle name="FRxAmtStyle 15" xfId="19" xr:uid="{00000000-0005-0000-0000-000011610000}"/>
    <cellStyle name="FRxAmtStyle 16" xfId="20" xr:uid="{00000000-0005-0000-0000-000012610000}"/>
    <cellStyle name="FRxAmtStyle 17" xfId="21" xr:uid="{00000000-0005-0000-0000-000013610000}"/>
    <cellStyle name="FRxAmtStyle 18" xfId="22" xr:uid="{00000000-0005-0000-0000-000014610000}"/>
    <cellStyle name="FRxAmtStyle 19" xfId="23" xr:uid="{00000000-0005-0000-0000-000015610000}"/>
    <cellStyle name="FRxAmtStyle 2" xfId="24" xr:uid="{00000000-0005-0000-0000-000016610000}"/>
    <cellStyle name="FRxAmtStyle 20" xfId="25" xr:uid="{00000000-0005-0000-0000-000017610000}"/>
    <cellStyle name="FRxAmtStyle 21" xfId="26" xr:uid="{00000000-0005-0000-0000-000018610000}"/>
    <cellStyle name="FRxAmtStyle 22" xfId="27" xr:uid="{00000000-0005-0000-0000-000019610000}"/>
    <cellStyle name="FRxAmtStyle 23" xfId="28" xr:uid="{00000000-0005-0000-0000-00001A610000}"/>
    <cellStyle name="FRxAmtStyle 24" xfId="29" xr:uid="{00000000-0005-0000-0000-00001B610000}"/>
    <cellStyle name="FRxAmtStyle 25" xfId="30" xr:uid="{00000000-0005-0000-0000-00001C610000}"/>
    <cellStyle name="FRxAmtStyle 26" xfId="31" xr:uid="{00000000-0005-0000-0000-00001D610000}"/>
    <cellStyle name="FRxAmtStyle 27" xfId="32" xr:uid="{00000000-0005-0000-0000-00001E610000}"/>
    <cellStyle name="FRxAmtStyle 28" xfId="33" xr:uid="{00000000-0005-0000-0000-00001F610000}"/>
    <cellStyle name="FRxAmtStyle 29" xfId="34" xr:uid="{00000000-0005-0000-0000-000020610000}"/>
    <cellStyle name="FRxAmtStyle 3" xfId="35" xr:uid="{00000000-0005-0000-0000-000021610000}"/>
    <cellStyle name="FRxAmtStyle 30" xfId="36" xr:uid="{00000000-0005-0000-0000-000022610000}"/>
    <cellStyle name="FRxAmtStyle 31" xfId="37" xr:uid="{00000000-0005-0000-0000-000023610000}"/>
    <cellStyle name="FRxAmtStyle 32" xfId="38" xr:uid="{00000000-0005-0000-0000-000024610000}"/>
    <cellStyle name="FRxAmtStyle 33" xfId="39" xr:uid="{00000000-0005-0000-0000-000025610000}"/>
    <cellStyle name="FRxAmtStyle 34" xfId="40" xr:uid="{00000000-0005-0000-0000-000026610000}"/>
    <cellStyle name="FRxAmtStyle 35" xfId="41" xr:uid="{00000000-0005-0000-0000-000027610000}"/>
    <cellStyle name="FRxAmtStyle 36" xfId="11" xr:uid="{00000000-0005-0000-0000-000028610000}"/>
    <cellStyle name="FRxAmtStyle 4" xfId="42" xr:uid="{00000000-0005-0000-0000-000029610000}"/>
    <cellStyle name="FRxAmtStyle 5" xfId="43" xr:uid="{00000000-0005-0000-0000-00002A610000}"/>
    <cellStyle name="FRxAmtStyle 6" xfId="44" xr:uid="{00000000-0005-0000-0000-00002B610000}"/>
    <cellStyle name="FRxAmtStyle 7" xfId="45" xr:uid="{00000000-0005-0000-0000-00002C610000}"/>
    <cellStyle name="FRxAmtStyle 8" xfId="46" xr:uid="{00000000-0005-0000-0000-00002D610000}"/>
    <cellStyle name="FRxAmtStyle 9" xfId="47" xr:uid="{00000000-0005-0000-0000-00002E610000}"/>
    <cellStyle name="FRxCurrStyle" xfId="48" xr:uid="{00000000-0005-0000-0000-00002F610000}"/>
    <cellStyle name="FRxPcntStyle" xfId="49" xr:uid="{00000000-0005-0000-0000-000030610000}"/>
    <cellStyle name="Good 2" xfId="24926" xr:uid="{00000000-0005-0000-0000-000031610000}"/>
    <cellStyle name="Good 2 2" xfId="24927" xr:uid="{00000000-0005-0000-0000-000032610000}"/>
    <cellStyle name="Heading 1 2" xfId="24928" xr:uid="{00000000-0005-0000-0000-000033610000}"/>
    <cellStyle name="Heading 2 2" xfId="24929" xr:uid="{00000000-0005-0000-0000-000034610000}"/>
    <cellStyle name="Heading 3 2" xfId="24930" xr:uid="{00000000-0005-0000-0000-000035610000}"/>
    <cellStyle name="Heading 4 2" xfId="50" xr:uid="{00000000-0005-0000-0000-000036610000}"/>
    <cellStyle name="Heading No Underline" xfId="24931" xr:uid="{00000000-0005-0000-0000-000037610000}"/>
    <cellStyle name="Heading With Underline" xfId="24932" xr:uid="{00000000-0005-0000-0000-000038610000}"/>
    <cellStyle name="Input 2" xfId="24933" xr:uid="{00000000-0005-0000-0000-000039610000}"/>
    <cellStyle name="Input 2 2" xfId="24934" xr:uid="{00000000-0005-0000-0000-00003A610000}"/>
    <cellStyle name="Linked Cell 2" xfId="24935" xr:uid="{00000000-0005-0000-0000-00003B610000}"/>
    <cellStyle name="Linked Cell 2 2" xfId="24936" xr:uid="{00000000-0005-0000-0000-00003C610000}"/>
    <cellStyle name="Milliers [0]_Open&amp;Close" xfId="24937" xr:uid="{00000000-0005-0000-0000-00003D610000}"/>
    <cellStyle name="Milliers_Open&amp;Close" xfId="24938" xr:uid="{00000000-0005-0000-0000-00003E610000}"/>
    <cellStyle name="Monétaire [0]_Open&amp;Close" xfId="24939" xr:uid="{00000000-0005-0000-0000-00003F610000}"/>
    <cellStyle name="Monétaire_Open&amp;Close" xfId="24940" xr:uid="{00000000-0005-0000-0000-000040610000}"/>
    <cellStyle name="Neutral 2" xfId="24941" xr:uid="{00000000-0005-0000-0000-000041610000}"/>
    <cellStyle name="Neutral 2 2" xfId="24942" xr:uid="{00000000-0005-0000-0000-000042610000}"/>
    <cellStyle name="Normal" xfId="0" builtinId="0"/>
    <cellStyle name="Normal 10" xfId="51" xr:uid="{00000000-0005-0000-0000-000044610000}"/>
    <cellStyle name="Normal 10 10" xfId="24943" xr:uid="{00000000-0005-0000-0000-000045610000}"/>
    <cellStyle name="Normal 10 10 2" xfId="24944" xr:uid="{00000000-0005-0000-0000-000046610000}"/>
    <cellStyle name="Normal 10 10 2 2" xfId="24945" xr:uid="{00000000-0005-0000-0000-000047610000}"/>
    <cellStyle name="Normal 10 10 2 2 2" xfId="24946" xr:uid="{00000000-0005-0000-0000-000048610000}"/>
    <cellStyle name="Normal 10 10 2 2 3" xfId="24947" xr:uid="{00000000-0005-0000-0000-000049610000}"/>
    <cellStyle name="Normal 10 10 2 3" xfId="24948" xr:uid="{00000000-0005-0000-0000-00004A610000}"/>
    <cellStyle name="Normal 10 10 2 4" xfId="24949" xr:uid="{00000000-0005-0000-0000-00004B610000}"/>
    <cellStyle name="Normal 10 10 2 5" xfId="24950" xr:uid="{00000000-0005-0000-0000-00004C610000}"/>
    <cellStyle name="Normal 10 10 3" xfId="24951" xr:uid="{00000000-0005-0000-0000-00004D610000}"/>
    <cellStyle name="Normal 10 10 3 2" xfId="24952" xr:uid="{00000000-0005-0000-0000-00004E610000}"/>
    <cellStyle name="Normal 10 10 3 3" xfId="24953" xr:uid="{00000000-0005-0000-0000-00004F610000}"/>
    <cellStyle name="Normal 10 10 4" xfId="24954" xr:uid="{00000000-0005-0000-0000-000050610000}"/>
    <cellStyle name="Normal 10 10 5" xfId="24955" xr:uid="{00000000-0005-0000-0000-000051610000}"/>
    <cellStyle name="Normal 10 10 6" xfId="24956" xr:uid="{00000000-0005-0000-0000-000052610000}"/>
    <cellStyle name="Normal 10 11" xfId="24957" xr:uid="{00000000-0005-0000-0000-000053610000}"/>
    <cellStyle name="Normal 10 11 2" xfId="24958" xr:uid="{00000000-0005-0000-0000-000054610000}"/>
    <cellStyle name="Normal 10 11 2 2" xfId="24959" xr:uid="{00000000-0005-0000-0000-000055610000}"/>
    <cellStyle name="Normal 10 11 2 2 2" xfId="24960" xr:uid="{00000000-0005-0000-0000-000056610000}"/>
    <cellStyle name="Normal 10 11 2 2 3" xfId="24961" xr:uid="{00000000-0005-0000-0000-000057610000}"/>
    <cellStyle name="Normal 10 11 2 3" xfId="24962" xr:uid="{00000000-0005-0000-0000-000058610000}"/>
    <cellStyle name="Normal 10 11 2 4" xfId="24963" xr:uid="{00000000-0005-0000-0000-000059610000}"/>
    <cellStyle name="Normal 10 11 3" xfId="24964" xr:uid="{00000000-0005-0000-0000-00005A610000}"/>
    <cellStyle name="Normal 10 11 3 2" xfId="24965" xr:uid="{00000000-0005-0000-0000-00005B610000}"/>
    <cellStyle name="Normal 10 11 3 3" xfId="24966" xr:uid="{00000000-0005-0000-0000-00005C610000}"/>
    <cellStyle name="Normal 10 11 4" xfId="24967" xr:uid="{00000000-0005-0000-0000-00005D610000}"/>
    <cellStyle name="Normal 10 11 5" xfId="24968" xr:uid="{00000000-0005-0000-0000-00005E610000}"/>
    <cellStyle name="Normal 10 11 6" xfId="24969" xr:uid="{00000000-0005-0000-0000-00005F610000}"/>
    <cellStyle name="Normal 10 12" xfId="24970" xr:uid="{00000000-0005-0000-0000-000060610000}"/>
    <cellStyle name="Normal 10 12 2" xfId="24971" xr:uid="{00000000-0005-0000-0000-000061610000}"/>
    <cellStyle name="Normal 10 12 2 2" xfId="24972" xr:uid="{00000000-0005-0000-0000-000062610000}"/>
    <cellStyle name="Normal 10 12 2 3" xfId="24973" xr:uid="{00000000-0005-0000-0000-000063610000}"/>
    <cellStyle name="Normal 10 12 3" xfId="24974" xr:uid="{00000000-0005-0000-0000-000064610000}"/>
    <cellStyle name="Normal 10 12 4" xfId="24975" xr:uid="{00000000-0005-0000-0000-000065610000}"/>
    <cellStyle name="Normal 10 13" xfId="24976" xr:uid="{00000000-0005-0000-0000-000066610000}"/>
    <cellStyle name="Normal 10 13 2" xfId="24977" xr:uid="{00000000-0005-0000-0000-000067610000}"/>
    <cellStyle name="Normal 10 13 3" xfId="24978" xr:uid="{00000000-0005-0000-0000-000068610000}"/>
    <cellStyle name="Normal 10 14" xfId="24979" xr:uid="{00000000-0005-0000-0000-000069610000}"/>
    <cellStyle name="Normal 10 15" xfId="24980" xr:uid="{00000000-0005-0000-0000-00006A610000}"/>
    <cellStyle name="Normal 10 16" xfId="24981" xr:uid="{00000000-0005-0000-0000-00006B610000}"/>
    <cellStyle name="Normal 10 2" xfId="24982" xr:uid="{00000000-0005-0000-0000-00006C610000}"/>
    <cellStyle name="Normal 10 2 10" xfId="24983" xr:uid="{00000000-0005-0000-0000-00006D610000}"/>
    <cellStyle name="Normal 10 2 11" xfId="24984" xr:uid="{00000000-0005-0000-0000-00006E610000}"/>
    <cellStyle name="Normal 10 2 2" xfId="24985" xr:uid="{00000000-0005-0000-0000-00006F610000}"/>
    <cellStyle name="Normal 10 2 2 10" xfId="24986" xr:uid="{00000000-0005-0000-0000-000070610000}"/>
    <cellStyle name="Normal 10 2 2 2" xfId="24987" xr:uid="{00000000-0005-0000-0000-000071610000}"/>
    <cellStyle name="Normal 10 2 2 2 2" xfId="24988" xr:uid="{00000000-0005-0000-0000-000072610000}"/>
    <cellStyle name="Normal 10 2 2 2 2 2" xfId="24989" xr:uid="{00000000-0005-0000-0000-000073610000}"/>
    <cellStyle name="Normal 10 2 2 2 2 2 2" xfId="24990" xr:uid="{00000000-0005-0000-0000-000074610000}"/>
    <cellStyle name="Normal 10 2 2 2 2 2 2 2" xfId="24991" xr:uid="{00000000-0005-0000-0000-000075610000}"/>
    <cellStyle name="Normal 10 2 2 2 2 2 2 2 2" xfId="24992" xr:uid="{00000000-0005-0000-0000-000076610000}"/>
    <cellStyle name="Normal 10 2 2 2 2 2 2 2 2 2" xfId="24993" xr:uid="{00000000-0005-0000-0000-000077610000}"/>
    <cellStyle name="Normal 10 2 2 2 2 2 2 2 2 3" xfId="24994" xr:uid="{00000000-0005-0000-0000-000078610000}"/>
    <cellStyle name="Normal 10 2 2 2 2 2 2 2 3" xfId="24995" xr:uid="{00000000-0005-0000-0000-000079610000}"/>
    <cellStyle name="Normal 10 2 2 2 2 2 2 2 4" xfId="24996" xr:uid="{00000000-0005-0000-0000-00007A610000}"/>
    <cellStyle name="Normal 10 2 2 2 2 2 2 3" xfId="24997" xr:uid="{00000000-0005-0000-0000-00007B610000}"/>
    <cellStyle name="Normal 10 2 2 2 2 2 2 3 2" xfId="24998" xr:uid="{00000000-0005-0000-0000-00007C610000}"/>
    <cellStyle name="Normal 10 2 2 2 2 2 2 3 3" xfId="24999" xr:uid="{00000000-0005-0000-0000-00007D610000}"/>
    <cellStyle name="Normal 10 2 2 2 2 2 2 4" xfId="25000" xr:uid="{00000000-0005-0000-0000-00007E610000}"/>
    <cellStyle name="Normal 10 2 2 2 2 2 2 5" xfId="25001" xr:uid="{00000000-0005-0000-0000-00007F610000}"/>
    <cellStyle name="Normal 10 2 2 2 2 2 2 6" xfId="25002" xr:uid="{00000000-0005-0000-0000-000080610000}"/>
    <cellStyle name="Normal 10 2 2 2 2 2 3" xfId="25003" xr:uid="{00000000-0005-0000-0000-000081610000}"/>
    <cellStyle name="Normal 10 2 2 2 2 2 3 2" xfId="25004" xr:uid="{00000000-0005-0000-0000-000082610000}"/>
    <cellStyle name="Normal 10 2 2 2 2 2 3 2 2" xfId="25005" xr:uid="{00000000-0005-0000-0000-000083610000}"/>
    <cellStyle name="Normal 10 2 2 2 2 2 3 2 3" xfId="25006" xr:uid="{00000000-0005-0000-0000-000084610000}"/>
    <cellStyle name="Normal 10 2 2 2 2 2 3 3" xfId="25007" xr:uid="{00000000-0005-0000-0000-000085610000}"/>
    <cellStyle name="Normal 10 2 2 2 2 2 3 4" xfId="25008" xr:uid="{00000000-0005-0000-0000-000086610000}"/>
    <cellStyle name="Normal 10 2 2 2 2 2 4" xfId="25009" xr:uid="{00000000-0005-0000-0000-000087610000}"/>
    <cellStyle name="Normal 10 2 2 2 2 2 4 2" xfId="25010" xr:uid="{00000000-0005-0000-0000-000088610000}"/>
    <cellStyle name="Normal 10 2 2 2 2 2 4 3" xfId="25011" xr:uid="{00000000-0005-0000-0000-000089610000}"/>
    <cellStyle name="Normal 10 2 2 2 2 2 5" xfId="25012" xr:uid="{00000000-0005-0000-0000-00008A610000}"/>
    <cellStyle name="Normal 10 2 2 2 2 2 6" xfId="25013" xr:uid="{00000000-0005-0000-0000-00008B610000}"/>
    <cellStyle name="Normal 10 2 2 2 2 2 7" xfId="25014" xr:uid="{00000000-0005-0000-0000-00008C610000}"/>
    <cellStyle name="Normal 10 2 2 2 2 3" xfId="25015" xr:uid="{00000000-0005-0000-0000-00008D610000}"/>
    <cellStyle name="Normal 10 2 2 2 2 3 2" xfId="25016" xr:uid="{00000000-0005-0000-0000-00008E610000}"/>
    <cellStyle name="Normal 10 2 2 2 2 3 2 2" xfId="25017" xr:uid="{00000000-0005-0000-0000-00008F610000}"/>
    <cellStyle name="Normal 10 2 2 2 2 3 2 2 2" xfId="25018" xr:uid="{00000000-0005-0000-0000-000090610000}"/>
    <cellStyle name="Normal 10 2 2 2 2 3 2 2 3" xfId="25019" xr:uid="{00000000-0005-0000-0000-000091610000}"/>
    <cellStyle name="Normal 10 2 2 2 2 3 2 3" xfId="25020" xr:uid="{00000000-0005-0000-0000-000092610000}"/>
    <cellStyle name="Normal 10 2 2 2 2 3 2 4" xfId="25021" xr:uid="{00000000-0005-0000-0000-000093610000}"/>
    <cellStyle name="Normal 10 2 2 2 2 3 3" xfId="25022" xr:uid="{00000000-0005-0000-0000-000094610000}"/>
    <cellStyle name="Normal 10 2 2 2 2 3 3 2" xfId="25023" xr:uid="{00000000-0005-0000-0000-000095610000}"/>
    <cellStyle name="Normal 10 2 2 2 2 3 3 3" xfId="25024" xr:uid="{00000000-0005-0000-0000-000096610000}"/>
    <cellStyle name="Normal 10 2 2 2 2 3 4" xfId="25025" xr:uid="{00000000-0005-0000-0000-000097610000}"/>
    <cellStyle name="Normal 10 2 2 2 2 3 5" xfId="25026" xr:uid="{00000000-0005-0000-0000-000098610000}"/>
    <cellStyle name="Normal 10 2 2 2 2 3 6" xfId="25027" xr:uid="{00000000-0005-0000-0000-000099610000}"/>
    <cellStyle name="Normal 10 2 2 2 2 4" xfId="25028" xr:uid="{00000000-0005-0000-0000-00009A610000}"/>
    <cellStyle name="Normal 10 2 2 2 2 4 2" xfId="25029" xr:uid="{00000000-0005-0000-0000-00009B610000}"/>
    <cellStyle name="Normal 10 2 2 2 2 4 2 2" xfId="25030" xr:uid="{00000000-0005-0000-0000-00009C610000}"/>
    <cellStyle name="Normal 10 2 2 2 2 4 2 3" xfId="25031" xr:uid="{00000000-0005-0000-0000-00009D610000}"/>
    <cellStyle name="Normal 10 2 2 2 2 4 3" xfId="25032" xr:uid="{00000000-0005-0000-0000-00009E610000}"/>
    <cellStyle name="Normal 10 2 2 2 2 4 4" xfId="25033" xr:uid="{00000000-0005-0000-0000-00009F610000}"/>
    <cellStyle name="Normal 10 2 2 2 2 5" xfId="25034" xr:uid="{00000000-0005-0000-0000-0000A0610000}"/>
    <cellStyle name="Normal 10 2 2 2 2 5 2" xfId="25035" xr:uid="{00000000-0005-0000-0000-0000A1610000}"/>
    <cellStyle name="Normal 10 2 2 2 2 5 3" xfId="25036" xr:uid="{00000000-0005-0000-0000-0000A2610000}"/>
    <cellStyle name="Normal 10 2 2 2 2 6" xfId="25037" xr:uid="{00000000-0005-0000-0000-0000A3610000}"/>
    <cellStyle name="Normal 10 2 2 2 2 7" xfId="25038" xr:uid="{00000000-0005-0000-0000-0000A4610000}"/>
    <cellStyle name="Normal 10 2 2 2 2 8" xfId="25039" xr:uid="{00000000-0005-0000-0000-0000A5610000}"/>
    <cellStyle name="Normal 10 2 2 2 3" xfId="25040" xr:uid="{00000000-0005-0000-0000-0000A6610000}"/>
    <cellStyle name="Normal 10 2 2 2 3 2" xfId="25041" xr:uid="{00000000-0005-0000-0000-0000A7610000}"/>
    <cellStyle name="Normal 10 2 2 2 3 2 2" xfId="25042" xr:uid="{00000000-0005-0000-0000-0000A8610000}"/>
    <cellStyle name="Normal 10 2 2 2 3 2 2 2" xfId="25043" xr:uid="{00000000-0005-0000-0000-0000A9610000}"/>
    <cellStyle name="Normal 10 2 2 2 3 2 2 2 2" xfId="25044" xr:uid="{00000000-0005-0000-0000-0000AA610000}"/>
    <cellStyle name="Normal 10 2 2 2 3 2 2 2 3" xfId="25045" xr:uid="{00000000-0005-0000-0000-0000AB610000}"/>
    <cellStyle name="Normal 10 2 2 2 3 2 2 3" xfId="25046" xr:uid="{00000000-0005-0000-0000-0000AC610000}"/>
    <cellStyle name="Normal 10 2 2 2 3 2 2 4" xfId="25047" xr:uid="{00000000-0005-0000-0000-0000AD610000}"/>
    <cellStyle name="Normal 10 2 2 2 3 2 3" xfId="25048" xr:uid="{00000000-0005-0000-0000-0000AE610000}"/>
    <cellStyle name="Normal 10 2 2 2 3 2 3 2" xfId="25049" xr:uid="{00000000-0005-0000-0000-0000AF610000}"/>
    <cellStyle name="Normal 10 2 2 2 3 2 3 3" xfId="25050" xr:uid="{00000000-0005-0000-0000-0000B0610000}"/>
    <cellStyle name="Normal 10 2 2 2 3 2 4" xfId="25051" xr:uid="{00000000-0005-0000-0000-0000B1610000}"/>
    <cellStyle name="Normal 10 2 2 2 3 2 5" xfId="25052" xr:uid="{00000000-0005-0000-0000-0000B2610000}"/>
    <cellStyle name="Normal 10 2 2 2 3 2 6" xfId="25053" xr:uid="{00000000-0005-0000-0000-0000B3610000}"/>
    <cellStyle name="Normal 10 2 2 2 3 3" xfId="25054" xr:uid="{00000000-0005-0000-0000-0000B4610000}"/>
    <cellStyle name="Normal 10 2 2 2 3 3 2" xfId="25055" xr:uid="{00000000-0005-0000-0000-0000B5610000}"/>
    <cellStyle name="Normal 10 2 2 2 3 3 2 2" xfId="25056" xr:uid="{00000000-0005-0000-0000-0000B6610000}"/>
    <cellStyle name="Normal 10 2 2 2 3 3 2 3" xfId="25057" xr:uid="{00000000-0005-0000-0000-0000B7610000}"/>
    <cellStyle name="Normal 10 2 2 2 3 3 3" xfId="25058" xr:uid="{00000000-0005-0000-0000-0000B8610000}"/>
    <cellStyle name="Normal 10 2 2 2 3 3 4" xfId="25059" xr:uid="{00000000-0005-0000-0000-0000B9610000}"/>
    <cellStyle name="Normal 10 2 2 2 3 4" xfId="25060" xr:uid="{00000000-0005-0000-0000-0000BA610000}"/>
    <cellStyle name="Normal 10 2 2 2 3 4 2" xfId="25061" xr:uid="{00000000-0005-0000-0000-0000BB610000}"/>
    <cellStyle name="Normal 10 2 2 2 3 4 3" xfId="25062" xr:uid="{00000000-0005-0000-0000-0000BC610000}"/>
    <cellStyle name="Normal 10 2 2 2 3 5" xfId="25063" xr:uid="{00000000-0005-0000-0000-0000BD610000}"/>
    <cellStyle name="Normal 10 2 2 2 3 6" xfId="25064" xr:uid="{00000000-0005-0000-0000-0000BE610000}"/>
    <cellStyle name="Normal 10 2 2 2 3 7" xfId="25065" xr:uid="{00000000-0005-0000-0000-0000BF610000}"/>
    <cellStyle name="Normal 10 2 2 2 4" xfId="25066" xr:uid="{00000000-0005-0000-0000-0000C0610000}"/>
    <cellStyle name="Normal 10 2 2 2 4 2" xfId="25067" xr:uid="{00000000-0005-0000-0000-0000C1610000}"/>
    <cellStyle name="Normal 10 2 2 2 4 2 2" xfId="25068" xr:uid="{00000000-0005-0000-0000-0000C2610000}"/>
    <cellStyle name="Normal 10 2 2 2 4 2 2 2" xfId="25069" xr:uid="{00000000-0005-0000-0000-0000C3610000}"/>
    <cellStyle name="Normal 10 2 2 2 4 2 2 3" xfId="25070" xr:uid="{00000000-0005-0000-0000-0000C4610000}"/>
    <cellStyle name="Normal 10 2 2 2 4 2 3" xfId="25071" xr:uid="{00000000-0005-0000-0000-0000C5610000}"/>
    <cellStyle name="Normal 10 2 2 2 4 2 4" xfId="25072" xr:uid="{00000000-0005-0000-0000-0000C6610000}"/>
    <cellStyle name="Normal 10 2 2 2 4 3" xfId="25073" xr:uid="{00000000-0005-0000-0000-0000C7610000}"/>
    <cellStyle name="Normal 10 2 2 2 4 3 2" xfId="25074" xr:uid="{00000000-0005-0000-0000-0000C8610000}"/>
    <cellStyle name="Normal 10 2 2 2 4 3 3" xfId="25075" xr:uid="{00000000-0005-0000-0000-0000C9610000}"/>
    <cellStyle name="Normal 10 2 2 2 4 4" xfId="25076" xr:uid="{00000000-0005-0000-0000-0000CA610000}"/>
    <cellStyle name="Normal 10 2 2 2 4 5" xfId="25077" xr:uid="{00000000-0005-0000-0000-0000CB610000}"/>
    <cellStyle name="Normal 10 2 2 2 4 6" xfId="25078" xr:uid="{00000000-0005-0000-0000-0000CC610000}"/>
    <cellStyle name="Normal 10 2 2 2 5" xfId="25079" xr:uid="{00000000-0005-0000-0000-0000CD610000}"/>
    <cellStyle name="Normal 10 2 2 2 5 2" xfId="25080" xr:uid="{00000000-0005-0000-0000-0000CE610000}"/>
    <cellStyle name="Normal 10 2 2 2 5 2 2" xfId="25081" xr:uid="{00000000-0005-0000-0000-0000CF610000}"/>
    <cellStyle name="Normal 10 2 2 2 5 2 3" xfId="25082" xr:uid="{00000000-0005-0000-0000-0000D0610000}"/>
    <cellStyle name="Normal 10 2 2 2 5 3" xfId="25083" xr:uid="{00000000-0005-0000-0000-0000D1610000}"/>
    <cellStyle name="Normal 10 2 2 2 5 4" xfId="25084" xr:uid="{00000000-0005-0000-0000-0000D2610000}"/>
    <cellStyle name="Normal 10 2 2 2 6" xfId="25085" xr:uid="{00000000-0005-0000-0000-0000D3610000}"/>
    <cellStyle name="Normal 10 2 2 2 6 2" xfId="25086" xr:uid="{00000000-0005-0000-0000-0000D4610000}"/>
    <cellStyle name="Normal 10 2 2 2 6 3" xfId="25087" xr:uid="{00000000-0005-0000-0000-0000D5610000}"/>
    <cellStyle name="Normal 10 2 2 2 7" xfId="25088" xr:uid="{00000000-0005-0000-0000-0000D6610000}"/>
    <cellStyle name="Normal 10 2 2 2 8" xfId="25089" xr:uid="{00000000-0005-0000-0000-0000D7610000}"/>
    <cellStyle name="Normal 10 2 2 2 9" xfId="25090" xr:uid="{00000000-0005-0000-0000-0000D8610000}"/>
    <cellStyle name="Normal 10 2 2 3" xfId="25091" xr:uid="{00000000-0005-0000-0000-0000D9610000}"/>
    <cellStyle name="Normal 10 2 2 3 2" xfId="25092" xr:uid="{00000000-0005-0000-0000-0000DA610000}"/>
    <cellStyle name="Normal 10 2 2 3 2 2" xfId="25093" xr:uid="{00000000-0005-0000-0000-0000DB610000}"/>
    <cellStyle name="Normal 10 2 2 3 2 2 2" xfId="25094" xr:uid="{00000000-0005-0000-0000-0000DC610000}"/>
    <cellStyle name="Normal 10 2 2 3 2 2 2 2" xfId="25095" xr:uid="{00000000-0005-0000-0000-0000DD610000}"/>
    <cellStyle name="Normal 10 2 2 3 2 2 2 2 2" xfId="25096" xr:uid="{00000000-0005-0000-0000-0000DE610000}"/>
    <cellStyle name="Normal 10 2 2 3 2 2 2 2 3" xfId="25097" xr:uid="{00000000-0005-0000-0000-0000DF610000}"/>
    <cellStyle name="Normal 10 2 2 3 2 2 2 3" xfId="25098" xr:uid="{00000000-0005-0000-0000-0000E0610000}"/>
    <cellStyle name="Normal 10 2 2 3 2 2 2 4" xfId="25099" xr:uid="{00000000-0005-0000-0000-0000E1610000}"/>
    <cellStyle name="Normal 10 2 2 3 2 2 3" xfId="25100" xr:uid="{00000000-0005-0000-0000-0000E2610000}"/>
    <cellStyle name="Normal 10 2 2 3 2 2 3 2" xfId="25101" xr:uid="{00000000-0005-0000-0000-0000E3610000}"/>
    <cellStyle name="Normal 10 2 2 3 2 2 3 3" xfId="25102" xr:uid="{00000000-0005-0000-0000-0000E4610000}"/>
    <cellStyle name="Normal 10 2 2 3 2 2 4" xfId="25103" xr:uid="{00000000-0005-0000-0000-0000E5610000}"/>
    <cellStyle name="Normal 10 2 2 3 2 2 5" xfId="25104" xr:uid="{00000000-0005-0000-0000-0000E6610000}"/>
    <cellStyle name="Normal 10 2 2 3 2 2 6" xfId="25105" xr:uid="{00000000-0005-0000-0000-0000E7610000}"/>
    <cellStyle name="Normal 10 2 2 3 2 3" xfId="25106" xr:uid="{00000000-0005-0000-0000-0000E8610000}"/>
    <cellStyle name="Normal 10 2 2 3 2 3 2" xfId="25107" xr:uid="{00000000-0005-0000-0000-0000E9610000}"/>
    <cellStyle name="Normal 10 2 2 3 2 3 2 2" xfId="25108" xr:uid="{00000000-0005-0000-0000-0000EA610000}"/>
    <cellStyle name="Normal 10 2 2 3 2 3 2 3" xfId="25109" xr:uid="{00000000-0005-0000-0000-0000EB610000}"/>
    <cellStyle name="Normal 10 2 2 3 2 3 3" xfId="25110" xr:uid="{00000000-0005-0000-0000-0000EC610000}"/>
    <cellStyle name="Normal 10 2 2 3 2 3 4" xfId="25111" xr:uid="{00000000-0005-0000-0000-0000ED610000}"/>
    <cellStyle name="Normal 10 2 2 3 2 4" xfId="25112" xr:uid="{00000000-0005-0000-0000-0000EE610000}"/>
    <cellStyle name="Normal 10 2 2 3 2 4 2" xfId="25113" xr:uid="{00000000-0005-0000-0000-0000EF610000}"/>
    <cellStyle name="Normal 10 2 2 3 2 4 3" xfId="25114" xr:uid="{00000000-0005-0000-0000-0000F0610000}"/>
    <cellStyle name="Normal 10 2 2 3 2 5" xfId="25115" xr:uid="{00000000-0005-0000-0000-0000F1610000}"/>
    <cellStyle name="Normal 10 2 2 3 2 6" xfId="25116" xr:uid="{00000000-0005-0000-0000-0000F2610000}"/>
    <cellStyle name="Normal 10 2 2 3 2 7" xfId="25117" xr:uid="{00000000-0005-0000-0000-0000F3610000}"/>
    <cellStyle name="Normal 10 2 2 3 3" xfId="25118" xr:uid="{00000000-0005-0000-0000-0000F4610000}"/>
    <cellStyle name="Normal 10 2 2 3 3 2" xfId="25119" xr:uid="{00000000-0005-0000-0000-0000F5610000}"/>
    <cellStyle name="Normal 10 2 2 3 3 2 2" xfId="25120" xr:uid="{00000000-0005-0000-0000-0000F6610000}"/>
    <cellStyle name="Normal 10 2 2 3 3 2 2 2" xfId="25121" xr:uid="{00000000-0005-0000-0000-0000F7610000}"/>
    <cellStyle name="Normal 10 2 2 3 3 2 2 3" xfId="25122" xr:uid="{00000000-0005-0000-0000-0000F8610000}"/>
    <cellStyle name="Normal 10 2 2 3 3 2 3" xfId="25123" xr:uid="{00000000-0005-0000-0000-0000F9610000}"/>
    <cellStyle name="Normal 10 2 2 3 3 2 4" xfId="25124" xr:uid="{00000000-0005-0000-0000-0000FA610000}"/>
    <cellStyle name="Normal 10 2 2 3 3 3" xfId="25125" xr:uid="{00000000-0005-0000-0000-0000FB610000}"/>
    <cellStyle name="Normal 10 2 2 3 3 3 2" xfId="25126" xr:uid="{00000000-0005-0000-0000-0000FC610000}"/>
    <cellStyle name="Normal 10 2 2 3 3 3 3" xfId="25127" xr:uid="{00000000-0005-0000-0000-0000FD610000}"/>
    <cellStyle name="Normal 10 2 2 3 3 4" xfId="25128" xr:uid="{00000000-0005-0000-0000-0000FE610000}"/>
    <cellStyle name="Normal 10 2 2 3 3 5" xfId="25129" xr:uid="{00000000-0005-0000-0000-0000FF610000}"/>
    <cellStyle name="Normal 10 2 2 3 3 6" xfId="25130" xr:uid="{00000000-0005-0000-0000-000000620000}"/>
    <cellStyle name="Normal 10 2 2 3 4" xfId="25131" xr:uid="{00000000-0005-0000-0000-000001620000}"/>
    <cellStyle name="Normal 10 2 2 3 4 2" xfId="25132" xr:uid="{00000000-0005-0000-0000-000002620000}"/>
    <cellStyle name="Normal 10 2 2 3 4 2 2" xfId="25133" xr:uid="{00000000-0005-0000-0000-000003620000}"/>
    <cellStyle name="Normal 10 2 2 3 4 2 3" xfId="25134" xr:uid="{00000000-0005-0000-0000-000004620000}"/>
    <cellStyle name="Normal 10 2 2 3 4 3" xfId="25135" xr:uid="{00000000-0005-0000-0000-000005620000}"/>
    <cellStyle name="Normal 10 2 2 3 4 4" xfId="25136" xr:uid="{00000000-0005-0000-0000-000006620000}"/>
    <cellStyle name="Normal 10 2 2 3 5" xfId="25137" xr:uid="{00000000-0005-0000-0000-000007620000}"/>
    <cellStyle name="Normal 10 2 2 3 5 2" xfId="25138" xr:uid="{00000000-0005-0000-0000-000008620000}"/>
    <cellStyle name="Normal 10 2 2 3 5 3" xfId="25139" xr:uid="{00000000-0005-0000-0000-000009620000}"/>
    <cellStyle name="Normal 10 2 2 3 6" xfId="25140" xr:uid="{00000000-0005-0000-0000-00000A620000}"/>
    <cellStyle name="Normal 10 2 2 3 7" xfId="25141" xr:uid="{00000000-0005-0000-0000-00000B620000}"/>
    <cellStyle name="Normal 10 2 2 3 8" xfId="25142" xr:uid="{00000000-0005-0000-0000-00000C620000}"/>
    <cellStyle name="Normal 10 2 2 4" xfId="25143" xr:uid="{00000000-0005-0000-0000-00000D620000}"/>
    <cellStyle name="Normal 10 2 2 4 2" xfId="25144" xr:uid="{00000000-0005-0000-0000-00000E620000}"/>
    <cellStyle name="Normal 10 2 2 4 2 2" xfId="25145" xr:uid="{00000000-0005-0000-0000-00000F620000}"/>
    <cellStyle name="Normal 10 2 2 4 2 2 2" xfId="25146" xr:uid="{00000000-0005-0000-0000-000010620000}"/>
    <cellStyle name="Normal 10 2 2 4 2 2 2 2" xfId="25147" xr:uid="{00000000-0005-0000-0000-000011620000}"/>
    <cellStyle name="Normal 10 2 2 4 2 2 2 3" xfId="25148" xr:uid="{00000000-0005-0000-0000-000012620000}"/>
    <cellStyle name="Normal 10 2 2 4 2 2 3" xfId="25149" xr:uid="{00000000-0005-0000-0000-000013620000}"/>
    <cellStyle name="Normal 10 2 2 4 2 2 4" xfId="25150" xr:uid="{00000000-0005-0000-0000-000014620000}"/>
    <cellStyle name="Normal 10 2 2 4 2 3" xfId="25151" xr:uid="{00000000-0005-0000-0000-000015620000}"/>
    <cellStyle name="Normal 10 2 2 4 2 3 2" xfId="25152" xr:uid="{00000000-0005-0000-0000-000016620000}"/>
    <cellStyle name="Normal 10 2 2 4 2 3 3" xfId="25153" xr:uid="{00000000-0005-0000-0000-000017620000}"/>
    <cellStyle name="Normal 10 2 2 4 2 4" xfId="25154" xr:uid="{00000000-0005-0000-0000-000018620000}"/>
    <cellStyle name="Normal 10 2 2 4 2 5" xfId="25155" xr:uid="{00000000-0005-0000-0000-000019620000}"/>
    <cellStyle name="Normal 10 2 2 4 2 6" xfId="25156" xr:uid="{00000000-0005-0000-0000-00001A620000}"/>
    <cellStyle name="Normal 10 2 2 4 3" xfId="25157" xr:uid="{00000000-0005-0000-0000-00001B620000}"/>
    <cellStyle name="Normal 10 2 2 4 3 2" xfId="25158" xr:uid="{00000000-0005-0000-0000-00001C620000}"/>
    <cellStyle name="Normal 10 2 2 4 3 2 2" xfId="25159" xr:uid="{00000000-0005-0000-0000-00001D620000}"/>
    <cellStyle name="Normal 10 2 2 4 3 2 3" xfId="25160" xr:uid="{00000000-0005-0000-0000-00001E620000}"/>
    <cellStyle name="Normal 10 2 2 4 3 3" xfId="25161" xr:uid="{00000000-0005-0000-0000-00001F620000}"/>
    <cellStyle name="Normal 10 2 2 4 3 4" xfId="25162" xr:uid="{00000000-0005-0000-0000-000020620000}"/>
    <cellStyle name="Normal 10 2 2 4 4" xfId="25163" xr:uid="{00000000-0005-0000-0000-000021620000}"/>
    <cellStyle name="Normal 10 2 2 4 4 2" xfId="25164" xr:uid="{00000000-0005-0000-0000-000022620000}"/>
    <cellStyle name="Normal 10 2 2 4 4 3" xfId="25165" xr:uid="{00000000-0005-0000-0000-000023620000}"/>
    <cellStyle name="Normal 10 2 2 4 5" xfId="25166" xr:uid="{00000000-0005-0000-0000-000024620000}"/>
    <cellStyle name="Normal 10 2 2 4 6" xfId="25167" xr:uid="{00000000-0005-0000-0000-000025620000}"/>
    <cellStyle name="Normal 10 2 2 4 7" xfId="25168" xr:uid="{00000000-0005-0000-0000-000026620000}"/>
    <cellStyle name="Normal 10 2 2 5" xfId="25169" xr:uid="{00000000-0005-0000-0000-000027620000}"/>
    <cellStyle name="Normal 10 2 2 5 2" xfId="25170" xr:uid="{00000000-0005-0000-0000-000028620000}"/>
    <cellStyle name="Normal 10 2 2 5 2 2" xfId="25171" xr:uid="{00000000-0005-0000-0000-000029620000}"/>
    <cellStyle name="Normal 10 2 2 5 2 2 2" xfId="25172" xr:uid="{00000000-0005-0000-0000-00002A620000}"/>
    <cellStyle name="Normal 10 2 2 5 2 2 3" xfId="25173" xr:uid="{00000000-0005-0000-0000-00002B620000}"/>
    <cellStyle name="Normal 10 2 2 5 2 3" xfId="25174" xr:uid="{00000000-0005-0000-0000-00002C620000}"/>
    <cellStyle name="Normal 10 2 2 5 2 4" xfId="25175" xr:uid="{00000000-0005-0000-0000-00002D620000}"/>
    <cellStyle name="Normal 10 2 2 5 3" xfId="25176" xr:uid="{00000000-0005-0000-0000-00002E620000}"/>
    <cellStyle name="Normal 10 2 2 5 3 2" xfId="25177" xr:uid="{00000000-0005-0000-0000-00002F620000}"/>
    <cellStyle name="Normal 10 2 2 5 3 3" xfId="25178" xr:uid="{00000000-0005-0000-0000-000030620000}"/>
    <cellStyle name="Normal 10 2 2 5 4" xfId="25179" xr:uid="{00000000-0005-0000-0000-000031620000}"/>
    <cellStyle name="Normal 10 2 2 5 5" xfId="25180" xr:uid="{00000000-0005-0000-0000-000032620000}"/>
    <cellStyle name="Normal 10 2 2 5 6" xfId="25181" xr:uid="{00000000-0005-0000-0000-000033620000}"/>
    <cellStyle name="Normal 10 2 2 6" xfId="25182" xr:uid="{00000000-0005-0000-0000-000034620000}"/>
    <cellStyle name="Normal 10 2 2 6 2" xfId="25183" xr:uid="{00000000-0005-0000-0000-000035620000}"/>
    <cellStyle name="Normal 10 2 2 6 2 2" xfId="25184" xr:uid="{00000000-0005-0000-0000-000036620000}"/>
    <cellStyle name="Normal 10 2 2 6 2 3" xfId="25185" xr:uid="{00000000-0005-0000-0000-000037620000}"/>
    <cellStyle name="Normal 10 2 2 6 3" xfId="25186" xr:uid="{00000000-0005-0000-0000-000038620000}"/>
    <cellStyle name="Normal 10 2 2 6 4" xfId="25187" xr:uid="{00000000-0005-0000-0000-000039620000}"/>
    <cellStyle name="Normal 10 2 2 7" xfId="25188" xr:uid="{00000000-0005-0000-0000-00003A620000}"/>
    <cellStyle name="Normal 10 2 2 7 2" xfId="25189" xr:uid="{00000000-0005-0000-0000-00003B620000}"/>
    <cellStyle name="Normal 10 2 2 7 3" xfId="25190" xr:uid="{00000000-0005-0000-0000-00003C620000}"/>
    <cellStyle name="Normal 10 2 2 8" xfId="25191" xr:uid="{00000000-0005-0000-0000-00003D620000}"/>
    <cellStyle name="Normal 10 2 2 9" xfId="25192" xr:uid="{00000000-0005-0000-0000-00003E620000}"/>
    <cellStyle name="Normal 10 2 3" xfId="25193" xr:uid="{00000000-0005-0000-0000-00003F620000}"/>
    <cellStyle name="Normal 10 2 3 2" xfId="25194" xr:uid="{00000000-0005-0000-0000-000040620000}"/>
    <cellStyle name="Normal 10 2 3 2 2" xfId="25195" xr:uid="{00000000-0005-0000-0000-000041620000}"/>
    <cellStyle name="Normal 10 2 3 2 2 2" xfId="25196" xr:uid="{00000000-0005-0000-0000-000042620000}"/>
    <cellStyle name="Normal 10 2 3 2 2 2 2" xfId="25197" xr:uid="{00000000-0005-0000-0000-000043620000}"/>
    <cellStyle name="Normal 10 2 3 2 2 2 2 2" xfId="25198" xr:uid="{00000000-0005-0000-0000-000044620000}"/>
    <cellStyle name="Normal 10 2 3 2 2 2 2 2 2" xfId="25199" xr:uid="{00000000-0005-0000-0000-000045620000}"/>
    <cellStyle name="Normal 10 2 3 2 2 2 2 2 3" xfId="25200" xr:uid="{00000000-0005-0000-0000-000046620000}"/>
    <cellStyle name="Normal 10 2 3 2 2 2 2 3" xfId="25201" xr:uid="{00000000-0005-0000-0000-000047620000}"/>
    <cellStyle name="Normal 10 2 3 2 2 2 2 4" xfId="25202" xr:uid="{00000000-0005-0000-0000-000048620000}"/>
    <cellStyle name="Normal 10 2 3 2 2 2 3" xfId="25203" xr:uid="{00000000-0005-0000-0000-000049620000}"/>
    <cellStyle name="Normal 10 2 3 2 2 2 3 2" xfId="25204" xr:uid="{00000000-0005-0000-0000-00004A620000}"/>
    <cellStyle name="Normal 10 2 3 2 2 2 3 3" xfId="25205" xr:uid="{00000000-0005-0000-0000-00004B620000}"/>
    <cellStyle name="Normal 10 2 3 2 2 2 4" xfId="25206" xr:uid="{00000000-0005-0000-0000-00004C620000}"/>
    <cellStyle name="Normal 10 2 3 2 2 2 5" xfId="25207" xr:uid="{00000000-0005-0000-0000-00004D620000}"/>
    <cellStyle name="Normal 10 2 3 2 2 2 6" xfId="25208" xr:uid="{00000000-0005-0000-0000-00004E620000}"/>
    <cellStyle name="Normal 10 2 3 2 2 3" xfId="25209" xr:uid="{00000000-0005-0000-0000-00004F620000}"/>
    <cellStyle name="Normal 10 2 3 2 2 3 2" xfId="25210" xr:uid="{00000000-0005-0000-0000-000050620000}"/>
    <cellStyle name="Normal 10 2 3 2 2 3 2 2" xfId="25211" xr:uid="{00000000-0005-0000-0000-000051620000}"/>
    <cellStyle name="Normal 10 2 3 2 2 3 2 3" xfId="25212" xr:uid="{00000000-0005-0000-0000-000052620000}"/>
    <cellStyle name="Normal 10 2 3 2 2 3 3" xfId="25213" xr:uid="{00000000-0005-0000-0000-000053620000}"/>
    <cellStyle name="Normal 10 2 3 2 2 3 4" xfId="25214" xr:uid="{00000000-0005-0000-0000-000054620000}"/>
    <cellStyle name="Normal 10 2 3 2 2 4" xfId="25215" xr:uid="{00000000-0005-0000-0000-000055620000}"/>
    <cellStyle name="Normal 10 2 3 2 2 4 2" xfId="25216" xr:uid="{00000000-0005-0000-0000-000056620000}"/>
    <cellStyle name="Normal 10 2 3 2 2 4 3" xfId="25217" xr:uid="{00000000-0005-0000-0000-000057620000}"/>
    <cellStyle name="Normal 10 2 3 2 2 5" xfId="25218" xr:uid="{00000000-0005-0000-0000-000058620000}"/>
    <cellStyle name="Normal 10 2 3 2 2 6" xfId="25219" xr:uid="{00000000-0005-0000-0000-000059620000}"/>
    <cellStyle name="Normal 10 2 3 2 2 7" xfId="25220" xr:uid="{00000000-0005-0000-0000-00005A620000}"/>
    <cellStyle name="Normal 10 2 3 2 3" xfId="25221" xr:uid="{00000000-0005-0000-0000-00005B620000}"/>
    <cellStyle name="Normal 10 2 3 2 3 2" xfId="25222" xr:uid="{00000000-0005-0000-0000-00005C620000}"/>
    <cellStyle name="Normal 10 2 3 2 3 2 2" xfId="25223" xr:uid="{00000000-0005-0000-0000-00005D620000}"/>
    <cellStyle name="Normal 10 2 3 2 3 2 2 2" xfId="25224" xr:uid="{00000000-0005-0000-0000-00005E620000}"/>
    <cellStyle name="Normal 10 2 3 2 3 2 2 3" xfId="25225" xr:uid="{00000000-0005-0000-0000-00005F620000}"/>
    <cellStyle name="Normal 10 2 3 2 3 2 3" xfId="25226" xr:uid="{00000000-0005-0000-0000-000060620000}"/>
    <cellStyle name="Normal 10 2 3 2 3 2 4" xfId="25227" xr:uid="{00000000-0005-0000-0000-000061620000}"/>
    <cellStyle name="Normal 10 2 3 2 3 3" xfId="25228" xr:uid="{00000000-0005-0000-0000-000062620000}"/>
    <cellStyle name="Normal 10 2 3 2 3 3 2" xfId="25229" xr:uid="{00000000-0005-0000-0000-000063620000}"/>
    <cellStyle name="Normal 10 2 3 2 3 3 3" xfId="25230" xr:uid="{00000000-0005-0000-0000-000064620000}"/>
    <cellStyle name="Normal 10 2 3 2 3 4" xfId="25231" xr:uid="{00000000-0005-0000-0000-000065620000}"/>
    <cellStyle name="Normal 10 2 3 2 3 5" xfId="25232" xr:uid="{00000000-0005-0000-0000-000066620000}"/>
    <cellStyle name="Normal 10 2 3 2 3 6" xfId="25233" xr:uid="{00000000-0005-0000-0000-000067620000}"/>
    <cellStyle name="Normal 10 2 3 2 4" xfId="25234" xr:uid="{00000000-0005-0000-0000-000068620000}"/>
    <cellStyle name="Normal 10 2 3 2 4 2" xfId="25235" xr:uid="{00000000-0005-0000-0000-000069620000}"/>
    <cellStyle name="Normal 10 2 3 2 4 2 2" xfId="25236" xr:uid="{00000000-0005-0000-0000-00006A620000}"/>
    <cellStyle name="Normal 10 2 3 2 4 2 3" xfId="25237" xr:uid="{00000000-0005-0000-0000-00006B620000}"/>
    <cellStyle name="Normal 10 2 3 2 4 3" xfId="25238" xr:uid="{00000000-0005-0000-0000-00006C620000}"/>
    <cellStyle name="Normal 10 2 3 2 4 4" xfId="25239" xr:uid="{00000000-0005-0000-0000-00006D620000}"/>
    <cellStyle name="Normal 10 2 3 2 5" xfId="25240" xr:uid="{00000000-0005-0000-0000-00006E620000}"/>
    <cellStyle name="Normal 10 2 3 2 5 2" xfId="25241" xr:uid="{00000000-0005-0000-0000-00006F620000}"/>
    <cellStyle name="Normal 10 2 3 2 5 3" xfId="25242" xr:uid="{00000000-0005-0000-0000-000070620000}"/>
    <cellStyle name="Normal 10 2 3 2 6" xfId="25243" xr:uid="{00000000-0005-0000-0000-000071620000}"/>
    <cellStyle name="Normal 10 2 3 2 7" xfId="25244" xr:uid="{00000000-0005-0000-0000-000072620000}"/>
    <cellStyle name="Normal 10 2 3 2 8" xfId="25245" xr:uid="{00000000-0005-0000-0000-000073620000}"/>
    <cellStyle name="Normal 10 2 3 3" xfId="25246" xr:uid="{00000000-0005-0000-0000-000074620000}"/>
    <cellStyle name="Normal 10 2 3 3 2" xfId="25247" xr:uid="{00000000-0005-0000-0000-000075620000}"/>
    <cellStyle name="Normal 10 2 3 3 2 2" xfId="25248" xr:uid="{00000000-0005-0000-0000-000076620000}"/>
    <cellStyle name="Normal 10 2 3 3 2 2 2" xfId="25249" xr:uid="{00000000-0005-0000-0000-000077620000}"/>
    <cellStyle name="Normal 10 2 3 3 2 2 2 2" xfId="25250" xr:uid="{00000000-0005-0000-0000-000078620000}"/>
    <cellStyle name="Normal 10 2 3 3 2 2 2 3" xfId="25251" xr:uid="{00000000-0005-0000-0000-000079620000}"/>
    <cellStyle name="Normal 10 2 3 3 2 2 3" xfId="25252" xr:uid="{00000000-0005-0000-0000-00007A620000}"/>
    <cellStyle name="Normal 10 2 3 3 2 2 4" xfId="25253" xr:uid="{00000000-0005-0000-0000-00007B620000}"/>
    <cellStyle name="Normal 10 2 3 3 2 3" xfId="25254" xr:uid="{00000000-0005-0000-0000-00007C620000}"/>
    <cellStyle name="Normal 10 2 3 3 2 3 2" xfId="25255" xr:uid="{00000000-0005-0000-0000-00007D620000}"/>
    <cellStyle name="Normal 10 2 3 3 2 3 3" xfId="25256" xr:uid="{00000000-0005-0000-0000-00007E620000}"/>
    <cellStyle name="Normal 10 2 3 3 2 4" xfId="25257" xr:uid="{00000000-0005-0000-0000-00007F620000}"/>
    <cellStyle name="Normal 10 2 3 3 2 5" xfId="25258" xr:uid="{00000000-0005-0000-0000-000080620000}"/>
    <cellStyle name="Normal 10 2 3 3 2 6" xfId="25259" xr:uid="{00000000-0005-0000-0000-000081620000}"/>
    <cellStyle name="Normal 10 2 3 3 3" xfId="25260" xr:uid="{00000000-0005-0000-0000-000082620000}"/>
    <cellStyle name="Normal 10 2 3 3 3 2" xfId="25261" xr:uid="{00000000-0005-0000-0000-000083620000}"/>
    <cellStyle name="Normal 10 2 3 3 3 2 2" xfId="25262" xr:uid="{00000000-0005-0000-0000-000084620000}"/>
    <cellStyle name="Normal 10 2 3 3 3 2 3" xfId="25263" xr:uid="{00000000-0005-0000-0000-000085620000}"/>
    <cellStyle name="Normal 10 2 3 3 3 3" xfId="25264" xr:uid="{00000000-0005-0000-0000-000086620000}"/>
    <cellStyle name="Normal 10 2 3 3 3 4" xfId="25265" xr:uid="{00000000-0005-0000-0000-000087620000}"/>
    <cellStyle name="Normal 10 2 3 3 4" xfId="25266" xr:uid="{00000000-0005-0000-0000-000088620000}"/>
    <cellStyle name="Normal 10 2 3 3 4 2" xfId="25267" xr:uid="{00000000-0005-0000-0000-000089620000}"/>
    <cellStyle name="Normal 10 2 3 3 4 3" xfId="25268" xr:uid="{00000000-0005-0000-0000-00008A620000}"/>
    <cellStyle name="Normal 10 2 3 3 5" xfId="25269" xr:uid="{00000000-0005-0000-0000-00008B620000}"/>
    <cellStyle name="Normal 10 2 3 3 6" xfId="25270" xr:uid="{00000000-0005-0000-0000-00008C620000}"/>
    <cellStyle name="Normal 10 2 3 3 7" xfId="25271" xr:uid="{00000000-0005-0000-0000-00008D620000}"/>
    <cellStyle name="Normal 10 2 3 4" xfId="25272" xr:uid="{00000000-0005-0000-0000-00008E620000}"/>
    <cellStyle name="Normal 10 2 3 4 2" xfId="25273" xr:uid="{00000000-0005-0000-0000-00008F620000}"/>
    <cellStyle name="Normal 10 2 3 4 2 2" xfId="25274" xr:uid="{00000000-0005-0000-0000-000090620000}"/>
    <cellStyle name="Normal 10 2 3 4 2 2 2" xfId="25275" xr:uid="{00000000-0005-0000-0000-000091620000}"/>
    <cellStyle name="Normal 10 2 3 4 2 2 3" xfId="25276" xr:uid="{00000000-0005-0000-0000-000092620000}"/>
    <cellStyle name="Normal 10 2 3 4 2 3" xfId="25277" xr:uid="{00000000-0005-0000-0000-000093620000}"/>
    <cellStyle name="Normal 10 2 3 4 2 4" xfId="25278" xr:uid="{00000000-0005-0000-0000-000094620000}"/>
    <cellStyle name="Normal 10 2 3 4 3" xfId="25279" xr:uid="{00000000-0005-0000-0000-000095620000}"/>
    <cellStyle name="Normal 10 2 3 4 3 2" xfId="25280" xr:uid="{00000000-0005-0000-0000-000096620000}"/>
    <cellStyle name="Normal 10 2 3 4 3 3" xfId="25281" xr:uid="{00000000-0005-0000-0000-000097620000}"/>
    <cellStyle name="Normal 10 2 3 4 4" xfId="25282" xr:uid="{00000000-0005-0000-0000-000098620000}"/>
    <cellStyle name="Normal 10 2 3 4 5" xfId="25283" xr:uid="{00000000-0005-0000-0000-000099620000}"/>
    <cellStyle name="Normal 10 2 3 4 6" xfId="25284" xr:uid="{00000000-0005-0000-0000-00009A620000}"/>
    <cellStyle name="Normal 10 2 3 5" xfId="25285" xr:uid="{00000000-0005-0000-0000-00009B620000}"/>
    <cellStyle name="Normal 10 2 3 5 2" xfId="25286" xr:uid="{00000000-0005-0000-0000-00009C620000}"/>
    <cellStyle name="Normal 10 2 3 5 2 2" xfId="25287" xr:uid="{00000000-0005-0000-0000-00009D620000}"/>
    <cellStyle name="Normal 10 2 3 5 2 3" xfId="25288" xr:uid="{00000000-0005-0000-0000-00009E620000}"/>
    <cellStyle name="Normal 10 2 3 5 3" xfId="25289" xr:uid="{00000000-0005-0000-0000-00009F620000}"/>
    <cellStyle name="Normal 10 2 3 5 4" xfId="25290" xr:uid="{00000000-0005-0000-0000-0000A0620000}"/>
    <cellStyle name="Normal 10 2 3 6" xfId="25291" xr:uid="{00000000-0005-0000-0000-0000A1620000}"/>
    <cellStyle name="Normal 10 2 3 6 2" xfId="25292" xr:uid="{00000000-0005-0000-0000-0000A2620000}"/>
    <cellStyle name="Normal 10 2 3 6 3" xfId="25293" xr:uid="{00000000-0005-0000-0000-0000A3620000}"/>
    <cellStyle name="Normal 10 2 3 7" xfId="25294" xr:uid="{00000000-0005-0000-0000-0000A4620000}"/>
    <cellStyle name="Normal 10 2 3 8" xfId="25295" xr:uid="{00000000-0005-0000-0000-0000A5620000}"/>
    <cellStyle name="Normal 10 2 3 9" xfId="25296" xr:uid="{00000000-0005-0000-0000-0000A6620000}"/>
    <cellStyle name="Normal 10 2 4" xfId="25297" xr:uid="{00000000-0005-0000-0000-0000A7620000}"/>
    <cellStyle name="Normal 10 2 4 2" xfId="25298" xr:uid="{00000000-0005-0000-0000-0000A8620000}"/>
    <cellStyle name="Normal 10 2 4 2 2" xfId="25299" xr:uid="{00000000-0005-0000-0000-0000A9620000}"/>
    <cellStyle name="Normal 10 2 4 2 2 2" xfId="25300" xr:uid="{00000000-0005-0000-0000-0000AA620000}"/>
    <cellStyle name="Normal 10 2 4 2 2 2 2" xfId="25301" xr:uid="{00000000-0005-0000-0000-0000AB620000}"/>
    <cellStyle name="Normal 10 2 4 2 2 2 2 2" xfId="25302" xr:uid="{00000000-0005-0000-0000-0000AC620000}"/>
    <cellStyle name="Normal 10 2 4 2 2 2 2 3" xfId="25303" xr:uid="{00000000-0005-0000-0000-0000AD620000}"/>
    <cellStyle name="Normal 10 2 4 2 2 2 3" xfId="25304" xr:uid="{00000000-0005-0000-0000-0000AE620000}"/>
    <cellStyle name="Normal 10 2 4 2 2 2 4" xfId="25305" xr:uid="{00000000-0005-0000-0000-0000AF620000}"/>
    <cellStyle name="Normal 10 2 4 2 2 3" xfId="25306" xr:uid="{00000000-0005-0000-0000-0000B0620000}"/>
    <cellStyle name="Normal 10 2 4 2 2 3 2" xfId="25307" xr:uid="{00000000-0005-0000-0000-0000B1620000}"/>
    <cellStyle name="Normal 10 2 4 2 2 3 3" xfId="25308" xr:uid="{00000000-0005-0000-0000-0000B2620000}"/>
    <cellStyle name="Normal 10 2 4 2 2 4" xfId="25309" xr:uid="{00000000-0005-0000-0000-0000B3620000}"/>
    <cellStyle name="Normal 10 2 4 2 2 5" xfId="25310" xr:uid="{00000000-0005-0000-0000-0000B4620000}"/>
    <cellStyle name="Normal 10 2 4 2 2 6" xfId="25311" xr:uid="{00000000-0005-0000-0000-0000B5620000}"/>
    <cellStyle name="Normal 10 2 4 2 3" xfId="25312" xr:uid="{00000000-0005-0000-0000-0000B6620000}"/>
    <cellStyle name="Normal 10 2 4 2 3 2" xfId="25313" xr:uid="{00000000-0005-0000-0000-0000B7620000}"/>
    <cellStyle name="Normal 10 2 4 2 3 2 2" xfId="25314" xr:uid="{00000000-0005-0000-0000-0000B8620000}"/>
    <cellStyle name="Normal 10 2 4 2 3 2 3" xfId="25315" xr:uid="{00000000-0005-0000-0000-0000B9620000}"/>
    <cellStyle name="Normal 10 2 4 2 3 3" xfId="25316" xr:uid="{00000000-0005-0000-0000-0000BA620000}"/>
    <cellStyle name="Normal 10 2 4 2 3 4" xfId="25317" xr:uid="{00000000-0005-0000-0000-0000BB620000}"/>
    <cellStyle name="Normal 10 2 4 2 4" xfId="25318" xr:uid="{00000000-0005-0000-0000-0000BC620000}"/>
    <cellStyle name="Normal 10 2 4 2 4 2" xfId="25319" xr:uid="{00000000-0005-0000-0000-0000BD620000}"/>
    <cellStyle name="Normal 10 2 4 2 4 3" xfId="25320" xr:uid="{00000000-0005-0000-0000-0000BE620000}"/>
    <cellStyle name="Normal 10 2 4 2 5" xfId="25321" xr:uid="{00000000-0005-0000-0000-0000BF620000}"/>
    <cellStyle name="Normal 10 2 4 2 6" xfId="25322" xr:uid="{00000000-0005-0000-0000-0000C0620000}"/>
    <cellStyle name="Normal 10 2 4 2 7" xfId="25323" xr:uid="{00000000-0005-0000-0000-0000C1620000}"/>
    <cellStyle name="Normal 10 2 4 3" xfId="25324" xr:uid="{00000000-0005-0000-0000-0000C2620000}"/>
    <cellStyle name="Normal 10 2 4 3 2" xfId="25325" xr:uid="{00000000-0005-0000-0000-0000C3620000}"/>
    <cellStyle name="Normal 10 2 4 3 2 2" xfId="25326" xr:uid="{00000000-0005-0000-0000-0000C4620000}"/>
    <cellStyle name="Normal 10 2 4 3 2 2 2" xfId="25327" xr:uid="{00000000-0005-0000-0000-0000C5620000}"/>
    <cellStyle name="Normal 10 2 4 3 2 2 3" xfId="25328" xr:uid="{00000000-0005-0000-0000-0000C6620000}"/>
    <cellStyle name="Normal 10 2 4 3 2 3" xfId="25329" xr:uid="{00000000-0005-0000-0000-0000C7620000}"/>
    <cellStyle name="Normal 10 2 4 3 2 4" xfId="25330" xr:uid="{00000000-0005-0000-0000-0000C8620000}"/>
    <cellStyle name="Normal 10 2 4 3 3" xfId="25331" xr:uid="{00000000-0005-0000-0000-0000C9620000}"/>
    <cellStyle name="Normal 10 2 4 3 3 2" xfId="25332" xr:uid="{00000000-0005-0000-0000-0000CA620000}"/>
    <cellStyle name="Normal 10 2 4 3 3 3" xfId="25333" xr:uid="{00000000-0005-0000-0000-0000CB620000}"/>
    <cellStyle name="Normal 10 2 4 3 4" xfId="25334" xr:uid="{00000000-0005-0000-0000-0000CC620000}"/>
    <cellStyle name="Normal 10 2 4 3 5" xfId="25335" xr:uid="{00000000-0005-0000-0000-0000CD620000}"/>
    <cellStyle name="Normal 10 2 4 3 6" xfId="25336" xr:uid="{00000000-0005-0000-0000-0000CE620000}"/>
    <cellStyle name="Normal 10 2 4 4" xfId="25337" xr:uid="{00000000-0005-0000-0000-0000CF620000}"/>
    <cellStyle name="Normal 10 2 4 4 2" xfId="25338" xr:uid="{00000000-0005-0000-0000-0000D0620000}"/>
    <cellStyle name="Normal 10 2 4 4 2 2" xfId="25339" xr:uid="{00000000-0005-0000-0000-0000D1620000}"/>
    <cellStyle name="Normal 10 2 4 4 2 3" xfId="25340" xr:uid="{00000000-0005-0000-0000-0000D2620000}"/>
    <cellStyle name="Normal 10 2 4 4 3" xfId="25341" xr:uid="{00000000-0005-0000-0000-0000D3620000}"/>
    <cellStyle name="Normal 10 2 4 4 4" xfId="25342" xr:uid="{00000000-0005-0000-0000-0000D4620000}"/>
    <cellStyle name="Normal 10 2 4 5" xfId="25343" xr:uid="{00000000-0005-0000-0000-0000D5620000}"/>
    <cellStyle name="Normal 10 2 4 5 2" xfId="25344" xr:uid="{00000000-0005-0000-0000-0000D6620000}"/>
    <cellStyle name="Normal 10 2 4 5 3" xfId="25345" xr:uid="{00000000-0005-0000-0000-0000D7620000}"/>
    <cellStyle name="Normal 10 2 4 6" xfId="25346" xr:uid="{00000000-0005-0000-0000-0000D8620000}"/>
    <cellStyle name="Normal 10 2 4 7" xfId="25347" xr:uid="{00000000-0005-0000-0000-0000D9620000}"/>
    <cellStyle name="Normal 10 2 4 8" xfId="25348" xr:uid="{00000000-0005-0000-0000-0000DA620000}"/>
    <cellStyle name="Normal 10 2 5" xfId="25349" xr:uid="{00000000-0005-0000-0000-0000DB620000}"/>
    <cellStyle name="Normal 10 2 5 2" xfId="25350" xr:uid="{00000000-0005-0000-0000-0000DC620000}"/>
    <cellStyle name="Normal 10 2 5 2 2" xfId="25351" xr:uid="{00000000-0005-0000-0000-0000DD620000}"/>
    <cellStyle name="Normal 10 2 5 2 2 2" xfId="25352" xr:uid="{00000000-0005-0000-0000-0000DE620000}"/>
    <cellStyle name="Normal 10 2 5 2 2 2 2" xfId="25353" xr:uid="{00000000-0005-0000-0000-0000DF620000}"/>
    <cellStyle name="Normal 10 2 5 2 2 2 3" xfId="25354" xr:uid="{00000000-0005-0000-0000-0000E0620000}"/>
    <cellStyle name="Normal 10 2 5 2 2 3" xfId="25355" xr:uid="{00000000-0005-0000-0000-0000E1620000}"/>
    <cellStyle name="Normal 10 2 5 2 2 4" xfId="25356" xr:uid="{00000000-0005-0000-0000-0000E2620000}"/>
    <cellStyle name="Normal 10 2 5 2 3" xfId="25357" xr:uid="{00000000-0005-0000-0000-0000E3620000}"/>
    <cellStyle name="Normal 10 2 5 2 3 2" xfId="25358" xr:uid="{00000000-0005-0000-0000-0000E4620000}"/>
    <cellStyle name="Normal 10 2 5 2 3 3" xfId="25359" xr:uid="{00000000-0005-0000-0000-0000E5620000}"/>
    <cellStyle name="Normal 10 2 5 2 4" xfId="25360" xr:uid="{00000000-0005-0000-0000-0000E6620000}"/>
    <cellStyle name="Normal 10 2 5 2 5" xfId="25361" xr:uid="{00000000-0005-0000-0000-0000E7620000}"/>
    <cellStyle name="Normal 10 2 5 2 6" xfId="25362" xr:uid="{00000000-0005-0000-0000-0000E8620000}"/>
    <cellStyle name="Normal 10 2 5 3" xfId="25363" xr:uid="{00000000-0005-0000-0000-0000E9620000}"/>
    <cellStyle name="Normal 10 2 5 3 2" xfId="25364" xr:uid="{00000000-0005-0000-0000-0000EA620000}"/>
    <cellStyle name="Normal 10 2 5 3 2 2" xfId="25365" xr:uid="{00000000-0005-0000-0000-0000EB620000}"/>
    <cellStyle name="Normal 10 2 5 3 2 3" xfId="25366" xr:uid="{00000000-0005-0000-0000-0000EC620000}"/>
    <cellStyle name="Normal 10 2 5 3 3" xfId="25367" xr:uid="{00000000-0005-0000-0000-0000ED620000}"/>
    <cellStyle name="Normal 10 2 5 3 4" xfId="25368" xr:uid="{00000000-0005-0000-0000-0000EE620000}"/>
    <cellStyle name="Normal 10 2 5 4" xfId="25369" xr:uid="{00000000-0005-0000-0000-0000EF620000}"/>
    <cellStyle name="Normal 10 2 5 4 2" xfId="25370" xr:uid="{00000000-0005-0000-0000-0000F0620000}"/>
    <cellStyle name="Normal 10 2 5 4 3" xfId="25371" xr:uid="{00000000-0005-0000-0000-0000F1620000}"/>
    <cellStyle name="Normal 10 2 5 5" xfId="25372" xr:uid="{00000000-0005-0000-0000-0000F2620000}"/>
    <cellStyle name="Normal 10 2 5 6" xfId="25373" xr:uid="{00000000-0005-0000-0000-0000F3620000}"/>
    <cellStyle name="Normal 10 2 5 7" xfId="25374" xr:uid="{00000000-0005-0000-0000-0000F4620000}"/>
    <cellStyle name="Normal 10 2 6" xfId="25375" xr:uid="{00000000-0005-0000-0000-0000F5620000}"/>
    <cellStyle name="Normal 10 2 6 2" xfId="25376" xr:uid="{00000000-0005-0000-0000-0000F6620000}"/>
    <cellStyle name="Normal 10 2 6 2 2" xfId="25377" xr:uid="{00000000-0005-0000-0000-0000F7620000}"/>
    <cellStyle name="Normal 10 2 6 2 2 2" xfId="25378" xr:uid="{00000000-0005-0000-0000-0000F8620000}"/>
    <cellStyle name="Normal 10 2 6 2 2 3" xfId="25379" xr:uid="{00000000-0005-0000-0000-0000F9620000}"/>
    <cellStyle name="Normal 10 2 6 2 3" xfId="25380" xr:uid="{00000000-0005-0000-0000-0000FA620000}"/>
    <cellStyle name="Normal 10 2 6 2 4" xfId="25381" xr:uid="{00000000-0005-0000-0000-0000FB620000}"/>
    <cellStyle name="Normal 10 2 6 3" xfId="25382" xr:uid="{00000000-0005-0000-0000-0000FC620000}"/>
    <cellStyle name="Normal 10 2 6 3 2" xfId="25383" xr:uid="{00000000-0005-0000-0000-0000FD620000}"/>
    <cellStyle name="Normal 10 2 6 3 3" xfId="25384" xr:uid="{00000000-0005-0000-0000-0000FE620000}"/>
    <cellStyle name="Normal 10 2 6 4" xfId="25385" xr:uid="{00000000-0005-0000-0000-0000FF620000}"/>
    <cellStyle name="Normal 10 2 6 5" xfId="25386" xr:uid="{00000000-0005-0000-0000-000000630000}"/>
    <cellStyle name="Normal 10 2 6 6" xfId="25387" xr:uid="{00000000-0005-0000-0000-000001630000}"/>
    <cellStyle name="Normal 10 2 7" xfId="25388" xr:uid="{00000000-0005-0000-0000-000002630000}"/>
    <cellStyle name="Normal 10 2 7 2" xfId="25389" xr:uid="{00000000-0005-0000-0000-000003630000}"/>
    <cellStyle name="Normal 10 2 7 2 2" xfId="25390" xr:uid="{00000000-0005-0000-0000-000004630000}"/>
    <cellStyle name="Normal 10 2 7 2 3" xfId="25391" xr:uid="{00000000-0005-0000-0000-000005630000}"/>
    <cellStyle name="Normal 10 2 7 3" xfId="25392" xr:uid="{00000000-0005-0000-0000-000006630000}"/>
    <cellStyle name="Normal 10 2 7 4" xfId="25393" xr:uid="{00000000-0005-0000-0000-000007630000}"/>
    <cellStyle name="Normal 10 2 8" xfId="25394" xr:uid="{00000000-0005-0000-0000-000008630000}"/>
    <cellStyle name="Normal 10 2 8 2" xfId="25395" xr:uid="{00000000-0005-0000-0000-000009630000}"/>
    <cellStyle name="Normal 10 2 8 3" xfId="25396" xr:uid="{00000000-0005-0000-0000-00000A630000}"/>
    <cellStyle name="Normal 10 2 9" xfId="25397" xr:uid="{00000000-0005-0000-0000-00000B630000}"/>
    <cellStyle name="Normal 10 3" xfId="25398" xr:uid="{00000000-0005-0000-0000-00000C630000}"/>
    <cellStyle name="Normal 10 3 10" xfId="25399" xr:uid="{00000000-0005-0000-0000-00000D630000}"/>
    <cellStyle name="Normal 10 3 2" xfId="25400" xr:uid="{00000000-0005-0000-0000-00000E630000}"/>
    <cellStyle name="Normal 10 3 2 2" xfId="25401" xr:uid="{00000000-0005-0000-0000-00000F630000}"/>
    <cellStyle name="Normal 10 3 2 2 2" xfId="25402" xr:uid="{00000000-0005-0000-0000-000010630000}"/>
    <cellStyle name="Normal 10 3 2 2 2 2" xfId="25403" xr:uid="{00000000-0005-0000-0000-000011630000}"/>
    <cellStyle name="Normal 10 3 2 2 2 2 2" xfId="25404" xr:uid="{00000000-0005-0000-0000-000012630000}"/>
    <cellStyle name="Normal 10 3 2 2 2 2 2 2" xfId="25405" xr:uid="{00000000-0005-0000-0000-000013630000}"/>
    <cellStyle name="Normal 10 3 2 2 2 2 2 2 2" xfId="25406" xr:uid="{00000000-0005-0000-0000-000014630000}"/>
    <cellStyle name="Normal 10 3 2 2 2 2 2 2 3" xfId="25407" xr:uid="{00000000-0005-0000-0000-000015630000}"/>
    <cellStyle name="Normal 10 3 2 2 2 2 2 3" xfId="25408" xr:uid="{00000000-0005-0000-0000-000016630000}"/>
    <cellStyle name="Normal 10 3 2 2 2 2 2 4" xfId="25409" xr:uid="{00000000-0005-0000-0000-000017630000}"/>
    <cellStyle name="Normal 10 3 2 2 2 2 3" xfId="25410" xr:uid="{00000000-0005-0000-0000-000018630000}"/>
    <cellStyle name="Normal 10 3 2 2 2 2 3 2" xfId="25411" xr:uid="{00000000-0005-0000-0000-000019630000}"/>
    <cellStyle name="Normal 10 3 2 2 2 2 3 3" xfId="25412" xr:uid="{00000000-0005-0000-0000-00001A630000}"/>
    <cellStyle name="Normal 10 3 2 2 2 2 4" xfId="25413" xr:uid="{00000000-0005-0000-0000-00001B630000}"/>
    <cellStyle name="Normal 10 3 2 2 2 2 5" xfId="25414" xr:uid="{00000000-0005-0000-0000-00001C630000}"/>
    <cellStyle name="Normal 10 3 2 2 2 2 6" xfId="25415" xr:uid="{00000000-0005-0000-0000-00001D630000}"/>
    <cellStyle name="Normal 10 3 2 2 2 3" xfId="25416" xr:uid="{00000000-0005-0000-0000-00001E630000}"/>
    <cellStyle name="Normal 10 3 2 2 2 3 2" xfId="25417" xr:uid="{00000000-0005-0000-0000-00001F630000}"/>
    <cellStyle name="Normal 10 3 2 2 2 3 2 2" xfId="25418" xr:uid="{00000000-0005-0000-0000-000020630000}"/>
    <cellStyle name="Normal 10 3 2 2 2 3 2 3" xfId="25419" xr:uid="{00000000-0005-0000-0000-000021630000}"/>
    <cellStyle name="Normal 10 3 2 2 2 3 3" xfId="25420" xr:uid="{00000000-0005-0000-0000-000022630000}"/>
    <cellStyle name="Normal 10 3 2 2 2 3 4" xfId="25421" xr:uid="{00000000-0005-0000-0000-000023630000}"/>
    <cellStyle name="Normal 10 3 2 2 2 4" xfId="25422" xr:uid="{00000000-0005-0000-0000-000024630000}"/>
    <cellStyle name="Normal 10 3 2 2 2 4 2" xfId="25423" xr:uid="{00000000-0005-0000-0000-000025630000}"/>
    <cellStyle name="Normal 10 3 2 2 2 4 3" xfId="25424" xr:uid="{00000000-0005-0000-0000-000026630000}"/>
    <cellStyle name="Normal 10 3 2 2 2 5" xfId="25425" xr:uid="{00000000-0005-0000-0000-000027630000}"/>
    <cellStyle name="Normal 10 3 2 2 2 6" xfId="25426" xr:uid="{00000000-0005-0000-0000-000028630000}"/>
    <cellStyle name="Normal 10 3 2 2 2 7" xfId="25427" xr:uid="{00000000-0005-0000-0000-000029630000}"/>
    <cellStyle name="Normal 10 3 2 2 3" xfId="25428" xr:uid="{00000000-0005-0000-0000-00002A630000}"/>
    <cellStyle name="Normal 10 3 2 2 3 2" xfId="25429" xr:uid="{00000000-0005-0000-0000-00002B630000}"/>
    <cellStyle name="Normal 10 3 2 2 3 2 2" xfId="25430" xr:uid="{00000000-0005-0000-0000-00002C630000}"/>
    <cellStyle name="Normal 10 3 2 2 3 2 2 2" xfId="25431" xr:uid="{00000000-0005-0000-0000-00002D630000}"/>
    <cellStyle name="Normal 10 3 2 2 3 2 2 3" xfId="25432" xr:uid="{00000000-0005-0000-0000-00002E630000}"/>
    <cellStyle name="Normal 10 3 2 2 3 2 3" xfId="25433" xr:uid="{00000000-0005-0000-0000-00002F630000}"/>
    <cellStyle name="Normal 10 3 2 2 3 2 4" xfId="25434" xr:uid="{00000000-0005-0000-0000-000030630000}"/>
    <cellStyle name="Normal 10 3 2 2 3 3" xfId="25435" xr:uid="{00000000-0005-0000-0000-000031630000}"/>
    <cellStyle name="Normal 10 3 2 2 3 3 2" xfId="25436" xr:uid="{00000000-0005-0000-0000-000032630000}"/>
    <cellStyle name="Normal 10 3 2 2 3 3 3" xfId="25437" xr:uid="{00000000-0005-0000-0000-000033630000}"/>
    <cellStyle name="Normal 10 3 2 2 3 4" xfId="25438" xr:uid="{00000000-0005-0000-0000-000034630000}"/>
    <cellStyle name="Normal 10 3 2 2 3 5" xfId="25439" xr:uid="{00000000-0005-0000-0000-000035630000}"/>
    <cellStyle name="Normal 10 3 2 2 3 6" xfId="25440" xr:uid="{00000000-0005-0000-0000-000036630000}"/>
    <cellStyle name="Normal 10 3 2 2 4" xfId="25441" xr:uid="{00000000-0005-0000-0000-000037630000}"/>
    <cellStyle name="Normal 10 3 2 2 4 2" xfId="25442" xr:uid="{00000000-0005-0000-0000-000038630000}"/>
    <cellStyle name="Normal 10 3 2 2 4 2 2" xfId="25443" xr:uid="{00000000-0005-0000-0000-000039630000}"/>
    <cellStyle name="Normal 10 3 2 2 4 2 3" xfId="25444" xr:uid="{00000000-0005-0000-0000-00003A630000}"/>
    <cellStyle name="Normal 10 3 2 2 4 3" xfId="25445" xr:uid="{00000000-0005-0000-0000-00003B630000}"/>
    <cellStyle name="Normal 10 3 2 2 4 4" xfId="25446" xr:uid="{00000000-0005-0000-0000-00003C630000}"/>
    <cellStyle name="Normal 10 3 2 2 5" xfId="25447" xr:uid="{00000000-0005-0000-0000-00003D630000}"/>
    <cellStyle name="Normal 10 3 2 2 5 2" xfId="25448" xr:uid="{00000000-0005-0000-0000-00003E630000}"/>
    <cellStyle name="Normal 10 3 2 2 5 3" xfId="25449" xr:uid="{00000000-0005-0000-0000-00003F630000}"/>
    <cellStyle name="Normal 10 3 2 2 6" xfId="25450" xr:uid="{00000000-0005-0000-0000-000040630000}"/>
    <cellStyle name="Normal 10 3 2 2 7" xfId="25451" xr:uid="{00000000-0005-0000-0000-000041630000}"/>
    <cellStyle name="Normal 10 3 2 2 8" xfId="25452" xr:uid="{00000000-0005-0000-0000-000042630000}"/>
    <cellStyle name="Normal 10 3 2 3" xfId="25453" xr:uid="{00000000-0005-0000-0000-000043630000}"/>
    <cellStyle name="Normal 10 3 2 3 2" xfId="25454" xr:uid="{00000000-0005-0000-0000-000044630000}"/>
    <cellStyle name="Normal 10 3 2 3 2 2" xfId="25455" xr:uid="{00000000-0005-0000-0000-000045630000}"/>
    <cellStyle name="Normal 10 3 2 3 2 2 2" xfId="25456" xr:uid="{00000000-0005-0000-0000-000046630000}"/>
    <cellStyle name="Normal 10 3 2 3 2 2 2 2" xfId="25457" xr:uid="{00000000-0005-0000-0000-000047630000}"/>
    <cellStyle name="Normal 10 3 2 3 2 2 2 3" xfId="25458" xr:uid="{00000000-0005-0000-0000-000048630000}"/>
    <cellStyle name="Normal 10 3 2 3 2 2 3" xfId="25459" xr:uid="{00000000-0005-0000-0000-000049630000}"/>
    <cellStyle name="Normal 10 3 2 3 2 2 4" xfId="25460" xr:uid="{00000000-0005-0000-0000-00004A630000}"/>
    <cellStyle name="Normal 10 3 2 3 2 3" xfId="25461" xr:uid="{00000000-0005-0000-0000-00004B630000}"/>
    <cellStyle name="Normal 10 3 2 3 2 3 2" xfId="25462" xr:uid="{00000000-0005-0000-0000-00004C630000}"/>
    <cellStyle name="Normal 10 3 2 3 2 3 3" xfId="25463" xr:uid="{00000000-0005-0000-0000-00004D630000}"/>
    <cellStyle name="Normal 10 3 2 3 2 4" xfId="25464" xr:uid="{00000000-0005-0000-0000-00004E630000}"/>
    <cellStyle name="Normal 10 3 2 3 2 5" xfId="25465" xr:uid="{00000000-0005-0000-0000-00004F630000}"/>
    <cellStyle name="Normal 10 3 2 3 2 6" xfId="25466" xr:uid="{00000000-0005-0000-0000-000050630000}"/>
    <cellStyle name="Normal 10 3 2 3 3" xfId="25467" xr:uid="{00000000-0005-0000-0000-000051630000}"/>
    <cellStyle name="Normal 10 3 2 3 3 2" xfId="25468" xr:uid="{00000000-0005-0000-0000-000052630000}"/>
    <cellStyle name="Normal 10 3 2 3 3 2 2" xfId="25469" xr:uid="{00000000-0005-0000-0000-000053630000}"/>
    <cellStyle name="Normal 10 3 2 3 3 2 3" xfId="25470" xr:uid="{00000000-0005-0000-0000-000054630000}"/>
    <cellStyle name="Normal 10 3 2 3 3 3" xfId="25471" xr:uid="{00000000-0005-0000-0000-000055630000}"/>
    <cellStyle name="Normal 10 3 2 3 3 4" xfId="25472" xr:uid="{00000000-0005-0000-0000-000056630000}"/>
    <cellStyle name="Normal 10 3 2 3 4" xfId="25473" xr:uid="{00000000-0005-0000-0000-000057630000}"/>
    <cellStyle name="Normal 10 3 2 3 4 2" xfId="25474" xr:uid="{00000000-0005-0000-0000-000058630000}"/>
    <cellStyle name="Normal 10 3 2 3 4 3" xfId="25475" xr:uid="{00000000-0005-0000-0000-000059630000}"/>
    <cellStyle name="Normal 10 3 2 3 5" xfId="25476" xr:uid="{00000000-0005-0000-0000-00005A630000}"/>
    <cellStyle name="Normal 10 3 2 3 6" xfId="25477" xr:uid="{00000000-0005-0000-0000-00005B630000}"/>
    <cellStyle name="Normal 10 3 2 3 7" xfId="25478" xr:uid="{00000000-0005-0000-0000-00005C630000}"/>
    <cellStyle name="Normal 10 3 2 4" xfId="25479" xr:uid="{00000000-0005-0000-0000-00005D630000}"/>
    <cellStyle name="Normal 10 3 2 4 2" xfId="25480" xr:uid="{00000000-0005-0000-0000-00005E630000}"/>
    <cellStyle name="Normal 10 3 2 4 2 2" xfId="25481" xr:uid="{00000000-0005-0000-0000-00005F630000}"/>
    <cellStyle name="Normal 10 3 2 4 2 2 2" xfId="25482" xr:uid="{00000000-0005-0000-0000-000060630000}"/>
    <cellStyle name="Normal 10 3 2 4 2 2 3" xfId="25483" xr:uid="{00000000-0005-0000-0000-000061630000}"/>
    <cellStyle name="Normal 10 3 2 4 2 3" xfId="25484" xr:uid="{00000000-0005-0000-0000-000062630000}"/>
    <cellStyle name="Normal 10 3 2 4 2 4" xfId="25485" xr:uid="{00000000-0005-0000-0000-000063630000}"/>
    <cellStyle name="Normal 10 3 2 4 3" xfId="25486" xr:uid="{00000000-0005-0000-0000-000064630000}"/>
    <cellStyle name="Normal 10 3 2 4 3 2" xfId="25487" xr:uid="{00000000-0005-0000-0000-000065630000}"/>
    <cellStyle name="Normal 10 3 2 4 3 3" xfId="25488" xr:uid="{00000000-0005-0000-0000-000066630000}"/>
    <cellStyle name="Normal 10 3 2 4 4" xfId="25489" xr:uid="{00000000-0005-0000-0000-000067630000}"/>
    <cellStyle name="Normal 10 3 2 4 5" xfId="25490" xr:uid="{00000000-0005-0000-0000-000068630000}"/>
    <cellStyle name="Normal 10 3 2 4 6" xfId="25491" xr:uid="{00000000-0005-0000-0000-000069630000}"/>
    <cellStyle name="Normal 10 3 2 5" xfId="25492" xr:uid="{00000000-0005-0000-0000-00006A630000}"/>
    <cellStyle name="Normal 10 3 2 5 2" xfId="25493" xr:uid="{00000000-0005-0000-0000-00006B630000}"/>
    <cellStyle name="Normal 10 3 2 5 2 2" xfId="25494" xr:uid="{00000000-0005-0000-0000-00006C630000}"/>
    <cellStyle name="Normal 10 3 2 5 2 3" xfId="25495" xr:uid="{00000000-0005-0000-0000-00006D630000}"/>
    <cellStyle name="Normal 10 3 2 5 3" xfId="25496" xr:uid="{00000000-0005-0000-0000-00006E630000}"/>
    <cellStyle name="Normal 10 3 2 5 4" xfId="25497" xr:uid="{00000000-0005-0000-0000-00006F630000}"/>
    <cellStyle name="Normal 10 3 2 6" xfId="25498" xr:uid="{00000000-0005-0000-0000-000070630000}"/>
    <cellStyle name="Normal 10 3 2 6 2" xfId="25499" xr:uid="{00000000-0005-0000-0000-000071630000}"/>
    <cellStyle name="Normal 10 3 2 6 3" xfId="25500" xr:uid="{00000000-0005-0000-0000-000072630000}"/>
    <cellStyle name="Normal 10 3 2 7" xfId="25501" xr:uid="{00000000-0005-0000-0000-000073630000}"/>
    <cellStyle name="Normal 10 3 2 8" xfId="25502" xr:uid="{00000000-0005-0000-0000-000074630000}"/>
    <cellStyle name="Normal 10 3 2 9" xfId="25503" xr:uid="{00000000-0005-0000-0000-000075630000}"/>
    <cellStyle name="Normal 10 3 3" xfId="25504" xr:uid="{00000000-0005-0000-0000-000076630000}"/>
    <cellStyle name="Normal 10 3 3 2" xfId="25505" xr:uid="{00000000-0005-0000-0000-000077630000}"/>
    <cellStyle name="Normal 10 3 3 2 2" xfId="25506" xr:uid="{00000000-0005-0000-0000-000078630000}"/>
    <cellStyle name="Normal 10 3 3 2 2 2" xfId="25507" xr:uid="{00000000-0005-0000-0000-000079630000}"/>
    <cellStyle name="Normal 10 3 3 2 2 2 2" xfId="25508" xr:uid="{00000000-0005-0000-0000-00007A630000}"/>
    <cellStyle name="Normal 10 3 3 2 2 2 2 2" xfId="25509" xr:uid="{00000000-0005-0000-0000-00007B630000}"/>
    <cellStyle name="Normal 10 3 3 2 2 2 2 3" xfId="25510" xr:uid="{00000000-0005-0000-0000-00007C630000}"/>
    <cellStyle name="Normal 10 3 3 2 2 2 3" xfId="25511" xr:uid="{00000000-0005-0000-0000-00007D630000}"/>
    <cellStyle name="Normal 10 3 3 2 2 2 4" xfId="25512" xr:uid="{00000000-0005-0000-0000-00007E630000}"/>
    <cellStyle name="Normal 10 3 3 2 2 3" xfId="25513" xr:uid="{00000000-0005-0000-0000-00007F630000}"/>
    <cellStyle name="Normal 10 3 3 2 2 3 2" xfId="25514" xr:uid="{00000000-0005-0000-0000-000080630000}"/>
    <cellStyle name="Normal 10 3 3 2 2 3 3" xfId="25515" xr:uid="{00000000-0005-0000-0000-000081630000}"/>
    <cellStyle name="Normal 10 3 3 2 2 4" xfId="25516" xr:uid="{00000000-0005-0000-0000-000082630000}"/>
    <cellStyle name="Normal 10 3 3 2 2 5" xfId="25517" xr:uid="{00000000-0005-0000-0000-000083630000}"/>
    <cellStyle name="Normal 10 3 3 2 2 6" xfId="25518" xr:uid="{00000000-0005-0000-0000-000084630000}"/>
    <cellStyle name="Normal 10 3 3 2 3" xfId="25519" xr:uid="{00000000-0005-0000-0000-000085630000}"/>
    <cellStyle name="Normal 10 3 3 2 3 2" xfId="25520" xr:uid="{00000000-0005-0000-0000-000086630000}"/>
    <cellStyle name="Normal 10 3 3 2 3 2 2" xfId="25521" xr:uid="{00000000-0005-0000-0000-000087630000}"/>
    <cellStyle name="Normal 10 3 3 2 3 2 3" xfId="25522" xr:uid="{00000000-0005-0000-0000-000088630000}"/>
    <cellStyle name="Normal 10 3 3 2 3 3" xfId="25523" xr:uid="{00000000-0005-0000-0000-000089630000}"/>
    <cellStyle name="Normal 10 3 3 2 3 4" xfId="25524" xr:uid="{00000000-0005-0000-0000-00008A630000}"/>
    <cellStyle name="Normal 10 3 3 2 4" xfId="25525" xr:uid="{00000000-0005-0000-0000-00008B630000}"/>
    <cellStyle name="Normal 10 3 3 2 4 2" xfId="25526" xr:uid="{00000000-0005-0000-0000-00008C630000}"/>
    <cellStyle name="Normal 10 3 3 2 4 3" xfId="25527" xr:uid="{00000000-0005-0000-0000-00008D630000}"/>
    <cellStyle name="Normal 10 3 3 2 5" xfId="25528" xr:uid="{00000000-0005-0000-0000-00008E630000}"/>
    <cellStyle name="Normal 10 3 3 2 6" xfId="25529" xr:uid="{00000000-0005-0000-0000-00008F630000}"/>
    <cellStyle name="Normal 10 3 3 2 7" xfId="25530" xr:uid="{00000000-0005-0000-0000-000090630000}"/>
    <cellStyle name="Normal 10 3 3 3" xfId="25531" xr:uid="{00000000-0005-0000-0000-000091630000}"/>
    <cellStyle name="Normal 10 3 3 3 2" xfId="25532" xr:uid="{00000000-0005-0000-0000-000092630000}"/>
    <cellStyle name="Normal 10 3 3 3 2 2" xfId="25533" xr:uid="{00000000-0005-0000-0000-000093630000}"/>
    <cellStyle name="Normal 10 3 3 3 2 2 2" xfId="25534" xr:uid="{00000000-0005-0000-0000-000094630000}"/>
    <cellStyle name="Normal 10 3 3 3 2 2 3" xfId="25535" xr:uid="{00000000-0005-0000-0000-000095630000}"/>
    <cellStyle name="Normal 10 3 3 3 2 3" xfId="25536" xr:uid="{00000000-0005-0000-0000-000096630000}"/>
    <cellStyle name="Normal 10 3 3 3 2 4" xfId="25537" xr:uid="{00000000-0005-0000-0000-000097630000}"/>
    <cellStyle name="Normal 10 3 3 3 3" xfId="25538" xr:uid="{00000000-0005-0000-0000-000098630000}"/>
    <cellStyle name="Normal 10 3 3 3 3 2" xfId="25539" xr:uid="{00000000-0005-0000-0000-000099630000}"/>
    <cellStyle name="Normal 10 3 3 3 3 3" xfId="25540" xr:uid="{00000000-0005-0000-0000-00009A630000}"/>
    <cellStyle name="Normal 10 3 3 3 4" xfId="25541" xr:uid="{00000000-0005-0000-0000-00009B630000}"/>
    <cellStyle name="Normal 10 3 3 3 5" xfId="25542" xr:uid="{00000000-0005-0000-0000-00009C630000}"/>
    <cellStyle name="Normal 10 3 3 3 6" xfId="25543" xr:uid="{00000000-0005-0000-0000-00009D630000}"/>
    <cellStyle name="Normal 10 3 3 4" xfId="25544" xr:uid="{00000000-0005-0000-0000-00009E630000}"/>
    <cellStyle name="Normal 10 3 3 4 2" xfId="25545" xr:uid="{00000000-0005-0000-0000-00009F630000}"/>
    <cellStyle name="Normal 10 3 3 4 2 2" xfId="25546" xr:uid="{00000000-0005-0000-0000-0000A0630000}"/>
    <cellStyle name="Normal 10 3 3 4 2 3" xfId="25547" xr:uid="{00000000-0005-0000-0000-0000A1630000}"/>
    <cellStyle name="Normal 10 3 3 4 3" xfId="25548" xr:uid="{00000000-0005-0000-0000-0000A2630000}"/>
    <cellStyle name="Normal 10 3 3 4 4" xfId="25549" xr:uid="{00000000-0005-0000-0000-0000A3630000}"/>
    <cellStyle name="Normal 10 3 3 5" xfId="25550" xr:uid="{00000000-0005-0000-0000-0000A4630000}"/>
    <cellStyle name="Normal 10 3 3 5 2" xfId="25551" xr:uid="{00000000-0005-0000-0000-0000A5630000}"/>
    <cellStyle name="Normal 10 3 3 5 3" xfId="25552" xr:uid="{00000000-0005-0000-0000-0000A6630000}"/>
    <cellStyle name="Normal 10 3 3 6" xfId="25553" xr:uid="{00000000-0005-0000-0000-0000A7630000}"/>
    <cellStyle name="Normal 10 3 3 7" xfId="25554" xr:uid="{00000000-0005-0000-0000-0000A8630000}"/>
    <cellStyle name="Normal 10 3 3 8" xfId="25555" xr:uid="{00000000-0005-0000-0000-0000A9630000}"/>
    <cellStyle name="Normal 10 3 4" xfId="25556" xr:uid="{00000000-0005-0000-0000-0000AA630000}"/>
    <cellStyle name="Normal 10 3 4 2" xfId="25557" xr:uid="{00000000-0005-0000-0000-0000AB630000}"/>
    <cellStyle name="Normal 10 3 4 2 2" xfId="25558" xr:uid="{00000000-0005-0000-0000-0000AC630000}"/>
    <cellStyle name="Normal 10 3 4 2 2 2" xfId="25559" xr:uid="{00000000-0005-0000-0000-0000AD630000}"/>
    <cellStyle name="Normal 10 3 4 2 2 2 2" xfId="25560" xr:uid="{00000000-0005-0000-0000-0000AE630000}"/>
    <cellStyle name="Normal 10 3 4 2 2 2 3" xfId="25561" xr:uid="{00000000-0005-0000-0000-0000AF630000}"/>
    <cellStyle name="Normal 10 3 4 2 2 3" xfId="25562" xr:uid="{00000000-0005-0000-0000-0000B0630000}"/>
    <cellStyle name="Normal 10 3 4 2 2 4" xfId="25563" xr:uid="{00000000-0005-0000-0000-0000B1630000}"/>
    <cellStyle name="Normal 10 3 4 2 3" xfId="25564" xr:uid="{00000000-0005-0000-0000-0000B2630000}"/>
    <cellStyle name="Normal 10 3 4 2 3 2" xfId="25565" xr:uid="{00000000-0005-0000-0000-0000B3630000}"/>
    <cellStyle name="Normal 10 3 4 2 3 3" xfId="25566" xr:uid="{00000000-0005-0000-0000-0000B4630000}"/>
    <cellStyle name="Normal 10 3 4 2 4" xfId="25567" xr:uid="{00000000-0005-0000-0000-0000B5630000}"/>
    <cellStyle name="Normal 10 3 4 2 5" xfId="25568" xr:uid="{00000000-0005-0000-0000-0000B6630000}"/>
    <cellStyle name="Normal 10 3 4 2 6" xfId="25569" xr:uid="{00000000-0005-0000-0000-0000B7630000}"/>
    <cellStyle name="Normal 10 3 4 3" xfId="25570" xr:uid="{00000000-0005-0000-0000-0000B8630000}"/>
    <cellStyle name="Normal 10 3 4 3 2" xfId="25571" xr:uid="{00000000-0005-0000-0000-0000B9630000}"/>
    <cellStyle name="Normal 10 3 4 3 2 2" xfId="25572" xr:uid="{00000000-0005-0000-0000-0000BA630000}"/>
    <cellStyle name="Normal 10 3 4 3 2 3" xfId="25573" xr:uid="{00000000-0005-0000-0000-0000BB630000}"/>
    <cellStyle name="Normal 10 3 4 3 3" xfId="25574" xr:uid="{00000000-0005-0000-0000-0000BC630000}"/>
    <cellStyle name="Normal 10 3 4 3 4" xfId="25575" xr:uid="{00000000-0005-0000-0000-0000BD630000}"/>
    <cellStyle name="Normal 10 3 4 4" xfId="25576" xr:uid="{00000000-0005-0000-0000-0000BE630000}"/>
    <cellStyle name="Normal 10 3 4 4 2" xfId="25577" xr:uid="{00000000-0005-0000-0000-0000BF630000}"/>
    <cellStyle name="Normal 10 3 4 4 3" xfId="25578" xr:uid="{00000000-0005-0000-0000-0000C0630000}"/>
    <cellStyle name="Normal 10 3 4 5" xfId="25579" xr:uid="{00000000-0005-0000-0000-0000C1630000}"/>
    <cellStyle name="Normal 10 3 4 6" xfId="25580" xr:uid="{00000000-0005-0000-0000-0000C2630000}"/>
    <cellStyle name="Normal 10 3 4 7" xfId="25581" xr:uid="{00000000-0005-0000-0000-0000C3630000}"/>
    <cellStyle name="Normal 10 3 5" xfId="25582" xr:uid="{00000000-0005-0000-0000-0000C4630000}"/>
    <cellStyle name="Normal 10 3 5 2" xfId="25583" xr:uid="{00000000-0005-0000-0000-0000C5630000}"/>
    <cellStyle name="Normal 10 3 5 2 2" xfId="25584" xr:uid="{00000000-0005-0000-0000-0000C6630000}"/>
    <cellStyle name="Normal 10 3 5 2 2 2" xfId="25585" xr:uid="{00000000-0005-0000-0000-0000C7630000}"/>
    <cellStyle name="Normal 10 3 5 2 2 3" xfId="25586" xr:uid="{00000000-0005-0000-0000-0000C8630000}"/>
    <cellStyle name="Normal 10 3 5 2 3" xfId="25587" xr:uid="{00000000-0005-0000-0000-0000C9630000}"/>
    <cellStyle name="Normal 10 3 5 2 4" xfId="25588" xr:uid="{00000000-0005-0000-0000-0000CA630000}"/>
    <cellStyle name="Normal 10 3 5 3" xfId="25589" xr:uid="{00000000-0005-0000-0000-0000CB630000}"/>
    <cellStyle name="Normal 10 3 5 3 2" xfId="25590" xr:uid="{00000000-0005-0000-0000-0000CC630000}"/>
    <cellStyle name="Normal 10 3 5 3 3" xfId="25591" xr:uid="{00000000-0005-0000-0000-0000CD630000}"/>
    <cellStyle name="Normal 10 3 5 4" xfId="25592" xr:uid="{00000000-0005-0000-0000-0000CE630000}"/>
    <cellStyle name="Normal 10 3 5 5" xfId="25593" xr:uid="{00000000-0005-0000-0000-0000CF630000}"/>
    <cellStyle name="Normal 10 3 5 6" xfId="25594" xr:uid="{00000000-0005-0000-0000-0000D0630000}"/>
    <cellStyle name="Normal 10 3 6" xfId="25595" xr:uid="{00000000-0005-0000-0000-0000D1630000}"/>
    <cellStyle name="Normal 10 3 6 2" xfId="25596" xr:uid="{00000000-0005-0000-0000-0000D2630000}"/>
    <cellStyle name="Normal 10 3 6 2 2" xfId="25597" xr:uid="{00000000-0005-0000-0000-0000D3630000}"/>
    <cellStyle name="Normal 10 3 6 2 3" xfId="25598" xr:uid="{00000000-0005-0000-0000-0000D4630000}"/>
    <cellStyle name="Normal 10 3 6 3" xfId="25599" xr:uid="{00000000-0005-0000-0000-0000D5630000}"/>
    <cellStyle name="Normal 10 3 6 4" xfId="25600" xr:uid="{00000000-0005-0000-0000-0000D6630000}"/>
    <cellStyle name="Normal 10 3 7" xfId="25601" xr:uid="{00000000-0005-0000-0000-0000D7630000}"/>
    <cellStyle name="Normal 10 3 7 2" xfId="25602" xr:uid="{00000000-0005-0000-0000-0000D8630000}"/>
    <cellStyle name="Normal 10 3 7 3" xfId="25603" xr:uid="{00000000-0005-0000-0000-0000D9630000}"/>
    <cellStyle name="Normal 10 3 8" xfId="25604" xr:uid="{00000000-0005-0000-0000-0000DA630000}"/>
    <cellStyle name="Normal 10 3 9" xfId="25605" xr:uid="{00000000-0005-0000-0000-0000DB630000}"/>
    <cellStyle name="Normal 10 4" xfId="25606" xr:uid="{00000000-0005-0000-0000-0000DC630000}"/>
    <cellStyle name="Normal 10 4 10" xfId="25607" xr:uid="{00000000-0005-0000-0000-0000DD630000}"/>
    <cellStyle name="Normal 10 4 2" xfId="25608" xr:uid="{00000000-0005-0000-0000-0000DE630000}"/>
    <cellStyle name="Normal 10 4 2 2" xfId="25609" xr:uid="{00000000-0005-0000-0000-0000DF630000}"/>
    <cellStyle name="Normal 10 4 2 2 2" xfId="25610" xr:uid="{00000000-0005-0000-0000-0000E0630000}"/>
    <cellStyle name="Normal 10 4 2 2 2 2" xfId="25611" xr:uid="{00000000-0005-0000-0000-0000E1630000}"/>
    <cellStyle name="Normal 10 4 2 2 2 2 2" xfId="25612" xr:uid="{00000000-0005-0000-0000-0000E2630000}"/>
    <cellStyle name="Normal 10 4 2 2 2 2 2 2" xfId="25613" xr:uid="{00000000-0005-0000-0000-0000E3630000}"/>
    <cellStyle name="Normal 10 4 2 2 2 2 2 2 2" xfId="25614" xr:uid="{00000000-0005-0000-0000-0000E4630000}"/>
    <cellStyle name="Normal 10 4 2 2 2 2 2 2 3" xfId="25615" xr:uid="{00000000-0005-0000-0000-0000E5630000}"/>
    <cellStyle name="Normal 10 4 2 2 2 2 2 3" xfId="25616" xr:uid="{00000000-0005-0000-0000-0000E6630000}"/>
    <cellStyle name="Normal 10 4 2 2 2 2 2 4" xfId="25617" xr:uid="{00000000-0005-0000-0000-0000E7630000}"/>
    <cellStyle name="Normal 10 4 2 2 2 2 3" xfId="25618" xr:uid="{00000000-0005-0000-0000-0000E8630000}"/>
    <cellStyle name="Normal 10 4 2 2 2 2 3 2" xfId="25619" xr:uid="{00000000-0005-0000-0000-0000E9630000}"/>
    <cellStyle name="Normal 10 4 2 2 2 2 3 3" xfId="25620" xr:uid="{00000000-0005-0000-0000-0000EA630000}"/>
    <cellStyle name="Normal 10 4 2 2 2 2 4" xfId="25621" xr:uid="{00000000-0005-0000-0000-0000EB630000}"/>
    <cellStyle name="Normal 10 4 2 2 2 2 5" xfId="25622" xr:uid="{00000000-0005-0000-0000-0000EC630000}"/>
    <cellStyle name="Normal 10 4 2 2 2 2 6" xfId="25623" xr:uid="{00000000-0005-0000-0000-0000ED630000}"/>
    <cellStyle name="Normal 10 4 2 2 2 3" xfId="25624" xr:uid="{00000000-0005-0000-0000-0000EE630000}"/>
    <cellStyle name="Normal 10 4 2 2 2 3 2" xfId="25625" xr:uid="{00000000-0005-0000-0000-0000EF630000}"/>
    <cellStyle name="Normal 10 4 2 2 2 3 2 2" xfId="25626" xr:uid="{00000000-0005-0000-0000-0000F0630000}"/>
    <cellStyle name="Normal 10 4 2 2 2 3 2 3" xfId="25627" xr:uid="{00000000-0005-0000-0000-0000F1630000}"/>
    <cellStyle name="Normal 10 4 2 2 2 3 3" xfId="25628" xr:uid="{00000000-0005-0000-0000-0000F2630000}"/>
    <cellStyle name="Normal 10 4 2 2 2 3 4" xfId="25629" xr:uid="{00000000-0005-0000-0000-0000F3630000}"/>
    <cellStyle name="Normal 10 4 2 2 2 4" xfId="25630" xr:uid="{00000000-0005-0000-0000-0000F4630000}"/>
    <cellStyle name="Normal 10 4 2 2 2 4 2" xfId="25631" xr:uid="{00000000-0005-0000-0000-0000F5630000}"/>
    <cellStyle name="Normal 10 4 2 2 2 4 3" xfId="25632" xr:uid="{00000000-0005-0000-0000-0000F6630000}"/>
    <cellStyle name="Normal 10 4 2 2 2 5" xfId="25633" xr:uid="{00000000-0005-0000-0000-0000F7630000}"/>
    <cellStyle name="Normal 10 4 2 2 2 6" xfId="25634" xr:uid="{00000000-0005-0000-0000-0000F8630000}"/>
    <cellStyle name="Normal 10 4 2 2 2 7" xfId="25635" xr:uid="{00000000-0005-0000-0000-0000F9630000}"/>
    <cellStyle name="Normal 10 4 2 2 3" xfId="25636" xr:uid="{00000000-0005-0000-0000-0000FA630000}"/>
    <cellStyle name="Normal 10 4 2 2 3 2" xfId="25637" xr:uid="{00000000-0005-0000-0000-0000FB630000}"/>
    <cellStyle name="Normal 10 4 2 2 3 2 2" xfId="25638" xr:uid="{00000000-0005-0000-0000-0000FC630000}"/>
    <cellStyle name="Normal 10 4 2 2 3 2 2 2" xfId="25639" xr:uid="{00000000-0005-0000-0000-0000FD630000}"/>
    <cellStyle name="Normal 10 4 2 2 3 2 2 3" xfId="25640" xr:uid="{00000000-0005-0000-0000-0000FE630000}"/>
    <cellStyle name="Normal 10 4 2 2 3 2 3" xfId="25641" xr:uid="{00000000-0005-0000-0000-0000FF630000}"/>
    <cellStyle name="Normal 10 4 2 2 3 2 4" xfId="25642" xr:uid="{00000000-0005-0000-0000-000000640000}"/>
    <cellStyle name="Normal 10 4 2 2 3 3" xfId="25643" xr:uid="{00000000-0005-0000-0000-000001640000}"/>
    <cellStyle name="Normal 10 4 2 2 3 3 2" xfId="25644" xr:uid="{00000000-0005-0000-0000-000002640000}"/>
    <cellStyle name="Normal 10 4 2 2 3 3 3" xfId="25645" xr:uid="{00000000-0005-0000-0000-000003640000}"/>
    <cellStyle name="Normal 10 4 2 2 3 4" xfId="25646" xr:uid="{00000000-0005-0000-0000-000004640000}"/>
    <cellStyle name="Normal 10 4 2 2 3 5" xfId="25647" xr:uid="{00000000-0005-0000-0000-000005640000}"/>
    <cellStyle name="Normal 10 4 2 2 3 6" xfId="25648" xr:uid="{00000000-0005-0000-0000-000006640000}"/>
    <cellStyle name="Normal 10 4 2 2 4" xfId="25649" xr:uid="{00000000-0005-0000-0000-000007640000}"/>
    <cellStyle name="Normal 10 4 2 2 4 2" xfId="25650" xr:uid="{00000000-0005-0000-0000-000008640000}"/>
    <cellStyle name="Normal 10 4 2 2 4 2 2" xfId="25651" xr:uid="{00000000-0005-0000-0000-000009640000}"/>
    <cellStyle name="Normal 10 4 2 2 4 2 3" xfId="25652" xr:uid="{00000000-0005-0000-0000-00000A640000}"/>
    <cellStyle name="Normal 10 4 2 2 4 3" xfId="25653" xr:uid="{00000000-0005-0000-0000-00000B640000}"/>
    <cellStyle name="Normal 10 4 2 2 4 4" xfId="25654" xr:uid="{00000000-0005-0000-0000-00000C640000}"/>
    <cellStyle name="Normal 10 4 2 2 5" xfId="25655" xr:uid="{00000000-0005-0000-0000-00000D640000}"/>
    <cellStyle name="Normal 10 4 2 2 5 2" xfId="25656" xr:uid="{00000000-0005-0000-0000-00000E640000}"/>
    <cellStyle name="Normal 10 4 2 2 5 3" xfId="25657" xr:uid="{00000000-0005-0000-0000-00000F640000}"/>
    <cellStyle name="Normal 10 4 2 2 6" xfId="25658" xr:uid="{00000000-0005-0000-0000-000010640000}"/>
    <cellStyle name="Normal 10 4 2 2 7" xfId="25659" xr:uid="{00000000-0005-0000-0000-000011640000}"/>
    <cellStyle name="Normal 10 4 2 2 8" xfId="25660" xr:uid="{00000000-0005-0000-0000-000012640000}"/>
    <cellStyle name="Normal 10 4 2 3" xfId="25661" xr:uid="{00000000-0005-0000-0000-000013640000}"/>
    <cellStyle name="Normal 10 4 2 3 2" xfId="25662" xr:uid="{00000000-0005-0000-0000-000014640000}"/>
    <cellStyle name="Normal 10 4 2 3 2 2" xfId="25663" xr:uid="{00000000-0005-0000-0000-000015640000}"/>
    <cellStyle name="Normal 10 4 2 3 2 2 2" xfId="25664" xr:uid="{00000000-0005-0000-0000-000016640000}"/>
    <cellStyle name="Normal 10 4 2 3 2 2 2 2" xfId="25665" xr:uid="{00000000-0005-0000-0000-000017640000}"/>
    <cellStyle name="Normal 10 4 2 3 2 2 2 3" xfId="25666" xr:uid="{00000000-0005-0000-0000-000018640000}"/>
    <cellStyle name="Normal 10 4 2 3 2 2 3" xfId="25667" xr:uid="{00000000-0005-0000-0000-000019640000}"/>
    <cellStyle name="Normal 10 4 2 3 2 2 4" xfId="25668" xr:uid="{00000000-0005-0000-0000-00001A640000}"/>
    <cellStyle name="Normal 10 4 2 3 2 3" xfId="25669" xr:uid="{00000000-0005-0000-0000-00001B640000}"/>
    <cellStyle name="Normal 10 4 2 3 2 3 2" xfId="25670" xr:uid="{00000000-0005-0000-0000-00001C640000}"/>
    <cellStyle name="Normal 10 4 2 3 2 3 3" xfId="25671" xr:uid="{00000000-0005-0000-0000-00001D640000}"/>
    <cellStyle name="Normal 10 4 2 3 2 4" xfId="25672" xr:uid="{00000000-0005-0000-0000-00001E640000}"/>
    <cellStyle name="Normal 10 4 2 3 2 5" xfId="25673" xr:uid="{00000000-0005-0000-0000-00001F640000}"/>
    <cellStyle name="Normal 10 4 2 3 2 6" xfId="25674" xr:uid="{00000000-0005-0000-0000-000020640000}"/>
    <cellStyle name="Normal 10 4 2 3 3" xfId="25675" xr:uid="{00000000-0005-0000-0000-000021640000}"/>
    <cellStyle name="Normal 10 4 2 3 3 2" xfId="25676" xr:uid="{00000000-0005-0000-0000-000022640000}"/>
    <cellStyle name="Normal 10 4 2 3 3 2 2" xfId="25677" xr:uid="{00000000-0005-0000-0000-000023640000}"/>
    <cellStyle name="Normal 10 4 2 3 3 2 3" xfId="25678" xr:uid="{00000000-0005-0000-0000-000024640000}"/>
    <cellStyle name="Normal 10 4 2 3 3 3" xfId="25679" xr:uid="{00000000-0005-0000-0000-000025640000}"/>
    <cellStyle name="Normal 10 4 2 3 3 4" xfId="25680" xr:uid="{00000000-0005-0000-0000-000026640000}"/>
    <cellStyle name="Normal 10 4 2 3 4" xfId="25681" xr:uid="{00000000-0005-0000-0000-000027640000}"/>
    <cellStyle name="Normal 10 4 2 3 4 2" xfId="25682" xr:uid="{00000000-0005-0000-0000-000028640000}"/>
    <cellStyle name="Normal 10 4 2 3 4 3" xfId="25683" xr:uid="{00000000-0005-0000-0000-000029640000}"/>
    <cellStyle name="Normal 10 4 2 3 5" xfId="25684" xr:uid="{00000000-0005-0000-0000-00002A640000}"/>
    <cellStyle name="Normal 10 4 2 3 6" xfId="25685" xr:uid="{00000000-0005-0000-0000-00002B640000}"/>
    <cellStyle name="Normal 10 4 2 3 7" xfId="25686" xr:uid="{00000000-0005-0000-0000-00002C640000}"/>
    <cellStyle name="Normal 10 4 2 4" xfId="25687" xr:uid="{00000000-0005-0000-0000-00002D640000}"/>
    <cellStyle name="Normal 10 4 2 4 2" xfId="25688" xr:uid="{00000000-0005-0000-0000-00002E640000}"/>
    <cellStyle name="Normal 10 4 2 4 2 2" xfId="25689" xr:uid="{00000000-0005-0000-0000-00002F640000}"/>
    <cellStyle name="Normal 10 4 2 4 2 2 2" xfId="25690" xr:uid="{00000000-0005-0000-0000-000030640000}"/>
    <cellStyle name="Normal 10 4 2 4 2 2 3" xfId="25691" xr:uid="{00000000-0005-0000-0000-000031640000}"/>
    <cellStyle name="Normal 10 4 2 4 2 3" xfId="25692" xr:uid="{00000000-0005-0000-0000-000032640000}"/>
    <cellStyle name="Normal 10 4 2 4 2 4" xfId="25693" xr:uid="{00000000-0005-0000-0000-000033640000}"/>
    <cellStyle name="Normal 10 4 2 4 3" xfId="25694" xr:uid="{00000000-0005-0000-0000-000034640000}"/>
    <cellStyle name="Normal 10 4 2 4 3 2" xfId="25695" xr:uid="{00000000-0005-0000-0000-000035640000}"/>
    <cellStyle name="Normal 10 4 2 4 3 3" xfId="25696" xr:uid="{00000000-0005-0000-0000-000036640000}"/>
    <cellStyle name="Normal 10 4 2 4 4" xfId="25697" xr:uid="{00000000-0005-0000-0000-000037640000}"/>
    <cellStyle name="Normal 10 4 2 4 5" xfId="25698" xr:uid="{00000000-0005-0000-0000-000038640000}"/>
    <cellStyle name="Normal 10 4 2 4 6" xfId="25699" xr:uid="{00000000-0005-0000-0000-000039640000}"/>
    <cellStyle name="Normal 10 4 2 5" xfId="25700" xr:uid="{00000000-0005-0000-0000-00003A640000}"/>
    <cellStyle name="Normal 10 4 2 5 2" xfId="25701" xr:uid="{00000000-0005-0000-0000-00003B640000}"/>
    <cellStyle name="Normal 10 4 2 5 2 2" xfId="25702" xr:uid="{00000000-0005-0000-0000-00003C640000}"/>
    <cellStyle name="Normal 10 4 2 5 2 3" xfId="25703" xr:uid="{00000000-0005-0000-0000-00003D640000}"/>
    <cellStyle name="Normal 10 4 2 5 3" xfId="25704" xr:uid="{00000000-0005-0000-0000-00003E640000}"/>
    <cellStyle name="Normal 10 4 2 5 4" xfId="25705" xr:uid="{00000000-0005-0000-0000-00003F640000}"/>
    <cellStyle name="Normal 10 4 2 6" xfId="25706" xr:uid="{00000000-0005-0000-0000-000040640000}"/>
    <cellStyle name="Normal 10 4 2 6 2" xfId="25707" xr:uid="{00000000-0005-0000-0000-000041640000}"/>
    <cellStyle name="Normal 10 4 2 6 3" xfId="25708" xr:uid="{00000000-0005-0000-0000-000042640000}"/>
    <cellStyle name="Normal 10 4 2 7" xfId="25709" xr:uid="{00000000-0005-0000-0000-000043640000}"/>
    <cellStyle name="Normal 10 4 2 8" xfId="25710" xr:uid="{00000000-0005-0000-0000-000044640000}"/>
    <cellStyle name="Normal 10 4 2 9" xfId="25711" xr:uid="{00000000-0005-0000-0000-000045640000}"/>
    <cellStyle name="Normal 10 4 3" xfId="25712" xr:uid="{00000000-0005-0000-0000-000046640000}"/>
    <cellStyle name="Normal 10 4 3 2" xfId="25713" xr:uid="{00000000-0005-0000-0000-000047640000}"/>
    <cellStyle name="Normal 10 4 3 2 2" xfId="25714" xr:uid="{00000000-0005-0000-0000-000048640000}"/>
    <cellStyle name="Normal 10 4 3 2 2 2" xfId="25715" xr:uid="{00000000-0005-0000-0000-000049640000}"/>
    <cellStyle name="Normal 10 4 3 2 2 2 2" xfId="25716" xr:uid="{00000000-0005-0000-0000-00004A640000}"/>
    <cellStyle name="Normal 10 4 3 2 2 2 2 2" xfId="25717" xr:uid="{00000000-0005-0000-0000-00004B640000}"/>
    <cellStyle name="Normal 10 4 3 2 2 2 2 3" xfId="25718" xr:uid="{00000000-0005-0000-0000-00004C640000}"/>
    <cellStyle name="Normal 10 4 3 2 2 2 3" xfId="25719" xr:uid="{00000000-0005-0000-0000-00004D640000}"/>
    <cellStyle name="Normal 10 4 3 2 2 2 4" xfId="25720" xr:uid="{00000000-0005-0000-0000-00004E640000}"/>
    <cellStyle name="Normal 10 4 3 2 2 3" xfId="25721" xr:uid="{00000000-0005-0000-0000-00004F640000}"/>
    <cellStyle name="Normal 10 4 3 2 2 3 2" xfId="25722" xr:uid="{00000000-0005-0000-0000-000050640000}"/>
    <cellStyle name="Normal 10 4 3 2 2 3 3" xfId="25723" xr:uid="{00000000-0005-0000-0000-000051640000}"/>
    <cellStyle name="Normal 10 4 3 2 2 4" xfId="25724" xr:uid="{00000000-0005-0000-0000-000052640000}"/>
    <cellStyle name="Normal 10 4 3 2 2 5" xfId="25725" xr:uid="{00000000-0005-0000-0000-000053640000}"/>
    <cellStyle name="Normal 10 4 3 2 2 6" xfId="25726" xr:uid="{00000000-0005-0000-0000-000054640000}"/>
    <cellStyle name="Normal 10 4 3 2 3" xfId="25727" xr:uid="{00000000-0005-0000-0000-000055640000}"/>
    <cellStyle name="Normal 10 4 3 2 3 2" xfId="25728" xr:uid="{00000000-0005-0000-0000-000056640000}"/>
    <cellStyle name="Normal 10 4 3 2 3 2 2" xfId="25729" xr:uid="{00000000-0005-0000-0000-000057640000}"/>
    <cellStyle name="Normal 10 4 3 2 3 2 3" xfId="25730" xr:uid="{00000000-0005-0000-0000-000058640000}"/>
    <cellStyle name="Normal 10 4 3 2 3 3" xfId="25731" xr:uid="{00000000-0005-0000-0000-000059640000}"/>
    <cellStyle name="Normal 10 4 3 2 3 4" xfId="25732" xr:uid="{00000000-0005-0000-0000-00005A640000}"/>
    <cellStyle name="Normal 10 4 3 2 4" xfId="25733" xr:uid="{00000000-0005-0000-0000-00005B640000}"/>
    <cellStyle name="Normal 10 4 3 2 4 2" xfId="25734" xr:uid="{00000000-0005-0000-0000-00005C640000}"/>
    <cellStyle name="Normal 10 4 3 2 4 3" xfId="25735" xr:uid="{00000000-0005-0000-0000-00005D640000}"/>
    <cellStyle name="Normal 10 4 3 2 5" xfId="25736" xr:uid="{00000000-0005-0000-0000-00005E640000}"/>
    <cellStyle name="Normal 10 4 3 2 6" xfId="25737" xr:uid="{00000000-0005-0000-0000-00005F640000}"/>
    <cellStyle name="Normal 10 4 3 2 7" xfId="25738" xr:uid="{00000000-0005-0000-0000-000060640000}"/>
    <cellStyle name="Normal 10 4 3 3" xfId="25739" xr:uid="{00000000-0005-0000-0000-000061640000}"/>
    <cellStyle name="Normal 10 4 3 3 2" xfId="25740" xr:uid="{00000000-0005-0000-0000-000062640000}"/>
    <cellStyle name="Normal 10 4 3 3 2 2" xfId="25741" xr:uid="{00000000-0005-0000-0000-000063640000}"/>
    <cellStyle name="Normal 10 4 3 3 2 2 2" xfId="25742" xr:uid="{00000000-0005-0000-0000-000064640000}"/>
    <cellStyle name="Normal 10 4 3 3 2 2 3" xfId="25743" xr:uid="{00000000-0005-0000-0000-000065640000}"/>
    <cellStyle name="Normal 10 4 3 3 2 3" xfId="25744" xr:uid="{00000000-0005-0000-0000-000066640000}"/>
    <cellStyle name="Normal 10 4 3 3 2 4" xfId="25745" xr:uid="{00000000-0005-0000-0000-000067640000}"/>
    <cellStyle name="Normal 10 4 3 3 3" xfId="25746" xr:uid="{00000000-0005-0000-0000-000068640000}"/>
    <cellStyle name="Normal 10 4 3 3 3 2" xfId="25747" xr:uid="{00000000-0005-0000-0000-000069640000}"/>
    <cellStyle name="Normal 10 4 3 3 3 3" xfId="25748" xr:uid="{00000000-0005-0000-0000-00006A640000}"/>
    <cellStyle name="Normal 10 4 3 3 4" xfId="25749" xr:uid="{00000000-0005-0000-0000-00006B640000}"/>
    <cellStyle name="Normal 10 4 3 3 5" xfId="25750" xr:uid="{00000000-0005-0000-0000-00006C640000}"/>
    <cellStyle name="Normal 10 4 3 3 6" xfId="25751" xr:uid="{00000000-0005-0000-0000-00006D640000}"/>
    <cellStyle name="Normal 10 4 3 4" xfId="25752" xr:uid="{00000000-0005-0000-0000-00006E640000}"/>
    <cellStyle name="Normal 10 4 3 4 2" xfId="25753" xr:uid="{00000000-0005-0000-0000-00006F640000}"/>
    <cellStyle name="Normal 10 4 3 4 2 2" xfId="25754" xr:uid="{00000000-0005-0000-0000-000070640000}"/>
    <cellStyle name="Normal 10 4 3 4 2 3" xfId="25755" xr:uid="{00000000-0005-0000-0000-000071640000}"/>
    <cellStyle name="Normal 10 4 3 4 3" xfId="25756" xr:uid="{00000000-0005-0000-0000-000072640000}"/>
    <cellStyle name="Normal 10 4 3 4 4" xfId="25757" xr:uid="{00000000-0005-0000-0000-000073640000}"/>
    <cellStyle name="Normal 10 4 3 5" xfId="25758" xr:uid="{00000000-0005-0000-0000-000074640000}"/>
    <cellStyle name="Normal 10 4 3 5 2" xfId="25759" xr:uid="{00000000-0005-0000-0000-000075640000}"/>
    <cellStyle name="Normal 10 4 3 5 3" xfId="25760" xr:uid="{00000000-0005-0000-0000-000076640000}"/>
    <cellStyle name="Normal 10 4 3 6" xfId="25761" xr:uid="{00000000-0005-0000-0000-000077640000}"/>
    <cellStyle name="Normal 10 4 3 7" xfId="25762" xr:uid="{00000000-0005-0000-0000-000078640000}"/>
    <cellStyle name="Normal 10 4 3 8" xfId="25763" xr:uid="{00000000-0005-0000-0000-000079640000}"/>
    <cellStyle name="Normal 10 4 4" xfId="25764" xr:uid="{00000000-0005-0000-0000-00007A640000}"/>
    <cellStyle name="Normal 10 4 4 2" xfId="25765" xr:uid="{00000000-0005-0000-0000-00007B640000}"/>
    <cellStyle name="Normal 10 4 4 2 2" xfId="25766" xr:uid="{00000000-0005-0000-0000-00007C640000}"/>
    <cellStyle name="Normal 10 4 4 2 2 2" xfId="25767" xr:uid="{00000000-0005-0000-0000-00007D640000}"/>
    <cellStyle name="Normal 10 4 4 2 2 2 2" xfId="25768" xr:uid="{00000000-0005-0000-0000-00007E640000}"/>
    <cellStyle name="Normal 10 4 4 2 2 2 3" xfId="25769" xr:uid="{00000000-0005-0000-0000-00007F640000}"/>
    <cellStyle name="Normal 10 4 4 2 2 3" xfId="25770" xr:uid="{00000000-0005-0000-0000-000080640000}"/>
    <cellStyle name="Normal 10 4 4 2 2 4" xfId="25771" xr:uid="{00000000-0005-0000-0000-000081640000}"/>
    <cellStyle name="Normal 10 4 4 2 3" xfId="25772" xr:uid="{00000000-0005-0000-0000-000082640000}"/>
    <cellStyle name="Normal 10 4 4 2 3 2" xfId="25773" xr:uid="{00000000-0005-0000-0000-000083640000}"/>
    <cellStyle name="Normal 10 4 4 2 3 3" xfId="25774" xr:uid="{00000000-0005-0000-0000-000084640000}"/>
    <cellStyle name="Normal 10 4 4 2 4" xfId="25775" xr:uid="{00000000-0005-0000-0000-000085640000}"/>
    <cellStyle name="Normal 10 4 4 2 5" xfId="25776" xr:uid="{00000000-0005-0000-0000-000086640000}"/>
    <cellStyle name="Normal 10 4 4 2 6" xfId="25777" xr:uid="{00000000-0005-0000-0000-000087640000}"/>
    <cellStyle name="Normal 10 4 4 3" xfId="25778" xr:uid="{00000000-0005-0000-0000-000088640000}"/>
    <cellStyle name="Normal 10 4 4 3 2" xfId="25779" xr:uid="{00000000-0005-0000-0000-000089640000}"/>
    <cellStyle name="Normal 10 4 4 3 2 2" xfId="25780" xr:uid="{00000000-0005-0000-0000-00008A640000}"/>
    <cellStyle name="Normal 10 4 4 3 2 3" xfId="25781" xr:uid="{00000000-0005-0000-0000-00008B640000}"/>
    <cellStyle name="Normal 10 4 4 3 3" xfId="25782" xr:uid="{00000000-0005-0000-0000-00008C640000}"/>
    <cellStyle name="Normal 10 4 4 3 4" xfId="25783" xr:uid="{00000000-0005-0000-0000-00008D640000}"/>
    <cellStyle name="Normal 10 4 4 4" xfId="25784" xr:uid="{00000000-0005-0000-0000-00008E640000}"/>
    <cellStyle name="Normal 10 4 4 4 2" xfId="25785" xr:uid="{00000000-0005-0000-0000-00008F640000}"/>
    <cellStyle name="Normal 10 4 4 4 3" xfId="25786" xr:uid="{00000000-0005-0000-0000-000090640000}"/>
    <cellStyle name="Normal 10 4 4 5" xfId="25787" xr:uid="{00000000-0005-0000-0000-000091640000}"/>
    <cellStyle name="Normal 10 4 4 6" xfId="25788" xr:uid="{00000000-0005-0000-0000-000092640000}"/>
    <cellStyle name="Normal 10 4 4 7" xfId="25789" xr:uid="{00000000-0005-0000-0000-000093640000}"/>
    <cellStyle name="Normal 10 4 5" xfId="25790" xr:uid="{00000000-0005-0000-0000-000094640000}"/>
    <cellStyle name="Normal 10 4 5 2" xfId="25791" xr:uid="{00000000-0005-0000-0000-000095640000}"/>
    <cellStyle name="Normal 10 4 5 2 2" xfId="25792" xr:uid="{00000000-0005-0000-0000-000096640000}"/>
    <cellStyle name="Normal 10 4 5 2 2 2" xfId="25793" xr:uid="{00000000-0005-0000-0000-000097640000}"/>
    <cellStyle name="Normal 10 4 5 2 2 3" xfId="25794" xr:uid="{00000000-0005-0000-0000-000098640000}"/>
    <cellStyle name="Normal 10 4 5 2 3" xfId="25795" xr:uid="{00000000-0005-0000-0000-000099640000}"/>
    <cellStyle name="Normal 10 4 5 2 4" xfId="25796" xr:uid="{00000000-0005-0000-0000-00009A640000}"/>
    <cellStyle name="Normal 10 4 5 3" xfId="25797" xr:uid="{00000000-0005-0000-0000-00009B640000}"/>
    <cellStyle name="Normal 10 4 5 3 2" xfId="25798" xr:uid="{00000000-0005-0000-0000-00009C640000}"/>
    <cellStyle name="Normal 10 4 5 3 3" xfId="25799" xr:uid="{00000000-0005-0000-0000-00009D640000}"/>
    <cellStyle name="Normal 10 4 5 4" xfId="25800" xr:uid="{00000000-0005-0000-0000-00009E640000}"/>
    <cellStyle name="Normal 10 4 5 5" xfId="25801" xr:uid="{00000000-0005-0000-0000-00009F640000}"/>
    <cellStyle name="Normal 10 4 5 6" xfId="25802" xr:uid="{00000000-0005-0000-0000-0000A0640000}"/>
    <cellStyle name="Normal 10 4 6" xfId="25803" xr:uid="{00000000-0005-0000-0000-0000A1640000}"/>
    <cellStyle name="Normal 10 4 6 2" xfId="25804" xr:uid="{00000000-0005-0000-0000-0000A2640000}"/>
    <cellStyle name="Normal 10 4 6 2 2" xfId="25805" xr:uid="{00000000-0005-0000-0000-0000A3640000}"/>
    <cellStyle name="Normal 10 4 6 2 3" xfId="25806" xr:uid="{00000000-0005-0000-0000-0000A4640000}"/>
    <cellStyle name="Normal 10 4 6 3" xfId="25807" xr:uid="{00000000-0005-0000-0000-0000A5640000}"/>
    <cellStyle name="Normal 10 4 6 4" xfId="25808" xr:uid="{00000000-0005-0000-0000-0000A6640000}"/>
    <cellStyle name="Normal 10 4 7" xfId="25809" xr:uid="{00000000-0005-0000-0000-0000A7640000}"/>
    <cellStyle name="Normal 10 4 7 2" xfId="25810" xr:uid="{00000000-0005-0000-0000-0000A8640000}"/>
    <cellStyle name="Normal 10 4 7 3" xfId="25811" xr:uid="{00000000-0005-0000-0000-0000A9640000}"/>
    <cellStyle name="Normal 10 4 8" xfId="25812" xr:uid="{00000000-0005-0000-0000-0000AA640000}"/>
    <cellStyle name="Normal 10 4 9" xfId="25813" xr:uid="{00000000-0005-0000-0000-0000AB640000}"/>
    <cellStyle name="Normal 10 5" xfId="25814" xr:uid="{00000000-0005-0000-0000-0000AC640000}"/>
    <cellStyle name="Normal 10 5 2" xfId="25815" xr:uid="{00000000-0005-0000-0000-0000AD640000}"/>
    <cellStyle name="Normal 10 5 2 2" xfId="25816" xr:uid="{00000000-0005-0000-0000-0000AE640000}"/>
    <cellStyle name="Normal 10 5 2 2 2" xfId="25817" xr:uid="{00000000-0005-0000-0000-0000AF640000}"/>
    <cellStyle name="Normal 10 5 2 2 2 2" xfId="25818" xr:uid="{00000000-0005-0000-0000-0000B0640000}"/>
    <cellStyle name="Normal 10 5 2 2 2 2 2" xfId="25819" xr:uid="{00000000-0005-0000-0000-0000B1640000}"/>
    <cellStyle name="Normal 10 5 2 2 2 2 2 2" xfId="25820" xr:uid="{00000000-0005-0000-0000-0000B2640000}"/>
    <cellStyle name="Normal 10 5 2 2 2 2 2 3" xfId="25821" xr:uid="{00000000-0005-0000-0000-0000B3640000}"/>
    <cellStyle name="Normal 10 5 2 2 2 2 3" xfId="25822" xr:uid="{00000000-0005-0000-0000-0000B4640000}"/>
    <cellStyle name="Normal 10 5 2 2 2 2 4" xfId="25823" xr:uid="{00000000-0005-0000-0000-0000B5640000}"/>
    <cellStyle name="Normal 10 5 2 2 2 3" xfId="25824" xr:uid="{00000000-0005-0000-0000-0000B6640000}"/>
    <cellStyle name="Normal 10 5 2 2 2 3 2" xfId="25825" xr:uid="{00000000-0005-0000-0000-0000B7640000}"/>
    <cellStyle name="Normal 10 5 2 2 2 3 3" xfId="25826" xr:uid="{00000000-0005-0000-0000-0000B8640000}"/>
    <cellStyle name="Normal 10 5 2 2 2 4" xfId="25827" xr:uid="{00000000-0005-0000-0000-0000B9640000}"/>
    <cellStyle name="Normal 10 5 2 2 2 5" xfId="25828" xr:uid="{00000000-0005-0000-0000-0000BA640000}"/>
    <cellStyle name="Normal 10 5 2 2 2 6" xfId="25829" xr:uid="{00000000-0005-0000-0000-0000BB640000}"/>
    <cellStyle name="Normal 10 5 2 2 3" xfId="25830" xr:uid="{00000000-0005-0000-0000-0000BC640000}"/>
    <cellStyle name="Normal 10 5 2 2 3 2" xfId="25831" xr:uid="{00000000-0005-0000-0000-0000BD640000}"/>
    <cellStyle name="Normal 10 5 2 2 3 2 2" xfId="25832" xr:uid="{00000000-0005-0000-0000-0000BE640000}"/>
    <cellStyle name="Normal 10 5 2 2 3 2 3" xfId="25833" xr:uid="{00000000-0005-0000-0000-0000BF640000}"/>
    <cellStyle name="Normal 10 5 2 2 3 3" xfId="25834" xr:uid="{00000000-0005-0000-0000-0000C0640000}"/>
    <cellStyle name="Normal 10 5 2 2 3 4" xfId="25835" xr:uid="{00000000-0005-0000-0000-0000C1640000}"/>
    <cellStyle name="Normal 10 5 2 2 4" xfId="25836" xr:uid="{00000000-0005-0000-0000-0000C2640000}"/>
    <cellStyle name="Normal 10 5 2 2 4 2" xfId="25837" xr:uid="{00000000-0005-0000-0000-0000C3640000}"/>
    <cellStyle name="Normal 10 5 2 2 4 3" xfId="25838" xr:uid="{00000000-0005-0000-0000-0000C4640000}"/>
    <cellStyle name="Normal 10 5 2 2 5" xfId="25839" xr:uid="{00000000-0005-0000-0000-0000C5640000}"/>
    <cellStyle name="Normal 10 5 2 2 6" xfId="25840" xr:uid="{00000000-0005-0000-0000-0000C6640000}"/>
    <cellStyle name="Normal 10 5 2 2 7" xfId="25841" xr:uid="{00000000-0005-0000-0000-0000C7640000}"/>
    <cellStyle name="Normal 10 5 2 3" xfId="25842" xr:uid="{00000000-0005-0000-0000-0000C8640000}"/>
    <cellStyle name="Normal 10 5 2 3 2" xfId="25843" xr:uid="{00000000-0005-0000-0000-0000C9640000}"/>
    <cellStyle name="Normal 10 5 2 3 2 2" xfId="25844" xr:uid="{00000000-0005-0000-0000-0000CA640000}"/>
    <cellStyle name="Normal 10 5 2 3 2 2 2" xfId="25845" xr:uid="{00000000-0005-0000-0000-0000CB640000}"/>
    <cellStyle name="Normal 10 5 2 3 2 2 3" xfId="25846" xr:uid="{00000000-0005-0000-0000-0000CC640000}"/>
    <cellStyle name="Normal 10 5 2 3 2 3" xfId="25847" xr:uid="{00000000-0005-0000-0000-0000CD640000}"/>
    <cellStyle name="Normal 10 5 2 3 2 4" xfId="25848" xr:uid="{00000000-0005-0000-0000-0000CE640000}"/>
    <cellStyle name="Normal 10 5 2 3 3" xfId="25849" xr:uid="{00000000-0005-0000-0000-0000CF640000}"/>
    <cellStyle name="Normal 10 5 2 3 3 2" xfId="25850" xr:uid="{00000000-0005-0000-0000-0000D0640000}"/>
    <cellStyle name="Normal 10 5 2 3 3 3" xfId="25851" xr:uid="{00000000-0005-0000-0000-0000D1640000}"/>
    <cellStyle name="Normal 10 5 2 3 4" xfId="25852" xr:uid="{00000000-0005-0000-0000-0000D2640000}"/>
    <cellStyle name="Normal 10 5 2 3 5" xfId="25853" xr:uid="{00000000-0005-0000-0000-0000D3640000}"/>
    <cellStyle name="Normal 10 5 2 3 6" xfId="25854" xr:uid="{00000000-0005-0000-0000-0000D4640000}"/>
    <cellStyle name="Normal 10 5 2 4" xfId="25855" xr:uid="{00000000-0005-0000-0000-0000D5640000}"/>
    <cellStyle name="Normal 10 5 2 4 2" xfId="25856" xr:uid="{00000000-0005-0000-0000-0000D6640000}"/>
    <cellStyle name="Normal 10 5 2 4 2 2" xfId="25857" xr:uid="{00000000-0005-0000-0000-0000D7640000}"/>
    <cellStyle name="Normal 10 5 2 4 2 3" xfId="25858" xr:uid="{00000000-0005-0000-0000-0000D8640000}"/>
    <cellStyle name="Normal 10 5 2 4 3" xfId="25859" xr:uid="{00000000-0005-0000-0000-0000D9640000}"/>
    <cellStyle name="Normal 10 5 2 4 4" xfId="25860" xr:uid="{00000000-0005-0000-0000-0000DA640000}"/>
    <cellStyle name="Normal 10 5 2 5" xfId="25861" xr:uid="{00000000-0005-0000-0000-0000DB640000}"/>
    <cellStyle name="Normal 10 5 2 5 2" xfId="25862" xr:uid="{00000000-0005-0000-0000-0000DC640000}"/>
    <cellStyle name="Normal 10 5 2 5 3" xfId="25863" xr:uid="{00000000-0005-0000-0000-0000DD640000}"/>
    <cellStyle name="Normal 10 5 2 6" xfId="25864" xr:uid="{00000000-0005-0000-0000-0000DE640000}"/>
    <cellStyle name="Normal 10 5 2 7" xfId="25865" xr:uid="{00000000-0005-0000-0000-0000DF640000}"/>
    <cellStyle name="Normal 10 5 2 8" xfId="25866" xr:uid="{00000000-0005-0000-0000-0000E0640000}"/>
    <cellStyle name="Normal 10 5 3" xfId="25867" xr:uid="{00000000-0005-0000-0000-0000E1640000}"/>
    <cellStyle name="Normal 10 5 3 2" xfId="25868" xr:uid="{00000000-0005-0000-0000-0000E2640000}"/>
    <cellStyle name="Normal 10 5 3 2 2" xfId="25869" xr:uid="{00000000-0005-0000-0000-0000E3640000}"/>
    <cellStyle name="Normal 10 5 3 2 2 2" xfId="25870" xr:uid="{00000000-0005-0000-0000-0000E4640000}"/>
    <cellStyle name="Normal 10 5 3 2 2 2 2" xfId="25871" xr:uid="{00000000-0005-0000-0000-0000E5640000}"/>
    <cellStyle name="Normal 10 5 3 2 2 2 3" xfId="25872" xr:uid="{00000000-0005-0000-0000-0000E6640000}"/>
    <cellStyle name="Normal 10 5 3 2 2 3" xfId="25873" xr:uid="{00000000-0005-0000-0000-0000E7640000}"/>
    <cellStyle name="Normal 10 5 3 2 2 4" xfId="25874" xr:uid="{00000000-0005-0000-0000-0000E8640000}"/>
    <cellStyle name="Normal 10 5 3 2 3" xfId="25875" xr:uid="{00000000-0005-0000-0000-0000E9640000}"/>
    <cellStyle name="Normal 10 5 3 2 3 2" xfId="25876" xr:uid="{00000000-0005-0000-0000-0000EA640000}"/>
    <cellStyle name="Normal 10 5 3 2 3 3" xfId="25877" xr:uid="{00000000-0005-0000-0000-0000EB640000}"/>
    <cellStyle name="Normal 10 5 3 2 4" xfId="25878" xr:uid="{00000000-0005-0000-0000-0000EC640000}"/>
    <cellStyle name="Normal 10 5 3 2 5" xfId="25879" xr:uid="{00000000-0005-0000-0000-0000ED640000}"/>
    <cellStyle name="Normal 10 5 3 2 6" xfId="25880" xr:uid="{00000000-0005-0000-0000-0000EE640000}"/>
    <cellStyle name="Normal 10 5 3 3" xfId="25881" xr:uid="{00000000-0005-0000-0000-0000EF640000}"/>
    <cellStyle name="Normal 10 5 3 3 2" xfId="25882" xr:uid="{00000000-0005-0000-0000-0000F0640000}"/>
    <cellStyle name="Normal 10 5 3 3 2 2" xfId="25883" xr:uid="{00000000-0005-0000-0000-0000F1640000}"/>
    <cellStyle name="Normal 10 5 3 3 2 3" xfId="25884" xr:uid="{00000000-0005-0000-0000-0000F2640000}"/>
    <cellStyle name="Normal 10 5 3 3 3" xfId="25885" xr:uid="{00000000-0005-0000-0000-0000F3640000}"/>
    <cellStyle name="Normal 10 5 3 3 4" xfId="25886" xr:uid="{00000000-0005-0000-0000-0000F4640000}"/>
    <cellStyle name="Normal 10 5 3 4" xfId="25887" xr:uid="{00000000-0005-0000-0000-0000F5640000}"/>
    <cellStyle name="Normal 10 5 3 4 2" xfId="25888" xr:uid="{00000000-0005-0000-0000-0000F6640000}"/>
    <cellStyle name="Normal 10 5 3 4 3" xfId="25889" xr:uid="{00000000-0005-0000-0000-0000F7640000}"/>
    <cellStyle name="Normal 10 5 3 5" xfId="25890" xr:uid="{00000000-0005-0000-0000-0000F8640000}"/>
    <cellStyle name="Normal 10 5 3 6" xfId="25891" xr:uid="{00000000-0005-0000-0000-0000F9640000}"/>
    <cellStyle name="Normal 10 5 3 7" xfId="25892" xr:uid="{00000000-0005-0000-0000-0000FA640000}"/>
    <cellStyle name="Normal 10 5 4" xfId="25893" xr:uid="{00000000-0005-0000-0000-0000FB640000}"/>
    <cellStyle name="Normal 10 5 4 2" xfId="25894" xr:uid="{00000000-0005-0000-0000-0000FC640000}"/>
    <cellStyle name="Normal 10 5 4 2 2" xfId="25895" xr:uid="{00000000-0005-0000-0000-0000FD640000}"/>
    <cellStyle name="Normal 10 5 4 2 2 2" xfId="25896" xr:uid="{00000000-0005-0000-0000-0000FE640000}"/>
    <cellStyle name="Normal 10 5 4 2 2 3" xfId="25897" xr:uid="{00000000-0005-0000-0000-0000FF640000}"/>
    <cellStyle name="Normal 10 5 4 2 3" xfId="25898" xr:uid="{00000000-0005-0000-0000-000000650000}"/>
    <cellStyle name="Normal 10 5 4 2 4" xfId="25899" xr:uid="{00000000-0005-0000-0000-000001650000}"/>
    <cellStyle name="Normal 10 5 4 3" xfId="25900" xr:uid="{00000000-0005-0000-0000-000002650000}"/>
    <cellStyle name="Normal 10 5 4 3 2" xfId="25901" xr:uid="{00000000-0005-0000-0000-000003650000}"/>
    <cellStyle name="Normal 10 5 4 3 3" xfId="25902" xr:uid="{00000000-0005-0000-0000-000004650000}"/>
    <cellStyle name="Normal 10 5 4 4" xfId="25903" xr:uid="{00000000-0005-0000-0000-000005650000}"/>
    <cellStyle name="Normal 10 5 4 5" xfId="25904" xr:uid="{00000000-0005-0000-0000-000006650000}"/>
    <cellStyle name="Normal 10 5 4 6" xfId="25905" xr:uid="{00000000-0005-0000-0000-000007650000}"/>
    <cellStyle name="Normal 10 5 5" xfId="25906" xr:uid="{00000000-0005-0000-0000-000008650000}"/>
    <cellStyle name="Normal 10 5 5 2" xfId="25907" xr:uid="{00000000-0005-0000-0000-000009650000}"/>
    <cellStyle name="Normal 10 5 5 2 2" xfId="25908" xr:uid="{00000000-0005-0000-0000-00000A650000}"/>
    <cellStyle name="Normal 10 5 5 2 3" xfId="25909" xr:uid="{00000000-0005-0000-0000-00000B650000}"/>
    <cellStyle name="Normal 10 5 5 3" xfId="25910" xr:uid="{00000000-0005-0000-0000-00000C650000}"/>
    <cellStyle name="Normal 10 5 5 4" xfId="25911" xr:uid="{00000000-0005-0000-0000-00000D650000}"/>
    <cellStyle name="Normal 10 5 6" xfId="25912" xr:uid="{00000000-0005-0000-0000-00000E650000}"/>
    <cellStyle name="Normal 10 5 6 2" xfId="25913" xr:uid="{00000000-0005-0000-0000-00000F650000}"/>
    <cellStyle name="Normal 10 5 6 3" xfId="25914" xr:uid="{00000000-0005-0000-0000-000010650000}"/>
    <cellStyle name="Normal 10 5 7" xfId="25915" xr:uid="{00000000-0005-0000-0000-000011650000}"/>
    <cellStyle name="Normal 10 5 8" xfId="25916" xr:uid="{00000000-0005-0000-0000-000012650000}"/>
    <cellStyle name="Normal 10 5 9" xfId="25917" xr:uid="{00000000-0005-0000-0000-000013650000}"/>
    <cellStyle name="Normal 10 6" xfId="25918" xr:uid="{00000000-0005-0000-0000-000014650000}"/>
    <cellStyle name="Normal 10 6 2" xfId="25919" xr:uid="{00000000-0005-0000-0000-000015650000}"/>
    <cellStyle name="Normal 10 6 2 2" xfId="25920" xr:uid="{00000000-0005-0000-0000-000016650000}"/>
    <cellStyle name="Normal 10 6 2 2 2" xfId="25921" xr:uid="{00000000-0005-0000-0000-000017650000}"/>
    <cellStyle name="Normal 10 6 2 2 2 2" xfId="25922" xr:uid="{00000000-0005-0000-0000-000018650000}"/>
    <cellStyle name="Normal 10 6 2 2 2 2 2" xfId="25923" xr:uid="{00000000-0005-0000-0000-000019650000}"/>
    <cellStyle name="Normal 10 6 2 2 2 2 2 2" xfId="25924" xr:uid="{00000000-0005-0000-0000-00001A650000}"/>
    <cellStyle name="Normal 10 6 2 2 2 2 2 3" xfId="25925" xr:uid="{00000000-0005-0000-0000-00001B650000}"/>
    <cellStyle name="Normal 10 6 2 2 2 2 3" xfId="25926" xr:uid="{00000000-0005-0000-0000-00001C650000}"/>
    <cellStyle name="Normal 10 6 2 2 2 2 4" xfId="25927" xr:uid="{00000000-0005-0000-0000-00001D650000}"/>
    <cellStyle name="Normal 10 6 2 2 2 3" xfId="25928" xr:uid="{00000000-0005-0000-0000-00001E650000}"/>
    <cellStyle name="Normal 10 6 2 2 2 3 2" xfId="25929" xr:uid="{00000000-0005-0000-0000-00001F650000}"/>
    <cellStyle name="Normal 10 6 2 2 2 3 3" xfId="25930" xr:uid="{00000000-0005-0000-0000-000020650000}"/>
    <cellStyle name="Normal 10 6 2 2 2 4" xfId="25931" xr:uid="{00000000-0005-0000-0000-000021650000}"/>
    <cellStyle name="Normal 10 6 2 2 2 5" xfId="25932" xr:uid="{00000000-0005-0000-0000-000022650000}"/>
    <cellStyle name="Normal 10 6 2 2 2 6" xfId="25933" xr:uid="{00000000-0005-0000-0000-000023650000}"/>
    <cellStyle name="Normal 10 6 2 2 3" xfId="25934" xr:uid="{00000000-0005-0000-0000-000024650000}"/>
    <cellStyle name="Normal 10 6 2 2 3 2" xfId="25935" xr:uid="{00000000-0005-0000-0000-000025650000}"/>
    <cellStyle name="Normal 10 6 2 2 3 2 2" xfId="25936" xr:uid="{00000000-0005-0000-0000-000026650000}"/>
    <cellStyle name="Normal 10 6 2 2 3 2 3" xfId="25937" xr:uid="{00000000-0005-0000-0000-000027650000}"/>
    <cellStyle name="Normal 10 6 2 2 3 3" xfId="25938" xr:uid="{00000000-0005-0000-0000-000028650000}"/>
    <cellStyle name="Normal 10 6 2 2 3 4" xfId="25939" xr:uid="{00000000-0005-0000-0000-000029650000}"/>
    <cellStyle name="Normal 10 6 2 2 4" xfId="25940" xr:uid="{00000000-0005-0000-0000-00002A650000}"/>
    <cellStyle name="Normal 10 6 2 2 4 2" xfId="25941" xr:uid="{00000000-0005-0000-0000-00002B650000}"/>
    <cellStyle name="Normal 10 6 2 2 4 3" xfId="25942" xr:uid="{00000000-0005-0000-0000-00002C650000}"/>
    <cellStyle name="Normal 10 6 2 2 5" xfId="25943" xr:uid="{00000000-0005-0000-0000-00002D650000}"/>
    <cellStyle name="Normal 10 6 2 2 6" xfId="25944" xr:uid="{00000000-0005-0000-0000-00002E650000}"/>
    <cellStyle name="Normal 10 6 2 2 7" xfId="25945" xr:uid="{00000000-0005-0000-0000-00002F650000}"/>
    <cellStyle name="Normal 10 6 2 3" xfId="25946" xr:uid="{00000000-0005-0000-0000-000030650000}"/>
    <cellStyle name="Normal 10 6 2 3 2" xfId="25947" xr:uid="{00000000-0005-0000-0000-000031650000}"/>
    <cellStyle name="Normal 10 6 2 3 2 2" xfId="25948" xr:uid="{00000000-0005-0000-0000-000032650000}"/>
    <cellStyle name="Normal 10 6 2 3 2 2 2" xfId="25949" xr:uid="{00000000-0005-0000-0000-000033650000}"/>
    <cellStyle name="Normal 10 6 2 3 2 2 3" xfId="25950" xr:uid="{00000000-0005-0000-0000-000034650000}"/>
    <cellStyle name="Normal 10 6 2 3 2 3" xfId="25951" xr:uid="{00000000-0005-0000-0000-000035650000}"/>
    <cellStyle name="Normal 10 6 2 3 2 4" xfId="25952" xr:uid="{00000000-0005-0000-0000-000036650000}"/>
    <cellStyle name="Normal 10 6 2 3 3" xfId="25953" xr:uid="{00000000-0005-0000-0000-000037650000}"/>
    <cellStyle name="Normal 10 6 2 3 3 2" xfId="25954" xr:uid="{00000000-0005-0000-0000-000038650000}"/>
    <cellStyle name="Normal 10 6 2 3 3 3" xfId="25955" xr:uid="{00000000-0005-0000-0000-000039650000}"/>
    <cellStyle name="Normal 10 6 2 3 4" xfId="25956" xr:uid="{00000000-0005-0000-0000-00003A650000}"/>
    <cellStyle name="Normal 10 6 2 3 5" xfId="25957" xr:uid="{00000000-0005-0000-0000-00003B650000}"/>
    <cellStyle name="Normal 10 6 2 3 6" xfId="25958" xr:uid="{00000000-0005-0000-0000-00003C650000}"/>
    <cellStyle name="Normal 10 6 2 4" xfId="25959" xr:uid="{00000000-0005-0000-0000-00003D650000}"/>
    <cellStyle name="Normal 10 6 2 4 2" xfId="25960" xr:uid="{00000000-0005-0000-0000-00003E650000}"/>
    <cellStyle name="Normal 10 6 2 4 2 2" xfId="25961" xr:uid="{00000000-0005-0000-0000-00003F650000}"/>
    <cellStyle name="Normal 10 6 2 4 2 3" xfId="25962" xr:uid="{00000000-0005-0000-0000-000040650000}"/>
    <cellStyle name="Normal 10 6 2 4 3" xfId="25963" xr:uid="{00000000-0005-0000-0000-000041650000}"/>
    <cellStyle name="Normal 10 6 2 4 4" xfId="25964" xr:uid="{00000000-0005-0000-0000-000042650000}"/>
    <cellStyle name="Normal 10 6 2 5" xfId="25965" xr:uid="{00000000-0005-0000-0000-000043650000}"/>
    <cellStyle name="Normal 10 6 2 5 2" xfId="25966" xr:uid="{00000000-0005-0000-0000-000044650000}"/>
    <cellStyle name="Normal 10 6 2 5 3" xfId="25967" xr:uid="{00000000-0005-0000-0000-000045650000}"/>
    <cellStyle name="Normal 10 6 2 6" xfId="25968" xr:uid="{00000000-0005-0000-0000-000046650000}"/>
    <cellStyle name="Normal 10 6 2 7" xfId="25969" xr:uid="{00000000-0005-0000-0000-000047650000}"/>
    <cellStyle name="Normal 10 6 2 8" xfId="25970" xr:uid="{00000000-0005-0000-0000-000048650000}"/>
    <cellStyle name="Normal 10 6 3" xfId="25971" xr:uid="{00000000-0005-0000-0000-000049650000}"/>
    <cellStyle name="Normal 10 6 3 2" xfId="25972" xr:uid="{00000000-0005-0000-0000-00004A650000}"/>
    <cellStyle name="Normal 10 6 3 2 2" xfId="25973" xr:uid="{00000000-0005-0000-0000-00004B650000}"/>
    <cellStyle name="Normal 10 6 3 2 2 2" xfId="25974" xr:uid="{00000000-0005-0000-0000-00004C650000}"/>
    <cellStyle name="Normal 10 6 3 2 2 2 2" xfId="25975" xr:uid="{00000000-0005-0000-0000-00004D650000}"/>
    <cellStyle name="Normal 10 6 3 2 2 2 3" xfId="25976" xr:uid="{00000000-0005-0000-0000-00004E650000}"/>
    <cellStyle name="Normal 10 6 3 2 2 3" xfId="25977" xr:uid="{00000000-0005-0000-0000-00004F650000}"/>
    <cellStyle name="Normal 10 6 3 2 2 4" xfId="25978" xr:uid="{00000000-0005-0000-0000-000050650000}"/>
    <cellStyle name="Normal 10 6 3 2 3" xfId="25979" xr:uid="{00000000-0005-0000-0000-000051650000}"/>
    <cellStyle name="Normal 10 6 3 2 3 2" xfId="25980" xr:uid="{00000000-0005-0000-0000-000052650000}"/>
    <cellStyle name="Normal 10 6 3 2 3 3" xfId="25981" xr:uid="{00000000-0005-0000-0000-000053650000}"/>
    <cellStyle name="Normal 10 6 3 2 4" xfId="25982" xr:uid="{00000000-0005-0000-0000-000054650000}"/>
    <cellStyle name="Normal 10 6 3 2 5" xfId="25983" xr:uid="{00000000-0005-0000-0000-000055650000}"/>
    <cellStyle name="Normal 10 6 3 2 6" xfId="25984" xr:uid="{00000000-0005-0000-0000-000056650000}"/>
    <cellStyle name="Normal 10 6 3 3" xfId="25985" xr:uid="{00000000-0005-0000-0000-000057650000}"/>
    <cellStyle name="Normal 10 6 3 3 2" xfId="25986" xr:uid="{00000000-0005-0000-0000-000058650000}"/>
    <cellStyle name="Normal 10 6 3 3 2 2" xfId="25987" xr:uid="{00000000-0005-0000-0000-000059650000}"/>
    <cellStyle name="Normal 10 6 3 3 2 3" xfId="25988" xr:uid="{00000000-0005-0000-0000-00005A650000}"/>
    <cellStyle name="Normal 10 6 3 3 3" xfId="25989" xr:uid="{00000000-0005-0000-0000-00005B650000}"/>
    <cellStyle name="Normal 10 6 3 3 4" xfId="25990" xr:uid="{00000000-0005-0000-0000-00005C650000}"/>
    <cellStyle name="Normal 10 6 3 4" xfId="25991" xr:uid="{00000000-0005-0000-0000-00005D650000}"/>
    <cellStyle name="Normal 10 6 3 4 2" xfId="25992" xr:uid="{00000000-0005-0000-0000-00005E650000}"/>
    <cellStyle name="Normal 10 6 3 4 3" xfId="25993" xr:uid="{00000000-0005-0000-0000-00005F650000}"/>
    <cellStyle name="Normal 10 6 3 5" xfId="25994" xr:uid="{00000000-0005-0000-0000-000060650000}"/>
    <cellStyle name="Normal 10 6 3 6" xfId="25995" xr:uid="{00000000-0005-0000-0000-000061650000}"/>
    <cellStyle name="Normal 10 6 3 7" xfId="25996" xr:uid="{00000000-0005-0000-0000-000062650000}"/>
    <cellStyle name="Normal 10 6 4" xfId="25997" xr:uid="{00000000-0005-0000-0000-000063650000}"/>
    <cellStyle name="Normal 10 6 4 2" xfId="25998" xr:uid="{00000000-0005-0000-0000-000064650000}"/>
    <cellStyle name="Normal 10 6 4 2 2" xfId="25999" xr:uid="{00000000-0005-0000-0000-000065650000}"/>
    <cellStyle name="Normal 10 6 4 2 2 2" xfId="26000" xr:uid="{00000000-0005-0000-0000-000066650000}"/>
    <cellStyle name="Normal 10 6 4 2 2 3" xfId="26001" xr:uid="{00000000-0005-0000-0000-000067650000}"/>
    <cellStyle name="Normal 10 6 4 2 3" xfId="26002" xr:uid="{00000000-0005-0000-0000-000068650000}"/>
    <cellStyle name="Normal 10 6 4 2 4" xfId="26003" xr:uid="{00000000-0005-0000-0000-000069650000}"/>
    <cellStyle name="Normal 10 6 4 3" xfId="26004" xr:uid="{00000000-0005-0000-0000-00006A650000}"/>
    <cellStyle name="Normal 10 6 4 3 2" xfId="26005" xr:uid="{00000000-0005-0000-0000-00006B650000}"/>
    <cellStyle name="Normal 10 6 4 3 3" xfId="26006" xr:uid="{00000000-0005-0000-0000-00006C650000}"/>
    <cellStyle name="Normal 10 6 4 4" xfId="26007" xr:uid="{00000000-0005-0000-0000-00006D650000}"/>
    <cellStyle name="Normal 10 6 4 5" xfId="26008" xr:uid="{00000000-0005-0000-0000-00006E650000}"/>
    <cellStyle name="Normal 10 6 4 6" xfId="26009" xr:uid="{00000000-0005-0000-0000-00006F650000}"/>
    <cellStyle name="Normal 10 6 5" xfId="26010" xr:uid="{00000000-0005-0000-0000-000070650000}"/>
    <cellStyle name="Normal 10 6 5 2" xfId="26011" xr:uid="{00000000-0005-0000-0000-000071650000}"/>
    <cellStyle name="Normal 10 6 5 2 2" xfId="26012" xr:uid="{00000000-0005-0000-0000-000072650000}"/>
    <cellStyle name="Normal 10 6 5 2 3" xfId="26013" xr:uid="{00000000-0005-0000-0000-000073650000}"/>
    <cellStyle name="Normal 10 6 5 3" xfId="26014" xr:uid="{00000000-0005-0000-0000-000074650000}"/>
    <cellStyle name="Normal 10 6 5 4" xfId="26015" xr:uid="{00000000-0005-0000-0000-000075650000}"/>
    <cellStyle name="Normal 10 6 6" xfId="26016" xr:uid="{00000000-0005-0000-0000-000076650000}"/>
    <cellStyle name="Normal 10 6 6 2" xfId="26017" xr:uid="{00000000-0005-0000-0000-000077650000}"/>
    <cellStyle name="Normal 10 6 6 3" xfId="26018" xr:uid="{00000000-0005-0000-0000-000078650000}"/>
    <cellStyle name="Normal 10 6 7" xfId="26019" xr:uid="{00000000-0005-0000-0000-000079650000}"/>
    <cellStyle name="Normal 10 6 8" xfId="26020" xr:uid="{00000000-0005-0000-0000-00007A650000}"/>
    <cellStyle name="Normal 10 6 9" xfId="26021" xr:uid="{00000000-0005-0000-0000-00007B650000}"/>
    <cellStyle name="Normal 10 7" xfId="26022" xr:uid="{00000000-0005-0000-0000-00007C650000}"/>
    <cellStyle name="Normal 10 7 2" xfId="26023" xr:uid="{00000000-0005-0000-0000-00007D650000}"/>
    <cellStyle name="Normal 10 7 2 2" xfId="26024" xr:uid="{00000000-0005-0000-0000-00007E650000}"/>
    <cellStyle name="Normal 10 7 2 2 2" xfId="26025" xr:uid="{00000000-0005-0000-0000-00007F650000}"/>
    <cellStyle name="Normal 10 7 2 2 2 2" xfId="26026" xr:uid="{00000000-0005-0000-0000-000080650000}"/>
    <cellStyle name="Normal 10 7 2 2 2 2 2" xfId="26027" xr:uid="{00000000-0005-0000-0000-000081650000}"/>
    <cellStyle name="Normal 10 7 2 2 2 2 3" xfId="26028" xr:uid="{00000000-0005-0000-0000-000082650000}"/>
    <cellStyle name="Normal 10 7 2 2 2 3" xfId="26029" xr:uid="{00000000-0005-0000-0000-000083650000}"/>
    <cellStyle name="Normal 10 7 2 2 2 4" xfId="26030" xr:uid="{00000000-0005-0000-0000-000084650000}"/>
    <cellStyle name="Normal 10 7 2 2 3" xfId="26031" xr:uid="{00000000-0005-0000-0000-000085650000}"/>
    <cellStyle name="Normal 10 7 2 2 3 2" xfId="26032" xr:uid="{00000000-0005-0000-0000-000086650000}"/>
    <cellStyle name="Normal 10 7 2 2 3 3" xfId="26033" xr:uid="{00000000-0005-0000-0000-000087650000}"/>
    <cellStyle name="Normal 10 7 2 2 4" xfId="26034" xr:uid="{00000000-0005-0000-0000-000088650000}"/>
    <cellStyle name="Normal 10 7 2 2 5" xfId="26035" xr:uid="{00000000-0005-0000-0000-000089650000}"/>
    <cellStyle name="Normal 10 7 2 2 6" xfId="26036" xr:uid="{00000000-0005-0000-0000-00008A650000}"/>
    <cellStyle name="Normal 10 7 2 3" xfId="26037" xr:uid="{00000000-0005-0000-0000-00008B650000}"/>
    <cellStyle name="Normal 10 7 2 3 2" xfId="26038" xr:uid="{00000000-0005-0000-0000-00008C650000}"/>
    <cellStyle name="Normal 10 7 2 3 2 2" xfId="26039" xr:uid="{00000000-0005-0000-0000-00008D650000}"/>
    <cellStyle name="Normal 10 7 2 3 2 3" xfId="26040" xr:uid="{00000000-0005-0000-0000-00008E650000}"/>
    <cellStyle name="Normal 10 7 2 3 3" xfId="26041" xr:uid="{00000000-0005-0000-0000-00008F650000}"/>
    <cellStyle name="Normal 10 7 2 3 4" xfId="26042" xr:uid="{00000000-0005-0000-0000-000090650000}"/>
    <cellStyle name="Normal 10 7 2 4" xfId="26043" xr:uid="{00000000-0005-0000-0000-000091650000}"/>
    <cellStyle name="Normal 10 7 2 4 2" xfId="26044" xr:uid="{00000000-0005-0000-0000-000092650000}"/>
    <cellStyle name="Normal 10 7 2 4 3" xfId="26045" xr:uid="{00000000-0005-0000-0000-000093650000}"/>
    <cellStyle name="Normal 10 7 2 5" xfId="26046" xr:uid="{00000000-0005-0000-0000-000094650000}"/>
    <cellStyle name="Normal 10 7 2 6" xfId="26047" xr:uid="{00000000-0005-0000-0000-000095650000}"/>
    <cellStyle name="Normal 10 7 2 7" xfId="26048" xr:uid="{00000000-0005-0000-0000-000096650000}"/>
    <cellStyle name="Normal 10 7 3" xfId="26049" xr:uid="{00000000-0005-0000-0000-000097650000}"/>
    <cellStyle name="Normal 10 7 3 2" xfId="26050" xr:uid="{00000000-0005-0000-0000-000098650000}"/>
    <cellStyle name="Normal 10 7 3 2 2" xfId="26051" xr:uid="{00000000-0005-0000-0000-000099650000}"/>
    <cellStyle name="Normal 10 7 3 2 2 2" xfId="26052" xr:uid="{00000000-0005-0000-0000-00009A650000}"/>
    <cellStyle name="Normal 10 7 3 2 2 3" xfId="26053" xr:uid="{00000000-0005-0000-0000-00009B650000}"/>
    <cellStyle name="Normal 10 7 3 2 3" xfId="26054" xr:uid="{00000000-0005-0000-0000-00009C650000}"/>
    <cellStyle name="Normal 10 7 3 2 4" xfId="26055" xr:uid="{00000000-0005-0000-0000-00009D650000}"/>
    <cellStyle name="Normal 10 7 3 3" xfId="26056" xr:uid="{00000000-0005-0000-0000-00009E650000}"/>
    <cellStyle name="Normal 10 7 3 3 2" xfId="26057" xr:uid="{00000000-0005-0000-0000-00009F650000}"/>
    <cellStyle name="Normal 10 7 3 3 3" xfId="26058" xr:uid="{00000000-0005-0000-0000-0000A0650000}"/>
    <cellStyle name="Normal 10 7 3 4" xfId="26059" xr:uid="{00000000-0005-0000-0000-0000A1650000}"/>
    <cellStyle name="Normal 10 7 3 5" xfId="26060" xr:uid="{00000000-0005-0000-0000-0000A2650000}"/>
    <cellStyle name="Normal 10 7 3 6" xfId="26061" xr:uid="{00000000-0005-0000-0000-0000A3650000}"/>
    <cellStyle name="Normal 10 7 4" xfId="26062" xr:uid="{00000000-0005-0000-0000-0000A4650000}"/>
    <cellStyle name="Normal 10 7 4 2" xfId="26063" xr:uid="{00000000-0005-0000-0000-0000A5650000}"/>
    <cellStyle name="Normal 10 7 4 2 2" xfId="26064" xr:uid="{00000000-0005-0000-0000-0000A6650000}"/>
    <cellStyle name="Normal 10 7 4 2 3" xfId="26065" xr:uid="{00000000-0005-0000-0000-0000A7650000}"/>
    <cellStyle name="Normal 10 7 4 3" xfId="26066" xr:uid="{00000000-0005-0000-0000-0000A8650000}"/>
    <cellStyle name="Normal 10 7 4 4" xfId="26067" xr:uid="{00000000-0005-0000-0000-0000A9650000}"/>
    <cellStyle name="Normal 10 7 5" xfId="26068" xr:uid="{00000000-0005-0000-0000-0000AA650000}"/>
    <cellStyle name="Normal 10 7 5 2" xfId="26069" xr:uid="{00000000-0005-0000-0000-0000AB650000}"/>
    <cellStyle name="Normal 10 7 5 3" xfId="26070" xr:uid="{00000000-0005-0000-0000-0000AC650000}"/>
    <cellStyle name="Normal 10 7 6" xfId="26071" xr:uid="{00000000-0005-0000-0000-0000AD650000}"/>
    <cellStyle name="Normal 10 7 7" xfId="26072" xr:uid="{00000000-0005-0000-0000-0000AE650000}"/>
    <cellStyle name="Normal 10 7 8" xfId="26073" xr:uid="{00000000-0005-0000-0000-0000AF650000}"/>
    <cellStyle name="Normal 10 8" xfId="26074" xr:uid="{00000000-0005-0000-0000-0000B0650000}"/>
    <cellStyle name="Normal 10 8 2" xfId="26075" xr:uid="{00000000-0005-0000-0000-0000B1650000}"/>
    <cellStyle name="Normal 10 8 2 2" xfId="26076" xr:uid="{00000000-0005-0000-0000-0000B2650000}"/>
    <cellStyle name="Normal 10 8 2 2 2" xfId="26077" xr:uid="{00000000-0005-0000-0000-0000B3650000}"/>
    <cellStyle name="Normal 10 8 2 2 2 2" xfId="26078" xr:uid="{00000000-0005-0000-0000-0000B4650000}"/>
    <cellStyle name="Normal 10 8 2 2 2 2 2" xfId="26079" xr:uid="{00000000-0005-0000-0000-0000B5650000}"/>
    <cellStyle name="Normal 10 8 2 2 2 2 3" xfId="26080" xr:uid="{00000000-0005-0000-0000-0000B6650000}"/>
    <cellStyle name="Normal 10 8 2 2 2 3" xfId="26081" xr:uid="{00000000-0005-0000-0000-0000B7650000}"/>
    <cellStyle name="Normal 10 8 2 2 2 4" xfId="26082" xr:uid="{00000000-0005-0000-0000-0000B8650000}"/>
    <cellStyle name="Normal 10 8 2 2 3" xfId="26083" xr:uid="{00000000-0005-0000-0000-0000B9650000}"/>
    <cellStyle name="Normal 10 8 2 2 3 2" xfId="26084" xr:uid="{00000000-0005-0000-0000-0000BA650000}"/>
    <cellStyle name="Normal 10 8 2 2 3 3" xfId="26085" xr:uid="{00000000-0005-0000-0000-0000BB650000}"/>
    <cellStyle name="Normal 10 8 2 2 4" xfId="26086" xr:uid="{00000000-0005-0000-0000-0000BC650000}"/>
    <cellStyle name="Normal 10 8 2 2 5" xfId="26087" xr:uid="{00000000-0005-0000-0000-0000BD650000}"/>
    <cellStyle name="Normal 10 8 2 2 6" xfId="26088" xr:uid="{00000000-0005-0000-0000-0000BE650000}"/>
    <cellStyle name="Normal 10 8 2 3" xfId="26089" xr:uid="{00000000-0005-0000-0000-0000BF650000}"/>
    <cellStyle name="Normal 10 8 2 3 2" xfId="26090" xr:uid="{00000000-0005-0000-0000-0000C0650000}"/>
    <cellStyle name="Normal 10 8 2 3 2 2" xfId="26091" xr:uid="{00000000-0005-0000-0000-0000C1650000}"/>
    <cellStyle name="Normal 10 8 2 3 2 3" xfId="26092" xr:uid="{00000000-0005-0000-0000-0000C2650000}"/>
    <cellStyle name="Normal 10 8 2 3 3" xfId="26093" xr:uid="{00000000-0005-0000-0000-0000C3650000}"/>
    <cellStyle name="Normal 10 8 2 3 4" xfId="26094" xr:uid="{00000000-0005-0000-0000-0000C4650000}"/>
    <cellStyle name="Normal 10 8 2 4" xfId="26095" xr:uid="{00000000-0005-0000-0000-0000C5650000}"/>
    <cellStyle name="Normal 10 8 2 4 2" xfId="26096" xr:uid="{00000000-0005-0000-0000-0000C6650000}"/>
    <cellStyle name="Normal 10 8 2 4 3" xfId="26097" xr:uid="{00000000-0005-0000-0000-0000C7650000}"/>
    <cellStyle name="Normal 10 8 2 5" xfId="26098" xr:uid="{00000000-0005-0000-0000-0000C8650000}"/>
    <cellStyle name="Normal 10 8 2 6" xfId="26099" xr:uid="{00000000-0005-0000-0000-0000C9650000}"/>
    <cellStyle name="Normal 10 8 2 7" xfId="26100" xr:uid="{00000000-0005-0000-0000-0000CA650000}"/>
    <cellStyle name="Normal 10 8 3" xfId="26101" xr:uid="{00000000-0005-0000-0000-0000CB650000}"/>
    <cellStyle name="Normal 10 8 3 2" xfId="26102" xr:uid="{00000000-0005-0000-0000-0000CC650000}"/>
    <cellStyle name="Normal 10 8 3 2 2" xfId="26103" xr:uid="{00000000-0005-0000-0000-0000CD650000}"/>
    <cellStyle name="Normal 10 8 3 2 2 2" xfId="26104" xr:uid="{00000000-0005-0000-0000-0000CE650000}"/>
    <cellStyle name="Normal 10 8 3 2 2 3" xfId="26105" xr:uid="{00000000-0005-0000-0000-0000CF650000}"/>
    <cellStyle name="Normal 10 8 3 2 3" xfId="26106" xr:uid="{00000000-0005-0000-0000-0000D0650000}"/>
    <cellStyle name="Normal 10 8 3 2 4" xfId="26107" xr:uid="{00000000-0005-0000-0000-0000D1650000}"/>
    <cellStyle name="Normal 10 8 3 3" xfId="26108" xr:uid="{00000000-0005-0000-0000-0000D2650000}"/>
    <cellStyle name="Normal 10 8 3 3 2" xfId="26109" xr:uid="{00000000-0005-0000-0000-0000D3650000}"/>
    <cellStyle name="Normal 10 8 3 3 3" xfId="26110" xr:uid="{00000000-0005-0000-0000-0000D4650000}"/>
    <cellStyle name="Normal 10 8 3 4" xfId="26111" xr:uid="{00000000-0005-0000-0000-0000D5650000}"/>
    <cellStyle name="Normal 10 8 3 5" xfId="26112" xr:uid="{00000000-0005-0000-0000-0000D6650000}"/>
    <cellStyle name="Normal 10 8 3 6" xfId="26113" xr:uid="{00000000-0005-0000-0000-0000D7650000}"/>
    <cellStyle name="Normal 10 8 4" xfId="26114" xr:uid="{00000000-0005-0000-0000-0000D8650000}"/>
    <cellStyle name="Normal 10 8 4 2" xfId="26115" xr:uid="{00000000-0005-0000-0000-0000D9650000}"/>
    <cellStyle name="Normal 10 8 4 2 2" xfId="26116" xr:uid="{00000000-0005-0000-0000-0000DA650000}"/>
    <cellStyle name="Normal 10 8 4 2 3" xfId="26117" xr:uid="{00000000-0005-0000-0000-0000DB650000}"/>
    <cellStyle name="Normal 10 8 4 3" xfId="26118" xr:uid="{00000000-0005-0000-0000-0000DC650000}"/>
    <cellStyle name="Normal 10 8 4 4" xfId="26119" xr:uid="{00000000-0005-0000-0000-0000DD650000}"/>
    <cellStyle name="Normal 10 8 5" xfId="26120" xr:uid="{00000000-0005-0000-0000-0000DE650000}"/>
    <cellStyle name="Normal 10 8 5 2" xfId="26121" xr:uid="{00000000-0005-0000-0000-0000DF650000}"/>
    <cellStyle name="Normal 10 8 5 3" xfId="26122" xr:uid="{00000000-0005-0000-0000-0000E0650000}"/>
    <cellStyle name="Normal 10 8 6" xfId="26123" xr:uid="{00000000-0005-0000-0000-0000E1650000}"/>
    <cellStyle name="Normal 10 8 7" xfId="26124" xr:uid="{00000000-0005-0000-0000-0000E2650000}"/>
    <cellStyle name="Normal 10 8 8" xfId="26125" xr:uid="{00000000-0005-0000-0000-0000E3650000}"/>
    <cellStyle name="Normal 10 9" xfId="26126" xr:uid="{00000000-0005-0000-0000-0000E4650000}"/>
    <cellStyle name="Normal 10 9 2" xfId="26127" xr:uid="{00000000-0005-0000-0000-0000E5650000}"/>
    <cellStyle name="Normal 10 9 2 2" xfId="26128" xr:uid="{00000000-0005-0000-0000-0000E6650000}"/>
    <cellStyle name="Normal 10 9 2 2 2" xfId="26129" xr:uid="{00000000-0005-0000-0000-0000E7650000}"/>
    <cellStyle name="Normal 10 9 2 2 2 2" xfId="26130" xr:uid="{00000000-0005-0000-0000-0000E8650000}"/>
    <cellStyle name="Normal 10 9 2 2 2 3" xfId="26131" xr:uid="{00000000-0005-0000-0000-0000E9650000}"/>
    <cellStyle name="Normal 10 9 2 2 3" xfId="26132" xr:uid="{00000000-0005-0000-0000-0000EA650000}"/>
    <cellStyle name="Normal 10 9 2 2 4" xfId="26133" xr:uid="{00000000-0005-0000-0000-0000EB650000}"/>
    <cellStyle name="Normal 10 9 2 3" xfId="26134" xr:uid="{00000000-0005-0000-0000-0000EC650000}"/>
    <cellStyle name="Normal 10 9 2 3 2" xfId="26135" xr:uid="{00000000-0005-0000-0000-0000ED650000}"/>
    <cellStyle name="Normal 10 9 2 3 3" xfId="26136" xr:uid="{00000000-0005-0000-0000-0000EE650000}"/>
    <cellStyle name="Normal 10 9 2 4" xfId="26137" xr:uid="{00000000-0005-0000-0000-0000EF650000}"/>
    <cellStyle name="Normal 10 9 2 5" xfId="26138" xr:uid="{00000000-0005-0000-0000-0000F0650000}"/>
    <cellStyle name="Normal 10 9 2 6" xfId="26139" xr:uid="{00000000-0005-0000-0000-0000F1650000}"/>
    <cellStyle name="Normal 10 9 3" xfId="26140" xr:uid="{00000000-0005-0000-0000-0000F2650000}"/>
    <cellStyle name="Normal 10 9 3 2" xfId="26141" xr:uid="{00000000-0005-0000-0000-0000F3650000}"/>
    <cellStyle name="Normal 10 9 3 2 2" xfId="26142" xr:uid="{00000000-0005-0000-0000-0000F4650000}"/>
    <cellStyle name="Normal 10 9 3 2 3" xfId="26143" xr:uid="{00000000-0005-0000-0000-0000F5650000}"/>
    <cellStyle name="Normal 10 9 3 3" xfId="26144" xr:uid="{00000000-0005-0000-0000-0000F6650000}"/>
    <cellStyle name="Normal 10 9 3 4" xfId="26145" xr:uid="{00000000-0005-0000-0000-0000F7650000}"/>
    <cellStyle name="Normal 10 9 4" xfId="26146" xr:uid="{00000000-0005-0000-0000-0000F8650000}"/>
    <cellStyle name="Normal 10 9 4 2" xfId="26147" xr:uid="{00000000-0005-0000-0000-0000F9650000}"/>
    <cellStyle name="Normal 10 9 4 3" xfId="26148" xr:uid="{00000000-0005-0000-0000-0000FA650000}"/>
    <cellStyle name="Normal 10 9 5" xfId="26149" xr:uid="{00000000-0005-0000-0000-0000FB650000}"/>
    <cellStyle name="Normal 10 9 6" xfId="26150" xr:uid="{00000000-0005-0000-0000-0000FC650000}"/>
    <cellStyle name="Normal 10 9 7" xfId="26151" xr:uid="{00000000-0005-0000-0000-0000FD650000}"/>
    <cellStyle name="Normal 10_PropertyList" xfId="36000" xr:uid="{00000000-0005-0000-0000-0000FE650000}"/>
    <cellStyle name="Normal 11" xfId="52" xr:uid="{00000000-0005-0000-0000-0000FF650000}"/>
    <cellStyle name="Normal 11 2" xfId="26152" xr:uid="{00000000-0005-0000-0000-000000660000}"/>
    <cellStyle name="Normal 11 2 2" xfId="26153" xr:uid="{00000000-0005-0000-0000-000001660000}"/>
    <cellStyle name="Normal 12" xfId="53" xr:uid="{00000000-0005-0000-0000-000002660000}"/>
    <cellStyle name="Normal 12 2" xfId="26154" xr:uid="{00000000-0005-0000-0000-000003660000}"/>
    <cellStyle name="Normal 12 2 2" xfId="26155" xr:uid="{00000000-0005-0000-0000-000004660000}"/>
    <cellStyle name="Normal 13" xfId="54" xr:uid="{00000000-0005-0000-0000-000005660000}"/>
    <cellStyle name="Normal 13 2" xfId="26156" xr:uid="{00000000-0005-0000-0000-000006660000}"/>
    <cellStyle name="Normal 13 2 2" xfId="26157" xr:uid="{00000000-0005-0000-0000-000007660000}"/>
    <cellStyle name="Normal 14" xfId="55" xr:uid="{00000000-0005-0000-0000-000008660000}"/>
    <cellStyle name="Normal 14 10" xfId="26158" xr:uid="{00000000-0005-0000-0000-000009660000}"/>
    <cellStyle name="Normal 14 10 2" xfId="26159" xr:uid="{00000000-0005-0000-0000-00000A660000}"/>
    <cellStyle name="Normal 14 10 3" xfId="26160" xr:uid="{00000000-0005-0000-0000-00000B660000}"/>
    <cellStyle name="Normal 14 11" xfId="26161" xr:uid="{00000000-0005-0000-0000-00000C660000}"/>
    <cellStyle name="Normal 14 12" xfId="26162" xr:uid="{00000000-0005-0000-0000-00000D660000}"/>
    <cellStyle name="Normal 14 13" xfId="26163" xr:uid="{00000000-0005-0000-0000-00000E660000}"/>
    <cellStyle name="Normal 14 2" xfId="26164" xr:uid="{00000000-0005-0000-0000-00000F660000}"/>
    <cellStyle name="Normal 14 2 10" xfId="26165" xr:uid="{00000000-0005-0000-0000-000010660000}"/>
    <cellStyle name="Normal 14 2 2" xfId="26166" xr:uid="{00000000-0005-0000-0000-000011660000}"/>
    <cellStyle name="Normal 14 2 2 2" xfId="26167" xr:uid="{00000000-0005-0000-0000-000012660000}"/>
    <cellStyle name="Normal 14 2 2 2 2" xfId="26168" xr:uid="{00000000-0005-0000-0000-000013660000}"/>
    <cellStyle name="Normal 14 2 2 2 2 2" xfId="26169" xr:uid="{00000000-0005-0000-0000-000014660000}"/>
    <cellStyle name="Normal 14 2 2 2 2 2 2" xfId="26170" xr:uid="{00000000-0005-0000-0000-000015660000}"/>
    <cellStyle name="Normal 14 2 2 2 2 2 2 2" xfId="26171" xr:uid="{00000000-0005-0000-0000-000016660000}"/>
    <cellStyle name="Normal 14 2 2 2 2 2 2 2 2" xfId="26172" xr:uid="{00000000-0005-0000-0000-000017660000}"/>
    <cellStyle name="Normal 14 2 2 2 2 2 2 2 3" xfId="26173" xr:uid="{00000000-0005-0000-0000-000018660000}"/>
    <cellStyle name="Normal 14 2 2 2 2 2 2 3" xfId="26174" xr:uid="{00000000-0005-0000-0000-000019660000}"/>
    <cellStyle name="Normal 14 2 2 2 2 2 2 4" xfId="26175" xr:uid="{00000000-0005-0000-0000-00001A660000}"/>
    <cellStyle name="Normal 14 2 2 2 2 2 3" xfId="26176" xr:uid="{00000000-0005-0000-0000-00001B660000}"/>
    <cellStyle name="Normal 14 2 2 2 2 2 3 2" xfId="26177" xr:uid="{00000000-0005-0000-0000-00001C660000}"/>
    <cellStyle name="Normal 14 2 2 2 2 2 3 3" xfId="26178" xr:uid="{00000000-0005-0000-0000-00001D660000}"/>
    <cellStyle name="Normal 14 2 2 2 2 2 4" xfId="26179" xr:uid="{00000000-0005-0000-0000-00001E660000}"/>
    <cellStyle name="Normal 14 2 2 2 2 2 5" xfId="26180" xr:uid="{00000000-0005-0000-0000-00001F660000}"/>
    <cellStyle name="Normal 14 2 2 2 2 2 6" xfId="26181" xr:uid="{00000000-0005-0000-0000-000020660000}"/>
    <cellStyle name="Normal 14 2 2 2 2 3" xfId="26182" xr:uid="{00000000-0005-0000-0000-000021660000}"/>
    <cellStyle name="Normal 14 2 2 2 2 3 2" xfId="26183" xr:uid="{00000000-0005-0000-0000-000022660000}"/>
    <cellStyle name="Normal 14 2 2 2 2 3 2 2" xfId="26184" xr:uid="{00000000-0005-0000-0000-000023660000}"/>
    <cellStyle name="Normal 14 2 2 2 2 3 2 3" xfId="26185" xr:uid="{00000000-0005-0000-0000-000024660000}"/>
    <cellStyle name="Normal 14 2 2 2 2 3 3" xfId="26186" xr:uid="{00000000-0005-0000-0000-000025660000}"/>
    <cellStyle name="Normal 14 2 2 2 2 3 4" xfId="26187" xr:uid="{00000000-0005-0000-0000-000026660000}"/>
    <cellStyle name="Normal 14 2 2 2 2 4" xfId="26188" xr:uid="{00000000-0005-0000-0000-000027660000}"/>
    <cellStyle name="Normal 14 2 2 2 2 4 2" xfId="26189" xr:uid="{00000000-0005-0000-0000-000028660000}"/>
    <cellStyle name="Normal 14 2 2 2 2 4 3" xfId="26190" xr:uid="{00000000-0005-0000-0000-000029660000}"/>
    <cellStyle name="Normal 14 2 2 2 2 5" xfId="26191" xr:uid="{00000000-0005-0000-0000-00002A660000}"/>
    <cellStyle name="Normal 14 2 2 2 2 6" xfId="26192" xr:uid="{00000000-0005-0000-0000-00002B660000}"/>
    <cellStyle name="Normal 14 2 2 2 2 7" xfId="26193" xr:uid="{00000000-0005-0000-0000-00002C660000}"/>
    <cellStyle name="Normal 14 2 2 2 3" xfId="26194" xr:uid="{00000000-0005-0000-0000-00002D660000}"/>
    <cellStyle name="Normal 14 2 2 2 3 2" xfId="26195" xr:uid="{00000000-0005-0000-0000-00002E660000}"/>
    <cellStyle name="Normal 14 2 2 2 3 2 2" xfId="26196" xr:uid="{00000000-0005-0000-0000-00002F660000}"/>
    <cellStyle name="Normal 14 2 2 2 3 2 2 2" xfId="26197" xr:uid="{00000000-0005-0000-0000-000030660000}"/>
    <cellStyle name="Normal 14 2 2 2 3 2 2 3" xfId="26198" xr:uid="{00000000-0005-0000-0000-000031660000}"/>
    <cellStyle name="Normal 14 2 2 2 3 2 3" xfId="26199" xr:uid="{00000000-0005-0000-0000-000032660000}"/>
    <cellStyle name="Normal 14 2 2 2 3 2 4" xfId="26200" xr:uid="{00000000-0005-0000-0000-000033660000}"/>
    <cellStyle name="Normal 14 2 2 2 3 3" xfId="26201" xr:uid="{00000000-0005-0000-0000-000034660000}"/>
    <cellStyle name="Normal 14 2 2 2 3 3 2" xfId="26202" xr:uid="{00000000-0005-0000-0000-000035660000}"/>
    <cellStyle name="Normal 14 2 2 2 3 3 3" xfId="26203" xr:uid="{00000000-0005-0000-0000-000036660000}"/>
    <cellStyle name="Normal 14 2 2 2 3 4" xfId="26204" xr:uid="{00000000-0005-0000-0000-000037660000}"/>
    <cellStyle name="Normal 14 2 2 2 3 5" xfId="26205" xr:uid="{00000000-0005-0000-0000-000038660000}"/>
    <cellStyle name="Normal 14 2 2 2 3 6" xfId="26206" xr:uid="{00000000-0005-0000-0000-000039660000}"/>
    <cellStyle name="Normal 14 2 2 2 4" xfId="26207" xr:uid="{00000000-0005-0000-0000-00003A660000}"/>
    <cellStyle name="Normal 14 2 2 2 4 2" xfId="26208" xr:uid="{00000000-0005-0000-0000-00003B660000}"/>
    <cellStyle name="Normal 14 2 2 2 4 2 2" xfId="26209" xr:uid="{00000000-0005-0000-0000-00003C660000}"/>
    <cellStyle name="Normal 14 2 2 2 4 2 3" xfId="26210" xr:uid="{00000000-0005-0000-0000-00003D660000}"/>
    <cellStyle name="Normal 14 2 2 2 4 3" xfId="26211" xr:uid="{00000000-0005-0000-0000-00003E660000}"/>
    <cellStyle name="Normal 14 2 2 2 4 4" xfId="26212" xr:uid="{00000000-0005-0000-0000-00003F660000}"/>
    <cellStyle name="Normal 14 2 2 2 5" xfId="26213" xr:uid="{00000000-0005-0000-0000-000040660000}"/>
    <cellStyle name="Normal 14 2 2 2 5 2" xfId="26214" xr:uid="{00000000-0005-0000-0000-000041660000}"/>
    <cellStyle name="Normal 14 2 2 2 5 3" xfId="26215" xr:uid="{00000000-0005-0000-0000-000042660000}"/>
    <cellStyle name="Normal 14 2 2 2 6" xfId="26216" xr:uid="{00000000-0005-0000-0000-000043660000}"/>
    <cellStyle name="Normal 14 2 2 2 7" xfId="26217" xr:uid="{00000000-0005-0000-0000-000044660000}"/>
    <cellStyle name="Normal 14 2 2 2 8" xfId="26218" xr:uid="{00000000-0005-0000-0000-000045660000}"/>
    <cellStyle name="Normal 14 2 2 3" xfId="26219" xr:uid="{00000000-0005-0000-0000-000046660000}"/>
    <cellStyle name="Normal 14 2 2 3 2" xfId="26220" xr:uid="{00000000-0005-0000-0000-000047660000}"/>
    <cellStyle name="Normal 14 2 2 3 2 2" xfId="26221" xr:uid="{00000000-0005-0000-0000-000048660000}"/>
    <cellStyle name="Normal 14 2 2 3 2 2 2" xfId="26222" xr:uid="{00000000-0005-0000-0000-000049660000}"/>
    <cellStyle name="Normal 14 2 2 3 2 2 2 2" xfId="26223" xr:uid="{00000000-0005-0000-0000-00004A660000}"/>
    <cellStyle name="Normal 14 2 2 3 2 2 2 3" xfId="26224" xr:uid="{00000000-0005-0000-0000-00004B660000}"/>
    <cellStyle name="Normal 14 2 2 3 2 2 3" xfId="26225" xr:uid="{00000000-0005-0000-0000-00004C660000}"/>
    <cellStyle name="Normal 14 2 2 3 2 2 4" xfId="26226" xr:uid="{00000000-0005-0000-0000-00004D660000}"/>
    <cellStyle name="Normal 14 2 2 3 2 3" xfId="26227" xr:uid="{00000000-0005-0000-0000-00004E660000}"/>
    <cellStyle name="Normal 14 2 2 3 2 3 2" xfId="26228" xr:uid="{00000000-0005-0000-0000-00004F660000}"/>
    <cellStyle name="Normal 14 2 2 3 2 3 3" xfId="26229" xr:uid="{00000000-0005-0000-0000-000050660000}"/>
    <cellStyle name="Normal 14 2 2 3 2 4" xfId="26230" xr:uid="{00000000-0005-0000-0000-000051660000}"/>
    <cellStyle name="Normal 14 2 2 3 2 5" xfId="26231" xr:uid="{00000000-0005-0000-0000-000052660000}"/>
    <cellStyle name="Normal 14 2 2 3 2 6" xfId="26232" xr:uid="{00000000-0005-0000-0000-000053660000}"/>
    <cellStyle name="Normal 14 2 2 3 3" xfId="26233" xr:uid="{00000000-0005-0000-0000-000054660000}"/>
    <cellStyle name="Normal 14 2 2 3 3 2" xfId="26234" xr:uid="{00000000-0005-0000-0000-000055660000}"/>
    <cellStyle name="Normal 14 2 2 3 3 2 2" xfId="26235" xr:uid="{00000000-0005-0000-0000-000056660000}"/>
    <cellStyle name="Normal 14 2 2 3 3 2 3" xfId="26236" xr:uid="{00000000-0005-0000-0000-000057660000}"/>
    <cellStyle name="Normal 14 2 2 3 3 3" xfId="26237" xr:uid="{00000000-0005-0000-0000-000058660000}"/>
    <cellStyle name="Normal 14 2 2 3 3 4" xfId="26238" xr:uid="{00000000-0005-0000-0000-000059660000}"/>
    <cellStyle name="Normal 14 2 2 3 4" xfId="26239" xr:uid="{00000000-0005-0000-0000-00005A660000}"/>
    <cellStyle name="Normal 14 2 2 3 4 2" xfId="26240" xr:uid="{00000000-0005-0000-0000-00005B660000}"/>
    <cellStyle name="Normal 14 2 2 3 4 3" xfId="26241" xr:uid="{00000000-0005-0000-0000-00005C660000}"/>
    <cellStyle name="Normal 14 2 2 3 5" xfId="26242" xr:uid="{00000000-0005-0000-0000-00005D660000}"/>
    <cellStyle name="Normal 14 2 2 3 6" xfId="26243" xr:uid="{00000000-0005-0000-0000-00005E660000}"/>
    <cellStyle name="Normal 14 2 2 3 7" xfId="26244" xr:uid="{00000000-0005-0000-0000-00005F660000}"/>
    <cellStyle name="Normal 14 2 2 4" xfId="26245" xr:uid="{00000000-0005-0000-0000-000060660000}"/>
    <cellStyle name="Normal 14 2 2 4 2" xfId="26246" xr:uid="{00000000-0005-0000-0000-000061660000}"/>
    <cellStyle name="Normal 14 2 2 4 2 2" xfId="26247" xr:uid="{00000000-0005-0000-0000-000062660000}"/>
    <cellStyle name="Normal 14 2 2 4 2 2 2" xfId="26248" xr:uid="{00000000-0005-0000-0000-000063660000}"/>
    <cellStyle name="Normal 14 2 2 4 2 2 3" xfId="26249" xr:uid="{00000000-0005-0000-0000-000064660000}"/>
    <cellStyle name="Normal 14 2 2 4 2 3" xfId="26250" xr:uid="{00000000-0005-0000-0000-000065660000}"/>
    <cellStyle name="Normal 14 2 2 4 2 4" xfId="26251" xr:uid="{00000000-0005-0000-0000-000066660000}"/>
    <cellStyle name="Normal 14 2 2 4 3" xfId="26252" xr:uid="{00000000-0005-0000-0000-000067660000}"/>
    <cellStyle name="Normal 14 2 2 4 3 2" xfId="26253" xr:uid="{00000000-0005-0000-0000-000068660000}"/>
    <cellStyle name="Normal 14 2 2 4 3 3" xfId="26254" xr:uid="{00000000-0005-0000-0000-000069660000}"/>
    <cellStyle name="Normal 14 2 2 4 4" xfId="26255" xr:uid="{00000000-0005-0000-0000-00006A660000}"/>
    <cellStyle name="Normal 14 2 2 4 5" xfId="26256" xr:uid="{00000000-0005-0000-0000-00006B660000}"/>
    <cellStyle name="Normal 14 2 2 4 6" xfId="26257" xr:uid="{00000000-0005-0000-0000-00006C660000}"/>
    <cellStyle name="Normal 14 2 2 5" xfId="26258" xr:uid="{00000000-0005-0000-0000-00006D660000}"/>
    <cellStyle name="Normal 14 2 2 5 2" xfId="26259" xr:uid="{00000000-0005-0000-0000-00006E660000}"/>
    <cellStyle name="Normal 14 2 2 5 2 2" xfId="26260" xr:uid="{00000000-0005-0000-0000-00006F660000}"/>
    <cellStyle name="Normal 14 2 2 5 2 3" xfId="26261" xr:uid="{00000000-0005-0000-0000-000070660000}"/>
    <cellStyle name="Normal 14 2 2 5 3" xfId="26262" xr:uid="{00000000-0005-0000-0000-000071660000}"/>
    <cellStyle name="Normal 14 2 2 5 4" xfId="26263" xr:uid="{00000000-0005-0000-0000-000072660000}"/>
    <cellStyle name="Normal 14 2 2 6" xfId="26264" xr:uid="{00000000-0005-0000-0000-000073660000}"/>
    <cellStyle name="Normal 14 2 2 6 2" xfId="26265" xr:uid="{00000000-0005-0000-0000-000074660000}"/>
    <cellStyle name="Normal 14 2 2 6 3" xfId="26266" xr:uid="{00000000-0005-0000-0000-000075660000}"/>
    <cellStyle name="Normal 14 2 2 7" xfId="26267" xr:uid="{00000000-0005-0000-0000-000076660000}"/>
    <cellStyle name="Normal 14 2 2 8" xfId="26268" xr:uid="{00000000-0005-0000-0000-000077660000}"/>
    <cellStyle name="Normal 14 2 2 9" xfId="26269" xr:uid="{00000000-0005-0000-0000-000078660000}"/>
    <cellStyle name="Normal 14 2 3" xfId="26270" xr:uid="{00000000-0005-0000-0000-000079660000}"/>
    <cellStyle name="Normal 14 2 3 2" xfId="26271" xr:uid="{00000000-0005-0000-0000-00007A660000}"/>
    <cellStyle name="Normal 14 2 3 2 2" xfId="26272" xr:uid="{00000000-0005-0000-0000-00007B660000}"/>
    <cellStyle name="Normal 14 2 3 2 2 2" xfId="26273" xr:uid="{00000000-0005-0000-0000-00007C660000}"/>
    <cellStyle name="Normal 14 2 3 2 2 2 2" xfId="26274" xr:uid="{00000000-0005-0000-0000-00007D660000}"/>
    <cellStyle name="Normal 14 2 3 2 2 2 2 2" xfId="26275" xr:uid="{00000000-0005-0000-0000-00007E660000}"/>
    <cellStyle name="Normal 14 2 3 2 2 2 2 3" xfId="26276" xr:uid="{00000000-0005-0000-0000-00007F660000}"/>
    <cellStyle name="Normal 14 2 3 2 2 2 3" xfId="26277" xr:uid="{00000000-0005-0000-0000-000080660000}"/>
    <cellStyle name="Normal 14 2 3 2 2 2 4" xfId="26278" xr:uid="{00000000-0005-0000-0000-000081660000}"/>
    <cellStyle name="Normal 14 2 3 2 2 3" xfId="26279" xr:uid="{00000000-0005-0000-0000-000082660000}"/>
    <cellStyle name="Normal 14 2 3 2 2 3 2" xfId="26280" xr:uid="{00000000-0005-0000-0000-000083660000}"/>
    <cellStyle name="Normal 14 2 3 2 2 3 3" xfId="26281" xr:uid="{00000000-0005-0000-0000-000084660000}"/>
    <cellStyle name="Normal 14 2 3 2 2 4" xfId="26282" xr:uid="{00000000-0005-0000-0000-000085660000}"/>
    <cellStyle name="Normal 14 2 3 2 2 5" xfId="26283" xr:uid="{00000000-0005-0000-0000-000086660000}"/>
    <cellStyle name="Normal 14 2 3 2 2 6" xfId="26284" xr:uid="{00000000-0005-0000-0000-000087660000}"/>
    <cellStyle name="Normal 14 2 3 2 3" xfId="26285" xr:uid="{00000000-0005-0000-0000-000088660000}"/>
    <cellStyle name="Normal 14 2 3 2 3 2" xfId="26286" xr:uid="{00000000-0005-0000-0000-000089660000}"/>
    <cellStyle name="Normal 14 2 3 2 3 2 2" xfId="26287" xr:uid="{00000000-0005-0000-0000-00008A660000}"/>
    <cellStyle name="Normal 14 2 3 2 3 2 3" xfId="26288" xr:uid="{00000000-0005-0000-0000-00008B660000}"/>
    <cellStyle name="Normal 14 2 3 2 3 3" xfId="26289" xr:uid="{00000000-0005-0000-0000-00008C660000}"/>
    <cellStyle name="Normal 14 2 3 2 3 4" xfId="26290" xr:uid="{00000000-0005-0000-0000-00008D660000}"/>
    <cellStyle name="Normal 14 2 3 2 4" xfId="26291" xr:uid="{00000000-0005-0000-0000-00008E660000}"/>
    <cellStyle name="Normal 14 2 3 2 4 2" xfId="26292" xr:uid="{00000000-0005-0000-0000-00008F660000}"/>
    <cellStyle name="Normal 14 2 3 2 4 3" xfId="26293" xr:uid="{00000000-0005-0000-0000-000090660000}"/>
    <cellStyle name="Normal 14 2 3 2 5" xfId="26294" xr:uid="{00000000-0005-0000-0000-000091660000}"/>
    <cellStyle name="Normal 14 2 3 2 6" xfId="26295" xr:uid="{00000000-0005-0000-0000-000092660000}"/>
    <cellStyle name="Normal 14 2 3 2 7" xfId="26296" xr:uid="{00000000-0005-0000-0000-000093660000}"/>
    <cellStyle name="Normal 14 2 3 3" xfId="26297" xr:uid="{00000000-0005-0000-0000-000094660000}"/>
    <cellStyle name="Normal 14 2 3 3 2" xfId="26298" xr:uid="{00000000-0005-0000-0000-000095660000}"/>
    <cellStyle name="Normal 14 2 3 3 2 2" xfId="26299" xr:uid="{00000000-0005-0000-0000-000096660000}"/>
    <cellStyle name="Normal 14 2 3 3 2 2 2" xfId="26300" xr:uid="{00000000-0005-0000-0000-000097660000}"/>
    <cellStyle name="Normal 14 2 3 3 2 2 3" xfId="26301" xr:uid="{00000000-0005-0000-0000-000098660000}"/>
    <cellStyle name="Normal 14 2 3 3 2 3" xfId="26302" xr:uid="{00000000-0005-0000-0000-000099660000}"/>
    <cellStyle name="Normal 14 2 3 3 2 4" xfId="26303" xr:uid="{00000000-0005-0000-0000-00009A660000}"/>
    <cellStyle name="Normal 14 2 3 3 3" xfId="26304" xr:uid="{00000000-0005-0000-0000-00009B660000}"/>
    <cellStyle name="Normal 14 2 3 3 3 2" xfId="26305" xr:uid="{00000000-0005-0000-0000-00009C660000}"/>
    <cellStyle name="Normal 14 2 3 3 3 3" xfId="26306" xr:uid="{00000000-0005-0000-0000-00009D660000}"/>
    <cellStyle name="Normal 14 2 3 3 4" xfId="26307" xr:uid="{00000000-0005-0000-0000-00009E660000}"/>
    <cellStyle name="Normal 14 2 3 3 5" xfId="26308" xr:uid="{00000000-0005-0000-0000-00009F660000}"/>
    <cellStyle name="Normal 14 2 3 3 6" xfId="26309" xr:uid="{00000000-0005-0000-0000-0000A0660000}"/>
    <cellStyle name="Normal 14 2 3 4" xfId="26310" xr:uid="{00000000-0005-0000-0000-0000A1660000}"/>
    <cellStyle name="Normal 14 2 3 4 2" xfId="26311" xr:uid="{00000000-0005-0000-0000-0000A2660000}"/>
    <cellStyle name="Normal 14 2 3 4 2 2" xfId="26312" xr:uid="{00000000-0005-0000-0000-0000A3660000}"/>
    <cellStyle name="Normal 14 2 3 4 2 3" xfId="26313" xr:uid="{00000000-0005-0000-0000-0000A4660000}"/>
    <cellStyle name="Normal 14 2 3 4 3" xfId="26314" xr:uid="{00000000-0005-0000-0000-0000A5660000}"/>
    <cellStyle name="Normal 14 2 3 4 4" xfId="26315" xr:uid="{00000000-0005-0000-0000-0000A6660000}"/>
    <cellStyle name="Normal 14 2 3 5" xfId="26316" xr:uid="{00000000-0005-0000-0000-0000A7660000}"/>
    <cellStyle name="Normal 14 2 3 5 2" xfId="26317" xr:uid="{00000000-0005-0000-0000-0000A8660000}"/>
    <cellStyle name="Normal 14 2 3 5 3" xfId="26318" xr:uid="{00000000-0005-0000-0000-0000A9660000}"/>
    <cellStyle name="Normal 14 2 3 6" xfId="26319" xr:uid="{00000000-0005-0000-0000-0000AA660000}"/>
    <cellStyle name="Normal 14 2 3 7" xfId="26320" xr:uid="{00000000-0005-0000-0000-0000AB660000}"/>
    <cellStyle name="Normal 14 2 3 8" xfId="26321" xr:uid="{00000000-0005-0000-0000-0000AC660000}"/>
    <cellStyle name="Normal 14 2 4" xfId="26322" xr:uid="{00000000-0005-0000-0000-0000AD660000}"/>
    <cellStyle name="Normal 14 2 4 2" xfId="26323" xr:uid="{00000000-0005-0000-0000-0000AE660000}"/>
    <cellStyle name="Normal 14 2 4 2 2" xfId="26324" xr:uid="{00000000-0005-0000-0000-0000AF660000}"/>
    <cellStyle name="Normal 14 2 4 2 2 2" xfId="26325" xr:uid="{00000000-0005-0000-0000-0000B0660000}"/>
    <cellStyle name="Normal 14 2 4 2 2 2 2" xfId="26326" xr:uid="{00000000-0005-0000-0000-0000B1660000}"/>
    <cellStyle name="Normal 14 2 4 2 2 2 3" xfId="26327" xr:uid="{00000000-0005-0000-0000-0000B2660000}"/>
    <cellStyle name="Normal 14 2 4 2 2 3" xfId="26328" xr:uid="{00000000-0005-0000-0000-0000B3660000}"/>
    <cellStyle name="Normal 14 2 4 2 2 4" xfId="26329" xr:uid="{00000000-0005-0000-0000-0000B4660000}"/>
    <cellStyle name="Normal 14 2 4 2 3" xfId="26330" xr:uid="{00000000-0005-0000-0000-0000B5660000}"/>
    <cellStyle name="Normal 14 2 4 2 3 2" xfId="26331" xr:uid="{00000000-0005-0000-0000-0000B6660000}"/>
    <cellStyle name="Normal 14 2 4 2 3 3" xfId="26332" xr:uid="{00000000-0005-0000-0000-0000B7660000}"/>
    <cellStyle name="Normal 14 2 4 2 4" xfId="26333" xr:uid="{00000000-0005-0000-0000-0000B8660000}"/>
    <cellStyle name="Normal 14 2 4 2 5" xfId="26334" xr:uid="{00000000-0005-0000-0000-0000B9660000}"/>
    <cellStyle name="Normal 14 2 4 2 6" xfId="26335" xr:uid="{00000000-0005-0000-0000-0000BA660000}"/>
    <cellStyle name="Normal 14 2 4 3" xfId="26336" xr:uid="{00000000-0005-0000-0000-0000BB660000}"/>
    <cellStyle name="Normal 14 2 4 3 2" xfId="26337" xr:uid="{00000000-0005-0000-0000-0000BC660000}"/>
    <cellStyle name="Normal 14 2 4 3 2 2" xfId="26338" xr:uid="{00000000-0005-0000-0000-0000BD660000}"/>
    <cellStyle name="Normal 14 2 4 3 2 3" xfId="26339" xr:uid="{00000000-0005-0000-0000-0000BE660000}"/>
    <cellStyle name="Normal 14 2 4 3 3" xfId="26340" xr:uid="{00000000-0005-0000-0000-0000BF660000}"/>
    <cellStyle name="Normal 14 2 4 3 4" xfId="26341" xr:uid="{00000000-0005-0000-0000-0000C0660000}"/>
    <cellStyle name="Normal 14 2 4 4" xfId="26342" xr:uid="{00000000-0005-0000-0000-0000C1660000}"/>
    <cellStyle name="Normal 14 2 4 4 2" xfId="26343" xr:uid="{00000000-0005-0000-0000-0000C2660000}"/>
    <cellStyle name="Normal 14 2 4 4 3" xfId="26344" xr:uid="{00000000-0005-0000-0000-0000C3660000}"/>
    <cellStyle name="Normal 14 2 4 5" xfId="26345" xr:uid="{00000000-0005-0000-0000-0000C4660000}"/>
    <cellStyle name="Normal 14 2 4 6" xfId="26346" xr:uid="{00000000-0005-0000-0000-0000C5660000}"/>
    <cellStyle name="Normal 14 2 4 7" xfId="26347" xr:uid="{00000000-0005-0000-0000-0000C6660000}"/>
    <cellStyle name="Normal 14 2 5" xfId="26348" xr:uid="{00000000-0005-0000-0000-0000C7660000}"/>
    <cellStyle name="Normal 14 2 5 2" xfId="26349" xr:uid="{00000000-0005-0000-0000-0000C8660000}"/>
    <cellStyle name="Normal 14 2 5 2 2" xfId="26350" xr:uid="{00000000-0005-0000-0000-0000C9660000}"/>
    <cellStyle name="Normal 14 2 5 2 2 2" xfId="26351" xr:uid="{00000000-0005-0000-0000-0000CA660000}"/>
    <cellStyle name="Normal 14 2 5 2 2 3" xfId="26352" xr:uid="{00000000-0005-0000-0000-0000CB660000}"/>
    <cellStyle name="Normal 14 2 5 2 3" xfId="26353" xr:uid="{00000000-0005-0000-0000-0000CC660000}"/>
    <cellStyle name="Normal 14 2 5 2 4" xfId="26354" xr:uid="{00000000-0005-0000-0000-0000CD660000}"/>
    <cellStyle name="Normal 14 2 5 3" xfId="26355" xr:uid="{00000000-0005-0000-0000-0000CE660000}"/>
    <cellStyle name="Normal 14 2 5 3 2" xfId="26356" xr:uid="{00000000-0005-0000-0000-0000CF660000}"/>
    <cellStyle name="Normal 14 2 5 3 3" xfId="26357" xr:uid="{00000000-0005-0000-0000-0000D0660000}"/>
    <cellStyle name="Normal 14 2 5 4" xfId="26358" xr:uid="{00000000-0005-0000-0000-0000D1660000}"/>
    <cellStyle name="Normal 14 2 5 5" xfId="26359" xr:uid="{00000000-0005-0000-0000-0000D2660000}"/>
    <cellStyle name="Normal 14 2 5 6" xfId="26360" xr:uid="{00000000-0005-0000-0000-0000D3660000}"/>
    <cellStyle name="Normal 14 2 6" xfId="26361" xr:uid="{00000000-0005-0000-0000-0000D4660000}"/>
    <cellStyle name="Normal 14 2 6 2" xfId="26362" xr:uid="{00000000-0005-0000-0000-0000D5660000}"/>
    <cellStyle name="Normal 14 2 6 2 2" xfId="26363" xr:uid="{00000000-0005-0000-0000-0000D6660000}"/>
    <cellStyle name="Normal 14 2 6 2 3" xfId="26364" xr:uid="{00000000-0005-0000-0000-0000D7660000}"/>
    <cellStyle name="Normal 14 2 6 3" xfId="26365" xr:uid="{00000000-0005-0000-0000-0000D8660000}"/>
    <cellStyle name="Normal 14 2 6 4" xfId="26366" xr:uid="{00000000-0005-0000-0000-0000D9660000}"/>
    <cellStyle name="Normal 14 2 7" xfId="26367" xr:uid="{00000000-0005-0000-0000-0000DA660000}"/>
    <cellStyle name="Normal 14 2 7 2" xfId="26368" xr:uid="{00000000-0005-0000-0000-0000DB660000}"/>
    <cellStyle name="Normal 14 2 7 3" xfId="26369" xr:uid="{00000000-0005-0000-0000-0000DC660000}"/>
    <cellStyle name="Normal 14 2 8" xfId="26370" xr:uid="{00000000-0005-0000-0000-0000DD660000}"/>
    <cellStyle name="Normal 14 2 9" xfId="26371" xr:uid="{00000000-0005-0000-0000-0000DE660000}"/>
    <cellStyle name="Normal 14 3" xfId="26372" xr:uid="{00000000-0005-0000-0000-0000DF660000}"/>
    <cellStyle name="Normal 14 3 2" xfId="26373" xr:uid="{00000000-0005-0000-0000-0000E0660000}"/>
    <cellStyle name="Normal 14 3 2 2" xfId="26374" xr:uid="{00000000-0005-0000-0000-0000E1660000}"/>
    <cellStyle name="Normal 14 3 2 2 2" xfId="26375" xr:uid="{00000000-0005-0000-0000-0000E2660000}"/>
    <cellStyle name="Normal 14 3 2 2 2 2" xfId="26376" xr:uid="{00000000-0005-0000-0000-0000E3660000}"/>
    <cellStyle name="Normal 14 3 2 2 2 2 2" xfId="26377" xr:uid="{00000000-0005-0000-0000-0000E4660000}"/>
    <cellStyle name="Normal 14 3 2 2 2 2 2 2" xfId="26378" xr:uid="{00000000-0005-0000-0000-0000E5660000}"/>
    <cellStyle name="Normal 14 3 2 2 2 2 2 3" xfId="26379" xr:uid="{00000000-0005-0000-0000-0000E6660000}"/>
    <cellStyle name="Normal 14 3 2 2 2 2 3" xfId="26380" xr:uid="{00000000-0005-0000-0000-0000E7660000}"/>
    <cellStyle name="Normal 14 3 2 2 2 2 4" xfId="26381" xr:uid="{00000000-0005-0000-0000-0000E8660000}"/>
    <cellStyle name="Normal 14 3 2 2 2 3" xfId="26382" xr:uid="{00000000-0005-0000-0000-0000E9660000}"/>
    <cellStyle name="Normal 14 3 2 2 2 3 2" xfId="26383" xr:uid="{00000000-0005-0000-0000-0000EA660000}"/>
    <cellStyle name="Normal 14 3 2 2 2 3 3" xfId="26384" xr:uid="{00000000-0005-0000-0000-0000EB660000}"/>
    <cellStyle name="Normal 14 3 2 2 2 4" xfId="26385" xr:uid="{00000000-0005-0000-0000-0000EC660000}"/>
    <cellStyle name="Normal 14 3 2 2 2 5" xfId="26386" xr:uid="{00000000-0005-0000-0000-0000ED660000}"/>
    <cellStyle name="Normal 14 3 2 2 2 6" xfId="26387" xr:uid="{00000000-0005-0000-0000-0000EE660000}"/>
    <cellStyle name="Normal 14 3 2 2 3" xfId="26388" xr:uid="{00000000-0005-0000-0000-0000EF660000}"/>
    <cellStyle name="Normal 14 3 2 2 3 2" xfId="26389" xr:uid="{00000000-0005-0000-0000-0000F0660000}"/>
    <cellStyle name="Normal 14 3 2 2 3 2 2" xfId="26390" xr:uid="{00000000-0005-0000-0000-0000F1660000}"/>
    <cellStyle name="Normal 14 3 2 2 3 2 3" xfId="26391" xr:uid="{00000000-0005-0000-0000-0000F2660000}"/>
    <cellStyle name="Normal 14 3 2 2 3 3" xfId="26392" xr:uid="{00000000-0005-0000-0000-0000F3660000}"/>
    <cellStyle name="Normal 14 3 2 2 3 4" xfId="26393" xr:uid="{00000000-0005-0000-0000-0000F4660000}"/>
    <cellStyle name="Normal 14 3 2 2 4" xfId="26394" xr:uid="{00000000-0005-0000-0000-0000F5660000}"/>
    <cellStyle name="Normal 14 3 2 2 4 2" xfId="26395" xr:uid="{00000000-0005-0000-0000-0000F6660000}"/>
    <cellStyle name="Normal 14 3 2 2 4 3" xfId="26396" xr:uid="{00000000-0005-0000-0000-0000F7660000}"/>
    <cellStyle name="Normal 14 3 2 2 5" xfId="26397" xr:uid="{00000000-0005-0000-0000-0000F8660000}"/>
    <cellStyle name="Normal 14 3 2 2 6" xfId="26398" xr:uid="{00000000-0005-0000-0000-0000F9660000}"/>
    <cellStyle name="Normal 14 3 2 2 7" xfId="26399" xr:uid="{00000000-0005-0000-0000-0000FA660000}"/>
    <cellStyle name="Normal 14 3 2 3" xfId="26400" xr:uid="{00000000-0005-0000-0000-0000FB660000}"/>
    <cellStyle name="Normal 14 3 2 3 2" xfId="26401" xr:uid="{00000000-0005-0000-0000-0000FC660000}"/>
    <cellStyle name="Normal 14 3 2 3 2 2" xfId="26402" xr:uid="{00000000-0005-0000-0000-0000FD660000}"/>
    <cellStyle name="Normal 14 3 2 3 2 2 2" xfId="26403" xr:uid="{00000000-0005-0000-0000-0000FE660000}"/>
    <cellStyle name="Normal 14 3 2 3 2 2 3" xfId="26404" xr:uid="{00000000-0005-0000-0000-0000FF660000}"/>
    <cellStyle name="Normal 14 3 2 3 2 3" xfId="26405" xr:uid="{00000000-0005-0000-0000-000000670000}"/>
    <cellStyle name="Normal 14 3 2 3 2 4" xfId="26406" xr:uid="{00000000-0005-0000-0000-000001670000}"/>
    <cellStyle name="Normal 14 3 2 3 3" xfId="26407" xr:uid="{00000000-0005-0000-0000-000002670000}"/>
    <cellStyle name="Normal 14 3 2 3 3 2" xfId="26408" xr:uid="{00000000-0005-0000-0000-000003670000}"/>
    <cellStyle name="Normal 14 3 2 3 3 3" xfId="26409" xr:uid="{00000000-0005-0000-0000-000004670000}"/>
    <cellStyle name="Normal 14 3 2 3 4" xfId="26410" xr:uid="{00000000-0005-0000-0000-000005670000}"/>
    <cellStyle name="Normal 14 3 2 3 5" xfId="26411" xr:uid="{00000000-0005-0000-0000-000006670000}"/>
    <cellStyle name="Normal 14 3 2 3 6" xfId="26412" xr:uid="{00000000-0005-0000-0000-000007670000}"/>
    <cellStyle name="Normal 14 3 2 4" xfId="26413" xr:uid="{00000000-0005-0000-0000-000008670000}"/>
    <cellStyle name="Normal 14 3 2 4 2" xfId="26414" xr:uid="{00000000-0005-0000-0000-000009670000}"/>
    <cellStyle name="Normal 14 3 2 4 2 2" xfId="26415" xr:uid="{00000000-0005-0000-0000-00000A670000}"/>
    <cellStyle name="Normal 14 3 2 4 2 3" xfId="26416" xr:uid="{00000000-0005-0000-0000-00000B670000}"/>
    <cellStyle name="Normal 14 3 2 4 3" xfId="26417" xr:uid="{00000000-0005-0000-0000-00000C670000}"/>
    <cellStyle name="Normal 14 3 2 4 4" xfId="26418" xr:uid="{00000000-0005-0000-0000-00000D670000}"/>
    <cellStyle name="Normal 14 3 2 5" xfId="26419" xr:uid="{00000000-0005-0000-0000-00000E670000}"/>
    <cellStyle name="Normal 14 3 2 5 2" xfId="26420" xr:uid="{00000000-0005-0000-0000-00000F670000}"/>
    <cellStyle name="Normal 14 3 2 5 3" xfId="26421" xr:uid="{00000000-0005-0000-0000-000010670000}"/>
    <cellStyle name="Normal 14 3 2 6" xfId="26422" xr:uid="{00000000-0005-0000-0000-000011670000}"/>
    <cellStyle name="Normal 14 3 2 7" xfId="26423" xr:uid="{00000000-0005-0000-0000-000012670000}"/>
    <cellStyle name="Normal 14 3 2 8" xfId="26424" xr:uid="{00000000-0005-0000-0000-000013670000}"/>
    <cellStyle name="Normal 14 3 3" xfId="26425" xr:uid="{00000000-0005-0000-0000-000014670000}"/>
    <cellStyle name="Normal 14 3 3 2" xfId="26426" xr:uid="{00000000-0005-0000-0000-000015670000}"/>
    <cellStyle name="Normal 14 3 3 2 2" xfId="26427" xr:uid="{00000000-0005-0000-0000-000016670000}"/>
    <cellStyle name="Normal 14 3 3 2 2 2" xfId="26428" xr:uid="{00000000-0005-0000-0000-000017670000}"/>
    <cellStyle name="Normal 14 3 3 2 2 2 2" xfId="26429" xr:uid="{00000000-0005-0000-0000-000018670000}"/>
    <cellStyle name="Normal 14 3 3 2 2 2 3" xfId="26430" xr:uid="{00000000-0005-0000-0000-000019670000}"/>
    <cellStyle name="Normal 14 3 3 2 2 3" xfId="26431" xr:uid="{00000000-0005-0000-0000-00001A670000}"/>
    <cellStyle name="Normal 14 3 3 2 2 4" xfId="26432" xr:uid="{00000000-0005-0000-0000-00001B670000}"/>
    <cellStyle name="Normal 14 3 3 2 3" xfId="26433" xr:uid="{00000000-0005-0000-0000-00001C670000}"/>
    <cellStyle name="Normal 14 3 3 2 3 2" xfId="26434" xr:uid="{00000000-0005-0000-0000-00001D670000}"/>
    <cellStyle name="Normal 14 3 3 2 3 3" xfId="26435" xr:uid="{00000000-0005-0000-0000-00001E670000}"/>
    <cellStyle name="Normal 14 3 3 2 4" xfId="26436" xr:uid="{00000000-0005-0000-0000-00001F670000}"/>
    <cellStyle name="Normal 14 3 3 2 5" xfId="26437" xr:uid="{00000000-0005-0000-0000-000020670000}"/>
    <cellStyle name="Normal 14 3 3 2 6" xfId="26438" xr:uid="{00000000-0005-0000-0000-000021670000}"/>
    <cellStyle name="Normal 14 3 3 3" xfId="26439" xr:uid="{00000000-0005-0000-0000-000022670000}"/>
    <cellStyle name="Normal 14 3 3 3 2" xfId="26440" xr:uid="{00000000-0005-0000-0000-000023670000}"/>
    <cellStyle name="Normal 14 3 3 3 2 2" xfId="26441" xr:uid="{00000000-0005-0000-0000-000024670000}"/>
    <cellStyle name="Normal 14 3 3 3 2 3" xfId="26442" xr:uid="{00000000-0005-0000-0000-000025670000}"/>
    <cellStyle name="Normal 14 3 3 3 3" xfId="26443" xr:uid="{00000000-0005-0000-0000-000026670000}"/>
    <cellStyle name="Normal 14 3 3 3 4" xfId="26444" xr:uid="{00000000-0005-0000-0000-000027670000}"/>
    <cellStyle name="Normal 14 3 3 4" xfId="26445" xr:uid="{00000000-0005-0000-0000-000028670000}"/>
    <cellStyle name="Normal 14 3 3 4 2" xfId="26446" xr:uid="{00000000-0005-0000-0000-000029670000}"/>
    <cellStyle name="Normal 14 3 3 4 3" xfId="26447" xr:uid="{00000000-0005-0000-0000-00002A670000}"/>
    <cellStyle name="Normal 14 3 3 5" xfId="26448" xr:uid="{00000000-0005-0000-0000-00002B670000}"/>
    <cellStyle name="Normal 14 3 3 6" xfId="26449" xr:uid="{00000000-0005-0000-0000-00002C670000}"/>
    <cellStyle name="Normal 14 3 3 7" xfId="26450" xr:uid="{00000000-0005-0000-0000-00002D670000}"/>
    <cellStyle name="Normal 14 3 4" xfId="26451" xr:uid="{00000000-0005-0000-0000-00002E670000}"/>
    <cellStyle name="Normal 14 3 4 2" xfId="26452" xr:uid="{00000000-0005-0000-0000-00002F670000}"/>
    <cellStyle name="Normal 14 3 4 2 2" xfId="26453" xr:uid="{00000000-0005-0000-0000-000030670000}"/>
    <cellStyle name="Normal 14 3 4 2 2 2" xfId="26454" xr:uid="{00000000-0005-0000-0000-000031670000}"/>
    <cellStyle name="Normal 14 3 4 2 2 3" xfId="26455" xr:uid="{00000000-0005-0000-0000-000032670000}"/>
    <cellStyle name="Normal 14 3 4 2 3" xfId="26456" xr:uid="{00000000-0005-0000-0000-000033670000}"/>
    <cellStyle name="Normal 14 3 4 2 4" xfId="26457" xr:uid="{00000000-0005-0000-0000-000034670000}"/>
    <cellStyle name="Normal 14 3 4 3" xfId="26458" xr:uid="{00000000-0005-0000-0000-000035670000}"/>
    <cellStyle name="Normal 14 3 4 3 2" xfId="26459" xr:uid="{00000000-0005-0000-0000-000036670000}"/>
    <cellStyle name="Normal 14 3 4 3 3" xfId="26460" xr:uid="{00000000-0005-0000-0000-000037670000}"/>
    <cellStyle name="Normal 14 3 4 4" xfId="26461" xr:uid="{00000000-0005-0000-0000-000038670000}"/>
    <cellStyle name="Normal 14 3 4 5" xfId="26462" xr:uid="{00000000-0005-0000-0000-000039670000}"/>
    <cellStyle name="Normal 14 3 4 6" xfId="26463" xr:uid="{00000000-0005-0000-0000-00003A670000}"/>
    <cellStyle name="Normal 14 3 5" xfId="26464" xr:uid="{00000000-0005-0000-0000-00003B670000}"/>
    <cellStyle name="Normal 14 3 5 2" xfId="26465" xr:uid="{00000000-0005-0000-0000-00003C670000}"/>
    <cellStyle name="Normal 14 3 5 2 2" xfId="26466" xr:uid="{00000000-0005-0000-0000-00003D670000}"/>
    <cellStyle name="Normal 14 3 5 2 3" xfId="26467" xr:uid="{00000000-0005-0000-0000-00003E670000}"/>
    <cellStyle name="Normal 14 3 5 3" xfId="26468" xr:uid="{00000000-0005-0000-0000-00003F670000}"/>
    <cellStyle name="Normal 14 3 5 4" xfId="26469" xr:uid="{00000000-0005-0000-0000-000040670000}"/>
    <cellStyle name="Normal 14 3 6" xfId="26470" xr:uid="{00000000-0005-0000-0000-000041670000}"/>
    <cellStyle name="Normal 14 3 6 2" xfId="26471" xr:uid="{00000000-0005-0000-0000-000042670000}"/>
    <cellStyle name="Normal 14 3 6 3" xfId="26472" xr:uid="{00000000-0005-0000-0000-000043670000}"/>
    <cellStyle name="Normal 14 3 7" xfId="26473" xr:uid="{00000000-0005-0000-0000-000044670000}"/>
    <cellStyle name="Normal 14 3 8" xfId="26474" xr:uid="{00000000-0005-0000-0000-000045670000}"/>
    <cellStyle name="Normal 14 3 9" xfId="26475" xr:uid="{00000000-0005-0000-0000-000046670000}"/>
    <cellStyle name="Normal 14 4" xfId="26476" xr:uid="{00000000-0005-0000-0000-000047670000}"/>
    <cellStyle name="Normal 14 4 2" xfId="26477" xr:uid="{00000000-0005-0000-0000-000048670000}"/>
    <cellStyle name="Normal 14 4 2 2" xfId="26478" xr:uid="{00000000-0005-0000-0000-000049670000}"/>
    <cellStyle name="Normal 14 4 2 2 2" xfId="26479" xr:uid="{00000000-0005-0000-0000-00004A670000}"/>
    <cellStyle name="Normal 14 4 2 2 2 2" xfId="26480" xr:uid="{00000000-0005-0000-0000-00004B670000}"/>
    <cellStyle name="Normal 14 4 2 2 2 2 2" xfId="26481" xr:uid="{00000000-0005-0000-0000-00004C670000}"/>
    <cellStyle name="Normal 14 4 2 2 2 2 3" xfId="26482" xr:uid="{00000000-0005-0000-0000-00004D670000}"/>
    <cellStyle name="Normal 14 4 2 2 2 3" xfId="26483" xr:uid="{00000000-0005-0000-0000-00004E670000}"/>
    <cellStyle name="Normal 14 4 2 2 2 4" xfId="26484" xr:uid="{00000000-0005-0000-0000-00004F670000}"/>
    <cellStyle name="Normal 14 4 2 2 3" xfId="26485" xr:uid="{00000000-0005-0000-0000-000050670000}"/>
    <cellStyle name="Normal 14 4 2 2 3 2" xfId="26486" xr:uid="{00000000-0005-0000-0000-000051670000}"/>
    <cellStyle name="Normal 14 4 2 2 3 3" xfId="26487" xr:uid="{00000000-0005-0000-0000-000052670000}"/>
    <cellStyle name="Normal 14 4 2 2 4" xfId="26488" xr:uid="{00000000-0005-0000-0000-000053670000}"/>
    <cellStyle name="Normal 14 4 2 2 5" xfId="26489" xr:uid="{00000000-0005-0000-0000-000054670000}"/>
    <cellStyle name="Normal 14 4 2 2 6" xfId="26490" xr:uid="{00000000-0005-0000-0000-000055670000}"/>
    <cellStyle name="Normal 14 4 2 3" xfId="26491" xr:uid="{00000000-0005-0000-0000-000056670000}"/>
    <cellStyle name="Normal 14 4 2 3 2" xfId="26492" xr:uid="{00000000-0005-0000-0000-000057670000}"/>
    <cellStyle name="Normal 14 4 2 3 2 2" xfId="26493" xr:uid="{00000000-0005-0000-0000-000058670000}"/>
    <cellStyle name="Normal 14 4 2 3 2 3" xfId="26494" xr:uid="{00000000-0005-0000-0000-000059670000}"/>
    <cellStyle name="Normal 14 4 2 3 3" xfId="26495" xr:uid="{00000000-0005-0000-0000-00005A670000}"/>
    <cellStyle name="Normal 14 4 2 3 4" xfId="26496" xr:uid="{00000000-0005-0000-0000-00005B670000}"/>
    <cellStyle name="Normal 14 4 2 4" xfId="26497" xr:uid="{00000000-0005-0000-0000-00005C670000}"/>
    <cellStyle name="Normal 14 4 2 4 2" xfId="26498" xr:uid="{00000000-0005-0000-0000-00005D670000}"/>
    <cellStyle name="Normal 14 4 2 4 3" xfId="26499" xr:uid="{00000000-0005-0000-0000-00005E670000}"/>
    <cellStyle name="Normal 14 4 2 5" xfId="26500" xr:uid="{00000000-0005-0000-0000-00005F670000}"/>
    <cellStyle name="Normal 14 4 2 6" xfId="26501" xr:uid="{00000000-0005-0000-0000-000060670000}"/>
    <cellStyle name="Normal 14 4 2 7" xfId="26502" xr:uid="{00000000-0005-0000-0000-000061670000}"/>
    <cellStyle name="Normal 14 4 3" xfId="26503" xr:uid="{00000000-0005-0000-0000-000062670000}"/>
    <cellStyle name="Normal 14 4 3 2" xfId="26504" xr:uid="{00000000-0005-0000-0000-000063670000}"/>
    <cellStyle name="Normal 14 4 3 2 2" xfId="26505" xr:uid="{00000000-0005-0000-0000-000064670000}"/>
    <cellStyle name="Normal 14 4 3 2 2 2" xfId="26506" xr:uid="{00000000-0005-0000-0000-000065670000}"/>
    <cellStyle name="Normal 14 4 3 2 2 3" xfId="26507" xr:uid="{00000000-0005-0000-0000-000066670000}"/>
    <cellStyle name="Normal 14 4 3 2 3" xfId="26508" xr:uid="{00000000-0005-0000-0000-000067670000}"/>
    <cellStyle name="Normal 14 4 3 2 4" xfId="26509" xr:uid="{00000000-0005-0000-0000-000068670000}"/>
    <cellStyle name="Normal 14 4 3 3" xfId="26510" xr:uid="{00000000-0005-0000-0000-000069670000}"/>
    <cellStyle name="Normal 14 4 3 3 2" xfId="26511" xr:uid="{00000000-0005-0000-0000-00006A670000}"/>
    <cellStyle name="Normal 14 4 3 3 3" xfId="26512" xr:uid="{00000000-0005-0000-0000-00006B670000}"/>
    <cellStyle name="Normal 14 4 3 4" xfId="26513" xr:uid="{00000000-0005-0000-0000-00006C670000}"/>
    <cellStyle name="Normal 14 4 3 5" xfId="26514" xr:uid="{00000000-0005-0000-0000-00006D670000}"/>
    <cellStyle name="Normal 14 4 3 6" xfId="26515" xr:uid="{00000000-0005-0000-0000-00006E670000}"/>
    <cellStyle name="Normal 14 4 4" xfId="26516" xr:uid="{00000000-0005-0000-0000-00006F670000}"/>
    <cellStyle name="Normal 14 4 4 2" xfId="26517" xr:uid="{00000000-0005-0000-0000-000070670000}"/>
    <cellStyle name="Normal 14 4 4 2 2" xfId="26518" xr:uid="{00000000-0005-0000-0000-000071670000}"/>
    <cellStyle name="Normal 14 4 4 2 3" xfId="26519" xr:uid="{00000000-0005-0000-0000-000072670000}"/>
    <cellStyle name="Normal 14 4 4 3" xfId="26520" xr:uid="{00000000-0005-0000-0000-000073670000}"/>
    <cellStyle name="Normal 14 4 4 4" xfId="26521" xr:uid="{00000000-0005-0000-0000-000074670000}"/>
    <cellStyle name="Normal 14 4 5" xfId="26522" xr:uid="{00000000-0005-0000-0000-000075670000}"/>
    <cellStyle name="Normal 14 4 5 2" xfId="26523" xr:uid="{00000000-0005-0000-0000-000076670000}"/>
    <cellStyle name="Normal 14 4 5 3" xfId="26524" xr:uid="{00000000-0005-0000-0000-000077670000}"/>
    <cellStyle name="Normal 14 4 6" xfId="26525" xr:uid="{00000000-0005-0000-0000-000078670000}"/>
    <cellStyle name="Normal 14 4 7" xfId="26526" xr:uid="{00000000-0005-0000-0000-000079670000}"/>
    <cellStyle name="Normal 14 4 8" xfId="26527" xr:uid="{00000000-0005-0000-0000-00007A670000}"/>
    <cellStyle name="Normal 14 5" xfId="26528" xr:uid="{00000000-0005-0000-0000-00007B670000}"/>
    <cellStyle name="Normal 14 5 2" xfId="26529" xr:uid="{00000000-0005-0000-0000-00007C670000}"/>
    <cellStyle name="Normal 14 5 2 2" xfId="26530" xr:uid="{00000000-0005-0000-0000-00007D670000}"/>
    <cellStyle name="Normal 14 5 2 2 2" xfId="26531" xr:uid="{00000000-0005-0000-0000-00007E670000}"/>
    <cellStyle name="Normal 14 5 2 2 2 2" xfId="26532" xr:uid="{00000000-0005-0000-0000-00007F670000}"/>
    <cellStyle name="Normal 14 5 2 2 2 2 2" xfId="26533" xr:uid="{00000000-0005-0000-0000-000080670000}"/>
    <cellStyle name="Normal 14 5 2 2 2 2 3" xfId="26534" xr:uid="{00000000-0005-0000-0000-000081670000}"/>
    <cellStyle name="Normal 14 5 2 2 2 3" xfId="26535" xr:uid="{00000000-0005-0000-0000-000082670000}"/>
    <cellStyle name="Normal 14 5 2 2 2 4" xfId="26536" xr:uid="{00000000-0005-0000-0000-000083670000}"/>
    <cellStyle name="Normal 14 5 2 2 3" xfId="26537" xr:uid="{00000000-0005-0000-0000-000084670000}"/>
    <cellStyle name="Normal 14 5 2 2 3 2" xfId="26538" xr:uid="{00000000-0005-0000-0000-000085670000}"/>
    <cellStyle name="Normal 14 5 2 2 3 3" xfId="26539" xr:uid="{00000000-0005-0000-0000-000086670000}"/>
    <cellStyle name="Normal 14 5 2 2 4" xfId="26540" xr:uid="{00000000-0005-0000-0000-000087670000}"/>
    <cellStyle name="Normal 14 5 2 2 5" xfId="26541" xr:uid="{00000000-0005-0000-0000-000088670000}"/>
    <cellStyle name="Normal 14 5 2 2 6" xfId="26542" xr:uid="{00000000-0005-0000-0000-000089670000}"/>
    <cellStyle name="Normal 14 5 2 3" xfId="26543" xr:uid="{00000000-0005-0000-0000-00008A670000}"/>
    <cellStyle name="Normal 14 5 2 3 2" xfId="26544" xr:uid="{00000000-0005-0000-0000-00008B670000}"/>
    <cellStyle name="Normal 14 5 2 3 2 2" xfId="26545" xr:uid="{00000000-0005-0000-0000-00008C670000}"/>
    <cellStyle name="Normal 14 5 2 3 2 3" xfId="26546" xr:uid="{00000000-0005-0000-0000-00008D670000}"/>
    <cellStyle name="Normal 14 5 2 3 3" xfId="26547" xr:uid="{00000000-0005-0000-0000-00008E670000}"/>
    <cellStyle name="Normal 14 5 2 3 4" xfId="26548" xr:uid="{00000000-0005-0000-0000-00008F670000}"/>
    <cellStyle name="Normal 14 5 2 4" xfId="26549" xr:uid="{00000000-0005-0000-0000-000090670000}"/>
    <cellStyle name="Normal 14 5 2 4 2" xfId="26550" xr:uid="{00000000-0005-0000-0000-000091670000}"/>
    <cellStyle name="Normal 14 5 2 4 3" xfId="26551" xr:uid="{00000000-0005-0000-0000-000092670000}"/>
    <cellStyle name="Normal 14 5 2 5" xfId="26552" xr:uid="{00000000-0005-0000-0000-000093670000}"/>
    <cellStyle name="Normal 14 5 2 6" xfId="26553" xr:uid="{00000000-0005-0000-0000-000094670000}"/>
    <cellStyle name="Normal 14 5 2 7" xfId="26554" xr:uid="{00000000-0005-0000-0000-000095670000}"/>
    <cellStyle name="Normal 14 5 3" xfId="26555" xr:uid="{00000000-0005-0000-0000-000096670000}"/>
    <cellStyle name="Normal 14 5 3 2" xfId="26556" xr:uid="{00000000-0005-0000-0000-000097670000}"/>
    <cellStyle name="Normal 14 5 3 2 2" xfId="26557" xr:uid="{00000000-0005-0000-0000-000098670000}"/>
    <cellStyle name="Normal 14 5 3 2 2 2" xfId="26558" xr:uid="{00000000-0005-0000-0000-000099670000}"/>
    <cellStyle name="Normal 14 5 3 2 2 3" xfId="26559" xr:uid="{00000000-0005-0000-0000-00009A670000}"/>
    <cellStyle name="Normal 14 5 3 2 3" xfId="26560" xr:uid="{00000000-0005-0000-0000-00009B670000}"/>
    <cellStyle name="Normal 14 5 3 2 4" xfId="26561" xr:uid="{00000000-0005-0000-0000-00009C670000}"/>
    <cellStyle name="Normal 14 5 3 3" xfId="26562" xr:uid="{00000000-0005-0000-0000-00009D670000}"/>
    <cellStyle name="Normal 14 5 3 3 2" xfId="26563" xr:uid="{00000000-0005-0000-0000-00009E670000}"/>
    <cellStyle name="Normal 14 5 3 3 3" xfId="26564" xr:uid="{00000000-0005-0000-0000-00009F670000}"/>
    <cellStyle name="Normal 14 5 3 4" xfId="26565" xr:uid="{00000000-0005-0000-0000-0000A0670000}"/>
    <cellStyle name="Normal 14 5 3 5" xfId="26566" xr:uid="{00000000-0005-0000-0000-0000A1670000}"/>
    <cellStyle name="Normal 14 5 3 6" xfId="26567" xr:uid="{00000000-0005-0000-0000-0000A2670000}"/>
    <cellStyle name="Normal 14 5 4" xfId="26568" xr:uid="{00000000-0005-0000-0000-0000A3670000}"/>
    <cellStyle name="Normal 14 5 4 2" xfId="26569" xr:uid="{00000000-0005-0000-0000-0000A4670000}"/>
    <cellStyle name="Normal 14 5 4 2 2" xfId="26570" xr:uid="{00000000-0005-0000-0000-0000A5670000}"/>
    <cellStyle name="Normal 14 5 4 2 3" xfId="26571" xr:uid="{00000000-0005-0000-0000-0000A6670000}"/>
    <cellStyle name="Normal 14 5 4 3" xfId="26572" xr:uid="{00000000-0005-0000-0000-0000A7670000}"/>
    <cellStyle name="Normal 14 5 4 4" xfId="26573" xr:uid="{00000000-0005-0000-0000-0000A8670000}"/>
    <cellStyle name="Normal 14 5 5" xfId="26574" xr:uid="{00000000-0005-0000-0000-0000A9670000}"/>
    <cellStyle name="Normal 14 5 5 2" xfId="26575" xr:uid="{00000000-0005-0000-0000-0000AA670000}"/>
    <cellStyle name="Normal 14 5 5 3" xfId="26576" xr:uid="{00000000-0005-0000-0000-0000AB670000}"/>
    <cellStyle name="Normal 14 5 6" xfId="26577" xr:uid="{00000000-0005-0000-0000-0000AC670000}"/>
    <cellStyle name="Normal 14 5 7" xfId="26578" xr:uid="{00000000-0005-0000-0000-0000AD670000}"/>
    <cellStyle name="Normal 14 5 8" xfId="26579" xr:uid="{00000000-0005-0000-0000-0000AE670000}"/>
    <cellStyle name="Normal 14 6" xfId="26580" xr:uid="{00000000-0005-0000-0000-0000AF670000}"/>
    <cellStyle name="Normal 14 6 2" xfId="26581" xr:uid="{00000000-0005-0000-0000-0000B0670000}"/>
    <cellStyle name="Normal 14 6 2 2" xfId="26582" xr:uid="{00000000-0005-0000-0000-0000B1670000}"/>
    <cellStyle name="Normal 14 6 2 2 2" xfId="26583" xr:uid="{00000000-0005-0000-0000-0000B2670000}"/>
    <cellStyle name="Normal 14 6 2 2 2 2" xfId="26584" xr:uid="{00000000-0005-0000-0000-0000B3670000}"/>
    <cellStyle name="Normal 14 6 2 2 2 3" xfId="26585" xr:uid="{00000000-0005-0000-0000-0000B4670000}"/>
    <cellStyle name="Normal 14 6 2 2 3" xfId="26586" xr:uid="{00000000-0005-0000-0000-0000B5670000}"/>
    <cellStyle name="Normal 14 6 2 2 4" xfId="26587" xr:uid="{00000000-0005-0000-0000-0000B6670000}"/>
    <cellStyle name="Normal 14 6 2 3" xfId="26588" xr:uid="{00000000-0005-0000-0000-0000B7670000}"/>
    <cellStyle name="Normal 14 6 2 3 2" xfId="26589" xr:uid="{00000000-0005-0000-0000-0000B8670000}"/>
    <cellStyle name="Normal 14 6 2 3 3" xfId="26590" xr:uid="{00000000-0005-0000-0000-0000B9670000}"/>
    <cellStyle name="Normal 14 6 2 4" xfId="26591" xr:uid="{00000000-0005-0000-0000-0000BA670000}"/>
    <cellStyle name="Normal 14 6 2 5" xfId="26592" xr:uid="{00000000-0005-0000-0000-0000BB670000}"/>
    <cellStyle name="Normal 14 6 2 6" xfId="26593" xr:uid="{00000000-0005-0000-0000-0000BC670000}"/>
    <cellStyle name="Normal 14 6 3" xfId="26594" xr:uid="{00000000-0005-0000-0000-0000BD670000}"/>
    <cellStyle name="Normal 14 6 3 2" xfId="26595" xr:uid="{00000000-0005-0000-0000-0000BE670000}"/>
    <cellStyle name="Normal 14 6 3 2 2" xfId="26596" xr:uid="{00000000-0005-0000-0000-0000BF670000}"/>
    <cellStyle name="Normal 14 6 3 2 3" xfId="26597" xr:uid="{00000000-0005-0000-0000-0000C0670000}"/>
    <cellStyle name="Normal 14 6 3 3" xfId="26598" xr:uid="{00000000-0005-0000-0000-0000C1670000}"/>
    <cellStyle name="Normal 14 6 3 4" xfId="26599" xr:uid="{00000000-0005-0000-0000-0000C2670000}"/>
    <cellStyle name="Normal 14 6 4" xfId="26600" xr:uid="{00000000-0005-0000-0000-0000C3670000}"/>
    <cellStyle name="Normal 14 6 4 2" xfId="26601" xr:uid="{00000000-0005-0000-0000-0000C4670000}"/>
    <cellStyle name="Normal 14 6 4 3" xfId="26602" xr:uid="{00000000-0005-0000-0000-0000C5670000}"/>
    <cellStyle name="Normal 14 6 5" xfId="26603" xr:uid="{00000000-0005-0000-0000-0000C6670000}"/>
    <cellStyle name="Normal 14 6 6" xfId="26604" xr:uid="{00000000-0005-0000-0000-0000C7670000}"/>
    <cellStyle name="Normal 14 6 7" xfId="26605" xr:uid="{00000000-0005-0000-0000-0000C8670000}"/>
    <cellStyle name="Normal 14 7" xfId="26606" xr:uid="{00000000-0005-0000-0000-0000C9670000}"/>
    <cellStyle name="Normal 14 7 2" xfId="26607" xr:uid="{00000000-0005-0000-0000-0000CA670000}"/>
    <cellStyle name="Normal 14 7 2 2" xfId="26608" xr:uid="{00000000-0005-0000-0000-0000CB670000}"/>
    <cellStyle name="Normal 14 7 2 2 2" xfId="26609" xr:uid="{00000000-0005-0000-0000-0000CC670000}"/>
    <cellStyle name="Normal 14 7 2 2 3" xfId="26610" xr:uid="{00000000-0005-0000-0000-0000CD670000}"/>
    <cellStyle name="Normal 14 7 2 3" xfId="26611" xr:uid="{00000000-0005-0000-0000-0000CE670000}"/>
    <cellStyle name="Normal 14 7 2 4" xfId="26612" xr:uid="{00000000-0005-0000-0000-0000CF670000}"/>
    <cellStyle name="Normal 14 7 3" xfId="26613" xr:uid="{00000000-0005-0000-0000-0000D0670000}"/>
    <cellStyle name="Normal 14 7 3 2" xfId="26614" xr:uid="{00000000-0005-0000-0000-0000D1670000}"/>
    <cellStyle name="Normal 14 7 3 3" xfId="26615" xr:uid="{00000000-0005-0000-0000-0000D2670000}"/>
    <cellStyle name="Normal 14 7 4" xfId="26616" xr:uid="{00000000-0005-0000-0000-0000D3670000}"/>
    <cellStyle name="Normal 14 7 5" xfId="26617" xr:uid="{00000000-0005-0000-0000-0000D4670000}"/>
    <cellStyle name="Normal 14 7 6" xfId="26618" xr:uid="{00000000-0005-0000-0000-0000D5670000}"/>
    <cellStyle name="Normal 14 8" xfId="26619" xr:uid="{00000000-0005-0000-0000-0000D6670000}"/>
    <cellStyle name="Normal 14 8 2" xfId="26620" xr:uid="{00000000-0005-0000-0000-0000D7670000}"/>
    <cellStyle name="Normal 14 8 2 2" xfId="26621" xr:uid="{00000000-0005-0000-0000-0000D8670000}"/>
    <cellStyle name="Normal 14 8 2 2 2" xfId="26622" xr:uid="{00000000-0005-0000-0000-0000D9670000}"/>
    <cellStyle name="Normal 14 8 2 2 3" xfId="26623" xr:uid="{00000000-0005-0000-0000-0000DA670000}"/>
    <cellStyle name="Normal 14 8 2 3" xfId="26624" xr:uid="{00000000-0005-0000-0000-0000DB670000}"/>
    <cellStyle name="Normal 14 8 2 4" xfId="26625" xr:uid="{00000000-0005-0000-0000-0000DC670000}"/>
    <cellStyle name="Normal 14 8 3" xfId="26626" xr:uid="{00000000-0005-0000-0000-0000DD670000}"/>
    <cellStyle name="Normal 14 8 3 2" xfId="26627" xr:uid="{00000000-0005-0000-0000-0000DE670000}"/>
    <cellStyle name="Normal 14 8 3 3" xfId="26628" xr:uid="{00000000-0005-0000-0000-0000DF670000}"/>
    <cellStyle name="Normal 14 8 4" xfId="26629" xr:uid="{00000000-0005-0000-0000-0000E0670000}"/>
    <cellStyle name="Normal 14 8 5" xfId="26630" xr:uid="{00000000-0005-0000-0000-0000E1670000}"/>
    <cellStyle name="Normal 14 8 6" xfId="26631" xr:uid="{00000000-0005-0000-0000-0000E2670000}"/>
    <cellStyle name="Normal 14 9" xfId="26632" xr:uid="{00000000-0005-0000-0000-0000E3670000}"/>
    <cellStyle name="Normal 14 9 2" xfId="26633" xr:uid="{00000000-0005-0000-0000-0000E4670000}"/>
    <cellStyle name="Normal 14 9 2 2" xfId="26634" xr:uid="{00000000-0005-0000-0000-0000E5670000}"/>
    <cellStyle name="Normal 14 9 2 3" xfId="26635" xr:uid="{00000000-0005-0000-0000-0000E6670000}"/>
    <cellStyle name="Normal 14 9 3" xfId="26636" xr:uid="{00000000-0005-0000-0000-0000E7670000}"/>
    <cellStyle name="Normal 14 9 4" xfId="26637" xr:uid="{00000000-0005-0000-0000-0000E8670000}"/>
    <cellStyle name="Normal 15" xfId="56" xr:uid="{00000000-0005-0000-0000-0000E9670000}"/>
    <cellStyle name="Normal 15 10" xfId="26638" xr:uid="{00000000-0005-0000-0000-0000EA670000}"/>
    <cellStyle name="Normal 15 2" xfId="26639" xr:uid="{00000000-0005-0000-0000-0000EB670000}"/>
    <cellStyle name="Normal 15 2 2" xfId="26640" xr:uid="{00000000-0005-0000-0000-0000EC670000}"/>
    <cellStyle name="Normal 15 2 2 2" xfId="26641" xr:uid="{00000000-0005-0000-0000-0000ED670000}"/>
    <cellStyle name="Normal 15 2 2 2 2" xfId="26642" xr:uid="{00000000-0005-0000-0000-0000EE670000}"/>
    <cellStyle name="Normal 15 2 2 2 2 2" xfId="26643" xr:uid="{00000000-0005-0000-0000-0000EF670000}"/>
    <cellStyle name="Normal 15 2 2 2 2 2 2" xfId="26644" xr:uid="{00000000-0005-0000-0000-0000F0670000}"/>
    <cellStyle name="Normal 15 2 2 2 2 2 2 2" xfId="26645" xr:uid="{00000000-0005-0000-0000-0000F1670000}"/>
    <cellStyle name="Normal 15 2 2 2 2 2 2 3" xfId="26646" xr:uid="{00000000-0005-0000-0000-0000F2670000}"/>
    <cellStyle name="Normal 15 2 2 2 2 2 3" xfId="26647" xr:uid="{00000000-0005-0000-0000-0000F3670000}"/>
    <cellStyle name="Normal 15 2 2 2 2 2 4" xfId="26648" xr:uid="{00000000-0005-0000-0000-0000F4670000}"/>
    <cellStyle name="Normal 15 2 2 2 2 3" xfId="26649" xr:uid="{00000000-0005-0000-0000-0000F5670000}"/>
    <cellStyle name="Normal 15 2 2 2 2 3 2" xfId="26650" xr:uid="{00000000-0005-0000-0000-0000F6670000}"/>
    <cellStyle name="Normal 15 2 2 2 2 3 3" xfId="26651" xr:uid="{00000000-0005-0000-0000-0000F7670000}"/>
    <cellStyle name="Normal 15 2 2 2 2 4" xfId="26652" xr:uid="{00000000-0005-0000-0000-0000F8670000}"/>
    <cellStyle name="Normal 15 2 2 2 2 5" xfId="26653" xr:uid="{00000000-0005-0000-0000-0000F9670000}"/>
    <cellStyle name="Normal 15 2 2 2 2 6" xfId="26654" xr:uid="{00000000-0005-0000-0000-0000FA670000}"/>
    <cellStyle name="Normal 15 2 2 2 3" xfId="26655" xr:uid="{00000000-0005-0000-0000-0000FB670000}"/>
    <cellStyle name="Normal 15 2 2 2 3 2" xfId="26656" xr:uid="{00000000-0005-0000-0000-0000FC670000}"/>
    <cellStyle name="Normal 15 2 2 2 3 2 2" xfId="26657" xr:uid="{00000000-0005-0000-0000-0000FD670000}"/>
    <cellStyle name="Normal 15 2 2 2 3 2 3" xfId="26658" xr:uid="{00000000-0005-0000-0000-0000FE670000}"/>
    <cellStyle name="Normal 15 2 2 2 3 3" xfId="26659" xr:uid="{00000000-0005-0000-0000-0000FF670000}"/>
    <cellStyle name="Normal 15 2 2 2 3 4" xfId="26660" xr:uid="{00000000-0005-0000-0000-000000680000}"/>
    <cellStyle name="Normal 15 2 2 2 4" xfId="26661" xr:uid="{00000000-0005-0000-0000-000001680000}"/>
    <cellStyle name="Normal 15 2 2 2 4 2" xfId="26662" xr:uid="{00000000-0005-0000-0000-000002680000}"/>
    <cellStyle name="Normal 15 2 2 2 4 3" xfId="26663" xr:uid="{00000000-0005-0000-0000-000003680000}"/>
    <cellStyle name="Normal 15 2 2 2 5" xfId="26664" xr:uid="{00000000-0005-0000-0000-000004680000}"/>
    <cellStyle name="Normal 15 2 2 2 6" xfId="26665" xr:uid="{00000000-0005-0000-0000-000005680000}"/>
    <cellStyle name="Normal 15 2 2 2 7" xfId="26666" xr:uid="{00000000-0005-0000-0000-000006680000}"/>
    <cellStyle name="Normal 15 2 2 3" xfId="26667" xr:uid="{00000000-0005-0000-0000-000007680000}"/>
    <cellStyle name="Normal 15 2 2 3 2" xfId="26668" xr:uid="{00000000-0005-0000-0000-000008680000}"/>
    <cellStyle name="Normal 15 2 2 3 2 2" xfId="26669" xr:uid="{00000000-0005-0000-0000-000009680000}"/>
    <cellStyle name="Normal 15 2 2 3 2 2 2" xfId="26670" xr:uid="{00000000-0005-0000-0000-00000A680000}"/>
    <cellStyle name="Normal 15 2 2 3 2 2 3" xfId="26671" xr:uid="{00000000-0005-0000-0000-00000B680000}"/>
    <cellStyle name="Normal 15 2 2 3 2 3" xfId="26672" xr:uid="{00000000-0005-0000-0000-00000C680000}"/>
    <cellStyle name="Normal 15 2 2 3 2 4" xfId="26673" xr:uid="{00000000-0005-0000-0000-00000D680000}"/>
    <cellStyle name="Normal 15 2 2 3 3" xfId="26674" xr:uid="{00000000-0005-0000-0000-00000E680000}"/>
    <cellStyle name="Normal 15 2 2 3 3 2" xfId="26675" xr:uid="{00000000-0005-0000-0000-00000F680000}"/>
    <cellStyle name="Normal 15 2 2 3 3 3" xfId="26676" xr:uid="{00000000-0005-0000-0000-000010680000}"/>
    <cellStyle name="Normal 15 2 2 3 4" xfId="26677" xr:uid="{00000000-0005-0000-0000-000011680000}"/>
    <cellStyle name="Normal 15 2 2 3 5" xfId="26678" xr:uid="{00000000-0005-0000-0000-000012680000}"/>
    <cellStyle name="Normal 15 2 2 3 6" xfId="26679" xr:uid="{00000000-0005-0000-0000-000013680000}"/>
    <cellStyle name="Normal 15 2 2 4" xfId="26680" xr:uid="{00000000-0005-0000-0000-000014680000}"/>
    <cellStyle name="Normal 15 2 2 4 2" xfId="26681" xr:uid="{00000000-0005-0000-0000-000015680000}"/>
    <cellStyle name="Normal 15 2 2 4 2 2" xfId="26682" xr:uid="{00000000-0005-0000-0000-000016680000}"/>
    <cellStyle name="Normal 15 2 2 4 2 3" xfId="26683" xr:uid="{00000000-0005-0000-0000-000017680000}"/>
    <cellStyle name="Normal 15 2 2 4 3" xfId="26684" xr:uid="{00000000-0005-0000-0000-000018680000}"/>
    <cellStyle name="Normal 15 2 2 4 4" xfId="26685" xr:uid="{00000000-0005-0000-0000-000019680000}"/>
    <cellStyle name="Normal 15 2 2 5" xfId="26686" xr:uid="{00000000-0005-0000-0000-00001A680000}"/>
    <cellStyle name="Normal 15 2 2 5 2" xfId="26687" xr:uid="{00000000-0005-0000-0000-00001B680000}"/>
    <cellStyle name="Normal 15 2 2 5 3" xfId="26688" xr:uid="{00000000-0005-0000-0000-00001C680000}"/>
    <cellStyle name="Normal 15 2 2 6" xfId="26689" xr:uid="{00000000-0005-0000-0000-00001D680000}"/>
    <cellStyle name="Normal 15 2 2 7" xfId="26690" xr:uid="{00000000-0005-0000-0000-00001E680000}"/>
    <cellStyle name="Normal 15 2 2 8" xfId="26691" xr:uid="{00000000-0005-0000-0000-00001F680000}"/>
    <cellStyle name="Normal 15 2 3" xfId="26692" xr:uid="{00000000-0005-0000-0000-000020680000}"/>
    <cellStyle name="Normal 15 2 3 2" xfId="26693" xr:uid="{00000000-0005-0000-0000-000021680000}"/>
    <cellStyle name="Normal 15 2 3 2 2" xfId="26694" xr:uid="{00000000-0005-0000-0000-000022680000}"/>
    <cellStyle name="Normal 15 2 3 2 2 2" xfId="26695" xr:uid="{00000000-0005-0000-0000-000023680000}"/>
    <cellStyle name="Normal 15 2 3 2 2 2 2" xfId="26696" xr:uid="{00000000-0005-0000-0000-000024680000}"/>
    <cellStyle name="Normal 15 2 3 2 2 2 3" xfId="26697" xr:uid="{00000000-0005-0000-0000-000025680000}"/>
    <cellStyle name="Normal 15 2 3 2 2 3" xfId="26698" xr:uid="{00000000-0005-0000-0000-000026680000}"/>
    <cellStyle name="Normal 15 2 3 2 2 4" xfId="26699" xr:uid="{00000000-0005-0000-0000-000027680000}"/>
    <cellStyle name="Normal 15 2 3 2 3" xfId="26700" xr:uid="{00000000-0005-0000-0000-000028680000}"/>
    <cellStyle name="Normal 15 2 3 2 3 2" xfId="26701" xr:uid="{00000000-0005-0000-0000-000029680000}"/>
    <cellStyle name="Normal 15 2 3 2 3 3" xfId="26702" xr:uid="{00000000-0005-0000-0000-00002A680000}"/>
    <cellStyle name="Normal 15 2 3 2 4" xfId="26703" xr:uid="{00000000-0005-0000-0000-00002B680000}"/>
    <cellStyle name="Normal 15 2 3 2 5" xfId="26704" xr:uid="{00000000-0005-0000-0000-00002C680000}"/>
    <cellStyle name="Normal 15 2 3 2 6" xfId="26705" xr:uid="{00000000-0005-0000-0000-00002D680000}"/>
    <cellStyle name="Normal 15 2 3 3" xfId="26706" xr:uid="{00000000-0005-0000-0000-00002E680000}"/>
    <cellStyle name="Normal 15 2 3 3 2" xfId="26707" xr:uid="{00000000-0005-0000-0000-00002F680000}"/>
    <cellStyle name="Normal 15 2 3 3 2 2" xfId="26708" xr:uid="{00000000-0005-0000-0000-000030680000}"/>
    <cellStyle name="Normal 15 2 3 3 2 3" xfId="26709" xr:uid="{00000000-0005-0000-0000-000031680000}"/>
    <cellStyle name="Normal 15 2 3 3 3" xfId="26710" xr:uid="{00000000-0005-0000-0000-000032680000}"/>
    <cellStyle name="Normal 15 2 3 3 4" xfId="26711" xr:uid="{00000000-0005-0000-0000-000033680000}"/>
    <cellStyle name="Normal 15 2 3 4" xfId="26712" xr:uid="{00000000-0005-0000-0000-000034680000}"/>
    <cellStyle name="Normal 15 2 3 4 2" xfId="26713" xr:uid="{00000000-0005-0000-0000-000035680000}"/>
    <cellStyle name="Normal 15 2 3 4 3" xfId="26714" xr:uid="{00000000-0005-0000-0000-000036680000}"/>
    <cellStyle name="Normal 15 2 3 5" xfId="26715" xr:uid="{00000000-0005-0000-0000-000037680000}"/>
    <cellStyle name="Normal 15 2 3 6" xfId="26716" xr:uid="{00000000-0005-0000-0000-000038680000}"/>
    <cellStyle name="Normal 15 2 3 7" xfId="26717" xr:uid="{00000000-0005-0000-0000-000039680000}"/>
    <cellStyle name="Normal 15 2 4" xfId="26718" xr:uid="{00000000-0005-0000-0000-00003A680000}"/>
    <cellStyle name="Normal 15 2 4 2" xfId="26719" xr:uid="{00000000-0005-0000-0000-00003B680000}"/>
    <cellStyle name="Normal 15 2 4 2 2" xfId="26720" xr:uid="{00000000-0005-0000-0000-00003C680000}"/>
    <cellStyle name="Normal 15 2 4 2 2 2" xfId="26721" xr:uid="{00000000-0005-0000-0000-00003D680000}"/>
    <cellStyle name="Normal 15 2 4 2 2 3" xfId="26722" xr:uid="{00000000-0005-0000-0000-00003E680000}"/>
    <cellStyle name="Normal 15 2 4 2 3" xfId="26723" xr:uid="{00000000-0005-0000-0000-00003F680000}"/>
    <cellStyle name="Normal 15 2 4 2 4" xfId="26724" xr:uid="{00000000-0005-0000-0000-000040680000}"/>
    <cellStyle name="Normal 15 2 4 3" xfId="26725" xr:uid="{00000000-0005-0000-0000-000041680000}"/>
    <cellStyle name="Normal 15 2 4 3 2" xfId="26726" xr:uid="{00000000-0005-0000-0000-000042680000}"/>
    <cellStyle name="Normal 15 2 4 3 3" xfId="26727" xr:uid="{00000000-0005-0000-0000-000043680000}"/>
    <cellStyle name="Normal 15 2 4 4" xfId="26728" xr:uid="{00000000-0005-0000-0000-000044680000}"/>
    <cellStyle name="Normal 15 2 4 5" xfId="26729" xr:uid="{00000000-0005-0000-0000-000045680000}"/>
    <cellStyle name="Normal 15 2 4 6" xfId="26730" xr:uid="{00000000-0005-0000-0000-000046680000}"/>
    <cellStyle name="Normal 15 2 5" xfId="26731" xr:uid="{00000000-0005-0000-0000-000047680000}"/>
    <cellStyle name="Normal 15 2 5 2" xfId="26732" xr:uid="{00000000-0005-0000-0000-000048680000}"/>
    <cellStyle name="Normal 15 2 5 2 2" xfId="26733" xr:uid="{00000000-0005-0000-0000-000049680000}"/>
    <cellStyle name="Normal 15 2 5 2 3" xfId="26734" xr:uid="{00000000-0005-0000-0000-00004A680000}"/>
    <cellStyle name="Normal 15 2 5 3" xfId="26735" xr:uid="{00000000-0005-0000-0000-00004B680000}"/>
    <cellStyle name="Normal 15 2 5 4" xfId="26736" xr:uid="{00000000-0005-0000-0000-00004C680000}"/>
    <cellStyle name="Normal 15 2 6" xfId="26737" xr:uid="{00000000-0005-0000-0000-00004D680000}"/>
    <cellStyle name="Normal 15 2 6 2" xfId="26738" xr:uid="{00000000-0005-0000-0000-00004E680000}"/>
    <cellStyle name="Normal 15 2 6 3" xfId="26739" xr:uid="{00000000-0005-0000-0000-00004F680000}"/>
    <cellStyle name="Normal 15 2 7" xfId="26740" xr:uid="{00000000-0005-0000-0000-000050680000}"/>
    <cellStyle name="Normal 15 2 8" xfId="26741" xr:uid="{00000000-0005-0000-0000-000051680000}"/>
    <cellStyle name="Normal 15 2 9" xfId="26742" xr:uid="{00000000-0005-0000-0000-000052680000}"/>
    <cellStyle name="Normal 15 3" xfId="26743" xr:uid="{00000000-0005-0000-0000-000053680000}"/>
    <cellStyle name="Normal 15 3 2" xfId="26744" xr:uid="{00000000-0005-0000-0000-000054680000}"/>
    <cellStyle name="Normal 15 3 2 2" xfId="26745" xr:uid="{00000000-0005-0000-0000-000055680000}"/>
    <cellStyle name="Normal 15 3 2 2 2" xfId="26746" xr:uid="{00000000-0005-0000-0000-000056680000}"/>
    <cellStyle name="Normal 15 3 2 2 2 2" xfId="26747" xr:uid="{00000000-0005-0000-0000-000057680000}"/>
    <cellStyle name="Normal 15 3 2 2 2 2 2" xfId="26748" xr:uid="{00000000-0005-0000-0000-000058680000}"/>
    <cellStyle name="Normal 15 3 2 2 2 2 3" xfId="26749" xr:uid="{00000000-0005-0000-0000-000059680000}"/>
    <cellStyle name="Normal 15 3 2 2 2 3" xfId="26750" xr:uid="{00000000-0005-0000-0000-00005A680000}"/>
    <cellStyle name="Normal 15 3 2 2 2 4" xfId="26751" xr:uid="{00000000-0005-0000-0000-00005B680000}"/>
    <cellStyle name="Normal 15 3 2 2 3" xfId="26752" xr:uid="{00000000-0005-0000-0000-00005C680000}"/>
    <cellStyle name="Normal 15 3 2 2 3 2" xfId="26753" xr:uid="{00000000-0005-0000-0000-00005D680000}"/>
    <cellStyle name="Normal 15 3 2 2 3 3" xfId="26754" xr:uid="{00000000-0005-0000-0000-00005E680000}"/>
    <cellStyle name="Normal 15 3 2 2 4" xfId="26755" xr:uid="{00000000-0005-0000-0000-00005F680000}"/>
    <cellStyle name="Normal 15 3 2 2 5" xfId="26756" xr:uid="{00000000-0005-0000-0000-000060680000}"/>
    <cellStyle name="Normal 15 3 2 2 6" xfId="26757" xr:uid="{00000000-0005-0000-0000-000061680000}"/>
    <cellStyle name="Normal 15 3 2 3" xfId="26758" xr:uid="{00000000-0005-0000-0000-000062680000}"/>
    <cellStyle name="Normal 15 3 2 3 2" xfId="26759" xr:uid="{00000000-0005-0000-0000-000063680000}"/>
    <cellStyle name="Normal 15 3 2 3 2 2" xfId="26760" xr:uid="{00000000-0005-0000-0000-000064680000}"/>
    <cellStyle name="Normal 15 3 2 3 2 3" xfId="26761" xr:uid="{00000000-0005-0000-0000-000065680000}"/>
    <cellStyle name="Normal 15 3 2 3 3" xfId="26762" xr:uid="{00000000-0005-0000-0000-000066680000}"/>
    <cellStyle name="Normal 15 3 2 3 4" xfId="26763" xr:uid="{00000000-0005-0000-0000-000067680000}"/>
    <cellStyle name="Normal 15 3 2 4" xfId="26764" xr:uid="{00000000-0005-0000-0000-000068680000}"/>
    <cellStyle name="Normal 15 3 2 4 2" xfId="26765" xr:uid="{00000000-0005-0000-0000-000069680000}"/>
    <cellStyle name="Normal 15 3 2 4 3" xfId="26766" xr:uid="{00000000-0005-0000-0000-00006A680000}"/>
    <cellStyle name="Normal 15 3 2 5" xfId="26767" xr:uid="{00000000-0005-0000-0000-00006B680000}"/>
    <cellStyle name="Normal 15 3 2 6" xfId="26768" xr:uid="{00000000-0005-0000-0000-00006C680000}"/>
    <cellStyle name="Normal 15 3 2 7" xfId="26769" xr:uid="{00000000-0005-0000-0000-00006D680000}"/>
    <cellStyle name="Normal 15 3 3" xfId="26770" xr:uid="{00000000-0005-0000-0000-00006E680000}"/>
    <cellStyle name="Normal 15 3 3 2" xfId="26771" xr:uid="{00000000-0005-0000-0000-00006F680000}"/>
    <cellStyle name="Normal 15 3 3 2 2" xfId="26772" xr:uid="{00000000-0005-0000-0000-000070680000}"/>
    <cellStyle name="Normal 15 3 3 2 2 2" xfId="26773" xr:uid="{00000000-0005-0000-0000-000071680000}"/>
    <cellStyle name="Normal 15 3 3 2 2 3" xfId="26774" xr:uid="{00000000-0005-0000-0000-000072680000}"/>
    <cellStyle name="Normal 15 3 3 2 3" xfId="26775" xr:uid="{00000000-0005-0000-0000-000073680000}"/>
    <cellStyle name="Normal 15 3 3 2 4" xfId="26776" xr:uid="{00000000-0005-0000-0000-000074680000}"/>
    <cellStyle name="Normal 15 3 3 3" xfId="26777" xr:uid="{00000000-0005-0000-0000-000075680000}"/>
    <cellStyle name="Normal 15 3 3 3 2" xfId="26778" xr:uid="{00000000-0005-0000-0000-000076680000}"/>
    <cellStyle name="Normal 15 3 3 3 3" xfId="26779" xr:uid="{00000000-0005-0000-0000-000077680000}"/>
    <cellStyle name="Normal 15 3 3 4" xfId="26780" xr:uid="{00000000-0005-0000-0000-000078680000}"/>
    <cellStyle name="Normal 15 3 3 5" xfId="26781" xr:uid="{00000000-0005-0000-0000-000079680000}"/>
    <cellStyle name="Normal 15 3 3 6" xfId="26782" xr:uid="{00000000-0005-0000-0000-00007A680000}"/>
    <cellStyle name="Normal 15 3 4" xfId="26783" xr:uid="{00000000-0005-0000-0000-00007B680000}"/>
    <cellStyle name="Normal 15 3 4 2" xfId="26784" xr:uid="{00000000-0005-0000-0000-00007C680000}"/>
    <cellStyle name="Normal 15 3 4 2 2" xfId="26785" xr:uid="{00000000-0005-0000-0000-00007D680000}"/>
    <cellStyle name="Normal 15 3 4 2 3" xfId="26786" xr:uid="{00000000-0005-0000-0000-00007E680000}"/>
    <cellStyle name="Normal 15 3 4 3" xfId="26787" xr:uid="{00000000-0005-0000-0000-00007F680000}"/>
    <cellStyle name="Normal 15 3 4 4" xfId="26788" xr:uid="{00000000-0005-0000-0000-000080680000}"/>
    <cellStyle name="Normal 15 3 5" xfId="26789" xr:uid="{00000000-0005-0000-0000-000081680000}"/>
    <cellStyle name="Normal 15 3 5 2" xfId="26790" xr:uid="{00000000-0005-0000-0000-000082680000}"/>
    <cellStyle name="Normal 15 3 5 3" xfId="26791" xr:uid="{00000000-0005-0000-0000-000083680000}"/>
    <cellStyle name="Normal 15 3 6" xfId="26792" xr:uid="{00000000-0005-0000-0000-000084680000}"/>
    <cellStyle name="Normal 15 3 7" xfId="26793" xr:uid="{00000000-0005-0000-0000-000085680000}"/>
    <cellStyle name="Normal 15 3 8" xfId="26794" xr:uid="{00000000-0005-0000-0000-000086680000}"/>
    <cellStyle name="Normal 15 4" xfId="26795" xr:uid="{00000000-0005-0000-0000-000087680000}"/>
    <cellStyle name="Normal 15 4 2" xfId="26796" xr:uid="{00000000-0005-0000-0000-000088680000}"/>
    <cellStyle name="Normal 15 4 2 2" xfId="26797" xr:uid="{00000000-0005-0000-0000-000089680000}"/>
    <cellStyle name="Normal 15 4 2 2 2" xfId="26798" xr:uid="{00000000-0005-0000-0000-00008A680000}"/>
    <cellStyle name="Normal 15 4 2 2 2 2" xfId="26799" xr:uid="{00000000-0005-0000-0000-00008B680000}"/>
    <cellStyle name="Normal 15 4 2 2 2 3" xfId="26800" xr:uid="{00000000-0005-0000-0000-00008C680000}"/>
    <cellStyle name="Normal 15 4 2 2 3" xfId="26801" xr:uid="{00000000-0005-0000-0000-00008D680000}"/>
    <cellStyle name="Normal 15 4 2 2 4" xfId="26802" xr:uid="{00000000-0005-0000-0000-00008E680000}"/>
    <cellStyle name="Normal 15 4 2 3" xfId="26803" xr:uid="{00000000-0005-0000-0000-00008F680000}"/>
    <cellStyle name="Normal 15 4 2 3 2" xfId="26804" xr:uid="{00000000-0005-0000-0000-000090680000}"/>
    <cellStyle name="Normal 15 4 2 3 3" xfId="26805" xr:uid="{00000000-0005-0000-0000-000091680000}"/>
    <cellStyle name="Normal 15 4 2 4" xfId="26806" xr:uid="{00000000-0005-0000-0000-000092680000}"/>
    <cellStyle name="Normal 15 4 2 5" xfId="26807" xr:uid="{00000000-0005-0000-0000-000093680000}"/>
    <cellStyle name="Normal 15 4 2 6" xfId="26808" xr:uid="{00000000-0005-0000-0000-000094680000}"/>
    <cellStyle name="Normal 15 4 3" xfId="26809" xr:uid="{00000000-0005-0000-0000-000095680000}"/>
    <cellStyle name="Normal 15 4 3 2" xfId="26810" xr:uid="{00000000-0005-0000-0000-000096680000}"/>
    <cellStyle name="Normal 15 4 3 2 2" xfId="26811" xr:uid="{00000000-0005-0000-0000-000097680000}"/>
    <cellStyle name="Normal 15 4 3 2 3" xfId="26812" xr:uid="{00000000-0005-0000-0000-000098680000}"/>
    <cellStyle name="Normal 15 4 3 3" xfId="26813" xr:uid="{00000000-0005-0000-0000-000099680000}"/>
    <cellStyle name="Normal 15 4 3 4" xfId="26814" xr:uid="{00000000-0005-0000-0000-00009A680000}"/>
    <cellStyle name="Normal 15 4 4" xfId="26815" xr:uid="{00000000-0005-0000-0000-00009B680000}"/>
    <cellStyle name="Normal 15 4 4 2" xfId="26816" xr:uid="{00000000-0005-0000-0000-00009C680000}"/>
    <cellStyle name="Normal 15 4 4 3" xfId="26817" xr:uid="{00000000-0005-0000-0000-00009D680000}"/>
    <cellStyle name="Normal 15 4 5" xfId="26818" xr:uid="{00000000-0005-0000-0000-00009E680000}"/>
    <cellStyle name="Normal 15 4 6" xfId="26819" xr:uid="{00000000-0005-0000-0000-00009F680000}"/>
    <cellStyle name="Normal 15 4 7" xfId="26820" xr:uid="{00000000-0005-0000-0000-0000A0680000}"/>
    <cellStyle name="Normal 15 5" xfId="26821" xr:uid="{00000000-0005-0000-0000-0000A1680000}"/>
    <cellStyle name="Normal 15 5 2" xfId="26822" xr:uid="{00000000-0005-0000-0000-0000A2680000}"/>
    <cellStyle name="Normal 15 5 2 2" xfId="26823" xr:uid="{00000000-0005-0000-0000-0000A3680000}"/>
    <cellStyle name="Normal 15 5 2 2 2" xfId="26824" xr:uid="{00000000-0005-0000-0000-0000A4680000}"/>
    <cellStyle name="Normal 15 5 2 2 3" xfId="26825" xr:uid="{00000000-0005-0000-0000-0000A5680000}"/>
    <cellStyle name="Normal 15 5 2 3" xfId="26826" xr:uid="{00000000-0005-0000-0000-0000A6680000}"/>
    <cellStyle name="Normal 15 5 2 4" xfId="26827" xr:uid="{00000000-0005-0000-0000-0000A7680000}"/>
    <cellStyle name="Normal 15 5 3" xfId="26828" xr:uid="{00000000-0005-0000-0000-0000A8680000}"/>
    <cellStyle name="Normal 15 5 3 2" xfId="26829" xr:uid="{00000000-0005-0000-0000-0000A9680000}"/>
    <cellStyle name="Normal 15 5 3 3" xfId="26830" xr:uid="{00000000-0005-0000-0000-0000AA680000}"/>
    <cellStyle name="Normal 15 5 4" xfId="26831" xr:uid="{00000000-0005-0000-0000-0000AB680000}"/>
    <cellStyle name="Normal 15 5 5" xfId="26832" xr:uid="{00000000-0005-0000-0000-0000AC680000}"/>
    <cellStyle name="Normal 15 5 6" xfId="26833" xr:uid="{00000000-0005-0000-0000-0000AD680000}"/>
    <cellStyle name="Normal 15 6" xfId="26834" xr:uid="{00000000-0005-0000-0000-0000AE680000}"/>
    <cellStyle name="Normal 15 6 2" xfId="26835" xr:uid="{00000000-0005-0000-0000-0000AF680000}"/>
    <cellStyle name="Normal 15 6 2 2" xfId="26836" xr:uid="{00000000-0005-0000-0000-0000B0680000}"/>
    <cellStyle name="Normal 15 6 2 3" xfId="26837" xr:uid="{00000000-0005-0000-0000-0000B1680000}"/>
    <cellStyle name="Normal 15 6 3" xfId="26838" xr:uid="{00000000-0005-0000-0000-0000B2680000}"/>
    <cellStyle name="Normal 15 6 4" xfId="26839" xr:uid="{00000000-0005-0000-0000-0000B3680000}"/>
    <cellStyle name="Normal 15 7" xfId="26840" xr:uid="{00000000-0005-0000-0000-0000B4680000}"/>
    <cellStyle name="Normal 15 7 2" xfId="26841" xr:uid="{00000000-0005-0000-0000-0000B5680000}"/>
    <cellStyle name="Normal 15 7 3" xfId="26842" xr:uid="{00000000-0005-0000-0000-0000B6680000}"/>
    <cellStyle name="Normal 15 8" xfId="26843" xr:uid="{00000000-0005-0000-0000-0000B7680000}"/>
    <cellStyle name="Normal 15 9" xfId="26844" xr:uid="{00000000-0005-0000-0000-0000B8680000}"/>
    <cellStyle name="Normal 16" xfId="57" xr:uid="{00000000-0005-0000-0000-0000B9680000}"/>
    <cellStyle name="Normal 16 2" xfId="26845" xr:uid="{00000000-0005-0000-0000-0000BA680000}"/>
    <cellStyle name="Normal 16 2 2" xfId="26846" xr:uid="{00000000-0005-0000-0000-0000BB680000}"/>
    <cellStyle name="Normal 16 2 2 2" xfId="26847" xr:uid="{00000000-0005-0000-0000-0000BC680000}"/>
    <cellStyle name="Normal 16 2 2 2 2" xfId="26848" xr:uid="{00000000-0005-0000-0000-0000BD680000}"/>
    <cellStyle name="Normal 16 2 2 2 2 2" xfId="26849" xr:uid="{00000000-0005-0000-0000-0000BE680000}"/>
    <cellStyle name="Normal 16 2 2 2 2 2 2" xfId="26850" xr:uid="{00000000-0005-0000-0000-0000BF680000}"/>
    <cellStyle name="Normal 16 2 2 2 2 2 3" xfId="26851" xr:uid="{00000000-0005-0000-0000-0000C0680000}"/>
    <cellStyle name="Normal 16 2 2 2 2 3" xfId="26852" xr:uid="{00000000-0005-0000-0000-0000C1680000}"/>
    <cellStyle name="Normal 16 2 2 2 2 4" xfId="26853" xr:uid="{00000000-0005-0000-0000-0000C2680000}"/>
    <cellStyle name="Normal 16 2 2 2 3" xfId="26854" xr:uid="{00000000-0005-0000-0000-0000C3680000}"/>
    <cellStyle name="Normal 16 2 2 2 3 2" xfId="26855" xr:uid="{00000000-0005-0000-0000-0000C4680000}"/>
    <cellStyle name="Normal 16 2 2 2 3 3" xfId="26856" xr:uid="{00000000-0005-0000-0000-0000C5680000}"/>
    <cellStyle name="Normal 16 2 2 2 4" xfId="26857" xr:uid="{00000000-0005-0000-0000-0000C6680000}"/>
    <cellStyle name="Normal 16 2 2 2 5" xfId="26858" xr:uid="{00000000-0005-0000-0000-0000C7680000}"/>
    <cellStyle name="Normal 16 2 2 2 6" xfId="26859" xr:uid="{00000000-0005-0000-0000-0000C8680000}"/>
    <cellStyle name="Normal 16 2 2 3" xfId="26860" xr:uid="{00000000-0005-0000-0000-0000C9680000}"/>
    <cellStyle name="Normal 16 2 2 3 2" xfId="26861" xr:uid="{00000000-0005-0000-0000-0000CA680000}"/>
    <cellStyle name="Normal 16 2 2 3 2 2" xfId="26862" xr:uid="{00000000-0005-0000-0000-0000CB680000}"/>
    <cellStyle name="Normal 16 2 2 3 2 3" xfId="26863" xr:uid="{00000000-0005-0000-0000-0000CC680000}"/>
    <cellStyle name="Normal 16 2 2 3 3" xfId="26864" xr:uid="{00000000-0005-0000-0000-0000CD680000}"/>
    <cellStyle name="Normal 16 2 2 3 4" xfId="26865" xr:uid="{00000000-0005-0000-0000-0000CE680000}"/>
    <cellStyle name="Normal 16 2 2 4" xfId="26866" xr:uid="{00000000-0005-0000-0000-0000CF680000}"/>
    <cellStyle name="Normal 16 2 2 4 2" xfId="26867" xr:uid="{00000000-0005-0000-0000-0000D0680000}"/>
    <cellStyle name="Normal 16 2 2 4 3" xfId="26868" xr:uid="{00000000-0005-0000-0000-0000D1680000}"/>
    <cellStyle name="Normal 16 2 2 5" xfId="26869" xr:uid="{00000000-0005-0000-0000-0000D2680000}"/>
    <cellStyle name="Normal 16 2 2 6" xfId="26870" xr:uid="{00000000-0005-0000-0000-0000D3680000}"/>
    <cellStyle name="Normal 16 2 2 7" xfId="26871" xr:uid="{00000000-0005-0000-0000-0000D4680000}"/>
    <cellStyle name="Normal 16 2 3" xfId="26872" xr:uid="{00000000-0005-0000-0000-0000D5680000}"/>
    <cellStyle name="Normal 16 2 3 2" xfId="26873" xr:uid="{00000000-0005-0000-0000-0000D6680000}"/>
    <cellStyle name="Normal 16 2 3 2 2" xfId="26874" xr:uid="{00000000-0005-0000-0000-0000D7680000}"/>
    <cellStyle name="Normal 16 2 3 2 2 2" xfId="26875" xr:uid="{00000000-0005-0000-0000-0000D8680000}"/>
    <cellStyle name="Normal 16 2 3 2 2 3" xfId="26876" xr:uid="{00000000-0005-0000-0000-0000D9680000}"/>
    <cellStyle name="Normal 16 2 3 2 3" xfId="26877" xr:uid="{00000000-0005-0000-0000-0000DA680000}"/>
    <cellStyle name="Normal 16 2 3 2 4" xfId="26878" xr:uid="{00000000-0005-0000-0000-0000DB680000}"/>
    <cellStyle name="Normal 16 2 3 3" xfId="26879" xr:uid="{00000000-0005-0000-0000-0000DC680000}"/>
    <cellStyle name="Normal 16 2 3 3 2" xfId="26880" xr:uid="{00000000-0005-0000-0000-0000DD680000}"/>
    <cellStyle name="Normal 16 2 3 3 3" xfId="26881" xr:uid="{00000000-0005-0000-0000-0000DE680000}"/>
    <cellStyle name="Normal 16 2 3 4" xfId="26882" xr:uid="{00000000-0005-0000-0000-0000DF680000}"/>
    <cellStyle name="Normal 16 2 3 5" xfId="26883" xr:uid="{00000000-0005-0000-0000-0000E0680000}"/>
    <cellStyle name="Normal 16 2 3 6" xfId="26884" xr:uid="{00000000-0005-0000-0000-0000E1680000}"/>
    <cellStyle name="Normal 16 2 4" xfId="26885" xr:uid="{00000000-0005-0000-0000-0000E2680000}"/>
    <cellStyle name="Normal 16 2 4 2" xfId="26886" xr:uid="{00000000-0005-0000-0000-0000E3680000}"/>
    <cellStyle name="Normal 16 2 4 2 2" xfId="26887" xr:uid="{00000000-0005-0000-0000-0000E4680000}"/>
    <cellStyle name="Normal 16 2 4 2 3" xfId="26888" xr:uid="{00000000-0005-0000-0000-0000E5680000}"/>
    <cellStyle name="Normal 16 2 4 3" xfId="26889" xr:uid="{00000000-0005-0000-0000-0000E6680000}"/>
    <cellStyle name="Normal 16 2 4 4" xfId="26890" xr:uid="{00000000-0005-0000-0000-0000E7680000}"/>
    <cellStyle name="Normal 16 2 5" xfId="26891" xr:uid="{00000000-0005-0000-0000-0000E8680000}"/>
    <cellStyle name="Normal 16 2 5 2" xfId="26892" xr:uid="{00000000-0005-0000-0000-0000E9680000}"/>
    <cellStyle name="Normal 16 2 5 3" xfId="26893" xr:uid="{00000000-0005-0000-0000-0000EA680000}"/>
    <cellStyle name="Normal 16 2 6" xfId="26894" xr:uid="{00000000-0005-0000-0000-0000EB680000}"/>
    <cellStyle name="Normal 16 2 7" xfId="26895" xr:uid="{00000000-0005-0000-0000-0000EC680000}"/>
    <cellStyle name="Normal 16 2 8" xfId="26896" xr:uid="{00000000-0005-0000-0000-0000ED680000}"/>
    <cellStyle name="Normal 16 3" xfId="26897" xr:uid="{00000000-0005-0000-0000-0000EE680000}"/>
    <cellStyle name="Normal 16 3 2" xfId="26898" xr:uid="{00000000-0005-0000-0000-0000EF680000}"/>
    <cellStyle name="Normal 16 3 2 2" xfId="26899" xr:uid="{00000000-0005-0000-0000-0000F0680000}"/>
    <cellStyle name="Normal 16 3 2 2 2" xfId="26900" xr:uid="{00000000-0005-0000-0000-0000F1680000}"/>
    <cellStyle name="Normal 16 3 2 2 2 2" xfId="26901" xr:uid="{00000000-0005-0000-0000-0000F2680000}"/>
    <cellStyle name="Normal 16 3 2 2 2 3" xfId="26902" xr:uid="{00000000-0005-0000-0000-0000F3680000}"/>
    <cellStyle name="Normal 16 3 2 2 3" xfId="26903" xr:uid="{00000000-0005-0000-0000-0000F4680000}"/>
    <cellStyle name="Normal 16 3 2 2 4" xfId="26904" xr:uid="{00000000-0005-0000-0000-0000F5680000}"/>
    <cellStyle name="Normal 16 3 2 3" xfId="26905" xr:uid="{00000000-0005-0000-0000-0000F6680000}"/>
    <cellStyle name="Normal 16 3 2 3 2" xfId="26906" xr:uid="{00000000-0005-0000-0000-0000F7680000}"/>
    <cellStyle name="Normal 16 3 2 3 3" xfId="26907" xr:uid="{00000000-0005-0000-0000-0000F8680000}"/>
    <cellStyle name="Normal 16 3 2 4" xfId="26908" xr:uid="{00000000-0005-0000-0000-0000F9680000}"/>
    <cellStyle name="Normal 16 3 2 5" xfId="26909" xr:uid="{00000000-0005-0000-0000-0000FA680000}"/>
    <cellStyle name="Normal 16 3 2 6" xfId="26910" xr:uid="{00000000-0005-0000-0000-0000FB680000}"/>
    <cellStyle name="Normal 16 3 3" xfId="26911" xr:uid="{00000000-0005-0000-0000-0000FC680000}"/>
    <cellStyle name="Normal 16 3 3 2" xfId="26912" xr:uid="{00000000-0005-0000-0000-0000FD680000}"/>
    <cellStyle name="Normal 16 3 3 2 2" xfId="26913" xr:uid="{00000000-0005-0000-0000-0000FE680000}"/>
    <cellStyle name="Normal 16 3 3 2 3" xfId="26914" xr:uid="{00000000-0005-0000-0000-0000FF680000}"/>
    <cellStyle name="Normal 16 3 3 3" xfId="26915" xr:uid="{00000000-0005-0000-0000-000000690000}"/>
    <cellStyle name="Normal 16 3 3 4" xfId="26916" xr:uid="{00000000-0005-0000-0000-000001690000}"/>
    <cellStyle name="Normal 16 3 4" xfId="26917" xr:uid="{00000000-0005-0000-0000-000002690000}"/>
    <cellStyle name="Normal 16 3 4 2" xfId="26918" xr:uid="{00000000-0005-0000-0000-000003690000}"/>
    <cellStyle name="Normal 16 3 4 3" xfId="26919" xr:uid="{00000000-0005-0000-0000-000004690000}"/>
    <cellStyle name="Normal 16 3 5" xfId="26920" xr:uid="{00000000-0005-0000-0000-000005690000}"/>
    <cellStyle name="Normal 16 3 6" xfId="26921" xr:uid="{00000000-0005-0000-0000-000006690000}"/>
    <cellStyle name="Normal 16 3 7" xfId="26922" xr:uid="{00000000-0005-0000-0000-000007690000}"/>
    <cellStyle name="Normal 16 4" xfId="26923" xr:uid="{00000000-0005-0000-0000-000008690000}"/>
    <cellStyle name="Normal 16 4 2" xfId="26924" xr:uid="{00000000-0005-0000-0000-000009690000}"/>
    <cellStyle name="Normal 16 4 2 2" xfId="26925" xr:uid="{00000000-0005-0000-0000-00000A690000}"/>
    <cellStyle name="Normal 16 4 2 2 2" xfId="26926" xr:uid="{00000000-0005-0000-0000-00000B690000}"/>
    <cellStyle name="Normal 16 4 2 2 3" xfId="26927" xr:uid="{00000000-0005-0000-0000-00000C690000}"/>
    <cellStyle name="Normal 16 4 2 3" xfId="26928" xr:uid="{00000000-0005-0000-0000-00000D690000}"/>
    <cellStyle name="Normal 16 4 2 4" xfId="26929" xr:uid="{00000000-0005-0000-0000-00000E690000}"/>
    <cellStyle name="Normal 16 4 3" xfId="26930" xr:uid="{00000000-0005-0000-0000-00000F690000}"/>
    <cellStyle name="Normal 16 4 3 2" xfId="26931" xr:uid="{00000000-0005-0000-0000-000010690000}"/>
    <cellStyle name="Normal 16 4 3 3" xfId="26932" xr:uid="{00000000-0005-0000-0000-000011690000}"/>
    <cellStyle name="Normal 16 4 4" xfId="26933" xr:uid="{00000000-0005-0000-0000-000012690000}"/>
    <cellStyle name="Normal 16 4 5" xfId="26934" xr:uid="{00000000-0005-0000-0000-000013690000}"/>
    <cellStyle name="Normal 16 4 6" xfId="26935" xr:uid="{00000000-0005-0000-0000-000014690000}"/>
    <cellStyle name="Normal 16 5" xfId="26936" xr:uid="{00000000-0005-0000-0000-000015690000}"/>
    <cellStyle name="Normal 16 5 2" xfId="26937" xr:uid="{00000000-0005-0000-0000-000016690000}"/>
    <cellStyle name="Normal 16 5 2 2" xfId="26938" xr:uid="{00000000-0005-0000-0000-000017690000}"/>
    <cellStyle name="Normal 16 5 2 3" xfId="26939" xr:uid="{00000000-0005-0000-0000-000018690000}"/>
    <cellStyle name="Normal 16 5 3" xfId="26940" xr:uid="{00000000-0005-0000-0000-000019690000}"/>
    <cellStyle name="Normal 16 5 4" xfId="26941" xr:uid="{00000000-0005-0000-0000-00001A690000}"/>
    <cellStyle name="Normal 16 6" xfId="26942" xr:uid="{00000000-0005-0000-0000-00001B690000}"/>
    <cellStyle name="Normal 16 6 2" xfId="26943" xr:uid="{00000000-0005-0000-0000-00001C690000}"/>
    <cellStyle name="Normal 16 6 3" xfId="26944" xr:uid="{00000000-0005-0000-0000-00001D690000}"/>
    <cellStyle name="Normal 16 7" xfId="26945" xr:uid="{00000000-0005-0000-0000-00001E690000}"/>
    <cellStyle name="Normal 16 8" xfId="26946" xr:uid="{00000000-0005-0000-0000-00001F690000}"/>
    <cellStyle name="Normal 16 9" xfId="26947" xr:uid="{00000000-0005-0000-0000-000020690000}"/>
    <cellStyle name="Normal 17" xfId="58" xr:uid="{00000000-0005-0000-0000-000021690000}"/>
    <cellStyle name="Normal 17 2" xfId="26948" xr:uid="{00000000-0005-0000-0000-000022690000}"/>
    <cellStyle name="Normal 17 2 2" xfId="26949" xr:uid="{00000000-0005-0000-0000-000023690000}"/>
    <cellStyle name="Normal 17 2 2 2" xfId="26950" xr:uid="{00000000-0005-0000-0000-000024690000}"/>
    <cellStyle name="Normal 17 2 2 2 2" xfId="26951" xr:uid="{00000000-0005-0000-0000-000025690000}"/>
    <cellStyle name="Normal 17 2 2 2 2 2" xfId="26952" xr:uid="{00000000-0005-0000-0000-000026690000}"/>
    <cellStyle name="Normal 17 2 2 2 2 3" xfId="26953" xr:uid="{00000000-0005-0000-0000-000027690000}"/>
    <cellStyle name="Normal 17 2 2 2 3" xfId="26954" xr:uid="{00000000-0005-0000-0000-000028690000}"/>
    <cellStyle name="Normal 17 2 2 2 4" xfId="26955" xr:uid="{00000000-0005-0000-0000-000029690000}"/>
    <cellStyle name="Normal 17 2 2 3" xfId="26956" xr:uid="{00000000-0005-0000-0000-00002A690000}"/>
    <cellStyle name="Normal 17 2 2 3 2" xfId="26957" xr:uid="{00000000-0005-0000-0000-00002B690000}"/>
    <cellStyle name="Normal 17 2 2 3 3" xfId="26958" xr:uid="{00000000-0005-0000-0000-00002C690000}"/>
    <cellStyle name="Normal 17 2 2 4" xfId="26959" xr:uid="{00000000-0005-0000-0000-00002D690000}"/>
    <cellStyle name="Normal 17 2 2 5" xfId="26960" xr:uid="{00000000-0005-0000-0000-00002E690000}"/>
    <cellStyle name="Normal 17 2 2 6" xfId="26961" xr:uid="{00000000-0005-0000-0000-00002F690000}"/>
    <cellStyle name="Normal 17 2 3" xfId="26962" xr:uid="{00000000-0005-0000-0000-000030690000}"/>
    <cellStyle name="Normal 17 2 3 2" xfId="26963" xr:uid="{00000000-0005-0000-0000-000031690000}"/>
    <cellStyle name="Normal 17 2 3 2 2" xfId="26964" xr:uid="{00000000-0005-0000-0000-000032690000}"/>
    <cellStyle name="Normal 17 2 3 2 3" xfId="26965" xr:uid="{00000000-0005-0000-0000-000033690000}"/>
    <cellStyle name="Normal 17 2 3 3" xfId="26966" xr:uid="{00000000-0005-0000-0000-000034690000}"/>
    <cellStyle name="Normal 17 2 3 4" xfId="26967" xr:uid="{00000000-0005-0000-0000-000035690000}"/>
    <cellStyle name="Normal 17 2 4" xfId="26968" xr:uid="{00000000-0005-0000-0000-000036690000}"/>
    <cellStyle name="Normal 17 2 4 2" xfId="26969" xr:uid="{00000000-0005-0000-0000-000037690000}"/>
    <cellStyle name="Normal 17 2 4 3" xfId="26970" xr:uid="{00000000-0005-0000-0000-000038690000}"/>
    <cellStyle name="Normal 17 2 5" xfId="26971" xr:uid="{00000000-0005-0000-0000-000039690000}"/>
    <cellStyle name="Normal 17 2 6" xfId="26972" xr:uid="{00000000-0005-0000-0000-00003A690000}"/>
    <cellStyle name="Normal 17 2 7" xfId="26973" xr:uid="{00000000-0005-0000-0000-00003B690000}"/>
    <cellStyle name="Normal 17 3" xfId="26974" xr:uid="{00000000-0005-0000-0000-00003C690000}"/>
    <cellStyle name="Normal 17 3 2" xfId="26975" xr:uid="{00000000-0005-0000-0000-00003D690000}"/>
    <cellStyle name="Normal 17 3 2 2" xfId="26976" xr:uid="{00000000-0005-0000-0000-00003E690000}"/>
    <cellStyle name="Normal 17 3 2 2 2" xfId="26977" xr:uid="{00000000-0005-0000-0000-00003F690000}"/>
    <cellStyle name="Normal 17 3 2 2 3" xfId="26978" xr:uid="{00000000-0005-0000-0000-000040690000}"/>
    <cellStyle name="Normal 17 3 2 3" xfId="26979" xr:uid="{00000000-0005-0000-0000-000041690000}"/>
    <cellStyle name="Normal 17 3 2 4" xfId="26980" xr:uid="{00000000-0005-0000-0000-000042690000}"/>
    <cellStyle name="Normal 17 3 3" xfId="26981" xr:uid="{00000000-0005-0000-0000-000043690000}"/>
    <cellStyle name="Normal 17 3 3 2" xfId="26982" xr:uid="{00000000-0005-0000-0000-000044690000}"/>
    <cellStyle name="Normal 17 3 3 3" xfId="26983" xr:uid="{00000000-0005-0000-0000-000045690000}"/>
    <cellStyle name="Normal 17 3 4" xfId="26984" xr:uid="{00000000-0005-0000-0000-000046690000}"/>
    <cellStyle name="Normal 17 3 5" xfId="26985" xr:uid="{00000000-0005-0000-0000-000047690000}"/>
    <cellStyle name="Normal 17 3 6" xfId="26986" xr:uid="{00000000-0005-0000-0000-000048690000}"/>
    <cellStyle name="Normal 17 4" xfId="26987" xr:uid="{00000000-0005-0000-0000-000049690000}"/>
    <cellStyle name="Normal 17 4 2" xfId="26988" xr:uid="{00000000-0005-0000-0000-00004A690000}"/>
    <cellStyle name="Normal 17 4 2 2" xfId="26989" xr:uid="{00000000-0005-0000-0000-00004B690000}"/>
    <cellStyle name="Normal 17 4 2 3" xfId="26990" xr:uid="{00000000-0005-0000-0000-00004C690000}"/>
    <cellStyle name="Normal 17 4 3" xfId="26991" xr:uid="{00000000-0005-0000-0000-00004D690000}"/>
    <cellStyle name="Normal 17 4 4" xfId="26992" xr:uid="{00000000-0005-0000-0000-00004E690000}"/>
    <cellStyle name="Normal 17 5" xfId="26993" xr:uid="{00000000-0005-0000-0000-00004F690000}"/>
    <cellStyle name="Normal 17 5 2" xfId="26994" xr:uid="{00000000-0005-0000-0000-000050690000}"/>
    <cellStyle name="Normal 17 5 3" xfId="26995" xr:uid="{00000000-0005-0000-0000-000051690000}"/>
    <cellStyle name="Normal 17 6" xfId="26996" xr:uid="{00000000-0005-0000-0000-000052690000}"/>
    <cellStyle name="Normal 17 7" xfId="26997" xr:uid="{00000000-0005-0000-0000-000053690000}"/>
    <cellStyle name="Normal 17 8" xfId="26998" xr:uid="{00000000-0005-0000-0000-000054690000}"/>
    <cellStyle name="Normal 18" xfId="59" xr:uid="{00000000-0005-0000-0000-000055690000}"/>
    <cellStyle name="Normal 18 2" xfId="26999" xr:uid="{00000000-0005-0000-0000-000056690000}"/>
    <cellStyle name="Normal 18 2 2" xfId="27000" xr:uid="{00000000-0005-0000-0000-000057690000}"/>
    <cellStyle name="Normal 18 2 2 2" xfId="27001" xr:uid="{00000000-0005-0000-0000-000058690000}"/>
    <cellStyle name="Normal 18 2 2 2 2" xfId="27002" xr:uid="{00000000-0005-0000-0000-000059690000}"/>
    <cellStyle name="Normal 18 2 2 2 2 2" xfId="27003" xr:uid="{00000000-0005-0000-0000-00005A690000}"/>
    <cellStyle name="Normal 18 2 2 2 2 3" xfId="27004" xr:uid="{00000000-0005-0000-0000-00005B690000}"/>
    <cellStyle name="Normal 18 2 2 2 3" xfId="27005" xr:uid="{00000000-0005-0000-0000-00005C690000}"/>
    <cellStyle name="Normal 18 2 2 2 4" xfId="27006" xr:uid="{00000000-0005-0000-0000-00005D690000}"/>
    <cellStyle name="Normal 18 2 2 3" xfId="27007" xr:uid="{00000000-0005-0000-0000-00005E690000}"/>
    <cellStyle name="Normal 18 2 2 3 2" xfId="27008" xr:uid="{00000000-0005-0000-0000-00005F690000}"/>
    <cellStyle name="Normal 18 2 2 3 3" xfId="27009" xr:uid="{00000000-0005-0000-0000-000060690000}"/>
    <cellStyle name="Normal 18 2 2 4" xfId="27010" xr:uid="{00000000-0005-0000-0000-000061690000}"/>
    <cellStyle name="Normal 18 2 2 5" xfId="27011" xr:uid="{00000000-0005-0000-0000-000062690000}"/>
    <cellStyle name="Normal 18 2 2 6" xfId="27012" xr:uid="{00000000-0005-0000-0000-000063690000}"/>
    <cellStyle name="Normal 18 2 3" xfId="27013" xr:uid="{00000000-0005-0000-0000-000064690000}"/>
    <cellStyle name="Normal 18 2 3 2" xfId="27014" xr:uid="{00000000-0005-0000-0000-000065690000}"/>
    <cellStyle name="Normal 18 2 3 2 2" xfId="27015" xr:uid="{00000000-0005-0000-0000-000066690000}"/>
    <cellStyle name="Normal 18 2 3 2 3" xfId="27016" xr:uid="{00000000-0005-0000-0000-000067690000}"/>
    <cellStyle name="Normal 18 2 3 3" xfId="27017" xr:uid="{00000000-0005-0000-0000-000068690000}"/>
    <cellStyle name="Normal 18 2 3 4" xfId="27018" xr:uid="{00000000-0005-0000-0000-000069690000}"/>
    <cellStyle name="Normal 18 2 4" xfId="27019" xr:uid="{00000000-0005-0000-0000-00006A690000}"/>
    <cellStyle name="Normal 18 2 4 2" xfId="27020" xr:uid="{00000000-0005-0000-0000-00006B690000}"/>
    <cellStyle name="Normal 18 2 4 3" xfId="27021" xr:uid="{00000000-0005-0000-0000-00006C690000}"/>
    <cellStyle name="Normal 18 2 5" xfId="27022" xr:uid="{00000000-0005-0000-0000-00006D690000}"/>
    <cellStyle name="Normal 18 2 6" xfId="27023" xr:uid="{00000000-0005-0000-0000-00006E690000}"/>
    <cellStyle name="Normal 18 2 7" xfId="27024" xr:uid="{00000000-0005-0000-0000-00006F690000}"/>
    <cellStyle name="Normal 18 3" xfId="27025" xr:uid="{00000000-0005-0000-0000-000070690000}"/>
    <cellStyle name="Normal 18 3 2" xfId="27026" xr:uid="{00000000-0005-0000-0000-000071690000}"/>
    <cellStyle name="Normal 18 3 2 2" xfId="27027" xr:uid="{00000000-0005-0000-0000-000072690000}"/>
    <cellStyle name="Normal 18 3 2 2 2" xfId="27028" xr:uid="{00000000-0005-0000-0000-000073690000}"/>
    <cellStyle name="Normal 18 3 2 2 3" xfId="27029" xr:uid="{00000000-0005-0000-0000-000074690000}"/>
    <cellStyle name="Normal 18 3 2 3" xfId="27030" xr:uid="{00000000-0005-0000-0000-000075690000}"/>
    <cellStyle name="Normal 18 3 2 4" xfId="27031" xr:uid="{00000000-0005-0000-0000-000076690000}"/>
    <cellStyle name="Normal 18 3 3" xfId="27032" xr:uid="{00000000-0005-0000-0000-000077690000}"/>
    <cellStyle name="Normal 18 3 3 2" xfId="27033" xr:uid="{00000000-0005-0000-0000-000078690000}"/>
    <cellStyle name="Normal 18 3 3 3" xfId="27034" xr:uid="{00000000-0005-0000-0000-000079690000}"/>
    <cellStyle name="Normal 18 3 4" xfId="27035" xr:uid="{00000000-0005-0000-0000-00007A690000}"/>
    <cellStyle name="Normal 18 3 5" xfId="27036" xr:uid="{00000000-0005-0000-0000-00007B690000}"/>
    <cellStyle name="Normal 18 3 6" xfId="27037" xr:uid="{00000000-0005-0000-0000-00007C690000}"/>
    <cellStyle name="Normal 18 4" xfId="27038" xr:uid="{00000000-0005-0000-0000-00007D690000}"/>
    <cellStyle name="Normal 18 4 2" xfId="27039" xr:uid="{00000000-0005-0000-0000-00007E690000}"/>
    <cellStyle name="Normal 18 4 2 2" xfId="27040" xr:uid="{00000000-0005-0000-0000-00007F690000}"/>
    <cellStyle name="Normal 18 4 2 3" xfId="27041" xr:uid="{00000000-0005-0000-0000-000080690000}"/>
    <cellStyle name="Normal 18 4 3" xfId="27042" xr:uid="{00000000-0005-0000-0000-000081690000}"/>
    <cellStyle name="Normal 18 4 4" xfId="27043" xr:uid="{00000000-0005-0000-0000-000082690000}"/>
    <cellStyle name="Normal 18 5" xfId="27044" xr:uid="{00000000-0005-0000-0000-000083690000}"/>
    <cellStyle name="Normal 18 5 2" xfId="27045" xr:uid="{00000000-0005-0000-0000-000084690000}"/>
    <cellStyle name="Normal 18 5 3" xfId="27046" xr:uid="{00000000-0005-0000-0000-000085690000}"/>
    <cellStyle name="Normal 18 6" xfId="27047" xr:uid="{00000000-0005-0000-0000-000086690000}"/>
    <cellStyle name="Normal 18 7" xfId="27048" xr:uid="{00000000-0005-0000-0000-000087690000}"/>
    <cellStyle name="Normal 18 8" xfId="27049" xr:uid="{00000000-0005-0000-0000-000088690000}"/>
    <cellStyle name="Normal 19" xfId="60" xr:uid="{00000000-0005-0000-0000-000089690000}"/>
    <cellStyle name="Normal 19 2" xfId="27050" xr:uid="{00000000-0005-0000-0000-00008A690000}"/>
    <cellStyle name="Normal 2" xfId="2" xr:uid="{00000000-0005-0000-0000-00008B690000}"/>
    <cellStyle name="Normal 2 10" xfId="27051" xr:uid="{00000000-0005-0000-0000-00008C690000}"/>
    <cellStyle name="Normal 2 10 2" xfId="27052" xr:uid="{00000000-0005-0000-0000-00008D690000}"/>
    <cellStyle name="Normal 2 10 2 2" xfId="27053" xr:uid="{00000000-0005-0000-0000-00008E690000}"/>
    <cellStyle name="Normal 2 10 2 2 2" xfId="27054" xr:uid="{00000000-0005-0000-0000-00008F690000}"/>
    <cellStyle name="Normal 2 10 2 2 2 2" xfId="27055" xr:uid="{00000000-0005-0000-0000-000090690000}"/>
    <cellStyle name="Normal 2 10 2 2 2 2 2" xfId="27056" xr:uid="{00000000-0005-0000-0000-000091690000}"/>
    <cellStyle name="Normal 2 10 2 2 2 2 3" xfId="27057" xr:uid="{00000000-0005-0000-0000-000092690000}"/>
    <cellStyle name="Normal 2 10 2 2 2 3" xfId="27058" xr:uid="{00000000-0005-0000-0000-000093690000}"/>
    <cellStyle name="Normal 2 10 2 2 2 4" xfId="27059" xr:uid="{00000000-0005-0000-0000-000094690000}"/>
    <cellStyle name="Normal 2 10 2 2 3" xfId="27060" xr:uid="{00000000-0005-0000-0000-000095690000}"/>
    <cellStyle name="Normal 2 10 2 2 3 2" xfId="27061" xr:uid="{00000000-0005-0000-0000-000096690000}"/>
    <cellStyle name="Normal 2 10 2 2 3 3" xfId="27062" xr:uid="{00000000-0005-0000-0000-000097690000}"/>
    <cellStyle name="Normal 2 10 2 2 4" xfId="27063" xr:uid="{00000000-0005-0000-0000-000098690000}"/>
    <cellStyle name="Normal 2 10 2 2 5" xfId="27064" xr:uid="{00000000-0005-0000-0000-000099690000}"/>
    <cellStyle name="Normal 2 10 2 2 6" xfId="27065" xr:uid="{00000000-0005-0000-0000-00009A690000}"/>
    <cellStyle name="Normal 2 10 2 3" xfId="27066" xr:uid="{00000000-0005-0000-0000-00009B690000}"/>
    <cellStyle name="Normal 2 10 2 3 2" xfId="27067" xr:uid="{00000000-0005-0000-0000-00009C690000}"/>
    <cellStyle name="Normal 2 10 2 3 2 2" xfId="27068" xr:uid="{00000000-0005-0000-0000-00009D690000}"/>
    <cellStyle name="Normal 2 10 2 3 2 3" xfId="27069" xr:uid="{00000000-0005-0000-0000-00009E690000}"/>
    <cellStyle name="Normal 2 10 2 3 3" xfId="27070" xr:uid="{00000000-0005-0000-0000-00009F690000}"/>
    <cellStyle name="Normal 2 10 2 3 4" xfId="27071" xr:uid="{00000000-0005-0000-0000-0000A0690000}"/>
    <cellStyle name="Normal 2 10 2 4" xfId="27072" xr:uid="{00000000-0005-0000-0000-0000A1690000}"/>
    <cellStyle name="Normal 2 10 2 4 2" xfId="27073" xr:uid="{00000000-0005-0000-0000-0000A2690000}"/>
    <cellStyle name="Normal 2 10 2 4 3" xfId="27074" xr:uid="{00000000-0005-0000-0000-0000A3690000}"/>
    <cellStyle name="Normal 2 10 2 5" xfId="27075" xr:uid="{00000000-0005-0000-0000-0000A4690000}"/>
    <cellStyle name="Normal 2 10 2 6" xfId="27076" xr:uid="{00000000-0005-0000-0000-0000A5690000}"/>
    <cellStyle name="Normal 2 10 2 7" xfId="27077" xr:uid="{00000000-0005-0000-0000-0000A6690000}"/>
    <cellStyle name="Normal 2 10 3" xfId="27078" xr:uid="{00000000-0005-0000-0000-0000A7690000}"/>
    <cellStyle name="Normal 2 10 3 2" xfId="27079" xr:uid="{00000000-0005-0000-0000-0000A8690000}"/>
    <cellStyle name="Normal 2 10 3 2 2" xfId="27080" xr:uid="{00000000-0005-0000-0000-0000A9690000}"/>
    <cellStyle name="Normal 2 10 3 2 2 2" xfId="27081" xr:uid="{00000000-0005-0000-0000-0000AA690000}"/>
    <cellStyle name="Normal 2 10 3 2 2 3" xfId="27082" xr:uid="{00000000-0005-0000-0000-0000AB690000}"/>
    <cellStyle name="Normal 2 10 3 2 3" xfId="27083" xr:uid="{00000000-0005-0000-0000-0000AC690000}"/>
    <cellStyle name="Normal 2 10 3 2 4" xfId="27084" xr:uid="{00000000-0005-0000-0000-0000AD690000}"/>
    <cellStyle name="Normal 2 10 3 3" xfId="27085" xr:uid="{00000000-0005-0000-0000-0000AE690000}"/>
    <cellStyle name="Normal 2 10 3 3 2" xfId="27086" xr:uid="{00000000-0005-0000-0000-0000AF690000}"/>
    <cellStyle name="Normal 2 10 3 3 3" xfId="27087" xr:uid="{00000000-0005-0000-0000-0000B0690000}"/>
    <cellStyle name="Normal 2 10 3 4" xfId="27088" xr:uid="{00000000-0005-0000-0000-0000B1690000}"/>
    <cellStyle name="Normal 2 10 3 5" xfId="27089" xr:uid="{00000000-0005-0000-0000-0000B2690000}"/>
    <cellStyle name="Normal 2 10 3 6" xfId="27090" xr:uid="{00000000-0005-0000-0000-0000B3690000}"/>
    <cellStyle name="Normal 2 10 4" xfId="27091" xr:uid="{00000000-0005-0000-0000-0000B4690000}"/>
    <cellStyle name="Normal 2 10 4 2" xfId="27092" xr:uid="{00000000-0005-0000-0000-0000B5690000}"/>
    <cellStyle name="Normal 2 10 4 2 2" xfId="27093" xr:uid="{00000000-0005-0000-0000-0000B6690000}"/>
    <cellStyle name="Normal 2 10 4 2 3" xfId="27094" xr:uid="{00000000-0005-0000-0000-0000B7690000}"/>
    <cellStyle name="Normal 2 10 4 3" xfId="27095" xr:uid="{00000000-0005-0000-0000-0000B8690000}"/>
    <cellStyle name="Normal 2 10 4 4" xfId="27096" xr:uid="{00000000-0005-0000-0000-0000B9690000}"/>
    <cellStyle name="Normal 2 10 5" xfId="27097" xr:uid="{00000000-0005-0000-0000-0000BA690000}"/>
    <cellStyle name="Normal 2 10 5 2" xfId="27098" xr:uid="{00000000-0005-0000-0000-0000BB690000}"/>
    <cellStyle name="Normal 2 10 5 3" xfId="27099" xr:uid="{00000000-0005-0000-0000-0000BC690000}"/>
    <cellStyle name="Normal 2 10 6" xfId="27100" xr:uid="{00000000-0005-0000-0000-0000BD690000}"/>
    <cellStyle name="Normal 2 10 7" xfId="27101" xr:uid="{00000000-0005-0000-0000-0000BE690000}"/>
    <cellStyle name="Normal 2 10 8" xfId="27102" xr:uid="{00000000-0005-0000-0000-0000BF690000}"/>
    <cellStyle name="Normal 2 11" xfId="27103" xr:uid="{00000000-0005-0000-0000-0000C0690000}"/>
    <cellStyle name="Normal 2 11 2" xfId="27104" xr:uid="{00000000-0005-0000-0000-0000C1690000}"/>
    <cellStyle name="Normal 2 12" xfId="27105" xr:uid="{00000000-0005-0000-0000-0000C2690000}"/>
    <cellStyle name="Normal 2 13" xfId="27106" xr:uid="{00000000-0005-0000-0000-0000C3690000}"/>
    <cellStyle name="Normal 2 14" xfId="27107" xr:uid="{00000000-0005-0000-0000-0000C4690000}"/>
    <cellStyle name="Normal 2 14 2" xfId="27108" xr:uid="{00000000-0005-0000-0000-0000C5690000}"/>
    <cellStyle name="Normal 2 14 2 2" xfId="27109" xr:uid="{00000000-0005-0000-0000-0000C6690000}"/>
    <cellStyle name="Normal 2 14 2 2 2" xfId="27110" xr:uid="{00000000-0005-0000-0000-0000C7690000}"/>
    <cellStyle name="Normal 2 14 2 2 2 2" xfId="27111" xr:uid="{00000000-0005-0000-0000-0000C8690000}"/>
    <cellStyle name="Normal 2 14 2 2 2 3" xfId="27112" xr:uid="{00000000-0005-0000-0000-0000C9690000}"/>
    <cellStyle name="Normal 2 14 2 2 3" xfId="27113" xr:uid="{00000000-0005-0000-0000-0000CA690000}"/>
    <cellStyle name="Normal 2 14 2 2 4" xfId="27114" xr:uid="{00000000-0005-0000-0000-0000CB690000}"/>
    <cellStyle name="Normal 2 14 2 3" xfId="27115" xr:uid="{00000000-0005-0000-0000-0000CC690000}"/>
    <cellStyle name="Normal 2 14 2 3 2" xfId="27116" xr:uid="{00000000-0005-0000-0000-0000CD690000}"/>
    <cellStyle name="Normal 2 14 2 3 3" xfId="27117" xr:uid="{00000000-0005-0000-0000-0000CE690000}"/>
    <cellStyle name="Normal 2 14 2 4" xfId="27118" xr:uid="{00000000-0005-0000-0000-0000CF690000}"/>
    <cellStyle name="Normal 2 14 2 5" xfId="27119" xr:uid="{00000000-0005-0000-0000-0000D0690000}"/>
    <cellStyle name="Normal 2 14 2 6" xfId="27120" xr:uid="{00000000-0005-0000-0000-0000D1690000}"/>
    <cellStyle name="Normal 2 14 3" xfId="27121" xr:uid="{00000000-0005-0000-0000-0000D2690000}"/>
    <cellStyle name="Normal 2 14 3 2" xfId="27122" xr:uid="{00000000-0005-0000-0000-0000D3690000}"/>
    <cellStyle name="Normal 2 14 3 2 2" xfId="27123" xr:uid="{00000000-0005-0000-0000-0000D4690000}"/>
    <cellStyle name="Normal 2 14 3 2 3" xfId="27124" xr:uid="{00000000-0005-0000-0000-0000D5690000}"/>
    <cellStyle name="Normal 2 14 3 3" xfId="27125" xr:uid="{00000000-0005-0000-0000-0000D6690000}"/>
    <cellStyle name="Normal 2 14 3 4" xfId="27126" xr:uid="{00000000-0005-0000-0000-0000D7690000}"/>
    <cellStyle name="Normal 2 14 4" xfId="27127" xr:uid="{00000000-0005-0000-0000-0000D8690000}"/>
    <cellStyle name="Normal 2 14 4 2" xfId="27128" xr:uid="{00000000-0005-0000-0000-0000D9690000}"/>
    <cellStyle name="Normal 2 14 4 3" xfId="27129" xr:uid="{00000000-0005-0000-0000-0000DA690000}"/>
    <cellStyle name="Normal 2 14 5" xfId="27130" xr:uid="{00000000-0005-0000-0000-0000DB690000}"/>
    <cellStyle name="Normal 2 14 6" xfId="27131" xr:uid="{00000000-0005-0000-0000-0000DC690000}"/>
    <cellStyle name="Normal 2 14 7" xfId="27132" xr:uid="{00000000-0005-0000-0000-0000DD690000}"/>
    <cellStyle name="Normal 2 15" xfId="27133" xr:uid="{00000000-0005-0000-0000-0000DE690000}"/>
    <cellStyle name="Normal 2 15 2" xfId="27134" xr:uid="{00000000-0005-0000-0000-0000DF690000}"/>
    <cellStyle name="Normal 2 15 2 2" xfId="27135" xr:uid="{00000000-0005-0000-0000-0000E0690000}"/>
    <cellStyle name="Normal 2 15 2 2 2" xfId="27136" xr:uid="{00000000-0005-0000-0000-0000E1690000}"/>
    <cellStyle name="Normal 2 15 2 2 3" xfId="27137" xr:uid="{00000000-0005-0000-0000-0000E2690000}"/>
    <cellStyle name="Normal 2 15 2 3" xfId="27138" xr:uid="{00000000-0005-0000-0000-0000E3690000}"/>
    <cellStyle name="Normal 2 15 2 4" xfId="27139" xr:uid="{00000000-0005-0000-0000-0000E4690000}"/>
    <cellStyle name="Normal 2 15 3" xfId="27140" xr:uid="{00000000-0005-0000-0000-0000E5690000}"/>
    <cellStyle name="Normal 2 15 3 2" xfId="27141" xr:uid="{00000000-0005-0000-0000-0000E6690000}"/>
    <cellStyle name="Normal 2 15 3 3" xfId="27142" xr:uid="{00000000-0005-0000-0000-0000E7690000}"/>
    <cellStyle name="Normal 2 15 4" xfId="27143" xr:uid="{00000000-0005-0000-0000-0000E8690000}"/>
    <cellStyle name="Normal 2 15 5" xfId="27144" xr:uid="{00000000-0005-0000-0000-0000E9690000}"/>
    <cellStyle name="Normal 2 15 6" xfId="27145" xr:uid="{00000000-0005-0000-0000-0000EA690000}"/>
    <cellStyle name="Normal 2 16" xfId="27146" xr:uid="{00000000-0005-0000-0000-0000EB690000}"/>
    <cellStyle name="Normal 2 16 2" xfId="27147" xr:uid="{00000000-0005-0000-0000-0000EC690000}"/>
    <cellStyle name="Normal 2 16 2 2" xfId="27148" xr:uid="{00000000-0005-0000-0000-0000ED690000}"/>
    <cellStyle name="Normal 2 16 2 2 2" xfId="27149" xr:uid="{00000000-0005-0000-0000-0000EE690000}"/>
    <cellStyle name="Normal 2 16 2 2 3" xfId="27150" xr:uid="{00000000-0005-0000-0000-0000EF690000}"/>
    <cellStyle name="Normal 2 16 2 3" xfId="27151" xr:uid="{00000000-0005-0000-0000-0000F0690000}"/>
    <cellStyle name="Normal 2 16 2 4" xfId="27152" xr:uid="{00000000-0005-0000-0000-0000F1690000}"/>
    <cellStyle name="Normal 2 16 3" xfId="27153" xr:uid="{00000000-0005-0000-0000-0000F2690000}"/>
    <cellStyle name="Normal 2 16 3 2" xfId="27154" xr:uid="{00000000-0005-0000-0000-0000F3690000}"/>
    <cellStyle name="Normal 2 16 3 3" xfId="27155" xr:uid="{00000000-0005-0000-0000-0000F4690000}"/>
    <cellStyle name="Normal 2 16 4" xfId="27156" xr:uid="{00000000-0005-0000-0000-0000F5690000}"/>
    <cellStyle name="Normal 2 16 5" xfId="27157" xr:uid="{00000000-0005-0000-0000-0000F6690000}"/>
    <cellStyle name="Normal 2 16 6" xfId="27158" xr:uid="{00000000-0005-0000-0000-0000F7690000}"/>
    <cellStyle name="Normal 2 17" xfId="27159" xr:uid="{00000000-0005-0000-0000-0000F8690000}"/>
    <cellStyle name="Normal 2 17 2" xfId="27160" xr:uid="{00000000-0005-0000-0000-0000F9690000}"/>
    <cellStyle name="Normal 2 17 2 2" xfId="27161" xr:uid="{00000000-0005-0000-0000-0000FA690000}"/>
    <cellStyle name="Normal 2 17 2 3" xfId="27162" xr:uid="{00000000-0005-0000-0000-0000FB690000}"/>
    <cellStyle name="Normal 2 17 3" xfId="27163" xr:uid="{00000000-0005-0000-0000-0000FC690000}"/>
    <cellStyle name="Normal 2 17 4" xfId="27164" xr:uid="{00000000-0005-0000-0000-0000FD690000}"/>
    <cellStyle name="Normal 2 18" xfId="27165" xr:uid="{00000000-0005-0000-0000-0000FE690000}"/>
    <cellStyle name="Normal 2 19" xfId="27166" xr:uid="{00000000-0005-0000-0000-0000FF690000}"/>
    <cellStyle name="Normal 2 2" xfId="91" xr:uid="{00000000-0005-0000-0000-0000006A0000}"/>
    <cellStyle name="Normal 2 2 2" xfId="27167" xr:uid="{00000000-0005-0000-0000-0000016A0000}"/>
    <cellStyle name="Normal 2 2 2 2" xfId="27168" xr:uid="{00000000-0005-0000-0000-0000026A0000}"/>
    <cellStyle name="Normal 2 2 3" xfId="27169" xr:uid="{00000000-0005-0000-0000-0000036A0000}"/>
    <cellStyle name="Normal 2 2 4" xfId="27170" xr:uid="{00000000-0005-0000-0000-0000046A0000}"/>
    <cellStyle name="Normal 2 2 5" xfId="27171" xr:uid="{00000000-0005-0000-0000-0000056A0000}"/>
    <cellStyle name="Normal 2 20" xfId="27172" xr:uid="{00000000-0005-0000-0000-0000066A0000}"/>
    <cellStyle name="Normal 2 21" xfId="36027" xr:uid="{00000000-0005-0000-0000-0000076A0000}"/>
    <cellStyle name="Normal 2 3" xfId="27173" xr:uid="{00000000-0005-0000-0000-0000086A0000}"/>
    <cellStyle name="Normal 2 3 10" xfId="27174" xr:uid="{00000000-0005-0000-0000-0000096A0000}"/>
    <cellStyle name="Normal 2 3 10 2" xfId="27175" xr:uid="{00000000-0005-0000-0000-00000A6A0000}"/>
    <cellStyle name="Normal 2 3 10 2 2" xfId="27176" xr:uid="{00000000-0005-0000-0000-00000B6A0000}"/>
    <cellStyle name="Normal 2 3 10 2 2 2" xfId="27177" xr:uid="{00000000-0005-0000-0000-00000C6A0000}"/>
    <cellStyle name="Normal 2 3 10 2 2 2 2" xfId="27178" xr:uid="{00000000-0005-0000-0000-00000D6A0000}"/>
    <cellStyle name="Normal 2 3 10 2 2 2 3" xfId="27179" xr:uid="{00000000-0005-0000-0000-00000E6A0000}"/>
    <cellStyle name="Normal 2 3 10 2 2 3" xfId="27180" xr:uid="{00000000-0005-0000-0000-00000F6A0000}"/>
    <cellStyle name="Normal 2 3 10 2 2 4" xfId="27181" xr:uid="{00000000-0005-0000-0000-0000106A0000}"/>
    <cellStyle name="Normal 2 3 10 2 3" xfId="27182" xr:uid="{00000000-0005-0000-0000-0000116A0000}"/>
    <cellStyle name="Normal 2 3 10 2 3 2" xfId="27183" xr:uid="{00000000-0005-0000-0000-0000126A0000}"/>
    <cellStyle name="Normal 2 3 10 2 3 3" xfId="27184" xr:uid="{00000000-0005-0000-0000-0000136A0000}"/>
    <cellStyle name="Normal 2 3 10 2 4" xfId="27185" xr:uid="{00000000-0005-0000-0000-0000146A0000}"/>
    <cellStyle name="Normal 2 3 10 2 5" xfId="27186" xr:uid="{00000000-0005-0000-0000-0000156A0000}"/>
    <cellStyle name="Normal 2 3 10 2 6" xfId="27187" xr:uid="{00000000-0005-0000-0000-0000166A0000}"/>
    <cellStyle name="Normal 2 3 10 3" xfId="27188" xr:uid="{00000000-0005-0000-0000-0000176A0000}"/>
    <cellStyle name="Normal 2 3 10 3 2" xfId="27189" xr:uid="{00000000-0005-0000-0000-0000186A0000}"/>
    <cellStyle name="Normal 2 3 10 3 2 2" xfId="27190" xr:uid="{00000000-0005-0000-0000-0000196A0000}"/>
    <cellStyle name="Normal 2 3 10 3 2 3" xfId="27191" xr:uid="{00000000-0005-0000-0000-00001A6A0000}"/>
    <cellStyle name="Normal 2 3 10 3 3" xfId="27192" xr:uid="{00000000-0005-0000-0000-00001B6A0000}"/>
    <cellStyle name="Normal 2 3 10 3 4" xfId="27193" xr:uid="{00000000-0005-0000-0000-00001C6A0000}"/>
    <cellStyle name="Normal 2 3 10 4" xfId="27194" xr:uid="{00000000-0005-0000-0000-00001D6A0000}"/>
    <cellStyle name="Normal 2 3 10 4 2" xfId="27195" xr:uid="{00000000-0005-0000-0000-00001E6A0000}"/>
    <cellStyle name="Normal 2 3 10 4 3" xfId="27196" xr:uid="{00000000-0005-0000-0000-00001F6A0000}"/>
    <cellStyle name="Normal 2 3 10 5" xfId="27197" xr:uid="{00000000-0005-0000-0000-0000206A0000}"/>
    <cellStyle name="Normal 2 3 10 6" xfId="27198" xr:uid="{00000000-0005-0000-0000-0000216A0000}"/>
    <cellStyle name="Normal 2 3 10 7" xfId="27199" xr:uid="{00000000-0005-0000-0000-0000226A0000}"/>
    <cellStyle name="Normal 2 3 11" xfId="27200" xr:uid="{00000000-0005-0000-0000-0000236A0000}"/>
    <cellStyle name="Normal 2 3 11 2" xfId="27201" xr:uid="{00000000-0005-0000-0000-0000246A0000}"/>
    <cellStyle name="Normal 2 3 11 2 2" xfId="27202" xr:uid="{00000000-0005-0000-0000-0000256A0000}"/>
    <cellStyle name="Normal 2 3 11 2 2 2" xfId="27203" xr:uid="{00000000-0005-0000-0000-0000266A0000}"/>
    <cellStyle name="Normal 2 3 11 2 2 3" xfId="27204" xr:uid="{00000000-0005-0000-0000-0000276A0000}"/>
    <cellStyle name="Normal 2 3 11 2 3" xfId="27205" xr:uid="{00000000-0005-0000-0000-0000286A0000}"/>
    <cellStyle name="Normal 2 3 11 2 4" xfId="27206" xr:uid="{00000000-0005-0000-0000-0000296A0000}"/>
    <cellStyle name="Normal 2 3 11 3" xfId="27207" xr:uid="{00000000-0005-0000-0000-00002A6A0000}"/>
    <cellStyle name="Normal 2 3 11 3 2" xfId="27208" xr:uid="{00000000-0005-0000-0000-00002B6A0000}"/>
    <cellStyle name="Normal 2 3 11 3 3" xfId="27209" xr:uid="{00000000-0005-0000-0000-00002C6A0000}"/>
    <cellStyle name="Normal 2 3 11 4" xfId="27210" xr:uid="{00000000-0005-0000-0000-00002D6A0000}"/>
    <cellStyle name="Normal 2 3 11 5" xfId="27211" xr:uid="{00000000-0005-0000-0000-00002E6A0000}"/>
    <cellStyle name="Normal 2 3 11 6" xfId="27212" xr:uid="{00000000-0005-0000-0000-00002F6A0000}"/>
    <cellStyle name="Normal 2 3 12" xfId="27213" xr:uid="{00000000-0005-0000-0000-0000306A0000}"/>
    <cellStyle name="Normal 2 3 12 2" xfId="27214" xr:uid="{00000000-0005-0000-0000-0000316A0000}"/>
    <cellStyle name="Normal 2 3 12 2 2" xfId="27215" xr:uid="{00000000-0005-0000-0000-0000326A0000}"/>
    <cellStyle name="Normal 2 3 12 2 2 2" xfId="27216" xr:uid="{00000000-0005-0000-0000-0000336A0000}"/>
    <cellStyle name="Normal 2 3 12 2 2 3" xfId="27217" xr:uid="{00000000-0005-0000-0000-0000346A0000}"/>
    <cellStyle name="Normal 2 3 12 2 3" xfId="27218" xr:uid="{00000000-0005-0000-0000-0000356A0000}"/>
    <cellStyle name="Normal 2 3 12 2 4" xfId="27219" xr:uid="{00000000-0005-0000-0000-0000366A0000}"/>
    <cellStyle name="Normal 2 3 12 3" xfId="27220" xr:uid="{00000000-0005-0000-0000-0000376A0000}"/>
    <cellStyle name="Normal 2 3 12 3 2" xfId="27221" xr:uid="{00000000-0005-0000-0000-0000386A0000}"/>
    <cellStyle name="Normal 2 3 12 3 3" xfId="27222" xr:uid="{00000000-0005-0000-0000-0000396A0000}"/>
    <cellStyle name="Normal 2 3 12 4" xfId="27223" xr:uid="{00000000-0005-0000-0000-00003A6A0000}"/>
    <cellStyle name="Normal 2 3 12 5" xfId="27224" xr:uid="{00000000-0005-0000-0000-00003B6A0000}"/>
    <cellStyle name="Normal 2 3 12 6" xfId="27225" xr:uid="{00000000-0005-0000-0000-00003C6A0000}"/>
    <cellStyle name="Normal 2 3 13" xfId="27226" xr:uid="{00000000-0005-0000-0000-00003D6A0000}"/>
    <cellStyle name="Normal 2 3 13 2" xfId="27227" xr:uid="{00000000-0005-0000-0000-00003E6A0000}"/>
    <cellStyle name="Normal 2 3 13 2 2" xfId="27228" xr:uid="{00000000-0005-0000-0000-00003F6A0000}"/>
    <cellStyle name="Normal 2 3 13 2 3" xfId="27229" xr:uid="{00000000-0005-0000-0000-0000406A0000}"/>
    <cellStyle name="Normal 2 3 13 3" xfId="27230" xr:uid="{00000000-0005-0000-0000-0000416A0000}"/>
    <cellStyle name="Normal 2 3 13 4" xfId="27231" xr:uid="{00000000-0005-0000-0000-0000426A0000}"/>
    <cellStyle name="Normal 2 3 14" xfId="27232" xr:uid="{00000000-0005-0000-0000-0000436A0000}"/>
    <cellStyle name="Normal 2 3 14 2" xfId="27233" xr:uid="{00000000-0005-0000-0000-0000446A0000}"/>
    <cellStyle name="Normal 2 3 14 3" xfId="27234" xr:uid="{00000000-0005-0000-0000-0000456A0000}"/>
    <cellStyle name="Normal 2 3 15" xfId="27235" xr:uid="{00000000-0005-0000-0000-0000466A0000}"/>
    <cellStyle name="Normal 2 3 16" xfId="27236" xr:uid="{00000000-0005-0000-0000-0000476A0000}"/>
    <cellStyle name="Normal 2 3 17" xfId="27237" xr:uid="{00000000-0005-0000-0000-0000486A0000}"/>
    <cellStyle name="Normal 2 3 2" xfId="27238" xr:uid="{00000000-0005-0000-0000-0000496A0000}"/>
    <cellStyle name="Normal 2 3 2 10" xfId="27239" xr:uid="{00000000-0005-0000-0000-00004A6A0000}"/>
    <cellStyle name="Normal 2 3 2 11" xfId="27240" xr:uid="{00000000-0005-0000-0000-00004B6A0000}"/>
    <cellStyle name="Normal 2 3 2 12" xfId="27241" xr:uid="{00000000-0005-0000-0000-00004C6A0000}"/>
    <cellStyle name="Normal 2 3 2 2" xfId="27242" xr:uid="{00000000-0005-0000-0000-00004D6A0000}"/>
    <cellStyle name="Normal 2 3 2 2 10" xfId="27243" xr:uid="{00000000-0005-0000-0000-00004E6A0000}"/>
    <cellStyle name="Normal 2 3 2 2 2" xfId="27244" xr:uid="{00000000-0005-0000-0000-00004F6A0000}"/>
    <cellStyle name="Normal 2 3 2 2 2 2" xfId="27245" xr:uid="{00000000-0005-0000-0000-0000506A0000}"/>
    <cellStyle name="Normal 2 3 2 2 2 2 2" xfId="27246" xr:uid="{00000000-0005-0000-0000-0000516A0000}"/>
    <cellStyle name="Normal 2 3 2 2 2 2 2 2" xfId="27247" xr:uid="{00000000-0005-0000-0000-0000526A0000}"/>
    <cellStyle name="Normal 2 3 2 2 2 2 2 2 2" xfId="27248" xr:uid="{00000000-0005-0000-0000-0000536A0000}"/>
    <cellStyle name="Normal 2 3 2 2 2 2 2 2 2 2" xfId="27249" xr:uid="{00000000-0005-0000-0000-0000546A0000}"/>
    <cellStyle name="Normal 2 3 2 2 2 2 2 2 2 2 2" xfId="27250" xr:uid="{00000000-0005-0000-0000-0000556A0000}"/>
    <cellStyle name="Normal 2 3 2 2 2 2 2 2 2 2 3" xfId="27251" xr:uid="{00000000-0005-0000-0000-0000566A0000}"/>
    <cellStyle name="Normal 2 3 2 2 2 2 2 2 2 3" xfId="27252" xr:uid="{00000000-0005-0000-0000-0000576A0000}"/>
    <cellStyle name="Normal 2 3 2 2 2 2 2 2 2 4" xfId="27253" xr:uid="{00000000-0005-0000-0000-0000586A0000}"/>
    <cellStyle name="Normal 2 3 2 2 2 2 2 2 3" xfId="27254" xr:uid="{00000000-0005-0000-0000-0000596A0000}"/>
    <cellStyle name="Normal 2 3 2 2 2 2 2 2 3 2" xfId="27255" xr:uid="{00000000-0005-0000-0000-00005A6A0000}"/>
    <cellStyle name="Normal 2 3 2 2 2 2 2 2 3 3" xfId="27256" xr:uid="{00000000-0005-0000-0000-00005B6A0000}"/>
    <cellStyle name="Normal 2 3 2 2 2 2 2 2 4" xfId="27257" xr:uid="{00000000-0005-0000-0000-00005C6A0000}"/>
    <cellStyle name="Normal 2 3 2 2 2 2 2 2 5" xfId="27258" xr:uid="{00000000-0005-0000-0000-00005D6A0000}"/>
    <cellStyle name="Normal 2 3 2 2 2 2 2 2 6" xfId="27259" xr:uid="{00000000-0005-0000-0000-00005E6A0000}"/>
    <cellStyle name="Normal 2 3 2 2 2 2 2 3" xfId="27260" xr:uid="{00000000-0005-0000-0000-00005F6A0000}"/>
    <cellStyle name="Normal 2 3 2 2 2 2 2 3 2" xfId="27261" xr:uid="{00000000-0005-0000-0000-0000606A0000}"/>
    <cellStyle name="Normal 2 3 2 2 2 2 2 3 2 2" xfId="27262" xr:uid="{00000000-0005-0000-0000-0000616A0000}"/>
    <cellStyle name="Normal 2 3 2 2 2 2 2 3 2 3" xfId="27263" xr:uid="{00000000-0005-0000-0000-0000626A0000}"/>
    <cellStyle name="Normal 2 3 2 2 2 2 2 3 3" xfId="27264" xr:uid="{00000000-0005-0000-0000-0000636A0000}"/>
    <cellStyle name="Normal 2 3 2 2 2 2 2 3 4" xfId="27265" xr:uid="{00000000-0005-0000-0000-0000646A0000}"/>
    <cellStyle name="Normal 2 3 2 2 2 2 2 4" xfId="27266" xr:uid="{00000000-0005-0000-0000-0000656A0000}"/>
    <cellStyle name="Normal 2 3 2 2 2 2 2 4 2" xfId="27267" xr:uid="{00000000-0005-0000-0000-0000666A0000}"/>
    <cellStyle name="Normal 2 3 2 2 2 2 2 4 3" xfId="27268" xr:uid="{00000000-0005-0000-0000-0000676A0000}"/>
    <cellStyle name="Normal 2 3 2 2 2 2 2 5" xfId="27269" xr:uid="{00000000-0005-0000-0000-0000686A0000}"/>
    <cellStyle name="Normal 2 3 2 2 2 2 2 6" xfId="27270" xr:uid="{00000000-0005-0000-0000-0000696A0000}"/>
    <cellStyle name="Normal 2 3 2 2 2 2 2 7" xfId="27271" xr:uid="{00000000-0005-0000-0000-00006A6A0000}"/>
    <cellStyle name="Normal 2 3 2 2 2 2 3" xfId="27272" xr:uid="{00000000-0005-0000-0000-00006B6A0000}"/>
    <cellStyle name="Normal 2 3 2 2 2 2 3 2" xfId="27273" xr:uid="{00000000-0005-0000-0000-00006C6A0000}"/>
    <cellStyle name="Normal 2 3 2 2 2 2 3 2 2" xfId="27274" xr:uid="{00000000-0005-0000-0000-00006D6A0000}"/>
    <cellStyle name="Normal 2 3 2 2 2 2 3 2 2 2" xfId="27275" xr:uid="{00000000-0005-0000-0000-00006E6A0000}"/>
    <cellStyle name="Normal 2 3 2 2 2 2 3 2 2 3" xfId="27276" xr:uid="{00000000-0005-0000-0000-00006F6A0000}"/>
    <cellStyle name="Normal 2 3 2 2 2 2 3 2 3" xfId="27277" xr:uid="{00000000-0005-0000-0000-0000706A0000}"/>
    <cellStyle name="Normal 2 3 2 2 2 2 3 2 4" xfId="27278" xr:uid="{00000000-0005-0000-0000-0000716A0000}"/>
    <cellStyle name="Normal 2 3 2 2 2 2 3 3" xfId="27279" xr:uid="{00000000-0005-0000-0000-0000726A0000}"/>
    <cellStyle name="Normal 2 3 2 2 2 2 3 3 2" xfId="27280" xr:uid="{00000000-0005-0000-0000-0000736A0000}"/>
    <cellStyle name="Normal 2 3 2 2 2 2 3 3 3" xfId="27281" xr:uid="{00000000-0005-0000-0000-0000746A0000}"/>
    <cellStyle name="Normal 2 3 2 2 2 2 3 4" xfId="27282" xr:uid="{00000000-0005-0000-0000-0000756A0000}"/>
    <cellStyle name="Normal 2 3 2 2 2 2 3 5" xfId="27283" xr:uid="{00000000-0005-0000-0000-0000766A0000}"/>
    <cellStyle name="Normal 2 3 2 2 2 2 3 6" xfId="27284" xr:uid="{00000000-0005-0000-0000-0000776A0000}"/>
    <cellStyle name="Normal 2 3 2 2 2 2 4" xfId="27285" xr:uid="{00000000-0005-0000-0000-0000786A0000}"/>
    <cellStyle name="Normal 2 3 2 2 2 2 4 2" xfId="27286" xr:uid="{00000000-0005-0000-0000-0000796A0000}"/>
    <cellStyle name="Normal 2 3 2 2 2 2 4 2 2" xfId="27287" xr:uid="{00000000-0005-0000-0000-00007A6A0000}"/>
    <cellStyle name="Normal 2 3 2 2 2 2 4 2 3" xfId="27288" xr:uid="{00000000-0005-0000-0000-00007B6A0000}"/>
    <cellStyle name="Normal 2 3 2 2 2 2 4 3" xfId="27289" xr:uid="{00000000-0005-0000-0000-00007C6A0000}"/>
    <cellStyle name="Normal 2 3 2 2 2 2 4 4" xfId="27290" xr:uid="{00000000-0005-0000-0000-00007D6A0000}"/>
    <cellStyle name="Normal 2 3 2 2 2 2 5" xfId="27291" xr:uid="{00000000-0005-0000-0000-00007E6A0000}"/>
    <cellStyle name="Normal 2 3 2 2 2 2 5 2" xfId="27292" xr:uid="{00000000-0005-0000-0000-00007F6A0000}"/>
    <cellStyle name="Normal 2 3 2 2 2 2 5 3" xfId="27293" xr:uid="{00000000-0005-0000-0000-0000806A0000}"/>
    <cellStyle name="Normal 2 3 2 2 2 2 6" xfId="27294" xr:uid="{00000000-0005-0000-0000-0000816A0000}"/>
    <cellStyle name="Normal 2 3 2 2 2 2 7" xfId="27295" xr:uid="{00000000-0005-0000-0000-0000826A0000}"/>
    <cellStyle name="Normal 2 3 2 2 2 2 8" xfId="27296" xr:uid="{00000000-0005-0000-0000-0000836A0000}"/>
    <cellStyle name="Normal 2 3 2 2 2 3" xfId="27297" xr:uid="{00000000-0005-0000-0000-0000846A0000}"/>
    <cellStyle name="Normal 2 3 2 2 2 3 2" xfId="27298" xr:uid="{00000000-0005-0000-0000-0000856A0000}"/>
    <cellStyle name="Normal 2 3 2 2 2 3 2 2" xfId="27299" xr:uid="{00000000-0005-0000-0000-0000866A0000}"/>
    <cellStyle name="Normal 2 3 2 2 2 3 2 2 2" xfId="27300" xr:uid="{00000000-0005-0000-0000-0000876A0000}"/>
    <cellStyle name="Normal 2 3 2 2 2 3 2 2 2 2" xfId="27301" xr:uid="{00000000-0005-0000-0000-0000886A0000}"/>
    <cellStyle name="Normal 2 3 2 2 2 3 2 2 2 3" xfId="27302" xr:uid="{00000000-0005-0000-0000-0000896A0000}"/>
    <cellStyle name="Normal 2 3 2 2 2 3 2 2 3" xfId="27303" xr:uid="{00000000-0005-0000-0000-00008A6A0000}"/>
    <cellStyle name="Normal 2 3 2 2 2 3 2 2 4" xfId="27304" xr:uid="{00000000-0005-0000-0000-00008B6A0000}"/>
    <cellStyle name="Normal 2 3 2 2 2 3 2 3" xfId="27305" xr:uid="{00000000-0005-0000-0000-00008C6A0000}"/>
    <cellStyle name="Normal 2 3 2 2 2 3 2 3 2" xfId="27306" xr:uid="{00000000-0005-0000-0000-00008D6A0000}"/>
    <cellStyle name="Normal 2 3 2 2 2 3 2 3 3" xfId="27307" xr:uid="{00000000-0005-0000-0000-00008E6A0000}"/>
    <cellStyle name="Normal 2 3 2 2 2 3 2 4" xfId="27308" xr:uid="{00000000-0005-0000-0000-00008F6A0000}"/>
    <cellStyle name="Normal 2 3 2 2 2 3 2 5" xfId="27309" xr:uid="{00000000-0005-0000-0000-0000906A0000}"/>
    <cellStyle name="Normal 2 3 2 2 2 3 2 6" xfId="27310" xr:uid="{00000000-0005-0000-0000-0000916A0000}"/>
    <cellStyle name="Normal 2 3 2 2 2 3 3" xfId="27311" xr:uid="{00000000-0005-0000-0000-0000926A0000}"/>
    <cellStyle name="Normal 2 3 2 2 2 3 3 2" xfId="27312" xr:uid="{00000000-0005-0000-0000-0000936A0000}"/>
    <cellStyle name="Normal 2 3 2 2 2 3 3 2 2" xfId="27313" xr:uid="{00000000-0005-0000-0000-0000946A0000}"/>
    <cellStyle name="Normal 2 3 2 2 2 3 3 2 3" xfId="27314" xr:uid="{00000000-0005-0000-0000-0000956A0000}"/>
    <cellStyle name="Normal 2 3 2 2 2 3 3 3" xfId="27315" xr:uid="{00000000-0005-0000-0000-0000966A0000}"/>
    <cellStyle name="Normal 2 3 2 2 2 3 3 4" xfId="27316" xr:uid="{00000000-0005-0000-0000-0000976A0000}"/>
    <cellStyle name="Normal 2 3 2 2 2 3 4" xfId="27317" xr:uid="{00000000-0005-0000-0000-0000986A0000}"/>
    <cellStyle name="Normal 2 3 2 2 2 3 4 2" xfId="27318" xr:uid="{00000000-0005-0000-0000-0000996A0000}"/>
    <cellStyle name="Normal 2 3 2 2 2 3 4 3" xfId="27319" xr:uid="{00000000-0005-0000-0000-00009A6A0000}"/>
    <cellStyle name="Normal 2 3 2 2 2 3 5" xfId="27320" xr:uid="{00000000-0005-0000-0000-00009B6A0000}"/>
    <cellStyle name="Normal 2 3 2 2 2 3 6" xfId="27321" xr:uid="{00000000-0005-0000-0000-00009C6A0000}"/>
    <cellStyle name="Normal 2 3 2 2 2 3 7" xfId="27322" xr:uid="{00000000-0005-0000-0000-00009D6A0000}"/>
    <cellStyle name="Normal 2 3 2 2 2 4" xfId="27323" xr:uid="{00000000-0005-0000-0000-00009E6A0000}"/>
    <cellStyle name="Normal 2 3 2 2 2 4 2" xfId="27324" xr:uid="{00000000-0005-0000-0000-00009F6A0000}"/>
    <cellStyle name="Normal 2 3 2 2 2 4 2 2" xfId="27325" xr:uid="{00000000-0005-0000-0000-0000A06A0000}"/>
    <cellStyle name="Normal 2 3 2 2 2 4 2 2 2" xfId="27326" xr:uid="{00000000-0005-0000-0000-0000A16A0000}"/>
    <cellStyle name="Normal 2 3 2 2 2 4 2 2 3" xfId="27327" xr:uid="{00000000-0005-0000-0000-0000A26A0000}"/>
    <cellStyle name="Normal 2 3 2 2 2 4 2 3" xfId="27328" xr:uid="{00000000-0005-0000-0000-0000A36A0000}"/>
    <cellStyle name="Normal 2 3 2 2 2 4 2 4" xfId="27329" xr:uid="{00000000-0005-0000-0000-0000A46A0000}"/>
    <cellStyle name="Normal 2 3 2 2 2 4 3" xfId="27330" xr:uid="{00000000-0005-0000-0000-0000A56A0000}"/>
    <cellStyle name="Normal 2 3 2 2 2 4 3 2" xfId="27331" xr:uid="{00000000-0005-0000-0000-0000A66A0000}"/>
    <cellStyle name="Normal 2 3 2 2 2 4 3 3" xfId="27332" xr:uid="{00000000-0005-0000-0000-0000A76A0000}"/>
    <cellStyle name="Normal 2 3 2 2 2 4 4" xfId="27333" xr:uid="{00000000-0005-0000-0000-0000A86A0000}"/>
    <cellStyle name="Normal 2 3 2 2 2 4 5" xfId="27334" xr:uid="{00000000-0005-0000-0000-0000A96A0000}"/>
    <cellStyle name="Normal 2 3 2 2 2 4 6" xfId="27335" xr:uid="{00000000-0005-0000-0000-0000AA6A0000}"/>
    <cellStyle name="Normal 2 3 2 2 2 5" xfId="27336" xr:uid="{00000000-0005-0000-0000-0000AB6A0000}"/>
    <cellStyle name="Normal 2 3 2 2 2 5 2" xfId="27337" xr:uid="{00000000-0005-0000-0000-0000AC6A0000}"/>
    <cellStyle name="Normal 2 3 2 2 2 5 2 2" xfId="27338" xr:uid="{00000000-0005-0000-0000-0000AD6A0000}"/>
    <cellStyle name="Normal 2 3 2 2 2 5 2 3" xfId="27339" xr:uid="{00000000-0005-0000-0000-0000AE6A0000}"/>
    <cellStyle name="Normal 2 3 2 2 2 5 3" xfId="27340" xr:uid="{00000000-0005-0000-0000-0000AF6A0000}"/>
    <cellStyle name="Normal 2 3 2 2 2 5 4" xfId="27341" xr:uid="{00000000-0005-0000-0000-0000B06A0000}"/>
    <cellStyle name="Normal 2 3 2 2 2 6" xfId="27342" xr:uid="{00000000-0005-0000-0000-0000B16A0000}"/>
    <cellStyle name="Normal 2 3 2 2 2 6 2" xfId="27343" xr:uid="{00000000-0005-0000-0000-0000B26A0000}"/>
    <cellStyle name="Normal 2 3 2 2 2 6 3" xfId="27344" xr:uid="{00000000-0005-0000-0000-0000B36A0000}"/>
    <cellStyle name="Normal 2 3 2 2 2 7" xfId="27345" xr:uid="{00000000-0005-0000-0000-0000B46A0000}"/>
    <cellStyle name="Normal 2 3 2 2 2 8" xfId="27346" xr:uid="{00000000-0005-0000-0000-0000B56A0000}"/>
    <cellStyle name="Normal 2 3 2 2 2 9" xfId="27347" xr:uid="{00000000-0005-0000-0000-0000B66A0000}"/>
    <cellStyle name="Normal 2 3 2 2 3" xfId="27348" xr:uid="{00000000-0005-0000-0000-0000B76A0000}"/>
    <cellStyle name="Normal 2 3 2 2 3 2" xfId="27349" xr:uid="{00000000-0005-0000-0000-0000B86A0000}"/>
    <cellStyle name="Normal 2 3 2 2 3 2 2" xfId="27350" xr:uid="{00000000-0005-0000-0000-0000B96A0000}"/>
    <cellStyle name="Normal 2 3 2 2 3 2 2 2" xfId="27351" xr:uid="{00000000-0005-0000-0000-0000BA6A0000}"/>
    <cellStyle name="Normal 2 3 2 2 3 2 2 2 2" xfId="27352" xr:uid="{00000000-0005-0000-0000-0000BB6A0000}"/>
    <cellStyle name="Normal 2 3 2 2 3 2 2 2 2 2" xfId="27353" xr:uid="{00000000-0005-0000-0000-0000BC6A0000}"/>
    <cellStyle name="Normal 2 3 2 2 3 2 2 2 2 3" xfId="27354" xr:uid="{00000000-0005-0000-0000-0000BD6A0000}"/>
    <cellStyle name="Normal 2 3 2 2 3 2 2 2 3" xfId="27355" xr:uid="{00000000-0005-0000-0000-0000BE6A0000}"/>
    <cellStyle name="Normal 2 3 2 2 3 2 2 2 4" xfId="27356" xr:uid="{00000000-0005-0000-0000-0000BF6A0000}"/>
    <cellStyle name="Normal 2 3 2 2 3 2 2 3" xfId="27357" xr:uid="{00000000-0005-0000-0000-0000C06A0000}"/>
    <cellStyle name="Normal 2 3 2 2 3 2 2 3 2" xfId="27358" xr:uid="{00000000-0005-0000-0000-0000C16A0000}"/>
    <cellStyle name="Normal 2 3 2 2 3 2 2 3 3" xfId="27359" xr:uid="{00000000-0005-0000-0000-0000C26A0000}"/>
    <cellStyle name="Normal 2 3 2 2 3 2 2 4" xfId="27360" xr:uid="{00000000-0005-0000-0000-0000C36A0000}"/>
    <cellStyle name="Normal 2 3 2 2 3 2 2 5" xfId="27361" xr:uid="{00000000-0005-0000-0000-0000C46A0000}"/>
    <cellStyle name="Normal 2 3 2 2 3 2 2 6" xfId="27362" xr:uid="{00000000-0005-0000-0000-0000C56A0000}"/>
    <cellStyle name="Normal 2 3 2 2 3 2 3" xfId="27363" xr:uid="{00000000-0005-0000-0000-0000C66A0000}"/>
    <cellStyle name="Normal 2 3 2 2 3 2 3 2" xfId="27364" xr:uid="{00000000-0005-0000-0000-0000C76A0000}"/>
    <cellStyle name="Normal 2 3 2 2 3 2 3 2 2" xfId="27365" xr:uid="{00000000-0005-0000-0000-0000C86A0000}"/>
    <cellStyle name="Normal 2 3 2 2 3 2 3 2 3" xfId="27366" xr:uid="{00000000-0005-0000-0000-0000C96A0000}"/>
    <cellStyle name="Normal 2 3 2 2 3 2 3 3" xfId="27367" xr:uid="{00000000-0005-0000-0000-0000CA6A0000}"/>
    <cellStyle name="Normal 2 3 2 2 3 2 3 4" xfId="27368" xr:uid="{00000000-0005-0000-0000-0000CB6A0000}"/>
    <cellStyle name="Normal 2 3 2 2 3 2 4" xfId="27369" xr:uid="{00000000-0005-0000-0000-0000CC6A0000}"/>
    <cellStyle name="Normal 2 3 2 2 3 2 4 2" xfId="27370" xr:uid="{00000000-0005-0000-0000-0000CD6A0000}"/>
    <cellStyle name="Normal 2 3 2 2 3 2 4 3" xfId="27371" xr:uid="{00000000-0005-0000-0000-0000CE6A0000}"/>
    <cellStyle name="Normal 2 3 2 2 3 2 5" xfId="27372" xr:uid="{00000000-0005-0000-0000-0000CF6A0000}"/>
    <cellStyle name="Normal 2 3 2 2 3 2 6" xfId="27373" xr:uid="{00000000-0005-0000-0000-0000D06A0000}"/>
    <cellStyle name="Normal 2 3 2 2 3 2 7" xfId="27374" xr:uid="{00000000-0005-0000-0000-0000D16A0000}"/>
    <cellStyle name="Normal 2 3 2 2 3 3" xfId="27375" xr:uid="{00000000-0005-0000-0000-0000D26A0000}"/>
    <cellStyle name="Normal 2 3 2 2 3 3 2" xfId="27376" xr:uid="{00000000-0005-0000-0000-0000D36A0000}"/>
    <cellStyle name="Normal 2 3 2 2 3 3 2 2" xfId="27377" xr:uid="{00000000-0005-0000-0000-0000D46A0000}"/>
    <cellStyle name="Normal 2 3 2 2 3 3 2 2 2" xfId="27378" xr:uid="{00000000-0005-0000-0000-0000D56A0000}"/>
    <cellStyle name="Normal 2 3 2 2 3 3 2 2 3" xfId="27379" xr:uid="{00000000-0005-0000-0000-0000D66A0000}"/>
    <cellStyle name="Normal 2 3 2 2 3 3 2 3" xfId="27380" xr:uid="{00000000-0005-0000-0000-0000D76A0000}"/>
    <cellStyle name="Normal 2 3 2 2 3 3 2 4" xfId="27381" xr:uid="{00000000-0005-0000-0000-0000D86A0000}"/>
    <cellStyle name="Normal 2 3 2 2 3 3 3" xfId="27382" xr:uid="{00000000-0005-0000-0000-0000D96A0000}"/>
    <cellStyle name="Normal 2 3 2 2 3 3 3 2" xfId="27383" xr:uid="{00000000-0005-0000-0000-0000DA6A0000}"/>
    <cellStyle name="Normal 2 3 2 2 3 3 3 3" xfId="27384" xr:uid="{00000000-0005-0000-0000-0000DB6A0000}"/>
    <cellStyle name="Normal 2 3 2 2 3 3 4" xfId="27385" xr:uid="{00000000-0005-0000-0000-0000DC6A0000}"/>
    <cellStyle name="Normal 2 3 2 2 3 3 5" xfId="27386" xr:uid="{00000000-0005-0000-0000-0000DD6A0000}"/>
    <cellStyle name="Normal 2 3 2 2 3 3 6" xfId="27387" xr:uid="{00000000-0005-0000-0000-0000DE6A0000}"/>
    <cellStyle name="Normal 2 3 2 2 3 4" xfId="27388" xr:uid="{00000000-0005-0000-0000-0000DF6A0000}"/>
    <cellStyle name="Normal 2 3 2 2 3 4 2" xfId="27389" xr:uid="{00000000-0005-0000-0000-0000E06A0000}"/>
    <cellStyle name="Normal 2 3 2 2 3 4 2 2" xfId="27390" xr:uid="{00000000-0005-0000-0000-0000E16A0000}"/>
    <cellStyle name="Normal 2 3 2 2 3 4 2 3" xfId="27391" xr:uid="{00000000-0005-0000-0000-0000E26A0000}"/>
    <cellStyle name="Normal 2 3 2 2 3 4 3" xfId="27392" xr:uid="{00000000-0005-0000-0000-0000E36A0000}"/>
    <cellStyle name="Normal 2 3 2 2 3 4 4" xfId="27393" xr:uid="{00000000-0005-0000-0000-0000E46A0000}"/>
    <cellStyle name="Normal 2 3 2 2 3 5" xfId="27394" xr:uid="{00000000-0005-0000-0000-0000E56A0000}"/>
    <cellStyle name="Normal 2 3 2 2 3 5 2" xfId="27395" xr:uid="{00000000-0005-0000-0000-0000E66A0000}"/>
    <cellStyle name="Normal 2 3 2 2 3 5 3" xfId="27396" xr:uid="{00000000-0005-0000-0000-0000E76A0000}"/>
    <cellStyle name="Normal 2 3 2 2 3 6" xfId="27397" xr:uid="{00000000-0005-0000-0000-0000E86A0000}"/>
    <cellStyle name="Normal 2 3 2 2 3 7" xfId="27398" xr:uid="{00000000-0005-0000-0000-0000E96A0000}"/>
    <cellStyle name="Normal 2 3 2 2 3 8" xfId="27399" xr:uid="{00000000-0005-0000-0000-0000EA6A0000}"/>
    <cellStyle name="Normal 2 3 2 2 4" xfId="27400" xr:uid="{00000000-0005-0000-0000-0000EB6A0000}"/>
    <cellStyle name="Normal 2 3 2 2 4 2" xfId="27401" xr:uid="{00000000-0005-0000-0000-0000EC6A0000}"/>
    <cellStyle name="Normal 2 3 2 2 4 2 2" xfId="27402" xr:uid="{00000000-0005-0000-0000-0000ED6A0000}"/>
    <cellStyle name="Normal 2 3 2 2 4 2 2 2" xfId="27403" xr:uid="{00000000-0005-0000-0000-0000EE6A0000}"/>
    <cellStyle name="Normal 2 3 2 2 4 2 2 2 2" xfId="27404" xr:uid="{00000000-0005-0000-0000-0000EF6A0000}"/>
    <cellStyle name="Normal 2 3 2 2 4 2 2 2 3" xfId="27405" xr:uid="{00000000-0005-0000-0000-0000F06A0000}"/>
    <cellStyle name="Normal 2 3 2 2 4 2 2 3" xfId="27406" xr:uid="{00000000-0005-0000-0000-0000F16A0000}"/>
    <cellStyle name="Normal 2 3 2 2 4 2 2 4" xfId="27407" xr:uid="{00000000-0005-0000-0000-0000F26A0000}"/>
    <cellStyle name="Normal 2 3 2 2 4 2 3" xfId="27408" xr:uid="{00000000-0005-0000-0000-0000F36A0000}"/>
    <cellStyle name="Normal 2 3 2 2 4 2 3 2" xfId="27409" xr:uid="{00000000-0005-0000-0000-0000F46A0000}"/>
    <cellStyle name="Normal 2 3 2 2 4 2 3 3" xfId="27410" xr:uid="{00000000-0005-0000-0000-0000F56A0000}"/>
    <cellStyle name="Normal 2 3 2 2 4 2 4" xfId="27411" xr:uid="{00000000-0005-0000-0000-0000F66A0000}"/>
    <cellStyle name="Normal 2 3 2 2 4 2 5" xfId="27412" xr:uid="{00000000-0005-0000-0000-0000F76A0000}"/>
    <cellStyle name="Normal 2 3 2 2 4 2 6" xfId="27413" xr:uid="{00000000-0005-0000-0000-0000F86A0000}"/>
    <cellStyle name="Normal 2 3 2 2 4 3" xfId="27414" xr:uid="{00000000-0005-0000-0000-0000F96A0000}"/>
    <cellStyle name="Normal 2 3 2 2 4 3 2" xfId="27415" xr:uid="{00000000-0005-0000-0000-0000FA6A0000}"/>
    <cellStyle name="Normal 2 3 2 2 4 3 2 2" xfId="27416" xr:uid="{00000000-0005-0000-0000-0000FB6A0000}"/>
    <cellStyle name="Normal 2 3 2 2 4 3 2 3" xfId="27417" xr:uid="{00000000-0005-0000-0000-0000FC6A0000}"/>
    <cellStyle name="Normal 2 3 2 2 4 3 3" xfId="27418" xr:uid="{00000000-0005-0000-0000-0000FD6A0000}"/>
    <cellStyle name="Normal 2 3 2 2 4 3 4" xfId="27419" xr:uid="{00000000-0005-0000-0000-0000FE6A0000}"/>
    <cellStyle name="Normal 2 3 2 2 4 4" xfId="27420" xr:uid="{00000000-0005-0000-0000-0000FF6A0000}"/>
    <cellStyle name="Normal 2 3 2 2 4 4 2" xfId="27421" xr:uid="{00000000-0005-0000-0000-0000006B0000}"/>
    <cellStyle name="Normal 2 3 2 2 4 4 3" xfId="27422" xr:uid="{00000000-0005-0000-0000-0000016B0000}"/>
    <cellStyle name="Normal 2 3 2 2 4 5" xfId="27423" xr:uid="{00000000-0005-0000-0000-0000026B0000}"/>
    <cellStyle name="Normal 2 3 2 2 4 6" xfId="27424" xr:uid="{00000000-0005-0000-0000-0000036B0000}"/>
    <cellStyle name="Normal 2 3 2 2 4 7" xfId="27425" xr:uid="{00000000-0005-0000-0000-0000046B0000}"/>
    <cellStyle name="Normal 2 3 2 2 5" xfId="27426" xr:uid="{00000000-0005-0000-0000-0000056B0000}"/>
    <cellStyle name="Normal 2 3 2 2 5 2" xfId="27427" xr:uid="{00000000-0005-0000-0000-0000066B0000}"/>
    <cellStyle name="Normal 2 3 2 2 5 2 2" xfId="27428" xr:uid="{00000000-0005-0000-0000-0000076B0000}"/>
    <cellStyle name="Normal 2 3 2 2 5 2 2 2" xfId="27429" xr:uid="{00000000-0005-0000-0000-0000086B0000}"/>
    <cellStyle name="Normal 2 3 2 2 5 2 2 3" xfId="27430" xr:uid="{00000000-0005-0000-0000-0000096B0000}"/>
    <cellStyle name="Normal 2 3 2 2 5 2 3" xfId="27431" xr:uid="{00000000-0005-0000-0000-00000A6B0000}"/>
    <cellStyle name="Normal 2 3 2 2 5 2 4" xfId="27432" xr:uid="{00000000-0005-0000-0000-00000B6B0000}"/>
    <cellStyle name="Normal 2 3 2 2 5 3" xfId="27433" xr:uid="{00000000-0005-0000-0000-00000C6B0000}"/>
    <cellStyle name="Normal 2 3 2 2 5 3 2" xfId="27434" xr:uid="{00000000-0005-0000-0000-00000D6B0000}"/>
    <cellStyle name="Normal 2 3 2 2 5 3 3" xfId="27435" xr:uid="{00000000-0005-0000-0000-00000E6B0000}"/>
    <cellStyle name="Normal 2 3 2 2 5 4" xfId="27436" xr:uid="{00000000-0005-0000-0000-00000F6B0000}"/>
    <cellStyle name="Normal 2 3 2 2 5 5" xfId="27437" xr:uid="{00000000-0005-0000-0000-0000106B0000}"/>
    <cellStyle name="Normal 2 3 2 2 5 6" xfId="27438" xr:uid="{00000000-0005-0000-0000-0000116B0000}"/>
    <cellStyle name="Normal 2 3 2 2 6" xfId="27439" xr:uid="{00000000-0005-0000-0000-0000126B0000}"/>
    <cellStyle name="Normal 2 3 2 2 6 2" xfId="27440" xr:uid="{00000000-0005-0000-0000-0000136B0000}"/>
    <cellStyle name="Normal 2 3 2 2 6 2 2" xfId="27441" xr:uid="{00000000-0005-0000-0000-0000146B0000}"/>
    <cellStyle name="Normal 2 3 2 2 6 2 3" xfId="27442" xr:uid="{00000000-0005-0000-0000-0000156B0000}"/>
    <cellStyle name="Normal 2 3 2 2 6 3" xfId="27443" xr:uid="{00000000-0005-0000-0000-0000166B0000}"/>
    <cellStyle name="Normal 2 3 2 2 6 4" xfId="27444" xr:uid="{00000000-0005-0000-0000-0000176B0000}"/>
    <cellStyle name="Normal 2 3 2 2 7" xfId="27445" xr:uid="{00000000-0005-0000-0000-0000186B0000}"/>
    <cellStyle name="Normal 2 3 2 2 7 2" xfId="27446" xr:uid="{00000000-0005-0000-0000-0000196B0000}"/>
    <cellStyle name="Normal 2 3 2 2 7 3" xfId="27447" xr:uid="{00000000-0005-0000-0000-00001A6B0000}"/>
    <cellStyle name="Normal 2 3 2 2 8" xfId="27448" xr:uid="{00000000-0005-0000-0000-00001B6B0000}"/>
    <cellStyle name="Normal 2 3 2 2 9" xfId="27449" xr:uid="{00000000-0005-0000-0000-00001C6B0000}"/>
    <cellStyle name="Normal 2 3 2 3" xfId="27450" xr:uid="{00000000-0005-0000-0000-00001D6B0000}"/>
    <cellStyle name="Normal 2 3 2 3 2" xfId="27451" xr:uid="{00000000-0005-0000-0000-00001E6B0000}"/>
    <cellStyle name="Normal 2 3 2 3 2 2" xfId="27452" xr:uid="{00000000-0005-0000-0000-00001F6B0000}"/>
    <cellStyle name="Normal 2 3 2 3 2 2 2" xfId="27453" xr:uid="{00000000-0005-0000-0000-0000206B0000}"/>
    <cellStyle name="Normal 2 3 2 3 2 2 2 2" xfId="27454" xr:uid="{00000000-0005-0000-0000-0000216B0000}"/>
    <cellStyle name="Normal 2 3 2 3 2 2 2 2 2" xfId="27455" xr:uid="{00000000-0005-0000-0000-0000226B0000}"/>
    <cellStyle name="Normal 2 3 2 3 2 2 2 2 2 2" xfId="27456" xr:uid="{00000000-0005-0000-0000-0000236B0000}"/>
    <cellStyle name="Normal 2 3 2 3 2 2 2 2 2 3" xfId="27457" xr:uid="{00000000-0005-0000-0000-0000246B0000}"/>
    <cellStyle name="Normal 2 3 2 3 2 2 2 2 3" xfId="27458" xr:uid="{00000000-0005-0000-0000-0000256B0000}"/>
    <cellStyle name="Normal 2 3 2 3 2 2 2 2 4" xfId="27459" xr:uid="{00000000-0005-0000-0000-0000266B0000}"/>
    <cellStyle name="Normal 2 3 2 3 2 2 2 3" xfId="27460" xr:uid="{00000000-0005-0000-0000-0000276B0000}"/>
    <cellStyle name="Normal 2 3 2 3 2 2 2 3 2" xfId="27461" xr:uid="{00000000-0005-0000-0000-0000286B0000}"/>
    <cellStyle name="Normal 2 3 2 3 2 2 2 3 3" xfId="27462" xr:uid="{00000000-0005-0000-0000-0000296B0000}"/>
    <cellStyle name="Normal 2 3 2 3 2 2 2 4" xfId="27463" xr:uid="{00000000-0005-0000-0000-00002A6B0000}"/>
    <cellStyle name="Normal 2 3 2 3 2 2 2 5" xfId="27464" xr:uid="{00000000-0005-0000-0000-00002B6B0000}"/>
    <cellStyle name="Normal 2 3 2 3 2 2 2 6" xfId="27465" xr:uid="{00000000-0005-0000-0000-00002C6B0000}"/>
    <cellStyle name="Normal 2 3 2 3 2 2 3" xfId="27466" xr:uid="{00000000-0005-0000-0000-00002D6B0000}"/>
    <cellStyle name="Normal 2 3 2 3 2 2 3 2" xfId="27467" xr:uid="{00000000-0005-0000-0000-00002E6B0000}"/>
    <cellStyle name="Normal 2 3 2 3 2 2 3 2 2" xfId="27468" xr:uid="{00000000-0005-0000-0000-00002F6B0000}"/>
    <cellStyle name="Normal 2 3 2 3 2 2 3 2 3" xfId="27469" xr:uid="{00000000-0005-0000-0000-0000306B0000}"/>
    <cellStyle name="Normal 2 3 2 3 2 2 3 3" xfId="27470" xr:uid="{00000000-0005-0000-0000-0000316B0000}"/>
    <cellStyle name="Normal 2 3 2 3 2 2 3 4" xfId="27471" xr:uid="{00000000-0005-0000-0000-0000326B0000}"/>
    <cellStyle name="Normal 2 3 2 3 2 2 4" xfId="27472" xr:uid="{00000000-0005-0000-0000-0000336B0000}"/>
    <cellStyle name="Normal 2 3 2 3 2 2 4 2" xfId="27473" xr:uid="{00000000-0005-0000-0000-0000346B0000}"/>
    <cellStyle name="Normal 2 3 2 3 2 2 4 3" xfId="27474" xr:uid="{00000000-0005-0000-0000-0000356B0000}"/>
    <cellStyle name="Normal 2 3 2 3 2 2 5" xfId="27475" xr:uid="{00000000-0005-0000-0000-0000366B0000}"/>
    <cellStyle name="Normal 2 3 2 3 2 2 6" xfId="27476" xr:uid="{00000000-0005-0000-0000-0000376B0000}"/>
    <cellStyle name="Normal 2 3 2 3 2 2 7" xfId="27477" xr:uid="{00000000-0005-0000-0000-0000386B0000}"/>
    <cellStyle name="Normal 2 3 2 3 2 3" xfId="27478" xr:uid="{00000000-0005-0000-0000-0000396B0000}"/>
    <cellStyle name="Normal 2 3 2 3 2 3 2" xfId="27479" xr:uid="{00000000-0005-0000-0000-00003A6B0000}"/>
    <cellStyle name="Normal 2 3 2 3 2 3 2 2" xfId="27480" xr:uid="{00000000-0005-0000-0000-00003B6B0000}"/>
    <cellStyle name="Normal 2 3 2 3 2 3 2 2 2" xfId="27481" xr:uid="{00000000-0005-0000-0000-00003C6B0000}"/>
    <cellStyle name="Normal 2 3 2 3 2 3 2 2 3" xfId="27482" xr:uid="{00000000-0005-0000-0000-00003D6B0000}"/>
    <cellStyle name="Normal 2 3 2 3 2 3 2 3" xfId="27483" xr:uid="{00000000-0005-0000-0000-00003E6B0000}"/>
    <cellStyle name="Normal 2 3 2 3 2 3 2 4" xfId="27484" xr:uid="{00000000-0005-0000-0000-00003F6B0000}"/>
    <cellStyle name="Normal 2 3 2 3 2 3 3" xfId="27485" xr:uid="{00000000-0005-0000-0000-0000406B0000}"/>
    <cellStyle name="Normal 2 3 2 3 2 3 3 2" xfId="27486" xr:uid="{00000000-0005-0000-0000-0000416B0000}"/>
    <cellStyle name="Normal 2 3 2 3 2 3 3 3" xfId="27487" xr:uid="{00000000-0005-0000-0000-0000426B0000}"/>
    <cellStyle name="Normal 2 3 2 3 2 3 4" xfId="27488" xr:uid="{00000000-0005-0000-0000-0000436B0000}"/>
    <cellStyle name="Normal 2 3 2 3 2 3 5" xfId="27489" xr:uid="{00000000-0005-0000-0000-0000446B0000}"/>
    <cellStyle name="Normal 2 3 2 3 2 3 6" xfId="27490" xr:uid="{00000000-0005-0000-0000-0000456B0000}"/>
    <cellStyle name="Normal 2 3 2 3 2 4" xfId="27491" xr:uid="{00000000-0005-0000-0000-0000466B0000}"/>
    <cellStyle name="Normal 2 3 2 3 2 4 2" xfId="27492" xr:uid="{00000000-0005-0000-0000-0000476B0000}"/>
    <cellStyle name="Normal 2 3 2 3 2 4 2 2" xfId="27493" xr:uid="{00000000-0005-0000-0000-0000486B0000}"/>
    <cellStyle name="Normal 2 3 2 3 2 4 2 3" xfId="27494" xr:uid="{00000000-0005-0000-0000-0000496B0000}"/>
    <cellStyle name="Normal 2 3 2 3 2 4 3" xfId="27495" xr:uid="{00000000-0005-0000-0000-00004A6B0000}"/>
    <cellStyle name="Normal 2 3 2 3 2 4 4" xfId="27496" xr:uid="{00000000-0005-0000-0000-00004B6B0000}"/>
    <cellStyle name="Normal 2 3 2 3 2 5" xfId="27497" xr:uid="{00000000-0005-0000-0000-00004C6B0000}"/>
    <cellStyle name="Normal 2 3 2 3 2 5 2" xfId="27498" xr:uid="{00000000-0005-0000-0000-00004D6B0000}"/>
    <cellStyle name="Normal 2 3 2 3 2 5 3" xfId="27499" xr:uid="{00000000-0005-0000-0000-00004E6B0000}"/>
    <cellStyle name="Normal 2 3 2 3 2 6" xfId="27500" xr:uid="{00000000-0005-0000-0000-00004F6B0000}"/>
    <cellStyle name="Normal 2 3 2 3 2 7" xfId="27501" xr:uid="{00000000-0005-0000-0000-0000506B0000}"/>
    <cellStyle name="Normal 2 3 2 3 2 8" xfId="27502" xr:uid="{00000000-0005-0000-0000-0000516B0000}"/>
    <cellStyle name="Normal 2 3 2 3 3" xfId="27503" xr:uid="{00000000-0005-0000-0000-0000526B0000}"/>
    <cellStyle name="Normal 2 3 2 3 3 2" xfId="27504" xr:uid="{00000000-0005-0000-0000-0000536B0000}"/>
    <cellStyle name="Normal 2 3 2 3 3 2 2" xfId="27505" xr:uid="{00000000-0005-0000-0000-0000546B0000}"/>
    <cellStyle name="Normal 2 3 2 3 3 2 2 2" xfId="27506" xr:uid="{00000000-0005-0000-0000-0000556B0000}"/>
    <cellStyle name="Normal 2 3 2 3 3 2 2 2 2" xfId="27507" xr:uid="{00000000-0005-0000-0000-0000566B0000}"/>
    <cellStyle name="Normal 2 3 2 3 3 2 2 2 3" xfId="27508" xr:uid="{00000000-0005-0000-0000-0000576B0000}"/>
    <cellStyle name="Normal 2 3 2 3 3 2 2 3" xfId="27509" xr:uid="{00000000-0005-0000-0000-0000586B0000}"/>
    <cellStyle name="Normal 2 3 2 3 3 2 2 4" xfId="27510" xr:uid="{00000000-0005-0000-0000-0000596B0000}"/>
    <cellStyle name="Normal 2 3 2 3 3 2 3" xfId="27511" xr:uid="{00000000-0005-0000-0000-00005A6B0000}"/>
    <cellStyle name="Normal 2 3 2 3 3 2 3 2" xfId="27512" xr:uid="{00000000-0005-0000-0000-00005B6B0000}"/>
    <cellStyle name="Normal 2 3 2 3 3 2 3 3" xfId="27513" xr:uid="{00000000-0005-0000-0000-00005C6B0000}"/>
    <cellStyle name="Normal 2 3 2 3 3 2 4" xfId="27514" xr:uid="{00000000-0005-0000-0000-00005D6B0000}"/>
    <cellStyle name="Normal 2 3 2 3 3 2 5" xfId="27515" xr:uid="{00000000-0005-0000-0000-00005E6B0000}"/>
    <cellStyle name="Normal 2 3 2 3 3 2 6" xfId="27516" xr:uid="{00000000-0005-0000-0000-00005F6B0000}"/>
    <cellStyle name="Normal 2 3 2 3 3 3" xfId="27517" xr:uid="{00000000-0005-0000-0000-0000606B0000}"/>
    <cellStyle name="Normal 2 3 2 3 3 3 2" xfId="27518" xr:uid="{00000000-0005-0000-0000-0000616B0000}"/>
    <cellStyle name="Normal 2 3 2 3 3 3 2 2" xfId="27519" xr:uid="{00000000-0005-0000-0000-0000626B0000}"/>
    <cellStyle name="Normal 2 3 2 3 3 3 2 3" xfId="27520" xr:uid="{00000000-0005-0000-0000-0000636B0000}"/>
    <cellStyle name="Normal 2 3 2 3 3 3 3" xfId="27521" xr:uid="{00000000-0005-0000-0000-0000646B0000}"/>
    <cellStyle name="Normal 2 3 2 3 3 3 4" xfId="27522" xr:uid="{00000000-0005-0000-0000-0000656B0000}"/>
    <cellStyle name="Normal 2 3 2 3 3 4" xfId="27523" xr:uid="{00000000-0005-0000-0000-0000666B0000}"/>
    <cellStyle name="Normal 2 3 2 3 3 4 2" xfId="27524" xr:uid="{00000000-0005-0000-0000-0000676B0000}"/>
    <cellStyle name="Normal 2 3 2 3 3 4 3" xfId="27525" xr:uid="{00000000-0005-0000-0000-0000686B0000}"/>
    <cellStyle name="Normal 2 3 2 3 3 5" xfId="27526" xr:uid="{00000000-0005-0000-0000-0000696B0000}"/>
    <cellStyle name="Normal 2 3 2 3 3 6" xfId="27527" xr:uid="{00000000-0005-0000-0000-00006A6B0000}"/>
    <cellStyle name="Normal 2 3 2 3 3 7" xfId="27528" xr:uid="{00000000-0005-0000-0000-00006B6B0000}"/>
    <cellStyle name="Normal 2 3 2 3 4" xfId="27529" xr:uid="{00000000-0005-0000-0000-00006C6B0000}"/>
    <cellStyle name="Normal 2 3 2 3 4 2" xfId="27530" xr:uid="{00000000-0005-0000-0000-00006D6B0000}"/>
    <cellStyle name="Normal 2 3 2 3 4 2 2" xfId="27531" xr:uid="{00000000-0005-0000-0000-00006E6B0000}"/>
    <cellStyle name="Normal 2 3 2 3 4 2 2 2" xfId="27532" xr:uid="{00000000-0005-0000-0000-00006F6B0000}"/>
    <cellStyle name="Normal 2 3 2 3 4 2 2 3" xfId="27533" xr:uid="{00000000-0005-0000-0000-0000706B0000}"/>
    <cellStyle name="Normal 2 3 2 3 4 2 3" xfId="27534" xr:uid="{00000000-0005-0000-0000-0000716B0000}"/>
    <cellStyle name="Normal 2 3 2 3 4 2 4" xfId="27535" xr:uid="{00000000-0005-0000-0000-0000726B0000}"/>
    <cellStyle name="Normal 2 3 2 3 4 3" xfId="27536" xr:uid="{00000000-0005-0000-0000-0000736B0000}"/>
    <cellStyle name="Normal 2 3 2 3 4 3 2" xfId="27537" xr:uid="{00000000-0005-0000-0000-0000746B0000}"/>
    <cellStyle name="Normal 2 3 2 3 4 3 3" xfId="27538" xr:uid="{00000000-0005-0000-0000-0000756B0000}"/>
    <cellStyle name="Normal 2 3 2 3 4 4" xfId="27539" xr:uid="{00000000-0005-0000-0000-0000766B0000}"/>
    <cellStyle name="Normal 2 3 2 3 4 5" xfId="27540" xr:uid="{00000000-0005-0000-0000-0000776B0000}"/>
    <cellStyle name="Normal 2 3 2 3 4 6" xfId="27541" xr:uid="{00000000-0005-0000-0000-0000786B0000}"/>
    <cellStyle name="Normal 2 3 2 3 5" xfId="27542" xr:uid="{00000000-0005-0000-0000-0000796B0000}"/>
    <cellStyle name="Normal 2 3 2 3 5 2" xfId="27543" xr:uid="{00000000-0005-0000-0000-00007A6B0000}"/>
    <cellStyle name="Normal 2 3 2 3 5 2 2" xfId="27544" xr:uid="{00000000-0005-0000-0000-00007B6B0000}"/>
    <cellStyle name="Normal 2 3 2 3 5 2 3" xfId="27545" xr:uid="{00000000-0005-0000-0000-00007C6B0000}"/>
    <cellStyle name="Normal 2 3 2 3 5 3" xfId="27546" xr:uid="{00000000-0005-0000-0000-00007D6B0000}"/>
    <cellStyle name="Normal 2 3 2 3 5 4" xfId="27547" xr:uid="{00000000-0005-0000-0000-00007E6B0000}"/>
    <cellStyle name="Normal 2 3 2 3 6" xfId="27548" xr:uid="{00000000-0005-0000-0000-00007F6B0000}"/>
    <cellStyle name="Normal 2 3 2 3 6 2" xfId="27549" xr:uid="{00000000-0005-0000-0000-0000806B0000}"/>
    <cellStyle name="Normal 2 3 2 3 6 3" xfId="27550" xr:uid="{00000000-0005-0000-0000-0000816B0000}"/>
    <cellStyle name="Normal 2 3 2 3 7" xfId="27551" xr:uid="{00000000-0005-0000-0000-0000826B0000}"/>
    <cellStyle name="Normal 2 3 2 3 8" xfId="27552" xr:uid="{00000000-0005-0000-0000-0000836B0000}"/>
    <cellStyle name="Normal 2 3 2 3 9" xfId="27553" xr:uid="{00000000-0005-0000-0000-0000846B0000}"/>
    <cellStyle name="Normal 2 3 2 4" xfId="27554" xr:uid="{00000000-0005-0000-0000-0000856B0000}"/>
    <cellStyle name="Normal 2 3 2 4 2" xfId="27555" xr:uid="{00000000-0005-0000-0000-0000866B0000}"/>
    <cellStyle name="Normal 2 3 2 4 2 2" xfId="27556" xr:uid="{00000000-0005-0000-0000-0000876B0000}"/>
    <cellStyle name="Normal 2 3 2 4 2 2 2" xfId="27557" xr:uid="{00000000-0005-0000-0000-0000886B0000}"/>
    <cellStyle name="Normal 2 3 2 4 2 2 2 2" xfId="27558" xr:uid="{00000000-0005-0000-0000-0000896B0000}"/>
    <cellStyle name="Normal 2 3 2 4 2 2 2 2 2" xfId="27559" xr:uid="{00000000-0005-0000-0000-00008A6B0000}"/>
    <cellStyle name="Normal 2 3 2 4 2 2 2 2 3" xfId="27560" xr:uid="{00000000-0005-0000-0000-00008B6B0000}"/>
    <cellStyle name="Normal 2 3 2 4 2 2 2 3" xfId="27561" xr:uid="{00000000-0005-0000-0000-00008C6B0000}"/>
    <cellStyle name="Normal 2 3 2 4 2 2 2 4" xfId="27562" xr:uid="{00000000-0005-0000-0000-00008D6B0000}"/>
    <cellStyle name="Normal 2 3 2 4 2 2 3" xfId="27563" xr:uid="{00000000-0005-0000-0000-00008E6B0000}"/>
    <cellStyle name="Normal 2 3 2 4 2 2 3 2" xfId="27564" xr:uid="{00000000-0005-0000-0000-00008F6B0000}"/>
    <cellStyle name="Normal 2 3 2 4 2 2 3 3" xfId="27565" xr:uid="{00000000-0005-0000-0000-0000906B0000}"/>
    <cellStyle name="Normal 2 3 2 4 2 2 4" xfId="27566" xr:uid="{00000000-0005-0000-0000-0000916B0000}"/>
    <cellStyle name="Normal 2 3 2 4 2 2 5" xfId="27567" xr:uid="{00000000-0005-0000-0000-0000926B0000}"/>
    <cellStyle name="Normal 2 3 2 4 2 2 6" xfId="27568" xr:uid="{00000000-0005-0000-0000-0000936B0000}"/>
    <cellStyle name="Normal 2 3 2 4 2 3" xfId="27569" xr:uid="{00000000-0005-0000-0000-0000946B0000}"/>
    <cellStyle name="Normal 2 3 2 4 2 3 2" xfId="27570" xr:uid="{00000000-0005-0000-0000-0000956B0000}"/>
    <cellStyle name="Normal 2 3 2 4 2 3 2 2" xfId="27571" xr:uid="{00000000-0005-0000-0000-0000966B0000}"/>
    <cellStyle name="Normal 2 3 2 4 2 3 2 3" xfId="27572" xr:uid="{00000000-0005-0000-0000-0000976B0000}"/>
    <cellStyle name="Normal 2 3 2 4 2 3 3" xfId="27573" xr:uid="{00000000-0005-0000-0000-0000986B0000}"/>
    <cellStyle name="Normal 2 3 2 4 2 3 4" xfId="27574" xr:uid="{00000000-0005-0000-0000-0000996B0000}"/>
    <cellStyle name="Normal 2 3 2 4 2 4" xfId="27575" xr:uid="{00000000-0005-0000-0000-00009A6B0000}"/>
    <cellStyle name="Normal 2 3 2 4 2 4 2" xfId="27576" xr:uid="{00000000-0005-0000-0000-00009B6B0000}"/>
    <cellStyle name="Normal 2 3 2 4 2 4 3" xfId="27577" xr:uid="{00000000-0005-0000-0000-00009C6B0000}"/>
    <cellStyle name="Normal 2 3 2 4 2 5" xfId="27578" xr:uid="{00000000-0005-0000-0000-00009D6B0000}"/>
    <cellStyle name="Normal 2 3 2 4 2 6" xfId="27579" xr:uid="{00000000-0005-0000-0000-00009E6B0000}"/>
    <cellStyle name="Normal 2 3 2 4 2 7" xfId="27580" xr:uid="{00000000-0005-0000-0000-00009F6B0000}"/>
    <cellStyle name="Normal 2 3 2 4 3" xfId="27581" xr:uid="{00000000-0005-0000-0000-0000A06B0000}"/>
    <cellStyle name="Normal 2 3 2 4 3 2" xfId="27582" xr:uid="{00000000-0005-0000-0000-0000A16B0000}"/>
    <cellStyle name="Normal 2 3 2 4 3 2 2" xfId="27583" xr:uid="{00000000-0005-0000-0000-0000A26B0000}"/>
    <cellStyle name="Normal 2 3 2 4 3 2 2 2" xfId="27584" xr:uid="{00000000-0005-0000-0000-0000A36B0000}"/>
    <cellStyle name="Normal 2 3 2 4 3 2 2 3" xfId="27585" xr:uid="{00000000-0005-0000-0000-0000A46B0000}"/>
    <cellStyle name="Normal 2 3 2 4 3 2 3" xfId="27586" xr:uid="{00000000-0005-0000-0000-0000A56B0000}"/>
    <cellStyle name="Normal 2 3 2 4 3 2 4" xfId="27587" xr:uid="{00000000-0005-0000-0000-0000A66B0000}"/>
    <cellStyle name="Normal 2 3 2 4 3 3" xfId="27588" xr:uid="{00000000-0005-0000-0000-0000A76B0000}"/>
    <cellStyle name="Normal 2 3 2 4 3 3 2" xfId="27589" xr:uid="{00000000-0005-0000-0000-0000A86B0000}"/>
    <cellStyle name="Normal 2 3 2 4 3 3 3" xfId="27590" xr:uid="{00000000-0005-0000-0000-0000A96B0000}"/>
    <cellStyle name="Normal 2 3 2 4 3 4" xfId="27591" xr:uid="{00000000-0005-0000-0000-0000AA6B0000}"/>
    <cellStyle name="Normal 2 3 2 4 3 5" xfId="27592" xr:uid="{00000000-0005-0000-0000-0000AB6B0000}"/>
    <cellStyle name="Normal 2 3 2 4 3 6" xfId="27593" xr:uid="{00000000-0005-0000-0000-0000AC6B0000}"/>
    <cellStyle name="Normal 2 3 2 4 4" xfId="27594" xr:uid="{00000000-0005-0000-0000-0000AD6B0000}"/>
    <cellStyle name="Normal 2 3 2 4 4 2" xfId="27595" xr:uid="{00000000-0005-0000-0000-0000AE6B0000}"/>
    <cellStyle name="Normal 2 3 2 4 4 2 2" xfId="27596" xr:uid="{00000000-0005-0000-0000-0000AF6B0000}"/>
    <cellStyle name="Normal 2 3 2 4 4 2 3" xfId="27597" xr:uid="{00000000-0005-0000-0000-0000B06B0000}"/>
    <cellStyle name="Normal 2 3 2 4 4 3" xfId="27598" xr:uid="{00000000-0005-0000-0000-0000B16B0000}"/>
    <cellStyle name="Normal 2 3 2 4 4 4" xfId="27599" xr:uid="{00000000-0005-0000-0000-0000B26B0000}"/>
    <cellStyle name="Normal 2 3 2 4 5" xfId="27600" xr:uid="{00000000-0005-0000-0000-0000B36B0000}"/>
    <cellStyle name="Normal 2 3 2 4 5 2" xfId="27601" xr:uid="{00000000-0005-0000-0000-0000B46B0000}"/>
    <cellStyle name="Normal 2 3 2 4 5 3" xfId="27602" xr:uid="{00000000-0005-0000-0000-0000B56B0000}"/>
    <cellStyle name="Normal 2 3 2 4 6" xfId="27603" xr:uid="{00000000-0005-0000-0000-0000B66B0000}"/>
    <cellStyle name="Normal 2 3 2 4 7" xfId="27604" xr:uid="{00000000-0005-0000-0000-0000B76B0000}"/>
    <cellStyle name="Normal 2 3 2 4 8" xfId="27605" xr:uid="{00000000-0005-0000-0000-0000B86B0000}"/>
    <cellStyle name="Normal 2 3 2 5" xfId="27606" xr:uid="{00000000-0005-0000-0000-0000B96B0000}"/>
    <cellStyle name="Normal 2 3 2 6" xfId="27607" xr:uid="{00000000-0005-0000-0000-0000BA6B0000}"/>
    <cellStyle name="Normal 2 3 2 6 2" xfId="27608" xr:uid="{00000000-0005-0000-0000-0000BB6B0000}"/>
    <cellStyle name="Normal 2 3 2 6 2 2" xfId="27609" xr:uid="{00000000-0005-0000-0000-0000BC6B0000}"/>
    <cellStyle name="Normal 2 3 2 6 2 2 2" xfId="27610" xr:uid="{00000000-0005-0000-0000-0000BD6B0000}"/>
    <cellStyle name="Normal 2 3 2 6 2 2 2 2" xfId="27611" xr:uid="{00000000-0005-0000-0000-0000BE6B0000}"/>
    <cellStyle name="Normal 2 3 2 6 2 2 2 3" xfId="27612" xr:uid="{00000000-0005-0000-0000-0000BF6B0000}"/>
    <cellStyle name="Normal 2 3 2 6 2 2 3" xfId="27613" xr:uid="{00000000-0005-0000-0000-0000C06B0000}"/>
    <cellStyle name="Normal 2 3 2 6 2 2 4" xfId="27614" xr:uid="{00000000-0005-0000-0000-0000C16B0000}"/>
    <cellStyle name="Normal 2 3 2 6 2 3" xfId="27615" xr:uid="{00000000-0005-0000-0000-0000C26B0000}"/>
    <cellStyle name="Normal 2 3 2 6 2 3 2" xfId="27616" xr:uid="{00000000-0005-0000-0000-0000C36B0000}"/>
    <cellStyle name="Normal 2 3 2 6 2 3 3" xfId="27617" xr:uid="{00000000-0005-0000-0000-0000C46B0000}"/>
    <cellStyle name="Normal 2 3 2 6 2 4" xfId="27618" xr:uid="{00000000-0005-0000-0000-0000C56B0000}"/>
    <cellStyle name="Normal 2 3 2 6 2 5" xfId="27619" xr:uid="{00000000-0005-0000-0000-0000C66B0000}"/>
    <cellStyle name="Normal 2 3 2 6 2 6" xfId="27620" xr:uid="{00000000-0005-0000-0000-0000C76B0000}"/>
    <cellStyle name="Normal 2 3 2 6 3" xfId="27621" xr:uid="{00000000-0005-0000-0000-0000C86B0000}"/>
    <cellStyle name="Normal 2 3 2 6 3 2" xfId="27622" xr:uid="{00000000-0005-0000-0000-0000C96B0000}"/>
    <cellStyle name="Normal 2 3 2 6 3 2 2" xfId="27623" xr:uid="{00000000-0005-0000-0000-0000CA6B0000}"/>
    <cellStyle name="Normal 2 3 2 6 3 2 3" xfId="27624" xr:uid="{00000000-0005-0000-0000-0000CB6B0000}"/>
    <cellStyle name="Normal 2 3 2 6 3 3" xfId="27625" xr:uid="{00000000-0005-0000-0000-0000CC6B0000}"/>
    <cellStyle name="Normal 2 3 2 6 3 4" xfId="27626" xr:uid="{00000000-0005-0000-0000-0000CD6B0000}"/>
    <cellStyle name="Normal 2 3 2 6 4" xfId="27627" xr:uid="{00000000-0005-0000-0000-0000CE6B0000}"/>
    <cellStyle name="Normal 2 3 2 6 4 2" xfId="27628" xr:uid="{00000000-0005-0000-0000-0000CF6B0000}"/>
    <cellStyle name="Normal 2 3 2 6 4 3" xfId="27629" xr:uid="{00000000-0005-0000-0000-0000D06B0000}"/>
    <cellStyle name="Normal 2 3 2 6 5" xfId="27630" xr:uid="{00000000-0005-0000-0000-0000D16B0000}"/>
    <cellStyle name="Normal 2 3 2 6 6" xfId="27631" xr:uid="{00000000-0005-0000-0000-0000D26B0000}"/>
    <cellStyle name="Normal 2 3 2 6 7" xfId="27632" xr:uid="{00000000-0005-0000-0000-0000D36B0000}"/>
    <cellStyle name="Normal 2 3 2 7" xfId="27633" xr:uid="{00000000-0005-0000-0000-0000D46B0000}"/>
    <cellStyle name="Normal 2 3 2 7 2" xfId="27634" xr:uid="{00000000-0005-0000-0000-0000D56B0000}"/>
    <cellStyle name="Normal 2 3 2 7 2 2" xfId="27635" xr:uid="{00000000-0005-0000-0000-0000D66B0000}"/>
    <cellStyle name="Normal 2 3 2 7 2 2 2" xfId="27636" xr:uid="{00000000-0005-0000-0000-0000D76B0000}"/>
    <cellStyle name="Normal 2 3 2 7 2 2 3" xfId="27637" xr:uid="{00000000-0005-0000-0000-0000D86B0000}"/>
    <cellStyle name="Normal 2 3 2 7 2 3" xfId="27638" xr:uid="{00000000-0005-0000-0000-0000D96B0000}"/>
    <cellStyle name="Normal 2 3 2 7 2 4" xfId="27639" xr:uid="{00000000-0005-0000-0000-0000DA6B0000}"/>
    <cellStyle name="Normal 2 3 2 7 3" xfId="27640" xr:uid="{00000000-0005-0000-0000-0000DB6B0000}"/>
    <cellStyle name="Normal 2 3 2 7 3 2" xfId="27641" xr:uid="{00000000-0005-0000-0000-0000DC6B0000}"/>
    <cellStyle name="Normal 2 3 2 7 3 3" xfId="27642" xr:uid="{00000000-0005-0000-0000-0000DD6B0000}"/>
    <cellStyle name="Normal 2 3 2 7 4" xfId="27643" xr:uid="{00000000-0005-0000-0000-0000DE6B0000}"/>
    <cellStyle name="Normal 2 3 2 7 5" xfId="27644" xr:uid="{00000000-0005-0000-0000-0000DF6B0000}"/>
    <cellStyle name="Normal 2 3 2 7 6" xfId="27645" xr:uid="{00000000-0005-0000-0000-0000E06B0000}"/>
    <cellStyle name="Normal 2 3 2 8" xfId="27646" xr:uid="{00000000-0005-0000-0000-0000E16B0000}"/>
    <cellStyle name="Normal 2 3 2 8 2" xfId="27647" xr:uid="{00000000-0005-0000-0000-0000E26B0000}"/>
    <cellStyle name="Normal 2 3 2 8 2 2" xfId="27648" xr:uid="{00000000-0005-0000-0000-0000E36B0000}"/>
    <cellStyle name="Normal 2 3 2 8 2 3" xfId="27649" xr:uid="{00000000-0005-0000-0000-0000E46B0000}"/>
    <cellStyle name="Normal 2 3 2 8 3" xfId="27650" xr:uid="{00000000-0005-0000-0000-0000E56B0000}"/>
    <cellStyle name="Normal 2 3 2 8 4" xfId="27651" xr:uid="{00000000-0005-0000-0000-0000E66B0000}"/>
    <cellStyle name="Normal 2 3 2 9" xfId="27652" xr:uid="{00000000-0005-0000-0000-0000E76B0000}"/>
    <cellStyle name="Normal 2 3 2 9 2" xfId="27653" xr:uid="{00000000-0005-0000-0000-0000E86B0000}"/>
    <cellStyle name="Normal 2 3 2 9 3" xfId="27654" xr:uid="{00000000-0005-0000-0000-0000E96B0000}"/>
    <cellStyle name="Normal 2 3 3" xfId="27655" xr:uid="{00000000-0005-0000-0000-0000EA6B0000}"/>
    <cellStyle name="Normal 2 3 3 10" xfId="27656" xr:uid="{00000000-0005-0000-0000-0000EB6B0000}"/>
    <cellStyle name="Normal 2 3 3 2" xfId="27657" xr:uid="{00000000-0005-0000-0000-0000EC6B0000}"/>
    <cellStyle name="Normal 2 3 3 2 2" xfId="27658" xr:uid="{00000000-0005-0000-0000-0000ED6B0000}"/>
    <cellStyle name="Normal 2 3 3 2 2 2" xfId="27659" xr:uid="{00000000-0005-0000-0000-0000EE6B0000}"/>
    <cellStyle name="Normal 2 3 3 2 2 2 2" xfId="27660" xr:uid="{00000000-0005-0000-0000-0000EF6B0000}"/>
    <cellStyle name="Normal 2 3 3 2 2 2 2 2" xfId="27661" xr:uid="{00000000-0005-0000-0000-0000F06B0000}"/>
    <cellStyle name="Normal 2 3 3 2 2 2 2 2 2" xfId="27662" xr:uid="{00000000-0005-0000-0000-0000F16B0000}"/>
    <cellStyle name="Normal 2 3 3 2 2 2 2 2 2 2" xfId="27663" xr:uid="{00000000-0005-0000-0000-0000F26B0000}"/>
    <cellStyle name="Normal 2 3 3 2 2 2 2 2 2 3" xfId="27664" xr:uid="{00000000-0005-0000-0000-0000F36B0000}"/>
    <cellStyle name="Normal 2 3 3 2 2 2 2 2 3" xfId="27665" xr:uid="{00000000-0005-0000-0000-0000F46B0000}"/>
    <cellStyle name="Normal 2 3 3 2 2 2 2 2 4" xfId="27666" xr:uid="{00000000-0005-0000-0000-0000F56B0000}"/>
    <cellStyle name="Normal 2 3 3 2 2 2 2 3" xfId="27667" xr:uid="{00000000-0005-0000-0000-0000F66B0000}"/>
    <cellStyle name="Normal 2 3 3 2 2 2 2 3 2" xfId="27668" xr:uid="{00000000-0005-0000-0000-0000F76B0000}"/>
    <cellStyle name="Normal 2 3 3 2 2 2 2 3 3" xfId="27669" xr:uid="{00000000-0005-0000-0000-0000F86B0000}"/>
    <cellStyle name="Normal 2 3 3 2 2 2 2 4" xfId="27670" xr:uid="{00000000-0005-0000-0000-0000F96B0000}"/>
    <cellStyle name="Normal 2 3 3 2 2 2 2 5" xfId="27671" xr:uid="{00000000-0005-0000-0000-0000FA6B0000}"/>
    <cellStyle name="Normal 2 3 3 2 2 2 2 6" xfId="27672" xr:uid="{00000000-0005-0000-0000-0000FB6B0000}"/>
    <cellStyle name="Normal 2 3 3 2 2 2 3" xfId="27673" xr:uid="{00000000-0005-0000-0000-0000FC6B0000}"/>
    <cellStyle name="Normal 2 3 3 2 2 2 3 2" xfId="27674" xr:uid="{00000000-0005-0000-0000-0000FD6B0000}"/>
    <cellStyle name="Normal 2 3 3 2 2 2 3 2 2" xfId="27675" xr:uid="{00000000-0005-0000-0000-0000FE6B0000}"/>
    <cellStyle name="Normal 2 3 3 2 2 2 3 2 3" xfId="27676" xr:uid="{00000000-0005-0000-0000-0000FF6B0000}"/>
    <cellStyle name="Normal 2 3 3 2 2 2 3 3" xfId="27677" xr:uid="{00000000-0005-0000-0000-0000006C0000}"/>
    <cellStyle name="Normal 2 3 3 2 2 2 3 4" xfId="27678" xr:uid="{00000000-0005-0000-0000-0000016C0000}"/>
    <cellStyle name="Normal 2 3 3 2 2 2 4" xfId="27679" xr:uid="{00000000-0005-0000-0000-0000026C0000}"/>
    <cellStyle name="Normal 2 3 3 2 2 2 4 2" xfId="27680" xr:uid="{00000000-0005-0000-0000-0000036C0000}"/>
    <cellStyle name="Normal 2 3 3 2 2 2 4 3" xfId="27681" xr:uid="{00000000-0005-0000-0000-0000046C0000}"/>
    <cellStyle name="Normal 2 3 3 2 2 2 5" xfId="27682" xr:uid="{00000000-0005-0000-0000-0000056C0000}"/>
    <cellStyle name="Normal 2 3 3 2 2 2 6" xfId="27683" xr:uid="{00000000-0005-0000-0000-0000066C0000}"/>
    <cellStyle name="Normal 2 3 3 2 2 2 7" xfId="27684" xr:uid="{00000000-0005-0000-0000-0000076C0000}"/>
    <cellStyle name="Normal 2 3 3 2 2 3" xfId="27685" xr:uid="{00000000-0005-0000-0000-0000086C0000}"/>
    <cellStyle name="Normal 2 3 3 2 2 3 2" xfId="27686" xr:uid="{00000000-0005-0000-0000-0000096C0000}"/>
    <cellStyle name="Normal 2 3 3 2 2 3 2 2" xfId="27687" xr:uid="{00000000-0005-0000-0000-00000A6C0000}"/>
    <cellStyle name="Normal 2 3 3 2 2 3 2 2 2" xfId="27688" xr:uid="{00000000-0005-0000-0000-00000B6C0000}"/>
    <cellStyle name="Normal 2 3 3 2 2 3 2 2 3" xfId="27689" xr:uid="{00000000-0005-0000-0000-00000C6C0000}"/>
    <cellStyle name="Normal 2 3 3 2 2 3 2 3" xfId="27690" xr:uid="{00000000-0005-0000-0000-00000D6C0000}"/>
    <cellStyle name="Normal 2 3 3 2 2 3 2 4" xfId="27691" xr:uid="{00000000-0005-0000-0000-00000E6C0000}"/>
    <cellStyle name="Normal 2 3 3 2 2 3 3" xfId="27692" xr:uid="{00000000-0005-0000-0000-00000F6C0000}"/>
    <cellStyle name="Normal 2 3 3 2 2 3 3 2" xfId="27693" xr:uid="{00000000-0005-0000-0000-0000106C0000}"/>
    <cellStyle name="Normal 2 3 3 2 2 3 3 3" xfId="27694" xr:uid="{00000000-0005-0000-0000-0000116C0000}"/>
    <cellStyle name="Normal 2 3 3 2 2 3 4" xfId="27695" xr:uid="{00000000-0005-0000-0000-0000126C0000}"/>
    <cellStyle name="Normal 2 3 3 2 2 3 5" xfId="27696" xr:uid="{00000000-0005-0000-0000-0000136C0000}"/>
    <cellStyle name="Normal 2 3 3 2 2 3 6" xfId="27697" xr:uid="{00000000-0005-0000-0000-0000146C0000}"/>
    <cellStyle name="Normal 2 3 3 2 2 4" xfId="27698" xr:uid="{00000000-0005-0000-0000-0000156C0000}"/>
    <cellStyle name="Normal 2 3 3 2 2 4 2" xfId="27699" xr:uid="{00000000-0005-0000-0000-0000166C0000}"/>
    <cellStyle name="Normal 2 3 3 2 2 4 2 2" xfId="27700" xr:uid="{00000000-0005-0000-0000-0000176C0000}"/>
    <cellStyle name="Normal 2 3 3 2 2 4 2 3" xfId="27701" xr:uid="{00000000-0005-0000-0000-0000186C0000}"/>
    <cellStyle name="Normal 2 3 3 2 2 4 3" xfId="27702" xr:uid="{00000000-0005-0000-0000-0000196C0000}"/>
    <cellStyle name="Normal 2 3 3 2 2 4 4" xfId="27703" xr:uid="{00000000-0005-0000-0000-00001A6C0000}"/>
    <cellStyle name="Normal 2 3 3 2 2 5" xfId="27704" xr:uid="{00000000-0005-0000-0000-00001B6C0000}"/>
    <cellStyle name="Normal 2 3 3 2 2 5 2" xfId="27705" xr:uid="{00000000-0005-0000-0000-00001C6C0000}"/>
    <cellStyle name="Normal 2 3 3 2 2 5 3" xfId="27706" xr:uid="{00000000-0005-0000-0000-00001D6C0000}"/>
    <cellStyle name="Normal 2 3 3 2 2 6" xfId="27707" xr:uid="{00000000-0005-0000-0000-00001E6C0000}"/>
    <cellStyle name="Normal 2 3 3 2 2 7" xfId="27708" xr:uid="{00000000-0005-0000-0000-00001F6C0000}"/>
    <cellStyle name="Normal 2 3 3 2 2 8" xfId="27709" xr:uid="{00000000-0005-0000-0000-0000206C0000}"/>
    <cellStyle name="Normal 2 3 3 2 3" xfId="27710" xr:uid="{00000000-0005-0000-0000-0000216C0000}"/>
    <cellStyle name="Normal 2 3 3 2 3 2" xfId="27711" xr:uid="{00000000-0005-0000-0000-0000226C0000}"/>
    <cellStyle name="Normal 2 3 3 2 3 2 2" xfId="27712" xr:uid="{00000000-0005-0000-0000-0000236C0000}"/>
    <cellStyle name="Normal 2 3 3 2 3 2 2 2" xfId="27713" xr:uid="{00000000-0005-0000-0000-0000246C0000}"/>
    <cellStyle name="Normal 2 3 3 2 3 2 2 2 2" xfId="27714" xr:uid="{00000000-0005-0000-0000-0000256C0000}"/>
    <cellStyle name="Normal 2 3 3 2 3 2 2 2 3" xfId="27715" xr:uid="{00000000-0005-0000-0000-0000266C0000}"/>
    <cellStyle name="Normal 2 3 3 2 3 2 2 3" xfId="27716" xr:uid="{00000000-0005-0000-0000-0000276C0000}"/>
    <cellStyle name="Normal 2 3 3 2 3 2 2 4" xfId="27717" xr:uid="{00000000-0005-0000-0000-0000286C0000}"/>
    <cellStyle name="Normal 2 3 3 2 3 2 3" xfId="27718" xr:uid="{00000000-0005-0000-0000-0000296C0000}"/>
    <cellStyle name="Normal 2 3 3 2 3 2 3 2" xfId="27719" xr:uid="{00000000-0005-0000-0000-00002A6C0000}"/>
    <cellStyle name="Normal 2 3 3 2 3 2 3 3" xfId="27720" xr:uid="{00000000-0005-0000-0000-00002B6C0000}"/>
    <cellStyle name="Normal 2 3 3 2 3 2 4" xfId="27721" xr:uid="{00000000-0005-0000-0000-00002C6C0000}"/>
    <cellStyle name="Normal 2 3 3 2 3 2 5" xfId="27722" xr:uid="{00000000-0005-0000-0000-00002D6C0000}"/>
    <cellStyle name="Normal 2 3 3 2 3 2 6" xfId="27723" xr:uid="{00000000-0005-0000-0000-00002E6C0000}"/>
    <cellStyle name="Normal 2 3 3 2 3 3" xfId="27724" xr:uid="{00000000-0005-0000-0000-00002F6C0000}"/>
    <cellStyle name="Normal 2 3 3 2 3 3 2" xfId="27725" xr:uid="{00000000-0005-0000-0000-0000306C0000}"/>
    <cellStyle name="Normal 2 3 3 2 3 3 2 2" xfId="27726" xr:uid="{00000000-0005-0000-0000-0000316C0000}"/>
    <cellStyle name="Normal 2 3 3 2 3 3 2 3" xfId="27727" xr:uid="{00000000-0005-0000-0000-0000326C0000}"/>
    <cellStyle name="Normal 2 3 3 2 3 3 3" xfId="27728" xr:uid="{00000000-0005-0000-0000-0000336C0000}"/>
    <cellStyle name="Normal 2 3 3 2 3 3 4" xfId="27729" xr:uid="{00000000-0005-0000-0000-0000346C0000}"/>
    <cellStyle name="Normal 2 3 3 2 3 4" xfId="27730" xr:uid="{00000000-0005-0000-0000-0000356C0000}"/>
    <cellStyle name="Normal 2 3 3 2 3 4 2" xfId="27731" xr:uid="{00000000-0005-0000-0000-0000366C0000}"/>
    <cellStyle name="Normal 2 3 3 2 3 4 3" xfId="27732" xr:uid="{00000000-0005-0000-0000-0000376C0000}"/>
    <cellStyle name="Normal 2 3 3 2 3 5" xfId="27733" xr:uid="{00000000-0005-0000-0000-0000386C0000}"/>
    <cellStyle name="Normal 2 3 3 2 3 6" xfId="27734" xr:uid="{00000000-0005-0000-0000-0000396C0000}"/>
    <cellStyle name="Normal 2 3 3 2 3 7" xfId="27735" xr:uid="{00000000-0005-0000-0000-00003A6C0000}"/>
    <cellStyle name="Normal 2 3 3 2 4" xfId="27736" xr:uid="{00000000-0005-0000-0000-00003B6C0000}"/>
    <cellStyle name="Normal 2 3 3 2 4 2" xfId="27737" xr:uid="{00000000-0005-0000-0000-00003C6C0000}"/>
    <cellStyle name="Normal 2 3 3 2 4 2 2" xfId="27738" xr:uid="{00000000-0005-0000-0000-00003D6C0000}"/>
    <cellStyle name="Normal 2 3 3 2 4 2 2 2" xfId="27739" xr:uid="{00000000-0005-0000-0000-00003E6C0000}"/>
    <cellStyle name="Normal 2 3 3 2 4 2 2 3" xfId="27740" xr:uid="{00000000-0005-0000-0000-00003F6C0000}"/>
    <cellStyle name="Normal 2 3 3 2 4 2 3" xfId="27741" xr:uid="{00000000-0005-0000-0000-0000406C0000}"/>
    <cellStyle name="Normal 2 3 3 2 4 2 4" xfId="27742" xr:uid="{00000000-0005-0000-0000-0000416C0000}"/>
    <cellStyle name="Normal 2 3 3 2 4 3" xfId="27743" xr:uid="{00000000-0005-0000-0000-0000426C0000}"/>
    <cellStyle name="Normal 2 3 3 2 4 3 2" xfId="27744" xr:uid="{00000000-0005-0000-0000-0000436C0000}"/>
    <cellStyle name="Normal 2 3 3 2 4 3 3" xfId="27745" xr:uid="{00000000-0005-0000-0000-0000446C0000}"/>
    <cellStyle name="Normal 2 3 3 2 4 4" xfId="27746" xr:uid="{00000000-0005-0000-0000-0000456C0000}"/>
    <cellStyle name="Normal 2 3 3 2 4 5" xfId="27747" xr:uid="{00000000-0005-0000-0000-0000466C0000}"/>
    <cellStyle name="Normal 2 3 3 2 4 6" xfId="27748" xr:uid="{00000000-0005-0000-0000-0000476C0000}"/>
    <cellStyle name="Normal 2 3 3 2 5" xfId="27749" xr:uid="{00000000-0005-0000-0000-0000486C0000}"/>
    <cellStyle name="Normal 2 3 3 2 5 2" xfId="27750" xr:uid="{00000000-0005-0000-0000-0000496C0000}"/>
    <cellStyle name="Normal 2 3 3 2 5 2 2" xfId="27751" xr:uid="{00000000-0005-0000-0000-00004A6C0000}"/>
    <cellStyle name="Normal 2 3 3 2 5 2 3" xfId="27752" xr:uid="{00000000-0005-0000-0000-00004B6C0000}"/>
    <cellStyle name="Normal 2 3 3 2 5 3" xfId="27753" xr:uid="{00000000-0005-0000-0000-00004C6C0000}"/>
    <cellStyle name="Normal 2 3 3 2 5 4" xfId="27754" xr:uid="{00000000-0005-0000-0000-00004D6C0000}"/>
    <cellStyle name="Normal 2 3 3 2 6" xfId="27755" xr:uid="{00000000-0005-0000-0000-00004E6C0000}"/>
    <cellStyle name="Normal 2 3 3 2 6 2" xfId="27756" xr:uid="{00000000-0005-0000-0000-00004F6C0000}"/>
    <cellStyle name="Normal 2 3 3 2 6 3" xfId="27757" xr:uid="{00000000-0005-0000-0000-0000506C0000}"/>
    <cellStyle name="Normal 2 3 3 2 7" xfId="27758" xr:uid="{00000000-0005-0000-0000-0000516C0000}"/>
    <cellStyle name="Normal 2 3 3 2 8" xfId="27759" xr:uid="{00000000-0005-0000-0000-0000526C0000}"/>
    <cellStyle name="Normal 2 3 3 2 9" xfId="27760" xr:uid="{00000000-0005-0000-0000-0000536C0000}"/>
    <cellStyle name="Normal 2 3 3 3" xfId="27761" xr:uid="{00000000-0005-0000-0000-0000546C0000}"/>
    <cellStyle name="Normal 2 3 3 3 2" xfId="27762" xr:uid="{00000000-0005-0000-0000-0000556C0000}"/>
    <cellStyle name="Normal 2 3 3 3 2 2" xfId="27763" xr:uid="{00000000-0005-0000-0000-0000566C0000}"/>
    <cellStyle name="Normal 2 3 3 3 2 2 2" xfId="27764" xr:uid="{00000000-0005-0000-0000-0000576C0000}"/>
    <cellStyle name="Normal 2 3 3 3 2 2 2 2" xfId="27765" xr:uid="{00000000-0005-0000-0000-0000586C0000}"/>
    <cellStyle name="Normal 2 3 3 3 2 2 2 2 2" xfId="27766" xr:uid="{00000000-0005-0000-0000-0000596C0000}"/>
    <cellStyle name="Normal 2 3 3 3 2 2 2 2 3" xfId="27767" xr:uid="{00000000-0005-0000-0000-00005A6C0000}"/>
    <cellStyle name="Normal 2 3 3 3 2 2 2 3" xfId="27768" xr:uid="{00000000-0005-0000-0000-00005B6C0000}"/>
    <cellStyle name="Normal 2 3 3 3 2 2 2 4" xfId="27769" xr:uid="{00000000-0005-0000-0000-00005C6C0000}"/>
    <cellStyle name="Normal 2 3 3 3 2 2 3" xfId="27770" xr:uid="{00000000-0005-0000-0000-00005D6C0000}"/>
    <cellStyle name="Normal 2 3 3 3 2 2 3 2" xfId="27771" xr:uid="{00000000-0005-0000-0000-00005E6C0000}"/>
    <cellStyle name="Normal 2 3 3 3 2 2 3 3" xfId="27772" xr:uid="{00000000-0005-0000-0000-00005F6C0000}"/>
    <cellStyle name="Normal 2 3 3 3 2 2 4" xfId="27773" xr:uid="{00000000-0005-0000-0000-0000606C0000}"/>
    <cellStyle name="Normal 2 3 3 3 2 2 5" xfId="27774" xr:uid="{00000000-0005-0000-0000-0000616C0000}"/>
    <cellStyle name="Normal 2 3 3 3 2 2 6" xfId="27775" xr:uid="{00000000-0005-0000-0000-0000626C0000}"/>
    <cellStyle name="Normal 2 3 3 3 2 3" xfId="27776" xr:uid="{00000000-0005-0000-0000-0000636C0000}"/>
    <cellStyle name="Normal 2 3 3 3 2 3 2" xfId="27777" xr:uid="{00000000-0005-0000-0000-0000646C0000}"/>
    <cellStyle name="Normal 2 3 3 3 2 3 2 2" xfId="27778" xr:uid="{00000000-0005-0000-0000-0000656C0000}"/>
    <cellStyle name="Normal 2 3 3 3 2 3 2 3" xfId="27779" xr:uid="{00000000-0005-0000-0000-0000666C0000}"/>
    <cellStyle name="Normal 2 3 3 3 2 3 3" xfId="27780" xr:uid="{00000000-0005-0000-0000-0000676C0000}"/>
    <cellStyle name="Normal 2 3 3 3 2 3 4" xfId="27781" xr:uid="{00000000-0005-0000-0000-0000686C0000}"/>
    <cellStyle name="Normal 2 3 3 3 2 4" xfId="27782" xr:uid="{00000000-0005-0000-0000-0000696C0000}"/>
    <cellStyle name="Normal 2 3 3 3 2 4 2" xfId="27783" xr:uid="{00000000-0005-0000-0000-00006A6C0000}"/>
    <cellStyle name="Normal 2 3 3 3 2 4 3" xfId="27784" xr:uid="{00000000-0005-0000-0000-00006B6C0000}"/>
    <cellStyle name="Normal 2 3 3 3 2 5" xfId="27785" xr:uid="{00000000-0005-0000-0000-00006C6C0000}"/>
    <cellStyle name="Normal 2 3 3 3 2 6" xfId="27786" xr:uid="{00000000-0005-0000-0000-00006D6C0000}"/>
    <cellStyle name="Normal 2 3 3 3 2 7" xfId="27787" xr:uid="{00000000-0005-0000-0000-00006E6C0000}"/>
    <cellStyle name="Normal 2 3 3 3 3" xfId="27788" xr:uid="{00000000-0005-0000-0000-00006F6C0000}"/>
    <cellStyle name="Normal 2 3 3 3 3 2" xfId="27789" xr:uid="{00000000-0005-0000-0000-0000706C0000}"/>
    <cellStyle name="Normal 2 3 3 3 3 2 2" xfId="27790" xr:uid="{00000000-0005-0000-0000-0000716C0000}"/>
    <cellStyle name="Normal 2 3 3 3 3 2 2 2" xfId="27791" xr:uid="{00000000-0005-0000-0000-0000726C0000}"/>
    <cellStyle name="Normal 2 3 3 3 3 2 2 3" xfId="27792" xr:uid="{00000000-0005-0000-0000-0000736C0000}"/>
    <cellStyle name="Normal 2 3 3 3 3 2 3" xfId="27793" xr:uid="{00000000-0005-0000-0000-0000746C0000}"/>
    <cellStyle name="Normal 2 3 3 3 3 2 4" xfId="27794" xr:uid="{00000000-0005-0000-0000-0000756C0000}"/>
    <cellStyle name="Normal 2 3 3 3 3 3" xfId="27795" xr:uid="{00000000-0005-0000-0000-0000766C0000}"/>
    <cellStyle name="Normal 2 3 3 3 3 3 2" xfId="27796" xr:uid="{00000000-0005-0000-0000-0000776C0000}"/>
    <cellStyle name="Normal 2 3 3 3 3 3 3" xfId="27797" xr:uid="{00000000-0005-0000-0000-0000786C0000}"/>
    <cellStyle name="Normal 2 3 3 3 3 4" xfId="27798" xr:uid="{00000000-0005-0000-0000-0000796C0000}"/>
    <cellStyle name="Normal 2 3 3 3 3 5" xfId="27799" xr:uid="{00000000-0005-0000-0000-00007A6C0000}"/>
    <cellStyle name="Normal 2 3 3 3 3 6" xfId="27800" xr:uid="{00000000-0005-0000-0000-00007B6C0000}"/>
    <cellStyle name="Normal 2 3 3 3 4" xfId="27801" xr:uid="{00000000-0005-0000-0000-00007C6C0000}"/>
    <cellStyle name="Normal 2 3 3 3 4 2" xfId="27802" xr:uid="{00000000-0005-0000-0000-00007D6C0000}"/>
    <cellStyle name="Normal 2 3 3 3 4 2 2" xfId="27803" xr:uid="{00000000-0005-0000-0000-00007E6C0000}"/>
    <cellStyle name="Normal 2 3 3 3 4 2 3" xfId="27804" xr:uid="{00000000-0005-0000-0000-00007F6C0000}"/>
    <cellStyle name="Normal 2 3 3 3 4 3" xfId="27805" xr:uid="{00000000-0005-0000-0000-0000806C0000}"/>
    <cellStyle name="Normal 2 3 3 3 4 4" xfId="27806" xr:uid="{00000000-0005-0000-0000-0000816C0000}"/>
    <cellStyle name="Normal 2 3 3 3 5" xfId="27807" xr:uid="{00000000-0005-0000-0000-0000826C0000}"/>
    <cellStyle name="Normal 2 3 3 3 5 2" xfId="27808" xr:uid="{00000000-0005-0000-0000-0000836C0000}"/>
    <cellStyle name="Normal 2 3 3 3 5 3" xfId="27809" xr:uid="{00000000-0005-0000-0000-0000846C0000}"/>
    <cellStyle name="Normal 2 3 3 3 6" xfId="27810" xr:uid="{00000000-0005-0000-0000-0000856C0000}"/>
    <cellStyle name="Normal 2 3 3 3 7" xfId="27811" xr:uid="{00000000-0005-0000-0000-0000866C0000}"/>
    <cellStyle name="Normal 2 3 3 3 8" xfId="27812" xr:uid="{00000000-0005-0000-0000-0000876C0000}"/>
    <cellStyle name="Normal 2 3 3 4" xfId="27813" xr:uid="{00000000-0005-0000-0000-0000886C0000}"/>
    <cellStyle name="Normal 2 3 3 4 2" xfId="27814" xr:uid="{00000000-0005-0000-0000-0000896C0000}"/>
    <cellStyle name="Normal 2 3 3 4 2 2" xfId="27815" xr:uid="{00000000-0005-0000-0000-00008A6C0000}"/>
    <cellStyle name="Normal 2 3 3 4 2 2 2" xfId="27816" xr:uid="{00000000-0005-0000-0000-00008B6C0000}"/>
    <cellStyle name="Normal 2 3 3 4 2 2 2 2" xfId="27817" xr:uid="{00000000-0005-0000-0000-00008C6C0000}"/>
    <cellStyle name="Normal 2 3 3 4 2 2 2 3" xfId="27818" xr:uid="{00000000-0005-0000-0000-00008D6C0000}"/>
    <cellStyle name="Normal 2 3 3 4 2 2 3" xfId="27819" xr:uid="{00000000-0005-0000-0000-00008E6C0000}"/>
    <cellStyle name="Normal 2 3 3 4 2 2 4" xfId="27820" xr:uid="{00000000-0005-0000-0000-00008F6C0000}"/>
    <cellStyle name="Normal 2 3 3 4 2 3" xfId="27821" xr:uid="{00000000-0005-0000-0000-0000906C0000}"/>
    <cellStyle name="Normal 2 3 3 4 2 3 2" xfId="27822" xr:uid="{00000000-0005-0000-0000-0000916C0000}"/>
    <cellStyle name="Normal 2 3 3 4 2 3 3" xfId="27823" xr:uid="{00000000-0005-0000-0000-0000926C0000}"/>
    <cellStyle name="Normal 2 3 3 4 2 4" xfId="27824" xr:uid="{00000000-0005-0000-0000-0000936C0000}"/>
    <cellStyle name="Normal 2 3 3 4 2 5" xfId="27825" xr:uid="{00000000-0005-0000-0000-0000946C0000}"/>
    <cellStyle name="Normal 2 3 3 4 2 6" xfId="27826" xr:uid="{00000000-0005-0000-0000-0000956C0000}"/>
    <cellStyle name="Normal 2 3 3 4 3" xfId="27827" xr:uid="{00000000-0005-0000-0000-0000966C0000}"/>
    <cellStyle name="Normal 2 3 3 4 3 2" xfId="27828" xr:uid="{00000000-0005-0000-0000-0000976C0000}"/>
    <cellStyle name="Normal 2 3 3 4 3 2 2" xfId="27829" xr:uid="{00000000-0005-0000-0000-0000986C0000}"/>
    <cellStyle name="Normal 2 3 3 4 3 2 3" xfId="27830" xr:uid="{00000000-0005-0000-0000-0000996C0000}"/>
    <cellStyle name="Normal 2 3 3 4 3 3" xfId="27831" xr:uid="{00000000-0005-0000-0000-00009A6C0000}"/>
    <cellStyle name="Normal 2 3 3 4 3 4" xfId="27832" xr:uid="{00000000-0005-0000-0000-00009B6C0000}"/>
    <cellStyle name="Normal 2 3 3 4 4" xfId="27833" xr:uid="{00000000-0005-0000-0000-00009C6C0000}"/>
    <cellStyle name="Normal 2 3 3 4 4 2" xfId="27834" xr:uid="{00000000-0005-0000-0000-00009D6C0000}"/>
    <cellStyle name="Normal 2 3 3 4 4 3" xfId="27835" xr:uid="{00000000-0005-0000-0000-00009E6C0000}"/>
    <cellStyle name="Normal 2 3 3 4 5" xfId="27836" xr:uid="{00000000-0005-0000-0000-00009F6C0000}"/>
    <cellStyle name="Normal 2 3 3 4 6" xfId="27837" xr:uid="{00000000-0005-0000-0000-0000A06C0000}"/>
    <cellStyle name="Normal 2 3 3 4 7" xfId="27838" xr:uid="{00000000-0005-0000-0000-0000A16C0000}"/>
    <cellStyle name="Normal 2 3 3 5" xfId="27839" xr:uid="{00000000-0005-0000-0000-0000A26C0000}"/>
    <cellStyle name="Normal 2 3 3 5 2" xfId="27840" xr:uid="{00000000-0005-0000-0000-0000A36C0000}"/>
    <cellStyle name="Normal 2 3 3 5 2 2" xfId="27841" xr:uid="{00000000-0005-0000-0000-0000A46C0000}"/>
    <cellStyle name="Normal 2 3 3 5 2 2 2" xfId="27842" xr:uid="{00000000-0005-0000-0000-0000A56C0000}"/>
    <cellStyle name="Normal 2 3 3 5 2 2 3" xfId="27843" xr:uid="{00000000-0005-0000-0000-0000A66C0000}"/>
    <cellStyle name="Normal 2 3 3 5 2 3" xfId="27844" xr:uid="{00000000-0005-0000-0000-0000A76C0000}"/>
    <cellStyle name="Normal 2 3 3 5 2 4" xfId="27845" xr:uid="{00000000-0005-0000-0000-0000A86C0000}"/>
    <cellStyle name="Normal 2 3 3 5 3" xfId="27846" xr:uid="{00000000-0005-0000-0000-0000A96C0000}"/>
    <cellStyle name="Normal 2 3 3 5 3 2" xfId="27847" xr:uid="{00000000-0005-0000-0000-0000AA6C0000}"/>
    <cellStyle name="Normal 2 3 3 5 3 3" xfId="27848" xr:uid="{00000000-0005-0000-0000-0000AB6C0000}"/>
    <cellStyle name="Normal 2 3 3 5 4" xfId="27849" xr:uid="{00000000-0005-0000-0000-0000AC6C0000}"/>
    <cellStyle name="Normal 2 3 3 5 5" xfId="27850" xr:uid="{00000000-0005-0000-0000-0000AD6C0000}"/>
    <cellStyle name="Normal 2 3 3 5 6" xfId="27851" xr:uid="{00000000-0005-0000-0000-0000AE6C0000}"/>
    <cellStyle name="Normal 2 3 3 6" xfId="27852" xr:uid="{00000000-0005-0000-0000-0000AF6C0000}"/>
    <cellStyle name="Normal 2 3 3 6 2" xfId="27853" xr:uid="{00000000-0005-0000-0000-0000B06C0000}"/>
    <cellStyle name="Normal 2 3 3 6 2 2" xfId="27854" xr:uid="{00000000-0005-0000-0000-0000B16C0000}"/>
    <cellStyle name="Normal 2 3 3 6 2 3" xfId="27855" xr:uid="{00000000-0005-0000-0000-0000B26C0000}"/>
    <cellStyle name="Normal 2 3 3 6 3" xfId="27856" xr:uid="{00000000-0005-0000-0000-0000B36C0000}"/>
    <cellStyle name="Normal 2 3 3 6 4" xfId="27857" xr:uid="{00000000-0005-0000-0000-0000B46C0000}"/>
    <cellStyle name="Normal 2 3 3 7" xfId="27858" xr:uid="{00000000-0005-0000-0000-0000B56C0000}"/>
    <cellStyle name="Normal 2 3 3 7 2" xfId="27859" xr:uid="{00000000-0005-0000-0000-0000B66C0000}"/>
    <cellStyle name="Normal 2 3 3 7 3" xfId="27860" xr:uid="{00000000-0005-0000-0000-0000B76C0000}"/>
    <cellStyle name="Normal 2 3 3 8" xfId="27861" xr:uid="{00000000-0005-0000-0000-0000B86C0000}"/>
    <cellStyle name="Normal 2 3 3 9" xfId="27862" xr:uid="{00000000-0005-0000-0000-0000B96C0000}"/>
    <cellStyle name="Normal 2 3 4" xfId="27863" xr:uid="{00000000-0005-0000-0000-0000BA6C0000}"/>
    <cellStyle name="Normal 2 3 4 10" xfId="27864" xr:uid="{00000000-0005-0000-0000-0000BB6C0000}"/>
    <cellStyle name="Normal 2 3 4 2" xfId="27865" xr:uid="{00000000-0005-0000-0000-0000BC6C0000}"/>
    <cellStyle name="Normal 2 3 4 2 2" xfId="27866" xr:uid="{00000000-0005-0000-0000-0000BD6C0000}"/>
    <cellStyle name="Normal 2 3 4 2 2 2" xfId="27867" xr:uid="{00000000-0005-0000-0000-0000BE6C0000}"/>
    <cellStyle name="Normal 2 3 4 2 2 2 2" xfId="27868" xr:uid="{00000000-0005-0000-0000-0000BF6C0000}"/>
    <cellStyle name="Normal 2 3 4 2 2 2 2 2" xfId="27869" xr:uid="{00000000-0005-0000-0000-0000C06C0000}"/>
    <cellStyle name="Normal 2 3 4 2 2 2 2 2 2" xfId="27870" xr:uid="{00000000-0005-0000-0000-0000C16C0000}"/>
    <cellStyle name="Normal 2 3 4 2 2 2 2 2 2 2" xfId="27871" xr:uid="{00000000-0005-0000-0000-0000C26C0000}"/>
    <cellStyle name="Normal 2 3 4 2 2 2 2 2 2 3" xfId="27872" xr:uid="{00000000-0005-0000-0000-0000C36C0000}"/>
    <cellStyle name="Normal 2 3 4 2 2 2 2 2 3" xfId="27873" xr:uid="{00000000-0005-0000-0000-0000C46C0000}"/>
    <cellStyle name="Normal 2 3 4 2 2 2 2 2 4" xfId="27874" xr:uid="{00000000-0005-0000-0000-0000C56C0000}"/>
    <cellStyle name="Normal 2 3 4 2 2 2 2 3" xfId="27875" xr:uid="{00000000-0005-0000-0000-0000C66C0000}"/>
    <cellStyle name="Normal 2 3 4 2 2 2 2 3 2" xfId="27876" xr:uid="{00000000-0005-0000-0000-0000C76C0000}"/>
    <cellStyle name="Normal 2 3 4 2 2 2 2 3 3" xfId="27877" xr:uid="{00000000-0005-0000-0000-0000C86C0000}"/>
    <cellStyle name="Normal 2 3 4 2 2 2 2 4" xfId="27878" xr:uid="{00000000-0005-0000-0000-0000C96C0000}"/>
    <cellStyle name="Normal 2 3 4 2 2 2 2 5" xfId="27879" xr:uid="{00000000-0005-0000-0000-0000CA6C0000}"/>
    <cellStyle name="Normal 2 3 4 2 2 2 2 6" xfId="27880" xr:uid="{00000000-0005-0000-0000-0000CB6C0000}"/>
    <cellStyle name="Normal 2 3 4 2 2 2 3" xfId="27881" xr:uid="{00000000-0005-0000-0000-0000CC6C0000}"/>
    <cellStyle name="Normal 2 3 4 2 2 2 3 2" xfId="27882" xr:uid="{00000000-0005-0000-0000-0000CD6C0000}"/>
    <cellStyle name="Normal 2 3 4 2 2 2 3 2 2" xfId="27883" xr:uid="{00000000-0005-0000-0000-0000CE6C0000}"/>
    <cellStyle name="Normal 2 3 4 2 2 2 3 2 3" xfId="27884" xr:uid="{00000000-0005-0000-0000-0000CF6C0000}"/>
    <cellStyle name="Normal 2 3 4 2 2 2 3 3" xfId="27885" xr:uid="{00000000-0005-0000-0000-0000D06C0000}"/>
    <cellStyle name="Normal 2 3 4 2 2 2 3 4" xfId="27886" xr:uid="{00000000-0005-0000-0000-0000D16C0000}"/>
    <cellStyle name="Normal 2 3 4 2 2 2 4" xfId="27887" xr:uid="{00000000-0005-0000-0000-0000D26C0000}"/>
    <cellStyle name="Normal 2 3 4 2 2 2 4 2" xfId="27888" xr:uid="{00000000-0005-0000-0000-0000D36C0000}"/>
    <cellStyle name="Normal 2 3 4 2 2 2 4 3" xfId="27889" xr:uid="{00000000-0005-0000-0000-0000D46C0000}"/>
    <cellStyle name="Normal 2 3 4 2 2 2 5" xfId="27890" xr:uid="{00000000-0005-0000-0000-0000D56C0000}"/>
    <cellStyle name="Normal 2 3 4 2 2 2 6" xfId="27891" xr:uid="{00000000-0005-0000-0000-0000D66C0000}"/>
    <cellStyle name="Normal 2 3 4 2 2 2 7" xfId="27892" xr:uid="{00000000-0005-0000-0000-0000D76C0000}"/>
    <cellStyle name="Normal 2 3 4 2 2 3" xfId="27893" xr:uid="{00000000-0005-0000-0000-0000D86C0000}"/>
    <cellStyle name="Normal 2 3 4 2 2 3 2" xfId="27894" xr:uid="{00000000-0005-0000-0000-0000D96C0000}"/>
    <cellStyle name="Normal 2 3 4 2 2 3 2 2" xfId="27895" xr:uid="{00000000-0005-0000-0000-0000DA6C0000}"/>
    <cellStyle name="Normal 2 3 4 2 2 3 2 2 2" xfId="27896" xr:uid="{00000000-0005-0000-0000-0000DB6C0000}"/>
    <cellStyle name="Normal 2 3 4 2 2 3 2 2 3" xfId="27897" xr:uid="{00000000-0005-0000-0000-0000DC6C0000}"/>
    <cellStyle name="Normal 2 3 4 2 2 3 2 3" xfId="27898" xr:uid="{00000000-0005-0000-0000-0000DD6C0000}"/>
    <cellStyle name="Normal 2 3 4 2 2 3 2 4" xfId="27899" xr:uid="{00000000-0005-0000-0000-0000DE6C0000}"/>
    <cellStyle name="Normal 2 3 4 2 2 3 3" xfId="27900" xr:uid="{00000000-0005-0000-0000-0000DF6C0000}"/>
    <cellStyle name="Normal 2 3 4 2 2 3 3 2" xfId="27901" xr:uid="{00000000-0005-0000-0000-0000E06C0000}"/>
    <cellStyle name="Normal 2 3 4 2 2 3 3 3" xfId="27902" xr:uid="{00000000-0005-0000-0000-0000E16C0000}"/>
    <cellStyle name="Normal 2 3 4 2 2 3 4" xfId="27903" xr:uid="{00000000-0005-0000-0000-0000E26C0000}"/>
    <cellStyle name="Normal 2 3 4 2 2 3 5" xfId="27904" xr:uid="{00000000-0005-0000-0000-0000E36C0000}"/>
    <cellStyle name="Normal 2 3 4 2 2 3 6" xfId="27905" xr:uid="{00000000-0005-0000-0000-0000E46C0000}"/>
    <cellStyle name="Normal 2 3 4 2 2 4" xfId="27906" xr:uid="{00000000-0005-0000-0000-0000E56C0000}"/>
    <cellStyle name="Normal 2 3 4 2 2 4 2" xfId="27907" xr:uid="{00000000-0005-0000-0000-0000E66C0000}"/>
    <cellStyle name="Normal 2 3 4 2 2 4 2 2" xfId="27908" xr:uid="{00000000-0005-0000-0000-0000E76C0000}"/>
    <cellStyle name="Normal 2 3 4 2 2 4 2 3" xfId="27909" xr:uid="{00000000-0005-0000-0000-0000E86C0000}"/>
    <cellStyle name="Normal 2 3 4 2 2 4 3" xfId="27910" xr:uid="{00000000-0005-0000-0000-0000E96C0000}"/>
    <cellStyle name="Normal 2 3 4 2 2 4 4" xfId="27911" xr:uid="{00000000-0005-0000-0000-0000EA6C0000}"/>
    <cellStyle name="Normal 2 3 4 2 2 5" xfId="27912" xr:uid="{00000000-0005-0000-0000-0000EB6C0000}"/>
    <cellStyle name="Normal 2 3 4 2 2 5 2" xfId="27913" xr:uid="{00000000-0005-0000-0000-0000EC6C0000}"/>
    <cellStyle name="Normal 2 3 4 2 2 5 3" xfId="27914" xr:uid="{00000000-0005-0000-0000-0000ED6C0000}"/>
    <cellStyle name="Normal 2 3 4 2 2 6" xfId="27915" xr:uid="{00000000-0005-0000-0000-0000EE6C0000}"/>
    <cellStyle name="Normal 2 3 4 2 2 7" xfId="27916" xr:uid="{00000000-0005-0000-0000-0000EF6C0000}"/>
    <cellStyle name="Normal 2 3 4 2 2 8" xfId="27917" xr:uid="{00000000-0005-0000-0000-0000F06C0000}"/>
    <cellStyle name="Normal 2 3 4 2 3" xfId="27918" xr:uid="{00000000-0005-0000-0000-0000F16C0000}"/>
    <cellStyle name="Normal 2 3 4 2 3 2" xfId="27919" xr:uid="{00000000-0005-0000-0000-0000F26C0000}"/>
    <cellStyle name="Normal 2 3 4 2 3 2 2" xfId="27920" xr:uid="{00000000-0005-0000-0000-0000F36C0000}"/>
    <cellStyle name="Normal 2 3 4 2 3 2 2 2" xfId="27921" xr:uid="{00000000-0005-0000-0000-0000F46C0000}"/>
    <cellStyle name="Normal 2 3 4 2 3 2 2 2 2" xfId="27922" xr:uid="{00000000-0005-0000-0000-0000F56C0000}"/>
    <cellStyle name="Normal 2 3 4 2 3 2 2 2 3" xfId="27923" xr:uid="{00000000-0005-0000-0000-0000F66C0000}"/>
    <cellStyle name="Normal 2 3 4 2 3 2 2 3" xfId="27924" xr:uid="{00000000-0005-0000-0000-0000F76C0000}"/>
    <cellStyle name="Normal 2 3 4 2 3 2 2 4" xfId="27925" xr:uid="{00000000-0005-0000-0000-0000F86C0000}"/>
    <cellStyle name="Normal 2 3 4 2 3 2 3" xfId="27926" xr:uid="{00000000-0005-0000-0000-0000F96C0000}"/>
    <cellStyle name="Normal 2 3 4 2 3 2 3 2" xfId="27927" xr:uid="{00000000-0005-0000-0000-0000FA6C0000}"/>
    <cellStyle name="Normal 2 3 4 2 3 2 3 3" xfId="27928" xr:uid="{00000000-0005-0000-0000-0000FB6C0000}"/>
    <cellStyle name="Normal 2 3 4 2 3 2 4" xfId="27929" xr:uid="{00000000-0005-0000-0000-0000FC6C0000}"/>
    <cellStyle name="Normal 2 3 4 2 3 2 5" xfId="27930" xr:uid="{00000000-0005-0000-0000-0000FD6C0000}"/>
    <cellStyle name="Normal 2 3 4 2 3 2 6" xfId="27931" xr:uid="{00000000-0005-0000-0000-0000FE6C0000}"/>
    <cellStyle name="Normal 2 3 4 2 3 3" xfId="27932" xr:uid="{00000000-0005-0000-0000-0000FF6C0000}"/>
    <cellStyle name="Normal 2 3 4 2 3 3 2" xfId="27933" xr:uid="{00000000-0005-0000-0000-0000006D0000}"/>
    <cellStyle name="Normal 2 3 4 2 3 3 2 2" xfId="27934" xr:uid="{00000000-0005-0000-0000-0000016D0000}"/>
    <cellStyle name="Normal 2 3 4 2 3 3 2 3" xfId="27935" xr:uid="{00000000-0005-0000-0000-0000026D0000}"/>
    <cellStyle name="Normal 2 3 4 2 3 3 3" xfId="27936" xr:uid="{00000000-0005-0000-0000-0000036D0000}"/>
    <cellStyle name="Normal 2 3 4 2 3 3 4" xfId="27937" xr:uid="{00000000-0005-0000-0000-0000046D0000}"/>
    <cellStyle name="Normal 2 3 4 2 3 4" xfId="27938" xr:uid="{00000000-0005-0000-0000-0000056D0000}"/>
    <cellStyle name="Normal 2 3 4 2 3 4 2" xfId="27939" xr:uid="{00000000-0005-0000-0000-0000066D0000}"/>
    <cellStyle name="Normal 2 3 4 2 3 4 3" xfId="27940" xr:uid="{00000000-0005-0000-0000-0000076D0000}"/>
    <cellStyle name="Normal 2 3 4 2 3 5" xfId="27941" xr:uid="{00000000-0005-0000-0000-0000086D0000}"/>
    <cellStyle name="Normal 2 3 4 2 3 6" xfId="27942" xr:uid="{00000000-0005-0000-0000-0000096D0000}"/>
    <cellStyle name="Normal 2 3 4 2 3 7" xfId="27943" xr:uid="{00000000-0005-0000-0000-00000A6D0000}"/>
    <cellStyle name="Normal 2 3 4 2 4" xfId="27944" xr:uid="{00000000-0005-0000-0000-00000B6D0000}"/>
    <cellStyle name="Normal 2 3 4 2 4 2" xfId="27945" xr:uid="{00000000-0005-0000-0000-00000C6D0000}"/>
    <cellStyle name="Normal 2 3 4 2 4 2 2" xfId="27946" xr:uid="{00000000-0005-0000-0000-00000D6D0000}"/>
    <cellStyle name="Normal 2 3 4 2 4 2 2 2" xfId="27947" xr:uid="{00000000-0005-0000-0000-00000E6D0000}"/>
    <cellStyle name="Normal 2 3 4 2 4 2 2 3" xfId="27948" xr:uid="{00000000-0005-0000-0000-00000F6D0000}"/>
    <cellStyle name="Normal 2 3 4 2 4 2 3" xfId="27949" xr:uid="{00000000-0005-0000-0000-0000106D0000}"/>
    <cellStyle name="Normal 2 3 4 2 4 2 4" xfId="27950" xr:uid="{00000000-0005-0000-0000-0000116D0000}"/>
    <cellStyle name="Normal 2 3 4 2 4 3" xfId="27951" xr:uid="{00000000-0005-0000-0000-0000126D0000}"/>
    <cellStyle name="Normal 2 3 4 2 4 3 2" xfId="27952" xr:uid="{00000000-0005-0000-0000-0000136D0000}"/>
    <cellStyle name="Normal 2 3 4 2 4 3 3" xfId="27953" xr:uid="{00000000-0005-0000-0000-0000146D0000}"/>
    <cellStyle name="Normal 2 3 4 2 4 4" xfId="27954" xr:uid="{00000000-0005-0000-0000-0000156D0000}"/>
    <cellStyle name="Normal 2 3 4 2 4 5" xfId="27955" xr:uid="{00000000-0005-0000-0000-0000166D0000}"/>
    <cellStyle name="Normal 2 3 4 2 4 6" xfId="27956" xr:uid="{00000000-0005-0000-0000-0000176D0000}"/>
    <cellStyle name="Normal 2 3 4 2 5" xfId="27957" xr:uid="{00000000-0005-0000-0000-0000186D0000}"/>
    <cellStyle name="Normal 2 3 4 2 5 2" xfId="27958" xr:uid="{00000000-0005-0000-0000-0000196D0000}"/>
    <cellStyle name="Normal 2 3 4 2 5 2 2" xfId="27959" xr:uid="{00000000-0005-0000-0000-00001A6D0000}"/>
    <cellStyle name="Normal 2 3 4 2 5 2 3" xfId="27960" xr:uid="{00000000-0005-0000-0000-00001B6D0000}"/>
    <cellStyle name="Normal 2 3 4 2 5 3" xfId="27961" xr:uid="{00000000-0005-0000-0000-00001C6D0000}"/>
    <cellStyle name="Normal 2 3 4 2 5 4" xfId="27962" xr:uid="{00000000-0005-0000-0000-00001D6D0000}"/>
    <cellStyle name="Normal 2 3 4 2 6" xfId="27963" xr:uid="{00000000-0005-0000-0000-00001E6D0000}"/>
    <cellStyle name="Normal 2 3 4 2 6 2" xfId="27964" xr:uid="{00000000-0005-0000-0000-00001F6D0000}"/>
    <cellStyle name="Normal 2 3 4 2 6 3" xfId="27965" xr:uid="{00000000-0005-0000-0000-0000206D0000}"/>
    <cellStyle name="Normal 2 3 4 2 7" xfId="27966" xr:uid="{00000000-0005-0000-0000-0000216D0000}"/>
    <cellStyle name="Normal 2 3 4 2 8" xfId="27967" xr:uid="{00000000-0005-0000-0000-0000226D0000}"/>
    <cellStyle name="Normal 2 3 4 2 9" xfId="27968" xr:uid="{00000000-0005-0000-0000-0000236D0000}"/>
    <cellStyle name="Normal 2 3 4 3" xfId="27969" xr:uid="{00000000-0005-0000-0000-0000246D0000}"/>
    <cellStyle name="Normal 2 3 4 3 2" xfId="27970" xr:uid="{00000000-0005-0000-0000-0000256D0000}"/>
    <cellStyle name="Normal 2 3 4 3 2 2" xfId="27971" xr:uid="{00000000-0005-0000-0000-0000266D0000}"/>
    <cellStyle name="Normal 2 3 4 3 2 2 2" xfId="27972" xr:uid="{00000000-0005-0000-0000-0000276D0000}"/>
    <cellStyle name="Normal 2 3 4 3 2 2 2 2" xfId="27973" xr:uid="{00000000-0005-0000-0000-0000286D0000}"/>
    <cellStyle name="Normal 2 3 4 3 2 2 2 2 2" xfId="27974" xr:uid="{00000000-0005-0000-0000-0000296D0000}"/>
    <cellStyle name="Normal 2 3 4 3 2 2 2 2 3" xfId="27975" xr:uid="{00000000-0005-0000-0000-00002A6D0000}"/>
    <cellStyle name="Normal 2 3 4 3 2 2 2 3" xfId="27976" xr:uid="{00000000-0005-0000-0000-00002B6D0000}"/>
    <cellStyle name="Normal 2 3 4 3 2 2 2 4" xfId="27977" xr:uid="{00000000-0005-0000-0000-00002C6D0000}"/>
    <cellStyle name="Normal 2 3 4 3 2 2 3" xfId="27978" xr:uid="{00000000-0005-0000-0000-00002D6D0000}"/>
    <cellStyle name="Normal 2 3 4 3 2 2 3 2" xfId="27979" xr:uid="{00000000-0005-0000-0000-00002E6D0000}"/>
    <cellStyle name="Normal 2 3 4 3 2 2 3 3" xfId="27980" xr:uid="{00000000-0005-0000-0000-00002F6D0000}"/>
    <cellStyle name="Normal 2 3 4 3 2 2 4" xfId="27981" xr:uid="{00000000-0005-0000-0000-0000306D0000}"/>
    <cellStyle name="Normal 2 3 4 3 2 2 5" xfId="27982" xr:uid="{00000000-0005-0000-0000-0000316D0000}"/>
    <cellStyle name="Normal 2 3 4 3 2 2 6" xfId="27983" xr:uid="{00000000-0005-0000-0000-0000326D0000}"/>
    <cellStyle name="Normal 2 3 4 3 2 3" xfId="27984" xr:uid="{00000000-0005-0000-0000-0000336D0000}"/>
    <cellStyle name="Normal 2 3 4 3 2 3 2" xfId="27985" xr:uid="{00000000-0005-0000-0000-0000346D0000}"/>
    <cellStyle name="Normal 2 3 4 3 2 3 2 2" xfId="27986" xr:uid="{00000000-0005-0000-0000-0000356D0000}"/>
    <cellStyle name="Normal 2 3 4 3 2 3 2 3" xfId="27987" xr:uid="{00000000-0005-0000-0000-0000366D0000}"/>
    <cellStyle name="Normal 2 3 4 3 2 3 3" xfId="27988" xr:uid="{00000000-0005-0000-0000-0000376D0000}"/>
    <cellStyle name="Normal 2 3 4 3 2 3 4" xfId="27989" xr:uid="{00000000-0005-0000-0000-0000386D0000}"/>
    <cellStyle name="Normal 2 3 4 3 2 4" xfId="27990" xr:uid="{00000000-0005-0000-0000-0000396D0000}"/>
    <cellStyle name="Normal 2 3 4 3 2 4 2" xfId="27991" xr:uid="{00000000-0005-0000-0000-00003A6D0000}"/>
    <cellStyle name="Normal 2 3 4 3 2 4 3" xfId="27992" xr:uid="{00000000-0005-0000-0000-00003B6D0000}"/>
    <cellStyle name="Normal 2 3 4 3 2 5" xfId="27993" xr:uid="{00000000-0005-0000-0000-00003C6D0000}"/>
    <cellStyle name="Normal 2 3 4 3 2 6" xfId="27994" xr:uid="{00000000-0005-0000-0000-00003D6D0000}"/>
    <cellStyle name="Normal 2 3 4 3 2 7" xfId="27995" xr:uid="{00000000-0005-0000-0000-00003E6D0000}"/>
    <cellStyle name="Normal 2 3 4 3 3" xfId="27996" xr:uid="{00000000-0005-0000-0000-00003F6D0000}"/>
    <cellStyle name="Normal 2 3 4 3 3 2" xfId="27997" xr:uid="{00000000-0005-0000-0000-0000406D0000}"/>
    <cellStyle name="Normal 2 3 4 3 3 2 2" xfId="27998" xr:uid="{00000000-0005-0000-0000-0000416D0000}"/>
    <cellStyle name="Normal 2 3 4 3 3 2 2 2" xfId="27999" xr:uid="{00000000-0005-0000-0000-0000426D0000}"/>
    <cellStyle name="Normal 2 3 4 3 3 2 2 3" xfId="28000" xr:uid="{00000000-0005-0000-0000-0000436D0000}"/>
    <cellStyle name="Normal 2 3 4 3 3 2 3" xfId="28001" xr:uid="{00000000-0005-0000-0000-0000446D0000}"/>
    <cellStyle name="Normal 2 3 4 3 3 2 4" xfId="28002" xr:uid="{00000000-0005-0000-0000-0000456D0000}"/>
    <cellStyle name="Normal 2 3 4 3 3 3" xfId="28003" xr:uid="{00000000-0005-0000-0000-0000466D0000}"/>
    <cellStyle name="Normal 2 3 4 3 3 3 2" xfId="28004" xr:uid="{00000000-0005-0000-0000-0000476D0000}"/>
    <cellStyle name="Normal 2 3 4 3 3 3 3" xfId="28005" xr:uid="{00000000-0005-0000-0000-0000486D0000}"/>
    <cellStyle name="Normal 2 3 4 3 3 4" xfId="28006" xr:uid="{00000000-0005-0000-0000-0000496D0000}"/>
    <cellStyle name="Normal 2 3 4 3 3 5" xfId="28007" xr:uid="{00000000-0005-0000-0000-00004A6D0000}"/>
    <cellStyle name="Normal 2 3 4 3 3 6" xfId="28008" xr:uid="{00000000-0005-0000-0000-00004B6D0000}"/>
    <cellStyle name="Normal 2 3 4 3 4" xfId="28009" xr:uid="{00000000-0005-0000-0000-00004C6D0000}"/>
    <cellStyle name="Normal 2 3 4 3 4 2" xfId="28010" xr:uid="{00000000-0005-0000-0000-00004D6D0000}"/>
    <cellStyle name="Normal 2 3 4 3 4 2 2" xfId="28011" xr:uid="{00000000-0005-0000-0000-00004E6D0000}"/>
    <cellStyle name="Normal 2 3 4 3 4 2 3" xfId="28012" xr:uid="{00000000-0005-0000-0000-00004F6D0000}"/>
    <cellStyle name="Normal 2 3 4 3 4 3" xfId="28013" xr:uid="{00000000-0005-0000-0000-0000506D0000}"/>
    <cellStyle name="Normal 2 3 4 3 4 4" xfId="28014" xr:uid="{00000000-0005-0000-0000-0000516D0000}"/>
    <cellStyle name="Normal 2 3 4 3 5" xfId="28015" xr:uid="{00000000-0005-0000-0000-0000526D0000}"/>
    <cellStyle name="Normal 2 3 4 3 5 2" xfId="28016" xr:uid="{00000000-0005-0000-0000-0000536D0000}"/>
    <cellStyle name="Normal 2 3 4 3 5 3" xfId="28017" xr:uid="{00000000-0005-0000-0000-0000546D0000}"/>
    <cellStyle name="Normal 2 3 4 3 6" xfId="28018" xr:uid="{00000000-0005-0000-0000-0000556D0000}"/>
    <cellStyle name="Normal 2 3 4 3 7" xfId="28019" xr:uid="{00000000-0005-0000-0000-0000566D0000}"/>
    <cellStyle name="Normal 2 3 4 3 8" xfId="28020" xr:uid="{00000000-0005-0000-0000-0000576D0000}"/>
    <cellStyle name="Normal 2 3 4 4" xfId="28021" xr:uid="{00000000-0005-0000-0000-0000586D0000}"/>
    <cellStyle name="Normal 2 3 4 4 2" xfId="28022" xr:uid="{00000000-0005-0000-0000-0000596D0000}"/>
    <cellStyle name="Normal 2 3 4 4 2 2" xfId="28023" xr:uid="{00000000-0005-0000-0000-00005A6D0000}"/>
    <cellStyle name="Normal 2 3 4 4 2 2 2" xfId="28024" xr:uid="{00000000-0005-0000-0000-00005B6D0000}"/>
    <cellStyle name="Normal 2 3 4 4 2 2 2 2" xfId="28025" xr:uid="{00000000-0005-0000-0000-00005C6D0000}"/>
    <cellStyle name="Normal 2 3 4 4 2 2 2 3" xfId="28026" xr:uid="{00000000-0005-0000-0000-00005D6D0000}"/>
    <cellStyle name="Normal 2 3 4 4 2 2 3" xfId="28027" xr:uid="{00000000-0005-0000-0000-00005E6D0000}"/>
    <cellStyle name="Normal 2 3 4 4 2 2 4" xfId="28028" xr:uid="{00000000-0005-0000-0000-00005F6D0000}"/>
    <cellStyle name="Normal 2 3 4 4 2 3" xfId="28029" xr:uid="{00000000-0005-0000-0000-0000606D0000}"/>
    <cellStyle name="Normal 2 3 4 4 2 3 2" xfId="28030" xr:uid="{00000000-0005-0000-0000-0000616D0000}"/>
    <cellStyle name="Normal 2 3 4 4 2 3 3" xfId="28031" xr:uid="{00000000-0005-0000-0000-0000626D0000}"/>
    <cellStyle name="Normal 2 3 4 4 2 4" xfId="28032" xr:uid="{00000000-0005-0000-0000-0000636D0000}"/>
    <cellStyle name="Normal 2 3 4 4 2 5" xfId="28033" xr:uid="{00000000-0005-0000-0000-0000646D0000}"/>
    <cellStyle name="Normal 2 3 4 4 2 6" xfId="28034" xr:uid="{00000000-0005-0000-0000-0000656D0000}"/>
    <cellStyle name="Normal 2 3 4 4 3" xfId="28035" xr:uid="{00000000-0005-0000-0000-0000666D0000}"/>
    <cellStyle name="Normal 2 3 4 4 3 2" xfId="28036" xr:uid="{00000000-0005-0000-0000-0000676D0000}"/>
    <cellStyle name="Normal 2 3 4 4 3 2 2" xfId="28037" xr:uid="{00000000-0005-0000-0000-0000686D0000}"/>
    <cellStyle name="Normal 2 3 4 4 3 2 3" xfId="28038" xr:uid="{00000000-0005-0000-0000-0000696D0000}"/>
    <cellStyle name="Normal 2 3 4 4 3 3" xfId="28039" xr:uid="{00000000-0005-0000-0000-00006A6D0000}"/>
    <cellStyle name="Normal 2 3 4 4 3 4" xfId="28040" xr:uid="{00000000-0005-0000-0000-00006B6D0000}"/>
    <cellStyle name="Normal 2 3 4 4 4" xfId="28041" xr:uid="{00000000-0005-0000-0000-00006C6D0000}"/>
    <cellStyle name="Normal 2 3 4 4 4 2" xfId="28042" xr:uid="{00000000-0005-0000-0000-00006D6D0000}"/>
    <cellStyle name="Normal 2 3 4 4 4 3" xfId="28043" xr:uid="{00000000-0005-0000-0000-00006E6D0000}"/>
    <cellStyle name="Normal 2 3 4 4 5" xfId="28044" xr:uid="{00000000-0005-0000-0000-00006F6D0000}"/>
    <cellStyle name="Normal 2 3 4 4 6" xfId="28045" xr:uid="{00000000-0005-0000-0000-0000706D0000}"/>
    <cellStyle name="Normal 2 3 4 4 7" xfId="28046" xr:uid="{00000000-0005-0000-0000-0000716D0000}"/>
    <cellStyle name="Normal 2 3 4 5" xfId="28047" xr:uid="{00000000-0005-0000-0000-0000726D0000}"/>
    <cellStyle name="Normal 2 3 4 5 2" xfId="28048" xr:uid="{00000000-0005-0000-0000-0000736D0000}"/>
    <cellStyle name="Normal 2 3 4 5 2 2" xfId="28049" xr:uid="{00000000-0005-0000-0000-0000746D0000}"/>
    <cellStyle name="Normal 2 3 4 5 2 2 2" xfId="28050" xr:uid="{00000000-0005-0000-0000-0000756D0000}"/>
    <cellStyle name="Normal 2 3 4 5 2 2 3" xfId="28051" xr:uid="{00000000-0005-0000-0000-0000766D0000}"/>
    <cellStyle name="Normal 2 3 4 5 2 3" xfId="28052" xr:uid="{00000000-0005-0000-0000-0000776D0000}"/>
    <cellStyle name="Normal 2 3 4 5 2 4" xfId="28053" xr:uid="{00000000-0005-0000-0000-0000786D0000}"/>
    <cellStyle name="Normal 2 3 4 5 3" xfId="28054" xr:uid="{00000000-0005-0000-0000-0000796D0000}"/>
    <cellStyle name="Normal 2 3 4 5 3 2" xfId="28055" xr:uid="{00000000-0005-0000-0000-00007A6D0000}"/>
    <cellStyle name="Normal 2 3 4 5 3 3" xfId="28056" xr:uid="{00000000-0005-0000-0000-00007B6D0000}"/>
    <cellStyle name="Normal 2 3 4 5 4" xfId="28057" xr:uid="{00000000-0005-0000-0000-00007C6D0000}"/>
    <cellStyle name="Normal 2 3 4 5 5" xfId="28058" xr:uid="{00000000-0005-0000-0000-00007D6D0000}"/>
    <cellStyle name="Normal 2 3 4 5 6" xfId="28059" xr:uid="{00000000-0005-0000-0000-00007E6D0000}"/>
    <cellStyle name="Normal 2 3 4 6" xfId="28060" xr:uid="{00000000-0005-0000-0000-00007F6D0000}"/>
    <cellStyle name="Normal 2 3 4 6 2" xfId="28061" xr:uid="{00000000-0005-0000-0000-0000806D0000}"/>
    <cellStyle name="Normal 2 3 4 6 2 2" xfId="28062" xr:uid="{00000000-0005-0000-0000-0000816D0000}"/>
    <cellStyle name="Normal 2 3 4 6 2 3" xfId="28063" xr:uid="{00000000-0005-0000-0000-0000826D0000}"/>
    <cellStyle name="Normal 2 3 4 6 3" xfId="28064" xr:uid="{00000000-0005-0000-0000-0000836D0000}"/>
    <cellStyle name="Normal 2 3 4 6 4" xfId="28065" xr:uid="{00000000-0005-0000-0000-0000846D0000}"/>
    <cellStyle name="Normal 2 3 4 7" xfId="28066" xr:uid="{00000000-0005-0000-0000-0000856D0000}"/>
    <cellStyle name="Normal 2 3 4 7 2" xfId="28067" xr:uid="{00000000-0005-0000-0000-0000866D0000}"/>
    <cellStyle name="Normal 2 3 4 7 3" xfId="28068" xr:uid="{00000000-0005-0000-0000-0000876D0000}"/>
    <cellStyle name="Normal 2 3 4 8" xfId="28069" xr:uid="{00000000-0005-0000-0000-0000886D0000}"/>
    <cellStyle name="Normal 2 3 4 9" xfId="28070" xr:uid="{00000000-0005-0000-0000-0000896D0000}"/>
    <cellStyle name="Normal 2 3 5" xfId="28071" xr:uid="{00000000-0005-0000-0000-00008A6D0000}"/>
    <cellStyle name="Normal 2 3 5 2" xfId="28072" xr:uid="{00000000-0005-0000-0000-00008B6D0000}"/>
    <cellStyle name="Normal 2 3 5 2 2" xfId="28073" xr:uid="{00000000-0005-0000-0000-00008C6D0000}"/>
    <cellStyle name="Normal 2 3 5 2 2 2" xfId="28074" xr:uid="{00000000-0005-0000-0000-00008D6D0000}"/>
    <cellStyle name="Normal 2 3 5 2 2 2 2" xfId="28075" xr:uid="{00000000-0005-0000-0000-00008E6D0000}"/>
    <cellStyle name="Normal 2 3 5 2 2 2 2 2" xfId="28076" xr:uid="{00000000-0005-0000-0000-00008F6D0000}"/>
    <cellStyle name="Normal 2 3 5 2 2 2 2 2 2" xfId="28077" xr:uid="{00000000-0005-0000-0000-0000906D0000}"/>
    <cellStyle name="Normal 2 3 5 2 2 2 2 2 3" xfId="28078" xr:uid="{00000000-0005-0000-0000-0000916D0000}"/>
    <cellStyle name="Normal 2 3 5 2 2 2 2 3" xfId="28079" xr:uid="{00000000-0005-0000-0000-0000926D0000}"/>
    <cellStyle name="Normal 2 3 5 2 2 2 2 4" xfId="28080" xr:uid="{00000000-0005-0000-0000-0000936D0000}"/>
    <cellStyle name="Normal 2 3 5 2 2 2 3" xfId="28081" xr:uid="{00000000-0005-0000-0000-0000946D0000}"/>
    <cellStyle name="Normal 2 3 5 2 2 2 3 2" xfId="28082" xr:uid="{00000000-0005-0000-0000-0000956D0000}"/>
    <cellStyle name="Normal 2 3 5 2 2 2 3 3" xfId="28083" xr:uid="{00000000-0005-0000-0000-0000966D0000}"/>
    <cellStyle name="Normal 2 3 5 2 2 2 4" xfId="28084" xr:uid="{00000000-0005-0000-0000-0000976D0000}"/>
    <cellStyle name="Normal 2 3 5 2 2 2 5" xfId="28085" xr:uid="{00000000-0005-0000-0000-0000986D0000}"/>
    <cellStyle name="Normal 2 3 5 2 2 2 6" xfId="28086" xr:uid="{00000000-0005-0000-0000-0000996D0000}"/>
    <cellStyle name="Normal 2 3 5 2 2 3" xfId="28087" xr:uid="{00000000-0005-0000-0000-00009A6D0000}"/>
    <cellStyle name="Normal 2 3 5 2 2 3 2" xfId="28088" xr:uid="{00000000-0005-0000-0000-00009B6D0000}"/>
    <cellStyle name="Normal 2 3 5 2 2 3 2 2" xfId="28089" xr:uid="{00000000-0005-0000-0000-00009C6D0000}"/>
    <cellStyle name="Normal 2 3 5 2 2 3 2 3" xfId="28090" xr:uid="{00000000-0005-0000-0000-00009D6D0000}"/>
    <cellStyle name="Normal 2 3 5 2 2 3 3" xfId="28091" xr:uid="{00000000-0005-0000-0000-00009E6D0000}"/>
    <cellStyle name="Normal 2 3 5 2 2 3 4" xfId="28092" xr:uid="{00000000-0005-0000-0000-00009F6D0000}"/>
    <cellStyle name="Normal 2 3 5 2 2 4" xfId="28093" xr:uid="{00000000-0005-0000-0000-0000A06D0000}"/>
    <cellStyle name="Normal 2 3 5 2 2 4 2" xfId="28094" xr:uid="{00000000-0005-0000-0000-0000A16D0000}"/>
    <cellStyle name="Normal 2 3 5 2 2 4 3" xfId="28095" xr:uid="{00000000-0005-0000-0000-0000A26D0000}"/>
    <cellStyle name="Normal 2 3 5 2 2 5" xfId="28096" xr:uid="{00000000-0005-0000-0000-0000A36D0000}"/>
    <cellStyle name="Normal 2 3 5 2 2 6" xfId="28097" xr:uid="{00000000-0005-0000-0000-0000A46D0000}"/>
    <cellStyle name="Normal 2 3 5 2 2 7" xfId="28098" xr:uid="{00000000-0005-0000-0000-0000A56D0000}"/>
    <cellStyle name="Normal 2 3 5 2 3" xfId="28099" xr:uid="{00000000-0005-0000-0000-0000A66D0000}"/>
    <cellStyle name="Normal 2 3 5 2 3 2" xfId="28100" xr:uid="{00000000-0005-0000-0000-0000A76D0000}"/>
    <cellStyle name="Normal 2 3 5 2 3 2 2" xfId="28101" xr:uid="{00000000-0005-0000-0000-0000A86D0000}"/>
    <cellStyle name="Normal 2 3 5 2 3 2 2 2" xfId="28102" xr:uid="{00000000-0005-0000-0000-0000A96D0000}"/>
    <cellStyle name="Normal 2 3 5 2 3 2 2 3" xfId="28103" xr:uid="{00000000-0005-0000-0000-0000AA6D0000}"/>
    <cellStyle name="Normal 2 3 5 2 3 2 3" xfId="28104" xr:uid="{00000000-0005-0000-0000-0000AB6D0000}"/>
    <cellStyle name="Normal 2 3 5 2 3 2 4" xfId="28105" xr:uid="{00000000-0005-0000-0000-0000AC6D0000}"/>
    <cellStyle name="Normal 2 3 5 2 3 3" xfId="28106" xr:uid="{00000000-0005-0000-0000-0000AD6D0000}"/>
    <cellStyle name="Normal 2 3 5 2 3 3 2" xfId="28107" xr:uid="{00000000-0005-0000-0000-0000AE6D0000}"/>
    <cellStyle name="Normal 2 3 5 2 3 3 3" xfId="28108" xr:uid="{00000000-0005-0000-0000-0000AF6D0000}"/>
    <cellStyle name="Normal 2 3 5 2 3 4" xfId="28109" xr:uid="{00000000-0005-0000-0000-0000B06D0000}"/>
    <cellStyle name="Normal 2 3 5 2 3 5" xfId="28110" xr:uid="{00000000-0005-0000-0000-0000B16D0000}"/>
    <cellStyle name="Normal 2 3 5 2 3 6" xfId="28111" xr:uid="{00000000-0005-0000-0000-0000B26D0000}"/>
    <cellStyle name="Normal 2 3 5 2 4" xfId="28112" xr:uid="{00000000-0005-0000-0000-0000B36D0000}"/>
    <cellStyle name="Normal 2 3 5 2 4 2" xfId="28113" xr:uid="{00000000-0005-0000-0000-0000B46D0000}"/>
    <cellStyle name="Normal 2 3 5 2 4 2 2" xfId="28114" xr:uid="{00000000-0005-0000-0000-0000B56D0000}"/>
    <cellStyle name="Normal 2 3 5 2 4 2 3" xfId="28115" xr:uid="{00000000-0005-0000-0000-0000B66D0000}"/>
    <cellStyle name="Normal 2 3 5 2 4 3" xfId="28116" xr:uid="{00000000-0005-0000-0000-0000B76D0000}"/>
    <cellStyle name="Normal 2 3 5 2 4 4" xfId="28117" xr:uid="{00000000-0005-0000-0000-0000B86D0000}"/>
    <cellStyle name="Normal 2 3 5 2 5" xfId="28118" xr:uid="{00000000-0005-0000-0000-0000B96D0000}"/>
    <cellStyle name="Normal 2 3 5 2 5 2" xfId="28119" xr:uid="{00000000-0005-0000-0000-0000BA6D0000}"/>
    <cellStyle name="Normal 2 3 5 2 5 3" xfId="28120" xr:uid="{00000000-0005-0000-0000-0000BB6D0000}"/>
    <cellStyle name="Normal 2 3 5 2 6" xfId="28121" xr:uid="{00000000-0005-0000-0000-0000BC6D0000}"/>
    <cellStyle name="Normal 2 3 5 2 7" xfId="28122" xr:uid="{00000000-0005-0000-0000-0000BD6D0000}"/>
    <cellStyle name="Normal 2 3 5 2 8" xfId="28123" xr:uid="{00000000-0005-0000-0000-0000BE6D0000}"/>
    <cellStyle name="Normal 2 3 5 3" xfId="28124" xr:uid="{00000000-0005-0000-0000-0000BF6D0000}"/>
    <cellStyle name="Normal 2 3 5 3 2" xfId="28125" xr:uid="{00000000-0005-0000-0000-0000C06D0000}"/>
    <cellStyle name="Normal 2 3 5 3 2 2" xfId="28126" xr:uid="{00000000-0005-0000-0000-0000C16D0000}"/>
    <cellStyle name="Normal 2 3 5 3 2 2 2" xfId="28127" xr:uid="{00000000-0005-0000-0000-0000C26D0000}"/>
    <cellStyle name="Normal 2 3 5 3 2 2 2 2" xfId="28128" xr:uid="{00000000-0005-0000-0000-0000C36D0000}"/>
    <cellStyle name="Normal 2 3 5 3 2 2 2 3" xfId="28129" xr:uid="{00000000-0005-0000-0000-0000C46D0000}"/>
    <cellStyle name="Normal 2 3 5 3 2 2 3" xfId="28130" xr:uid="{00000000-0005-0000-0000-0000C56D0000}"/>
    <cellStyle name="Normal 2 3 5 3 2 2 4" xfId="28131" xr:uid="{00000000-0005-0000-0000-0000C66D0000}"/>
    <cellStyle name="Normal 2 3 5 3 2 3" xfId="28132" xr:uid="{00000000-0005-0000-0000-0000C76D0000}"/>
    <cellStyle name="Normal 2 3 5 3 2 3 2" xfId="28133" xr:uid="{00000000-0005-0000-0000-0000C86D0000}"/>
    <cellStyle name="Normal 2 3 5 3 2 3 3" xfId="28134" xr:uid="{00000000-0005-0000-0000-0000C96D0000}"/>
    <cellStyle name="Normal 2 3 5 3 2 4" xfId="28135" xr:uid="{00000000-0005-0000-0000-0000CA6D0000}"/>
    <cellStyle name="Normal 2 3 5 3 2 5" xfId="28136" xr:uid="{00000000-0005-0000-0000-0000CB6D0000}"/>
    <cellStyle name="Normal 2 3 5 3 2 6" xfId="28137" xr:uid="{00000000-0005-0000-0000-0000CC6D0000}"/>
    <cellStyle name="Normal 2 3 5 3 3" xfId="28138" xr:uid="{00000000-0005-0000-0000-0000CD6D0000}"/>
    <cellStyle name="Normal 2 3 5 3 3 2" xfId="28139" xr:uid="{00000000-0005-0000-0000-0000CE6D0000}"/>
    <cellStyle name="Normal 2 3 5 3 3 2 2" xfId="28140" xr:uid="{00000000-0005-0000-0000-0000CF6D0000}"/>
    <cellStyle name="Normal 2 3 5 3 3 2 3" xfId="28141" xr:uid="{00000000-0005-0000-0000-0000D06D0000}"/>
    <cellStyle name="Normal 2 3 5 3 3 3" xfId="28142" xr:uid="{00000000-0005-0000-0000-0000D16D0000}"/>
    <cellStyle name="Normal 2 3 5 3 3 4" xfId="28143" xr:uid="{00000000-0005-0000-0000-0000D26D0000}"/>
    <cellStyle name="Normal 2 3 5 3 4" xfId="28144" xr:uid="{00000000-0005-0000-0000-0000D36D0000}"/>
    <cellStyle name="Normal 2 3 5 3 4 2" xfId="28145" xr:uid="{00000000-0005-0000-0000-0000D46D0000}"/>
    <cellStyle name="Normal 2 3 5 3 4 3" xfId="28146" xr:uid="{00000000-0005-0000-0000-0000D56D0000}"/>
    <cellStyle name="Normal 2 3 5 3 5" xfId="28147" xr:uid="{00000000-0005-0000-0000-0000D66D0000}"/>
    <cellStyle name="Normal 2 3 5 3 6" xfId="28148" xr:uid="{00000000-0005-0000-0000-0000D76D0000}"/>
    <cellStyle name="Normal 2 3 5 3 7" xfId="28149" xr:uid="{00000000-0005-0000-0000-0000D86D0000}"/>
    <cellStyle name="Normal 2 3 5 4" xfId="28150" xr:uid="{00000000-0005-0000-0000-0000D96D0000}"/>
    <cellStyle name="Normal 2 3 5 4 2" xfId="28151" xr:uid="{00000000-0005-0000-0000-0000DA6D0000}"/>
    <cellStyle name="Normal 2 3 5 4 2 2" xfId="28152" xr:uid="{00000000-0005-0000-0000-0000DB6D0000}"/>
    <cellStyle name="Normal 2 3 5 4 2 2 2" xfId="28153" xr:uid="{00000000-0005-0000-0000-0000DC6D0000}"/>
    <cellStyle name="Normal 2 3 5 4 2 2 3" xfId="28154" xr:uid="{00000000-0005-0000-0000-0000DD6D0000}"/>
    <cellStyle name="Normal 2 3 5 4 2 3" xfId="28155" xr:uid="{00000000-0005-0000-0000-0000DE6D0000}"/>
    <cellStyle name="Normal 2 3 5 4 2 4" xfId="28156" xr:uid="{00000000-0005-0000-0000-0000DF6D0000}"/>
    <cellStyle name="Normal 2 3 5 4 3" xfId="28157" xr:uid="{00000000-0005-0000-0000-0000E06D0000}"/>
    <cellStyle name="Normal 2 3 5 4 3 2" xfId="28158" xr:uid="{00000000-0005-0000-0000-0000E16D0000}"/>
    <cellStyle name="Normal 2 3 5 4 3 3" xfId="28159" xr:uid="{00000000-0005-0000-0000-0000E26D0000}"/>
    <cellStyle name="Normal 2 3 5 4 4" xfId="28160" xr:uid="{00000000-0005-0000-0000-0000E36D0000}"/>
    <cellStyle name="Normal 2 3 5 4 5" xfId="28161" xr:uid="{00000000-0005-0000-0000-0000E46D0000}"/>
    <cellStyle name="Normal 2 3 5 4 6" xfId="28162" xr:uid="{00000000-0005-0000-0000-0000E56D0000}"/>
    <cellStyle name="Normal 2 3 5 5" xfId="28163" xr:uid="{00000000-0005-0000-0000-0000E66D0000}"/>
    <cellStyle name="Normal 2 3 5 5 2" xfId="28164" xr:uid="{00000000-0005-0000-0000-0000E76D0000}"/>
    <cellStyle name="Normal 2 3 5 5 2 2" xfId="28165" xr:uid="{00000000-0005-0000-0000-0000E86D0000}"/>
    <cellStyle name="Normal 2 3 5 5 2 3" xfId="28166" xr:uid="{00000000-0005-0000-0000-0000E96D0000}"/>
    <cellStyle name="Normal 2 3 5 5 3" xfId="28167" xr:uid="{00000000-0005-0000-0000-0000EA6D0000}"/>
    <cellStyle name="Normal 2 3 5 5 4" xfId="28168" xr:uid="{00000000-0005-0000-0000-0000EB6D0000}"/>
    <cellStyle name="Normal 2 3 5 6" xfId="28169" xr:uid="{00000000-0005-0000-0000-0000EC6D0000}"/>
    <cellStyle name="Normal 2 3 5 6 2" xfId="28170" xr:uid="{00000000-0005-0000-0000-0000ED6D0000}"/>
    <cellStyle name="Normal 2 3 5 6 3" xfId="28171" xr:uid="{00000000-0005-0000-0000-0000EE6D0000}"/>
    <cellStyle name="Normal 2 3 5 7" xfId="28172" xr:uid="{00000000-0005-0000-0000-0000EF6D0000}"/>
    <cellStyle name="Normal 2 3 5 8" xfId="28173" xr:uid="{00000000-0005-0000-0000-0000F06D0000}"/>
    <cellStyle name="Normal 2 3 5 9" xfId="28174" xr:uid="{00000000-0005-0000-0000-0000F16D0000}"/>
    <cellStyle name="Normal 2 3 6" xfId="28175" xr:uid="{00000000-0005-0000-0000-0000F26D0000}"/>
    <cellStyle name="Normal 2 3 6 2" xfId="28176" xr:uid="{00000000-0005-0000-0000-0000F36D0000}"/>
    <cellStyle name="Normal 2 3 6 2 2" xfId="28177" xr:uid="{00000000-0005-0000-0000-0000F46D0000}"/>
    <cellStyle name="Normal 2 3 6 2 2 2" xfId="28178" xr:uid="{00000000-0005-0000-0000-0000F56D0000}"/>
    <cellStyle name="Normal 2 3 6 2 2 2 2" xfId="28179" xr:uid="{00000000-0005-0000-0000-0000F66D0000}"/>
    <cellStyle name="Normal 2 3 6 2 2 2 2 2" xfId="28180" xr:uid="{00000000-0005-0000-0000-0000F76D0000}"/>
    <cellStyle name="Normal 2 3 6 2 2 2 2 2 2" xfId="28181" xr:uid="{00000000-0005-0000-0000-0000F86D0000}"/>
    <cellStyle name="Normal 2 3 6 2 2 2 2 2 3" xfId="28182" xr:uid="{00000000-0005-0000-0000-0000F96D0000}"/>
    <cellStyle name="Normal 2 3 6 2 2 2 2 3" xfId="28183" xr:uid="{00000000-0005-0000-0000-0000FA6D0000}"/>
    <cellStyle name="Normal 2 3 6 2 2 2 2 4" xfId="28184" xr:uid="{00000000-0005-0000-0000-0000FB6D0000}"/>
    <cellStyle name="Normal 2 3 6 2 2 2 3" xfId="28185" xr:uid="{00000000-0005-0000-0000-0000FC6D0000}"/>
    <cellStyle name="Normal 2 3 6 2 2 2 3 2" xfId="28186" xr:uid="{00000000-0005-0000-0000-0000FD6D0000}"/>
    <cellStyle name="Normal 2 3 6 2 2 2 3 3" xfId="28187" xr:uid="{00000000-0005-0000-0000-0000FE6D0000}"/>
    <cellStyle name="Normal 2 3 6 2 2 2 4" xfId="28188" xr:uid="{00000000-0005-0000-0000-0000FF6D0000}"/>
    <cellStyle name="Normal 2 3 6 2 2 2 5" xfId="28189" xr:uid="{00000000-0005-0000-0000-0000006E0000}"/>
    <cellStyle name="Normal 2 3 6 2 2 2 6" xfId="28190" xr:uid="{00000000-0005-0000-0000-0000016E0000}"/>
    <cellStyle name="Normal 2 3 6 2 2 3" xfId="28191" xr:uid="{00000000-0005-0000-0000-0000026E0000}"/>
    <cellStyle name="Normal 2 3 6 2 2 3 2" xfId="28192" xr:uid="{00000000-0005-0000-0000-0000036E0000}"/>
    <cellStyle name="Normal 2 3 6 2 2 3 2 2" xfId="28193" xr:uid="{00000000-0005-0000-0000-0000046E0000}"/>
    <cellStyle name="Normal 2 3 6 2 2 3 2 3" xfId="28194" xr:uid="{00000000-0005-0000-0000-0000056E0000}"/>
    <cellStyle name="Normal 2 3 6 2 2 3 3" xfId="28195" xr:uid="{00000000-0005-0000-0000-0000066E0000}"/>
    <cellStyle name="Normal 2 3 6 2 2 3 4" xfId="28196" xr:uid="{00000000-0005-0000-0000-0000076E0000}"/>
    <cellStyle name="Normal 2 3 6 2 2 4" xfId="28197" xr:uid="{00000000-0005-0000-0000-0000086E0000}"/>
    <cellStyle name="Normal 2 3 6 2 2 4 2" xfId="28198" xr:uid="{00000000-0005-0000-0000-0000096E0000}"/>
    <cellStyle name="Normal 2 3 6 2 2 4 3" xfId="28199" xr:uid="{00000000-0005-0000-0000-00000A6E0000}"/>
    <cellStyle name="Normal 2 3 6 2 2 5" xfId="28200" xr:uid="{00000000-0005-0000-0000-00000B6E0000}"/>
    <cellStyle name="Normal 2 3 6 2 2 6" xfId="28201" xr:uid="{00000000-0005-0000-0000-00000C6E0000}"/>
    <cellStyle name="Normal 2 3 6 2 2 7" xfId="28202" xr:uid="{00000000-0005-0000-0000-00000D6E0000}"/>
    <cellStyle name="Normal 2 3 6 2 3" xfId="28203" xr:uid="{00000000-0005-0000-0000-00000E6E0000}"/>
    <cellStyle name="Normal 2 3 6 2 3 2" xfId="28204" xr:uid="{00000000-0005-0000-0000-00000F6E0000}"/>
    <cellStyle name="Normal 2 3 6 2 3 2 2" xfId="28205" xr:uid="{00000000-0005-0000-0000-0000106E0000}"/>
    <cellStyle name="Normal 2 3 6 2 3 2 2 2" xfId="28206" xr:uid="{00000000-0005-0000-0000-0000116E0000}"/>
    <cellStyle name="Normal 2 3 6 2 3 2 2 3" xfId="28207" xr:uid="{00000000-0005-0000-0000-0000126E0000}"/>
    <cellStyle name="Normal 2 3 6 2 3 2 3" xfId="28208" xr:uid="{00000000-0005-0000-0000-0000136E0000}"/>
    <cellStyle name="Normal 2 3 6 2 3 2 4" xfId="28209" xr:uid="{00000000-0005-0000-0000-0000146E0000}"/>
    <cellStyle name="Normal 2 3 6 2 3 3" xfId="28210" xr:uid="{00000000-0005-0000-0000-0000156E0000}"/>
    <cellStyle name="Normal 2 3 6 2 3 3 2" xfId="28211" xr:uid="{00000000-0005-0000-0000-0000166E0000}"/>
    <cellStyle name="Normal 2 3 6 2 3 3 3" xfId="28212" xr:uid="{00000000-0005-0000-0000-0000176E0000}"/>
    <cellStyle name="Normal 2 3 6 2 3 4" xfId="28213" xr:uid="{00000000-0005-0000-0000-0000186E0000}"/>
    <cellStyle name="Normal 2 3 6 2 3 5" xfId="28214" xr:uid="{00000000-0005-0000-0000-0000196E0000}"/>
    <cellStyle name="Normal 2 3 6 2 3 6" xfId="28215" xr:uid="{00000000-0005-0000-0000-00001A6E0000}"/>
    <cellStyle name="Normal 2 3 6 2 4" xfId="28216" xr:uid="{00000000-0005-0000-0000-00001B6E0000}"/>
    <cellStyle name="Normal 2 3 6 2 4 2" xfId="28217" xr:uid="{00000000-0005-0000-0000-00001C6E0000}"/>
    <cellStyle name="Normal 2 3 6 2 4 2 2" xfId="28218" xr:uid="{00000000-0005-0000-0000-00001D6E0000}"/>
    <cellStyle name="Normal 2 3 6 2 4 2 3" xfId="28219" xr:uid="{00000000-0005-0000-0000-00001E6E0000}"/>
    <cellStyle name="Normal 2 3 6 2 4 3" xfId="28220" xr:uid="{00000000-0005-0000-0000-00001F6E0000}"/>
    <cellStyle name="Normal 2 3 6 2 4 4" xfId="28221" xr:uid="{00000000-0005-0000-0000-0000206E0000}"/>
    <cellStyle name="Normal 2 3 6 2 5" xfId="28222" xr:uid="{00000000-0005-0000-0000-0000216E0000}"/>
    <cellStyle name="Normal 2 3 6 2 5 2" xfId="28223" xr:uid="{00000000-0005-0000-0000-0000226E0000}"/>
    <cellStyle name="Normal 2 3 6 2 5 3" xfId="28224" xr:uid="{00000000-0005-0000-0000-0000236E0000}"/>
    <cellStyle name="Normal 2 3 6 2 6" xfId="28225" xr:uid="{00000000-0005-0000-0000-0000246E0000}"/>
    <cellStyle name="Normal 2 3 6 2 7" xfId="28226" xr:uid="{00000000-0005-0000-0000-0000256E0000}"/>
    <cellStyle name="Normal 2 3 6 2 8" xfId="28227" xr:uid="{00000000-0005-0000-0000-0000266E0000}"/>
    <cellStyle name="Normal 2 3 6 3" xfId="28228" xr:uid="{00000000-0005-0000-0000-0000276E0000}"/>
    <cellStyle name="Normal 2 3 6 3 2" xfId="28229" xr:uid="{00000000-0005-0000-0000-0000286E0000}"/>
    <cellStyle name="Normal 2 3 6 3 2 2" xfId="28230" xr:uid="{00000000-0005-0000-0000-0000296E0000}"/>
    <cellStyle name="Normal 2 3 6 3 2 2 2" xfId="28231" xr:uid="{00000000-0005-0000-0000-00002A6E0000}"/>
    <cellStyle name="Normal 2 3 6 3 2 2 2 2" xfId="28232" xr:uid="{00000000-0005-0000-0000-00002B6E0000}"/>
    <cellStyle name="Normal 2 3 6 3 2 2 2 3" xfId="28233" xr:uid="{00000000-0005-0000-0000-00002C6E0000}"/>
    <cellStyle name="Normal 2 3 6 3 2 2 3" xfId="28234" xr:uid="{00000000-0005-0000-0000-00002D6E0000}"/>
    <cellStyle name="Normal 2 3 6 3 2 2 4" xfId="28235" xr:uid="{00000000-0005-0000-0000-00002E6E0000}"/>
    <cellStyle name="Normal 2 3 6 3 2 3" xfId="28236" xr:uid="{00000000-0005-0000-0000-00002F6E0000}"/>
    <cellStyle name="Normal 2 3 6 3 2 3 2" xfId="28237" xr:uid="{00000000-0005-0000-0000-0000306E0000}"/>
    <cellStyle name="Normal 2 3 6 3 2 3 3" xfId="28238" xr:uid="{00000000-0005-0000-0000-0000316E0000}"/>
    <cellStyle name="Normal 2 3 6 3 2 4" xfId="28239" xr:uid="{00000000-0005-0000-0000-0000326E0000}"/>
    <cellStyle name="Normal 2 3 6 3 2 5" xfId="28240" xr:uid="{00000000-0005-0000-0000-0000336E0000}"/>
    <cellStyle name="Normal 2 3 6 3 2 6" xfId="28241" xr:uid="{00000000-0005-0000-0000-0000346E0000}"/>
    <cellStyle name="Normal 2 3 6 3 3" xfId="28242" xr:uid="{00000000-0005-0000-0000-0000356E0000}"/>
    <cellStyle name="Normal 2 3 6 3 3 2" xfId="28243" xr:uid="{00000000-0005-0000-0000-0000366E0000}"/>
    <cellStyle name="Normal 2 3 6 3 3 2 2" xfId="28244" xr:uid="{00000000-0005-0000-0000-0000376E0000}"/>
    <cellStyle name="Normal 2 3 6 3 3 2 3" xfId="28245" xr:uid="{00000000-0005-0000-0000-0000386E0000}"/>
    <cellStyle name="Normal 2 3 6 3 3 3" xfId="28246" xr:uid="{00000000-0005-0000-0000-0000396E0000}"/>
    <cellStyle name="Normal 2 3 6 3 3 4" xfId="28247" xr:uid="{00000000-0005-0000-0000-00003A6E0000}"/>
    <cellStyle name="Normal 2 3 6 3 4" xfId="28248" xr:uid="{00000000-0005-0000-0000-00003B6E0000}"/>
    <cellStyle name="Normal 2 3 6 3 4 2" xfId="28249" xr:uid="{00000000-0005-0000-0000-00003C6E0000}"/>
    <cellStyle name="Normal 2 3 6 3 4 3" xfId="28250" xr:uid="{00000000-0005-0000-0000-00003D6E0000}"/>
    <cellStyle name="Normal 2 3 6 3 5" xfId="28251" xr:uid="{00000000-0005-0000-0000-00003E6E0000}"/>
    <cellStyle name="Normal 2 3 6 3 6" xfId="28252" xr:uid="{00000000-0005-0000-0000-00003F6E0000}"/>
    <cellStyle name="Normal 2 3 6 3 7" xfId="28253" xr:uid="{00000000-0005-0000-0000-0000406E0000}"/>
    <cellStyle name="Normal 2 3 6 4" xfId="28254" xr:uid="{00000000-0005-0000-0000-0000416E0000}"/>
    <cellStyle name="Normal 2 3 6 4 2" xfId="28255" xr:uid="{00000000-0005-0000-0000-0000426E0000}"/>
    <cellStyle name="Normal 2 3 6 4 2 2" xfId="28256" xr:uid="{00000000-0005-0000-0000-0000436E0000}"/>
    <cellStyle name="Normal 2 3 6 4 2 2 2" xfId="28257" xr:uid="{00000000-0005-0000-0000-0000446E0000}"/>
    <cellStyle name="Normal 2 3 6 4 2 2 3" xfId="28258" xr:uid="{00000000-0005-0000-0000-0000456E0000}"/>
    <cellStyle name="Normal 2 3 6 4 2 3" xfId="28259" xr:uid="{00000000-0005-0000-0000-0000466E0000}"/>
    <cellStyle name="Normal 2 3 6 4 2 4" xfId="28260" xr:uid="{00000000-0005-0000-0000-0000476E0000}"/>
    <cellStyle name="Normal 2 3 6 4 3" xfId="28261" xr:uid="{00000000-0005-0000-0000-0000486E0000}"/>
    <cellStyle name="Normal 2 3 6 4 3 2" xfId="28262" xr:uid="{00000000-0005-0000-0000-0000496E0000}"/>
    <cellStyle name="Normal 2 3 6 4 3 3" xfId="28263" xr:uid="{00000000-0005-0000-0000-00004A6E0000}"/>
    <cellStyle name="Normal 2 3 6 4 4" xfId="28264" xr:uid="{00000000-0005-0000-0000-00004B6E0000}"/>
    <cellStyle name="Normal 2 3 6 4 5" xfId="28265" xr:uid="{00000000-0005-0000-0000-00004C6E0000}"/>
    <cellStyle name="Normal 2 3 6 4 6" xfId="28266" xr:uid="{00000000-0005-0000-0000-00004D6E0000}"/>
    <cellStyle name="Normal 2 3 6 5" xfId="28267" xr:uid="{00000000-0005-0000-0000-00004E6E0000}"/>
    <cellStyle name="Normal 2 3 6 5 2" xfId="28268" xr:uid="{00000000-0005-0000-0000-00004F6E0000}"/>
    <cellStyle name="Normal 2 3 6 5 2 2" xfId="28269" xr:uid="{00000000-0005-0000-0000-0000506E0000}"/>
    <cellStyle name="Normal 2 3 6 5 2 3" xfId="28270" xr:uid="{00000000-0005-0000-0000-0000516E0000}"/>
    <cellStyle name="Normal 2 3 6 5 3" xfId="28271" xr:uid="{00000000-0005-0000-0000-0000526E0000}"/>
    <cellStyle name="Normal 2 3 6 5 4" xfId="28272" xr:uid="{00000000-0005-0000-0000-0000536E0000}"/>
    <cellStyle name="Normal 2 3 6 6" xfId="28273" xr:uid="{00000000-0005-0000-0000-0000546E0000}"/>
    <cellStyle name="Normal 2 3 6 6 2" xfId="28274" xr:uid="{00000000-0005-0000-0000-0000556E0000}"/>
    <cellStyle name="Normal 2 3 6 6 3" xfId="28275" xr:uid="{00000000-0005-0000-0000-0000566E0000}"/>
    <cellStyle name="Normal 2 3 6 7" xfId="28276" xr:uid="{00000000-0005-0000-0000-0000576E0000}"/>
    <cellStyle name="Normal 2 3 6 8" xfId="28277" xr:uid="{00000000-0005-0000-0000-0000586E0000}"/>
    <cellStyle name="Normal 2 3 6 9" xfId="28278" xr:uid="{00000000-0005-0000-0000-0000596E0000}"/>
    <cellStyle name="Normal 2 3 7" xfId="28279" xr:uid="{00000000-0005-0000-0000-00005A6E0000}"/>
    <cellStyle name="Normal 2 3 7 2" xfId="28280" xr:uid="{00000000-0005-0000-0000-00005B6E0000}"/>
    <cellStyle name="Normal 2 3 7 2 2" xfId="28281" xr:uid="{00000000-0005-0000-0000-00005C6E0000}"/>
    <cellStyle name="Normal 2 3 7 2 2 2" xfId="28282" xr:uid="{00000000-0005-0000-0000-00005D6E0000}"/>
    <cellStyle name="Normal 2 3 7 2 2 2 2" xfId="28283" xr:uid="{00000000-0005-0000-0000-00005E6E0000}"/>
    <cellStyle name="Normal 2 3 7 2 2 2 2 2" xfId="28284" xr:uid="{00000000-0005-0000-0000-00005F6E0000}"/>
    <cellStyle name="Normal 2 3 7 2 2 2 2 3" xfId="28285" xr:uid="{00000000-0005-0000-0000-0000606E0000}"/>
    <cellStyle name="Normal 2 3 7 2 2 2 3" xfId="28286" xr:uid="{00000000-0005-0000-0000-0000616E0000}"/>
    <cellStyle name="Normal 2 3 7 2 2 2 4" xfId="28287" xr:uid="{00000000-0005-0000-0000-0000626E0000}"/>
    <cellStyle name="Normal 2 3 7 2 2 3" xfId="28288" xr:uid="{00000000-0005-0000-0000-0000636E0000}"/>
    <cellStyle name="Normal 2 3 7 2 2 3 2" xfId="28289" xr:uid="{00000000-0005-0000-0000-0000646E0000}"/>
    <cellStyle name="Normal 2 3 7 2 2 3 3" xfId="28290" xr:uid="{00000000-0005-0000-0000-0000656E0000}"/>
    <cellStyle name="Normal 2 3 7 2 2 4" xfId="28291" xr:uid="{00000000-0005-0000-0000-0000666E0000}"/>
    <cellStyle name="Normal 2 3 7 2 2 5" xfId="28292" xr:uid="{00000000-0005-0000-0000-0000676E0000}"/>
    <cellStyle name="Normal 2 3 7 2 2 6" xfId="28293" xr:uid="{00000000-0005-0000-0000-0000686E0000}"/>
    <cellStyle name="Normal 2 3 7 2 3" xfId="28294" xr:uid="{00000000-0005-0000-0000-0000696E0000}"/>
    <cellStyle name="Normal 2 3 7 2 3 2" xfId="28295" xr:uid="{00000000-0005-0000-0000-00006A6E0000}"/>
    <cellStyle name="Normal 2 3 7 2 3 2 2" xfId="28296" xr:uid="{00000000-0005-0000-0000-00006B6E0000}"/>
    <cellStyle name="Normal 2 3 7 2 3 2 3" xfId="28297" xr:uid="{00000000-0005-0000-0000-00006C6E0000}"/>
    <cellStyle name="Normal 2 3 7 2 3 3" xfId="28298" xr:uid="{00000000-0005-0000-0000-00006D6E0000}"/>
    <cellStyle name="Normal 2 3 7 2 3 4" xfId="28299" xr:uid="{00000000-0005-0000-0000-00006E6E0000}"/>
    <cellStyle name="Normal 2 3 7 2 4" xfId="28300" xr:uid="{00000000-0005-0000-0000-00006F6E0000}"/>
    <cellStyle name="Normal 2 3 7 2 4 2" xfId="28301" xr:uid="{00000000-0005-0000-0000-0000706E0000}"/>
    <cellStyle name="Normal 2 3 7 2 4 3" xfId="28302" xr:uid="{00000000-0005-0000-0000-0000716E0000}"/>
    <cellStyle name="Normal 2 3 7 2 5" xfId="28303" xr:uid="{00000000-0005-0000-0000-0000726E0000}"/>
    <cellStyle name="Normal 2 3 7 2 6" xfId="28304" xr:uid="{00000000-0005-0000-0000-0000736E0000}"/>
    <cellStyle name="Normal 2 3 7 2 7" xfId="28305" xr:uid="{00000000-0005-0000-0000-0000746E0000}"/>
    <cellStyle name="Normal 2 3 7 3" xfId="28306" xr:uid="{00000000-0005-0000-0000-0000756E0000}"/>
    <cellStyle name="Normal 2 3 7 3 2" xfId="28307" xr:uid="{00000000-0005-0000-0000-0000766E0000}"/>
    <cellStyle name="Normal 2 3 7 3 2 2" xfId="28308" xr:uid="{00000000-0005-0000-0000-0000776E0000}"/>
    <cellStyle name="Normal 2 3 7 3 2 2 2" xfId="28309" xr:uid="{00000000-0005-0000-0000-0000786E0000}"/>
    <cellStyle name="Normal 2 3 7 3 2 2 3" xfId="28310" xr:uid="{00000000-0005-0000-0000-0000796E0000}"/>
    <cellStyle name="Normal 2 3 7 3 2 3" xfId="28311" xr:uid="{00000000-0005-0000-0000-00007A6E0000}"/>
    <cellStyle name="Normal 2 3 7 3 2 4" xfId="28312" xr:uid="{00000000-0005-0000-0000-00007B6E0000}"/>
    <cellStyle name="Normal 2 3 7 3 3" xfId="28313" xr:uid="{00000000-0005-0000-0000-00007C6E0000}"/>
    <cellStyle name="Normal 2 3 7 3 3 2" xfId="28314" xr:uid="{00000000-0005-0000-0000-00007D6E0000}"/>
    <cellStyle name="Normal 2 3 7 3 3 3" xfId="28315" xr:uid="{00000000-0005-0000-0000-00007E6E0000}"/>
    <cellStyle name="Normal 2 3 7 3 4" xfId="28316" xr:uid="{00000000-0005-0000-0000-00007F6E0000}"/>
    <cellStyle name="Normal 2 3 7 3 5" xfId="28317" xr:uid="{00000000-0005-0000-0000-0000806E0000}"/>
    <cellStyle name="Normal 2 3 7 3 6" xfId="28318" xr:uid="{00000000-0005-0000-0000-0000816E0000}"/>
    <cellStyle name="Normal 2 3 7 4" xfId="28319" xr:uid="{00000000-0005-0000-0000-0000826E0000}"/>
    <cellStyle name="Normal 2 3 7 4 2" xfId="28320" xr:uid="{00000000-0005-0000-0000-0000836E0000}"/>
    <cellStyle name="Normal 2 3 7 4 2 2" xfId="28321" xr:uid="{00000000-0005-0000-0000-0000846E0000}"/>
    <cellStyle name="Normal 2 3 7 4 2 3" xfId="28322" xr:uid="{00000000-0005-0000-0000-0000856E0000}"/>
    <cellStyle name="Normal 2 3 7 4 3" xfId="28323" xr:uid="{00000000-0005-0000-0000-0000866E0000}"/>
    <cellStyle name="Normal 2 3 7 4 4" xfId="28324" xr:uid="{00000000-0005-0000-0000-0000876E0000}"/>
    <cellStyle name="Normal 2 3 7 5" xfId="28325" xr:uid="{00000000-0005-0000-0000-0000886E0000}"/>
    <cellStyle name="Normal 2 3 7 5 2" xfId="28326" xr:uid="{00000000-0005-0000-0000-0000896E0000}"/>
    <cellStyle name="Normal 2 3 7 5 3" xfId="28327" xr:uid="{00000000-0005-0000-0000-00008A6E0000}"/>
    <cellStyle name="Normal 2 3 7 6" xfId="28328" xr:uid="{00000000-0005-0000-0000-00008B6E0000}"/>
    <cellStyle name="Normal 2 3 7 7" xfId="28329" xr:uid="{00000000-0005-0000-0000-00008C6E0000}"/>
    <cellStyle name="Normal 2 3 7 8" xfId="28330" xr:uid="{00000000-0005-0000-0000-00008D6E0000}"/>
    <cellStyle name="Normal 2 3 8" xfId="28331" xr:uid="{00000000-0005-0000-0000-00008E6E0000}"/>
    <cellStyle name="Normal 2 3 8 2" xfId="28332" xr:uid="{00000000-0005-0000-0000-00008F6E0000}"/>
    <cellStyle name="Normal 2 3 8 2 2" xfId="28333" xr:uid="{00000000-0005-0000-0000-0000906E0000}"/>
    <cellStyle name="Normal 2 3 8 2 2 2" xfId="28334" xr:uid="{00000000-0005-0000-0000-0000916E0000}"/>
    <cellStyle name="Normal 2 3 8 2 2 2 2" xfId="28335" xr:uid="{00000000-0005-0000-0000-0000926E0000}"/>
    <cellStyle name="Normal 2 3 8 2 2 2 2 2" xfId="28336" xr:uid="{00000000-0005-0000-0000-0000936E0000}"/>
    <cellStyle name="Normal 2 3 8 2 2 2 2 3" xfId="28337" xr:uid="{00000000-0005-0000-0000-0000946E0000}"/>
    <cellStyle name="Normal 2 3 8 2 2 2 3" xfId="28338" xr:uid="{00000000-0005-0000-0000-0000956E0000}"/>
    <cellStyle name="Normal 2 3 8 2 2 2 4" xfId="28339" xr:uid="{00000000-0005-0000-0000-0000966E0000}"/>
    <cellStyle name="Normal 2 3 8 2 2 3" xfId="28340" xr:uid="{00000000-0005-0000-0000-0000976E0000}"/>
    <cellStyle name="Normal 2 3 8 2 2 3 2" xfId="28341" xr:uid="{00000000-0005-0000-0000-0000986E0000}"/>
    <cellStyle name="Normal 2 3 8 2 2 3 3" xfId="28342" xr:uid="{00000000-0005-0000-0000-0000996E0000}"/>
    <cellStyle name="Normal 2 3 8 2 2 4" xfId="28343" xr:uid="{00000000-0005-0000-0000-00009A6E0000}"/>
    <cellStyle name="Normal 2 3 8 2 2 5" xfId="28344" xr:uid="{00000000-0005-0000-0000-00009B6E0000}"/>
    <cellStyle name="Normal 2 3 8 2 2 6" xfId="28345" xr:uid="{00000000-0005-0000-0000-00009C6E0000}"/>
    <cellStyle name="Normal 2 3 8 2 3" xfId="28346" xr:uid="{00000000-0005-0000-0000-00009D6E0000}"/>
    <cellStyle name="Normal 2 3 8 2 3 2" xfId="28347" xr:uid="{00000000-0005-0000-0000-00009E6E0000}"/>
    <cellStyle name="Normal 2 3 8 2 3 2 2" xfId="28348" xr:uid="{00000000-0005-0000-0000-00009F6E0000}"/>
    <cellStyle name="Normal 2 3 8 2 3 2 3" xfId="28349" xr:uid="{00000000-0005-0000-0000-0000A06E0000}"/>
    <cellStyle name="Normal 2 3 8 2 3 3" xfId="28350" xr:uid="{00000000-0005-0000-0000-0000A16E0000}"/>
    <cellStyle name="Normal 2 3 8 2 3 4" xfId="28351" xr:uid="{00000000-0005-0000-0000-0000A26E0000}"/>
    <cellStyle name="Normal 2 3 8 2 4" xfId="28352" xr:uid="{00000000-0005-0000-0000-0000A36E0000}"/>
    <cellStyle name="Normal 2 3 8 2 4 2" xfId="28353" xr:uid="{00000000-0005-0000-0000-0000A46E0000}"/>
    <cellStyle name="Normal 2 3 8 2 4 3" xfId="28354" xr:uid="{00000000-0005-0000-0000-0000A56E0000}"/>
    <cellStyle name="Normal 2 3 8 2 5" xfId="28355" xr:uid="{00000000-0005-0000-0000-0000A66E0000}"/>
    <cellStyle name="Normal 2 3 8 2 6" xfId="28356" xr:uid="{00000000-0005-0000-0000-0000A76E0000}"/>
    <cellStyle name="Normal 2 3 8 2 7" xfId="28357" xr:uid="{00000000-0005-0000-0000-0000A86E0000}"/>
    <cellStyle name="Normal 2 3 8 3" xfId="28358" xr:uid="{00000000-0005-0000-0000-0000A96E0000}"/>
    <cellStyle name="Normal 2 3 8 3 2" xfId="28359" xr:uid="{00000000-0005-0000-0000-0000AA6E0000}"/>
    <cellStyle name="Normal 2 3 8 3 2 2" xfId="28360" xr:uid="{00000000-0005-0000-0000-0000AB6E0000}"/>
    <cellStyle name="Normal 2 3 8 3 2 2 2" xfId="28361" xr:uid="{00000000-0005-0000-0000-0000AC6E0000}"/>
    <cellStyle name="Normal 2 3 8 3 2 2 3" xfId="28362" xr:uid="{00000000-0005-0000-0000-0000AD6E0000}"/>
    <cellStyle name="Normal 2 3 8 3 2 3" xfId="28363" xr:uid="{00000000-0005-0000-0000-0000AE6E0000}"/>
    <cellStyle name="Normal 2 3 8 3 2 4" xfId="28364" xr:uid="{00000000-0005-0000-0000-0000AF6E0000}"/>
    <cellStyle name="Normal 2 3 8 3 3" xfId="28365" xr:uid="{00000000-0005-0000-0000-0000B06E0000}"/>
    <cellStyle name="Normal 2 3 8 3 3 2" xfId="28366" xr:uid="{00000000-0005-0000-0000-0000B16E0000}"/>
    <cellStyle name="Normal 2 3 8 3 3 3" xfId="28367" xr:uid="{00000000-0005-0000-0000-0000B26E0000}"/>
    <cellStyle name="Normal 2 3 8 3 4" xfId="28368" xr:uid="{00000000-0005-0000-0000-0000B36E0000}"/>
    <cellStyle name="Normal 2 3 8 3 5" xfId="28369" xr:uid="{00000000-0005-0000-0000-0000B46E0000}"/>
    <cellStyle name="Normal 2 3 8 3 6" xfId="28370" xr:uid="{00000000-0005-0000-0000-0000B56E0000}"/>
    <cellStyle name="Normal 2 3 8 4" xfId="28371" xr:uid="{00000000-0005-0000-0000-0000B66E0000}"/>
    <cellStyle name="Normal 2 3 8 4 2" xfId="28372" xr:uid="{00000000-0005-0000-0000-0000B76E0000}"/>
    <cellStyle name="Normal 2 3 8 4 2 2" xfId="28373" xr:uid="{00000000-0005-0000-0000-0000B86E0000}"/>
    <cellStyle name="Normal 2 3 8 4 2 3" xfId="28374" xr:uid="{00000000-0005-0000-0000-0000B96E0000}"/>
    <cellStyle name="Normal 2 3 8 4 3" xfId="28375" xr:uid="{00000000-0005-0000-0000-0000BA6E0000}"/>
    <cellStyle name="Normal 2 3 8 4 4" xfId="28376" xr:uid="{00000000-0005-0000-0000-0000BB6E0000}"/>
    <cellStyle name="Normal 2 3 8 5" xfId="28377" xr:uid="{00000000-0005-0000-0000-0000BC6E0000}"/>
    <cellStyle name="Normal 2 3 8 5 2" xfId="28378" xr:uid="{00000000-0005-0000-0000-0000BD6E0000}"/>
    <cellStyle name="Normal 2 3 8 5 3" xfId="28379" xr:uid="{00000000-0005-0000-0000-0000BE6E0000}"/>
    <cellStyle name="Normal 2 3 8 6" xfId="28380" xr:uid="{00000000-0005-0000-0000-0000BF6E0000}"/>
    <cellStyle name="Normal 2 3 8 7" xfId="28381" xr:uid="{00000000-0005-0000-0000-0000C06E0000}"/>
    <cellStyle name="Normal 2 3 8 8" xfId="28382" xr:uid="{00000000-0005-0000-0000-0000C16E0000}"/>
    <cellStyle name="Normal 2 3 9" xfId="28383" xr:uid="{00000000-0005-0000-0000-0000C26E0000}"/>
    <cellStyle name="Normal 2 4" xfId="28384" xr:uid="{00000000-0005-0000-0000-0000C36E0000}"/>
    <cellStyle name="Normal 2 4 10" xfId="28385" xr:uid="{00000000-0005-0000-0000-0000C46E0000}"/>
    <cellStyle name="Normal 2 4 11" xfId="28386" xr:uid="{00000000-0005-0000-0000-0000C56E0000}"/>
    <cellStyle name="Normal 2 4 2" xfId="28387" xr:uid="{00000000-0005-0000-0000-0000C66E0000}"/>
    <cellStyle name="Normal 2 4 2 10" xfId="28388" xr:uid="{00000000-0005-0000-0000-0000C76E0000}"/>
    <cellStyle name="Normal 2 4 2 2" xfId="28389" xr:uid="{00000000-0005-0000-0000-0000C86E0000}"/>
    <cellStyle name="Normal 2 4 2 2 2" xfId="28390" xr:uid="{00000000-0005-0000-0000-0000C96E0000}"/>
    <cellStyle name="Normal 2 4 2 2 2 2" xfId="28391" xr:uid="{00000000-0005-0000-0000-0000CA6E0000}"/>
    <cellStyle name="Normal 2 4 2 2 2 2 2" xfId="28392" xr:uid="{00000000-0005-0000-0000-0000CB6E0000}"/>
    <cellStyle name="Normal 2 4 2 2 2 2 2 2" xfId="28393" xr:uid="{00000000-0005-0000-0000-0000CC6E0000}"/>
    <cellStyle name="Normal 2 4 2 2 2 2 2 2 2" xfId="28394" xr:uid="{00000000-0005-0000-0000-0000CD6E0000}"/>
    <cellStyle name="Normal 2 4 2 2 2 2 2 2 2 2" xfId="28395" xr:uid="{00000000-0005-0000-0000-0000CE6E0000}"/>
    <cellStyle name="Normal 2 4 2 2 2 2 2 2 2 3" xfId="28396" xr:uid="{00000000-0005-0000-0000-0000CF6E0000}"/>
    <cellStyle name="Normal 2 4 2 2 2 2 2 2 3" xfId="28397" xr:uid="{00000000-0005-0000-0000-0000D06E0000}"/>
    <cellStyle name="Normal 2 4 2 2 2 2 2 2 4" xfId="28398" xr:uid="{00000000-0005-0000-0000-0000D16E0000}"/>
    <cellStyle name="Normal 2 4 2 2 2 2 2 3" xfId="28399" xr:uid="{00000000-0005-0000-0000-0000D26E0000}"/>
    <cellStyle name="Normal 2 4 2 2 2 2 2 3 2" xfId="28400" xr:uid="{00000000-0005-0000-0000-0000D36E0000}"/>
    <cellStyle name="Normal 2 4 2 2 2 2 2 3 3" xfId="28401" xr:uid="{00000000-0005-0000-0000-0000D46E0000}"/>
    <cellStyle name="Normal 2 4 2 2 2 2 2 4" xfId="28402" xr:uid="{00000000-0005-0000-0000-0000D56E0000}"/>
    <cellStyle name="Normal 2 4 2 2 2 2 2 5" xfId="28403" xr:uid="{00000000-0005-0000-0000-0000D66E0000}"/>
    <cellStyle name="Normal 2 4 2 2 2 2 2 6" xfId="28404" xr:uid="{00000000-0005-0000-0000-0000D76E0000}"/>
    <cellStyle name="Normal 2 4 2 2 2 2 3" xfId="28405" xr:uid="{00000000-0005-0000-0000-0000D86E0000}"/>
    <cellStyle name="Normal 2 4 2 2 2 2 3 2" xfId="28406" xr:uid="{00000000-0005-0000-0000-0000D96E0000}"/>
    <cellStyle name="Normal 2 4 2 2 2 2 3 2 2" xfId="28407" xr:uid="{00000000-0005-0000-0000-0000DA6E0000}"/>
    <cellStyle name="Normal 2 4 2 2 2 2 3 2 3" xfId="28408" xr:uid="{00000000-0005-0000-0000-0000DB6E0000}"/>
    <cellStyle name="Normal 2 4 2 2 2 2 3 3" xfId="28409" xr:uid="{00000000-0005-0000-0000-0000DC6E0000}"/>
    <cellStyle name="Normal 2 4 2 2 2 2 3 4" xfId="28410" xr:uid="{00000000-0005-0000-0000-0000DD6E0000}"/>
    <cellStyle name="Normal 2 4 2 2 2 2 4" xfId="28411" xr:uid="{00000000-0005-0000-0000-0000DE6E0000}"/>
    <cellStyle name="Normal 2 4 2 2 2 2 4 2" xfId="28412" xr:uid="{00000000-0005-0000-0000-0000DF6E0000}"/>
    <cellStyle name="Normal 2 4 2 2 2 2 4 3" xfId="28413" xr:uid="{00000000-0005-0000-0000-0000E06E0000}"/>
    <cellStyle name="Normal 2 4 2 2 2 2 5" xfId="28414" xr:uid="{00000000-0005-0000-0000-0000E16E0000}"/>
    <cellStyle name="Normal 2 4 2 2 2 2 6" xfId="28415" xr:uid="{00000000-0005-0000-0000-0000E26E0000}"/>
    <cellStyle name="Normal 2 4 2 2 2 2 7" xfId="28416" xr:uid="{00000000-0005-0000-0000-0000E36E0000}"/>
    <cellStyle name="Normal 2 4 2 2 2 3" xfId="28417" xr:uid="{00000000-0005-0000-0000-0000E46E0000}"/>
    <cellStyle name="Normal 2 4 2 2 2 3 2" xfId="28418" xr:uid="{00000000-0005-0000-0000-0000E56E0000}"/>
    <cellStyle name="Normal 2 4 2 2 2 3 2 2" xfId="28419" xr:uid="{00000000-0005-0000-0000-0000E66E0000}"/>
    <cellStyle name="Normal 2 4 2 2 2 3 2 2 2" xfId="28420" xr:uid="{00000000-0005-0000-0000-0000E76E0000}"/>
    <cellStyle name="Normal 2 4 2 2 2 3 2 2 3" xfId="28421" xr:uid="{00000000-0005-0000-0000-0000E86E0000}"/>
    <cellStyle name="Normal 2 4 2 2 2 3 2 3" xfId="28422" xr:uid="{00000000-0005-0000-0000-0000E96E0000}"/>
    <cellStyle name="Normal 2 4 2 2 2 3 2 4" xfId="28423" xr:uid="{00000000-0005-0000-0000-0000EA6E0000}"/>
    <cellStyle name="Normal 2 4 2 2 2 3 3" xfId="28424" xr:uid="{00000000-0005-0000-0000-0000EB6E0000}"/>
    <cellStyle name="Normal 2 4 2 2 2 3 3 2" xfId="28425" xr:uid="{00000000-0005-0000-0000-0000EC6E0000}"/>
    <cellStyle name="Normal 2 4 2 2 2 3 3 3" xfId="28426" xr:uid="{00000000-0005-0000-0000-0000ED6E0000}"/>
    <cellStyle name="Normal 2 4 2 2 2 3 4" xfId="28427" xr:uid="{00000000-0005-0000-0000-0000EE6E0000}"/>
    <cellStyle name="Normal 2 4 2 2 2 3 5" xfId="28428" xr:uid="{00000000-0005-0000-0000-0000EF6E0000}"/>
    <cellStyle name="Normal 2 4 2 2 2 3 6" xfId="28429" xr:uid="{00000000-0005-0000-0000-0000F06E0000}"/>
    <cellStyle name="Normal 2 4 2 2 2 4" xfId="28430" xr:uid="{00000000-0005-0000-0000-0000F16E0000}"/>
    <cellStyle name="Normal 2 4 2 2 2 4 2" xfId="28431" xr:uid="{00000000-0005-0000-0000-0000F26E0000}"/>
    <cellStyle name="Normal 2 4 2 2 2 4 2 2" xfId="28432" xr:uid="{00000000-0005-0000-0000-0000F36E0000}"/>
    <cellStyle name="Normal 2 4 2 2 2 4 2 3" xfId="28433" xr:uid="{00000000-0005-0000-0000-0000F46E0000}"/>
    <cellStyle name="Normal 2 4 2 2 2 4 3" xfId="28434" xr:uid="{00000000-0005-0000-0000-0000F56E0000}"/>
    <cellStyle name="Normal 2 4 2 2 2 4 4" xfId="28435" xr:uid="{00000000-0005-0000-0000-0000F66E0000}"/>
    <cellStyle name="Normal 2 4 2 2 2 5" xfId="28436" xr:uid="{00000000-0005-0000-0000-0000F76E0000}"/>
    <cellStyle name="Normal 2 4 2 2 2 5 2" xfId="28437" xr:uid="{00000000-0005-0000-0000-0000F86E0000}"/>
    <cellStyle name="Normal 2 4 2 2 2 5 3" xfId="28438" xr:uid="{00000000-0005-0000-0000-0000F96E0000}"/>
    <cellStyle name="Normal 2 4 2 2 2 6" xfId="28439" xr:uid="{00000000-0005-0000-0000-0000FA6E0000}"/>
    <cellStyle name="Normal 2 4 2 2 2 7" xfId="28440" xr:uid="{00000000-0005-0000-0000-0000FB6E0000}"/>
    <cellStyle name="Normal 2 4 2 2 2 8" xfId="28441" xr:uid="{00000000-0005-0000-0000-0000FC6E0000}"/>
    <cellStyle name="Normal 2 4 2 2 3" xfId="28442" xr:uid="{00000000-0005-0000-0000-0000FD6E0000}"/>
    <cellStyle name="Normal 2 4 2 2 3 2" xfId="28443" xr:uid="{00000000-0005-0000-0000-0000FE6E0000}"/>
    <cellStyle name="Normal 2 4 2 2 3 2 2" xfId="28444" xr:uid="{00000000-0005-0000-0000-0000FF6E0000}"/>
    <cellStyle name="Normal 2 4 2 2 3 2 2 2" xfId="28445" xr:uid="{00000000-0005-0000-0000-0000006F0000}"/>
    <cellStyle name="Normal 2 4 2 2 3 2 2 2 2" xfId="28446" xr:uid="{00000000-0005-0000-0000-0000016F0000}"/>
    <cellStyle name="Normal 2 4 2 2 3 2 2 2 3" xfId="28447" xr:uid="{00000000-0005-0000-0000-0000026F0000}"/>
    <cellStyle name="Normal 2 4 2 2 3 2 2 3" xfId="28448" xr:uid="{00000000-0005-0000-0000-0000036F0000}"/>
    <cellStyle name="Normal 2 4 2 2 3 2 2 4" xfId="28449" xr:uid="{00000000-0005-0000-0000-0000046F0000}"/>
    <cellStyle name="Normal 2 4 2 2 3 2 3" xfId="28450" xr:uid="{00000000-0005-0000-0000-0000056F0000}"/>
    <cellStyle name="Normal 2 4 2 2 3 2 3 2" xfId="28451" xr:uid="{00000000-0005-0000-0000-0000066F0000}"/>
    <cellStyle name="Normal 2 4 2 2 3 2 3 3" xfId="28452" xr:uid="{00000000-0005-0000-0000-0000076F0000}"/>
    <cellStyle name="Normal 2 4 2 2 3 2 4" xfId="28453" xr:uid="{00000000-0005-0000-0000-0000086F0000}"/>
    <cellStyle name="Normal 2 4 2 2 3 2 5" xfId="28454" xr:uid="{00000000-0005-0000-0000-0000096F0000}"/>
    <cellStyle name="Normal 2 4 2 2 3 2 6" xfId="28455" xr:uid="{00000000-0005-0000-0000-00000A6F0000}"/>
    <cellStyle name="Normal 2 4 2 2 3 3" xfId="28456" xr:uid="{00000000-0005-0000-0000-00000B6F0000}"/>
    <cellStyle name="Normal 2 4 2 2 3 3 2" xfId="28457" xr:uid="{00000000-0005-0000-0000-00000C6F0000}"/>
    <cellStyle name="Normal 2 4 2 2 3 3 2 2" xfId="28458" xr:uid="{00000000-0005-0000-0000-00000D6F0000}"/>
    <cellStyle name="Normal 2 4 2 2 3 3 2 3" xfId="28459" xr:uid="{00000000-0005-0000-0000-00000E6F0000}"/>
    <cellStyle name="Normal 2 4 2 2 3 3 3" xfId="28460" xr:uid="{00000000-0005-0000-0000-00000F6F0000}"/>
    <cellStyle name="Normal 2 4 2 2 3 3 4" xfId="28461" xr:uid="{00000000-0005-0000-0000-0000106F0000}"/>
    <cellStyle name="Normal 2 4 2 2 3 4" xfId="28462" xr:uid="{00000000-0005-0000-0000-0000116F0000}"/>
    <cellStyle name="Normal 2 4 2 2 3 4 2" xfId="28463" xr:uid="{00000000-0005-0000-0000-0000126F0000}"/>
    <cellStyle name="Normal 2 4 2 2 3 4 3" xfId="28464" xr:uid="{00000000-0005-0000-0000-0000136F0000}"/>
    <cellStyle name="Normal 2 4 2 2 3 5" xfId="28465" xr:uid="{00000000-0005-0000-0000-0000146F0000}"/>
    <cellStyle name="Normal 2 4 2 2 3 6" xfId="28466" xr:uid="{00000000-0005-0000-0000-0000156F0000}"/>
    <cellStyle name="Normal 2 4 2 2 3 7" xfId="28467" xr:uid="{00000000-0005-0000-0000-0000166F0000}"/>
    <cellStyle name="Normal 2 4 2 2 4" xfId="28468" xr:uid="{00000000-0005-0000-0000-0000176F0000}"/>
    <cellStyle name="Normal 2 4 2 2 4 2" xfId="28469" xr:uid="{00000000-0005-0000-0000-0000186F0000}"/>
    <cellStyle name="Normal 2 4 2 2 4 2 2" xfId="28470" xr:uid="{00000000-0005-0000-0000-0000196F0000}"/>
    <cellStyle name="Normal 2 4 2 2 4 2 2 2" xfId="28471" xr:uid="{00000000-0005-0000-0000-00001A6F0000}"/>
    <cellStyle name="Normal 2 4 2 2 4 2 2 3" xfId="28472" xr:uid="{00000000-0005-0000-0000-00001B6F0000}"/>
    <cellStyle name="Normal 2 4 2 2 4 2 3" xfId="28473" xr:uid="{00000000-0005-0000-0000-00001C6F0000}"/>
    <cellStyle name="Normal 2 4 2 2 4 2 4" xfId="28474" xr:uid="{00000000-0005-0000-0000-00001D6F0000}"/>
    <cellStyle name="Normal 2 4 2 2 4 3" xfId="28475" xr:uid="{00000000-0005-0000-0000-00001E6F0000}"/>
    <cellStyle name="Normal 2 4 2 2 4 3 2" xfId="28476" xr:uid="{00000000-0005-0000-0000-00001F6F0000}"/>
    <cellStyle name="Normal 2 4 2 2 4 3 3" xfId="28477" xr:uid="{00000000-0005-0000-0000-0000206F0000}"/>
    <cellStyle name="Normal 2 4 2 2 4 4" xfId="28478" xr:uid="{00000000-0005-0000-0000-0000216F0000}"/>
    <cellStyle name="Normal 2 4 2 2 4 5" xfId="28479" xr:uid="{00000000-0005-0000-0000-0000226F0000}"/>
    <cellStyle name="Normal 2 4 2 2 4 6" xfId="28480" xr:uid="{00000000-0005-0000-0000-0000236F0000}"/>
    <cellStyle name="Normal 2 4 2 2 5" xfId="28481" xr:uid="{00000000-0005-0000-0000-0000246F0000}"/>
    <cellStyle name="Normal 2 4 2 2 5 2" xfId="28482" xr:uid="{00000000-0005-0000-0000-0000256F0000}"/>
    <cellStyle name="Normal 2 4 2 2 5 2 2" xfId="28483" xr:uid="{00000000-0005-0000-0000-0000266F0000}"/>
    <cellStyle name="Normal 2 4 2 2 5 2 3" xfId="28484" xr:uid="{00000000-0005-0000-0000-0000276F0000}"/>
    <cellStyle name="Normal 2 4 2 2 5 3" xfId="28485" xr:uid="{00000000-0005-0000-0000-0000286F0000}"/>
    <cellStyle name="Normal 2 4 2 2 5 4" xfId="28486" xr:uid="{00000000-0005-0000-0000-0000296F0000}"/>
    <cellStyle name="Normal 2 4 2 2 6" xfId="28487" xr:uid="{00000000-0005-0000-0000-00002A6F0000}"/>
    <cellStyle name="Normal 2 4 2 2 6 2" xfId="28488" xr:uid="{00000000-0005-0000-0000-00002B6F0000}"/>
    <cellStyle name="Normal 2 4 2 2 6 3" xfId="28489" xr:uid="{00000000-0005-0000-0000-00002C6F0000}"/>
    <cellStyle name="Normal 2 4 2 2 7" xfId="28490" xr:uid="{00000000-0005-0000-0000-00002D6F0000}"/>
    <cellStyle name="Normal 2 4 2 2 8" xfId="28491" xr:uid="{00000000-0005-0000-0000-00002E6F0000}"/>
    <cellStyle name="Normal 2 4 2 2 9" xfId="28492" xr:uid="{00000000-0005-0000-0000-00002F6F0000}"/>
    <cellStyle name="Normal 2 4 2 3" xfId="28493" xr:uid="{00000000-0005-0000-0000-0000306F0000}"/>
    <cellStyle name="Normal 2 4 2 3 2" xfId="28494" xr:uid="{00000000-0005-0000-0000-0000316F0000}"/>
    <cellStyle name="Normal 2 4 2 3 2 2" xfId="28495" xr:uid="{00000000-0005-0000-0000-0000326F0000}"/>
    <cellStyle name="Normal 2 4 2 3 2 2 2" xfId="28496" xr:uid="{00000000-0005-0000-0000-0000336F0000}"/>
    <cellStyle name="Normal 2 4 2 3 2 2 2 2" xfId="28497" xr:uid="{00000000-0005-0000-0000-0000346F0000}"/>
    <cellStyle name="Normal 2 4 2 3 2 2 2 2 2" xfId="28498" xr:uid="{00000000-0005-0000-0000-0000356F0000}"/>
    <cellStyle name="Normal 2 4 2 3 2 2 2 2 3" xfId="28499" xr:uid="{00000000-0005-0000-0000-0000366F0000}"/>
    <cellStyle name="Normal 2 4 2 3 2 2 2 3" xfId="28500" xr:uid="{00000000-0005-0000-0000-0000376F0000}"/>
    <cellStyle name="Normal 2 4 2 3 2 2 2 4" xfId="28501" xr:uid="{00000000-0005-0000-0000-0000386F0000}"/>
    <cellStyle name="Normal 2 4 2 3 2 2 3" xfId="28502" xr:uid="{00000000-0005-0000-0000-0000396F0000}"/>
    <cellStyle name="Normal 2 4 2 3 2 2 3 2" xfId="28503" xr:uid="{00000000-0005-0000-0000-00003A6F0000}"/>
    <cellStyle name="Normal 2 4 2 3 2 2 3 3" xfId="28504" xr:uid="{00000000-0005-0000-0000-00003B6F0000}"/>
    <cellStyle name="Normal 2 4 2 3 2 2 4" xfId="28505" xr:uid="{00000000-0005-0000-0000-00003C6F0000}"/>
    <cellStyle name="Normal 2 4 2 3 2 2 5" xfId="28506" xr:uid="{00000000-0005-0000-0000-00003D6F0000}"/>
    <cellStyle name="Normal 2 4 2 3 2 2 6" xfId="28507" xr:uid="{00000000-0005-0000-0000-00003E6F0000}"/>
    <cellStyle name="Normal 2 4 2 3 2 3" xfId="28508" xr:uid="{00000000-0005-0000-0000-00003F6F0000}"/>
    <cellStyle name="Normal 2 4 2 3 2 3 2" xfId="28509" xr:uid="{00000000-0005-0000-0000-0000406F0000}"/>
    <cellStyle name="Normal 2 4 2 3 2 3 2 2" xfId="28510" xr:uid="{00000000-0005-0000-0000-0000416F0000}"/>
    <cellStyle name="Normal 2 4 2 3 2 3 2 3" xfId="28511" xr:uid="{00000000-0005-0000-0000-0000426F0000}"/>
    <cellStyle name="Normal 2 4 2 3 2 3 3" xfId="28512" xr:uid="{00000000-0005-0000-0000-0000436F0000}"/>
    <cellStyle name="Normal 2 4 2 3 2 3 4" xfId="28513" xr:uid="{00000000-0005-0000-0000-0000446F0000}"/>
    <cellStyle name="Normal 2 4 2 3 2 4" xfId="28514" xr:uid="{00000000-0005-0000-0000-0000456F0000}"/>
    <cellStyle name="Normal 2 4 2 3 2 4 2" xfId="28515" xr:uid="{00000000-0005-0000-0000-0000466F0000}"/>
    <cellStyle name="Normal 2 4 2 3 2 4 3" xfId="28516" xr:uid="{00000000-0005-0000-0000-0000476F0000}"/>
    <cellStyle name="Normal 2 4 2 3 2 5" xfId="28517" xr:uid="{00000000-0005-0000-0000-0000486F0000}"/>
    <cellStyle name="Normal 2 4 2 3 2 6" xfId="28518" xr:uid="{00000000-0005-0000-0000-0000496F0000}"/>
    <cellStyle name="Normal 2 4 2 3 2 7" xfId="28519" xr:uid="{00000000-0005-0000-0000-00004A6F0000}"/>
    <cellStyle name="Normal 2 4 2 3 3" xfId="28520" xr:uid="{00000000-0005-0000-0000-00004B6F0000}"/>
    <cellStyle name="Normal 2 4 2 3 3 2" xfId="28521" xr:uid="{00000000-0005-0000-0000-00004C6F0000}"/>
    <cellStyle name="Normal 2 4 2 3 3 2 2" xfId="28522" xr:uid="{00000000-0005-0000-0000-00004D6F0000}"/>
    <cellStyle name="Normal 2 4 2 3 3 2 2 2" xfId="28523" xr:uid="{00000000-0005-0000-0000-00004E6F0000}"/>
    <cellStyle name="Normal 2 4 2 3 3 2 2 3" xfId="28524" xr:uid="{00000000-0005-0000-0000-00004F6F0000}"/>
    <cellStyle name="Normal 2 4 2 3 3 2 3" xfId="28525" xr:uid="{00000000-0005-0000-0000-0000506F0000}"/>
    <cellStyle name="Normal 2 4 2 3 3 2 4" xfId="28526" xr:uid="{00000000-0005-0000-0000-0000516F0000}"/>
    <cellStyle name="Normal 2 4 2 3 3 3" xfId="28527" xr:uid="{00000000-0005-0000-0000-0000526F0000}"/>
    <cellStyle name="Normal 2 4 2 3 3 3 2" xfId="28528" xr:uid="{00000000-0005-0000-0000-0000536F0000}"/>
    <cellStyle name="Normal 2 4 2 3 3 3 3" xfId="28529" xr:uid="{00000000-0005-0000-0000-0000546F0000}"/>
    <cellStyle name="Normal 2 4 2 3 3 4" xfId="28530" xr:uid="{00000000-0005-0000-0000-0000556F0000}"/>
    <cellStyle name="Normal 2 4 2 3 3 5" xfId="28531" xr:uid="{00000000-0005-0000-0000-0000566F0000}"/>
    <cellStyle name="Normal 2 4 2 3 3 6" xfId="28532" xr:uid="{00000000-0005-0000-0000-0000576F0000}"/>
    <cellStyle name="Normal 2 4 2 3 4" xfId="28533" xr:uid="{00000000-0005-0000-0000-0000586F0000}"/>
    <cellStyle name="Normal 2 4 2 3 4 2" xfId="28534" xr:uid="{00000000-0005-0000-0000-0000596F0000}"/>
    <cellStyle name="Normal 2 4 2 3 4 2 2" xfId="28535" xr:uid="{00000000-0005-0000-0000-00005A6F0000}"/>
    <cellStyle name="Normal 2 4 2 3 4 2 3" xfId="28536" xr:uid="{00000000-0005-0000-0000-00005B6F0000}"/>
    <cellStyle name="Normal 2 4 2 3 4 3" xfId="28537" xr:uid="{00000000-0005-0000-0000-00005C6F0000}"/>
    <cellStyle name="Normal 2 4 2 3 4 4" xfId="28538" xr:uid="{00000000-0005-0000-0000-00005D6F0000}"/>
    <cellStyle name="Normal 2 4 2 3 5" xfId="28539" xr:uid="{00000000-0005-0000-0000-00005E6F0000}"/>
    <cellStyle name="Normal 2 4 2 3 5 2" xfId="28540" xr:uid="{00000000-0005-0000-0000-00005F6F0000}"/>
    <cellStyle name="Normal 2 4 2 3 5 3" xfId="28541" xr:uid="{00000000-0005-0000-0000-0000606F0000}"/>
    <cellStyle name="Normal 2 4 2 3 6" xfId="28542" xr:uid="{00000000-0005-0000-0000-0000616F0000}"/>
    <cellStyle name="Normal 2 4 2 3 7" xfId="28543" xr:uid="{00000000-0005-0000-0000-0000626F0000}"/>
    <cellStyle name="Normal 2 4 2 3 8" xfId="28544" xr:uid="{00000000-0005-0000-0000-0000636F0000}"/>
    <cellStyle name="Normal 2 4 2 4" xfId="28545" xr:uid="{00000000-0005-0000-0000-0000646F0000}"/>
    <cellStyle name="Normal 2 4 2 4 2" xfId="28546" xr:uid="{00000000-0005-0000-0000-0000656F0000}"/>
    <cellStyle name="Normal 2 4 2 4 2 2" xfId="28547" xr:uid="{00000000-0005-0000-0000-0000666F0000}"/>
    <cellStyle name="Normal 2 4 2 4 2 2 2" xfId="28548" xr:uid="{00000000-0005-0000-0000-0000676F0000}"/>
    <cellStyle name="Normal 2 4 2 4 2 2 2 2" xfId="28549" xr:uid="{00000000-0005-0000-0000-0000686F0000}"/>
    <cellStyle name="Normal 2 4 2 4 2 2 2 3" xfId="28550" xr:uid="{00000000-0005-0000-0000-0000696F0000}"/>
    <cellStyle name="Normal 2 4 2 4 2 2 3" xfId="28551" xr:uid="{00000000-0005-0000-0000-00006A6F0000}"/>
    <cellStyle name="Normal 2 4 2 4 2 2 4" xfId="28552" xr:uid="{00000000-0005-0000-0000-00006B6F0000}"/>
    <cellStyle name="Normal 2 4 2 4 2 3" xfId="28553" xr:uid="{00000000-0005-0000-0000-00006C6F0000}"/>
    <cellStyle name="Normal 2 4 2 4 2 3 2" xfId="28554" xr:uid="{00000000-0005-0000-0000-00006D6F0000}"/>
    <cellStyle name="Normal 2 4 2 4 2 3 3" xfId="28555" xr:uid="{00000000-0005-0000-0000-00006E6F0000}"/>
    <cellStyle name="Normal 2 4 2 4 2 4" xfId="28556" xr:uid="{00000000-0005-0000-0000-00006F6F0000}"/>
    <cellStyle name="Normal 2 4 2 4 2 5" xfId="28557" xr:uid="{00000000-0005-0000-0000-0000706F0000}"/>
    <cellStyle name="Normal 2 4 2 4 2 6" xfId="28558" xr:uid="{00000000-0005-0000-0000-0000716F0000}"/>
    <cellStyle name="Normal 2 4 2 4 3" xfId="28559" xr:uid="{00000000-0005-0000-0000-0000726F0000}"/>
    <cellStyle name="Normal 2 4 2 4 3 2" xfId="28560" xr:uid="{00000000-0005-0000-0000-0000736F0000}"/>
    <cellStyle name="Normal 2 4 2 4 3 2 2" xfId="28561" xr:uid="{00000000-0005-0000-0000-0000746F0000}"/>
    <cellStyle name="Normal 2 4 2 4 3 2 3" xfId="28562" xr:uid="{00000000-0005-0000-0000-0000756F0000}"/>
    <cellStyle name="Normal 2 4 2 4 3 3" xfId="28563" xr:uid="{00000000-0005-0000-0000-0000766F0000}"/>
    <cellStyle name="Normal 2 4 2 4 3 4" xfId="28564" xr:uid="{00000000-0005-0000-0000-0000776F0000}"/>
    <cellStyle name="Normal 2 4 2 4 4" xfId="28565" xr:uid="{00000000-0005-0000-0000-0000786F0000}"/>
    <cellStyle name="Normal 2 4 2 4 4 2" xfId="28566" xr:uid="{00000000-0005-0000-0000-0000796F0000}"/>
    <cellStyle name="Normal 2 4 2 4 4 3" xfId="28567" xr:uid="{00000000-0005-0000-0000-00007A6F0000}"/>
    <cellStyle name="Normal 2 4 2 4 5" xfId="28568" xr:uid="{00000000-0005-0000-0000-00007B6F0000}"/>
    <cellStyle name="Normal 2 4 2 4 6" xfId="28569" xr:uid="{00000000-0005-0000-0000-00007C6F0000}"/>
    <cellStyle name="Normal 2 4 2 4 7" xfId="28570" xr:uid="{00000000-0005-0000-0000-00007D6F0000}"/>
    <cellStyle name="Normal 2 4 2 5" xfId="28571" xr:uid="{00000000-0005-0000-0000-00007E6F0000}"/>
    <cellStyle name="Normal 2 4 2 5 2" xfId="28572" xr:uid="{00000000-0005-0000-0000-00007F6F0000}"/>
    <cellStyle name="Normal 2 4 2 5 2 2" xfId="28573" xr:uid="{00000000-0005-0000-0000-0000806F0000}"/>
    <cellStyle name="Normal 2 4 2 5 2 2 2" xfId="28574" xr:uid="{00000000-0005-0000-0000-0000816F0000}"/>
    <cellStyle name="Normal 2 4 2 5 2 2 3" xfId="28575" xr:uid="{00000000-0005-0000-0000-0000826F0000}"/>
    <cellStyle name="Normal 2 4 2 5 2 3" xfId="28576" xr:uid="{00000000-0005-0000-0000-0000836F0000}"/>
    <cellStyle name="Normal 2 4 2 5 2 4" xfId="28577" xr:uid="{00000000-0005-0000-0000-0000846F0000}"/>
    <cellStyle name="Normal 2 4 2 5 3" xfId="28578" xr:uid="{00000000-0005-0000-0000-0000856F0000}"/>
    <cellStyle name="Normal 2 4 2 5 3 2" xfId="28579" xr:uid="{00000000-0005-0000-0000-0000866F0000}"/>
    <cellStyle name="Normal 2 4 2 5 3 3" xfId="28580" xr:uid="{00000000-0005-0000-0000-0000876F0000}"/>
    <cellStyle name="Normal 2 4 2 5 4" xfId="28581" xr:uid="{00000000-0005-0000-0000-0000886F0000}"/>
    <cellStyle name="Normal 2 4 2 5 5" xfId="28582" xr:uid="{00000000-0005-0000-0000-0000896F0000}"/>
    <cellStyle name="Normal 2 4 2 5 6" xfId="28583" xr:uid="{00000000-0005-0000-0000-00008A6F0000}"/>
    <cellStyle name="Normal 2 4 2 6" xfId="28584" xr:uid="{00000000-0005-0000-0000-00008B6F0000}"/>
    <cellStyle name="Normal 2 4 2 6 2" xfId="28585" xr:uid="{00000000-0005-0000-0000-00008C6F0000}"/>
    <cellStyle name="Normal 2 4 2 6 2 2" xfId="28586" xr:uid="{00000000-0005-0000-0000-00008D6F0000}"/>
    <cellStyle name="Normal 2 4 2 6 2 3" xfId="28587" xr:uid="{00000000-0005-0000-0000-00008E6F0000}"/>
    <cellStyle name="Normal 2 4 2 6 3" xfId="28588" xr:uid="{00000000-0005-0000-0000-00008F6F0000}"/>
    <cellStyle name="Normal 2 4 2 6 4" xfId="28589" xr:uid="{00000000-0005-0000-0000-0000906F0000}"/>
    <cellStyle name="Normal 2 4 2 7" xfId="28590" xr:uid="{00000000-0005-0000-0000-0000916F0000}"/>
    <cellStyle name="Normal 2 4 2 7 2" xfId="28591" xr:uid="{00000000-0005-0000-0000-0000926F0000}"/>
    <cellStyle name="Normal 2 4 2 7 3" xfId="28592" xr:uid="{00000000-0005-0000-0000-0000936F0000}"/>
    <cellStyle name="Normal 2 4 2 8" xfId="28593" xr:uid="{00000000-0005-0000-0000-0000946F0000}"/>
    <cellStyle name="Normal 2 4 2 9" xfId="28594" xr:uid="{00000000-0005-0000-0000-0000956F0000}"/>
    <cellStyle name="Normal 2 4 3" xfId="28595" xr:uid="{00000000-0005-0000-0000-0000966F0000}"/>
    <cellStyle name="Normal 2 4 3 2" xfId="28596" xr:uid="{00000000-0005-0000-0000-0000976F0000}"/>
    <cellStyle name="Normal 2 4 3 2 2" xfId="28597" xr:uid="{00000000-0005-0000-0000-0000986F0000}"/>
    <cellStyle name="Normal 2 4 3 2 2 2" xfId="28598" xr:uid="{00000000-0005-0000-0000-0000996F0000}"/>
    <cellStyle name="Normal 2 4 3 2 2 2 2" xfId="28599" xr:uid="{00000000-0005-0000-0000-00009A6F0000}"/>
    <cellStyle name="Normal 2 4 3 2 2 2 2 2" xfId="28600" xr:uid="{00000000-0005-0000-0000-00009B6F0000}"/>
    <cellStyle name="Normal 2 4 3 2 2 2 2 2 2" xfId="28601" xr:uid="{00000000-0005-0000-0000-00009C6F0000}"/>
    <cellStyle name="Normal 2 4 3 2 2 2 2 2 3" xfId="28602" xr:uid="{00000000-0005-0000-0000-00009D6F0000}"/>
    <cellStyle name="Normal 2 4 3 2 2 2 2 3" xfId="28603" xr:uid="{00000000-0005-0000-0000-00009E6F0000}"/>
    <cellStyle name="Normal 2 4 3 2 2 2 2 4" xfId="28604" xr:uid="{00000000-0005-0000-0000-00009F6F0000}"/>
    <cellStyle name="Normal 2 4 3 2 2 2 3" xfId="28605" xr:uid="{00000000-0005-0000-0000-0000A06F0000}"/>
    <cellStyle name="Normal 2 4 3 2 2 2 3 2" xfId="28606" xr:uid="{00000000-0005-0000-0000-0000A16F0000}"/>
    <cellStyle name="Normal 2 4 3 2 2 2 3 3" xfId="28607" xr:uid="{00000000-0005-0000-0000-0000A26F0000}"/>
    <cellStyle name="Normal 2 4 3 2 2 2 4" xfId="28608" xr:uid="{00000000-0005-0000-0000-0000A36F0000}"/>
    <cellStyle name="Normal 2 4 3 2 2 2 5" xfId="28609" xr:uid="{00000000-0005-0000-0000-0000A46F0000}"/>
    <cellStyle name="Normal 2 4 3 2 2 2 6" xfId="28610" xr:uid="{00000000-0005-0000-0000-0000A56F0000}"/>
    <cellStyle name="Normal 2 4 3 2 2 3" xfId="28611" xr:uid="{00000000-0005-0000-0000-0000A66F0000}"/>
    <cellStyle name="Normal 2 4 3 2 2 3 2" xfId="28612" xr:uid="{00000000-0005-0000-0000-0000A76F0000}"/>
    <cellStyle name="Normal 2 4 3 2 2 3 2 2" xfId="28613" xr:uid="{00000000-0005-0000-0000-0000A86F0000}"/>
    <cellStyle name="Normal 2 4 3 2 2 3 2 3" xfId="28614" xr:uid="{00000000-0005-0000-0000-0000A96F0000}"/>
    <cellStyle name="Normal 2 4 3 2 2 3 3" xfId="28615" xr:uid="{00000000-0005-0000-0000-0000AA6F0000}"/>
    <cellStyle name="Normal 2 4 3 2 2 3 4" xfId="28616" xr:uid="{00000000-0005-0000-0000-0000AB6F0000}"/>
    <cellStyle name="Normal 2 4 3 2 2 4" xfId="28617" xr:uid="{00000000-0005-0000-0000-0000AC6F0000}"/>
    <cellStyle name="Normal 2 4 3 2 2 4 2" xfId="28618" xr:uid="{00000000-0005-0000-0000-0000AD6F0000}"/>
    <cellStyle name="Normal 2 4 3 2 2 4 3" xfId="28619" xr:uid="{00000000-0005-0000-0000-0000AE6F0000}"/>
    <cellStyle name="Normal 2 4 3 2 2 5" xfId="28620" xr:uid="{00000000-0005-0000-0000-0000AF6F0000}"/>
    <cellStyle name="Normal 2 4 3 2 2 6" xfId="28621" xr:uid="{00000000-0005-0000-0000-0000B06F0000}"/>
    <cellStyle name="Normal 2 4 3 2 2 7" xfId="28622" xr:uid="{00000000-0005-0000-0000-0000B16F0000}"/>
    <cellStyle name="Normal 2 4 3 2 3" xfId="28623" xr:uid="{00000000-0005-0000-0000-0000B26F0000}"/>
    <cellStyle name="Normal 2 4 3 2 3 2" xfId="28624" xr:uid="{00000000-0005-0000-0000-0000B36F0000}"/>
    <cellStyle name="Normal 2 4 3 2 3 2 2" xfId="28625" xr:uid="{00000000-0005-0000-0000-0000B46F0000}"/>
    <cellStyle name="Normal 2 4 3 2 3 2 2 2" xfId="28626" xr:uid="{00000000-0005-0000-0000-0000B56F0000}"/>
    <cellStyle name="Normal 2 4 3 2 3 2 2 3" xfId="28627" xr:uid="{00000000-0005-0000-0000-0000B66F0000}"/>
    <cellStyle name="Normal 2 4 3 2 3 2 3" xfId="28628" xr:uid="{00000000-0005-0000-0000-0000B76F0000}"/>
    <cellStyle name="Normal 2 4 3 2 3 2 4" xfId="28629" xr:uid="{00000000-0005-0000-0000-0000B86F0000}"/>
    <cellStyle name="Normal 2 4 3 2 3 3" xfId="28630" xr:uid="{00000000-0005-0000-0000-0000B96F0000}"/>
    <cellStyle name="Normal 2 4 3 2 3 3 2" xfId="28631" xr:uid="{00000000-0005-0000-0000-0000BA6F0000}"/>
    <cellStyle name="Normal 2 4 3 2 3 3 3" xfId="28632" xr:uid="{00000000-0005-0000-0000-0000BB6F0000}"/>
    <cellStyle name="Normal 2 4 3 2 3 4" xfId="28633" xr:uid="{00000000-0005-0000-0000-0000BC6F0000}"/>
    <cellStyle name="Normal 2 4 3 2 3 5" xfId="28634" xr:uid="{00000000-0005-0000-0000-0000BD6F0000}"/>
    <cellStyle name="Normal 2 4 3 2 3 6" xfId="28635" xr:uid="{00000000-0005-0000-0000-0000BE6F0000}"/>
    <cellStyle name="Normal 2 4 3 2 4" xfId="28636" xr:uid="{00000000-0005-0000-0000-0000BF6F0000}"/>
    <cellStyle name="Normal 2 4 3 2 4 2" xfId="28637" xr:uid="{00000000-0005-0000-0000-0000C06F0000}"/>
    <cellStyle name="Normal 2 4 3 2 4 2 2" xfId="28638" xr:uid="{00000000-0005-0000-0000-0000C16F0000}"/>
    <cellStyle name="Normal 2 4 3 2 4 2 3" xfId="28639" xr:uid="{00000000-0005-0000-0000-0000C26F0000}"/>
    <cellStyle name="Normal 2 4 3 2 4 3" xfId="28640" xr:uid="{00000000-0005-0000-0000-0000C36F0000}"/>
    <cellStyle name="Normal 2 4 3 2 4 4" xfId="28641" xr:uid="{00000000-0005-0000-0000-0000C46F0000}"/>
    <cellStyle name="Normal 2 4 3 2 5" xfId="28642" xr:uid="{00000000-0005-0000-0000-0000C56F0000}"/>
    <cellStyle name="Normal 2 4 3 2 5 2" xfId="28643" xr:uid="{00000000-0005-0000-0000-0000C66F0000}"/>
    <cellStyle name="Normal 2 4 3 2 5 3" xfId="28644" xr:uid="{00000000-0005-0000-0000-0000C76F0000}"/>
    <cellStyle name="Normal 2 4 3 2 6" xfId="28645" xr:uid="{00000000-0005-0000-0000-0000C86F0000}"/>
    <cellStyle name="Normal 2 4 3 2 7" xfId="28646" xr:uid="{00000000-0005-0000-0000-0000C96F0000}"/>
    <cellStyle name="Normal 2 4 3 2 8" xfId="28647" xr:uid="{00000000-0005-0000-0000-0000CA6F0000}"/>
    <cellStyle name="Normal 2 4 3 3" xfId="28648" xr:uid="{00000000-0005-0000-0000-0000CB6F0000}"/>
    <cellStyle name="Normal 2 4 3 3 2" xfId="28649" xr:uid="{00000000-0005-0000-0000-0000CC6F0000}"/>
    <cellStyle name="Normal 2 4 3 3 2 2" xfId="28650" xr:uid="{00000000-0005-0000-0000-0000CD6F0000}"/>
    <cellStyle name="Normal 2 4 3 3 2 2 2" xfId="28651" xr:uid="{00000000-0005-0000-0000-0000CE6F0000}"/>
    <cellStyle name="Normal 2 4 3 3 2 2 2 2" xfId="28652" xr:uid="{00000000-0005-0000-0000-0000CF6F0000}"/>
    <cellStyle name="Normal 2 4 3 3 2 2 2 3" xfId="28653" xr:uid="{00000000-0005-0000-0000-0000D06F0000}"/>
    <cellStyle name="Normal 2 4 3 3 2 2 3" xfId="28654" xr:uid="{00000000-0005-0000-0000-0000D16F0000}"/>
    <cellStyle name="Normal 2 4 3 3 2 2 4" xfId="28655" xr:uid="{00000000-0005-0000-0000-0000D26F0000}"/>
    <cellStyle name="Normal 2 4 3 3 2 3" xfId="28656" xr:uid="{00000000-0005-0000-0000-0000D36F0000}"/>
    <cellStyle name="Normal 2 4 3 3 2 3 2" xfId="28657" xr:uid="{00000000-0005-0000-0000-0000D46F0000}"/>
    <cellStyle name="Normal 2 4 3 3 2 3 3" xfId="28658" xr:uid="{00000000-0005-0000-0000-0000D56F0000}"/>
    <cellStyle name="Normal 2 4 3 3 2 4" xfId="28659" xr:uid="{00000000-0005-0000-0000-0000D66F0000}"/>
    <cellStyle name="Normal 2 4 3 3 2 5" xfId="28660" xr:uid="{00000000-0005-0000-0000-0000D76F0000}"/>
    <cellStyle name="Normal 2 4 3 3 2 6" xfId="28661" xr:uid="{00000000-0005-0000-0000-0000D86F0000}"/>
    <cellStyle name="Normal 2 4 3 3 3" xfId="28662" xr:uid="{00000000-0005-0000-0000-0000D96F0000}"/>
    <cellStyle name="Normal 2 4 3 3 3 2" xfId="28663" xr:uid="{00000000-0005-0000-0000-0000DA6F0000}"/>
    <cellStyle name="Normal 2 4 3 3 3 2 2" xfId="28664" xr:uid="{00000000-0005-0000-0000-0000DB6F0000}"/>
    <cellStyle name="Normal 2 4 3 3 3 2 3" xfId="28665" xr:uid="{00000000-0005-0000-0000-0000DC6F0000}"/>
    <cellStyle name="Normal 2 4 3 3 3 3" xfId="28666" xr:uid="{00000000-0005-0000-0000-0000DD6F0000}"/>
    <cellStyle name="Normal 2 4 3 3 3 4" xfId="28667" xr:uid="{00000000-0005-0000-0000-0000DE6F0000}"/>
    <cellStyle name="Normal 2 4 3 3 4" xfId="28668" xr:uid="{00000000-0005-0000-0000-0000DF6F0000}"/>
    <cellStyle name="Normal 2 4 3 3 4 2" xfId="28669" xr:uid="{00000000-0005-0000-0000-0000E06F0000}"/>
    <cellStyle name="Normal 2 4 3 3 4 3" xfId="28670" xr:uid="{00000000-0005-0000-0000-0000E16F0000}"/>
    <cellStyle name="Normal 2 4 3 3 5" xfId="28671" xr:uid="{00000000-0005-0000-0000-0000E26F0000}"/>
    <cellStyle name="Normal 2 4 3 3 6" xfId="28672" xr:uid="{00000000-0005-0000-0000-0000E36F0000}"/>
    <cellStyle name="Normal 2 4 3 3 7" xfId="28673" xr:uid="{00000000-0005-0000-0000-0000E46F0000}"/>
    <cellStyle name="Normal 2 4 3 4" xfId="28674" xr:uid="{00000000-0005-0000-0000-0000E56F0000}"/>
    <cellStyle name="Normal 2 4 3 4 2" xfId="28675" xr:uid="{00000000-0005-0000-0000-0000E66F0000}"/>
    <cellStyle name="Normal 2 4 3 4 2 2" xfId="28676" xr:uid="{00000000-0005-0000-0000-0000E76F0000}"/>
    <cellStyle name="Normal 2 4 3 4 2 2 2" xfId="28677" xr:uid="{00000000-0005-0000-0000-0000E86F0000}"/>
    <cellStyle name="Normal 2 4 3 4 2 2 3" xfId="28678" xr:uid="{00000000-0005-0000-0000-0000E96F0000}"/>
    <cellStyle name="Normal 2 4 3 4 2 3" xfId="28679" xr:uid="{00000000-0005-0000-0000-0000EA6F0000}"/>
    <cellStyle name="Normal 2 4 3 4 2 4" xfId="28680" xr:uid="{00000000-0005-0000-0000-0000EB6F0000}"/>
    <cellStyle name="Normal 2 4 3 4 3" xfId="28681" xr:uid="{00000000-0005-0000-0000-0000EC6F0000}"/>
    <cellStyle name="Normal 2 4 3 4 3 2" xfId="28682" xr:uid="{00000000-0005-0000-0000-0000ED6F0000}"/>
    <cellStyle name="Normal 2 4 3 4 3 3" xfId="28683" xr:uid="{00000000-0005-0000-0000-0000EE6F0000}"/>
    <cellStyle name="Normal 2 4 3 4 4" xfId="28684" xr:uid="{00000000-0005-0000-0000-0000EF6F0000}"/>
    <cellStyle name="Normal 2 4 3 4 5" xfId="28685" xr:uid="{00000000-0005-0000-0000-0000F06F0000}"/>
    <cellStyle name="Normal 2 4 3 4 6" xfId="28686" xr:uid="{00000000-0005-0000-0000-0000F16F0000}"/>
    <cellStyle name="Normal 2 4 3 5" xfId="28687" xr:uid="{00000000-0005-0000-0000-0000F26F0000}"/>
    <cellStyle name="Normal 2 4 3 5 2" xfId="28688" xr:uid="{00000000-0005-0000-0000-0000F36F0000}"/>
    <cellStyle name="Normal 2 4 3 5 2 2" xfId="28689" xr:uid="{00000000-0005-0000-0000-0000F46F0000}"/>
    <cellStyle name="Normal 2 4 3 5 2 3" xfId="28690" xr:uid="{00000000-0005-0000-0000-0000F56F0000}"/>
    <cellStyle name="Normal 2 4 3 5 3" xfId="28691" xr:uid="{00000000-0005-0000-0000-0000F66F0000}"/>
    <cellStyle name="Normal 2 4 3 5 4" xfId="28692" xr:uid="{00000000-0005-0000-0000-0000F76F0000}"/>
    <cellStyle name="Normal 2 4 3 6" xfId="28693" xr:uid="{00000000-0005-0000-0000-0000F86F0000}"/>
    <cellStyle name="Normal 2 4 3 6 2" xfId="28694" xr:uid="{00000000-0005-0000-0000-0000F96F0000}"/>
    <cellStyle name="Normal 2 4 3 6 3" xfId="28695" xr:uid="{00000000-0005-0000-0000-0000FA6F0000}"/>
    <cellStyle name="Normal 2 4 3 7" xfId="28696" xr:uid="{00000000-0005-0000-0000-0000FB6F0000}"/>
    <cellStyle name="Normal 2 4 3 8" xfId="28697" xr:uid="{00000000-0005-0000-0000-0000FC6F0000}"/>
    <cellStyle name="Normal 2 4 3 9" xfId="28698" xr:uid="{00000000-0005-0000-0000-0000FD6F0000}"/>
    <cellStyle name="Normal 2 4 4" xfId="28699" xr:uid="{00000000-0005-0000-0000-0000FE6F0000}"/>
    <cellStyle name="Normal 2 4 4 2" xfId="28700" xr:uid="{00000000-0005-0000-0000-0000FF6F0000}"/>
    <cellStyle name="Normal 2 4 4 2 2" xfId="28701" xr:uid="{00000000-0005-0000-0000-000000700000}"/>
    <cellStyle name="Normal 2 4 4 2 2 2" xfId="28702" xr:uid="{00000000-0005-0000-0000-000001700000}"/>
    <cellStyle name="Normal 2 4 4 2 2 2 2" xfId="28703" xr:uid="{00000000-0005-0000-0000-000002700000}"/>
    <cellStyle name="Normal 2 4 4 2 2 2 2 2" xfId="28704" xr:uid="{00000000-0005-0000-0000-000003700000}"/>
    <cellStyle name="Normal 2 4 4 2 2 2 2 3" xfId="28705" xr:uid="{00000000-0005-0000-0000-000004700000}"/>
    <cellStyle name="Normal 2 4 4 2 2 2 3" xfId="28706" xr:uid="{00000000-0005-0000-0000-000005700000}"/>
    <cellStyle name="Normal 2 4 4 2 2 2 4" xfId="28707" xr:uid="{00000000-0005-0000-0000-000006700000}"/>
    <cellStyle name="Normal 2 4 4 2 2 3" xfId="28708" xr:uid="{00000000-0005-0000-0000-000007700000}"/>
    <cellStyle name="Normal 2 4 4 2 2 3 2" xfId="28709" xr:uid="{00000000-0005-0000-0000-000008700000}"/>
    <cellStyle name="Normal 2 4 4 2 2 3 3" xfId="28710" xr:uid="{00000000-0005-0000-0000-000009700000}"/>
    <cellStyle name="Normal 2 4 4 2 2 4" xfId="28711" xr:uid="{00000000-0005-0000-0000-00000A700000}"/>
    <cellStyle name="Normal 2 4 4 2 2 5" xfId="28712" xr:uid="{00000000-0005-0000-0000-00000B700000}"/>
    <cellStyle name="Normal 2 4 4 2 2 6" xfId="28713" xr:uid="{00000000-0005-0000-0000-00000C700000}"/>
    <cellStyle name="Normal 2 4 4 2 3" xfId="28714" xr:uid="{00000000-0005-0000-0000-00000D700000}"/>
    <cellStyle name="Normal 2 4 4 2 3 2" xfId="28715" xr:uid="{00000000-0005-0000-0000-00000E700000}"/>
    <cellStyle name="Normal 2 4 4 2 3 2 2" xfId="28716" xr:uid="{00000000-0005-0000-0000-00000F700000}"/>
    <cellStyle name="Normal 2 4 4 2 3 2 3" xfId="28717" xr:uid="{00000000-0005-0000-0000-000010700000}"/>
    <cellStyle name="Normal 2 4 4 2 3 3" xfId="28718" xr:uid="{00000000-0005-0000-0000-000011700000}"/>
    <cellStyle name="Normal 2 4 4 2 3 4" xfId="28719" xr:uid="{00000000-0005-0000-0000-000012700000}"/>
    <cellStyle name="Normal 2 4 4 2 4" xfId="28720" xr:uid="{00000000-0005-0000-0000-000013700000}"/>
    <cellStyle name="Normal 2 4 4 2 4 2" xfId="28721" xr:uid="{00000000-0005-0000-0000-000014700000}"/>
    <cellStyle name="Normal 2 4 4 2 4 3" xfId="28722" xr:uid="{00000000-0005-0000-0000-000015700000}"/>
    <cellStyle name="Normal 2 4 4 2 5" xfId="28723" xr:uid="{00000000-0005-0000-0000-000016700000}"/>
    <cellStyle name="Normal 2 4 4 2 6" xfId="28724" xr:uid="{00000000-0005-0000-0000-000017700000}"/>
    <cellStyle name="Normal 2 4 4 2 7" xfId="28725" xr:uid="{00000000-0005-0000-0000-000018700000}"/>
    <cellStyle name="Normal 2 4 4 3" xfId="28726" xr:uid="{00000000-0005-0000-0000-000019700000}"/>
    <cellStyle name="Normal 2 4 4 3 2" xfId="28727" xr:uid="{00000000-0005-0000-0000-00001A700000}"/>
    <cellStyle name="Normal 2 4 4 3 2 2" xfId="28728" xr:uid="{00000000-0005-0000-0000-00001B700000}"/>
    <cellStyle name="Normal 2 4 4 3 2 2 2" xfId="28729" xr:uid="{00000000-0005-0000-0000-00001C700000}"/>
    <cellStyle name="Normal 2 4 4 3 2 2 3" xfId="28730" xr:uid="{00000000-0005-0000-0000-00001D700000}"/>
    <cellStyle name="Normal 2 4 4 3 2 3" xfId="28731" xr:uid="{00000000-0005-0000-0000-00001E700000}"/>
    <cellStyle name="Normal 2 4 4 3 2 4" xfId="28732" xr:uid="{00000000-0005-0000-0000-00001F700000}"/>
    <cellStyle name="Normal 2 4 4 3 3" xfId="28733" xr:uid="{00000000-0005-0000-0000-000020700000}"/>
    <cellStyle name="Normal 2 4 4 3 3 2" xfId="28734" xr:uid="{00000000-0005-0000-0000-000021700000}"/>
    <cellStyle name="Normal 2 4 4 3 3 3" xfId="28735" xr:uid="{00000000-0005-0000-0000-000022700000}"/>
    <cellStyle name="Normal 2 4 4 3 4" xfId="28736" xr:uid="{00000000-0005-0000-0000-000023700000}"/>
    <cellStyle name="Normal 2 4 4 3 5" xfId="28737" xr:uid="{00000000-0005-0000-0000-000024700000}"/>
    <cellStyle name="Normal 2 4 4 3 6" xfId="28738" xr:uid="{00000000-0005-0000-0000-000025700000}"/>
    <cellStyle name="Normal 2 4 4 4" xfId="28739" xr:uid="{00000000-0005-0000-0000-000026700000}"/>
    <cellStyle name="Normal 2 4 4 4 2" xfId="28740" xr:uid="{00000000-0005-0000-0000-000027700000}"/>
    <cellStyle name="Normal 2 4 4 4 2 2" xfId="28741" xr:uid="{00000000-0005-0000-0000-000028700000}"/>
    <cellStyle name="Normal 2 4 4 4 2 3" xfId="28742" xr:uid="{00000000-0005-0000-0000-000029700000}"/>
    <cellStyle name="Normal 2 4 4 4 3" xfId="28743" xr:uid="{00000000-0005-0000-0000-00002A700000}"/>
    <cellStyle name="Normal 2 4 4 4 4" xfId="28744" xr:uid="{00000000-0005-0000-0000-00002B700000}"/>
    <cellStyle name="Normal 2 4 4 5" xfId="28745" xr:uid="{00000000-0005-0000-0000-00002C700000}"/>
    <cellStyle name="Normal 2 4 4 5 2" xfId="28746" xr:uid="{00000000-0005-0000-0000-00002D700000}"/>
    <cellStyle name="Normal 2 4 4 5 3" xfId="28747" xr:uid="{00000000-0005-0000-0000-00002E700000}"/>
    <cellStyle name="Normal 2 4 4 6" xfId="28748" xr:uid="{00000000-0005-0000-0000-00002F700000}"/>
    <cellStyle name="Normal 2 4 4 7" xfId="28749" xr:uid="{00000000-0005-0000-0000-000030700000}"/>
    <cellStyle name="Normal 2 4 4 8" xfId="28750" xr:uid="{00000000-0005-0000-0000-000031700000}"/>
    <cellStyle name="Normal 2 4 5" xfId="28751" xr:uid="{00000000-0005-0000-0000-000032700000}"/>
    <cellStyle name="Normal 2 4 5 2" xfId="28752" xr:uid="{00000000-0005-0000-0000-000033700000}"/>
    <cellStyle name="Normal 2 4 5 2 2" xfId="28753" xr:uid="{00000000-0005-0000-0000-000034700000}"/>
    <cellStyle name="Normal 2 4 5 2 2 2" xfId="28754" xr:uid="{00000000-0005-0000-0000-000035700000}"/>
    <cellStyle name="Normal 2 4 5 2 2 2 2" xfId="28755" xr:uid="{00000000-0005-0000-0000-000036700000}"/>
    <cellStyle name="Normal 2 4 5 2 2 2 3" xfId="28756" xr:uid="{00000000-0005-0000-0000-000037700000}"/>
    <cellStyle name="Normal 2 4 5 2 2 3" xfId="28757" xr:uid="{00000000-0005-0000-0000-000038700000}"/>
    <cellStyle name="Normal 2 4 5 2 2 4" xfId="28758" xr:uid="{00000000-0005-0000-0000-000039700000}"/>
    <cellStyle name="Normal 2 4 5 2 3" xfId="28759" xr:uid="{00000000-0005-0000-0000-00003A700000}"/>
    <cellStyle name="Normal 2 4 5 2 3 2" xfId="28760" xr:uid="{00000000-0005-0000-0000-00003B700000}"/>
    <cellStyle name="Normal 2 4 5 2 3 3" xfId="28761" xr:uid="{00000000-0005-0000-0000-00003C700000}"/>
    <cellStyle name="Normal 2 4 5 2 4" xfId="28762" xr:uid="{00000000-0005-0000-0000-00003D700000}"/>
    <cellStyle name="Normal 2 4 5 2 5" xfId="28763" xr:uid="{00000000-0005-0000-0000-00003E700000}"/>
    <cellStyle name="Normal 2 4 5 2 6" xfId="28764" xr:uid="{00000000-0005-0000-0000-00003F700000}"/>
    <cellStyle name="Normal 2 4 5 3" xfId="28765" xr:uid="{00000000-0005-0000-0000-000040700000}"/>
    <cellStyle name="Normal 2 4 5 3 2" xfId="28766" xr:uid="{00000000-0005-0000-0000-000041700000}"/>
    <cellStyle name="Normal 2 4 5 3 2 2" xfId="28767" xr:uid="{00000000-0005-0000-0000-000042700000}"/>
    <cellStyle name="Normal 2 4 5 3 2 3" xfId="28768" xr:uid="{00000000-0005-0000-0000-000043700000}"/>
    <cellStyle name="Normal 2 4 5 3 3" xfId="28769" xr:uid="{00000000-0005-0000-0000-000044700000}"/>
    <cellStyle name="Normal 2 4 5 3 4" xfId="28770" xr:uid="{00000000-0005-0000-0000-000045700000}"/>
    <cellStyle name="Normal 2 4 5 4" xfId="28771" xr:uid="{00000000-0005-0000-0000-000046700000}"/>
    <cellStyle name="Normal 2 4 5 4 2" xfId="28772" xr:uid="{00000000-0005-0000-0000-000047700000}"/>
    <cellStyle name="Normal 2 4 5 4 3" xfId="28773" xr:uid="{00000000-0005-0000-0000-000048700000}"/>
    <cellStyle name="Normal 2 4 5 5" xfId="28774" xr:uid="{00000000-0005-0000-0000-000049700000}"/>
    <cellStyle name="Normal 2 4 5 6" xfId="28775" xr:uid="{00000000-0005-0000-0000-00004A700000}"/>
    <cellStyle name="Normal 2 4 5 7" xfId="28776" xr:uid="{00000000-0005-0000-0000-00004B700000}"/>
    <cellStyle name="Normal 2 4 6" xfId="28777" xr:uid="{00000000-0005-0000-0000-00004C700000}"/>
    <cellStyle name="Normal 2 4 6 2" xfId="28778" xr:uid="{00000000-0005-0000-0000-00004D700000}"/>
    <cellStyle name="Normal 2 4 6 2 2" xfId="28779" xr:uid="{00000000-0005-0000-0000-00004E700000}"/>
    <cellStyle name="Normal 2 4 6 2 2 2" xfId="28780" xr:uid="{00000000-0005-0000-0000-00004F700000}"/>
    <cellStyle name="Normal 2 4 6 2 2 3" xfId="28781" xr:uid="{00000000-0005-0000-0000-000050700000}"/>
    <cellStyle name="Normal 2 4 6 2 3" xfId="28782" xr:uid="{00000000-0005-0000-0000-000051700000}"/>
    <cellStyle name="Normal 2 4 6 2 4" xfId="28783" xr:uid="{00000000-0005-0000-0000-000052700000}"/>
    <cellStyle name="Normal 2 4 6 3" xfId="28784" xr:uid="{00000000-0005-0000-0000-000053700000}"/>
    <cellStyle name="Normal 2 4 6 3 2" xfId="28785" xr:uid="{00000000-0005-0000-0000-000054700000}"/>
    <cellStyle name="Normal 2 4 6 3 3" xfId="28786" xr:uid="{00000000-0005-0000-0000-000055700000}"/>
    <cellStyle name="Normal 2 4 6 4" xfId="28787" xr:uid="{00000000-0005-0000-0000-000056700000}"/>
    <cellStyle name="Normal 2 4 6 5" xfId="28788" xr:uid="{00000000-0005-0000-0000-000057700000}"/>
    <cellStyle name="Normal 2 4 6 6" xfId="28789" xr:uid="{00000000-0005-0000-0000-000058700000}"/>
    <cellStyle name="Normal 2 4 7" xfId="28790" xr:uid="{00000000-0005-0000-0000-000059700000}"/>
    <cellStyle name="Normal 2 4 7 2" xfId="28791" xr:uid="{00000000-0005-0000-0000-00005A700000}"/>
    <cellStyle name="Normal 2 4 7 2 2" xfId="28792" xr:uid="{00000000-0005-0000-0000-00005B700000}"/>
    <cellStyle name="Normal 2 4 7 2 3" xfId="28793" xr:uid="{00000000-0005-0000-0000-00005C700000}"/>
    <cellStyle name="Normal 2 4 7 3" xfId="28794" xr:uid="{00000000-0005-0000-0000-00005D700000}"/>
    <cellStyle name="Normal 2 4 7 4" xfId="28795" xr:uid="{00000000-0005-0000-0000-00005E700000}"/>
    <cellStyle name="Normal 2 4 8" xfId="28796" xr:uid="{00000000-0005-0000-0000-00005F700000}"/>
    <cellStyle name="Normal 2 4 8 2" xfId="28797" xr:uid="{00000000-0005-0000-0000-000060700000}"/>
    <cellStyle name="Normal 2 4 8 3" xfId="28798" xr:uid="{00000000-0005-0000-0000-000061700000}"/>
    <cellStyle name="Normal 2 4 9" xfId="28799" xr:uid="{00000000-0005-0000-0000-000062700000}"/>
    <cellStyle name="Normal 2 5" xfId="28800" xr:uid="{00000000-0005-0000-0000-000063700000}"/>
    <cellStyle name="Normal 2 5 10" xfId="28801" xr:uid="{00000000-0005-0000-0000-000064700000}"/>
    <cellStyle name="Normal 2 5 2" xfId="28802" xr:uid="{00000000-0005-0000-0000-000065700000}"/>
    <cellStyle name="Normal 2 5 2 2" xfId="28803" xr:uid="{00000000-0005-0000-0000-000066700000}"/>
    <cellStyle name="Normal 2 5 2 2 2" xfId="28804" xr:uid="{00000000-0005-0000-0000-000067700000}"/>
    <cellStyle name="Normal 2 5 2 2 2 2" xfId="28805" xr:uid="{00000000-0005-0000-0000-000068700000}"/>
    <cellStyle name="Normal 2 5 2 2 2 2 2" xfId="28806" xr:uid="{00000000-0005-0000-0000-000069700000}"/>
    <cellStyle name="Normal 2 5 2 2 2 2 2 2" xfId="28807" xr:uid="{00000000-0005-0000-0000-00006A700000}"/>
    <cellStyle name="Normal 2 5 2 2 2 2 2 2 2" xfId="28808" xr:uid="{00000000-0005-0000-0000-00006B700000}"/>
    <cellStyle name="Normal 2 5 2 2 2 2 2 2 3" xfId="28809" xr:uid="{00000000-0005-0000-0000-00006C700000}"/>
    <cellStyle name="Normal 2 5 2 2 2 2 2 3" xfId="28810" xr:uid="{00000000-0005-0000-0000-00006D700000}"/>
    <cellStyle name="Normal 2 5 2 2 2 2 2 4" xfId="28811" xr:uid="{00000000-0005-0000-0000-00006E700000}"/>
    <cellStyle name="Normal 2 5 2 2 2 2 3" xfId="28812" xr:uid="{00000000-0005-0000-0000-00006F700000}"/>
    <cellStyle name="Normal 2 5 2 2 2 2 3 2" xfId="28813" xr:uid="{00000000-0005-0000-0000-000070700000}"/>
    <cellStyle name="Normal 2 5 2 2 2 2 3 3" xfId="28814" xr:uid="{00000000-0005-0000-0000-000071700000}"/>
    <cellStyle name="Normal 2 5 2 2 2 2 4" xfId="28815" xr:uid="{00000000-0005-0000-0000-000072700000}"/>
    <cellStyle name="Normal 2 5 2 2 2 2 5" xfId="28816" xr:uid="{00000000-0005-0000-0000-000073700000}"/>
    <cellStyle name="Normal 2 5 2 2 2 2 6" xfId="28817" xr:uid="{00000000-0005-0000-0000-000074700000}"/>
    <cellStyle name="Normal 2 5 2 2 2 3" xfId="28818" xr:uid="{00000000-0005-0000-0000-000075700000}"/>
    <cellStyle name="Normal 2 5 2 2 2 3 2" xfId="28819" xr:uid="{00000000-0005-0000-0000-000076700000}"/>
    <cellStyle name="Normal 2 5 2 2 2 3 2 2" xfId="28820" xr:uid="{00000000-0005-0000-0000-000077700000}"/>
    <cellStyle name="Normal 2 5 2 2 2 3 2 3" xfId="28821" xr:uid="{00000000-0005-0000-0000-000078700000}"/>
    <cellStyle name="Normal 2 5 2 2 2 3 3" xfId="28822" xr:uid="{00000000-0005-0000-0000-000079700000}"/>
    <cellStyle name="Normal 2 5 2 2 2 3 4" xfId="28823" xr:uid="{00000000-0005-0000-0000-00007A700000}"/>
    <cellStyle name="Normal 2 5 2 2 2 4" xfId="28824" xr:uid="{00000000-0005-0000-0000-00007B700000}"/>
    <cellStyle name="Normal 2 5 2 2 2 4 2" xfId="28825" xr:uid="{00000000-0005-0000-0000-00007C700000}"/>
    <cellStyle name="Normal 2 5 2 2 2 4 3" xfId="28826" xr:uid="{00000000-0005-0000-0000-00007D700000}"/>
    <cellStyle name="Normal 2 5 2 2 2 5" xfId="28827" xr:uid="{00000000-0005-0000-0000-00007E700000}"/>
    <cellStyle name="Normal 2 5 2 2 2 6" xfId="28828" xr:uid="{00000000-0005-0000-0000-00007F700000}"/>
    <cellStyle name="Normal 2 5 2 2 2 7" xfId="28829" xr:uid="{00000000-0005-0000-0000-000080700000}"/>
    <cellStyle name="Normal 2 5 2 2 3" xfId="28830" xr:uid="{00000000-0005-0000-0000-000081700000}"/>
    <cellStyle name="Normal 2 5 2 2 3 2" xfId="28831" xr:uid="{00000000-0005-0000-0000-000082700000}"/>
    <cellStyle name="Normal 2 5 2 2 3 2 2" xfId="28832" xr:uid="{00000000-0005-0000-0000-000083700000}"/>
    <cellStyle name="Normal 2 5 2 2 3 2 2 2" xfId="28833" xr:uid="{00000000-0005-0000-0000-000084700000}"/>
    <cellStyle name="Normal 2 5 2 2 3 2 2 3" xfId="28834" xr:uid="{00000000-0005-0000-0000-000085700000}"/>
    <cellStyle name="Normal 2 5 2 2 3 2 3" xfId="28835" xr:uid="{00000000-0005-0000-0000-000086700000}"/>
    <cellStyle name="Normal 2 5 2 2 3 2 4" xfId="28836" xr:uid="{00000000-0005-0000-0000-000087700000}"/>
    <cellStyle name="Normal 2 5 2 2 3 3" xfId="28837" xr:uid="{00000000-0005-0000-0000-000088700000}"/>
    <cellStyle name="Normal 2 5 2 2 3 3 2" xfId="28838" xr:uid="{00000000-0005-0000-0000-000089700000}"/>
    <cellStyle name="Normal 2 5 2 2 3 3 3" xfId="28839" xr:uid="{00000000-0005-0000-0000-00008A700000}"/>
    <cellStyle name="Normal 2 5 2 2 3 4" xfId="28840" xr:uid="{00000000-0005-0000-0000-00008B700000}"/>
    <cellStyle name="Normal 2 5 2 2 3 5" xfId="28841" xr:uid="{00000000-0005-0000-0000-00008C700000}"/>
    <cellStyle name="Normal 2 5 2 2 3 6" xfId="28842" xr:uid="{00000000-0005-0000-0000-00008D700000}"/>
    <cellStyle name="Normal 2 5 2 2 4" xfId="28843" xr:uid="{00000000-0005-0000-0000-00008E700000}"/>
    <cellStyle name="Normal 2 5 2 2 4 2" xfId="28844" xr:uid="{00000000-0005-0000-0000-00008F700000}"/>
    <cellStyle name="Normal 2 5 2 2 4 2 2" xfId="28845" xr:uid="{00000000-0005-0000-0000-000090700000}"/>
    <cellStyle name="Normal 2 5 2 2 4 2 3" xfId="28846" xr:uid="{00000000-0005-0000-0000-000091700000}"/>
    <cellStyle name="Normal 2 5 2 2 4 3" xfId="28847" xr:uid="{00000000-0005-0000-0000-000092700000}"/>
    <cellStyle name="Normal 2 5 2 2 4 4" xfId="28848" xr:uid="{00000000-0005-0000-0000-000093700000}"/>
    <cellStyle name="Normal 2 5 2 2 5" xfId="28849" xr:uid="{00000000-0005-0000-0000-000094700000}"/>
    <cellStyle name="Normal 2 5 2 2 5 2" xfId="28850" xr:uid="{00000000-0005-0000-0000-000095700000}"/>
    <cellStyle name="Normal 2 5 2 2 5 3" xfId="28851" xr:uid="{00000000-0005-0000-0000-000096700000}"/>
    <cellStyle name="Normal 2 5 2 2 6" xfId="28852" xr:uid="{00000000-0005-0000-0000-000097700000}"/>
    <cellStyle name="Normal 2 5 2 2 7" xfId="28853" xr:uid="{00000000-0005-0000-0000-000098700000}"/>
    <cellStyle name="Normal 2 5 2 2 8" xfId="28854" xr:uid="{00000000-0005-0000-0000-000099700000}"/>
    <cellStyle name="Normal 2 5 2 3" xfId="28855" xr:uid="{00000000-0005-0000-0000-00009A700000}"/>
    <cellStyle name="Normal 2 5 2 3 2" xfId="28856" xr:uid="{00000000-0005-0000-0000-00009B700000}"/>
    <cellStyle name="Normal 2 5 2 3 2 2" xfId="28857" xr:uid="{00000000-0005-0000-0000-00009C700000}"/>
    <cellStyle name="Normal 2 5 2 3 2 2 2" xfId="28858" xr:uid="{00000000-0005-0000-0000-00009D700000}"/>
    <cellStyle name="Normal 2 5 2 3 2 2 2 2" xfId="28859" xr:uid="{00000000-0005-0000-0000-00009E700000}"/>
    <cellStyle name="Normal 2 5 2 3 2 2 2 3" xfId="28860" xr:uid="{00000000-0005-0000-0000-00009F700000}"/>
    <cellStyle name="Normal 2 5 2 3 2 2 3" xfId="28861" xr:uid="{00000000-0005-0000-0000-0000A0700000}"/>
    <cellStyle name="Normal 2 5 2 3 2 2 4" xfId="28862" xr:uid="{00000000-0005-0000-0000-0000A1700000}"/>
    <cellStyle name="Normal 2 5 2 3 2 3" xfId="28863" xr:uid="{00000000-0005-0000-0000-0000A2700000}"/>
    <cellStyle name="Normal 2 5 2 3 2 3 2" xfId="28864" xr:uid="{00000000-0005-0000-0000-0000A3700000}"/>
    <cellStyle name="Normal 2 5 2 3 2 3 3" xfId="28865" xr:uid="{00000000-0005-0000-0000-0000A4700000}"/>
    <cellStyle name="Normal 2 5 2 3 2 4" xfId="28866" xr:uid="{00000000-0005-0000-0000-0000A5700000}"/>
    <cellStyle name="Normal 2 5 2 3 2 5" xfId="28867" xr:uid="{00000000-0005-0000-0000-0000A6700000}"/>
    <cellStyle name="Normal 2 5 2 3 2 6" xfId="28868" xr:uid="{00000000-0005-0000-0000-0000A7700000}"/>
    <cellStyle name="Normal 2 5 2 3 3" xfId="28869" xr:uid="{00000000-0005-0000-0000-0000A8700000}"/>
    <cellStyle name="Normal 2 5 2 3 3 2" xfId="28870" xr:uid="{00000000-0005-0000-0000-0000A9700000}"/>
    <cellStyle name="Normal 2 5 2 3 3 2 2" xfId="28871" xr:uid="{00000000-0005-0000-0000-0000AA700000}"/>
    <cellStyle name="Normal 2 5 2 3 3 2 3" xfId="28872" xr:uid="{00000000-0005-0000-0000-0000AB700000}"/>
    <cellStyle name="Normal 2 5 2 3 3 3" xfId="28873" xr:uid="{00000000-0005-0000-0000-0000AC700000}"/>
    <cellStyle name="Normal 2 5 2 3 3 4" xfId="28874" xr:uid="{00000000-0005-0000-0000-0000AD700000}"/>
    <cellStyle name="Normal 2 5 2 3 4" xfId="28875" xr:uid="{00000000-0005-0000-0000-0000AE700000}"/>
    <cellStyle name="Normal 2 5 2 3 4 2" xfId="28876" xr:uid="{00000000-0005-0000-0000-0000AF700000}"/>
    <cellStyle name="Normal 2 5 2 3 4 3" xfId="28877" xr:uid="{00000000-0005-0000-0000-0000B0700000}"/>
    <cellStyle name="Normal 2 5 2 3 5" xfId="28878" xr:uid="{00000000-0005-0000-0000-0000B1700000}"/>
    <cellStyle name="Normal 2 5 2 3 6" xfId="28879" xr:uid="{00000000-0005-0000-0000-0000B2700000}"/>
    <cellStyle name="Normal 2 5 2 3 7" xfId="28880" xr:uid="{00000000-0005-0000-0000-0000B3700000}"/>
    <cellStyle name="Normal 2 5 2 4" xfId="28881" xr:uid="{00000000-0005-0000-0000-0000B4700000}"/>
    <cellStyle name="Normal 2 5 2 4 2" xfId="28882" xr:uid="{00000000-0005-0000-0000-0000B5700000}"/>
    <cellStyle name="Normal 2 5 2 4 2 2" xfId="28883" xr:uid="{00000000-0005-0000-0000-0000B6700000}"/>
    <cellStyle name="Normal 2 5 2 4 2 2 2" xfId="28884" xr:uid="{00000000-0005-0000-0000-0000B7700000}"/>
    <cellStyle name="Normal 2 5 2 4 2 2 3" xfId="28885" xr:uid="{00000000-0005-0000-0000-0000B8700000}"/>
    <cellStyle name="Normal 2 5 2 4 2 3" xfId="28886" xr:uid="{00000000-0005-0000-0000-0000B9700000}"/>
    <cellStyle name="Normal 2 5 2 4 2 4" xfId="28887" xr:uid="{00000000-0005-0000-0000-0000BA700000}"/>
    <cellStyle name="Normal 2 5 2 4 3" xfId="28888" xr:uid="{00000000-0005-0000-0000-0000BB700000}"/>
    <cellStyle name="Normal 2 5 2 4 3 2" xfId="28889" xr:uid="{00000000-0005-0000-0000-0000BC700000}"/>
    <cellStyle name="Normal 2 5 2 4 3 3" xfId="28890" xr:uid="{00000000-0005-0000-0000-0000BD700000}"/>
    <cellStyle name="Normal 2 5 2 4 4" xfId="28891" xr:uid="{00000000-0005-0000-0000-0000BE700000}"/>
    <cellStyle name="Normal 2 5 2 4 5" xfId="28892" xr:uid="{00000000-0005-0000-0000-0000BF700000}"/>
    <cellStyle name="Normal 2 5 2 4 6" xfId="28893" xr:uid="{00000000-0005-0000-0000-0000C0700000}"/>
    <cellStyle name="Normal 2 5 2 5" xfId="28894" xr:uid="{00000000-0005-0000-0000-0000C1700000}"/>
    <cellStyle name="Normal 2 5 2 5 2" xfId="28895" xr:uid="{00000000-0005-0000-0000-0000C2700000}"/>
    <cellStyle name="Normal 2 5 2 5 2 2" xfId="28896" xr:uid="{00000000-0005-0000-0000-0000C3700000}"/>
    <cellStyle name="Normal 2 5 2 5 2 3" xfId="28897" xr:uid="{00000000-0005-0000-0000-0000C4700000}"/>
    <cellStyle name="Normal 2 5 2 5 3" xfId="28898" xr:uid="{00000000-0005-0000-0000-0000C5700000}"/>
    <cellStyle name="Normal 2 5 2 5 4" xfId="28899" xr:uid="{00000000-0005-0000-0000-0000C6700000}"/>
    <cellStyle name="Normal 2 5 2 6" xfId="28900" xr:uid="{00000000-0005-0000-0000-0000C7700000}"/>
    <cellStyle name="Normal 2 5 2 6 2" xfId="28901" xr:uid="{00000000-0005-0000-0000-0000C8700000}"/>
    <cellStyle name="Normal 2 5 2 6 3" xfId="28902" xr:uid="{00000000-0005-0000-0000-0000C9700000}"/>
    <cellStyle name="Normal 2 5 2 7" xfId="28903" xr:uid="{00000000-0005-0000-0000-0000CA700000}"/>
    <cellStyle name="Normal 2 5 2 8" xfId="28904" xr:uid="{00000000-0005-0000-0000-0000CB700000}"/>
    <cellStyle name="Normal 2 5 2 9" xfId="28905" xr:uid="{00000000-0005-0000-0000-0000CC700000}"/>
    <cellStyle name="Normal 2 5 3" xfId="28906" xr:uid="{00000000-0005-0000-0000-0000CD700000}"/>
    <cellStyle name="Normal 2 5 3 2" xfId="28907" xr:uid="{00000000-0005-0000-0000-0000CE700000}"/>
    <cellStyle name="Normal 2 5 3 2 2" xfId="28908" xr:uid="{00000000-0005-0000-0000-0000CF700000}"/>
    <cellStyle name="Normal 2 5 3 2 2 2" xfId="28909" xr:uid="{00000000-0005-0000-0000-0000D0700000}"/>
    <cellStyle name="Normal 2 5 3 2 2 2 2" xfId="28910" xr:uid="{00000000-0005-0000-0000-0000D1700000}"/>
    <cellStyle name="Normal 2 5 3 2 2 2 2 2" xfId="28911" xr:uid="{00000000-0005-0000-0000-0000D2700000}"/>
    <cellStyle name="Normal 2 5 3 2 2 2 2 3" xfId="28912" xr:uid="{00000000-0005-0000-0000-0000D3700000}"/>
    <cellStyle name="Normal 2 5 3 2 2 2 3" xfId="28913" xr:uid="{00000000-0005-0000-0000-0000D4700000}"/>
    <cellStyle name="Normal 2 5 3 2 2 2 4" xfId="28914" xr:uid="{00000000-0005-0000-0000-0000D5700000}"/>
    <cellStyle name="Normal 2 5 3 2 2 3" xfId="28915" xr:uid="{00000000-0005-0000-0000-0000D6700000}"/>
    <cellStyle name="Normal 2 5 3 2 2 3 2" xfId="28916" xr:uid="{00000000-0005-0000-0000-0000D7700000}"/>
    <cellStyle name="Normal 2 5 3 2 2 3 3" xfId="28917" xr:uid="{00000000-0005-0000-0000-0000D8700000}"/>
    <cellStyle name="Normal 2 5 3 2 2 4" xfId="28918" xr:uid="{00000000-0005-0000-0000-0000D9700000}"/>
    <cellStyle name="Normal 2 5 3 2 2 5" xfId="28919" xr:uid="{00000000-0005-0000-0000-0000DA700000}"/>
    <cellStyle name="Normal 2 5 3 2 2 6" xfId="28920" xr:uid="{00000000-0005-0000-0000-0000DB700000}"/>
    <cellStyle name="Normal 2 5 3 2 3" xfId="28921" xr:uid="{00000000-0005-0000-0000-0000DC700000}"/>
    <cellStyle name="Normal 2 5 3 2 3 2" xfId="28922" xr:uid="{00000000-0005-0000-0000-0000DD700000}"/>
    <cellStyle name="Normal 2 5 3 2 3 2 2" xfId="28923" xr:uid="{00000000-0005-0000-0000-0000DE700000}"/>
    <cellStyle name="Normal 2 5 3 2 3 2 3" xfId="28924" xr:uid="{00000000-0005-0000-0000-0000DF700000}"/>
    <cellStyle name="Normal 2 5 3 2 3 3" xfId="28925" xr:uid="{00000000-0005-0000-0000-0000E0700000}"/>
    <cellStyle name="Normal 2 5 3 2 3 4" xfId="28926" xr:uid="{00000000-0005-0000-0000-0000E1700000}"/>
    <cellStyle name="Normal 2 5 3 2 4" xfId="28927" xr:uid="{00000000-0005-0000-0000-0000E2700000}"/>
    <cellStyle name="Normal 2 5 3 2 4 2" xfId="28928" xr:uid="{00000000-0005-0000-0000-0000E3700000}"/>
    <cellStyle name="Normal 2 5 3 2 4 3" xfId="28929" xr:uid="{00000000-0005-0000-0000-0000E4700000}"/>
    <cellStyle name="Normal 2 5 3 2 5" xfId="28930" xr:uid="{00000000-0005-0000-0000-0000E5700000}"/>
    <cellStyle name="Normal 2 5 3 2 6" xfId="28931" xr:uid="{00000000-0005-0000-0000-0000E6700000}"/>
    <cellStyle name="Normal 2 5 3 2 7" xfId="28932" xr:uid="{00000000-0005-0000-0000-0000E7700000}"/>
    <cellStyle name="Normal 2 5 3 3" xfId="28933" xr:uid="{00000000-0005-0000-0000-0000E8700000}"/>
    <cellStyle name="Normal 2 5 3 3 2" xfId="28934" xr:uid="{00000000-0005-0000-0000-0000E9700000}"/>
    <cellStyle name="Normal 2 5 3 3 2 2" xfId="28935" xr:uid="{00000000-0005-0000-0000-0000EA700000}"/>
    <cellStyle name="Normal 2 5 3 3 2 2 2" xfId="28936" xr:uid="{00000000-0005-0000-0000-0000EB700000}"/>
    <cellStyle name="Normal 2 5 3 3 2 2 3" xfId="28937" xr:uid="{00000000-0005-0000-0000-0000EC700000}"/>
    <cellStyle name="Normal 2 5 3 3 2 3" xfId="28938" xr:uid="{00000000-0005-0000-0000-0000ED700000}"/>
    <cellStyle name="Normal 2 5 3 3 2 4" xfId="28939" xr:uid="{00000000-0005-0000-0000-0000EE700000}"/>
    <cellStyle name="Normal 2 5 3 3 3" xfId="28940" xr:uid="{00000000-0005-0000-0000-0000EF700000}"/>
    <cellStyle name="Normal 2 5 3 3 3 2" xfId="28941" xr:uid="{00000000-0005-0000-0000-0000F0700000}"/>
    <cellStyle name="Normal 2 5 3 3 3 3" xfId="28942" xr:uid="{00000000-0005-0000-0000-0000F1700000}"/>
    <cellStyle name="Normal 2 5 3 3 4" xfId="28943" xr:uid="{00000000-0005-0000-0000-0000F2700000}"/>
    <cellStyle name="Normal 2 5 3 3 5" xfId="28944" xr:uid="{00000000-0005-0000-0000-0000F3700000}"/>
    <cellStyle name="Normal 2 5 3 3 6" xfId="28945" xr:uid="{00000000-0005-0000-0000-0000F4700000}"/>
    <cellStyle name="Normal 2 5 3 4" xfId="28946" xr:uid="{00000000-0005-0000-0000-0000F5700000}"/>
    <cellStyle name="Normal 2 5 3 4 2" xfId="28947" xr:uid="{00000000-0005-0000-0000-0000F6700000}"/>
    <cellStyle name="Normal 2 5 3 4 2 2" xfId="28948" xr:uid="{00000000-0005-0000-0000-0000F7700000}"/>
    <cellStyle name="Normal 2 5 3 4 2 3" xfId="28949" xr:uid="{00000000-0005-0000-0000-0000F8700000}"/>
    <cellStyle name="Normal 2 5 3 4 3" xfId="28950" xr:uid="{00000000-0005-0000-0000-0000F9700000}"/>
    <cellStyle name="Normal 2 5 3 4 4" xfId="28951" xr:uid="{00000000-0005-0000-0000-0000FA700000}"/>
    <cellStyle name="Normal 2 5 3 5" xfId="28952" xr:uid="{00000000-0005-0000-0000-0000FB700000}"/>
    <cellStyle name="Normal 2 5 3 5 2" xfId="28953" xr:uid="{00000000-0005-0000-0000-0000FC700000}"/>
    <cellStyle name="Normal 2 5 3 5 3" xfId="28954" xr:uid="{00000000-0005-0000-0000-0000FD700000}"/>
    <cellStyle name="Normal 2 5 3 6" xfId="28955" xr:uid="{00000000-0005-0000-0000-0000FE700000}"/>
    <cellStyle name="Normal 2 5 3 7" xfId="28956" xr:uid="{00000000-0005-0000-0000-0000FF700000}"/>
    <cellStyle name="Normal 2 5 3 8" xfId="28957" xr:uid="{00000000-0005-0000-0000-000000710000}"/>
    <cellStyle name="Normal 2 5 4" xfId="28958" xr:uid="{00000000-0005-0000-0000-000001710000}"/>
    <cellStyle name="Normal 2 5 4 2" xfId="28959" xr:uid="{00000000-0005-0000-0000-000002710000}"/>
    <cellStyle name="Normal 2 5 4 2 2" xfId="28960" xr:uid="{00000000-0005-0000-0000-000003710000}"/>
    <cellStyle name="Normal 2 5 4 2 2 2" xfId="28961" xr:uid="{00000000-0005-0000-0000-000004710000}"/>
    <cellStyle name="Normal 2 5 4 2 2 2 2" xfId="28962" xr:uid="{00000000-0005-0000-0000-000005710000}"/>
    <cellStyle name="Normal 2 5 4 2 2 2 3" xfId="28963" xr:uid="{00000000-0005-0000-0000-000006710000}"/>
    <cellStyle name="Normal 2 5 4 2 2 3" xfId="28964" xr:uid="{00000000-0005-0000-0000-000007710000}"/>
    <cellStyle name="Normal 2 5 4 2 2 4" xfId="28965" xr:uid="{00000000-0005-0000-0000-000008710000}"/>
    <cellStyle name="Normal 2 5 4 2 3" xfId="28966" xr:uid="{00000000-0005-0000-0000-000009710000}"/>
    <cellStyle name="Normal 2 5 4 2 3 2" xfId="28967" xr:uid="{00000000-0005-0000-0000-00000A710000}"/>
    <cellStyle name="Normal 2 5 4 2 3 3" xfId="28968" xr:uid="{00000000-0005-0000-0000-00000B710000}"/>
    <cellStyle name="Normal 2 5 4 2 4" xfId="28969" xr:uid="{00000000-0005-0000-0000-00000C710000}"/>
    <cellStyle name="Normal 2 5 4 2 5" xfId="28970" xr:uid="{00000000-0005-0000-0000-00000D710000}"/>
    <cellStyle name="Normal 2 5 4 2 6" xfId="28971" xr:uid="{00000000-0005-0000-0000-00000E710000}"/>
    <cellStyle name="Normal 2 5 4 3" xfId="28972" xr:uid="{00000000-0005-0000-0000-00000F710000}"/>
    <cellStyle name="Normal 2 5 4 3 2" xfId="28973" xr:uid="{00000000-0005-0000-0000-000010710000}"/>
    <cellStyle name="Normal 2 5 4 3 2 2" xfId="28974" xr:uid="{00000000-0005-0000-0000-000011710000}"/>
    <cellStyle name="Normal 2 5 4 3 2 3" xfId="28975" xr:uid="{00000000-0005-0000-0000-000012710000}"/>
    <cellStyle name="Normal 2 5 4 3 3" xfId="28976" xr:uid="{00000000-0005-0000-0000-000013710000}"/>
    <cellStyle name="Normal 2 5 4 3 4" xfId="28977" xr:uid="{00000000-0005-0000-0000-000014710000}"/>
    <cellStyle name="Normal 2 5 4 4" xfId="28978" xr:uid="{00000000-0005-0000-0000-000015710000}"/>
    <cellStyle name="Normal 2 5 4 4 2" xfId="28979" xr:uid="{00000000-0005-0000-0000-000016710000}"/>
    <cellStyle name="Normal 2 5 4 4 3" xfId="28980" xr:uid="{00000000-0005-0000-0000-000017710000}"/>
    <cellStyle name="Normal 2 5 4 5" xfId="28981" xr:uid="{00000000-0005-0000-0000-000018710000}"/>
    <cellStyle name="Normal 2 5 4 6" xfId="28982" xr:uid="{00000000-0005-0000-0000-000019710000}"/>
    <cellStyle name="Normal 2 5 4 7" xfId="28983" xr:uid="{00000000-0005-0000-0000-00001A710000}"/>
    <cellStyle name="Normal 2 5 5" xfId="28984" xr:uid="{00000000-0005-0000-0000-00001B710000}"/>
    <cellStyle name="Normal 2 5 5 2" xfId="28985" xr:uid="{00000000-0005-0000-0000-00001C710000}"/>
    <cellStyle name="Normal 2 5 5 2 2" xfId="28986" xr:uid="{00000000-0005-0000-0000-00001D710000}"/>
    <cellStyle name="Normal 2 5 5 2 2 2" xfId="28987" xr:uid="{00000000-0005-0000-0000-00001E710000}"/>
    <cellStyle name="Normal 2 5 5 2 2 3" xfId="28988" xr:uid="{00000000-0005-0000-0000-00001F710000}"/>
    <cellStyle name="Normal 2 5 5 2 3" xfId="28989" xr:uid="{00000000-0005-0000-0000-000020710000}"/>
    <cellStyle name="Normal 2 5 5 2 4" xfId="28990" xr:uid="{00000000-0005-0000-0000-000021710000}"/>
    <cellStyle name="Normal 2 5 5 3" xfId="28991" xr:uid="{00000000-0005-0000-0000-000022710000}"/>
    <cellStyle name="Normal 2 5 5 3 2" xfId="28992" xr:uid="{00000000-0005-0000-0000-000023710000}"/>
    <cellStyle name="Normal 2 5 5 3 3" xfId="28993" xr:uid="{00000000-0005-0000-0000-000024710000}"/>
    <cellStyle name="Normal 2 5 5 4" xfId="28994" xr:uid="{00000000-0005-0000-0000-000025710000}"/>
    <cellStyle name="Normal 2 5 5 5" xfId="28995" xr:uid="{00000000-0005-0000-0000-000026710000}"/>
    <cellStyle name="Normal 2 5 5 6" xfId="28996" xr:uid="{00000000-0005-0000-0000-000027710000}"/>
    <cellStyle name="Normal 2 5 6" xfId="28997" xr:uid="{00000000-0005-0000-0000-000028710000}"/>
    <cellStyle name="Normal 2 5 6 2" xfId="28998" xr:uid="{00000000-0005-0000-0000-000029710000}"/>
    <cellStyle name="Normal 2 5 6 2 2" xfId="28999" xr:uid="{00000000-0005-0000-0000-00002A710000}"/>
    <cellStyle name="Normal 2 5 6 2 3" xfId="29000" xr:uid="{00000000-0005-0000-0000-00002B710000}"/>
    <cellStyle name="Normal 2 5 6 3" xfId="29001" xr:uid="{00000000-0005-0000-0000-00002C710000}"/>
    <cellStyle name="Normal 2 5 6 4" xfId="29002" xr:uid="{00000000-0005-0000-0000-00002D710000}"/>
    <cellStyle name="Normal 2 5 7" xfId="29003" xr:uid="{00000000-0005-0000-0000-00002E710000}"/>
    <cellStyle name="Normal 2 5 7 2" xfId="29004" xr:uid="{00000000-0005-0000-0000-00002F710000}"/>
    <cellStyle name="Normal 2 5 7 3" xfId="29005" xr:uid="{00000000-0005-0000-0000-000030710000}"/>
    <cellStyle name="Normal 2 5 8" xfId="29006" xr:uid="{00000000-0005-0000-0000-000031710000}"/>
    <cellStyle name="Normal 2 5 9" xfId="29007" xr:uid="{00000000-0005-0000-0000-000032710000}"/>
    <cellStyle name="Normal 2 6" xfId="29008" xr:uid="{00000000-0005-0000-0000-000033710000}"/>
    <cellStyle name="Normal 2 6 10" xfId="29009" xr:uid="{00000000-0005-0000-0000-000034710000}"/>
    <cellStyle name="Normal 2 6 2" xfId="29010" xr:uid="{00000000-0005-0000-0000-000035710000}"/>
    <cellStyle name="Normal 2 6 2 2" xfId="29011" xr:uid="{00000000-0005-0000-0000-000036710000}"/>
    <cellStyle name="Normal 2 6 2 2 2" xfId="29012" xr:uid="{00000000-0005-0000-0000-000037710000}"/>
    <cellStyle name="Normal 2 6 2 2 2 2" xfId="29013" xr:uid="{00000000-0005-0000-0000-000038710000}"/>
    <cellStyle name="Normal 2 6 2 2 2 2 2" xfId="29014" xr:uid="{00000000-0005-0000-0000-000039710000}"/>
    <cellStyle name="Normal 2 6 2 2 2 2 2 2" xfId="29015" xr:uid="{00000000-0005-0000-0000-00003A710000}"/>
    <cellStyle name="Normal 2 6 2 2 2 2 2 2 2" xfId="29016" xr:uid="{00000000-0005-0000-0000-00003B710000}"/>
    <cellStyle name="Normal 2 6 2 2 2 2 2 2 3" xfId="29017" xr:uid="{00000000-0005-0000-0000-00003C710000}"/>
    <cellStyle name="Normal 2 6 2 2 2 2 2 3" xfId="29018" xr:uid="{00000000-0005-0000-0000-00003D710000}"/>
    <cellStyle name="Normal 2 6 2 2 2 2 2 4" xfId="29019" xr:uid="{00000000-0005-0000-0000-00003E710000}"/>
    <cellStyle name="Normal 2 6 2 2 2 2 3" xfId="29020" xr:uid="{00000000-0005-0000-0000-00003F710000}"/>
    <cellStyle name="Normal 2 6 2 2 2 2 3 2" xfId="29021" xr:uid="{00000000-0005-0000-0000-000040710000}"/>
    <cellStyle name="Normal 2 6 2 2 2 2 3 3" xfId="29022" xr:uid="{00000000-0005-0000-0000-000041710000}"/>
    <cellStyle name="Normal 2 6 2 2 2 2 4" xfId="29023" xr:uid="{00000000-0005-0000-0000-000042710000}"/>
    <cellStyle name="Normal 2 6 2 2 2 2 5" xfId="29024" xr:uid="{00000000-0005-0000-0000-000043710000}"/>
    <cellStyle name="Normal 2 6 2 2 2 2 6" xfId="29025" xr:uid="{00000000-0005-0000-0000-000044710000}"/>
    <cellStyle name="Normal 2 6 2 2 2 3" xfId="29026" xr:uid="{00000000-0005-0000-0000-000045710000}"/>
    <cellStyle name="Normal 2 6 2 2 2 3 2" xfId="29027" xr:uid="{00000000-0005-0000-0000-000046710000}"/>
    <cellStyle name="Normal 2 6 2 2 2 3 2 2" xfId="29028" xr:uid="{00000000-0005-0000-0000-000047710000}"/>
    <cellStyle name="Normal 2 6 2 2 2 3 2 3" xfId="29029" xr:uid="{00000000-0005-0000-0000-000048710000}"/>
    <cellStyle name="Normal 2 6 2 2 2 3 3" xfId="29030" xr:uid="{00000000-0005-0000-0000-000049710000}"/>
    <cellStyle name="Normal 2 6 2 2 2 3 4" xfId="29031" xr:uid="{00000000-0005-0000-0000-00004A710000}"/>
    <cellStyle name="Normal 2 6 2 2 2 4" xfId="29032" xr:uid="{00000000-0005-0000-0000-00004B710000}"/>
    <cellStyle name="Normal 2 6 2 2 2 4 2" xfId="29033" xr:uid="{00000000-0005-0000-0000-00004C710000}"/>
    <cellStyle name="Normal 2 6 2 2 2 4 3" xfId="29034" xr:uid="{00000000-0005-0000-0000-00004D710000}"/>
    <cellStyle name="Normal 2 6 2 2 2 5" xfId="29035" xr:uid="{00000000-0005-0000-0000-00004E710000}"/>
    <cellStyle name="Normal 2 6 2 2 2 6" xfId="29036" xr:uid="{00000000-0005-0000-0000-00004F710000}"/>
    <cellStyle name="Normal 2 6 2 2 2 7" xfId="29037" xr:uid="{00000000-0005-0000-0000-000050710000}"/>
    <cellStyle name="Normal 2 6 2 2 3" xfId="29038" xr:uid="{00000000-0005-0000-0000-000051710000}"/>
    <cellStyle name="Normal 2 6 2 2 3 2" xfId="29039" xr:uid="{00000000-0005-0000-0000-000052710000}"/>
    <cellStyle name="Normal 2 6 2 2 3 2 2" xfId="29040" xr:uid="{00000000-0005-0000-0000-000053710000}"/>
    <cellStyle name="Normal 2 6 2 2 3 2 2 2" xfId="29041" xr:uid="{00000000-0005-0000-0000-000054710000}"/>
    <cellStyle name="Normal 2 6 2 2 3 2 2 3" xfId="29042" xr:uid="{00000000-0005-0000-0000-000055710000}"/>
    <cellStyle name="Normal 2 6 2 2 3 2 3" xfId="29043" xr:uid="{00000000-0005-0000-0000-000056710000}"/>
    <cellStyle name="Normal 2 6 2 2 3 2 4" xfId="29044" xr:uid="{00000000-0005-0000-0000-000057710000}"/>
    <cellStyle name="Normal 2 6 2 2 3 3" xfId="29045" xr:uid="{00000000-0005-0000-0000-000058710000}"/>
    <cellStyle name="Normal 2 6 2 2 3 3 2" xfId="29046" xr:uid="{00000000-0005-0000-0000-000059710000}"/>
    <cellStyle name="Normal 2 6 2 2 3 3 3" xfId="29047" xr:uid="{00000000-0005-0000-0000-00005A710000}"/>
    <cellStyle name="Normal 2 6 2 2 3 4" xfId="29048" xr:uid="{00000000-0005-0000-0000-00005B710000}"/>
    <cellStyle name="Normal 2 6 2 2 3 5" xfId="29049" xr:uid="{00000000-0005-0000-0000-00005C710000}"/>
    <cellStyle name="Normal 2 6 2 2 3 6" xfId="29050" xr:uid="{00000000-0005-0000-0000-00005D710000}"/>
    <cellStyle name="Normal 2 6 2 2 4" xfId="29051" xr:uid="{00000000-0005-0000-0000-00005E710000}"/>
    <cellStyle name="Normal 2 6 2 2 4 2" xfId="29052" xr:uid="{00000000-0005-0000-0000-00005F710000}"/>
    <cellStyle name="Normal 2 6 2 2 4 2 2" xfId="29053" xr:uid="{00000000-0005-0000-0000-000060710000}"/>
    <cellStyle name="Normal 2 6 2 2 4 2 3" xfId="29054" xr:uid="{00000000-0005-0000-0000-000061710000}"/>
    <cellStyle name="Normal 2 6 2 2 4 3" xfId="29055" xr:uid="{00000000-0005-0000-0000-000062710000}"/>
    <cellStyle name="Normal 2 6 2 2 4 4" xfId="29056" xr:uid="{00000000-0005-0000-0000-000063710000}"/>
    <cellStyle name="Normal 2 6 2 2 5" xfId="29057" xr:uid="{00000000-0005-0000-0000-000064710000}"/>
    <cellStyle name="Normal 2 6 2 2 5 2" xfId="29058" xr:uid="{00000000-0005-0000-0000-000065710000}"/>
    <cellStyle name="Normal 2 6 2 2 5 3" xfId="29059" xr:uid="{00000000-0005-0000-0000-000066710000}"/>
    <cellStyle name="Normal 2 6 2 2 6" xfId="29060" xr:uid="{00000000-0005-0000-0000-000067710000}"/>
    <cellStyle name="Normal 2 6 2 2 7" xfId="29061" xr:uid="{00000000-0005-0000-0000-000068710000}"/>
    <cellStyle name="Normal 2 6 2 2 8" xfId="29062" xr:uid="{00000000-0005-0000-0000-000069710000}"/>
    <cellStyle name="Normal 2 6 2 3" xfId="29063" xr:uid="{00000000-0005-0000-0000-00006A710000}"/>
    <cellStyle name="Normal 2 6 2 3 2" xfId="29064" xr:uid="{00000000-0005-0000-0000-00006B710000}"/>
    <cellStyle name="Normal 2 6 2 3 2 2" xfId="29065" xr:uid="{00000000-0005-0000-0000-00006C710000}"/>
    <cellStyle name="Normal 2 6 2 3 2 2 2" xfId="29066" xr:uid="{00000000-0005-0000-0000-00006D710000}"/>
    <cellStyle name="Normal 2 6 2 3 2 2 2 2" xfId="29067" xr:uid="{00000000-0005-0000-0000-00006E710000}"/>
    <cellStyle name="Normal 2 6 2 3 2 2 2 3" xfId="29068" xr:uid="{00000000-0005-0000-0000-00006F710000}"/>
    <cellStyle name="Normal 2 6 2 3 2 2 3" xfId="29069" xr:uid="{00000000-0005-0000-0000-000070710000}"/>
    <cellStyle name="Normal 2 6 2 3 2 2 4" xfId="29070" xr:uid="{00000000-0005-0000-0000-000071710000}"/>
    <cellStyle name="Normal 2 6 2 3 2 3" xfId="29071" xr:uid="{00000000-0005-0000-0000-000072710000}"/>
    <cellStyle name="Normal 2 6 2 3 2 3 2" xfId="29072" xr:uid="{00000000-0005-0000-0000-000073710000}"/>
    <cellStyle name="Normal 2 6 2 3 2 3 3" xfId="29073" xr:uid="{00000000-0005-0000-0000-000074710000}"/>
    <cellStyle name="Normal 2 6 2 3 2 4" xfId="29074" xr:uid="{00000000-0005-0000-0000-000075710000}"/>
    <cellStyle name="Normal 2 6 2 3 2 5" xfId="29075" xr:uid="{00000000-0005-0000-0000-000076710000}"/>
    <cellStyle name="Normal 2 6 2 3 2 6" xfId="29076" xr:uid="{00000000-0005-0000-0000-000077710000}"/>
    <cellStyle name="Normal 2 6 2 3 3" xfId="29077" xr:uid="{00000000-0005-0000-0000-000078710000}"/>
    <cellStyle name="Normal 2 6 2 3 3 2" xfId="29078" xr:uid="{00000000-0005-0000-0000-000079710000}"/>
    <cellStyle name="Normal 2 6 2 3 3 2 2" xfId="29079" xr:uid="{00000000-0005-0000-0000-00007A710000}"/>
    <cellStyle name="Normal 2 6 2 3 3 2 3" xfId="29080" xr:uid="{00000000-0005-0000-0000-00007B710000}"/>
    <cellStyle name="Normal 2 6 2 3 3 3" xfId="29081" xr:uid="{00000000-0005-0000-0000-00007C710000}"/>
    <cellStyle name="Normal 2 6 2 3 3 4" xfId="29082" xr:uid="{00000000-0005-0000-0000-00007D710000}"/>
    <cellStyle name="Normal 2 6 2 3 4" xfId="29083" xr:uid="{00000000-0005-0000-0000-00007E710000}"/>
    <cellStyle name="Normal 2 6 2 3 4 2" xfId="29084" xr:uid="{00000000-0005-0000-0000-00007F710000}"/>
    <cellStyle name="Normal 2 6 2 3 4 3" xfId="29085" xr:uid="{00000000-0005-0000-0000-000080710000}"/>
    <cellStyle name="Normal 2 6 2 3 5" xfId="29086" xr:uid="{00000000-0005-0000-0000-000081710000}"/>
    <cellStyle name="Normal 2 6 2 3 6" xfId="29087" xr:uid="{00000000-0005-0000-0000-000082710000}"/>
    <cellStyle name="Normal 2 6 2 3 7" xfId="29088" xr:uid="{00000000-0005-0000-0000-000083710000}"/>
    <cellStyle name="Normal 2 6 2 4" xfId="29089" xr:uid="{00000000-0005-0000-0000-000084710000}"/>
    <cellStyle name="Normal 2 6 2 4 2" xfId="29090" xr:uid="{00000000-0005-0000-0000-000085710000}"/>
    <cellStyle name="Normal 2 6 2 4 2 2" xfId="29091" xr:uid="{00000000-0005-0000-0000-000086710000}"/>
    <cellStyle name="Normal 2 6 2 4 2 2 2" xfId="29092" xr:uid="{00000000-0005-0000-0000-000087710000}"/>
    <cellStyle name="Normal 2 6 2 4 2 2 3" xfId="29093" xr:uid="{00000000-0005-0000-0000-000088710000}"/>
    <cellStyle name="Normal 2 6 2 4 2 3" xfId="29094" xr:uid="{00000000-0005-0000-0000-000089710000}"/>
    <cellStyle name="Normal 2 6 2 4 2 4" xfId="29095" xr:uid="{00000000-0005-0000-0000-00008A710000}"/>
    <cellStyle name="Normal 2 6 2 4 3" xfId="29096" xr:uid="{00000000-0005-0000-0000-00008B710000}"/>
    <cellStyle name="Normal 2 6 2 4 3 2" xfId="29097" xr:uid="{00000000-0005-0000-0000-00008C710000}"/>
    <cellStyle name="Normal 2 6 2 4 3 3" xfId="29098" xr:uid="{00000000-0005-0000-0000-00008D710000}"/>
    <cellStyle name="Normal 2 6 2 4 4" xfId="29099" xr:uid="{00000000-0005-0000-0000-00008E710000}"/>
    <cellStyle name="Normal 2 6 2 4 5" xfId="29100" xr:uid="{00000000-0005-0000-0000-00008F710000}"/>
    <cellStyle name="Normal 2 6 2 4 6" xfId="29101" xr:uid="{00000000-0005-0000-0000-000090710000}"/>
    <cellStyle name="Normal 2 6 2 5" xfId="29102" xr:uid="{00000000-0005-0000-0000-000091710000}"/>
    <cellStyle name="Normal 2 6 2 5 2" xfId="29103" xr:uid="{00000000-0005-0000-0000-000092710000}"/>
    <cellStyle name="Normal 2 6 2 5 2 2" xfId="29104" xr:uid="{00000000-0005-0000-0000-000093710000}"/>
    <cellStyle name="Normal 2 6 2 5 2 3" xfId="29105" xr:uid="{00000000-0005-0000-0000-000094710000}"/>
    <cellStyle name="Normal 2 6 2 5 3" xfId="29106" xr:uid="{00000000-0005-0000-0000-000095710000}"/>
    <cellStyle name="Normal 2 6 2 5 4" xfId="29107" xr:uid="{00000000-0005-0000-0000-000096710000}"/>
    <cellStyle name="Normal 2 6 2 6" xfId="29108" xr:uid="{00000000-0005-0000-0000-000097710000}"/>
    <cellStyle name="Normal 2 6 2 6 2" xfId="29109" xr:uid="{00000000-0005-0000-0000-000098710000}"/>
    <cellStyle name="Normal 2 6 2 6 3" xfId="29110" xr:uid="{00000000-0005-0000-0000-000099710000}"/>
    <cellStyle name="Normal 2 6 2 7" xfId="29111" xr:uid="{00000000-0005-0000-0000-00009A710000}"/>
    <cellStyle name="Normal 2 6 2 8" xfId="29112" xr:uid="{00000000-0005-0000-0000-00009B710000}"/>
    <cellStyle name="Normal 2 6 2 9" xfId="29113" xr:uid="{00000000-0005-0000-0000-00009C710000}"/>
    <cellStyle name="Normal 2 6 3" xfId="29114" xr:uid="{00000000-0005-0000-0000-00009D710000}"/>
    <cellStyle name="Normal 2 6 3 2" xfId="29115" xr:uid="{00000000-0005-0000-0000-00009E710000}"/>
    <cellStyle name="Normal 2 6 3 2 2" xfId="29116" xr:uid="{00000000-0005-0000-0000-00009F710000}"/>
    <cellStyle name="Normal 2 6 3 2 2 2" xfId="29117" xr:uid="{00000000-0005-0000-0000-0000A0710000}"/>
    <cellStyle name="Normal 2 6 3 2 2 2 2" xfId="29118" xr:uid="{00000000-0005-0000-0000-0000A1710000}"/>
    <cellStyle name="Normal 2 6 3 2 2 2 2 2" xfId="29119" xr:uid="{00000000-0005-0000-0000-0000A2710000}"/>
    <cellStyle name="Normal 2 6 3 2 2 2 2 3" xfId="29120" xr:uid="{00000000-0005-0000-0000-0000A3710000}"/>
    <cellStyle name="Normal 2 6 3 2 2 2 3" xfId="29121" xr:uid="{00000000-0005-0000-0000-0000A4710000}"/>
    <cellStyle name="Normal 2 6 3 2 2 2 4" xfId="29122" xr:uid="{00000000-0005-0000-0000-0000A5710000}"/>
    <cellStyle name="Normal 2 6 3 2 2 3" xfId="29123" xr:uid="{00000000-0005-0000-0000-0000A6710000}"/>
    <cellStyle name="Normal 2 6 3 2 2 3 2" xfId="29124" xr:uid="{00000000-0005-0000-0000-0000A7710000}"/>
    <cellStyle name="Normal 2 6 3 2 2 3 3" xfId="29125" xr:uid="{00000000-0005-0000-0000-0000A8710000}"/>
    <cellStyle name="Normal 2 6 3 2 2 4" xfId="29126" xr:uid="{00000000-0005-0000-0000-0000A9710000}"/>
    <cellStyle name="Normal 2 6 3 2 2 5" xfId="29127" xr:uid="{00000000-0005-0000-0000-0000AA710000}"/>
    <cellStyle name="Normal 2 6 3 2 2 6" xfId="29128" xr:uid="{00000000-0005-0000-0000-0000AB710000}"/>
    <cellStyle name="Normal 2 6 3 2 3" xfId="29129" xr:uid="{00000000-0005-0000-0000-0000AC710000}"/>
    <cellStyle name="Normal 2 6 3 2 3 2" xfId="29130" xr:uid="{00000000-0005-0000-0000-0000AD710000}"/>
    <cellStyle name="Normal 2 6 3 2 3 2 2" xfId="29131" xr:uid="{00000000-0005-0000-0000-0000AE710000}"/>
    <cellStyle name="Normal 2 6 3 2 3 2 3" xfId="29132" xr:uid="{00000000-0005-0000-0000-0000AF710000}"/>
    <cellStyle name="Normal 2 6 3 2 3 3" xfId="29133" xr:uid="{00000000-0005-0000-0000-0000B0710000}"/>
    <cellStyle name="Normal 2 6 3 2 3 4" xfId="29134" xr:uid="{00000000-0005-0000-0000-0000B1710000}"/>
    <cellStyle name="Normal 2 6 3 2 4" xfId="29135" xr:uid="{00000000-0005-0000-0000-0000B2710000}"/>
    <cellStyle name="Normal 2 6 3 2 4 2" xfId="29136" xr:uid="{00000000-0005-0000-0000-0000B3710000}"/>
    <cellStyle name="Normal 2 6 3 2 4 3" xfId="29137" xr:uid="{00000000-0005-0000-0000-0000B4710000}"/>
    <cellStyle name="Normal 2 6 3 2 5" xfId="29138" xr:uid="{00000000-0005-0000-0000-0000B5710000}"/>
    <cellStyle name="Normal 2 6 3 2 6" xfId="29139" xr:uid="{00000000-0005-0000-0000-0000B6710000}"/>
    <cellStyle name="Normal 2 6 3 2 7" xfId="29140" xr:uid="{00000000-0005-0000-0000-0000B7710000}"/>
    <cellStyle name="Normal 2 6 3 3" xfId="29141" xr:uid="{00000000-0005-0000-0000-0000B8710000}"/>
    <cellStyle name="Normal 2 6 3 3 2" xfId="29142" xr:uid="{00000000-0005-0000-0000-0000B9710000}"/>
    <cellStyle name="Normal 2 6 3 3 2 2" xfId="29143" xr:uid="{00000000-0005-0000-0000-0000BA710000}"/>
    <cellStyle name="Normal 2 6 3 3 2 2 2" xfId="29144" xr:uid="{00000000-0005-0000-0000-0000BB710000}"/>
    <cellStyle name="Normal 2 6 3 3 2 2 3" xfId="29145" xr:uid="{00000000-0005-0000-0000-0000BC710000}"/>
    <cellStyle name="Normal 2 6 3 3 2 3" xfId="29146" xr:uid="{00000000-0005-0000-0000-0000BD710000}"/>
    <cellStyle name="Normal 2 6 3 3 2 4" xfId="29147" xr:uid="{00000000-0005-0000-0000-0000BE710000}"/>
    <cellStyle name="Normal 2 6 3 3 3" xfId="29148" xr:uid="{00000000-0005-0000-0000-0000BF710000}"/>
    <cellStyle name="Normal 2 6 3 3 3 2" xfId="29149" xr:uid="{00000000-0005-0000-0000-0000C0710000}"/>
    <cellStyle name="Normal 2 6 3 3 3 3" xfId="29150" xr:uid="{00000000-0005-0000-0000-0000C1710000}"/>
    <cellStyle name="Normal 2 6 3 3 4" xfId="29151" xr:uid="{00000000-0005-0000-0000-0000C2710000}"/>
    <cellStyle name="Normal 2 6 3 3 5" xfId="29152" xr:uid="{00000000-0005-0000-0000-0000C3710000}"/>
    <cellStyle name="Normal 2 6 3 3 6" xfId="29153" xr:uid="{00000000-0005-0000-0000-0000C4710000}"/>
    <cellStyle name="Normal 2 6 3 4" xfId="29154" xr:uid="{00000000-0005-0000-0000-0000C5710000}"/>
    <cellStyle name="Normal 2 6 3 4 2" xfId="29155" xr:uid="{00000000-0005-0000-0000-0000C6710000}"/>
    <cellStyle name="Normal 2 6 3 4 2 2" xfId="29156" xr:uid="{00000000-0005-0000-0000-0000C7710000}"/>
    <cellStyle name="Normal 2 6 3 4 2 3" xfId="29157" xr:uid="{00000000-0005-0000-0000-0000C8710000}"/>
    <cellStyle name="Normal 2 6 3 4 3" xfId="29158" xr:uid="{00000000-0005-0000-0000-0000C9710000}"/>
    <cellStyle name="Normal 2 6 3 4 4" xfId="29159" xr:uid="{00000000-0005-0000-0000-0000CA710000}"/>
    <cellStyle name="Normal 2 6 3 5" xfId="29160" xr:uid="{00000000-0005-0000-0000-0000CB710000}"/>
    <cellStyle name="Normal 2 6 3 5 2" xfId="29161" xr:uid="{00000000-0005-0000-0000-0000CC710000}"/>
    <cellStyle name="Normal 2 6 3 5 3" xfId="29162" xr:uid="{00000000-0005-0000-0000-0000CD710000}"/>
    <cellStyle name="Normal 2 6 3 6" xfId="29163" xr:uid="{00000000-0005-0000-0000-0000CE710000}"/>
    <cellStyle name="Normal 2 6 3 7" xfId="29164" xr:uid="{00000000-0005-0000-0000-0000CF710000}"/>
    <cellStyle name="Normal 2 6 3 8" xfId="29165" xr:uid="{00000000-0005-0000-0000-0000D0710000}"/>
    <cellStyle name="Normal 2 6 4" xfId="29166" xr:uid="{00000000-0005-0000-0000-0000D1710000}"/>
    <cellStyle name="Normal 2 6 4 2" xfId="29167" xr:uid="{00000000-0005-0000-0000-0000D2710000}"/>
    <cellStyle name="Normal 2 6 4 2 2" xfId="29168" xr:uid="{00000000-0005-0000-0000-0000D3710000}"/>
    <cellStyle name="Normal 2 6 4 2 2 2" xfId="29169" xr:uid="{00000000-0005-0000-0000-0000D4710000}"/>
    <cellStyle name="Normal 2 6 4 2 2 2 2" xfId="29170" xr:uid="{00000000-0005-0000-0000-0000D5710000}"/>
    <cellStyle name="Normal 2 6 4 2 2 2 3" xfId="29171" xr:uid="{00000000-0005-0000-0000-0000D6710000}"/>
    <cellStyle name="Normal 2 6 4 2 2 3" xfId="29172" xr:uid="{00000000-0005-0000-0000-0000D7710000}"/>
    <cellStyle name="Normal 2 6 4 2 2 4" xfId="29173" xr:uid="{00000000-0005-0000-0000-0000D8710000}"/>
    <cellStyle name="Normal 2 6 4 2 3" xfId="29174" xr:uid="{00000000-0005-0000-0000-0000D9710000}"/>
    <cellStyle name="Normal 2 6 4 2 3 2" xfId="29175" xr:uid="{00000000-0005-0000-0000-0000DA710000}"/>
    <cellStyle name="Normal 2 6 4 2 3 3" xfId="29176" xr:uid="{00000000-0005-0000-0000-0000DB710000}"/>
    <cellStyle name="Normal 2 6 4 2 4" xfId="29177" xr:uid="{00000000-0005-0000-0000-0000DC710000}"/>
    <cellStyle name="Normal 2 6 4 2 5" xfId="29178" xr:uid="{00000000-0005-0000-0000-0000DD710000}"/>
    <cellStyle name="Normal 2 6 4 2 6" xfId="29179" xr:uid="{00000000-0005-0000-0000-0000DE710000}"/>
    <cellStyle name="Normal 2 6 4 3" xfId="29180" xr:uid="{00000000-0005-0000-0000-0000DF710000}"/>
    <cellStyle name="Normal 2 6 4 3 2" xfId="29181" xr:uid="{00000000-0005-0000-0000-0000E0710000}"/>
    <cellStyle name="Normal 2 6 4 3 2 2" xfId="29182" xr:uid="{00000000-0005-0000-0000-0000E1710000}"/>
    <cellStyle name="Normal 2 6 4 3 2 3" xfId="29183" xr:uid="{00000000-0005-0000-0000-0000E2710000}"/>
    <cellStyle name="Normal 2 6 4 3 3" xfId="29184" xr:uid="{00000000-0005-0000-0000-0000E3710000}"/>
    <cellStyle name="Normal 2 6 4 3 4" xfId="29185" xr:uid="{00000000-0005-0000-0000-0000E4710000}"/>
    <cellStyle name="Normal 2 6 4 4" xfId="29186" xr:uid="{00000000-0005-0000-0000-0000E5710000}"/>
    <cellStyle name="Normal 2 6 4 4 2" xfId="29187" xr:uid="{00000000-0005-0000-0000-0000E6710000}"/>
    <cellStyle name="Normal 2 6 4 4 3" xfId="29188" xr:uid="{00000000-0005-0000-0000-0000E7710000}"/>
    <cellStyle name="Normal 2 6 4 5" xfId="29189" xr:uid="{00000000-0005-0000-0000-0000E8710000}"/>
    <cellStyle name="Normal 2 6 4 6" xfId="29190" xr:uid="{00000000-0005-0000-0000-0000E9710000}"/>
    <cellStyle name="Normal 2 6 4 7" xfId="29191" xr:uid="{00000000-0005-0000-0000-0000EA710000}"/>
    <cellStyle name="Normal 2 6 5" xfId="29192" xr:uid="{00000000-0005-0000-0000-0000EB710000}"/>
    <cellStyle name="Normal 2 6 5 2" xfId="29193" xr:uid="{00000000-0005-0000-0000-0000EC710000}"/>
    <cellStyle name="Normal 2 6 5 2 2" xfId="29194" xr:uid="{00000000-0005-0000-0000-0000ED710000}"/>
    <cellStyle name="Normal 2 6 5 2 2 2" xfId="29195" xr:uid="{00000000-0005-0000-0000-0000EE710000}"/>
    <cellStyle name="Normal 2 6 5 2 2 3" xfId="29196" xr:uid="{00000000-0005-0000-0000-0000EF710000}"/>
    <cellStyle name="Normal 2 6 5 2 3" xfId="29197" xr:uid="{00000000-0005-0000-0000-0000F0710000}"/>
    <cellStyle name="Normal 2 6 5 2 4" xfId="29198" xr:uid="{00000000-0005-0000-0000-0000F1710000}"/>
    <cellStyle name="Normal 2 6 5 3" xfId="29199" xr:uid="{00000000-0005-0000-0000-0000F2710000}"/>
    <cellStyle name="Normal 2 6 5 3 2" xfId="29200" xr:uid="{00000000-0005-0000-0000-0000F3710000}"/>
    <cellStyle name="Normal 2 6 5 3 3" xfId="29201" xr:uid="{00000000-0005-0000-0000-0000F4710000}"/>
    <cellStyle name="Normal 2 6 5 4" xfId="29202" xr:uid="{00000000-0005-0000-0000-0000F5710000}"/>
    <cellStyle name="Normal 2 6 5 5" xfId="29203" xr:uid="{00000000-0005-0000-0000-0000F6710000}"/>
    <cellStyle name="Normal 2 6 5 6" xfId="29204" xr:uid="{00000000-0005-0000-0000-0000F7710000}"/>
    <cellStyle name="Normal 2 6 6" xfId="29205" xr:uid="{00000000-0005-0000-0000-0000F8710000}"/>
    <cellStyle name="Normal 2 6 6 2" xfId="29206" xr:uid="{00000000-0005-0000-0000-0000F9710000}"/>
    <cellStyle name="Normal 2 6 6 2 2" xfId="29207" xr:uid="{00000000-0005-0000-0000-0000FA710000}"/>
    <cellStyle name="Normal 2 6 6 2 3" xfId="29208" xr:uid="{00000000-0005-0000-0000-0000FB710000}"/>
    <cellStyle name="Normal 2 6 6 3" xfId="29209" xr:uid="{00000000-0005-0000-0000-0000FC710000}"/>
    <cellStyle name="Normal 2 6 6 4" xfId="29210" xr:uid="{00000000-0005-0000-0000-0000FD710000}"/>
    <cellStyle name="Normal 2 6 7" xfId="29211" xr:uid="{00000000-0005-0000-0000-0000FE710000}"/>
    <cellStyle name="Normal 2 6 7 2" xfId="29212" xr:uid="{00000000-0005-0000-0000-0000FF710000}"/>
    <cellStyle name="Normal 2 6 7 3" xfId="29213" xr:uid="{00000000-0005-0000-0000-000000720000}"/>
    <cellStyle name="Normal 2 6 8" xfId="29214" xr:uid="{00000000-0005-0000-0000-000001720000}"/>
    <cellStyle name="Normal 2 6 9" xfId="29215" xr:uid="{00000000-0005-0000-0000-000002720000}"/>
    <cellStyle name="Normal 2 7" xfId="29216" xr:uid="{00000000-0005-0000-0000-000003720000}"/>
    <cellStyle name="Normal 2 7 2" xfId="29217" xr:uid="{00000000-0005-0000-0000-000004720000}"/>
    <cellStyle name="Normal 2 7 2 2" xfId="29218" xr:uid="{00000000-0005-0000-0000-000005720000}"/>
    <cellStyle name="Normal 2 7 2 2 2" xfId="29219" xr:uid="{00000000-0005-0000-0000-000006720000}"/>
    <cellStyle name="Normal 2 7 2 2 2 2" xfId="29220" xr:uid="{00000000-0005-0000-0000-000007720000}"/>
    <cellStyle name="Normal 2 7 2 2 2 2 2" xfId="29221" xr:uid="{00000000-0005-0000-0000-000008720000}"/>
    <cellStyle name="Normal 2 7 2 2 2 2 2 2" xfId="29222" xr:uid="{00000000-0005-0000-0000-000009720000}"/>
    <cellStyle name="Normal 2 7 2 2 2 2 2 3" xfId="29223" xr:uid="{00000000-0005-0000-0000-00000A720000}"/>
    <cellStyle name="Normal 2 7 2 2 2 2 3" xfId="29224" xr:uid="{00000000-0005-0000-0000-00000B720000}"/>
    <cellStyle name="Normal 2 7 2 2 2 2 4" xfId="29225" xr:uid="{00000000-0005-0000-0000-00000C720000}"/>
    <cellStyle name="Normal 2 7 2 2 2 3" xfId="29226" xr:uid="{00000000-0005-0000-0000-00000D720000}"/>
    <cellStyle name="Normal 2 7 2 2 2 3 2" xfId="29227" xr:uid="{00000000-0005-0000-0000-00000E720000}"/>
    <cellStyle name="Normal 2 7 2 2 2 3 3" xfId="29228" xr:uid="{00000000-0005-0000-0000-00000F720000}"/>
    <cellStyle name="Normal 2 7 2 2 2 4" xfId="29229" xr:uid="{00000000-0005-0000-0000-000010720000}"/>
    <cellStyle name="Normal 2 7 2 2 2 5" xfId="29230" xr:uid="{00000000-0005-0000-0000-000011720000}"/>
    <cellStyle name="Normal 2 7 2 2 2 6" xfId="29231" xr:uid="{00000000-0005-0000-0000-000012720000}"/>
    <cellStyle name="Normal 2 7 2 2 3" xfId="29232" xr:uid="{00000000-0005-0000-0000-000013720000}"/>
    <cellStyle name="Normal 2 7 2 2 3 2" xfId="29233" xr:uid="{00000000-0005-0000-0000-000014720000}"/>
    <cellStyle name="Normal 2 7 2 2 3 2 2" xfId="29234" xr:uid="{00000000-0005-0000-0000-000015720000}"/>
    <cellStyle name="Normal 2 7 2 2 3 2 3" xfId="29235" xr:uid="{00000000-0005-0000-0000-000016720000}"/>
    <cellStyle name="Normal 2 7 2 2 3 3" xfId="29236" xr:uid="{00000000-0005-0000-0000-000017720000}"/>
    <cellStyle name="Normal 2 7 2 2 3 4" xfId="29237" xr:uid="{00000000-0005-0000-0000-000018720000}"/>
    <cellStyle name="Normal 2 7 2 2 4" xfId="29238" xr:uid="{00000000-0005-0000-0000-000019720000}"/>
    <cellStyle name="Normal 2 7 2 2 4 2" xfId="29239" xr:uid="{00000000-0005-0000-0000-00001A720000}"/>
    <cellStyle name="Normal 2 7 2 2 4 3" xfId="29240" xr:uid="{00000000-0005-0000-0000-00001B720000}"/>
    <cellStyle name="Normal 2 7 2 2 5" xfId="29241" xr:uid="{00000000-0005-0000-0000-00001C720000}"/>
    <cellStyle name="Normal 2 7 2 2 6" xfId="29242" xr:uid="{00000000-0005-0000-0000-00001D720000}"/>
    <cellStyle name="Normal 2 7 2 2 7" xfId="29243" xr:uid="{00000000-0005-0000-0000-00001E720000}"/>
    <cellStyle name="Normal 2 7 2 3" xfId="29244" xr:uid="{00000000-0005-0000-0000-00001F720000}"/>
    <cellStyle name="Normal 2 7 2 3 2" xfId="29245" xr:uid="{00000000-0005-0000-0000-000020720000}"/>
    <cellStyle name="Normal 2 7 2 3 2 2" xfId="29246" xr:uid="{00000000-0005-0000-0000-000021720000}"/>
    <cellStyle name="Normal 2 7 2 3 2 2 2" xfId="29247" xr:uid="{00000000-0005-0000-0000-000022720000}"/>
    <cellStyle name="Normal 2 7 2 3 2 2 3" xfId="29248" xr:uid="{00000000-0005-0000-0000-000023720000}"/>
    <cellStyle name="Normal 2 7 2 3 2 3" xfId="29249" xr:uid="{00000000-0005-0000-0000-000024720000}"/>
    <cellStyle name="Normal 2 7 2 3 2 4" xfId="29250" xr:uid="{00000000-0005-0000-0000-000025720000}"/>
    <cellStyle name="Normal 2 7 2 3 3" xfId="29251" xr:uid="{00000000-0005-0000-0000-000026720000}"/>
    <cellStyle name="Normal 2 7 2 3 3 2" xfId="29252" xr:uid="{00000000-0005-0000-0000-000027720000}"/>
    <cellStyle name="Normal 2 7 2 3 3 3" xfId="29253" xr:uid="{00000000-0005-0000-0000-000028720000}"/>
    <cellStyle name="Normal 2 7 2 3 4" xfId="29254" xr:uid="{00000000-0005-0000-0000-000029720000}"/>
    <cellStyle name="Normal 2 7 2 3 5" xfId="29255" xr:uid="{00000000-0005-0000-0000-00002A720000}"/>
    <cellStyle name="Normal 2 7 2 3 6" xfId="29256" xr:uid="{00000000-0005-0000-0000-00002B720000}"/>
    <cellStyle name="Normal 2 7 2 4" xfId="29257" xr:uid="{00000000-0005-0000-0000-00002C720000}"/>
    <cellStyle name="Normal 2 7 2 4 2" xfId="29258" xr:uid="{00000000-0005-0000-0000-00002D720000}"/>
    <cellStyle name="Normal 2 7 2 4 2 2" xfId="29259" xr:uid="{00000000-0005-0000-0000-00002E720000}"/>
    <cellStyle name="Normal 2 7 2 4 2 3" xfId="29260" xr:uid="{00000000-0005-0000-0000-00002F720000}"/>
    <cellStyle name="Normal 2 7 2 4 3" xfId="29261" xr:uid="{00000000-0005-0000-0000-000030720000}"/>
    <cellStyle name="Normal 2 7 2 4 4" xfId="29262" xr:uid="{00000000-0005-0000-0000-000031720000}"/>
    <cellStyle name="Normal 2 7 2 5" xfId="29263" xr:uid="{00000000-0005-0000-0000-000032720000}"/>
    <cellStyle name="Normal 2 7 2 5 2" xfId="29264" xr:uid="{00000000-0005-0000-0000-000033720000}"/>
    <cellStyle name="Normal 2 7 2 5 3" xfId="29265" xr:uid="{00000000-0005-0000-0000-000034720000}"/>
    <cellStyle name="Normal 2 7 2 6" xfId="29266" xr:uid="{00000000-0005-0000-0000-000035720000}"/>
    <cellStyle name="Normal 2 7 2 7" xfId="29267" xr:uid="{00000000-0005-0000-0000-000036720000}"/>
    <cellStyle name="Normal 2 7 2 8" xfId="29268" xr:uid="{00000000-0005-0000-0000-000037720000}"/>
    <cellStyle name="Normal 2 7 3" xfId="29269" xr:uid="{00000000-0005-0000-0000-000038720000}"/>
    <cellStyle name="Normal 2 7 3 2" xfId="29270" xr:uid="{00000000-0005-0000-0000-000039720000}"/>
    <cellStyle name="Normal 2 7 3 2 2" xfId="29271" xr:uid="{00000000-0005-0000-0000-00003A720000}"/>
    <cellStyle name="Normal 2 7 3 2 2 2" xfId="29272" xr:uid="{00000000-0005-0000-0000-00003B720000}"/>
    <cellStyle name="Normal 2 7 3 2 2 2 2" xfId="29273" xr:uid="{00000000-0005-0000-0000-00003C720000}"/>
    <cellStyle name="Normal 2 7 3 2 2 2 3" xfId="29274" xr:uid="{00000000-0005-0000-0000-00003D720000}"/>
    <cellStyle name="Normal 2 7 3 2 2 3" xfId="29275" xr:uid="{00000000-0005-0000-0000-00003E720000}"/>
    <cellStyle name="Normal 2 7 3 2 2 4" xfId="29276" xr:uid="{00000000-0005-0000-0000-00003F720000}"/>
    <cellStyle name="Normal 2 7 3 2 3" xfId="29277" xr:uid="{00000000-0005-0000-0000-000040720000}"/>
    <cellStyle name="Normal 2 7 3 2 3 2" xfId="29278" xr:uid="{00000000-0005-0000-0000-000041720000}"/>
    <cellStyle name="Normal 2 7 3 2 3 3" xfId="29279" xr:uid="{00000000-0005-0000-0000-000042720000}"/>
    <cellStyle name="Normal 2 7 3 2 4" xfId="29280" xr:uid="{00000000-0005-0000-0000-000043720000}"/>
    <cellStyle name="Normal 2 7 3 2 5" xfId="29281" xr:uid="{00000000-0005-0000-0000-000044720000}"/>
    <cellStyle name="Normal 2 7 3 2 6" xfId="29282" xr:uid="{00000000-0005-0000-0000-000045720000}"/>
    <cellStyle name="Normal 2 7 3 3" xfId="29283" xr:uid="{00000000-0005-0000-0000-000046720000}"/>
    <cellStyle name="Normal 2 7 3 3 2" xfId="29284" xr:uid="{00000000-0005-0000-0000-000047720000}"/>
    <cellStyle name="Normal 2 7 3 3 2 2" xfId="29285" xr:uid="{00000000-0005-0000-0000-000048720000}"/>
    <cellStyle name="Normal 2 7 3 3 2 3" xfId="29286" xr:uid="{00000000-0005-0000-0000-000049720000}"/>
    <cellStyle name="Normal 2 7 3 3 3" xfId="29287" xr:uid="{00000000-0005-0000-0000-00004A720000}"/>
    <cellStyle name="Normal 2 7 3 3 4" xfId="29288" xr:uid="{00000000-0005-0000-0000-00004B720000}"/>
    <cellStyle name="Normal 2 7 3 4" xfId="29289" xr:uid="{00000000-0005-0000-0000-00004C720000}"/>
    <cellStyle name="Normal 2 7 3 4 2" xfId="29290" xr:uid="{00000000-0005-0000-0000-00004D720000}"/>
    <cellStyle name="Normal 2 7 3 4 3" xfId="29291" xr:uid="{00000000-0005-0000-0000-00004E720000}"/>
    <cellStyle name="Normal 2 7 3 5" xfId="29292" xr:uid="{00000000-0005-0000-0000-00004F720000}"/>
    <cellStyle name="Normal 2 7 3 6" xfId="29293" xr:uid="{00000000-0005-0000-0000-000050720000}"/>
    <cellStyle name="Normal 2 7 3 7" xfId="29294" xr:uid="{00000000-0005-0000-0000-000051720000}"/>
    <cellStyle name="Normal 2 7 4" xfId="29295" xr:uid="{00000000-0005-0000-0000-000052720000}"/>
    <cellStyle name="Normal 2 7 4 2" xfId="29296" xr:uid="{00000000-0005-0000-0000-000053720000}"/>
    <cellStyle name="Normal 2 7 4 2 2" xfId="29297" xr:uid="{00000000-0005-0000-0000-000054720000}"/>
    <cellStyle name="Normal 2 7 4 2 2 2" xfId="29298" xr:uid="{00000000-0005-0000-0000-000055720000}"/>
    <cellStyle name="Normal 2 7 4 2 2 3" xfId="29299" xr:uid="{00000000-0005-0000-0000-000056720000}"/>
    <cellStyle name="Normal 2 7 4 2 3" xfId="29300" xr:uid="{00000000-0005-0000-0000-000057720000}"/>
    <cellStyle name="Normal 2 7 4 2 4" xfId="29301" xr:uid="{00000000-0005-0000-0000-000058720000}"/>
    <cellStyle name="Normal 2 7 4 3" xfId="29302" xr:uid="{00000000-0005-0000-0000-000059720000}"/>
    <cellStyle name="Normal 2 7 4 3 2" xfId="29303" xr:uid="{00000000-0005-0000-0000-00005A720000}"/>
    <cellStyle name="Normal 2 7 4 3 3" xfId="29304" xr:uid="{00000000-0005-0000-0000-00005B720000}"/>
    <cellStyle name="Normal 2 7 4 4" xfId="29305" xr:uid="{00000000-0005-0000-0000-00005C720000}"/>
    <cellStyle name="Normal 2 7 4 5" xfId="29306" xr:uid="{00000000-0005-0000-0000-00005D720000}"/>
    <cellStyle name="Normal 2 7 4 6" xfId="29307" xr:uid="{00000000-0005-0000-0000-00005E720000}"/>
    <cellStyle name="Normal 2 7 5" xfId="29308" xr:uid="{00000000-0005-0000-0000-00005F720000}"/>
    <cellStyle name="Normal 2 7 5 2" xfId="29309" xr:uid="{00000000-0005-0000-0000-000060720000}"/>
    <cellStyle name="Normal 2 7 5 2 2" xfId="29310" xr:uid="{00000000-0005-0000-0000-000061720000}"/>
    <cellStyle name="Normal 2 7 5 2 3" xfId="29311" xr:uid="{00000000-0005-0000-0000-000062720000}"/>
    <cellStyle name="Normal 2 7 5 3" xfId="29312" xr:uid="{00000000-0005-0000-0000-000063720000}"/>
    <cellStyle name="Normal 2 7 5 4" xfId="29313" xr:uid="{00000000-0005-0000-0000-000064720000}"/>
    <cellStyle name="Normal 2 7 6" xfId="29314" xr:uid="{00000000-0005-0000-0000-000065720000}"/>
    <cellStyle name="Normal 2 7 6 2" xfId="29315" xr:uid="{00000000-0005-0000-0000-000066720000}"/>
    <cellStyle name="Normal 2 7 6 3" xfId="29316" xr:uid="{00000000-0005-0000-0000-000067720000}"/>
    <cellStyle name="Normal 2 7 7" xfId="29317" xr:uid="{00000000-0005-0000-0000-000068720000}"/>
    <cellStyle name="Normal 2 7 8" xfId="29318" xr:uid="{00000000-0005-0000-0000-000069720000}"/>
    <cellStyle name="Normal 2 7 9" xfId="29319" xr:uid="{00000000-0005-0000-0000-00006A720000}"/>
    <cellStyle name="Normal 2 8" xfId="29320" xr:uid="{00000000-0005-0000-0000-00006B720000}"/>
    <cellStyle name="Normal 2 8 2" xfId="29321" xr:uid="{00000000-0005-0000-0000-00006C720000}"/>
    <cellStyle name="Normal 2 8 2 2" xfId="29322" xr:uid="{00000000-0005-0000-0000-00006D720000}"/>
    <cellStyle name="Normal 2 8 2 2 2" xfId="29323" xr:uid="{00000000-0005-0000-0000-00006E720000}"/>
    <cellStyle name="Normal 2 8 2 2 2 2" xfId="29324" xr:uid="{00000000-0005-0000-0000-00006F720000}"/>
    <cellStyle name="Normal 2 8 2 2 2 2 2" xfId="29325" xr:uid="{00000000-0005-0000-0000-000070720000}"/>
    <cellStyle name="Normal 2 8 2 2 2 2 2 2" xfId="29326" xr:uid="{00000000-0005-0000-0000-000071720000}"/>
    <cellStyle name="Normal 2 8 2 2 2 2 2 3" xfId="29327" xr:uid="{00000000-0005-0000-0000-000072720000}"/>
    <cellStyle name="Normal 2 8 2 2 2 2 3" xfId="29328" xr:uid="{00000000-0005-0000-0000-000073720000}"/>
    <cellStyle name="Normal 2 8 2 2 2 2 4" xfId="29329" xr:uid="{00000000-0005-0000-0000-000074720000}"/>
    <cellStyle name="Normal 2 8 2 2 2 3" xfId="29330" xr:uid="{00000000-0005-0000-0000-000075720000}"/>
    <cellStyle name="Normal 2 8 2 2 2 3 2" xfId="29331" xr:uid="{00000000-0005-0000-0000-000076720000}"/>
    <cellStyle name="Normal 2 8 2 2 2 3 3" xfId="29332" xr:uid="{00000000-0005-0000-0000-000077720000}"/>
    <cellStyle name="Normal 2 8 2 2 2 4" xfId="29333" xr:uid="{00000000-0005-0000-0000-000078720000}"/>
    <cellStyle name="Normal 2 8 2 2 2 5" xfId="29334" xr:uid="{00000000-0005-0000-0000-000079720000}"/>
    <cellStyle name="Normal 2 8 2 2 2 6" xfId="29335" xr:uid="{00000000-0005-0000-0000-00007A720000}"/>
    <cellStyle name="Normal 2 8 2 2 3" xfId="29336" xr:uid="{00000000-0005-0000-0000-00007B720000}"/>
    <cellStyle name="Normal 2 8 2 2 3 2" xfId="29337" xr:uid="{00000000-0005-0000-0000-00007C720000}"/>
    <cellStyle name="Normal 2 8 2 2 3 2 2" xfId="29338" xr:uid="{00000000-0005-0000-0000-00007D720000}"/>
    <cellStyle name="Normal 2 8 2 2 3 2 3" xfId="29339" xr:uid="{00000000-0005-0000-0000-00007E720000}"/>
    <cellStyle name="Normal 2 8 2 2 3 3" xfId="29340" xr:uid="{00000000-0005-0000-0000-00007F720000}"/>
    <cellStyle name="Normal 2 8 2 2 3 4" xfId="29341" xr:uid="{00000000-0005-0000-0000-000080720000}"/>
    <cellStyle name="Normal 2 8 2 2 4" xfId="29342" xr:uid="{00000000-0005-0000-0000-000081720000}"/>
    <cellStyle name="Normal 2 8 2 2 4 2" xfId="29343" xr:uid="{00000000-0005-0000-0000-000082720000}"/>
    <cellStyle name="Normal 2 8 2 2 4 3" xfId="29344" xr:uid="{00000000-0005-0000-0000-000083720000}"/>
    <cellStyle name="Normal 2 8 2 2 5" xfId="29345" xr:uid="{00000000-0005-0000-0000-000084720000}"/>
    <cellStyle name="Normal 2 8 2 2 6" xfId="29346" xr:uid="{00000000-0005-0000-0000-000085720000}"/>
    <cellStyle name="Normal 2 8 2 2 7" xfId="29347" xr:uid="{00000000-0005-0000-0000-000086720000}"/>
    <cellStyle name="Normal 2 8 2 3" xfId="29348" xr:uid="{00000000-0005-0000-0000-000087720000}"/>
    <cellStyle name="Normal 2 8 2 3 2" xfId="29349" xr:uid="{00000000-0005-0000-0000-000088720000}"/>
    <cellStyle name="Normal 2 8 2 3 2 2" xfId="29350" xr:uid="{00000000-0005-0000-0000-000089720000}"/>
    <cellStyle name="Normal 2 8 2 3 2 2 2" xfId="29351" xr:uid="{00000000-0005-0000-0000-00008A720000}"/>
    <cellStyle name="Normal 2 8 2 3 2 2 3" xfId="29352" xr:uid="{00000000-0005-0000-0000-00008B720000}"/>
    <cellStyle name="Normal 2 8 2 3 2 3" xfId="29353" xr:uid="{00000000-0005-0000-0000-00008C720000}"/>
    <cellStyle name="Normal 2 8 2 3 2 4" xfId="29354" xr:uid="{00000000-0005-0000-0000-00008D720000}"/>
    <cellStyle name="Normal 2 8 2 3 3" xfId="29355" xr:uid="{00000000-0005-0000-0000-00008E720000}"/>
    <cellStyle name="Normal 2 8 2 3 3 2" xfId="29356" xr:uid="{00000000-0005-0000-0000-00008F720000}"/>
    <cellStyle name="Normal 2 8 2 3 3 3" xfId="29357" xr:uid="{00000000-0005-0000-0000-000090720000}"/>
    <cellStyle name="Normal 2 8 2 3 4" xfId="29358" xr:uid="{00000000-0005-0000-0000-000091720000}"/>
    <cellStyle name="Normal 2 8 2 3 5" xfId="29359" xr:uid="{00000000-0005-0000-0000-000092720000}"/>
    <cellStyle name="Normal 2 8 2 3 6" xfId="29360" xr:uid="{00000000-0005-0000-0000-000093720000}"/>
    <cellStyle name="Normal 2 8 2 4" xfId="29361" xr:uid="{00000000-0005-0000-0000-000094720000}"/>
    <cellStyle name="Normal 2 8 2 4 2" xfId="29362" xr:uid="{00000000-0005-0000-0000-000095720000}"/>
    <cellStyle name="Normal 2 8 2 4 2 2" xfId="29363" xr:uid="{00000000-0005-0000-0000-000096720000}"/>
    <cellStyle name="Normal 2 8 2 4 2 3" xfId="29364" xr:uid="{00000000-0005-0000-0000-000097720000}"/>
    <cellStyle name="Normal 2 8 2 4 3" xfId="29365" xr:uid="{00000000-0005-0000-0000-000098720000}"/>
    <cellStyle name="Normal 2 8 2 4 4" xfId="29366" xr:uid="{00000000-0005-0000-0000-000099720000}"/>
    <cellStyle name="Normal 2 8 2 5" xfId="29367" xr:uid="{00000000-0005-0000-0000-00009A720000}"/>
    <cellStyle name="Normal 2 8 2 5 2" xfId="29368" xr:uid="{00000000-0005-0000-0000-00009B720000}"/>
    <cellStyle name="Normal 2 8 2 5 3" xfId="29369" xr:uid="{00000000-0005-0000-0000-00009C720000}"/>
    <cellStyle name="Normal 2 8 2 6" xfId="29370" xr:uid="{00000000-0005-0000-0000-00009D720000}"/>
    <cellStyle name="Normal 2 8 2 7" xfId="29371" xr:uid="{00000000-0005-0000-0000-00009E720000}"/>
    <cellStyle name="Normal 2 8 2 8" xfId="29372" xr:uid="{00000000-0005-0000-0000-00009F720000}"/>
    <cellStyle name="Normal 2 8 3" xfId="29373" xr:uid="{00000000-0005-0000-0000-0000A0720000}"/>
    <cellStyle name="Normal 2 8 3 2" xfId="29374" xr:uid="{00000000-0005-0000-0000-0000A1720000}"/>
    <cellStyle name="Normal 2 8 3 2 2" xfId="29375" xr:uid="{00000000-0005-0000-0000-0000A2720000}"/>
    <cellStyle name="Normal 2 8 3 2 2 2" xfId="29376" xr:uid="{00000000-0005-0000-0000-0000A3720000}"/>
    <cellStyle name="Normal 2 8 3 2 2 2 2" xfId="29377" xr:uid="{00000000-0005-0000-0000-0000A4720000}"/>
    <cellStyle name="Normal 2 8 3 2 2 2 3" xfId="29378" xr:uid="{00000000-0005-0000-0000-0000A5720000}"/>
    <cellStyle name="Normal 2 8 3 2 2 3" xfId="29379" xr:uid="{00000000-0005-0000-0000-0000A6720000}"/>
    <cellStyle name="Normal 2 8 3 2 2 4" xfId="29380" xr:uid="{00000000-0005-0000-0000-0000A7720000}"/>
    <cellStyle name="Normal 2 8 3 2 3" xfId="29381" xr:uid="{00000000-0005-0000-0000-0000A8720000}"/>
    <cellStyle name="Normal 2 8 3 2 3 2" xfId="29382" xr:uid="{00000000-0005-0000-0000-0000A9720000}"/>
    <cellStyle name="Normal 2 8 3 2 3 3" xfId="29383" xr:uid="{00000000-0005-0000-0000-0000AA720000}"/>
    <cellStyle name="Normal 2 8 3 2 4" xfId="29384" xr:uid="{00000000-0005-0000-0000-0000AB720000}"/>
    <cellStyle name="Normal 2 8 3 2 5" xfId="29385" xr:uid="{00000000-0005-0000-0000-0000AC720000}"/>
    <cellStyle name="Normal 2 8 3 2 6" xfId="29386" xr:uid="{00000000-0005-0000-0000-0000AD720000}"/>
    <cellStyle name="Normal 2 8 3 3" xfId="29387" xr:uid="{00000000-0005-0000-0000-0000AE720000}"/>
    <cellStyle name="Normal 2 8 3 3 2" xfId="29388" xr:uid="{00000000-0005-0000-0000-0000AF720000}"/>
    <cellStyle name="Normal 2 8 3 3 2 2" xfId="29389" xr:uid="{00000000-0005-0000-0000-0000B0720000}"/>
    <cellStyle name="Normal 2 8 3 3 2 3" xfId="29390" xr:uid="{00000000-0005-0000-0000-0000B1720000}"/>
    <cellStyle name="Normal 2 8 3 3 3" xfId="29391" xr:uid="{00000000-0005-0000-0000-0000B2720000}"/>
    <cellStyle name="Normal 2 8 3 3 4" xfId="29392" xr:uid="{00000000-0005-0000-0000-0000B3720000}"/>
    <cellStyle name="Normal 2 8 3 4" xfId="29393" xr:uid="{00000000-0005-0000-0000-0000B4720000}"/>
    <cellStyle name="Normal 2 8 3 4 2" xfId="29394" xr:uid="{00000000-0005-0000-0000-0000B5720000}"/>
    <cellStyle name="Normal 2 8 3 4 3" xfId="29395" xr:uid="{00000000-0005-0000-0000-0000B6720000}"/>
    <cellStyle name="Normal 2 8 3 5" xfId="29396" xr:uid="{00000000-0005-0000-0000-0000B7720000}"/>
    <cellStyle name="Normal 2 8 3 6" xfId="29397" xr:uid="{00000000-0005-0000-0000-0000B8720000}"/>
    <cellStyle name="Normal 2 8 3 7" xfId="29398" xr:uid="{00000000-0005-0000-0000-0000B9720000}"/>
    <cellStyle name="Normal 2 8 4" xfId="29399" xr:uid="{00000000-0005-0000-0000-0000BA720000}"/>
    <cellStyle name="Normal 2 8 4 2" xfId="29400" xr:uid="{00000000-0005-0000-0000-0000BB720000}"/>
    <cellStyle name="Normal 2 8 4 2 2" xfId="29401" xr:uid="{00000000-0005-0000-0000-0000BC720000}"/>
    <cellStyle name="Normal 2 8 4 2 2 2" xfId="29402" xr:uid="{00000000-0005-0000-0000-0000BD720000}"/>
    <cellStyle name="Normal 2 8 4 2 2 3" xfId="29403" xr:uid="{00000000-0005-0000-0000-0000BE720000}"/>
    <cellStyle name="Normal 2 8 4 2 3" xfId="29404" xr:uid="{00000000-0005-0000-0000-0000BF720000}"/>
    <cellStyle name="Normal 2 8 4 2 4" xfId="29405" xr:uid="{00000000-0005-0000-0000-0000C0720000}"/>
    <cellStyle name="Normal 2 8 4 3" xfId="29406" xr:uid="{00000000-0005-0000-0000-0000C1720000}"/>
    <cellStyle name="Normal 2 8 4 3 2" xfId="29407" xr:uid="{00000000-0005-0000-0000-0000C2720000}"/>
    <cellStyle name="Normal 2 8 4 3 3" xfId="29408" xr:uid="{00000000-0005-0000-0000-0000C3720000}"/>
    <cellStyle name="Normal 2 8 4 4" xfId="29409" xr:uid="{00000000-0005-0000-0000-0000C4720000}"/>
    <cellStyle name="Normal 2 8 4 5" xfId="29410" xr:uid="{00000000-0005-0000-0000-0000C5720000}"/>
    <cellStyle name="Normal 2 8 4 6" xfId="29411" xr:uid="{00000000-0005-0000-0000-0000C6720000}"/>
    <cellStyle name="Normal 2 8 5" xfId="29412" xr:uid="{00000000-0005-0000-0000-0000C7720000}"/>
    <cellStyle name="Normal 2 8 5 2" xfId="29413" xr:uid="{00000000-0005-0000-0000-0000C8720000}"/>
    <cellStyle name="Normal 2 8 5 2 2" xfId="29414" xr:uid="{00000000-0005-0000-0000-0000C9720000}"/>
    <cellStyle name="Normal 2 8 5 2 3" xfId="29415" xr:uid="{00000000-0005-0000-0000-0000CA720000}"/>
    <cellStyle name="Normal 2 8 5 3" xfId="29416" xr:uid="{00000000-0005-0000-0000-0000CB720000}"/>
    <cellStyle name="Normal 2 8 5 4" xfId="29417" xr:uid="{00000000-0005-0000-0000-0000CC720000}"/>
    <cellStyle name="Normal 2 8 6" xfId="29418" xr:uid="{00000000-0005-0000-0000-0000CD720000}"/>
    <cellStyle name="Normal 2 8 6 2" xfId="29419" xr:uid="{00000000-0005-0000-0000-0000CE720000}"/>
    <cellStyle name="Normal 2 8 6 3" xfId="29420" xr:uid="{00000000-0005-0000-0000-0000CF720000}"/>
    <cellStyle name="Normal 2 8 7" xfId="29421" xr:uid="{00000000-0005-0000-0000-0000D0720000}"/>
    <cellStyle name="Normal 2 8 8" xfId="29422" xr:uid="{00000000-0005-0000-0000-0000D1720000}"/>
    <cellStyle name="Normal 2 8 9" xfId="29423" xr:uid="{00000000-0005-0000-0000-0000D2720000}"/>
    <cellStyle name="Normal 2 9" xfId="29424" xr:uid="{00000000-0005-0000-0000-0000D3720000}"/>
    <cellStyle name="Normal 2 9 2" xfId="29425" xr:uid="{00000000-0005-0000-0000-0000D4720000}"/>
    <cellStyle name="Normal 2 9 2 2" xfId="29426" xr:uid="{00000000-0005-0000-0000-0000D5720000}"/>
    <cellStyle name="Normal 2 9 2 2 2" xfId="29427" xr:uid="{00000000-0005-0000-0000-0000D6720000}"/>
    <cellStyle name="Normal 2 9 2 2 2 2" xfId="29428" xr:uid="{00000000-0005-0000-0000-0000D7720000}"/>
    <cellStyle name="Normal 2 9 2 2 2 2 2" xfId="29429" xr:uid="{00000000-0005-0000-0000-0000D8720000}"/>
    <cellStyle name="Normal 2 9 2 2 2 2 3" xfId="29430" xr:uid="{00000000-0005-0000-0000-0000D9720000}"/>
    <cellStyle name="Normal 2 9 2 2 2 3" xfId="29431" xr:uid="{00000000-0005-0000-0000-0000DA720000}"/>
    <cellStyle name="Normal 2 9 2 2 2 4" xfId="29432" xr:uid="{00000000-0005-0000-0000-0000DB720000}"/>
    <cellStyle name="Normal 2 9 2 2 3" xfId="29433" xr:uid="{00000000-0005-0000-0000-0000DC720000}"/>
    <cellStyle name="Normal 2 9 2 2 3 2" xfId="29434" xr:uid="{00000000-0005-0000-0000-0000DD720000}"/>
    <cellStyle name="Normal 2 9 2 2 3 3" xfId="29435" xr:uid="{00000000-0005-0000-0000-0000DE720000}"/>
    <cellStyle name="Normal 2 9 2 2 4" xfId="29436" xr:uid="{00000000-0005-0000-0000-0000DF720000}"/>
    <cellStyle name="Normal 2 9 2 2 5" xfId="29437" xr:uid="{00000000-0005-0000-0000-0000E0720000}"/>
    <cellStyle name="Normal 2 9 2 2 6" xfId="29438" xr:uid="{00000000-0005-0000-0000-0000E1720000}"/>
    <cellStyle name="Normal 2 9 2 3" xfId="29439" xr:uid="{00000000-0005-0000-0000-0000E2720000}"/>
    <cellStyle name="Normal 2 9 2 3 2" xfId="29440" xr:uid="{00000000-0005-0000-0000-0000E3720000}"/>
    <cellStyle name="Normal 2 9 2 3 2 2" xfId="29441" xr:uid="{00000000-0005-0000-0000-0000E4720000}"/>
    <cellStyle name="Normal 2 9 2 3 2 3" xfId="29442" xr:uid="{00000000-0005-0000-0000-0000E5720000}"/>
    <cellStyle name="Normal 2 9 2 3 3" xfId="29443" xr:uid="{00000000-0005-0000-0000-0000E6720000}"/>
    <cellStyle name="Normal 2 9 2 3 4" xfId="29444" xr:uid="{00000000-0005-0000-0000-0000E7720000}"/>
    <cellStyle name="Normal 2 9 2 4" xfId="29445" xr:uid="{00000000-0005-0000-0000-0000E8720000}"/>
    <cellStyle name="Normal 2 9 2 4 2" xfId="29446" xr:uid="{00000000-0005-0000-0000-0000E9720000}"/>
    <cellStyle name="Normal 2 9 2 4 3" xfId="29447" xr:uid="{00000000-0005-0000-0000-0000EA720000}"/>
    <cellStyle name="Normal 2 9 2 5" xfId="29448" xr:uid="{00000000-0005-0000-0000-0000EB720000}"/>
    <cellStyle name="Normal 2 9 2 6" xfId="29449" xr:uid="{00000000-0005-0000-0000-0000EC720000}"/>
    <cellStyle name="Normal 2 9 2 7" xfId="29450" xr:uid="{00000000-0005-0000-0000-0000ED720000}"/>
    <cellStyle name="Normal 2 9 3" xfId="29451" xr:uid="{00000000-0005-0000-0000-0000EE720000}"/>
    <cellStyle name="Normal 2 9 3 2" xfId="29452" xr:uid="{00000000-0005-0000-0000-0000EF720000}"/>
    <cellStyle name="Normal 2 9 3 2 2" xfId="29453" xr:uid="{00000000-0005-0000-0000-0000F0720000}"/>
    <cellStyle name="Normal 2 9 3 2 2 2" xfId="29454" xr:uid="{00000000-0005-0000-0000-0000F1720000}"/>
    <cellStyle name="Normal 2 9 3 2 2 3" xfId="29455" xr:uid="{00000000-0005-0000-0000-0000F2720000}"/>
    <cellStyle name="Normal 2 9 3 2 3" xfId="29456" xr:uid="{00000000-0005-0000-0000-0000F3720000}"/>
    <cellStyle name="Normal 2 9 3 2 4" xfId="29457" xr:uid="{00000000-0005-0000-0000-0000F4720000}"/>
    <cellStyle name="Normal 2 9 3 3" xfId="29458" xr:uid="{00000000-0005-0000-0000-0000F5720000}"/>
    <cellStyle name="Normal 2 9 3 3 2" xfId="29459" xr:uid="{00000000-0005-0000-0000-0000F6720000}"/>
    <cellStyle name="Normal 2 9 3 3 3" xfId="29460" xr:uid="{00000000-0005-0000-0000-0000F7720000}"/>
    <cellStyle name="Normal 2 9 3 4" xfId="29461" xr:uid="{00000000-0005-0000-0000-0000F8720000}"/>
    <cellStyle name="Normal 2 9 3 5" xfId="29462" xr:uid="{00000000-0005-0000-0000-0000F9720000}"/>
    <cellStyle name="Normal 2 9 3 6" xfId="29463" xr:uid="{00000000-0005-0000-0000-0000FA720000}"/>
    <cellStyle name="Normal 2 9 4" xfId="29464" xr:uid="{00000000-0005-0000-0000-0000FB720000}"/>
    <cellStyle name="Normal 2 9 4 2" xfId="29465" xr:uid="{00000000-0005-0000-0000-0000FC720000}"/>
    <cellStyle name="Normal 2 9 4 2 2" xfId="29466" xr:uid="{00000000-0005-0000-0000-0000FD720000}"/>
    <cellStyle name="Normal 2 9 4 2 3" xfId="29467" xr:uid="{00000000-0005-0000-0000-0000FE720000}"/>
    <cellStyle name="Normal 2 9 4 3" xfId="29468" xr:uid="{00000000-0005-0000-0000-0000FF720000}"/>
    <cellStyle name="Normal 2 9 4 4" xfId="29469" xr:uid="{00000000-0005-0000-0000-000000730000}"/>
    <cellStyle name="Normal 2 9 5" xfId="29470" xr:uid="{00000000-0005-0000-0000-000001730000}"/>
    <cellStyle name="Normal 2 9 5 2" xfId="29471" xr:uid="{00000000-0005-0000-0000-000002730000}"/>
    <cellStyle name="Normal 2 9 5 3" xfId="29472" xr:uid="{00000000-0005-0000-0000-000003730000}"/>
    <cellStyle name="Normal 2 9 6" xfId="29473" xr:uid="{00000000-0005-0000-0000-000004730000}"/>
    <cellStyle name="Normal 2 9 7" xfId="29474" xr:uid="{00000000-0005-0000-0000-000005730000}"/>
    <cellStyle name="Normal 2 9 8" xfId="29475" xr:uid="{00000000-0005-0000-0000-000006730000}"/>
    <cellStyle name="Normal 2_Q3 SFY 2013 UPL Calculation (old Excel)" xfId="29476" xr:uid="{00000000-0005-0000-0000-000007730000}"/>
    <cellStyle name="Normal 20" xfId="61" xr:uid="{00000000-0005-0000-0000-000008730000}"/>
    <cellStyle name="Normal 20 2" xfId="29477" xr:uid="{00000000-0005-0000-0000-000009730000}"/>
    <cellStyle name="Normal 20 2 2" xfId="29478" xr:uid="{00000000-0005-0000-0000-00000A730000}"/>
    <cellStyle name="Normal 20 2 2 2" xfId="29479" xr:uid="{00000000-0005-0000-0000-00000B730000}"/>
    <cellStyle name="Normal 20 2 2 2 2" xfId="29480" xr:uid="{00000000-0005-0000-0000-00000C730000}"/>
    <cellStyle name="Normal 20 2 2 2 3" xfId="29481" xr:uid="{00000000-0005-0000-0000-00000D730000}"/>
    <cellStyle name="Normal 20 2 2 3" xfId="29482" xr:uid="{00000000-0005-0000-0000-00000E730000}"/>
    <cellStyle name="Normal 20 2 2 4" xfId="29483" xr:uid="{00000000-0005-0000-0000-00000F730000}"/>
    <cellStyle name="Normal 20 2 3" xfId="29484" xr:uid="{00000000-0005-0000-0000-000010730000}"/>
    <cellStyle name="Normal 20 2 3 2" xfId="29485" xr:uid="{00000000-0005-0000-0000-000011730000}"/>
    <cellStyle name="Normal 20 2 3 3" xfId="29486" xr:uid="{00000000-0005-0000-0000-000012730000}"/>
    <cellStyle name="Normal 20 2 4" xfId="29487" xr:uid="{00000000-0005-0000-0000-000013730000}"/>
    <cellStyle name="Normal 20 2 5" xfId="29488" xr:uid="{00000000-0005-0000-0000-000014730000}"/>
    <cellStyle name="Normal 20 2 6" xfId="29489" xr:uid="{00000000-0005-0000-0000-000015730000}"/>
    <cellStyle name="Normal 20 3" xfId="29490" xr:uid="{00000000-0005-0000-0000-000016730000}"/>
    <cellStyle name="Normal 20 3 2" xfId="29491" xr:uid="{00000000-0005-0000-0000-000017730000}"/>
    <cellStyle name="Normal 20 3 2 2" xfId="29492" xr:uid="{00000000-0005-0000-0000-000018730000}"/>
    <cellStyle name="Normal 20 3 2 3" xfId="29493" xr:uid="{00000000-0005-0000-0000-000019730000}"/>
    <cellStyle name="Normal 20 3 3" xfId="29494" xr:uid="{00000000-0005-0000-0000-00001A730000}"/>
    <cellStyle name="Normal 20 3 4" xfId="29495" xr:uid="{00000000-0005-0000-0000-00001B730000}"/>
    <cellStyle name="Normal 20 4" xfId="29496" xr:uid="{00000000-0005-0000-0000-00001C730000}"/>
    <cellStyle name="Normal 20 4 2" xfId="29497" xr:uid="{00000000-0005-0000-0000-00001D730000}"/>
    <cellStyle name="Normal 20 4 3" xfId="29498" xr:uid="{00000000-0005-0000-0000-00001E730000}"/>
    <cellStyle name="Normal 20 5" xfId="29499" xr:uid="{00000000-0005-0000-0000-00001F730000}"/>
    <cellStyle name="Normal 20 6" xfId="29500" xr:uid="{00000000-0005-0000-0000-000020730000}"/>
    <cellStyle name="Normal 20 7" xfId="29501" xr:uid="{00000000-0005-0000-0000-000021730000}"/>
    <cellStyle name="Normal 21" xfId="62" xr:uid="{00000000-0005-0000-0000-000022730000}"/>
    <cellStyle name="Normal 22" xfId="63" xr:uid="{00000000-0005-0000-0000-000023730000}"/>
    <cellStyle name="Normal 22 2" xfId="29502" xr:uid="{00000000-0005-0000-0000-000024730000}"/>
    <cellStyle name="Normal 22 2 2" xfId="29503" xr:uid="{00000000-0005-0000-0000-000025730000}"/>
    <cellStyle name="Normal 22 2 2 2" xfId="29504" xr:uid="{00000000-0005-0000-0000-000026730000}"/>
    <cellStyle name="Normal 22 2 2 3" xfId="29505" xr:uid="{00000000-0005-0000-0000-000027730000}"/>
    <cellStyle name="Normal 22 2 3" xfId="29506" xr:uid="{00000000-0005-0000-0000-000028730000}"/>
    <cellStyle name="Normal 22 2 4" xfId="29507" xr:uid="{00000000-0005-0000-0000-000029730000}"/>
    <cellStyle name="Normal 22 3" xfId="29508" xr:uid="{00000000-0005-0000-0000-00002A730000}"/>
    <cellStyle name="Normal 22 3 2" xfId="29509" xr:uid="{00000000-0005-0000-0000-00002B730000}"/>
    <cellStyle name="Normal 22 3 3" xfId="29510" xr:uid="{00000000-0005-0000-0000-00002C730000}"/>
    <cellStyle name="Normal 22 4" xfId="29511" xr:uid="{00000000-0005-0000-0000-00002D730000}"/>
    <cellStyle name="Normal 22 5" xfId="29512" xr:uid="{00000000-0005-0000-0000-00002E730000}"/>
    <cellStyle name="Normal 22 6" xfId="29513" xr:uid="{00000000-0005-0000-0000-00002F730000}"/>
    <cellStyle name="Normal 23" xfId="64" xr:uid="{00000000-0005-0000-0000-000030730000}"/>
    <cellStyle name="Normal 24" xfId="65" xr:uid="{00000000-0005-0000-0000-000031730000}"/>
    <cellStyle name="Normal 25" xfId="66" xr:uid="{00000000-0005-0000-0000-000032730000}"/>
    <cellStyle name="Normal 26" xfId="67" xr:uid="{00000000-0005-0000-0000-000033730000}"/>
    <cellStyle name="Normal 26 2" xfId="29514" xr:uid="{00000000-0005-0000-0000-000034730000}"/>
    <cellStyle name="Normal 26 3" xfId="29515" xr:uid="{00000000-0005-0000-0000-000035730000}"/>
    <cellStyle name="Normal 27" xfId="68" xr:uid="{00000000-0005-0000-0000-000036730000}"/>
    <cellStyle name="Normal 27 2" xfId="29516" xr:uid="{00000000-0005-0000-0000-000037730000}"/>
    <cellStyle name="Normal 28" xfId="69" xr:uid="{00000000-0005-0000-0000-000038730000}"/>
    <cellStyle name="Normal 29" xfId="70" xr:uid="{00000000-0005-0000-0000-000039730000}"/>
    <cellStyle name="Normal 3" xfId="3" xr:uid="{00000000-0005-0000-0000-00003A730000}"/>
    <cellStyle name="Normal 3 2" xfId="29517" xr:uid="{00000000-0005-0000-0000-00003B730000}"/>
    <cellStyle name="Normal 3 2 2" xfId="29518" xr:uid="{00000000-0005-0000-0000-00003C730000}"/>
    <cellStyle name="Normal 3 2 3" xfId="29519" xr:uid="{00000000-0005-0000-0000-00003D730000}"/>
    <cellStyle name="Normal 3 2 4" xfId="29520" xr:uid="{00000000-0005-0000-0000-00003E730000}"/>
    <cellStyle name="Normal 3 3" xfId="29521" xr:uid="{00000000-0005-0000-0000-00003F730000}"/>
    <cellStyle name="Normal 3 4" xfId="29522" xr:uid="{00000000-0005-0000-0000-000040730000}"/>
    <cellStyle name="Normal 3 5" xfId="29523" xr:uid="{00000000-0005-0000-0000-000041730000}"/>
    <cellStyle name="Normal 3 6" xfId="29524" xr:uid="{00000000-0005-0000-0000-000042730000}"/>
    <cellStyle name="Normal 3 6 2" xfId="29525" xr:uid="{00000000-0005-0000-0000-000043730000}"/>
    <cellStyle name="Normal 3 6 2 2" xfId="29526" xr:uid="{00000000-0005-0000-0000-000044730000}"/>
    <cellStyle name="Normal 3 6 2 2 2" xfId="29527" xr:uid="{00000000-0005-0000-0000-000045730000}"/>
    <cellStyle name="Normal 3 6 2 2 2 2" xfId="29528" xr:uid="{00000000-0005-0000-0000-000046730000}"/>
    <cellStyle name="Normal 3 6 2 2 2 2 2" xfId="29529" xr:uid="{00000000-0005-0000-0000-000047730000}"/>
    <cellStyle name="Normal 3 6 2 2 2 2 3" xfId="29530" xr:uid="{00000000-0005-0000-0000-000048730000}"/>
    <cellStyle name="Normal 3 6 2 2 2 3" xfId="29531" xr:uid="{00000000-0005-0000-0000-000049730000}"/>
    <cellStyle name="Normal 3 6 2 2 2 4" xfId="29532" xr:uid="{00000000-0005-0000-0000-00004A730000}"/>
    <cellStyle name="Normal 3 6 2 2 3" xfId="29533" xr:uid="{00000000-0005-0000-0000-00004B730000}"/>
    <cellStyle name="Normal 3 6 2 2 3 2" xfId="29534" xr:uid="{00000000-0005-0000-0000-00004C730000}"/>
    <cellStyle name="Normal 3 6 2 2 3 3" xfId="29535" xr:uid="{00000000-0005-0000-0000-00004D730000}"/>
    <cellStyle name="Normal 3 6 2 2 4" xfId="29536" xr:uid="{00000000-0005-0000-0000-00004E730000}"/>
    <cellStyle name="Normal 3 6 2 2 5" xfId="29537" xr:uid="{00000000-0005-0000-0000-00004F730000}"/>
    <cellStyle name="Normal 3 6 2 2 6" xfId="29538" xr:uid="{00000000-0005-0000-0000-000050730000}"/>
    <cellStyle name="Normal 3 6 2 3" xfId="29539" xr:uid="{00000000-0005-0000-0000-000051730000}"/>
    <cellStyle name="Normal 3 6 2 3 2" xfId="29540" xr:uid="{00000000-0005-0000-0000-000052730000}"/>
    <cellStyle name="Normal 3 6 2 3 2 2" xfId="29541" xr:uid="{00000000-0005-0000-0000-000053730000}"/>
    <cellStyle name="Normal 3 6 2 3 2 3" xfId="29542" xr:uid="{00000000-0005-0000-0000-000054730000}"/>
    <cellStyle name="Normal 3 6 2 3 3" xfId="29543" xr:uid="{00000000-0005-0000-0000-000055730000}"/>
    <cellStyle name="Normal 3 6 2 3 4" xfId="29544" xr:uid="{00000000-0005-0000-0000-000056730000}"/>
    <cellStyle name="Normal 3 6 2 4" xfId="29545" xr:uid="{00000000-0005-0000-0000-000057730000}"/>
    <cellStyle name="Normal 3 6 2 4 2" xfId="29546" xr:uid="{00000000-0005-0000-0000-000058730000}"/>
    <cellStyle name="Normal 3 6 2 4 3" xfId="29547" xr:uid="{00000000-0005-0000-0000-000059730000}"/>
    <cellStyle name="Normal 3 6 2 5" xfId="29548" xr:uid="{00000000-0005-0000-0000-00005A730000}"/>
    <cellStyle name="Normal 3 6 2 6" xfId="29549" xr:uid="{00000000-0005-0000-0000-00005B730000}"/>
    <cellStyle name="Normal 3 6 2 7" xfId="29550" xr:uid="{00000000-0005-0000-0000-00005C730000}"/>
    <cellStyle name="Normal 3 6 3" xfId="29551" xr:uid="{00000000-0005-0000-0000-00005D730000}"/>
    <cellStyle name="Normal 3 6 3 2" xfId="29552" xr:uid="{00000000-0005-0000-0000-00005E730000}"/>
    <cellStyle name="Normal 3 6 3 2 2" xfId="29553" xr:uid="{00000000-0005-0000-0000-00005F730000}"/>
    <cellStyle name="Normal 3 6 3 2 2 2" xfId="29554" xr:uid="{00000000-0005-0000-0000-000060730000}"/>
    <cellStyle name="Normal 3 6 3 2 2 3" xfId="29555" xr:uid="{00000000-0005-0000-0000-000061730000}"/>
    <cellStyle name="Normal 3 6 3 2 3" xfId="29556" xr:uid="{00000000-0005-0000-0000-000062730000}"/>
    <cellStyle name="Normal 3 6 3 2 4" xfId="29557" xr:uid="{00000000-0005-0000-0000-000063730000}"/>
    <cellStyle name="Normal 3 6 3 3" xfId="29558" xr:uid="{00000000-0005-0000-0000-000064730000}"/>
    <cellStyle name="Normal 3 6 3 3 2" xfId="29559" xr:uid="{00000000-0005-0000-0000-000065730000}"/>
    <cellStyle name="Normal 3 6 3 3 3" xfId="29560" xr:uid="{00000000-0005-0000-0000-000066730000}"/>
    <cellStyle name="Normal 3 6 3 4" xfId="29561" xr:uid="{00000000-0005-0000-0000-000067730000}"/>
    <cellStyle name="Normal 3 6 3 5" xfId="29562" xr:uid="{00000000-0005-0000-0000-000068730000}"/>
    <cellStyle name="Normal 3 6 3 6" xfId="29563" xr:uid="{00000000-0005-0000-0000-000069730000}"/>
    <cellStyle name="Normal 3 6 4" xfId="29564" xr:uid="{00000000-0005-0000-0000-00006A730000}"/>
    <cellStyle name="Normal 3 6 4 2" xfId="29565" xr:uid="{00000000-0005-0000-0000-00006B730000}"/>
    <cellStyle name="Normal 3 6 4 2 2" xfId="29566" xr:uid="{00000000-0005-0000-0000-00006C730000}"/>
    <cellStyle name="Normal 3 6 4 2 3" xfId="29567" xr:uid="{00000000-0005-0000-0000-00006D730000}"/>
    <cellStyle name="Normal 3 6 4 3" xfId="29568" xr:uid="{00000000-0005-0000-0000-00006E730000}"/>
    <cellStyle name="Normal 3 6 4 4" xfId="29569" xr:uid="{00000000-0005-0000-0000-00006F730000}"/>
    <cellStyle name="Normal 3 6 5" xfId="29570" xr:uid="{00000000-0005-0000-0000-000070730000}"/>
    <cellStyle name="Normal 3 6 5 2" xfId="29571" xr:uid="{00000000-0005-0000-0000-000071730000}"/>
    <cellStyle name="Normal 3 6 5 3" xfId="29572" xr:uid="{00000000-0005-0000-0000-000072730000}"/>
    <cellStyle name="Normal 3 6 6" xfId="29573" xr:uid="{00000000-0005-0000-0000-000073730000}"/>
    <cellStyle name="Normal 3 6 7" xfId="29574" xr:uid="{00000000-0005-0000-0000-000074730000}"/>
    <cellStyle name="Normal 3 6 8" xfId="29575" xr:uid="{00000000-0005-0000-0000-000075730000}"/>
    <cellStyle name="Normal 3 7" xfId="29576" xr:uid="{00000000-0005-0000-0000-000076730000}"/>
    <cellStyle name="Normal 3 7 2" xfId="29577" xr:uid="{00000000-0005-0000-0000-000077730000}"/>
    <cellStyle name="Normal 3 7 2 2" xfId="29578" xr:uid="{00000000-0005-0000-0000-000078730000}"/>
    <cellStyle name="Normal 3 7 2 2 2" xfId="29579" xr:uid="{00000000-0005-0000-0000-000079730000}"/>
    <cellStyle name="Normal 3 7 2 2 2 2" xfId="29580" xr:uid="{00000000-0005-0000-0000-00007A730000}"/>
    <cellStyle name="Normal 3 7 2 2 2 2 2" xfId="29581" xr:uid="{00000000-0005-0000-0000-00007B730000}"/>
    <cellStyle name="Normal 3 7 2 2 2 2 3" xfId="29582" xr:uid="{00000000-0005-0000-0000-00007C730000}"/>
    <cellStyle name="Normal 3 7 2 2 2 3" xfId="29583" xr:uid="{00000000-0005-0000-0000-00007D730000}"/>
    <cellStyle name="Normal 3 7 2 2 2 4" xfId="29584" xr:uid="{00000000-0005-0000-0000-00007E730000}"/>
    <cellStyle name="Normal 3 7 2 2 3" xfId="29585" xr:uid="{00000000-0005-0000-0000-00007F730000}"/>
    <cellStyle name="Normal 3 7 2 2 3 2" xfId="29586" xr:uid="{00000000-0005-0000-0000-000080730000}"/>
    <cellStyle name="Normal 3 7 2 2 3 3" xfId="29587" xr:uid="{00000000-0005-0000-0000-000081730000}"/>
    <cellStyle name="Normal 3 7 2 2 4" xfId="29588" xr:uid="{00000000-0005-0000-0000-000082730000}"/>
    <cellStyle name="Normal 3 7 2 2 5" xfId="29589" xr:uid="{00000000-0005-0000-0000-000083730000}"/>
    <cellStyle name="Normal 3 7 2 2 6" xfId="29590" xr:uid="{00000000-0005-0000-0000-000084730000}"/>
    <cellStyle name="Normal 3 7 2 3" xfId="29591" xr:uid="{00000000-0005-0000-0000-000085730000}"/>
    <cellStyle name="Normal 3 7 2 3 2" xfId="29592" xr:uid="{00000000-0005-0000-0000-000086730000}"/>
    <cellStyle name="Normal 3 7 2 3 2 2" xfId="29593" xr:uid="{00000000-0005-0000-0000-000087730000}"/>
    <cellStyle name="Normal 3 7 2 3 2 3" xfId="29594" xr:uid="{00000000-0005-0000-0000-000088730000}"/>
    <cellStyle name="Normal 3 7 2 3 3" xfId="29595" xr:uid="{00000000-0005-0000-0000-000089730000}"/>
    <cellStyle name="Normal 3 7 2 3 4" xfId="29596" xr:uid="{00000000-0005-0000-0000-00008A730000}"/>
    <cellStyle name="Normal 3 7 2 4" xfId="29597" xr:uid="{00000000-0005-0000-0000-00008B730000}"/>
    <cellStyle name="Normal 3 7 2 4 2" xfId="29598" xr:uid="{00000000-0005-0000-0000-00008C730000}"/>
    <cellStyle name="Normal 3 7 2 4 3" xfId="29599" xr:uid="{00000000-0005-0000-0000-00008D730000}"/>
    <cellStyle name="Normal 3 7 2 5" xfId="29600" xr:uid="{00000000-0005-0000-0000-00008E730000}"/>
    <cellStyle name="Normal 3 7 2 6" xfId="29601" xr:uid="{00000000-0005-0000-0000-00008F730000}"/>
    <cellStyle name="Normal 3 7 2 7" xfId="29602" xr:uid="{00000000-0005-0000-0000-000090730000}"/>
    <cellStyle name="Normal 3 7 3" xfId="29603" xr:uid="{00000000-0005-0000-0000-000091730000}"/>
    <cellStyle name="Normal 3 7 3 2" xfId="29604" xr:uid="{00000000-0005-0000-0000-000092730000}"/>
    <cellStyle name="Normal 3 7 3 2 2" xfId="29605" xr:uid="{00000000-0005-0000-0000-000093730000}"/>
    <cellStyle name="Normal 3 7 3 2 2 2" xfId="29606" xr:uid="{00000000-0005-0000-0000-000094730000}"/>
    <cellStyle name="Normal 3 7 3 2 2 3" xfId="29607" xr:uid="{00000000-0005-0000-0000-000095730000}"/>
    <cellStyle name="Normal 3 7 3 2 3" xfId="29608" xr:uid="{00000000-0005-0000-0000-000096730000}"/>
    <cellStyle name="Normal 3 7 3 2 4" xfId="29609" xr:uid="{00000000-0005-0000-0000-000097730000}"/>
    <cellStyle name="Normal 3 7 3 3" xfId="29610" xr:uid="{00000000-0005-0000-0000-000098730000}"/>
    <cellStyle name="Normal 3 7 3 3 2" xfId="29611" xr:uid="{00000000-0005-0000-0000-000099730000}"/>
    <cellStyle name="Normal 3 7 3 3 3" xfId="29612" xr:uid="{00000000-0005-0000-0000-00009A730000}"/>
    <cellStyle name="Normal 3 7 3 4" xfId="29613" xr:uid="{00000000-0005-0000-0000-00009B730000}"/>
    <cellStyle name="Normal 3 7 3 5" xfId="29614" xr:uid="{00000000-0005-0000-0000-00009C730000}"/>
    <cellStyle name="Normal 3 7 3 6" xfId="29615" xr:uid="{00000000-0005-0000-0000-00009D730000}"/>
    <cellStyle name="Normal 3 7 4" xfId="29616" xr:uid="{00000000-0005-0000-0000-00009E730000}"/>
    <cellStyle name="Normal 3 7 4 2" xfId="29617" xr:uid="{00000000-0005-0000-0000-00009F730000}"/>
    <cellStyle name="Normal 3 7 4 2 2" xfId="29618" xr:uid="{00000000-0005-0000-0000-0000A0730000}"/>
    <cellStyle name="Normal 3 7 4 2 3" xfId="29619" xr:uid="{00000000-0005-0000-0000-0000A1730000}"/>
    <cellStyle name="Normal 3 7 4 3" xfId="29620" xr:uid="{00000000-0005-0000-0000-0000A2730000}"/>
    <cellStyle name="Normal 3 7 4 4" xfId="29621" xr:uid="{00000000-0005-0000-0000-0000A3730000}"/>
    <cellStyle name="Normal 3 7 5" xfId="29622" xr:uid="{00000000-0005-0000-0000-0000A4730000}"/>
    <cellStyle name="Normal 3 7 5 2" xfId="29623" xr:uid="{00000000-0005-0000-0000-0000A5730000}"/>
    <cellStyle name="Normal 3 7 5 3" xfId="29624" xr:uid="{00000000-0005-0000-0000-0000A6730000}"/>
    <cellStyle name="Normal 3 7 6" xfId="29625" xr:uid="{00000000-0005-0000-0000-0000A7730000}"/>
    <cellStyle name="Normal 3 7 7" xfId="29626" xr:uid="{00000000-0005-0000-0000-0000A8730000}"/>
    <cellStyle name="Normal 3 7 8" xfId="29627" xr:uid="{00000000-0005-0000-0000-0000A9730000}"/>
    <cellStyle name="Normal 3_PropertyList" xfId="36001" xr:uid="{00000000-0005-0000-0000-0000AA730000}"/>
    <cellStyle name="Normal 30" xfId="71" xr:uid="{00000000-0005-0000-0000-0000AB730000}"/>
    <cellStyle name="Normal 31" xfId="72" xr:uid="{00000000-0005-0000-0000-0000AC730000}"/>
    <cellStyle name="Normal 32" xfId="73" xr:uid="{00000000-0005-0000-0000-0000AD730000}"/>
    <cellStyle name="Normal 33" xfId="74" xr:uid="{00000000-0005-0000-0000-0000AE730000}"/>
    <cellStyle name="Normal 34" xfId="88" xr:uid="{00000000-0005-0000-0000-0000AF730000}"/>
    <cellStyle name="Normal 35" xfId="90" xr:uid="{00000000-0005-0000-0000-0000B0730000}"/>
    <cellStyle name="Normal 36" xfId="36005" xr:uid="{00000000-0005-0000-0000-0000B1730000}"/>
    <cellStyle name="Normal 37" xfId="36006" xr:uid="{00000000-0005-0000-0000-0000B2730000}"/>
    <cellStyle name="Normal 38" xfId="36007" xr:uid="{00000000-0005-0000-0000-0000B3730000}"/>
    <cellStyle name="Normal 39" xfId="36008" xr:uid="{00000000-0005-0000-0000-0000B4730000}"/>
    <cellStyle name="Normal 4" xfId="8" xr:uid="{00000000-0005-0000-0000-0000B5730000}"/>
    <cellStyle name="Normal 4 2" xfId="29628" xr:uid="{00000000-0005-0000-0000-0000B6730000}"/>
    <cellStyle name="Normal 4 2 2" xfId="29629" xr:uid="{00000000-0005-0000-0000-0000B7730000}"/>
    <cellStyle name="Normal 4 3" xfId="29630" xr:uid="{00000000-0005-0000-0000-0000B8730000}"/>
    <cellStyle name="Normal 4 3 2" xfId="29631" xr:uid="{00000000-0005-0000-0000-0000B9730000}"/>
    <cellStyle name="Normal 4 3 3" xfId="29632" xr:uid="{00000000-0005-0000-0000-0000BA730000}"/>
    <cellStyle name="Normal 4 3 4" xfId="29633" xr:uid="{00000000-0005-0000-0000-0000BB730000}"/>
    <cellStyle name="Normal 4 4" xfId="29634" xr:uid="{00000000-0005-0000-0000-0000BC730000}"/>
    <cellStyle name="Normal 4 4 2" xfId="29635" xr:uid="{00000000-0005-0000-0000-0000BD730000}"/>
    <cellStyle name="Normal 4 5" xfId="29636" xr:uid="{00000000-0005-0000-0000-0000BE730000}"/>
    <cellStyle name="Normal 4 5 2" xfId="29637" xr:uid="{00000000-0005-0000-0000-0000BF730000}"/>
    <cellStyle name="Normal 4 6" xfId="29638" xr:uid="{00000000-0005-0000-0000-0000C0730000}"/>
    <cellStyle name="Normal 4 7" xfId="29639" xr:uid="{00000000-0005-0000-0000-0000C1730000}"/>
    <cellStyle name="Normal 4 7 2" xfId="29640" xr:uid="{00000000-0005-0000-0000-0000C2730000}"/>
    <cellStyle name="Normal 4 7 2 2" xfId="29641" xr:uid="{00000000-0005-0000-0000-0000C3730000}"/>
    <cellStyle name="Normal 4 7 2 2 2" xfId="29642" xr:uid="{00000000-0005-0000-0000-0000C4730000}"/>
    <cellStyle name="Normal 4 7 2 2 2 2" xfId="29643" xr:uid="{00000000-0005-0000-0000-0000C5730000}"/>
    <cellStyle name="Normal 4 7 2 2 2 2 2" xfId="29644" xr:uid="{00000000-0005-0000-0000-0000C6730000}"/>
    <cellStyle name="Normal 4 7 2 2 2 2 3" xfId="29645" xr:uid="{00000000-0005-0000-0000-0000C7730000}"/>
    <cellStyle name="Normal 4 7 2 2 2 3" xfId="29646" xr:uid="{00000000-0005-0000-0000-0000C8730000}"/>
    <cellStyle name="Normal 4 7 2 2 2 4" xfId="29647" xr:uid="{00000000-0005-0000-0000-0000C9730000}"/>
    <cellStyle name="Normal 4 7 2 2 3" xfId="29648" xr:uid="{00000000-0005-0000-0000-0000CA730000}"/>
    <cellStyle name="Normal 4 7 2 2 3 2" xfId="29649" xr:uid="{00000000-0005-0000-0000-0000CB730000}"/>
    <cellStyle name="Normal 4 7 2 2 3 3" xfId="29650" xr:uid="{00000000-0005-0000-0000-0000CC730000}"/>
    <cellStyle name="Normal 4 7 2 2 4" xfId="29651" xr:uid="{00000000-0005-0000-0000-0000CD730000}"/>
    <cellStyle name="Normal 4 7 2 2 5" xfId="29652" xr:uid="{00000000-0005-0000-0000-0000CE730000}"/>
    <cellStyle name="Normal 4 7 2 2 6" xfId="29653" xr:uid="{00000000-0005-0000-0000-0000CF730000}"/>
    <cellStyle name="Normal 4 7 2 3" xfId="29654" xr:uid="{00000000-0005-0000-0000-0000D0730000}"/>
    <cellStyle name="Normal 4 7 2 3 2" xfId="29655" xr:uid="{00000000-0005-0000-0000-0000D1730000}"/>
    <cellStyle name="Normal 4 7 2 3 2 2" xfId="29656" xr:uid="{00000000-0005-0000-0000-0000D2730000}"/>
    <cellStyle name="Normal 4 7 2 3 2 3" xfId="29657" xr:uid="{00000000-0005-0000-0000-0000D3730000}"/>
    <cellStyle name="Normal 4 7 2 3 3" xfId="29658" xr:uid="{00000000-0005-0000-0000-0000D4730000}"/>
    <cellStyle name="Normal 4 7 2 3 4" xfId="29659" xr:uid="{00000000-0005-0000-0000-0000D5730000}"/>
    <cellStyle name="Normal 4 7 2 4" xfId="29660" xr:uid="{00000000-0005-0000-0000-0000D6730000}"/>
    <cellStyle name="Normal 4 7 2 4 2" xfId="29661" xr:uid="{00000000-0005-0000-0000-0000D7730000}"/>
    <cellStyle name="Normal 4 7 2 4 3" xfId="29662" xr:uid="{00000000-0005-0000-0000-0000D8730000}"/>
    <cellStyle name="Normal 4 7 2 5" xfId="29663" xr:uid="{00000000-0005-0000-0000-0000D9730000}"/>
    <cellStyle name="Normal 4 7 2 6" xfId="29664" xr:uid="{00000000-0005-0000-0000-0000DA730000}"/>
    <cellStyle name="Normal 4 7 2 7" xfId="29665" xr:uid="{00000000-0005-0000-0000-0000DB730000}"/>
    <cellStyle name="Normal 4 7 3" xfId="29666" xr:uid="{00000000-0005-0000-0000-0000DC730000}"/>
    <cellStyle name="Normal 4 7 3 2" xfId="29667" xr:uid="{00000000-0005-0000-0000-0000DD730000}"/>
    <cellStyle name="Normal 4 7 3 2 2" xfId="29668" xr:uid="{00000000-0005-0000-0000-0000DE730000}"/>
    <cellStyle name="Normal 4 7 3 2 2 2" xfId="29669" xr:uid="{00000000-0005-0000-0000-0000DF730000}"/>
    <cellStyle name="Normal 4 7 3 2 2 3" xfId="29670" xr:uid="{00000000-0005-0000-0000-0000E0730000}"/>
    <cellStyle name="Normal 4 7 3 2 3" xfId="29671" xr:uid="{00000000-0005-0000-0000-0000E1730000}"/>
    <cellStyle name="Normal 4 7 3 2 4" xfId="29672" xr:uid="{00000000-0005-0000-0000-0000E2730000}"/>
    <cellStyle name="Normal 4 7 3 3" xfId="29673" xr:uid="{00000000-0005-0000-0000-0000E3730000}"/>
    <cellStyle name="Normal 4 7 3 3 2" xfId="29674" xr:uid="{00000000-0005-0000-0000-0000E4730000}"/>
    <cellStyle name="Normal 4 7 3 3 3" xfId="29675" xr:uid="{00000000-0005-0000-0000-0000E5730000}"/>
    <cellStyle name="Normal 4 7 3 4" xfId="29676" xr:uid="{00000000-0005-0000-0000-0000E6730000}"/>
    <cellStyle name="Normal 4 7 3 5" xfId="29677" xr:uid="{00000000-0005-0000-0000-0000E7730000}"/>
    <cellStyle name="Normal 4 7 3 6" xfId="29678" xr:uid="{00000000-0005-0000-0000-0000E8730000}"/>
    <cellStyle name="Normal 4 7 4" xfId="29679" xr:uid="{00000000-0005-0000-0000-0000E9730000}"/>
    <cellStyle name="Normal 4 7 4 2" xfId="29680" xr:uid="{00000000-0005-0000-0000-0000EA730000}"/>
    <cellStyle name="Normal 4 7 4 2 2" xfId="29681" xr:uid="{00000000-0005-0000-0000-0000EB730000}"/>
    <cellStyle name="Normal 4 7 4 2 3" xfId="29682" xr:uid="{00000000-0005-0000-0000-0000EC730000}"/>
    <cellStyle name="Normal 4 7 4 3" xfId="29683" xr:uid="{00000000-0005-0000-0000-0000ED730000}"/>
    <cellStyle name="Normal 4 7 4 4" xfId="29684" xr:uid="{00000000-0005-0000-0000-0000EE730000}"/>
    <cellStyle name="Normal 4 7 5" xfId="29685" xr:uid="{00000000-0005-0000-0000-0000EF730000}"/>
    <cellStyle name="Normal 4 7 5 2" xfId="29686" xr:uid="{00000000-0005-0000-0000-0000F0730000}"/>
    <cellStyle name="Normal 4 7 5 3" xfId="29687" xr:uid="{00000000-0005-0000-0000-0000F1730000}"/>
    <cellStyle name="Normal 4 7 6" xfId="29688" xr:uid="{00000000-0005-0000-0000-0000F2730000}"/>
    <cellStyle name="Normal 4 7 7" xfId="29689" xr:uid="{00000000-0005-0000-0000-0000F3730000}"/>
    <cellStyle name="Normal 4 7 8" xfId="29690" xr:uid="{00000000-0005-0000-0000-0000F4730000}"/>
    <cellStyle name="Normal 4_PropertyList" xfId="36002" xr:uid="{00000000-0005-0000-0000-0000F5730000}"/>
    <cellStyle name="Normal 40" xfId="36009" xr:uid="{00000000-0005-0000-0000-0000F6730000}"/>
    <cellStyle name="Normal 41" xfId="36010" xr:uid="{00000000-0005-0000-0000-0000F7730000}"/>
    <cellStyle name="Normal 42" xfId="36011" xr:uid="{00000000-0005-0000-0000-0000F8730000}"/>
    <cellStyle name="Normal 43" xfId="29691" xr:uid="{00000000-0005-0000-0000-0000F9730000}"/>
    <cellStyle name="Normal 44" xfId="29692" xr:uid="{00000000-0005-0000-0000-0000FA730000}"/>
    <cellStyle name="Normal 44 2" xfId="29693" xr:uid="{00000000-0005-0000-0000-0000FB730000}"/>
    <cellStyle name="Normal 45" xfId="36012" xr:uid="{00000000-0005-0000-0000-0000FC730000}"/>
    <cellStyle name="Normal 46" xfId="29694" xr:uid="{00000000-0005-0000-0000-0000FD730000}"/>
    <cellStyle name="Normal 46 2" xfId="29695" xr:uid="{00000000-0005-0000-0000-0000FE730000}"/>
    <cellStyle name="Normal 47" xfId="29696" xr:uid="{00000000-0005-0000-0000-0000FF730000}"/>
    <cellStyle name="Normal 47 2" xfId="29697" xr:uid="{00000000-0005-0000-0000-000000740000}"/>
    <cellStyle name="Normal 48" xfId="36013" xr:uid="{00000000-0005-0000-0000-000001740000}"/>
    <cellStyle name="Normal 49" xfId="36014" xr:uid="{00000000-0005-0000-0000-000002740000}"/>
    <cellStyle name="Normal 5" xfId="75" xr:uid="{00000000-0005-0000-0000-000003740000}"/>
    <cellStyle name="Normal 5 2" xfId="29698" xr:uid="{00000000-0005-0000-0000-000004740000}"/>
    <cellStyle name="Normal 5 2 10" xfId="29699" xr:uid="{00000000-0005-0000-0000-000005740000}"/>
    <cellStyle name="Normal 5 2 10 2" xfId="29700" xr:uid="{00000000-0005-0000-0000-000006740000}"/>
    <cellStyle name="Normal 5 2 10 3" xfId="29701" xr:uid="{00000000-0005-0000-0000-000007740000}"/>
    <cellStyle name="Normal 5 2 11" xfId="29702" xr:uid="{00000000-0005-0000-0000-000008740000}"/>
    <cellStyle name="Normal 5 2 12" xfId="29703" xr:uid="{00000000-0005-0000-0000-000009740000}"/>
    <cellStyle name="Normal 5 2 13" xfId="29704" xr:uid="{00000000-0005-0000-0000-00000A740000}"/>
    <cellStyle name="Normal 5 2 2" xfId="29705" xr:uid="{00000000-0005-0000-0000-00000B740000}"/>
    <cellStyle name="Normal 5 2 2 10" xfId="29706" xr:uid="{00000000-0005-0000-0000-00000C740000}"/>
    <cellStyle name="Normal 5 2 2 11" xfId="29707" xr:uid="{00000000-0005-0000-0000-00000D740000}"/>
    <cellStyle name="Normal 5 2 2 2" xfId="29708" xr:uid="{00000000-0005-0000-0000-00000E740000}"/>
    <cellStyle name="Normal 5 2 2 2 10" xfId="29709" xr:uid="{00000000-0005-0000-0000-00000F740000}"/>
    <cellStyle name="Normal 5 2 2 2 2" xfId="29710" xr:uid="{00000000-0005-0000-0000-000010740000}"/>
    <cellStyle name="Normal 5 2 2 2 2 2" xfId="29711" xr:uid="{00000000-0005-0000-0000-000011740000}"/>
    <cellStyle name="Normal 5 2 2 2 2 2 2" xfId="29712" xr:uid="{00000000-0005-0000-0000-000012740000}"/>
    <cellStyle name="Normal 5 2 2 2 2 2 2 2" xfId="29713" xr:uid="{00000000-0005-0000-0000-000013740000}"/>
    <cellStyle name="Normal 5 2 2 2 2 2 2 2 2" xfId="29714" xr:uid="{00000000-0005-0000-0000-000014740000}"/>
    <cellStyle name="Normal 5 2 2 2 2 2 2 2 2 2" xfId="29715" xr:uid="{00000000-0005-0000-0000-000015740000}"/>
    <cellStyle name="Normal 5 2 2 2 2 2 2 2 2 2 2" xfId="29716" xr:uid="{00000000-0005-0000-0000-000016740000}"/>
    <cellStyle name="Normal 5 2 2 2 2 2 2 2 2 2 3" xfId="29717" xr:uid="{00000000-0005-0000-0000-000017740000}"/>
    <cellStyle name="Normal 5 2 2 2 2 2 2 2 2 3" xfId="29718" xr:uid="{00000000-0005-0000-0000-000018740000}"/>
    <cellStyle name="Normal 5 2 2 2 2 2 2 2 2 4" xfId="29719" xr:uid="{00000000-0005-0000-0000-000019740000}"/>
    <cellStyle name="Normal 5 2 2 2 2 2 2 2 3" xfId="29720" xr:uid="{00000000-0005-0000-0000-00001A740000}"/>
    <cellStyle name="Normal 5 2 2 2 2 2 2 2 3 2" xfId="29721" xr:uid="{00000000-0005-0000-0000-00001B740000}"/>
    <cellStyle name="Normal 5 2 2 2 2 2 2 2 3 3" xfId="29722" xr:uid="{00000000-0005-0000-0000-00001C740000}"/>
    <cellStyle name="Normal 5 2 2 2 2 2 2 2 4" xfId="29723" xr:uid="{00000000-0005-0000-0000-00001D740000}"/>
    <cellStyle name="Normal 5 2 2 2 2 2 2 2 5" xfId="29724" xr:uid="{00000000-0005-0000-0000-00001E740000}"/>
    <cellStyle name="Normal 5 2 2 2 2 2 2 2 6" xfId="29725" xr:uid="{00000000-0005-0000-0000-00001F740000}"/>
    <cellStyle name="Normal 5 2 2 2 2 2 2 3" xfId="29726" xr:uid="{00000000-0005-0000-0000-000020740000}"/>
    <cellStyle name="Normal 5 2 2 2 2 2 2 3 2" xfId="29727" xr:uid="{00000000-0005-0000-0000-000021740000}"/>
    <cellStyle name="Normal 5 2 2 2 2 2 2 3 2 2" xfId="29728" xr:uid="{00000000-0005-0000-0000-000022740000}"/>
    <cellStyle name="Normal 5 2 2 2 2 2 2 3 2 3" xfId="29729" xr:uid="{00000000-0005-0000-0000-000023740000}"/>
    <cellStyle name="Normal 5 2 2 2 2 2 2 3 3" xfId="29730" xr:uid="{00000000-0005-0000-0000-000024740000}"/>
    <cellStyle name="Normal 5 2 2 2 2 2 2 3 4" xfId="29731" xr:uid="{00000000-0005-0000-0000-000025740000}"/>
    <cellStyle name="Normal 5 2 2 2 2 2 2 4" xfId="29732" xr:uid="{00000000-0005-0000-0000-000026740000}"/>
    <cellStyle name="Normal 5 2 2 2 2 2 2 4 2" xfId="29733" xr:uid="{00000000-0005-0000-0000-000027740000}"/>
    <cellStyle name="Normal 5 2 2 2 2 2 2 4 3" xfId="29734" xr:uid="{00000000-0005-0000-0000-000028740000}"/>
    <cellStyle name="Normal 5 2 2 2 2 2 2 5" xfId="29735" xr:uid="{00000000-0005-0000-0000-000029740000}"/>
    <cellStyle name="Normal 5 2 2 2 2 2 2 6" xfId="29736" xr:uid="{00000000-0005-0000-0000-00002A740000}"/>
    <cellStyle name="Normal 5 2 2 2 2 2 2 7" xfId="29737" xr:uid="{00000000-0005-0000-0000-00002B740000}"/>
    <cellStyle name="Normal 5 2 2 2 2 2 3" xfId="29738" xr:uid="{00000000-0005-0000-0000-00002C740000}"/>
    <cellStyle name="Normal 5 2 2 2 2 2 3 2" xfId="29739" xr:uid="{00000000-0005-0000-0000-00002D740000}"/>
    <cellStyle name="Normal 5 2 2 2 2 2 3 2 2" xfId="29740" xr:uid="{00000000-0005-0000-0000-00002E740000}"/>
    <cellStyle name="Normal 5 2 2 2 2 2 3 2 2 2" xfId="29741" xr:uid="{00000000-0005-0000-0000-00002F740000}"/>
    <cellStyle name="Normal 5 2 2 2 2 2 3 2 2 3" xfId="29742" xr:uid="{00000000-0005-0000-0000-000030740000}"/>
    <cellStyle name="Normal 5 2 2 2 2 2 3 2 3" xfId="29743" xr:uid="{00000000-0005-0000-0000-000031740000}"/>
    <cellStyle name="Normal 5 2 2 2 2 2 3 2 4" xfId="29744" xr:uid="{00000000-0005-0000-0000-000032740000}"/>
    <cellStyle name="Normal 5 2 2 2 2 2 3 3" xfId="29745" xr:uid="{00000000-0005-0000-0000-000033740000}"/>
    <cellStyle name="Normal 5 2 2 2 2 2 3 3 2" xfId="29746" xr:uid="{00000000-0005-0000-0000-000034740000}"/>
    <cellStyle name="Normal 5 2 2 2 2 2 3 3 3" xfId="29747" xr:uid="{00000000-0005-0000-0000-000035740000}"/>
    <cellStyle name="Normal 5 2 2 2 2 2 3 4" xfId="29748" xr:uid="{00000000-0005-0000-0000-000036740000}"/>
    <cellStyle name="Normal 5 2 2 2 2 2 3 5" xfId="29749" xr:uid="{00000000-0005-0000-0000-000037740000}"/>
    <cellStyle name="Normal 5 2 2 2 2 2 3 6" xfId="29750" xr:uid="{00000000-0005-0000-0000-000038740000}"/>
    <cellStyle name="Normal 5 2 2 2 2 2 4" xfId="29751" xr:uid="{00000000-0005-0000-0000-000039740000}"/>
    <cellStyle name="Normal 5 2 2 2 2 2 4 2" xfId="29752" xr:uid="{00000000-0005-0000-0000-00003A740000}"/>
    <cellStyle name="Normal 5 2 2 2 2 2 4 2 2" xfId="29753" xr:uid="{00000000-0005-0000-0000-00003B740000}"/>
    <cellStyle name="Normal 5 2 2 2 2 2 4 2 3" xfId="29754" xr:uid="{00000000-0005-0000-0000-00003C740000}"/>
    <cellStyle name="Normal 5 2 2 2 2 2 4 3" xfId="29755" xr:uid="{00000000-0005-0000-0000-00003D740000}"/>
    <cellStyle name="Normal 5 2 2 2 2 2 4 4" xfId="29756" xr:uid="{00000000-0005-0000-0000-00003E740000}"/>
    <cellStyle name="Normal 5 2 2 2 2 2 5" xfId="29757" xr:uid="{00000000-0005-0000-0000-00003F740000}"/>
    <cellStyle name="Normal 5 2 2 2 2 2 5 2" xfId="29758" xr:uid="{00000000-0005-0000-0000-000040740000}"/>
    <cellStyle name="Normal 5 2 2 2 2 2 5 3" xfId="29759" xr:uid="{00000000-0005-0000-0000-000041740000}"/>
    <cellStyle name="Normal 5 2 2 2 2 2 6" xfId="29760" xr:uid="{00000000-0005-0000-0000-000042740000}"/>
    <cellStyle name="Normal 5 2 2 2 2 2 7" xfId="29761" xr:uid="{00000000-0005-0000-0000-000043740000}"/>
    <cellStyle name="Normal 5 2 2 2 2 2 8" xfId="29762" xr:uid="{00000000-0005-0000-0000-000044740000}"/>
    <cellStyle name="Normal 5 2 2 2 2 3" xfId="29763" xr:uid="{00000000-0005-0000-0000-000045740000}"/>
    <cellStyle name="Normal 5 2 2 2 2 3 2" xfId="29764" xr:uid="{00000000-0005-0000-0000-000046740000}"/>
    <cellStyle name="Normal 5 2 2 2 2 3 2 2" xfId="29765" xr:uid="{00000000-0005-0000-0000-000047740000}"/>
    <cellStyle name="Normal 5 2 2 2 2 3 2 2 2" xfId="29766" xr:uid="{00000000-0005-0000-0000-000048740000}"/>
    <cellStyle name="Normal 5 2 2 2 2 3 2 2 2 2" xfId="29767" xr:uid="{00000000-0005-0000-0000-000049740000}"/>
    <cellStyle name="Normal 5 2 2 2 2 3 2 2 2 3" xfId="29768" xr:uid="{00000000-0005-0000-0000-00004A740000}"/>
    <cellStyle name="Normal 5 2 2 2 2 3 2 2 3" xfId="29769" xr:uid="{00000000-0005-0000-0000-00004B740000}"/>
    <cellStyle name="Normal 5 2 2 2 2 3 2 2 4" xfId="29770" xr:uid="{00000000-0005-0000-0000-00004C740000}"/>
    <cellStyle name="Normal 5 2 2 2 2 3 2 3" xfId="29771" xr:uid="{00000000-0005-0000-0000-00004D740000}"/>
    <cellStyle name="Normal 5 2 2 2 2 3 2 3 2" xfId="29772" xr:uid="{00000000-0005-0000-0000-00004E740000}"/>
    <cellStyle name="Normal 5 2 2 2 2 3 2 3 3" xfId="29773" xr:uid="{00000000-0005-0000-0000-00004F740000}"/>
    <cellStyle name="Normal 5 2 2 2 2 3 2 4" xfId="29774" xr:uid="{00000000-0005-0000-0000-000050740000}"/>
    <cellStyle name="Normal 5 2 2 2 2 3 2 5" xfId="29775" xr:uid="{00000000-0005-0000-0000-000051740000}"/>
    <cellStyle name="Normal 5 2 2 2 2 3 2 6" xfId="29776" xr:uid="{00000000-0005-0000-0000-000052740000}"/>
    <cellStyle name="Normal 5 2 2 2 2 3 3" xfId="29777" xr:uid="{00000000-0005-0000-0000-000053740000}"/>
    <cellStyle name="Normal 5 2 2 2 2 3 3 2" xfId="29778" xr:uid="{00000000-0005-0000-0000-000054740000}"/>
    <cellStyle name="Normal 5 2 2 2 2 3 3 2 2" xfId="29779" xr:uid="{00000000-0005-0000-0000-000055740000}"/>
    <cellStyle name="Normal 5 2 2 2 2 3 3 2 3" xfId="29780" xr:uid="{00000000-0005-0000-0000-000056740000}"/>
    <cellStyle name="Normal 5 2 2 2 2 3 3 3" xfId="29781" xr:uid="{00000000-0005-0000-0000-000057740000}"/>
    <cellStyle name="Normal 5 2 2 2 2 3 3 4" xfId="29782" xr:uid="{00000000-0005-0000-0000-000058740000}"/>
    <cellStyle name="Normal 5 2 2 2 2 3 4" xfId="29783" xr:uid="{00000000-0005-0000-0000-000059740000}"/>
    <cellStyle name="Normal 5 2 2 2 2 3 4 2" xfId="29784" xr:uid="{00000000-0005-0000-0000-00005A740000}"/>
    <cellStyle name="Normal 5 2 2 2 2 3 4 3" xfId="29785" xr:uid="{00000000-0005-0000-0000-00005B740000}"/>
    <cellStyle name="Normal 5 2 2 2 2 3 5" xfId="29786" xr:uid="{00000000-0005-0000-0000-00005C740000}"/>
    <cellStyle name="Normal 5 2 2 2 2 3 6" xfId="29787" xr:uid="{00000000-0005-0000-0000-00005D740000}"/>
    <cellStyle name="Normal 5 2 2 2 2 3 7" xfId="29788" xr:uid="{00000000-0005-0000-0000-00005E740000}"/>
    <cellStyle name="Normal 5 2 2 2 2 4" xfId="29789" xr:uid="{00000000-0005-0000-0000-00005F740000}"/>
    <cellStyle name="Normal 5 2 2 2 2 4 2" xfId="29790" xr:uid="{00000000-0005-0000-0000-000060740000}"/>
    <cellStyle name="Normal 5 2 2 2 2 4 2 2" xfId="29791" xr:uid="{00000000-0005-0000-0000-000061740000}"/>
    <cellStyle name="Normal 5 2 2 2 2 4 2 2 2" xfId="29792" xr:uid="{00000000-0005-0000-0000-000062740000}"/>
    <cellStyle name="Normal 5 2 2 2 2 4 2 2 3" xfId="29793" xr:uid="{00000000-0005-0000-0000-000063740000}"/>
    <cellStyle name="Normal 5 2 2 2 2 4 2 3" xfId="29794" xr:uid="{00000000-0005-0000-0000-000064740000}"/>
    <cellStyle name="Normal 5 2 2 2 2 4 2 4" xfId="29795" xr:uid="{00000000-0005-0000-0000-000065740000}"/>
    <cellStyle name="Normal 5 2 2 2 2 4 3" xfId="29796" xr:uid="{00000000-0005-0000-0000-000066740000}"/>
    <cellStyle name="Normal 5 2 2 2 2 4 3 2" xfId="29797" xr:uid="{00000000-0005-0000-0000-000067740000}"/>
    <cellStyle name="Normal 5 2 2 2 2 4 3 3" xfId="29798" xr:uid="{00000000-0005-0000-0000-000068740000}"/>
    <cellStyle name="Normal 5 2 2 2 2 4 4" xfId="29799" xr:uid="{00000000-0005-0000-0000-000069740000}"/>
    <cellStyle name="Normal 5 2 2 2 2 4 5" xfId="29800" xr:uid="{00000000-0005-0000-0000-00006A740000}"/>
    <cellStyle name="Normal 5 2 2 2 2 4 6" xfId="29801" xr:uid="{00000000-0005-0000-0000-00006B740000}"/>
    <cellStyle name="Normal 5 2 2 2 2 5" xfId="29802" xr:uid="{00000000-0005-0000-0000-00006C740000}"/>
    <cellStyle name="Normal 5 2 2 2 2 5 2" xfId="29803" xr:uid="{00000000-0005-0000-0000-00006D740000}"/>
    <cellStyle name="Normal 5 2 2 2 2 5 2 2" xfId="29804" xr:uid="{00000000-0005-0000-0000-00006E740000}"/>
    <cellStyle name="Normal 5 2 2 2 2 5 2 3" xfId="29805" xr:uid="{00000000-0005-0000-0000-00006F740000}"/>
    <cellStyle name="Normal 5 2 2 2 2 5 3" xfId="29806" xr:uid="{00000000-0005-0000-0000-000070740000}"/>
    <cellStyle name="Normal 5 2 2 2 2 5 4" xfId="29807" xr:uid="{00000000-0005-0000-0000-000071740000}"/>
    <cellStyle name="Normal 5 2 2 2 2 6" xfId="29808" xr:uid="{00000000-0005-0000-0000-000072740000}"/>
    <cellStyle name="Normal 5 2 2 2 2 6 2" xfId="29809" xr:uid="{00000000-0005-0000-0000-000073740000}"/>
    <cellStyle name="Normal 5 2 2 2 2 6 3" xfId="29810" xr:uid="{00000000-0005-0000-0000-000074740000}"/>
    <cellStyle name="Normal 5 2 2 2 2 7" xfId="29811" xr:uid="{00000000-0005-0000-0000-000075740000}"/>
    <cellStyle name="Normal 5 2 2 2 2 8" xfId="29812" xr:uid="{00000000-0005-0000-0000-000076740000}"/>
    <cellStyle name="Normal 5 2 2 2 2 9" xfId="29813" xr:uid="{00000000-0005-0000-0000-000077740000}"/>
    <cellStyle name="Normal 5 2 2 2 3" xfId="29814" xr:uid="{00000000-0005-0000-0000-000078740000}"/>
    <cellStyle name="Normal 5 2 2 2 3 2" xfId="29815" xr:uid="{00000000-0005-0000-0000-000079740000}"/>
    <cellStyle name="Normal 5 2 2 2 3 2 2" xfId="29816" xr:uid="{00000000-0005-0000-0000-00007A740000}"/>
    <cellStyle name="Normal 5 2 2 2 3 2 2 2" xfId="29817" xr:uid="{00000000-0005-0000-0000-00007B740000}"/>
    <cellStyle name="Normal 5 2 2 2 3 2 2 2 2" xfId="29818" xr:uid="{00000000-0005-0000-0000-00007C740000}"/>
    <cellStyle name="Normal 5 2 2 2 3 2 2 2 2 2" xfId="29819" xr:uid="{00000000-0005-0000-0000-00007D740000}"/>
    <cellStyle name="Normal 5 2 2 2 3 2 2 2 2 3" xfId="29820" xr:uid="{00000000-0005-0000-0000-00007E740000}"/>
    <cellStyle name="Normal 5 2 2 2 3 2 2 2 3" xfId="29821" xr:uid="{00000000-0005-0000-0000-00007F740000}"/>
    <cellStyle name="Normal 5 2 2 2 3 2 2 2 4" xfId="29822" xr:uid="{00000000-0005-0000-0000-000080740000}"/>
    <cellStyle name="Normal 5 2 2 2 3 2 2 3" xfId="29823" xr:uid="{00000000-0005-0000-0000-000081740000}"/>
    <cellStyle name="Normal 5 2 2 2 3 2 2 3 2" xfId="29824" xr:uid="{00000000-0005-0000-0000-000082740000}"/>
    <cellStyle name="Normal 5 2 2 2 3 2 2 3 3" xfId="29825" xr:uid="{00000000-0005-0000-0000-000083740000}"/>
    <cellStyle name="Normal 5 2 2 2 3 2 2 4" xfId="29826" xr:uid="{00000000-0005-0000-0000-000084740000}"/>
    <cellStyle name="Normal 5 2 2 2 3 2 2 5" xfId="29827" xr:uid="{00000000-0005-0000-0000-000085740000}"/>
    <cellStyle name="Normal 5 2 2 2 3 2 2 6" xfId="29828" xr:uid="{00000000-0005-0000-0000-000086740000}"/>
    <cellStyle name="Normal 5 2 2 2 3 2 3" xfId="29829" xr:uid="{00000000-0005-0000-0000-000087740000}"/>
    <cellStyle name="Normal 5 2 2 2 3 2 3 2" xfId="29830" xr:uid="{00000000-0005-0000-0000-000088740000}"/>
    <cellStyle name="Normal 5 2 2 2 3 2 3 2 2" xfId="29831" xr:uid="{00000000-0005-0000-0000-000089740000}"/>
    <cellStyle name="Normal 5 2 2 2 3 2 3 2 3" xfId="29832" xr:uid="{00000000-0005-0000-0000-00008A740000}"/>
    <cellStyle name="Normal 5 2 2 2 3 2 3 3" xfId="29833" xr:uid="{00000000-0005-0000-0000-00008B740000}"/>
    <cellStyle name="Normal 5 2 2 2 3 2 3 4" xfId="29834" xr:uid="{00000000-0005-0000-0000-00008C740000}"/>
    <cellStyle name="Normal 5 2 2 2 3 2 4" xfId="29835" xr:uid="{00000000-0005-0000-0000-00008D740000}"/>
    <cellStyle name="Normal 5 2 2 2 3 2 4 2" xfId="29836" xr:uid="{00000000-0005-0000-0000-00008E740000}"/>
    <cellStyle name="Normal 5 2 2 2 3 2 4 3" xfId="29837" xr:uid="{00000000-0005-0000-0000-00008F740000}"/>
    <cellStyle name="Normal 5 2 2 2 3 2 5" xfId="29838" xr:uid="{00000000-0005-0000-0000-000090740000}"/>
    <cellStyle name="Normal 5 2 2 2 3 2 6" xfId="29839" xr:uid="{00000000-0005-0000-0000-000091740000}"/>
    <cellStyle name="Normal 5 2 2 2 3 2 7" xfId="29840" xr:uid="{00000000-0005-0000-0000-000092740000}"/>
    <cellStyle name="Normal 5 2 2 2 3 3" xfId="29841" xr:uid="{00000000-0005-0000-0000-000093740000}"/>
    <cellStyle name="Normal 5 2 2 2 3 3 2" xfId="29842" xr:uid="{00000000-0005-0000-0000-000094740000}"/>
    <cellStyle name="Normal 5 2 2 2 3 3 2 2" xfId="29843" xr:uid="{00000000-0005-0000-0000-000095740000}"/>
    <cellStyle name="Normal 5 2 2 2 3 3 2 2 2" xfId="29844" xr:uid="{00000000-0005-0000-0000-000096740000}"/>
    <cellStyle name="Normal 5 2 2 2 3 3 2 2 3" xfId="29845" xr:uid="{00000000-0005-0000-0000-000097740000}"/>
    <cellStyle name="Normal 5 2 2 2 3 3 2 3" xfId="29846" xr:uid="{00000000-0005-0000-0000-000098740000}"/>
    <cellStyle name="Normal 5 2 2 2 3 3 2 4" xfId="29847" xr:uid="{00000000-0005-0000-0000-000099740000}"/>
    <cellStyle name="Normal 5 2 2 2 3 3 3" xfId="29848" xr:uid="{00000000-0005-0000-0000-00009A740000}"/>
    <cellStyle name="Normal 5 2 2 2 3 3 3 2" xfId="29849" xr:uid="{00000000-0005-0000-0000-00009B740000}"/>
    <cellStyle name="Normal 5 2 2 2 3 3 3 3" xfId="29850" xr:uid="{00000000-0005-0000-0000-00009C740000}"/>
    <cellStyle name="Normal 5 2 2 2 3 3 4" xfId="29851" xr:uid="{00000000-0005-0000-0000-00009D740000}"/>
    <cellStyle name="Normal 5 2 2 2 3 3 5" xfId="29852" xr:uid="{00000000-0005-0000-0000-00009E740000}"/>
    <cellStyle name="Normal 5 2 2 2 3 3 6" xfId="29853" xr:uid="{00000000-0005-0000-0000-00009F740000}"/>
    <cellStyle name="Normal 5 2 2 2 3 4" xfId="29854" xr:uid="{00000000-0005-0000-0000-0000A0740000}"/>
    <cellStyle name="Normal 5 2 2 2 3 4 2" xfId="29855" xr:uid="{00000000-0005-0000-0000-0000A1740000}"/>
    <cellStyle name="Normal 5 2 2 2 3 4 2 2" xfId="29856" xr:uid="{00000000-0005-0000-0000-0000A2740000}"/>
    <cellStyle name="Normal 5 2 2 2 3 4 2 3" xfId="29857" xr:uid="{00000000-0005-0000-0000-0000A3740000}"/>
    <cellStyle name="Normal 5 2 2 2 3 4 3" xfId="29858" xr:uid="{00000000-0005-0000-0000-0000A4740000}"/>
    <cellStyle name="Normal 5 2 2 2 3 4 4" xfId="29859" xr:uid="{00000000-0005-0000-0000-0000A5740000}"/>
    <cellStyle name="Normal 5 2 2 2 3 5" xfId="29860" xr:uid="{00000000-0005-0000-0000-0000A6740000}"/>
    <cellStyle name="Normal 5 2 2 2 3 5 2" xfId="29861" xr:uid="{00000000-0005-0000-0000-0000A7740000}"/>
    <cellStyle name="Normal 5 2 2 2 3 5 3" xfId="29862" xr:uid="{00000000-0005-0000-0000-0000A8740000}"/>
    <cellStyle name="Normal 5 2 2 2 3 6" xfId="29863" xr:uid="{00000000-0005-0000-0000-0000A9740000}"/>
    <cellStyle name="Normal 5 2 2 2 3 7" xfId="29864" xr:uid="{00000000-0005-0000-0000-0000AA740000}"/>
    <cellStyle name="Normal 5 2 2 2 3 8" xfId="29865" xr:uid="{00000000-0005-0000-0000-0000AB740000}"/>
    <cellStyle name="Normal 5 2 2 2 4" xfId="29866" xr:uid="{00000000-0005-0000-0000-0000AC740000}"/>
    <cellStyle name="Normal 5 2 2 2 4 2" xfId="29867" xr:uid="{00000000-0005-0000-0000-0000AD740000}"/>
    <cellStyle name="Normal 5 2 2 2 4 2 2" xfId="29868" xr:uid="{00000000-0005-0000-0000-0000AE740000}"/>
    <cellStyle name="Normal 5 2 2 2 4 2 2 2" xfId="29869" xr:uid="{00000000-0005-0000-0000-0000AF740000}"/>
    <cellStyle name="Normal 5 2 2 2 4 2 2 2 2" xfId="29870" xr:uid="{00000000-0005-0000-0000-0000B0740000}"/>
    <cellStyle name="Normal 5 2 2 2 4 2 2 2 3" xfId="29871" xr:uid="{00000000-0005-0000-0000-0000B1740000}"/>
    <cellStyle name="Normal 5 2 2 2 4 2 2 3" xfId="29872" xr:uid="{00000000-0005-0000-0000-0000B2740000}"/>
    <cellStyle name="Normal 5 2 2 2 4 2 2 4" xfId="29873" xr:uid="{00000000-0005-0000-0000-0000B3740000}"/>
    <cellStyle name="Normal 5 2 2 2 4 2 3" xfId="29874" xr:uid="{00000000-0005-0000-0000-0000B4740000}"/>
    <cellStyle name="Normal 5 2 2 2 4 2 3 2" xfId="29875" xr:uid="{00000000-0005-0000-0000-0000B5740000}"/>
    <cellStyle name="Normal 5 2 2 2 4 2 3 3" xfId="29876" xr:uid="{00000000-0005-0000-0000-0000B6740000}"/>
    <cellStyle name="Normal 5 2 2 2 4 2 4" xfId="29877" xr:uid="{00000000-0005-0000-0000-0000B7740000}"/>
    <cellStyle name="Normal 5 2 2 2 4 2 5" xfId="29878" xr:uid="{00000000-0005-0000-0000-0000B8740000}"/>
    <cellStyle name="Normal 5 2 2 2 4 2 6" xfId="29879" xr:uid="{00000000-0005-0000-0000-0000B9740000}"/>
    <cellStyle name="Normal 5 2 2 2 4 3" xfId="29880" xr:uid="{00000000-0005-0000-0000-0000BA740000}"/>
    <cellStyle name="Normal 5 2 2 2 4 3 2" xfId="29881" xr:uid="{00000000-0005-0000-0000-0000BB740000}"/>
    <cellStyle name="Normal 5 2 2 2 4 3 2 2" xfId="29882" xr:uid="{00000000-0005-0000-0000-0000BC740000}"/>
    <cellStyle name="Normal 5 2 2 2 4 3 2 3" xfId="29883" xr:uid="{00000000-0005-0000-0000-0000BD740000}"/>
    <cellStyle name="Normal 5 2 2 2 4 3 3" xfId="29884" xr:uid="{00000000-0005-0000-0000-0000BE740000}"/>
    <cellStyle name="Normal 5 2 2 2 4 3 4" xfId="29885" xr:uid="{00000000-0005-0000-0000-0000BF740000}"/>
    <cellStyle name="Normal 5 2 2 2 4 4" xfId="29886" xr:uid="{00000000-0005-0000-0000-0000C0740000}"/>
    <cellStyle name="Normal 5 2 2 2 4 4 2" xfId="29887" xr:uid="{00000000-0005-0000-0000-0000C1740000}"/>
    <cellStyle name="Normal 5 2 2 2 4 4 3" xfId="29888" xr:uid="{00000000-0005-0000-0000-0000C2740000}"/>
    <cellStyle name="Normal 5 2 2 2 4 5" xfId="29889" xr:uid="{00000000-0005-0000-0000-0000C3740000}"/>
    <cellStyle name="Normal 5 2 2 2 4 6" xfId="29890" xr:uid="{00000000-0005-0000-0000-0000C4740000}"/>
    <cellStyle name="Normal 5 2 2 2 4 7" xfId="29891" xr:uid="{00000000-0005-0000-0000-0000C5740000}"/>
    <cellStyle name="Normal 5 2 2 2 5" xfId="29892" xr:uid="{00000000-0005-0000-0000-0000C6740000}"/>
    <cellStyle name="Normal 5 2 2 2 5 2" xfId="29893" xr:uid="{00000000-0005-0000-0000-0000C7740000}"/>
    <cellStyle name="Normal 5 2 2 2 5 2 2" xfId="29894" xr:uid="{00000000-0005-0000-0000-0000C8740000}"/>
    <cellStyle name="Normal 5 2 2 2 5 2 2 2" xfId="29895" xr:uid="{00000000-0005-0000-0000-0000C9740000}"/>
    <cellStyle name="Normal 5 2 2 2 5 2 2 3" xfId="29896" xr:uid="{00000000-0005-0000-0000-0000CA740000}"/>
    <cellStyle name="Normal 5 2 2 2 5 2 3" xfId="29897" xr:uid="{00000000-0005-0000-0000-0000CB740000}"/>
    <cellStyle name="Normal 5 2 2 2 5 2 4" xfId="29898" xr:uid="{00000000-0005-0000-0000-0000CC740000}"/>
    <cellStyle name="Normal 5 2 2 2 5 3" xfId="29899" xr:uid="{00000000-0005-0000-0000-0000CD740000}"/>
    <cellStyle name="Normal 5 2 2 2 5 3 2" xfId="29900" xr:uid="{00000000-0005-0000-0000-0000CE740000}"/>
    <cellStyle name="Normal 5 2 2 2 5 3 3" xfId="29901" xr:uid="{00000000-0005-0000-0000-0000CF740000}"/>
    <cellStyle name="Normal 5 2 2 2 5 4" xfId="29902" xr:uid="{00000000-0005-0000-0000-0000D0740000}"/>
    <cellStyle name="Normal 5 2 2 2 5 5" xfId="29903" xr:uid="{00000000-0005-0000-0000-0000D1740000}"/>
    <cellStyle name="Normal 5 2 2 2 5 6" xfId="29904" xr:uid="{00000000-0005-0000-0000-0000D2740000}"/>
    <cellStyle name="Normal 5 2 2 2 6" xfId="29905" xr:uid="{00000000-0005-0000-0000-0000D3740000}"/>
    <cellStyle name="Normal 5 2 2 2 6 2" xfId="29906" xr:uid="{00000000-0005-0000-0000-0000D4740000}"/>
    <cellStyle name="Normal 5 2 2 2 6 2 2" xfId="29907" xr:uid="{00000000-0005-0000-0000-0000D5740000}"/>
    <cellStyle name="Normal 5 2 2 2 6 2 3" xfId="29908" xr:uid="{00000000-0005-0000-0000-0000D6740000}"/>
    <cellStyle name="Normal 5 2 2 2 6 3" xfId="29909" xr:uid="{00000000-0005-0000-0000-0000D7740000}"/>
    <cellStyle name="Normal 5 2 2 2 6 4" xfId="29910" xr:uid="{00000000-0005-0000-0000-0000D8740000}"/>
    <cellStyle name="Normal 5 2 2 2 7" xfId="29911" xr:uid="{00000000-0005-0000-0000-0000D9740000}"/>
    <cellStyle name="Normal 5 2 2 2 7 2" xfId="29912" xr:uid="{00000000-0005-0000-0000-0000DA740000}"/>
    <cellStyle name="Normal 5 2 2 2 7 3" xfId="29913" xr:uid="{00000000-0005-0000-0000-0000DB740000}"/>
    <cellStyle name="Normal 5 2 2 2 8" xfId="29914" xr:uid="{00000000-0005-0000-0000-0000DC740000}"/>
    <cellStyle name="Normal 5 2 2 2 9" xfId="29915" xr:uid="{00000000-0005-0000-0000-0000DD740000}"/>
    <cellStyle name="Normal 5 2 2 3" xfId="29916" xr:uid="{00000000-0005-0000-0000-0000DE740000}"/>
    <cellStyle name="Normal 5 2 2 3 2" xfId="29917" xr:uid="{00000000-0005-0000-0000-0000DF740000}"/>
    <cellStyle name="Normal 5 2 2 3 2 2" xfId="29918" xr:uid="{00000000-0005-0000-0000-0000E0740000}"/>
    <cellStyle name="Normal 5 2 2 3 2 2 2" xfId="29919" xr:uid="{00000000-0005-0000-0000-0000E1740000}"/>
    <cellStyle name="Normal 5 2 2 3 2 2 2 2" xfId="29920" xr:uid="{00000000-0005-0000-0000-0000E2740000}"/>
    <cellStyle name="Normal 5 2 2 3 2 2 2 2 2" xfId="29921" xr:uid="{00000000-0005-0000-0000-0000E3740000}"/>
    <cellStyle name="Normal 5 2 2 3 2 2 2 2 2 2" xfId="29922" xr:uid="{00000000-0005-0000-0000-0000E4740000}"/>
    <cellStyle name="Normal 5 2 2 3 2 2 2 2 2 3" xfId="29923" xr:uid="{00000000-0005-0000-0000-0000E5740000}"/>
    <cellStyle name="Normal 5 2 2 3 2 2 2 2 3" xfId="29924" xr:uid="{00000000-0005-0000-0000-0000E6740000}"/>
    <cellStyle name="Normal 5 2 2 3 2 2 2 2 4" xfId="29925" xr:uid="{00000000-0005-0000-0000-0000E7740000}"/>
    <cellStyle name="Normal 5 2 2 3 2 2 2 3" xfId="29926" xr:uid="{00000000-0005-0000-0000-0000E8740000}"/>
    <cellStyle name="Normal 5 2 2 3 2 2 2 3 2" xfId="29927" xr:uid="{00000000-0005-0000-0000-0000E9740000}"/>
    <cellStyle name="Normal 5 2 2 3 2 2 2 3 3" xfId="29928" xr:uid="{00000000-0005-0000-0000-0000EA740000}"/>
    <cellStyle name="Normal 5 2 2 3 2 2 2 4" xfId="29929" xr:uid="{00000000-0005-0000-0000-0000EB740000}"/>
    <cellStyle name="Normal 5 2 2 3 2 2 2 5" xfId="29930" xr:uid="{00000000-0005-0000-0000-0000EC740000}"/>
    <cellStyle name="Normal 5 2 2 3 2 2 2 6" xfId="29931" xr:uid="{00000000-0005-0000-0000-0000ED740000}"/>
    <cellStyle name="Normal 5 2 2 3 2 2 3" xfId="29932" xr:uid="{00000000-0005-0000-0000-0000EE740000}"/>
    <cellStyle name="Normal 5 2 2 3 2 2 3 2" xfId="29933" xr:uid="{00000000-0005-0000-0000-0000EF740000}"/>
    <cellStyle name="Normal 5 2 2 3 2 2 3 2 2" xfId="29934" xr:uid="{00000000-0005-0000-0000-0000F0740000}"/>
    <cellStyle name="Normal 5 2 2 3 2 2 3 2 3" xfId="29935" xr:uid="{00000000-0005-0000-0000-0000F1740000}"/>
    <cellStyle name="Normal 5 2 2 3 2 2 3 3" xfId="29936" xr:uid="{00000000-0005-0000-0000-0000F2740000}"/>
    <cellStyle name="Normal 5 2 2 3 2 2 3 4" xfId="29937" xr:uid="{00000000-0005-0000-0000-0000F3740000}"/>
    <cellStyle name="Normal 5 2 2 3 2 2 4" xfId="29938" xr:uid="{00000000-0005-0000-0000-0000F4740000}"/>
    <cellStyle name="Normal 5 2 2 3 2 2 4 2" xfId="29939" xr:uid="{00000000-0005-0000-0000-0000F5740000}"/>
    <cellStyle name="Normal 5 2 2 3 2 2 4 3" xfId="29940" xr:uid="{00000000-0005-0000-0000-0000F6740000}"/>
    <cellStyle name="Normal 5 2 2 3 2 2 5" xfId="29941" xr:uid="{00000000-0005-0000-0000-0000F7740000}"/>
    <cellStyle name="Normal 5 2 2 3 2 2 6" xfId="29942" xr:uid="{00000000-0005-0000-0000-0000F8740000}"/>
    <cellStyle name="Normal 5 2 2 3 2 2 7" xfId="29943" xr:uid="{00000000-0005-0000-0000-0000F9740000}"/>
    <cellStyle name="Normal 5 2 2 3 2 3" xfId="29944" xr:uid="{00000000-0005-0000-0000-0000FA740000}"/>
    <cellStyle name="Normal 5 2 2 3 2 3 2" xfId="29945" xr:uid="{00000000-0005-0000-0000-0000FB740000}"/>
    <cellStyle name="Normal 5 2 2 3 2 3 2 2" xfId="29946" xr:uid="{00000000-0005-0000-0000-0000FC740000}"/>
    <cellStyle name="Normal 5 2 2 3 2 3 2 2 2" xfId="29947" xr:uid="{00000000-0005-0000-0000-0000FD740000}"/>
    <cellStyle name="Normal 5 2 2 3 2 3 2 2 3" xfId="29948" xr:uid="{00000000-0005-0000-0000-0000FE740000}"/>
    <cellStyle name="Normal 5 2 2 3 2 3 2 3" xfId="29949" xr:uid="{00000000-0005-0000-0000-0000FF740000}"/>
    <cellStyle name="Normal 5 2 2 3 2 3 2 4" xfId="29950" xr:uid="{00000000-0005-0000-0000-000000750000}"/>
    <cellStyle name="Normal 5 2 2 3 2 3 3" xfId="29951" xr:uid="{00000000-0005-0000-0000-000001750000}"/>
    <cellStyle name="Normal 5 2 2 3 2 3 3 2" xfId="29952" xr:uid="{00000000-0005-0000-0000-000002750000}"/>
    <cellStyle name="Normal 5 2 2 3 2 3 3 3" xfId="29953" xr:uid="{00000000-0005-0000-0000-000003750000}"/>
    <cellStyle name="Normal 5 2 2 3 2 3 4" xfId="29954" xr:uid="{00000000-0005-0000-0000-000004750000}"/>
    <cellStyle name="Normal 5 2 2 3 2 3 5" xfId="29955" xr:uid="{00000000-0005-0000-0000-000005750000}"/>
    <cellStyle name="Normal 5 2 2 3 2 3 6" xfId="29956" xr:uid="{00000000-0005-0000-0000-000006750000}"/>
    <cellStyle name="Normal 5 2 2 3 2 4" xfId="29957" xr:uid="{00000000-0005-0000-0000-000007750000}"/>
    <cellStyle name="Normal 5 2 2 3 2 4 2" xfId="29958" xr:uid="{00000000-0005-0000-0000-000008750000}"/>
    <cellStyle name="Normal 5 2 2 3 2 4 2 2" xfId="29959" xr:uid="{00000000-0005-0000-0000-000009750000}"/>
    <cellStyle name="Normal 5 2 2 3 2 4 2 3" xfId="29960" xr:uid="{00000000-0005-0000-0000-00000A750000}"/>
    <cellStyle name="Normal 5 2 2 3 2 4 3" xfId="29961" xr:uid="{00000000-0005-0000-0000-00000B750000}"/>
    <cellStyle name="Normal 5 2 2 3 2 4 4" xfId="29962" xr:uid="{00000000-0005-0000-0000-00000C750000}"/>
    <cellStyle name="Normal 5 2 2 3 2 5" xfId="29963" xr:uid="{00000000-0005-0000-0000-00000D750000}"/>
    <cellStyle name="Normal 5 2 2 3 2 5 2" xfId="29964" xr:uid="{00000000-0005-0000-0000-00000E750000}"/>
    <cellStyle name="Normal 5 2 2 3 2 5 3" xfId="29965" xr:uid="{00000000-0005-0000-0000-00000F750000}"/>
    <cellStyle name="Normal 5 2 2 3 2 6" xfId="29966" xr:uid="{00000000-0005-0000-0000-000010750000}"/>
    <cellStyle name="Normal 5 2 2 3 2 7" xfId="29967" xr:uid="{00000000-0005-0000-0000-000011750000}"/>
    <cellStyle name="Normal 5 2 2 3 2 8" xfId="29968" xr:uid="{00000000-0005-0000-0000-000012750000}"/>
    <cellStyle name="Normal 5 2 2 3 3" xfId="29969" xr:uid="{00000000-0005-0000-0000-000013750000}"/>
    <cellStyle name="Normal 5 2 2 3 3 2" xfId="29970" xr:uid="{00000000-0005-0000-0000-000014750000}"/>
    <cellStyle name="Normal 5 2 2 3 3 2 2" xfId="29971" xr:uid="{00000000-0005-0000-0000-000015750000}"/>
    <cellStyle name="Normal 5 2 2 3 3 2 2 2" xfId="29972" xr:uid="{00000000-0005-0000-0000-000016750000}"/>
    <cellStyle name="Normal 5 2 2 3 3 2 2 2 2" xfId="29973" xr:uid="{00000000-0005-0000-0000-000017750000}"/>
    <cellStyle name="Normal 5 2 2 3 3 2 2 2 3" xfId="29974" xr:uid="{00000000-0005-0000-0000-000018750000}"/>
    <cellStyle name="Normal 5 2 2 3 3 2 2 3" xfId="29975" xr:uid="{00000000-0005-0000-0000-000019750000}"/>
    <cellStyle name="Normal 5 2 2 3 3 2 2 4" xfId="29976" xr:uid="{00000000-0005-0000-0000-00001A750000}"/>
    <cellStyle name="Normal 5 2 2 3 3 2 3" xfId="29977" xr:uid="{00000000-0005-0000-0000-00001B750000}"/>
    <cellStyle name="Normal 5 2 2 3 3 2 3 2" xfId="29978" xr:uid="{00000000-0005-0000-0000-00001C750000}"/>
    <cellStyle name="Normal 5 2 2 3 3 2 3 3" xfId="29979" xr:uid="{00000000-0005-0000-0000-00001D750000}"/>
    <cellStyle name="Normal 5 2 2 3 3 2 4" xfId="29980" xr:uid="{00000000-0005-0000-0000-00001E750000}"/>
    <cellStyle name="Normal 5 2 2 3 3 2 5" xfId="29981" xr:uid="{00000000-0005-0000-0000-00001F750000}"/>
    <cellStyle name="Normal 5 2 2 3 3 2 6" xfId="29982" xr:uid="{00000000-0005-0000-0000-000020750000}"/>
    <cellStyle name="Normal 5 2 2 3 3 3" xfId="29983" xr:uid="{00000000-0005-0000-0000-000021750000}"/>
    <cellStyle name="Normal 5 2 2 3 3 3 2" xfId="29984" xr:uid="{00000000-0005-0000-0000-000022750000}"/>
    <cellStyle name="Normal 5 2 2 3 3 3 2 2" xfId="29985" xr:uid="{00000000-0005-0000-0000-000023750000}"/>
    <cellStyle name="Normal 5 2 2 3 3 3 2 3" xfId="29986" xr:uid="{00000000-0005-0000-0000-000024750000}"/>
    <cellStyle name="Normal 5 2 2 3 3 3 3" xfId="29987" xr:uid="{00000000-0005-0000-0000-000025750000}"/>
    <cellStyle name="Normal 5 2 2 3 3 3 4" xfId="29988" xr:uid="{00000000-0005-0000-0000-000026750000}"/>
    <cellStyle name="Normal 5 2 2 3 3 4" xfId="29989" xr:uid="{00000000-0005-0000-0000-000027750000}"/>
    <cellStyle name="Normal 5 2 2 3 3 4 2" xfId="29990" xr:uid="{00000000-0005-0000-0000-000028750000}"/>
    <cellStyle name="Normal 5 2 2 3 3 4 3" xfId="29991" xr:uid="{00000000-0005-0000-0000-000029750000}"/>
    <cellStyle name="Normal 5 2 2 3 3 5" xfId="29992" xr:uid="{00000000-0005-0000-0000-00002A750000}"/>
    <cellStyle name="Normal 5 2 2 3 3 6" xfId="29993" xr:uid="{00000000-0005-0000-0000-00002B750000}"/>
    <cellStyle name="Normal 5 2 2 3 3 7" xfId="29994" xr:uid="{00000000-0005-0000-0000-00002C750000}"/>
    <cellStyle name="Normal 5 2 2 3 4" xfId="29995" xr:uid="{00000000-0005-0000-0000-00002D750000}"/>
    <cellStyle name="Normal 5 2 2 3 4 2" xfId="29996" xr:uid="{00000000-0005-0000-0000-00002E750000}"/>
    <cellStyle name="Normal 5 2 2 3 4 2 2" xfId="29997" xr:uid="{00000000-0005-0000-0000-00002F750000}"/>
    <cellStyle name="Normal 5 2 2 3 4 2 2 2" xfId="29998" xr:uid="{00000000-0005-0000-0000-000030750000}"/>
    <cellStyle name="Normal 5 2 2 3 4 2 2 3" xfId="29999" xr:uid="{00000000-0005-0000-0000-000031750000}"/>
    <cellStyle name="Normal 5 2 2 3 4 2 3" xfId="30000" xr:uid="{00000000-0005-0000-0000-000032750000}"/>
    <cellStyle name="Normal 5 2 2 3 4 2 4" xfId="30001" xr:uid="{00000000-0005-0000-0000-000033750000}"/>
    <cellStyle name="Normal 5 2 2 3 4 3" xfId="30002" xr:uid="{00000000-0005-0000-0000-000034750000}"/>
    <cellStyle name="Normal 5 2 2 3 4 3 2" xfId="30003" xr:uid="{00000000-0005-0000-0000-000035750000}"/>
    <cellStyle name="Normal 5 2 2 3 4 3 3" xfId="30004" xr:uid="{00000000-0005-0000-0000-000036750000}"/>
    <cellStyle name="Normal 5 2 2 3 4 4" xfId="30005" xr:uid="{00000000-0005-0000-0000-000037750000}"/>
    <cellStyle name="Normal 5 2 2 3 4 5" xfId="30006" xr:uid="{00000000-0005-0000-0000-000038750000}"/>
    <cellStyle name="Normal 5 2 2 3 4 6" xfId="30007" xr:uid="{00000000-0005-0000-0000-000039750000}"/>
    <cellStyle name="Normal 5 2 2 3 5" xfId="30008" xr:uid="{00000000-0005-0000-0000-00003A750000}"/>
    <cellStyle name="Normal 5 2 2 3 5 2" xfId="30009" xr:uid="{00000000-0005-0000-0000-00003B750000}"/>
    <cellStyle name="Normal 5 2 2 3 5 2 2" xfId="30010" xr:uid="{00000000-0005-0000-0000-00003C750000}"/>
    <cellStyle name="Normal 5 2 2 3 5 2 3" xfId="30011" xr:uid="{00000000-0005-0000-0000-00003D750000}"/>
    <cellStyle name="Normal 5 2 2 3 5 3" xfId="30012" xr:uid="{00000000-0005-0000-0000-00003E750000}"/>
    <cellStyle name="Normal 5 2 2 3 5 4" xfId="30013" xr:uid="{00000000-0005-0000-0000-00003F750000}"/>
    <cellStyle name="Normal 5 2 2 3 6" xfId="30014" xr:uid="{00000000-0005-0000-0000-000040750000}"/>
    <cellStyle name="Normal 5 2 2 3 6 2" xfId="30015" xr:uid="{00000000-0005-0000-0000-000041750000}"/>
    <cellStyle name="Normal 5 2 2 3 6 3" xfId="30016" xr:uid="{00000000-0005-0000-0000-000042750000}"/>
    <cellStyle name="Normal 5 2 2 3 7" xfId="30017" xr:uid="{00000000-0005-0000-0000-000043750000}"/>
    <cellStyle name="Normal 5 2 2 3 8" xfId="30018" xr:uid="{00000000-0005-0000-0000-000044750000}"/>
    <cellStyle name="Normal 5 2 2 3 9" xfId="30019" xr:uid="{00000000-0005-0000-0000-000045750000}"/>
    <cellStyle name="Normal 5 2 2 4" xfId="30020" xr:uid="{00000000-0005-0000-0000-000046750000}"/>
    <cellStyle name="Normal 5 2 2 4 2" xfId="30021" xr:uid="{00000000-0005-0000-0000-000047750000}"/>
    <cellStyle name="Normal 5 2 2 4 2 2" xfId="30022" xr:uid="{00000000-0005-0000-0000-000048750000}"/>
    <cellStyle name="Normal 5 2 2 4 2 2 2" xfId="30023" xr:uid="{00000000-0005-0000-0000-000049750000}"/>
    <cellStyle name="Normal 5 2 2 4 2 2 2 2" xfId="30024" xr:uid="{00000000-0005-0000-0000-00004A750000}"/>
    <cellStyle name="Normal 5 2 2 4 2 2 2 2 2" xfId="30025" xr:uid="{00000000-0005-0000-0000-00004B750000}"/>
    <cellStyle name="Normal 5 2 2 4 2 2 2 2 3" xfId="30026" xr:uid="{00000000-0005-0000-0000-00004C750000}"/>
    <cellStyle name="Normal 5 2 2 4 2 2 2 3" xfId="30027" xr:uid="{00000000-0005-0000-0000-00004D750000}"/>
    <cellStyle name="Normal 5 2 2 4 2 2 2 4" xfId="30028" xr:uid="{00000000-0005-0000-0000-00004E750000}"/>
    <cellStyle name="Normal 5 2 2 4 2 2 3" xfId="30029" xr:uid="{00000000-0005-0000-0000-00004F750000}"/>
    <cellStyle name="Normal 5 2 2 4 2 2 3 2" xfId="30030" xr:uid="{00000000-0005-0000-0000-000050750000}"/>
    <cellStyle name="Normal 5 2 2 4 2 2 3 3" xfId="30031" xr:uid="{00000000-0005-0000-0000-000051750000}"/>
    <cellStyle name="Normal 5 2 2 4 2 2 4" xfId="30032" xr:uid="{00000000-0005-0000-0000-000052750000}"/>
    <cellStyle name="Normal 5 2 2 4 2 2 5" xfId="30033" xr:uid="{00000000-0005-0000-0000-000053750000}"/>
    <cellStyle name="Normal 5 2 2 4 2 2 6" xfId="30034" xr:uid="{00000000-0005-0000-0000-000054750000}"/>
    <cellStyle name="Normal 5 2 2 4 2 3" xfId="30035" xr:uid="{00000000-0005-0000-0000-000055750000}"/>
    <cellStyle name="Normal 5 2 2 4 2 3 2" xfId="30036" xr:uid="{00000000-0005-0000-0000-000056750000}"/>
    <cellStyle name="Normal 5 2 2 4 2 3 2 2" xfId="30037" xr:uid="{00000000-0005-0000-0000-000057750000}"/>
    <cellStyle name="Normal 5 2 2 4 2 3 2 3" xfId="30038" xr:uid="{00000000-0005-0000-0000-000058750000}"/>
    <cellStyle name="Normal 5 2 2 4 2 3 3" xfId="30039" xr:uid="{00000000-0005-0000-0000-000059750000}"/>
    <cellStyle name="Normal 5 2 2 4 2 3 4" xfId="30040" xr:uid="{00000000-0005-0000-0000-00005A750000}"/>
    <cellStyle name="Normal 5 2 2 4 2 4" xfId="30041" xr:uid="{00000000-0005-0000-0000-00005B750000}"/>
    <cellStyle name="Normal 5 2 2 4 2 4 2" xfId="30042" xr:uid="{00000000-0005-0000-0000-00005C750000}"/>
    <cellStyle name="Normal 5 2 2 4 2 4 3" xfId="30043" xr:uid="{00000000-0005-0000-0000-00005D750000}"/>
    <cellStyle name="Normal 5 2 2 4 2 5" xfId="30044" xr:uid="{00000000-0005-0000-0000-00005E750000}"/>
    <cellStyle name="Normal 5 2 2 4 2 6" xfId="30045" xr:uid="{00000000-0005-0000-0000-00005F750000}"/>
    <cellStyle name="Normal 5 2 2 4 2 7" xfId="30046" xr:uid="{00000000-0005-0000-0000-000060750000}"/>
    <cellStyle name="Normal 5 2 2 4 3" xfId="30047" xr:uid="{00000000-0005-0000-0000-000061750000}"/>
    <cellStyle name="Normal 5 2 2 4 3 2" xfId="30048" xr:uid="{00000000-0005-0000-0000-000062750000}"/>
    <cellStyle name="Normal 5 2 2 4 3 2 2" xfId="30049" xr:uid="{00000000-0005-0000-0000-000063750000}"/>
    <cellStyle name="Normal 5 2 2 4 3 2 2 2" xfId="30050" xr:uid="{00000000-0005-0000-0000-000064750000}"/>
    <cellStyle name="Normal 5 2 2 4 3 2 2 3" xfId="30051" xr:uid="{00000000-0005-0000-0000-000065750000}"/>
    <cellStyle name="Normal 5 2 2 4 3 2 3" xfId="30052" xr:uid="{00000000-0005-0000-0000-000066750000}"/>
    <cellStyle name="Normal 5 2 2 4 3 2 4" xfId="30053" xr:uid="{00000000-0005-0000-0000-000067750000}"/>
    <cellStyle name="Normal 5 2 2 4 3 3" xfId="30054" xr:uid="{00000000-0005-0000-0000-000068750000}"/>
    <cellStyle name="Normal 5 2 2 4 3 3 2" xfId="30055" xr:uid="{00000000-0005-0000-0000-000069750000}"/>
    <cellStyle name="Normal 5 2 2 4 3 3 3" xfId="30056" xr:uid="{00000000-0005-0000-0000-00006A750000}"/>
    <cellStyle name="Normal 5 2 2 4 3 4" xfId="30057" xr:uid="{00000000-0005-0000-0000-00006B750000}"/>
    <cellStyle name="Normal 5 2 2 4 3 5" xfId="30058" xr:uid="{00000000-0005-0000-0000-00006C750000}"/>
    <cellStyle name="Normal 5 2 2 4 3 6" xfId="30059" xr:uid="{00000000-0005-0000-0000-00006D750000}"/>
    <cellStyle name="Normal 5 2 2 4 4" xfId="30060" xr:uid="{00000000-0005-0000-0000-00006E750000}"/>
    <cellStyle name="Normal 5 2 2 4 4 2" xfId="30061" xr:uid="{00000000-0005-0000-0000-00006F750000}"/>
    <cellStyle name="Normal 5 2 2 4 4 2 2" xfId="30062" xr:uid="{00000000-0005-0000-0000-000070750000}"/>
    <cellStyle name="Normal 5 2 2 4 4 2 3" xfId="30063" xr:uid="{00000000-0005-0000-0000-000071750000}"/>
    <cellStyle name="Normal 5 2 2 4 4 3" xfId="30064" xr:uid="{00000000-0005-0000-0000-000072750000}"/>
    <cellStyle name="Normal 5 2 2 4 4 4" xfId="30065" xr:uid="{00000000-0005-0000-0000-000073750000}"/>
    <cellStyle name="Normal 5 2 2 4 5" xfId="30066" xr:uid="{00000000-0005-0000-0000-000074750000}"/>
    <cellStyle name="Normal 5 2 2 4 5 2" xfId="30067" xr:uid="{00000000-0005-0000-0000-000075750000}"/>
    <cellStyle name="Normal 5 2 2 4 5 3" xfId="30068" xr:uid="{00000000-0005-0000-0000-000076750000}"/>
    <cellStyle name="Normal 5 2 2 4 6" xfId="30069" xr:uid="{00000000-0005-0000-0000-000077750000}"/>
    <cellStyle name="Normal 5 2 2 4 7" xfId="30070" xr:uid="{00000000-0005-0000-0000-000078750000}"/>
    <cellStyle name="Normal 5 2 2 4 8" xfId="30071" xr:uid="{00000000-0005-0000-0000-000079750000}"/>
    <cellStyle name="Normal 5 2 2 5" xfId="30072" xr:uid="{00000000-0005-0000-0000-00007A750000}"/>
    <cellStyle name="Normal 5 2 2 5 2" xfId="30073" xr:uid="{00000000-0005-0000-0000-00007B750000}"/>
    <cellStyle name="Normal 5 2 2 5 2 2" xfId="30074" xr:uid="{00000000-0005-0000-0000-00007C750000}"/>
    <cellStyle name="Normal 5 2 2 5 2 2 2" xfId="30075" xr:uid="{00000000-0005-0000-0000-00007D750000}"/>
    <cellStyle name="Normal 5 2 2 5 2 2 2 2" xfId="30076" xr:uid="{00000000-0005-0000-0000-00007E750000}"/>
    <cellStyle name="Normal 5 2 2 5 2 2 2 3" xfId="30077" xr:uid="{00000000-0005-0000-0000-00007F750000}"/>
    <cellStyle name="Normal 5 2 2 5 2 2 3" xfId="30078" xr:uid="{00000000-0005-0000-0000-000080750000}"/>
    <cellStyle name="Normal 5 2 2 5 2 2 4" xfId="30079" xr:uid="{00000000-0005-0000-0000-000081750000}"/>
    <cellStyle name="Normal 5 2 2 5 2 3" xfId="30080" xr:uid="{00000000-0005-0000-0000-000082750000}"/>
    <cellStyle name="Normal 5 2 2 5 2 3 2" xfId="30081" xr:uid="{00000000-0005-0000-0000-000083750000}"/>
    <cellStyle name="Normal 5 2 2 5 2 3 3" xfId="30082" xr:uid="{00000000-0005-0000-0000-000084750000}"/>
    <cellStyle name="Normal 5 2 2 5 2 4" xfId="30083" xr:uid="{00000000-0005-0000-0000-000085750000}"/>
    <cellStyle name="Normal 5 2 2 5 2 5" xfId="30084" xr:uid="{00000000-0005-0000-0000-000086750000}"/>
    <cellStyle name="Normal 5 2 2 5 2 6" xfId="30085" xr:uid="{00000000-0005-0000-0000-000087750000}"/>
    <cellStyle name="Normal 5 2 2 5 3" xfId="30086" xr:uid="{00000000-0005-0000-0000-000088750000}"/>
    <cellStyle name="Normal 5 2 2 5 3 2" xfId="30087" xr:uid="{00000000-0005-0000-0000-000089750000}"/>
    <cellStyle name="Normal 5 2 2 5 3 2 2" xfId="30088" xr:uid="{00000000-0005-0000-0000-00008A750000}"/>
    <cellStyle name="Normal 5 2 2 5 3 2 3" xfId="30089" xr:uid="{00000000-0005-0000-0000-00008B750000}"/>
    <cellStyle name="Normal 5 2 2 5 3 3" xfId="30090" xr:uid="{00000000-0005-0000-0000-00008C750000}"/>
    <cellStyle name="Normal 5 2 2 5 3 4" xfId="30091" xr:uid="{00000000-0005-0000-0000-00008D750000}"/>
    <cellStyle name="Normal 5 2 2 5 4" xfId="30092" xr:uid="{00000000-0005-0000-0000-00008E750000}"/>
    <cellStyle name="Normal 5 2 2 5 4 2" xfId="30093" xr:uid="{00000000-0005-0000-0000-00008F750000}"/>
    <cellStyle name="Normal 5 2 2 5 4 3" xfId="30094" xr:uid="{00000000-0005-0000-0000-000090750000}"/>
    <cellStyle name="Normal 5 2 2 5 5" xfId="30095" xr:uid="{00000000-0005-0000-0000-000091750000}"/>
    <cellStyle name="Normal 5 2 2 5 6" xfId="30096" xr:uid="{00000000-0005-0000-0000-000092750000}"/>
    <cellStyle name="Normal 5 2 2 5 7" xfId="30097" xr:uid="{00000000-0005-0000-0000-000093750000}"/>
    <cellStyle name="Normal 5 2 2 6" xfId="30098" xr:uid="{00000000-0005-0000-0000-000094750000}"/>
    <cellStyle name="Normal 5 2 2 6 2" xfId="30099" xr:uid="{00000000-0005-0000-0000-000095750000}"/>
    <cellStyle name="Normal 5 2 2 6 2 2" xfId="30100" xr:uid="{00000000-0005-0000-0000-000096750000}"/>
    <cellStyle name="Normal 5 2 2 6 2 2 2" xfId="30101" xr:uid="{00000000-0005-0000-0000-000097750000}"/>
    <cellStyle name="Normal 5 2 2 6 2 2 3" xfId="30102" xr:uid="{00000000-0005-0000-0000-000098750000}"/>
    <cellStyle name="Normal 5 2 2 6 2 3" xfId="30103" xr:uid="{00000000-0005-0000-0000-000099750000}"/>
    <cellStyle name="Normal 5 2 2 6 2 4" xfId="30104" xr:uid="{00000000-0005-0000-0000-00009A750000}"/>
    <cellStyle name="Normal 5 2 2 6 3" xfId="30105" xr:uid="{00000000-0005-0000-0000-00009B750000}"/>
    <cellStyle name="Normal 5 2 2 6 3 2" xfId="30106" xr:uid="{00000000-0005-0000-0000-00009C750000}"/>
    <cellStyle name="Normal 5 2 2 6 3 3" xfId="30107" xr:uid="{00000000-0005-0000-0000-00009D750000}"/>
    <cellStyle name="Normal 5 2 2 6 4" xfId="30108" xr:uid="{00000000-0005-0000-0000-00009E750000}"/>
    <cellStyle name="Normal 5 2 2 6 5" xfId="30109" xr:uid="{00000000-0005-0000-0000-00009F750000}"/>
    <cellStyle name="Normal 5 2 2 6 6" xfId="30110" xr:uid="{00000000-0005-0000-0000-0000A0750000}"/>
    <cellStyle name="Normal 5 2 2 7" xfId="30111" xr:uid="{00000000-0005-0000-0000-0000A1750000}"/>
    <cellStyle name="Normal 5 2 2 7 2" xfId="30112" xr:uid="{00000000-0005-0000-0000-0000A2750000}"/>
    <cellStyle name="Normal 5 2 2 7 2 2" xfId="30113" xr:uid="{00000000-0005-0000-0000-0000A3750000}"/>
    <cellStyle name="Normal 5 2 2 7 2 3" xfId="30114" xr:uid="{00000000-0005-0000-0000-0000A4750000}"/>
    <cellStyle name="Normal 5 2 2 7 3" xfId="30115" xr:uid="{00000000-0005-0000-0000-0000A5750000}"/>
    <cellStyle name="Normal 5 2 2 7 4" xfId="30116" xr:uid="{00000000-0005-0000-0000-0000A6750000}"/>
    <cellStyle name="Normal 5 2 2 8" xfId="30117" xr:uid="{00000000-0005-0000-0000-0000A7750000}"/>
    <cellStyle name="Normal 5 2 2 8 2" xfId="30118" xr:uid="{00000000-0005-0000-0000-0000A8750000}"/>
    <cellStyle name="Normal 5 2 2 8 3" xfId="30119" xr:uid="{00000000-0005-0000-0000-0000A9750000}"/>
    <cellStyle name="Normal 5 2 2 9" xfId="30120" xr:uid="{00000000-0005-0000-0000-0000AA750000}"/>
    <cellStyle name="Normal 5 2 3" xfId="30121" xr:uid="{00000000-0005-0000-0000-0000AB750000}"/>
    <cellStyle name="Normal 5 2 3 10" xfId="30122" xr:uid="{00000000-0005-0000-0000-0000AC750000}"/>
    <cellStyle name="Normal 5 2 3 2" xfId="30123" xr:uid="{00000000-0005-0000-0000-0000AD750000}"/>
    <cellStyle name="Normal 5 2 3 2 2" xfId="30124" xr:uid="{00000000-0005-0000-0000-0000AE750000}"/>
    <cellStyle name="Normal 5 2 3 2 2 2" xfId="30125" xr:uid="{00000000-0005-0000-0000-0000AF750000}"/>
    <cellStyle name="Normal 5 2 3 2 2 2 2" xfId="30126" xr:uid="{00000000-0005-0000-0000-0000B0750000}"/>
    <cellStyle name="Normal 5 2 3 2 2 2 2 2" xfId="30127" xr:uid="{00000000-0005-0000-0000-0000B1750000}"/>
    <cellStyle name="Normal 5 2 3 2 2 2 2 2 2" xfId="30128" xr:uid="{00000000-0005-0000-0000-0000B2750000}"/>
    <cellStyle name="Normal 5 2 3 2 2 2 2 2 2 2" xfId="30129" xr:uid="{00000000-0005-0000-0000-0000B3750000}"/>
    <cellStyle name="Normal 5 2 3 2 2 2 2 2 2 3" xfId="30130" xr:uid="{00000000-0005-0000-0000-0000B4750000}"/>
    <cellStyle name="Normal 5 2 3 2 2 2 2 2 3" xfId="30131" xr:uid="{00000000-0005-0000-0000-0000B5750000}"/>
    <cellStyle name="Normal 5 2 3 2 2 2 2 2 4" xfId="30132" xr:uid="{00000000-0005-0000-0000-0000B6750000}"/>
    <cellStyle name="Normal 5 2 3 2 2 2 2 3" xfId="30133" xr:uid="{00000000-0005-0000-0000-0000B7750000}"/>
    <cellStyle name="Normal 5 2 3 2 2 2 2 3 2" xfId="30134" xr:uid="{00000000-0005-0000-0000-0000B8750000}"/>
    <cellStyle name="Normal 5 2 3 2 2 2 2 3 3" xfId="30135" xr:uid="{00000000-0005-0000-0000-0000B9750000}"/>
    <cellStyle name="Normal 5 2 3 2 2 2 2 4" xfId="30136" xr:uid="{00000000-0005-0000-0000-0000BA750000}"/>
    <cellStyle name="Normal 5 2 3 2 2 2 2 5" xfId="30137" xr:uid="{00000000-0005-0000-0000-0000BB750000}"/>
    <cellStyle name="Normal 5 2 3 2 2 2 2 6" xfId="30138" xr:uid="{00000000-0005-0000-0000-0000BC750000}"/>
    <cellStyle name="Normal 5 2 3 2 2 2 3" xfId="30139" xr:uid="{00000000-0005-0000-0000-0000BD750000}"/>
    <cellStyle name="Normal 5 2 3 2 2 2 3 2" xfId="30140" xr:uid="{00000000-0005-0000-0000-0000BE750000}"/>
    <cellStyle name="Normal 5 2 3 2 2 2 3 2 2" xfId="30141" xr:uid="{00000000-0005-0000-0000-0000BF750000}"/>
    <cellStyle name="Normal 5 2 3 2 2 2 3 2 3" xfId="30142" xr:uid="{00000000-0005-0000-0000-0000C0750000}"/>
    <cellStyle name="Normal 5 2 3 2 2 2 3 3" xfId="30143" xr:uid="{00000000-0005-0000-0000-0000C1750000}"/>
    <cellStyle name="Normal 5 2 3 2 2 2 3 4" xfId="30144" xr:uid="{00000000-0005-0000-0000-0000C2750000}"/>
    <cellStyle name="Normal 5 2 3 2 2 2 4" xfId="30145" xr:uid="{00000000-0005-0000-0000-0000C3750000}"/>
    <cellStyle name="Normal 5 2 3 2 2 2 4 2" xfId="30146" xr:uid="{00000000-0005-0000-0000-0000C4750000}"/>
    <cellStyle name="Normal 5 2 3 2 2 2 4 3" xfId="30147" xr:uid="{00000000-0005-0000-0000-0000C5750000}"/>
    <cellStyle name="Normal 5 2 3 2 2 2 5" xfId="30148" xr:uid="{00000000-0005-0000-0000-0000C6750000}"/>
    <cellStyle name="Normal 5 2 3 2 2 2 6" xfId="30149" xr:uid="{00000000-0005-0000-0000-0000C7750000}"/>
    <cellStyle name="Normal 5 2 3 2 2 2 7" xfId="30150" xr:uid="{00000000-0005-0000-0000-0000C8750000}"/>
    <cellStyle name="Normal 5 2 3 2 2 3" xfId="30151" xr:uid="{00000000-0005-0000-0000-0000C9750000}"/>
    <cellStyle name="Normal 5 2 3 2 2 3 2" xfId="30152" xr:uid="{00000000-0005-0000-0000-0000CA750000}"/>
    <cellStyle name="Normal 5 2 3 2 2 3 2 2" xfId="30153" xr:uid="{00000000-0005-0000-0000-0000CB750000}"/>
    <cellStyle name="Normal 5 2 3 2 2 3 2 2 2" xfId="30154" xr:uid="{00000000-0005-0000-0000-0000CC750000}"/>
    <cellStyle name="Normal 5 2 3 2 2 3 2 2 3" xfId="30155" xr:uid="{00000000-0005-0000-0000-0000CD750000}"/>
    <cellStyle name="Normal 5 2 3 2 2 3 2 3" xfId="30156" xr:uid="{00000000-0005-0000-0000-0000CE750000}"/>
    <cellStyle name="Normal 5 2 3 2 2 3 2 4" xfId="30157" xr:uid="{00000000-0005-0000-0000-0000CF750000}"/>
    <cellStyle name="Normal 5 2 3 2 2 3 3" xfId="30158" xr:uid="{00000000-0005-0000-0000-0000D0750000}"/>
    <cellStyle name="Normal 5 2 3 2 2 3 3 2" xfId="30159" xr:uid="{00000000-0005-0000-0000-0000D1750000}"/>
    <cellStyle name="Normal 5 2 3 2 2 3 3 3" xfId="30160" xr:uid="{00000000-0005-0000-0000-0000D2750000}"/>
    <cellStyle name="Normal 5 2 3 2 2 3 4" xfId="30161" xr:uid="{00000000-0005-0000-0000-0000D3750000}"/>
    <cellStyle name="Normal 5 2 3 2 2 3 5" xfId="30162" xr:uid="{00000000-0005-0000-0000-0000D4750000}"/>
    <cellStyle name="Normal 5 2 3 2 2 3 6" xfId="30163" xr:uid="{00000000-0005-0000-0000-0000D5750000}"/>
    <cellStyle name="Normal 5 2 3 2 2 4" xfId="30164" xr:uid="{00000000-0005-0000-0000-0000D6750000}"/>
    <cellStyle name="Normal 5 2 3 2 2 4 2" xfId="30165" xr:uid="{00000000-0005-0000-0000-0000D7750000}"/>
    <cellStyle name="Normal 5 2 3 2 2 4 2 2" xfId="30166" xr:uid="{00000000-0005-0000-0000-0000D8750000}"/>
    <cellStyle name="Normal 5 2 3 2 2 4 2 3" xfId="30167" xr:uid="{00000000-0005-0000-0000-0000D9750000}"/>
    <cellStyle name="Normal 5 2 3 2 2 4 3" xfId="30168" xr:uid="{00000000-0005-0000-0000-0000DA750000}"/>
    <cellStyle name="Normal 5 2 3 2 2 4 4" xfId="30169" xr:uid="{00000000-0005-0000-0000-0000DB750000}"/>
    <cellStyle name="Normal 5 2 3 2 2 5" xfId="30170" xr:uid="{00000000-0005-0000-0000-0000DC750000}"/>
    <cellStyle name="Normal 5 2 3 2 2 5 2" xfId="30171" xr:uid="{00000000-0005-0000-0000-0000DD750000}"/>
    <cellStyle name="Normal 5 2 3 2 2 5 3" xfId="30172" xr:uid="{00000000-0005-0000-0000-0000DE750000}"/>
    <cellStyle name="Normal 5 2 3 2 2 6" xfId="30173" xr:uid="{00000000-0005-0000-0000-0000DF750000}"/>
    <cellStyle name="Normal 5 2 3 2 2 7" xfId="30174" xr:uid="{00000000-0005-0000-0000-0000E0750000}"/>
    <cellStyle name="Normal 5 2 3 2 2 8" xfId="30175" xr:uid="{00000000-0005-0000-0000-0000E1750000}"/>
    <cellStyle name="Normal 5 2 3 2 3" xfId="30176" xr:uid="{00000000-0005-0000-0000-0000E2750000}"/>
    <cellStyle name="Normal 5 2 3 2 3 2" xfId="30177" xr:uid="{00000000-0005-0000-0000-0000E3750000}"/>
    <cellStyle name="Normal 5 2 3 2 3 2 2" xfId="30178" xr:uid="{00000000-0005-0000-0000-0000E4750000}"/>
    <cellStyle name="Normal 5 2 3 2 3 2 2 2" xfId="30179" xr:uid="{00000000-0005-0000-0000-0000E5750000}"/>
    <cellStyle name="Normal 5 2 3 2 3 2 2 2 2" xfId="30180" xr:uid="{00000000-0005-0000-0000-0000E6750000}"/>
    <cellStyle name="Normal 5 2 3 2 3 2 2 2 3" xfId="30181" xr:uid="{00000000-0005-0000-0000-0000E7750000}"/>
    <cellStyle name="Normal 5 2 3 2 3 2 2 3" xfId="30182" xr:uid="{00000000-0005-0000-0000-0000E8750000}"/>
    <cellStyle name="Normal 5 2 3 2 3 2 2 4" xfId="30183" xr:uid="{00000000-0005-0000-0000-0000E9750000}"/>
    <cellStyle name="Normal 5 2 3 2 3 2 3" xfId="30184" xr:uid="{00000000-0005-0000-0000-0000EA750000}"/>
    <cellStyle name="Normal 5 2 3 2 3 2 3 2" xfId="30185" xr:uid="{00000000-0005-0000-0000-0000EB750000}"/>
    <cellStyle name="Normal 5 2 3 2 3 2 3 3" xfId="30186" xr:uid="{00000000-0005-0000-0000-0000EC750000}"/>
    <cellStyle name="Normal 5 2 3 2 3 2 4" xfId="30187" xr:uid="{00000000-0005-0000-0000-0000ED750000}"/>
    <cellStyle name="Normal 5 2 3 2 3 2 5" xfId="30188" xr:uid="{00000000-0005-0000-0000-0000EE750000}"/>
    <cellStyle name="Normal 5 2 3 2 3 2 6" xfId="30189" xr:uid="{00000000-0005-0000-0000-0000EF750000}"/>
    <cellStyle name="Normal 5 2 3 2 3 3" xfId="30190" xr:uid="{00000000-0005-0000-0000-0000F0750000}"/>
    <cellStyle name="Normal 5 2 3 2 3 3 2" xfId="30191" xr:uid="{00000000-0005-0000-0000-0000F1750000}"/>
    <cellStyle name="Normal 5 2 3 2 3 3 2 2" xfId="30192" xr:uid="{00000000-0005-0000-0000-0000F2750000}"/>
    <cellStyle name="Normal 5 2 3 2 3 3 2 3" xfId="30193" xr:uid="{00000000-0005-0000-0000-0000F3750000}"/>
    <cellStyle name="Normal 5 2 3 2 3 3 3" xfId="30194" xr:uid="{00000000-0005-0000-0000-0000F4750000}"/>
    <cellStyle name="Normal 5 2 3 2 3 3 4" xfId="30195" xr:uid="{00000000-0005-0000-0000-0000F5750000}"/>
    <cellStyle name="Normal 5 2 3 2 3 4" xfId="30196" xr:uid="{00000000-0005-0000-0000-0000F6750000}"/>
    <cellStyle name="Normal 5 2 3 2 3 4 2" xfId="30197" xr:uid="{00000000-0005-0000-0000-0000F7750000}"/>
    <cellStyle name="Normal 5 2 3 2 3 4 3" xfId="30198" xr:uid="{00000000-0005-0000-0000-0000F8750000}"/>
    <cellStyle name="Normal 5 2 3 2 3 5" xfId="30199" xr:uid="{00000000-0005-0000-0000-0000F9750000}"/>
    <cellStyle name="Normal 5 2 3 2 3 6" xfId="30200" xr:uid="{00000000-0005-0000-0000-0000FA750000}"/>
    <cellStyle name="Normal 5 2 3 2 3 7" xfId="30201" xr:uid="{00000000-0005-0000-0000-0000FB750000}"/>
    <cellStyle name="Normal 5 2 3 2 4" xfId="30202" xr:uid="{00000000-0005-0000-0000-0000FC750000}"/>
    <cellStyle name="Normal 5 2 3 2 4 2" xfId="30203" xr:uid="{00000000-0005-0000-0000-0000FD750000}"/>
    <cellStyle name="Normal 5 2 3 2 4 2 2" xfId="30204" xr:uid="{00000000-0005-0000-0000-0000FE750000}"/>
    <cellStyle name="Normal 5 2 3 2 4 2 2 2" xfId="30205" xr:uid="{00000000-0005-0000-0000-0000FF750000}"/>
    <cellStyle name="Normal 5 2 3 2 4 2 2 3" xfId="30206" xr:uid="{00000000-0005-0000-0000-000000760000}"/>
    <cellStyle name="Normal 5 2 3 2 4 2 3" xfId="30207" xr:uid="{00000000-0005-0000-0000-000001760000}"/>
    <cellStyle name="Normal 5 2 3 2 4 2 4" xfId="30208" xr:uid="{00000000-0005-0000-0000-000002760000}"/>
    <cellStyle name="Normal 5 2 3 2 4 3" xfId="30209" xr:uid="{00000000-0005-0000-0000-000003760000}"/>
    <cellStyle name="Normal 5 2 3 2 4 3 2" xfId="30210" xr:uid="{00000000-0005-0000-0000-000004760000}"/>
    <cellStyle name="Normal 5 2 3 2 4 3 3" xfId="30211" xr:uid="{00000000-0005-0000-0000-000005760000}"/>
    <cellStyle name="Normal 5 2 3 2 4 4" xfId="30212" xr:uid="{00000000-0005-0000-0000-000006760000}"/>
    <cellStyle name="Normal 5 2 3 2 4 5" xfId="30213" xr:uid="{00000000-0005-0000-0000-000007760000}"/>
    <cellStyle name="Normal 5 2 3 2 4 6" xfId="30214" xr:uid="{00000000-0005-0000-0000-000008760000}"/>
    <cellStyle name="Normal 5 2 3 2 5" xfId="30215" xr:uid="{00000000-0005-0000-0000-000009760000}"/>
    <cellStyle name="Normal 5 2 3 2 5 2" xfId="30216" xr:uid="{00000000-0005-0000-0000-00000A760000}"/>
    <cellStyle name="Normal 5 2 3 2 5 2 2" xfId="30217" xr:uid="{00000000-0005-0000-0000-00000B760000}"/>
    <cellStyle name="Normal 5 2 3 2 5 2 3" xfId="30218" xr:uid="{00000000-0005-0000-0000-00000C760000}"/>
    <cellStyle name="Normal 5 2 3 2 5 3" xfId="30219" xr:uid="{00000000-0005-0000-0000-00000D760000}"/>
    <cellStyle name="Normal 5 2 3 2 5 4" xfId="30220" xr:uid="{00000000-0005-0000-0000-00000E760000}"/>
    <cellStyle name="Normal 5 2 3 2 6" xfId="30221" xr:uid="{00000000-0005-0000-0000-00000F760000}"/>
    <cellStyle name="Normal 5 2 3 2 6 2" xfId="30222" xr:uid="{00000000-0005-0000-0000-000010760000}"/>
    <cellStyle name="Normal 5 2 3 2 6 3" xfId="30223" xr:uid="{00000000-0005-0000-0000-000011760000}"/>
    <cellStyle name="Normal 5 2 3 2 7" xfId="30224" xr:uid="{00000000-0005-0000-0000-000012760000}"/>
    <cellStyle name="Normal 5 2 3 2 8" xfId="30225" xr:uid="{00000000-0005-0000-0000-000013760000}"/>
    <cellStyle name="Normal 5 2 3 2 9" xfId="30226" xr:uid="{00000000-0005-0000-0000-000014760000}"/>
    <cellStyle name="Normal 5 2 3 3" xfId="30227" xr:uid="{00000000-0005-0000-0000-000015760000}"/>
    <cellStyle name="Normal 5 2 3 3 2" xfId="30228" xr:uid="{00000000-0005-0000-0000-000016760000}"/>
    <cellStyle name="Normal 5 2 3 3 2 2" xfId="30229" xr:uid="{00000000-0005-0000-0000-000017760000}"/>
    <cellStyle name="Normal 5 2 3 3 2 2 2" xfId="30230" xr:uid="{00000000-0005-0000-0000-000018760000}"/>
    <cellStyle name="Normal 5 2 3 3 2 2 2 2" xfId="30231" xr:uid="{00000000-0005-0000-0000-000019760000}"/>
    <cellStyle name="Normal 5 2 3 3 2 2 2 2 2" xfId="30232" xr:uid="{00000000-0005-0000-0000-00001A760000}"/>
    <cellStyle name="Normal 5 2 3 3 2 2 2 2 3" xfId="30233" xr:uid="{00000000-0005-0000-0000-00001B760000}"/>
    <cellStyle name="Normal 5 2 3 3 2 2 2 3" xfId="30234" xr:uid="{00000000-0005-0000-0000-00001C760000}"/>
    <cellStyle name="Normal 5 2 3 3 2 2 2 4" xfId="30235" xr:uid="{00000000-0005-0000-0000-00001D760000}"/>
    <cellStyle name="Normal 5 2 3 3 2 2 3" xfId="30236" xr:uid="{00000000-0005-0000-0000-00001E760000}"/>
    <cellStyle name="Normal 5 2 3 3 2 2 3 2" xfId="30237" xr:uid="{00000000-0005-0000-0000-00001F760000}"/>
    <cellStyle name="Normal 5 2 3 3 2 2 3 3" xfId="30238" xr:uid="{00000000-0005-0000-0000-000020760000}"/>
    <cellStyle name="Normal 5 2 3 3 2 2 4" xfId="30239" xr:uid="{00000000-0005-0000-0000-000021760000}"/>
    <cellStyle name="Normal 5 2 3 3 2 2 5" xfId="30240" xr:uid="{00000000-0005-0000-0000-000022760000}"/>
    <cellStyle name="Normal 5 2 3 3 2 2 6" xfId="30241" xr:uid="{00000000-0005-0000-0000-000023760000}"/>
    <cellStyle name="Normal 5 2 3 3 2 3" xfId="30242" xr:uid="{00000000-0005-0000-0000-000024760000}"/>
    <cellStyle name="Normal 5 2 3 3 2 3 2" xfId="30243" xr:uid="{00000000-0005-0000-0000-000025760000}"/>
    <cellStyle name="Normal 5 2 3 3 2 3 2 2" xfId="30244" xr:uid="{00000000-0005-0000-0000-000026760000}"/>
    <cellStyle name="Normal 5 2 3 3 2 3 2 3" xfId="30245" xr:uid="{00000000-0005-0000-0000-000027760000}"/>
    <cellStyle name="Normal 5 2 3 3 2 3 3" xfId="30246" xr:uid="{00000000-0005-0000-0000-000028760000}"/>
    <cellStyle name="Normal 5 2 3 3 2 3 4" xfId="30247" xr:uid="{00000000-0005-0000-0000-000029760000}"/>
    <cellStyle name="Normal 5 2 3 3 2 4" xfId="30248" xr:uid="{00000000-0005-0000-0000-00002A760000}"/>
    <cellStyle name="Normal 5 2 3 3 2 4 2" xfId="30249" xr:uid="{00000000-0005-0000-0000-00002B760000}"/>
    <cellStyle name="Normal 5 2 3 3 2 4 3" xfId="30250" xr:uid="{00000000-0005-0000-0000-00002C760000}"/>
    <cellStyle name="Normal 5 2 3 3 2 5" xfId="30251" xr:uid="{00000000-0005-0000-0000-00002D760000}"/>
    <cellStyle name="Normal 5 2 3 3 2 6" xfId="30252" xr:uid="{00000000-0005-0000-0000-00002E760000}"/>
    <cellStyle name="Normal 5 2 3 3 2 7" xfId="30253" xr:uid="{00000000-0005-0000-0000-00002F760000}"/>
    <cellStyle name="Normal 5 2 3 3 3" xfId="30254" xr:uid="{00000000-0005-0000-0000-000030760000}"/>
    <cellStyle name="Normal 5 2 3 3 3 2" xfId="30255" xr:uid="{00000000-0005-0000-0000-000031760000}"/>
    <cellStyle name="Normal 5 2 3 3 3 2 2" xfId="30256" xr:uid="{00000000-0005-0000-0000-000032760000}"/>
    <cellStyle name="Normal 5 2 3 3 3 2 2 2" xfId="30257" xr:uid="{00000000-0005-0000-0000-000033760000}"/>
    <cellStyle name="Normal 5 2 3 3 3 2 2 3" xfId="30258" xr:uid="{00000000-0005-0000-0000-000034760000}"/>
    <cellStyle name="Normal 5 2 3 3 3 2 3" xfId="30259" xr:uid="{00000000-0005-0000-0000-000035760000}"/>
    <cellStyle name="Normal 5 2 3 3 3 2 4" xfId="30260" xr:uid="{00000000-0005-0000-0000-000036760000}"/>
    <cellStyle name="Normal 5 2 3 3 3 3" xfId="30261" xr:uid="{00000000-0005-0000-0000-000037760000}"/>
    <cellStyle name="Normal 5 2 3 3 3 3 2" xfId="30262" xr:uid="{00000000-0005-0000-0000-000038760000}"/>
    <cellStyle name="Normal 5 2 3 3 3 3 3" xfId="30263" xr:uid="{00000000-0005-0000-0000-000039760000}"/>
    <cellStyle name="Normal 5 2 3 3 3 4" xfId="30264" xr:uid="{00000000-0005-0000-0000-00003A760000}"/>
    <cellStyle name="Normal 5 2 3 3 3 5" xfId="30265" xr:uid="{00000000-0005-0000-0000-00003B760000}"/>
    <cellStyle name="Normal 5 2 3 3 3 6" xfId="30266" xr:uid="{00000000-0005-0000-0000-00003C760000}"/>
    <cellStyle name="Normal 5 2 3 3 4" xfId="30267" xr:uid="{00000000-0005-0000-0000-00003D760000}"/>
    <cellStyle name="Normal 5 2 3 3 4 2" xfId="30268" xr:uid="{00000000-0005-0000-0000-00003E760000}"/>
    <cellStyle name="Normal 5 2 3 3 4 2 2" xfId="30269" xr:uid="{00000000-0005-0000-0000-00003F760000}"/>
    <cellStyle name="Normal 5 2 3 3 4 2 3" xfId="30270" xr:uid="{00000000-0005-0000-0000-000040760000}"/>
    <cellStyle name="Normal 5 2 3 3 4 3" xfId="30271" xr:uid="{00000000-0005-0000-0000-000041760000}"/>
    <cellStyle name="Normal 5 2 3 3 4 4" xfId="30272" xr:uid="{00000000-0005-0000-0000-000042760000}"/>
    <cellStyle name="Normal 5 2 3 3 5" xfId="30273" xr:uid="{00000000-0005-0000-0000-000043760000}"/>
    <cellStyle name="Normal 5 2 3 3 5 2" xfId="30274" xr:uid="{00000000-0005-0000-0000-000044760000}"/>
    <cellStyle name="Normal 5 2 3 3 5 3" xfId="30275" xr:uid="{00000000-0005-0000-0000-000045760000}"/>
    <cellStyle name="Normal 5 2 3 3 6" xfId="30276" xr:uid="{00000000-0005-0000-0000-000046760000}"/>
    <cellStyle name="Normal 5 2 3 3 7" xfId="30277" xr:uid="{00000000-0005-0000-0000-000047760000}"/>
    <cellStyle name="Normal 5 2 3 3 8" xfId="30278" xr:uid="{00000000-0005-0000-0000-000048760000}"/>
    <cellStyle name="Normal 5 2 3 4" xfId="30279" xr:uid="{00000000-0005-0000-0000-000049760000}"/>
    <cellStyle name="Normal 5 2 3 4 2" xfId="30280" xr:uid="{00000000-0005-0000-0000-00004A760000}"/>
    <cellStyle name="Normal 5 2 3 4 2 2" xfId="30281" xr:uid="{00000000-0005-0000-0000-00004B760000}"/>
    <cellStyle name="Normal 5 2 3 4 2 2 2" xfId="30282" xr:uid="{00000000-0005-0000-0000-00004C760000}"/>
    <cellStyle name="Normal 5 2 3 4 2 2 2 2" xfId="30283" xr:uid="{00000000-0005-0000-0000-00004D760000}"/>
    <cellStyle name="Normal 5 2 3 4 2 2 2 3" xfId="30284" xr:uid="{00000000-0005-0000-0000-00004E760000}"/>
    <cellStyle name="Normal 5 2 3 4 2 2 3" xfId="30285" xr:uid="{00000000-0005-0000-0000-00004F760000}"/>
    <cellStyle name="Normal 5 2 3 4 2 2 4" xfId="30286" xr:uid="{00000000-0005-0000-0000-000050760000}"/>
    <cellStyle name="Normal 5 2 3 4 2 3" xfId="30287" xr:uid="{00000000-0005-0000-0000-000051760000}"/>
    <cellStyle name="Normal 5 2 3 4 2 3 2" xfId="30288" xr:uid="{00000000-0005-0000-0000-000052760000}"/>
    <cellStyle name="Normal 5 2 3 4 2 3 3" xfId="30289" xr:uid="{00000000-0005-0000-0000-000053760000}"/>
    <cellStyle name="Normal 5 2 3 4 2 4" xfId="30290" xr:uid="{00000000-0005-0000-0000-000054760000}"/>
    <cellStyle name="Normal 5 2 3 4 2 5" xfId="30291" xr:uid="{00000000-0005-0000-0000-000055760000}"/>
    <cellStyle name="Normal 5 2 3 4 2 6" xfId="30292" xr:uid="{00000000-0005-0000-0000-000056760000}"/>
    <cellStyle name="Normal 5 2 3 4 3" xfId="30293" xr:uid="{00000000-0005-0000-0000-000057760000}"/>
    <cellStyle name="Normal 5 2 3 4 3 2" xfId="30294" xr:uid="{00000000-0005-0000-0000-000058760000}"/>
    <cellStyle name="Normal 5 2 3 4 3 2 2" xfId="30295" xr:uid="{00000000-0005-0000-0000-000059760000}"/>
    <cellStyle name="Normal 5 2 3 4 3 2 3" xfId="30296" xr:uid="{00000000-0005-0000-0000-00005A760000}"/>
    <cellStyle name="Normal 5 2 3 4 3 3" xfId="30297" xr:uid="{00000000-0005-0000-0000-00005B760000}"/>
    <cellStyle name="Normal 5 2 3 4 3 4" xfId="30298" xr:uid="{00000000-0005-0000-0000-00005C760000}"/>
    <cellStyle name="Normal 5 2 3 4 4" xfId="30299" xr:uid="{00000000-0005-0000-0000-00005D760000}"/>
    <cellStyle name="Normal 5 2 3 4 4 2" xfId="30300" xr:uid="{00000000-0005-0000-0000-00005E760000}"/>
    <cellStyle name="Normal 5 2 3 4 4 3" xfId="30301" xr:uid="{00000000-0005-0000-0000-00005F760000}"/>
    <cellStyle name="Normal 5 2 3 4 5" xfId="30302" xr:uid="{00000000-0005-0000-0000-000060760000}"/>
    <cellStyle name="Normal 5 2 3 4 6" xfId="30303" xr:uid="{00000000-0005-0000-0000-000061760000}"/>
    <cellStyle name="Normal 5 2 3 4 7" xfId="30304" xr:uid="{00000000-0005-0000-0000-000062760000}"/>
    <cellStyle name="Normal 5 2 3 5" xfId="30305" xr:uid="{00000000-0005-0000-0000-000063760000}"/>
    <cellStyle name="Normal 5 2 3 5 2" xfId="30306" xr:uid="{00000000-0005-0000-0000-000064760000}"/>
    <cellStyle name="Normal 5 2 3 5 2 2" xfId="30307" xr:uid="{00000000-0005-0000-0000-000065760000}"/>
    <cellStyle name="Normal 5 2 3 5 2 2 2" xfId="30308" xr:uid="{00000000-0005-0000-0000-000066760000}"/>
    <cellStyle name="Normal 5 2 3 5 2 2 3" xfId="30309" xr:uid="{00000000-0005-0000-0000-000067760000}"/>
    <cellStyle name="Normal 5 2 3 5 2 3" xfId="30310" xr:uid="{00000000-0005-0000-0000-000068760000}"/>
    <cellStyle name="Normal 5 2 3 5 2 4" xfId="30311" xr:uid="{00000000-0005-0000-0000-000069760000}"/>
    <cellStyle name="Normal 5 2 3 5 3" xfId="30312" xr:uid="{00000000-0005-0000-0000-00006A760000}"/>
    <cellStyle name="Normal 5 2 3 5 3 2" xfId="30313" xr:uid="{00000000-0005-0000-0000-00006B760000}"/>
    <cellStyle name="Normal 5 2 3 5 3 3" xfId="30314" xr:uid="{00000000-0005-0000-0000-00006C760000}"/>
    <cellStyle name="Normal 5 2 3 5 4" xfId="30315" xr:uid="{00000000-0005-0000-0000-00006D760000}"/>
    <cellStyle name="Normal 5 2 3 5 5" xfId="30316" xr:uid="{00000000-0005-0000-0000-00006E760000}"/>
    <cellStyle name="Normal 5 2 3 5 6" xfId="30317" xr:uid="{00000000-0005-0000-0000-00006F760000}"/>
    <cellStyle name="Normal 5 2 3 6" xfId="30318" xr:uid="{00000000-0005-0000-0000-000070760000}"/>
    <cellStyle name="Normal 5 2 3 6 2" xfId="30319" xr:uid="{00000000-0005-0000-0000-000071760000}"/>
    <cellStyle name="Normal 5 2 3 6 2 2" xfId="30320" xr:uid="{00000000-0005-0000-0000-000072760000}"/>
    <cellStyle name="Normal 5 2 3 6 2 3" xfId="30321" xr:uid="{00000000-0005-0000-0000-000073760000}"/>
    <cellStyle name="Normal 5 2 3 6 3" xfId="30322" xr:uid="{00000000-0005-0000-0000-000074760000}"/>
    <cellStyle name="Normal 5 2 3 6 4" xfId="30323" xr:uid="{00000000-0005-0000-0000-000075760000}"/>
    <cellStyle name="Normal 5 2 3 7" xfId="30324" xr:uid="{00000000-0005-0000-0000-000076760000}"/>
    <cellStyle name="Normal 5 2 3 7 2" xfId="30325" xr:uid="{00000000-0005-0000-0000-000077760000}"/>
    <cellStyle name="Normal 5 2 3 7 3" xfId="30326" xr:uid="{00000000-0005-0000-0000-000078760000}"/>
    <cellStyle name="Normal 5 2 3 8" xfId="30327" xr:uid="{00000000-0005-0000-0000-000079760000}"/>
    <cellStyle name="Normal 5 2 3 9" xfId="30328" xr:uid="{00000000-0005-0000-0000-00007A760000}"/>
    <cellStyle name="Normal 5 2 4" xfId="30329" xr:uid="{00000000-0005-0000-0000-00007B760000}"/>
    <cellStyle name="Normal 5 2 4 2" xfId="30330" xr:uid="{00000000-0005-0000-0000-00007C760000}"/>
    <cellStyle name="Normal 5 2 4 2 2" xfId="30331" xr:uid="{00000000-0005-0000-0000-00007D760000}"/>
    <cellStyle name="Normal 5 2 4 2 2 2" xfId="30332" xr:uid="{00000000-0005-0000-0000-00007E760000}"/>
    <cellStyle name="Normal 5 2 4 2 2 2 2" xfId="30333" xr:uid="{00000000-0005-0000-0000-00007F760000}"/>
    <cellStyle name="Normal 5 2 4 2 2 2 2 2" xfId="30334" xr:uid="{00000000-0005-0000-0000-000080760000}"/>
    <cellStyle name="Normal 5 2 4 2 2 2 2 2 2" xfId="30335" xr:uid="{00000000-0005-0000-0000-000081760000}"/>
    <cellStyle name="Normal 5 2 4 2 2 2 2 2 3" xfId="30336" xr:uid="{00000000-0005-0000-0000-000082760000}"/>
    <cellStyle name="Normal 5 2 4 2 2 2 2 3" xfId="30337" xr:uid="{00000000-0005-0000-0000-000083760000}"/>
    <cellStyle name="Normal 5 2 4 2 2 2 2 4" xfId="30338" xr:uid="{00000000-0005-0000-0000-000084760000}"/>
    <cellStyle name="Normal 5 2 4 2 2 2 3" xfId="30339" xr:uid="{00000000-0005-0000-0000-000085760000}"/>
    <cellStyle name="Normal 5 2 4 2 2 2 3 2" xfId="30340" xr:uid="{00000000-0005-0000-0000-000086760000}"/>
    <cellStyle name="Normal 5 2 4 2 2 2 3 3" xfId="30341" xr:uid="{00000000-0005-0000-0000-000087760000}"/>
    <cellStyle name="Normal 5 2 4 2 2 2 4" xfId="30342" xr:uid="{00000000-0005-0000-0000-000088760000}"/>
    <cellStyle name="Normal 5 2 4 2 2 2 5" xfId="30343" xr:uid="{00000000-0005-0000-0000-000089760000}"/>
    <cellStyle name="Normal 5 2 4 2 2 2 6" xfId="30344" xr:uid="{00000000-0005-0000-0000-00008A760000}"/>
    <cellStyle name="Normal 5 2 4 2 2 3" xfId="30345" xr:uid="{00000000-0005-0000-0000-00008B760000}"/>
    <cellStyle name="Normal 5 2 4 2 2 3 2" xfId="30346" xr:uid="{00000000-0005-0000-0000-00008C760000}"/>
    <cellStyle name="Normal 5 2 4 2 2 3 2 2" xfId="30347" xr:uid="{00000000-0005-0000-0000-00008D760000}"/>
    <cellStyle name="Normal 5 2 4 2 2 3 2 3" xfId="30348" xr:uid="{00000000-0005-0000-0000-00008E760000}"/>
    <cellStyle name="Normal 5 2 4 2 2 3 3" xfId="30349" xr:uid="{00000000-0005-0000-0000-00008F760000}"/>
    <cellStyle name="Normal 5 2 4 2 2 3 4" xfId="30350" xr:uid="{00000000-0005-0000-0000-000090760000}"/>
    <cellStyle name="Normal 5 2 4 2 2 4" xfId="30351" xr:uid="{00000000-0005-0000-0000-000091760000}"/>
    <cellStyle name="Normal 5 2 4 2 2 4 2" xfId="30352" xr:uid="{00000000-0005-0000-0000-000092760000}"/>
    <cellStyle name="Normal 5 2 4 2 2 4 3" xfId="30353" xr:uid="{00000000-0005-0000-0000-000093760000}"/>
    <cellStyle name="Normal 5 2 4 2 2 5" xfId="30354" xr:uid="{00000000-0005-0000-0000-000094760000}"/>
    <cellStyle name="Normal 5 2 4 2 2 6" xfId="30355" xr:uid="{00000000-0005-0000-0000-000095760000}"/>
    <cellStyle name="Normal 5 2 4 2 2 7" xfId="30356" xr:uid="{00000000-0005-0000-0000-000096760000}"/>
    <cellStyle name="Normal 5 2 4 2 3" xfId="30357" xr:uid="{00000000-0005-0000-0000-000097760000}"/>
    <cellStyle name="Normal 5 2 4 2 3 2" xfId="30358" xr:uid="{00000000-0005-0000-0000-000098760000}"/>
    <cellStyle name="Normal 5 2 4 2 3 2 2" xfId="30359" xr:uid="{00000000-0005-0000-0000-000099760000}"/>
    <cellStyle name="Normal 5 2 4 2 3 2 2 2" xfId="30360" xr:uid="{00000000-0005-0000-0000-00009A760000}"/>
    <cellStyle name="Normal 5 2 4 2 3 2 2 3" xfId="30361" xr:uid="{00000000-0005-0000-0000-00009B760000}"/>
    <cellStyle name="Normal 5 2 4 2 3 2 3" xfId="30362" xr:uid="{00000000-0005-0000-0000-00009C760000}"/>
    <cellStyle name="Normal 5 2 4 2 3 2 4" xfId="30363" xr:uid="{00000000-0005-0000-0000-00009D760000}"/>
    <cellStyle name="Normal 5 2 4 2 3 3" xfId="30364" xr:uid="{00000000-0005-0000-0000-00009E760000}"/>
    <cellStyle name="Normal 5 2 4 2 3 3 2" xfId="30365" xr:uid="{00000000-0005-0000-0000-00009F760000}"/>
    <cellStyle name="Normal 5 2 4 2 3 3 3" xfId="30366" xr:uid="{00000000-0005-0000-0000-0000A0760000}"/>
    <cellStyle name="Normal 5 2 4 2 3 4" xfId="30367" xr:uid="{00000000-0005-0000-0000-0000A1760000}"/>
    <cellStyle name="Normal 5 2 4 2 3 5" xfId="30368" xr:uid="{00000000-0005-0000-0000-0000A2760000}"/>
    <cellStyle name="Normal 5 2 4 2 3 6" xfId="30369" xr:uid="{00000000-0005-0000-0000-0000A3760000}"/>
    <cellStyle name="Normal 5 2 4 2 4" xfId="30370" xr:uid="{00000000-0005-0000-0000-0000A4760000}"/>
    <cellStyle name="Normal 5 2 4 2 4 2" xfId="30371" xr:uid="{00000000-0005-0000-0000-0000A5760000}"/>
    <cellStyle name="Normal 5 2 4 2 4 2 2" xfId="30372" xr:uid="{00000000-0005-0000-0000-0000A6760000}"/>
    <cellStyle name="Normal 5 2 4 2 4 2 3" xfId="30373" xr:uid="{00000000-0005-0000-0000-0000A7760000}"/>
    <cellStyle name="Normal 5 2 4 2 4 3" xfId="30374" xr:uid="{00000000-0005-0000-0000-0000A8760000}"/>
    <cellStyle name="Normal 5 2 4 2 4 4" xfId="30375" xr:uid="{00000000-0005-0000-0000-0000A9760000}"/>
    <cellStyle name="Normal 5 2 4 2 5" xfId="30376" xr:uid="{00000000-0005-0000-0000-0000AA760000}"/>
    <cellStyle name="Normal 5 2 4 2 5 2" xfId="30377" xr:uid="{00000000-0005-0000-0000-0000AB760000}"/>
    <cellStyle name="Normal 5 2 4 2 5 3" xfId="30378" xr:uid="{00000000-0005-0000-0000-0000AC760000}"/>
    <cellStyle name="Normal 5 2 4 2 6" xfId="30379" xr:uid="{00000000-0005-0000-0000-0000AD760000}"/>
    <cellStyle name="Normal 5 2 4 2 7" xfId="30380" xr:uid="{00000000-0005-0000-0000-0000AE760000}"/>
    <cellStyle name="Normal 5 2 4 2 8" xfId="30381" xr:uid="{00000000-0005-0000-0000-0000AF760000}"/>
    <cellStyle name="Normal 5 2 4 3" xfId="30382" xr:uid="{00000000-0005-0000-0000-0000B0760000}"/>
    <cellStyle name="Normal 5 2 4 3 2" xfId="30383" xr:uid="{00000000-0005-0000-0000-0000B1760000}"/>
    <cellStyle name="Normal 5 2 4 3 2 2" xfId="30384" xr:uid="{00000000-0005-0000-0000-0000B2760000}"/>
    <cellStyle name="Normal 5 2 4 3 2 2 2" xfId="30385" xr:uid="{00000000-0005-0000-0000-0000B3760000}"/>
    <cellStyle name="Normal 5 2 4 3 2 2 2 2" xfId="30386" xr:uid="{00000000-0005-0000-0000-0000B4760000}"/>
    <cellStyle name="Normal 5 2 4 3 2 2 2 3" xfId="30387" xr:uid="{00000000-0005-0000-0000-0000B5760000}"/>
    <cellStyle name="Normal 5 2 4 3 2 2 3" xfId="30388" xr:uid="{00000000-0005-0000-0000-0000B6760000}"/>
    <cellStyle name="Normal 5 2 4 3 2 2 4" xfId="30389" xr:uid="{00000000-0005-0000-0000-0000B7760000}"/>
    <cellStyle name="Normal 5 2 4 3 2 3" xfId="30390" xr:uid="{00000000-0005-0000-0000-0000B8760000}"/>
    <cellStyle name="Normal 5 2 4 3 2 3 2" xfId="30391" xr:uid="{00000000-0005-0000-0000-0000B9760000}"/>
    <cellStyle name="Normal 5 2 4 3 2 3 3" xfId="30392" xr:uid="{00000000-0005-0000-0000-0000BA760000}"/>
    <cellStyle name="Normal 5 2 4 3 2 4" xfId="30393" xr:uid="{00000000-0005-0000-0000-0000BB760000}"/>
    <cellStyle name="Normal 5 2 4 3 2 5" xfId="30394" xr:uid="{00000000-0005-0000-0000-0000BC760000}"/>
    <cellStyle name="Normal 5 2 4 3 2 6" xfId="30395" xr:uid="{00000000-0005-0000-0000-0000BD760000}"/>
    <cellStyle name="Normal 5 2 4 3 3" xfId="30396" xr:uid="{00000000-0005-0000-0000-0000BE760000}"/>
    <cellStyle name="Normal 5 2 4 3 3 2" xfId="30397" xr:uid="{00000000-0005-0000-0000-0000BF760000}"/>
    <cellStyle name="Normal 5 2 4 3 3 2 2" xfId="30398" xr:uid="{00000000-0005-0000-0000-0000C0760000}"/>
    <cellStyle name="Normal 5 2 4 3 3 2 3" xfId="30399" xr:uid="{00000000-0005-0000-0000-0000C1760000}"/>
    <cellStyle name="Normal 5 2 4 3 3 3" xfId="30400" xr:uid="{00000000-0005-0000-0000-0000C2760000}"/>
    <cellStyle name="Normal 5 2 4 3 3 4" xfId="30401" xr:uid="{00000000-0005-0000-0000-0000C3760000}"/>
    <cellStyle name="Normal 5 2 4 3 4" xfId="30402" xr:uid="{00000000-0005-0000-0000-0000C4760000}"/>
    <cellStyle name="Normal 5 2 4 3 4 2" xfId="30403" xr:uid="{00000000-0005-0000-0000-0000C5760000}"/>
    <cellStyle name="Normal 5 2 4 3 4 3" xfId="30404" xr:uid="{00000000-0005-0000-0000-0000C6760000}"/>
    <cellStyle name="Normal 5 2 4 3 5" xfId="30405" xr:uid="{00000000-0005-0000-0000-0000C7760000}"/>
    <cellStyle name="Normal 5 2 4 3 6" xfId="30406" xr:uid="{00000000-0005-0000-0000-0000C8760000}"/>
    <cellStyle name="Normal 5 2 4 3 7" xfId="30407" xr:uid="{00000000-0005-0000-0000-0000C9760000}"/>
    <cellStyle name="Normal 5 2 4 4" xfId="30408" xr:uid="{00000000-0005-0000-0000-0000CA760000}"/>
    <cellStyle name="Normal 5 2 4 4 2" xfId="30409" xr:uid="{00000000-0005-0000-0000-0000CB760000}"/>
    <cellStyle name="Normal 5 2 4 4 2 2" xfId="30410" xr:uid="{00000000-0005-0000-0000-0000CC760000}"/>
    <cellStyle name="Normal 5 2 4 4 2 2 2" xfId="30411" xr:uid="{00000000-0005-0000-0000-0000CD760000}"/>
    <cellStyle name="Normal 5 2 4 4 2 2 3" xfId="30412" xr:uid="{00000000-0005-0000-0000-0000CE760000}"/>
    <cellStyle name="Normal 5 2 4 4 2 3" xfId="30413" xr:uid="{00000000-0005-0000-0000-0000CF760000}"/>
    <cellStyle name="Normal 5 2 4 4 2 4" xfId="30414" xr:uid="{00000000-0005-0000-0000-0000D0760000}"/>
    <cellStyle name="Normal 5 2 4 4 3" xfId="30415" xr:uid="{00000000-0005-0000-0000-0000D1760000}"/>
    <cellStyle name="Normal 5 2 4 4 3 2" xfId="30416" xr:uid="{00000000-0005-0000-0000-0000D2760000}"/>
    <cellStyle name="Normal 5 2 4 4 3 3" xfId="30417" xr:uid="{00000000-0005-0000-0000-0000D3760000}"/>
    <cellStyle name="Normal 5 2 4 4 4" xfId="30418" xr:uid="{00000000-0005-0000-0000-0000D4760000}"/>
    <cellStyle name="Normal 5 2 4 4 5" xfId="30419" xr:uid="{00000000-0005-0000-0000-0000D5760000}"/>
    <cellStyle name="Normal 5 2 4 4 6" xfId="30420" xr:uid="{00000000-0005-0000-0000-0000D6760000}"/>
    <cellStyle name="Normal 5 2 4 5" xfId="30421" xr:uid="{00000000-0005-0000-0000-0000D7760000}"/>
    <cellStyle name="Normal 5 2 4 5 2" xfId="30422" xr:uid="{00000000-0005-0000-0000-0000D8760000}"/>
    <cellStyle name="Normal 5 2 4 5 2 2" xfId="30423" xr:uid="{00000000-0005-0000-0000-0000D9760000}"/>
    <cellStyle name="Normal 5 2 4 5 2 3" xfId="30424" xr:uid="{00000000-0005-0000-0000-0000DA760000}"/>
    <cellStyle name="Normal 5 2 4 5 3" xfId="30425" xr:uid="{00000000-0005-0000-0000-0000DB760000}"/>
    <cellStyle name="Normal 5 2 4 5 4" xfId="30426" xr:uid="{00000000-0005-0000-0000-0000DC760000}"/>
    <cellStyle name="Normal 5 2 4 6" xfId="30427" xr:uid="{00000000-0005-0000-0000-0000DD760000}"/>
    <cellStyle name="Normal 5 2 4 6 2" xfId="30428" xr:uid="{00000000-0005-0000-0000-0000DE760000}"/>
    <cellStyle name="Normal 5 2 4 6 3" xfId="30429" xr:uid="{00000000-0005-0000-0000-0000DF760000}"/>
    <cellStyle name="Normal 5 2 4 7" xfId="30430" xr:uid="{00000000-0005-0000-0000-0000E0760000}"/>
    <cellStyle name="Normal 5 2 4 8" xfId="30431" xr:uid="{00000000-0005-0000-0000-0000E1760000}"/>
    <cellStyle name="Normal 5 2 4 9" xfId="30432" xr:uid="{00000000-0005-0000-0000-0000E2760000}"/>
    <cellStyle name="Normal 5 2 5" xfId="30433" xr:uid="{00000000-0005-0000-0000-0000E3760000}"/>
    <cellStyle name="Normal 5 2 5 2" xfId="30434" xr:uid="{00000000-0005-0000-0000-0000E4760000}"/>
    <cellStyle name="Normal 5 2 5 2 2" xfId="30435" xr:uid="{00000000-0005-0000-0000-0000E5760000}"/>
    <cellStyle name="Normal 5 2 5 2 2 2" xfId="30436" xr:uid="{00000000-0005-0000-0000-0000E6760000}"/>
    <cellStyle name="Normal 5 2 5 2 2 2 2" xfId="30437" xr:uid="{00000000-0005-0000-0000-0000E7760000}"/>
    <cellStyle name="Normal 5 2 5 2 2 2 2 2" xfId="30438" xr:uid="{00000000-0005-0000-0000-0000E8760000}"/>
    <cellStyle name="Normal 5 2 5 2 2 2 2 3" xfId="30439" xr:uid="{00000000-0005-0000-0000-0000E9760000}"/>
    <cellStyle name="Normal 5 2 5 2 2 2 3" xfId="30440" xr:uid="{00000000-0005-0000-0000-0000EA760000}"/>
    <cellStyle name="Normal 5 2 5 2 2 2 4" xfId="30441" xr:uid="{00000000-0005-0000-0000-0000EB760000}"/>
    <cellStyle name="Normal 5 2 5 2 2 3" xfId="30442" xr:uid="{00000000-0005-0000-0000-0000EC760000}"/>
    <cellStyle name="Normal 5 2 5 2 2 3 2" xfId="30443" xr:uid="{00000000-0005-0000-0000-0000ED760000}"/>
    <cellStyle name="Normal 5 2 5 2 2 3 3" xfId="30444" xr:uid="{00000000-0005-0000-0000-0000EE760000}"/>
    <cellStyle name="Normal 5 2 5 2 2 4" xfId="30445" xr:uid="{00000000-0005-0000-0000-0000EF760000}"/>
    <cellStyle name="Normal 5 2 5 2 2 5" xfId="30446" xr:uid="{00000000-0005-0000-0000-0000F0760000}"/>
    <cellStyle name="Normal 5 2 5 2 2 6" xfId="30447" xr:uid="{00000000-0005-0000-0000-0000F1760000}"/>
    <cellStyle name="Normal 5 2 5 2 3" xfId="30448" xr:uid="{00000000-0005-0000-0000-0000F2760000}"/>
    <cellStyle name="Normal 5 2 5 2 3 2" xfId="30449" xr:uid="{00000000-0005-0000-0000-0000F3760000}"/>
    <cellStyle name="Normal 5 2 5 2 3 2 2" xfId="30450" xr:uid="{00000000-0005-0000-0000-0000F4760000}"/>
    <cellStyle name="Normal 5 2 5 2 3 2 3" xfId="30451" xr:uid="{00000000-0005-0000-0000-0000F5760000}"/>
    <cellStyle name="Normal 5 2 5 2 3 3" xfId="30452" xr:uid="{00000000-0005-0000-0000-0000F6760000}"/>
    <cellStyle name="Normal 5 2 5 2 3 4" xfId="30453" xr:uid="{00000000-0005-0000-0000-0000F7760000}"/>
    <cellStyle name="Normal 5 2 5 2 4" xfId="30454" xr:uid="{00000000-0005-0000-0000-0000F8760000}"/>
    <cellStyle name="Normal 5 2 5 2 4 2" xfId="30455" xr:uid="{00000000-0005-0000-0000-0000F9760000}"/>
    <cellStyle name="Normal 5 2 5 2 4 3" xfId="30456" xr:uid="{00000000-0005-0000-0000-0000FA760000}"/>
    <cellStyle name="Normal 5 2 5 2 5" xfId="30457" xr:uid="{00000000-0005-0000-0000-0000FB760000}"/>
    <cellStyle name="Normal 5 2 5 2 6" xfId="30458" xr:uid="{00000000-0005-0000-0000-0000FC760000}"/>
    <cellStyle name="Normal 5 2 5 2 7" xfId="30459" xr:uid="{00000000-0005-0000-0000-0000FD760000}"/>
    <cellStyle name="Normal 5 2 5 3" xfId="30460" xr:uid="{00000000-0005-0000-0000-0000FE760000}"/>
    <cellStyle name="Normal 5 2 5 3 2" xfId="30461" xr:uid="{00000000-0005-0000-0000-0000FF760000}"/>
    <cellStyle name="Normal 5 2 5 3 2 2" xfId="30462" xr:uid="{00000000-0005-0000-0000-000000770000}"/>
    <cellStyle name="Normal 5 2 5 3 2 2 2" xfId="30463" xr:uid="{00000000-0005-0000-0000-000001770000}"/>
    <cellStyle name="Normal 5 2 5 3 2 2 3" xfId="30464" xr:uid="{00000000-0005-0000-0000-000002770000}"/>
    <cellStyle name="Normal 5 2 5 3 2 3" xfId="30465" xr:uid="{00000000-0005-0000-0000-000003770000}"/>
    <cellStyle name="Normal 5 2 5 3 2 4" xfId="30466" xr:uid="{00000000-0005-0000-0000-000004770000}"/>
    <cellStyle name="Normal 5 2 5 3 3" xfId="30467" xr:uid="{00000000-0005-0000-0000-000005770000}"/>
    <cellStyle name="Normal 5 2 5 3 3 2" xfId="30468" xr:uid="{00000000-0005-0000-0000-000006770000}"/>
    <cellStyle name="Normal 5 2 5 3 3 3" xfId="30469" xr:uid="{00000000-0005-0000-0000-000007770000}"/>
    <cellStyle name="Normal 5 2 5 3 4" xfId="30470" xr:uid="{00000000-0005-0000-0000-000008770000}"/>
    <cellStyle name="Normal 5 2 5 3 5" xfId="30471" xr:uid="{00000000-0005-0000-0000-000009770000}"/>
    <cellStyle name="Normal 5 2 5 3 6" xfId="30472" xr:uid="{00000000-0005-0000-0000-00000A770000}"/>
    <cellStyle name="Normal 5 2 5 4" xfId="30473" xr:uid="{00000000-0005-0000-0000-00000B770000}"/>
    <cellStyle name="Normal 5 2 5 4 2" xfId="30474" xr:uid="{00000000-0005-0000-0000-00000C770000}"/>
    <cellStyle name="Normal 5 2 5 4 2 2" xfId="30475" xr:uid="{00000000-0005-0000-0000-00000D770000}"/>
    <cellStyle name="Normal 5 2 5 4 2 3" xfId="30476" xr:uid="{00000000-0005-0000-0000-00000E770000}"/>
    <cellStyle name="Normal 5 2 5 4 3" xfId="30477" xr:uid="{00000000-0005-0000-0000-00000F770000}"/>
    <cellStyle name="Normal 5 2 5 4 4" xfId="30478" xr:uid="{00000000-0005-0000-0000-000010770000}"/>
    <cellStyle name="Normal 5 2 5 5" xfId="30479" xr:uid="{00000000-0005-0000-0000-000011770000}"/>
    <cellStyle name="Normal 5 2 5 5 2" xfId="30480" xr:uid="{00000000-0005-0000-0000-000012770000}"/>
    <cellStyle name="Normal 5 2 5 5 3" xfId="30481" xr:uid="{00000000-0005-0000-0000-000013770000}"/>
    <cellStyle name="Normal 5 2 5 6" xfId="30482" xr:uid="{00000000-0005-0000-0000-000014770000}"/>
    <cellStyle name="Normal 5 2 5 7" xfId="30483" xr:uid="{00000000-0005-0000-0000-000015770000}"/>
    <cellStyle name="Normal 5 2 5 8" xfId="30484" xr:uid="{00000000-0005-0000-0000-000016770000}"/>
    <cellStyle name="Normal 5 2 6" xfId="30485" xr:uid="{00000000-0005-0000-0000-000017770000}"/>
    <cellStyle name="Normal 5 2 7" xfId="30486" xr:uid="{00000000-0005-0000-0000-000018770000}"/>
    <cellStyle name="Normal 5 2 7 2" xfId="30487" xr:uid="{00000000-0005-0000-0000-000019770000}"/>
    <cellStyle name="Normal 5 2 7 2 2" xfId="30488" xr:uid="{00000000-0005-0000-0000-00001A770000}"/>
    <cellStyle name="Normal 5 2 7 2 2 2" xfId="30489" xr:uid="{00000000-0005-0000-0000-00001B770000}"/>
    <cellStyle name="Normal 5 2 7 2 2 2 2" xfId="30490" xr:uid="{00000000-0005-0000-0000-00001C770000}"/>
    <cellStyle name="Normal 5 2 7 2 2 2 3" xfId="30491" xr:uid="{00000000-0005-0000-0000-00001D770000}"/>
    <cellStyle name="Normal 5 2 7 2 2 3" xfId="30492" xr:uid="{00000000-0005-0000-0000-00001E770000}"/>
    <cellStyle name="Normal 5 2 7 2 2 4" xfId="30493" xr:uid="{00000000-0005-0000-0000-00001F770000}"/>
    <cellStyle name="Normal 5 2 7 2 3" xfId="30494" xr:uid="{00000000-0005-0000-0000-000020770000}"/>
    <cellStyle name="Normal 5 2 7 2 3 2" xfId="30495" xr:uid="{00000000-0005-0000-0000-000021770000}"/>
    <cellStyle name="Normal 5 2 7 2 3 3" xfId="30496" xr:uid="{00000000-0005-0000-0000-000022770000}"/>
    <cellStyle name="Normal 5 2 7 2 4" xfId="30497" xr:uid="{00000000-0005-0000-0000-000023770000}"/>
    <cellStyle name="Normal 5 2 7 2 5" xfId="30498" xr:uid="{00000000-0005-0000-0000-000024770000}"/>
    <cellStyle name="Normal 5 2 7 2 6" xfId="30499" xr:uid="{00000000-0005-0000-0000-000025770000}"/>
    <cellStyle name="Normal 5 2 7 3" xfId="30500" xr:uid="{00000000-0005-0000-0000-000026770000}"/>
    <cellStyle name="Normal 5 2 7 3 2" xfId="30501" xr:uid="{00000000-0005-0000-0000-000027770000}"/>
    <cellStyle name="Normal 5 2 7 3 2 2" xfId="30502" xr:uid="{00000000-0005-0000-0000-000028770000}"/>
    <cellStyle name="Normal 5 2 7 3 2 3" xfId="30503" xr:uid="{00000000-0005-0000-0000-000029770000}"/>
    <cellStyle name="Normal 5 2 7 3 3" xfId="30504" xr:uid="{00000000-0005-0000-0000-00002A770000}"/>
    <cellStyle name="Normal 5 2 7 3 4" xfId="30505" xr:uid="{00000000-0005-0000-0000-00002B770000}"/>
    <cellStyle name="Normal 5 2 7 4" xfId="30506" xr:uid="{00000000-0005-0000-0000-00002C770000}"/>
    <cellStyle name="Normal 5 2 7 4 2" xfId="30507" xr:uid="{00000000-0005-0000-0000-00002D770000}"/>
    <cellStyle name="Normal 5 2 7 4 3" xfId="30508" xr:uid="{00000000-0005-0000-0000-00002E770000}"/>
    <cellStyle name="Normal 5 2 7 5" xfId="30509" xr:uid="{00000000-0005-0000-0000-00002F770000}"/>
    <cellStyle name="Normal 5 2 7 6" xfId="30510" xr:uid="{00000000-0005-0000-0000-000030770000}"/>
    <cellStyle name="Normal 5 2 7 7" xfId="30511" xr:uid="{00000000-0005-0000-0000-000031770000}"/>
    <cellStyle name="Normal 5 2 8" xfId="30512" xr:uid="{00000000-0005-0000-0000-000032770000}"/>
    <cellStyle name="Normal 5 2 8 2" xfId="30513" xr:uid="{00000000-0005-0000-0000-000033770000}"/>
    <cellStyle name="Normal 5 2 8 2 2" xfId="30514" xr:uid="{00000000-0005-0000-0000-000034770000}"/>
    <cellStyle name="Normal 5 2 8 2 2 2" xfId="30515" xr:uid="{00000000-0005-0000-0000-000035770000}"/>
    <cellStyle name="Normal 5 2 8 2 2 3" xfId="30516" xr:uid="{00000000-0005-0000-0000-000036770000}"/>
    <cellStyle name="Normal 5 2 8 2 3" xfId="30517" xr:uid="{00000000-0005-0000-0000-000037770000}"/>
    <cellStyle name="Normal 5 2 8 2 4" xfId="30518" xr:uid="{00000000-0005-0000-0000-000038770000}"/>
    <cellStyle name="Normal 5 2 8 3" xfId="30519" xr:uid="{00000000-0005-0000-0000-000039770000}"/>
    <cellStyle name="Normal 5 2 8 3 2" xfId="30520" xr:uid="{00000000-0005-0000-0000-00003A770000}"/>
    <cellStyle name="Normal 5 2 8 3 3" xfId="30521" xr:uid="{00000000-0005-0000-0000-00003B770000}"/>
    <cellStyle name="Normal 5 2 8 4" xfId="30522" xr:uid="{00000000-0005-0000-0000-00003C770000}"/>
    <cellStyle name="Normal 5 2 8 5" xfId="30523" xr:uid="{00000000-0005-0000-0000-00003D770000}"/>
    <cellStyle name="Normal 5 2 8 6" xfId="30524" xr:uid="{00000000-0005-0000-0000-00003E770000}"/>
    <cellStyle name="Normal 5 2 9" xfId="30525" xr:uid="{00000000-0005-0000-0000-00003F770000}"/>
    <cellStyle name="Normal 5 2 9 2" xfId="30526" xr:uid="{00000000-0005-0000-0000-000040770000}"/>
    <cellStyle name="Normal 5 2 9 2 2" xfId="30527" xr:uid="{00000000-0005-0000-0000-000041770000}"/>
    <cellStyle name="Normal 5 2 9 2 3" xfId="30528" xr:uid="{00000000-0005-0000-0000-000042770000}"/>
    <cellStyle name="Normal 5 2 9 3" xfId="30529" xr:uid="{00000000-0005-0000-0000-000043770000}"/>
    <cellStyle name="Normal 5 2 9 4" xfId="30530" xr:uid="{00000000-0005-0000-0000-000044770000}"/>
    <cellStyle name="Normal 5 3" xfId="30531" xr:uid="{00000000-0005-0000-0000-000045770000}"/>
    <cellStyle name="Normal 5 4" xfId="30532" xr:uid="{00000000-0005-0000-0000-000046770000}"/>
    <cellStyle name="Normal 5_PropertyList" xfId="36003" xr:uid="{00000000-0005-0000-0000-000047770000}"/>
    <cellStyle name="Normal 50" xfId="36015" xr:uid="{00000000-0005-0000-0000-000048770000}"/>
    <cellStyle name="Normal 51" xfId="36016" xr:uid="{00000000-0005-0000-0000-000049770000}"/>
    <cellStyle name="Normal 52" xfId="36017" xr:uid="{00000000-0005-0000-0000-00004A770000}"/>
    <cellStyle name="Normal 53" xfId="36018" xr:uid="{00000000-0005-0000-0000-00004B770000}"/>
    <cellStyle name="Normal 54" xfId="36019" xr:uid="{00000000-0005-0000-0000-00004C770000}"/>
    <cellStyle name="Normal 55" xfId="36020" xr:uid="{00000000-0005-0000-0000-00004D770000}"/>
    <cellStyle name="Normal 56" xfId="36021" xr:uid="{00000000-0005-0000-0000-00004E770000}"/>
    <cellStyle name="Normal 57" xfId="36022" xr:uid="{00000000-0005-0000-0000-00004F770000}"/>
    <cellStyle name="Normal 58" xfId="36023" xr:uid="{00000000-0005-0000-0000-000050770000}"/>
    <cellStyle name="Normal 59" xfId="36024" xr:uid="{00000000-0005-0000-0000-000051770000}"/>
    <cellStyle name="Normal 6" xfId="76" xr:uid="{00000000-0005-0000-0000-000052770000}"/>
    <cellStyle name="Normal 6 2" xfId="30533" xr:uid="{00000000-0005-0000-0000-000053770000}"/>
    <cellStyle name="Normal 6 3" xfId="30534" xr:uid="{00000000-0005-0000-0000-000054770000}"/>
    <cellStyle name="Normal 6 4" xfId="30535" xr:uid="{00000000-0005-0000-0000-000055770000}"/>
    <cellStyle name="Normal 6_PropertyList" xfId="36004" xr:uid="{00000000-0005-0000-0000-000056770000}"/>
    <cellStyle name="Normal 60" xfId="36026" xr:uid="{00000000-0005-0000-0000-000057770000}"/>
    <cellStyle name="Normal 61" xfId="36029" xr:uid="{00000000-0005-0000-0000-000058770000}"/>
    <cellStyle name="Normal 62" xfId="36030" xr:uid="{00000000-0005-0000-0000-000059770000}"/>
    <cellStyle name="Normal 63" xfId="36031" xr:uid="{00000000-0005-0000-0000-00005A770000}"/>
    <cellStyle name="Normal 64" xfId="36032" xr:uid="{00000000-0005-0000-0000-00005B770000}"/>
    <cellStyle name="Normal 65" xfId="36033" xr:uid="{00000000-0005-0000-0000-00005C770000}"/>
    <cellStyle name="Normal 66" xfId="36034" xr:uid="{00000000-0005-0000-0000-00005D770000}"/>
    <cellStyle name="Normal 67" xfId="36035" xr:uid="{00000000-0005-0000-0000-00005E770000}"/>
    <cellStyle name="Normal 68" xfId="36036" xr:uid="{00000000-0005-0000-0000-00005F770000}"/>
    <cellStyle name="Normal 69" xfId="36037" xr:uid="{00000000-0005-0000-0000-000060770000}"/>
    <cellStyle name="Normal 7" xfId="77" xr:uid="{00000000-0005-0000-0000-000061770000}"/>
    <cellStyle name="Normal 7 10" xfId="30536" xr:uid="{00000000-0005-0000-0000-000062770000}"/>
    <cellStyle name="Normal 7 10 2" xfId="30537" xr:uid="{00000000-0005-0000-0000-000063770000}"/>
    <cellStyle name="Normal 7 10 2 2" xfId="30538" xr:uid="{00000000-0005-0000-0000-000064770000}"/>
    <cellStyle name="Normal 7 10 2 2 2" xfId="30539" xr:uid="{00000000-0005-0000-0000-000065770000}"/>
    <cellStyle name="Normal 7 10 2 2 2 2" xfId="30540" xr:uid="{00000000-0005-0000-0000-000066770000}"/>
    <cellStyle name="Normal 7 10 2 2 2 2 2" xfId="30541" xr:uid="{00000000-0005-0000-0000-000067770000}"/>
    <cellStyle name="Normal 7 10 2 2 2 2 3" xfId="30542" xr:uid="{00000000-0005-0000-0000-000068770000}"/>
    <cellStyle name="Normal 7 10 2 2 2 3" xfId="30543" xr:uid="{00000000-0005-0000-0000-000069770000}"/>
    <cellStyle name="Normal 7 10 2 2 2 4" xfId="30544" xr:uid="{00000000-0005-0000-0000-00006A770000}"/>
    <cellStyle name="Normal 7 10 2 2 3" xfId="30545" xr:uid="{00000000-0005-0000-0000-00006B770000}"/>
    <cellStyle name="Normal 7 10 2 2 3 2" xfId="30546" xr:uid="{00000000-0005-0000-0000-00006C770000}"/>
    <cellStyle name="Normal 7 10 2 2 3 3" xfId="30547" xr:uid="{00000000-0005-0000-0000-00006D770000}"/>
    <cellStyle name="Normal 7 10 2 2 4" xfId="30548" xr:uid="{00000000-0005-0000-0000-00006E770000}"/>
    <cellStyle name="Normal 7 10 2 2 5" xfId="30549" xr:uid="{00000000-0005-0000-0000-00006F770000}"/>
    <cellStyle name="Normal 7 10 2 2 6" xfId="30550" xr:uid="{00000000-0005-0000-0000-000070770000}"/>
    <cellStyle name="Normal 7 10 2 3" xfId="30551" xr:uid="{00000000-0005-0000-0000-000071770000}"/>
    <cellStyle name="Normal 7 10 2 3 2" xfId="30552" xr:uid="{00000000-0005-0000-0000-000072770000}"/>
    <cellStyle name="Normal 7 10 2 3 2 2" xfId="30553" xr:uid="{00000000-0005-0000-0000-000073770000}"/>
    <cellStyle name="Normal 7 10 2 3 2 3" xfId="30554" xr:uid="{00000000-0005-0000-0000-000074770000}"/>
    <cellStyle name="Normal 7 10 2 3 3" xfId="30555" xr:uid="{00000000-0005-0000-0000-000075770000}"/>
    <cellStyle name="Normal 7 10 2 3 4" xfId="30556" xr:uid="{00000000-0005-0000-0000-000076770000}"/>
    <cellStyle name="Normal 7 10 2 4" xfId="30557" xr:uid="{00000000-0005-0000-0000-000077770000}"/>
    <cellStyle name="Normal 7 10 2 4 2" xfId="30558" xr:uid="{00000000-0005-0000-0000-000078770000}"/>
    <cellStyle name="Normal 7 10 2 4 3" xfId="30559" xr:uid="{00000000-0005-0000-0000-000079770000}"/>
    <cellStyle name="Normal 7 10 2 5" xfId="30560" xr:uid="{00000000-0005-0000-0000-00007A770000}"/>
    <cellStyle name="Normal 7 10 2 6" xfId="30561" xr:uid="{00000000-0005-0000-0000-00007B770000}"/>
    <cellStyle name="Normal 7 10 2 7" xfId="30562" xr:uid="{00000000-0005-0000-0000-00007C770000}"/>
    <cellStyle name="Normal 7 10 3" xfId="30563" xr:uid="{00000000-0005-0000-0000-00007D770000}"/>
    <cellStyle name="Normal 7 10 3 2" xfId="30564" xr:uid="{00000000-0005-0000-0000-00007E770000}"/>
    <cellStyle name="Normal 7 10 3 2 2" xfId="30565" xr:uid="{00000000-0005-0000-0000-00007F770000}"/>
    <cellStyle name="Normal 7 10 3 2 2 2" xfId="30566" xr:uid="{00000000-0005-0000-0000-000080770000}"/>
    <cellStyle name="Normal 7 10 3 2 2 3" xfId="30567" xr:uid="{00000000-0005-0000-0000-000081770000}"/>
    <cellStyle name="Normal 7 10 3 2 3" xfId="30568" xr:uid="{00000000-0005-0000-0000-000082770000}"/>
    <cellStyle name="Normal 7 10 3 2 4" xfId="30569" xr:uid="{00000000-0005-0000-0000-000083770000}"/>
    <cellStyle name="Normal 7 10 3 3" xfId="30570" xr:uid="{00000000-0005-0000-0000-000084770000}"/>
    <cellStyle name="Normal 7 10 3 3 2" xfId="30571" xr:uid="{00000000-0005-0000-0000-000085770000}"/>
    <cellStyle name="Normal 7 10 3 3 3" xfId="30572" xr:uid="{00000000-0005-0000-0000-000086770000}"/>
    <cellStyle name="Normal 7 10 3 4" xfId="30573" xr:uid="{00000000-0005-0000-0000-000087770000}"/>
    <cellStyle name="Normal 7 10 3 5" xfId="30574" xr:uid="{00000000-0005-0000-0000-000088770000}"/>
    <cellStyle name="Normal 7 10 3 6" xfId="30575" xr:uid="{00000000-0005-0000-0000-000089770000}"/>
    <cellStyle name="Normal 7 10 4" xfId="30576" xr:uid="{00000000-0005-0000-0000-00008A770000}"/>
    <cellStyle name="Normal 7 10 4 2" xfId="30577" xr:uid="{00000000-0005-0000-0000-00008B770000}"/>
    <cellStyle name="Normal 7 10 4 2 2" xfId="30578" xr:uid="{00000000-0005-0000-0000-00008C770000}"/>
    <cellStyle name="Normal 7 10 4 2 3" xfId="30579" xr:uid="{00000000-0005-0000-0000-00008D770000}"/>
    <cellStyle name="Normal 7 10 4 3" xfId="30580" xr:uid="{00000000-0005-0000-0000-00008E770000}"/>
    <cellStyle name="Normal 7 10 4 4" xfId="30581" xr:uid="{00000000-0005-0000-0000-00008F770000}"/>
    <cellStyle name="Normal 7 10 5" xfId="30582" xr:uid="{00000000-0005-0000-0000-000090770000}"/>
    <cellStyle name="Normal 7 10 5 2" xfId="30583" xr:uid="{00000000-0005-0000-0000-000091770000}"/>
    <cellStyle name="Normal 7 10 5 3" xfId="30584" xr:uid="{00000000-0005-0000-0000-000092770000}"/>
    <cellStyle name="Normal 7 10 6" xfId="30585" xr:uid="{00000000-0005-0000-0000-000093770000}"/>
    <cellStyle name="Normal 7 10 7" xfId="30586" xr:uid="{00000000-0005-0000-0000-000094770000}"/>
    <cellStyle name="Normal 7 10 8" xfId="30587" xr:uid="{00000000-0005-0000-0000-000095770000}"/>
    <cellStyle name="Normal 7 11" xfId="30588" xr:uid="{00000000-0005-0000-0000-000096770000}"/>
    <cellStyle name="Normal 7 11 2" xfId="30589" xr:uid="{00000000-0005-0000-0000-000097770000}"/>
    <cellStyle name="Normal 7 11 2 2" xfId="30590" xr:uid="{00000000-0005-0000-0000-000098770000}"/>
    <cellStyle name="Normal 7 11 2 2 2" xfId="30591" xr:uid="{00000000-0005-0000-0000-000099770000}"/>
    <cellStyle name="Normal 7 11 2 2 2 2" xfId="30592" xr:uid="{00000000-0005-0000-0000-00009A770000}"/>
    <cellStyle name="Normal 7 11 2 2 2 2 2" xfId="30593" xr:uid="{00000000-0005-0000-0000-00009B770000}"/>
    <cellStyle name="Normal 7 11 2 2 2 2 3" xfId="30594" xr:uid="{00000000-0005-0000-0000-00009C770000}"/>
    <cellStyle name="Normal 7 11 2 2 2 3" xfId="30595" xr:uid="{00000000-0005-0000-0000-00009D770000}"/>
    <cellStyle name="Normal 7 11 2 2 2 4" xfId="30596" xr:uid="{00000000-0005-0000-0000-00009E770000}"/>
    <cellStyle name="Normal 7 11 2 2 3" xfId="30597" xr:uid="{00000000-0005-0000-0000-00009F770000}"/>
    <cellStyle name="Normal 7 11 2 2 3 2" xfId="30598" xr:uid="{00000000-0005-0000-0000-0000A0770000}"/>
    <cellStyle name="Normal 7 11 2 2 3 3" xfId="30599" xr:uid="{00000000-0005-0000-0000-0000A1770000}"/>
    <cellStyle name="Normal 7 11 2 2 4" xfId="30600" xr:uid="{00000000-0005-0000-0000-0000A2770000}"/>
    <cellStyle name="Normal 7 11 2 2 5" xfId="30601" xr:uid="{00000000-0005-0000-0000-0000A3770000}"/>
    <cellStyle name="Normal 7 11 2 2 6" xfId="30602" xr:uid="{00000000-0005-0000-0000-0000A4770000}"/>
    <cellStyle name="Normal 7 11 2 3" xfId="30603" xr:uid="{00000000-0005-0000-0000-0000A5770000}"/>
    <cellStyle name="Normal 7 11 2 3 2" xfId="30604" xr:uid="{00000000-0005-0000-0000-0000A6770000}"/>
    <cellStyle name="Normal 7 11 2 3 2 2" xfId="30605" xr:uid="{00000000-0005-0000-0000-0000A7770000}"/>
    <cellStyle name="Normal 7 11 2 3 2 3" xfId="30606" xr:uid="{00000000-0005-0000-0000-0000A8770000}"/>
    <cellStyle name="Normal 7 11 2 3 3" xfId="30607" xr:uid="{00000000-0005-0000-0000-0000A9770000}"/>
    <cellStyle name="Normal 7 11 2 3 4" xfId="30608" xr:uid="{00000000-0005-0000-0000-0000AA770000}"/>
    <cellStyle name="Normal 7 11 2 4" xfId="30609" xr:uid="{00000000-0005-0000-0000-0000AB770000}"/>
    <cellStyle name="Normal 7 11 2 4 2" xfId="30610" xr:uid="{00000000-0005-0000-0000-0000AC770000}"/>
    <cellStyle name="Normal 7 11 2 4 3" xfId="30611" xr:uid="{00000000-0005-0000-0000-0000AD770000}"/>
    <cellStyle name="Normal 7 11 2 5" xfId="30612" xr:uid="{00000000-0005-0000-0000-0000AE770000}"/>
    <cellStyle name="Normal 7 11 2 6" xfId="30613" xr:uid="{00000000-0005-0000-0000-0000AF770000}"/>
    <cellStyle name="Normal 7 11 2 7" xfId="30614" xr:uid="{00000000-0005-0000-0000-0000B0770000}"/>
    <cellStyle name="Normal 7 11 3" xfId="30615" xr:uid="{00000000-0005-0000-0000-0000B1770000}"/>
    <cellStyle name="Normal 7 11 3 2" xfId="30616" xr:uid="{00000000-0005-0000-0000-0000B2770000}"/>
    <cellStyle name="Normal 7 11 3 2 2" xfId="30617" xr:uid="{00000000-0005-0000-0000-0000B3770000}"/>
    <cellStyle name="Normal 7 11 3 2 2 2" xfId="30618" xr:uid="{00000000-0005-0000-0000-0000B4770000}"/>
    <cellStyle name="Normal 7 11 3 2 2 3" xfId="30619" xr:uid="{00000000-0005-0000-0000-0000B5770000}"/>
    <cellStyle name="Normal 7 11 3 2 3" xfId="30620" xr:uid="{00000000-0005-0000-0000-0000B6770000}"/>
    <cellStyle name="Normal 7 11 3 2 4" xfId="30621" xr:uid="{00000000-0005-0000-0000-0000B7770000}"/>
    <cellStyle name="Normal 7 11 3 3" xfId="30622" xr:uid="{00000000-0005-0000-0000-0000B8770000}"/>
    <cellStyle name="Normal 7 11 3 3 2" xfId="30623" xr:uid="{00000000-0005-0000-0000-0000B9770000}"/>
    <cellStyle name="Normal 7 11 3 3 3" xfId="30624" xr:uid="{00000000-0005-0000-0000-0000BA770000}"/>
    <cellStyle name="Normal 7 11 3 4" xfId="30625" xr:uid="{00000000-0005-0000-0000-0000BB770000}"/>
    <cellStyle name="Normal 7 11 3 5" xfId="30626" xr:uid="{00000000-0005-0000-0000-0000BC770000}"/>
    <cellStyle name="Normal 7 11 3 6" xfId="30627" xr:uid="{00000000-0005-0000-0000-0000BD770000}"/>
    <cellStyle name="Normal 7 11 4" xfId="30628" xr:uid="{00000000-0005-0000-0000-0000BE770000}"/>
    <cellStyle name="Normal 7 11 4 2" xfId="30629" xr:uid="{00000000-0005-0000-0000-0000BF770000}"/>
    <cellStyle name="Normal 7 11 4 2 2" xfId="30630" xr:uid="{00000000-0005-0000-0000-0000C0770000}"/>
    <cellStyle name="Normal 7 11 4 2 3" xfId="30631" xr:uid="{00000000-0005-0000-0000-0000C1770000}"/>
    <cellStyle name="Normal 7 11 4 3" xfId="30632" xr:uid="{00000000-0005-0000-0000-0000C2770000}"/>
    <cellStyle name="Normal 7 11 4 4" xfId="30633" xr:uid="{00000000-0005-0000-0000-0000C3770000}"/>
    <cellStyle name="Normal 7 11 5" xfId="30634" xr:uid="{00000000-0005-0000-0000-0000C4770000}"/>
    <cellStyle name="Normal 7 11 5 2" xfId="30635" xr:uid="{00000000-0005-0000-0000-0000C5770000}"/>
    <cellStyle name="Normal 7 11 5 3" xfId="30636" xr:uid="{00000000-0005-0000-0000-0000C6770000}"/>
    <cellStyle name="Normal 7 11 6" xfId="30637" xr:uid="{00000000-0005-0000-0000-0000C7770000}"/>
    <cellStyle name="Normal 7 11 7" xfId="30638" xr:uid="{00000000-0005-0000-0000-0000C8770000}"/>
    <cellStyle name="Normal 7 11 8" xfId="30639" xr:uid="{00000000-0005-0000-0000-0000C9770000}"/>
    <cellStyle name="Normal 7 12" xfId="30640" xr:uid="{00000000-0005-0000-0000-0000CA770000}"/>
    <cellStyle name="Normal 7 12 2" xfId="30641" xr:uid="{00000000-0005-0000-0000-0000CB770000}"/>
    <cellStyle name="Normal 7 12 2 2" xfId="30642" xr:uid="{00000000-0005-0000-0000-0000CC770000}"/>
    <cellStyle name="Normal 7 12 2 2 2" xfId="30643" xr:uid="{00000000-0005-0000-0000-0000CD770000}"/>
    <cellStyle name="Normal 7 12 2 2 2 2" xfId="30644" xr:uid="{00000000-0005-0000-0000-0000CE770000}"/>
    <cellStyle name="Normal 7 12 2 2 2 3" xfId="30645" xr:uid="{00000000-0005-0000-0000-0000CF770000}"/>
    <cellStyle name="Normal 7 12 2 2 3" xfId="30646" xr:uid="{00000000-0005-0000-0000-0000D0770000}"/>
    <cellStyle name="Normal 7 12 2 2 4" xfId="30647" xr:uid="{00000000-0005-0000-0000-0000D1770000}"/>
    <cellStyle name="Normal 7 12 2 3" xfId="30648" xr:uid="{00000000-0005-0000-0000-0000D2770000}"/>
    <cellStyle name="Normal 7 12 2 3 2" xfId="30649" xr:uid="{00000000-0005-0000-0000-0000D3770000}"/>
    <cellStyle name="Normal 7 12 2 3 3" xfId="30650" xr:uid="{00000000-0005-0000-0000-0000D4770000}"/>
    <cellStyle name="Normal 7 12 2 4" xfId="30651" xr:uid="{00000000-0005-0000-0000-0000D5770000}"/>
    <cellStyle name="Normal 7 12 2 5" xfId="30652" xr:uid="{00000000-0005-0000-0000-0000D6770000}"/>
    <cellStyle name="Normal 7 12 2 6" xfId="30653" xr:uid="{00000000-0005-0000-0000-0000D7770000}"/>
    <cellStyle name="Normal 7 12 3" xfId="30654" xr:uid="{00000000-0005-0000-0000-0000D8770000}"/>
    <cellStyle name="Normal 7 12 3 2" xfId="30655" xr:uid="{00000000-0005-0000-0000-0000D9770000}"/>
    <cellStyle name="Normal 7 12 3 2 2" xfId="30656" xr:uid="{00000000-0005-0000-0000-0000DA770000}"/>
    <cellStyle name="Normal 7 12 3 2 3" xfId="30657" xr:uid="{00000000-0005-0000-0000-0000DB770000}"/>
    <cellStyle name="Normal 7 12 3 3" xfId="30658" xr:uid="{00000000-0005-0000-0000-0000DC770000}"/>
    <cellStyle name="Normal 7 12 3 4" xfId="30659" xr:uid="{00000000-0005-0000-0000-0000DD770000}"/>
    <cellStyle name="Normal 7 12 4" xfId="30660" xr:uid="{00000000-0005-0000-0000-0000DE770000}"/>
    <cellStyle name="Normal 7 12 4 2" xfId="30661" xr:uid="{00000000-0005-0000-0000-0000DF770000}"/>
    <cellStyle name="Normal 7 12 4 3" xfId="30662" xr:uid="{00000000-0005-0000-0000-0000E0770000}"/>
    <cellStyle name="Normal 7 12 5" xfId="30663" xr:uid="{00000000-0005-0000-0000-0000E1770000}"/>
    <cellStyle name="Normal 7 12 6" xfId="30664" xr:uid="{00000000-0005-0000-0000-0000E2770000}"/>
    <cellStyle name="Normal 7 12 7" xfId="30665" xr:uid="{00000000-0005-0000-0000-0000E3770000}"/>
    <cellStyle name="Normal 7 13" xfId="30666" xr:uid="{00000000-0005-0000-0000-0000E4770000}"/>
    <cellStyle name="Normal 7 13 2" xfId="30667" xr:uid="{00000000-0005-0000-0000-0000E5770000}"/>
    <cellStyle name="Normal 7 13 2 2" xfId="30668" xr:uid="{00000000-0005-0000-0000-0000E6770000}"/>
    <cellStyle name="Normal 7 13 2 2 2" xfId="30669" xr:uid="{00000000-0005-0000-0000-0000E7770000}"/>
    <cellStyle name="Normal 7 13 2 2 3" xfId="30670" xr:uid="{00000000-0005-0000-0000-0000E8770000}"/>
    <cellStyle name="Normal 7 13 2 3" xfId="30671" xr:uid="{00000000-0005-0000-0000-0000E9770000}"/>
    <cellStyle name="Normal 7 13 2 4" xfId="30672" xr:uid="{00000000-0005-0000-0000-0000EA770000}"/>
    <cellStyle name="Normal 7 13 3" xfId="30673" xr:uid="{00000000-0005-0000-0000-0000EB770000}"/>
    <cellStyle name="Normal 7 13 3 2" xfId="30674" xr:uid="{00000000-0005-0000-0000-0000EC770000}"/>
    <cellStyle name="Normal 7 13 3 3" xfId="30675" xr:uid="{00000000-0005-0000-0000-0000ED770000}"/>
    <cellStyle name="Normal 7 13 4" xfId="30676" xr:uid="{00000000-0005-0000-0000-0000EE770000}"/>
    <cellStyle name="Normal 7 13 5" xfId="30677" xr:uid="{00000000-0005-0000-0000-0000EF770000}"/>
    <cellStyle name="Normal 7 13 6" xfId="30678" xr:uid="{00000000-0005-0000-0000-0000F0770000}"/>
    <cellStyle name="Normal 7 14" xfId="30679" xr:uid="{00000000-0005-0000-0000-0000F1770000}"/>
    <cellStyle name="Normal 7 14 2" xfId="30680" xr:uid="{00000000-0005-0000-0000-0000F2770000}"/>
    <cellStyle name="Normal 7 14 2 2" xfId="30681" xr:uid="{00000000-0005-0000-0000-0000F3770000}"/>
    <cellStyle name="Normal 7 14 2 2 2" xfId="30682" xr:uid="{00000000-0005-0000-0000-0000F4770000}"/>
    <cellStyle name="Normal 7 14 2 2 3" xfId="30683" xr:uid="{00000000-0005-0000-0000-0000F5770000}"/>
    <cellStyle name="Normal 7 14 2 3" xfId="30684" xr:uid="{00000000-0005-0000-0000-0000F6770000}"/>
    <cellStyle name="Normal 7 14 2 4" xfId="30685" xr:uid="{00000000-0005-0000-0000-0000F7770000}"/>
    <cellStyle name="Normal 7 14 3" xfId="30686" xr:uid="{00000000-0005-0000-0000-0000F8770000}"/>
    <cellStyle name="Normal 7 14 3 2" xfId="30687" xr:uid="{00000000-0005-0000-0000-0000F9770000}"/>
    <cellStyle name="Normal 7 14 3 3" xfId="30688" xr:uid="{00000000-0005-0000-0000-0000FA770000}"/>
    <cellStyle name="Normal 7 14 4" xfId="30689" xr:uid="{00000000-0005-0000-0000-0000FB770000}"/>
    <cellStyle name="Normal 7 14 5" xfId="30690" xr:uid="{00000000-0005-0000-0000-0000FC770000}"/>
    <cellStyle name="Normal 7 14 6" xfId="30691" xr:uid="{00000000-0005-0000-0000-0000FD770000}"/>
    <cellStyle name="Normal 7 15" xfId="30692" xr:uid="{00000000-0005-0000-0000-0000FE770000}"/>
    <cellStyle name="Normal 7 15 2" xfId="30693" xr:uid="{00000000-0005-0000-0000-0000FF770000}"/>
    <cellStyle name="Normal 7 15 2 2" xfId="30694" xr:uid="{00000000-0005-0000-0000-000000780000}"/>
    <cellStyle name="Normal 7 15 2 3" xfId="30695" xr:uid="{00000000-0005-0000-0000-000001780000}"/>
    <cellStyle name="Normal 7 15 3" xfId="30696" xr:uid="{00000000-0005-0000-0000-000002780000}"/>
    <cellStyle name="Normal 7 15 4" xfId="30697" xr:uid="{00000000-0005-0000-0000-000003780000}"/>
    <cellStyle name="Normal 7 16" xfId="30698" xr:uid="{00000000-0005-0000-0000-000004780000}"/>
    <cellStyle name="Normal 7 16 2" xfId="30699" xr:uid="{00000000-0005-0000-0000-000005780000}"/>
    <cellStyle name="Normal 7 16 3" xfId="30700" xr:uid="{00000000-0005-0000-0000-000006780000}"/>
    <cellStyle name="Normal 7 17" xfId="30701" xr:uid="{00000000-0005-0000-0000-000007780000}"/>
    <cellStyle name="Normal 7 18" xfId="30702" xr:uid="{00000000-0005-0000-0000-000008780000}"/>
    <cellStyle name="Normal 7 19" xfId="30703" xr:uid="{00000000-0005-0000-0000-000009780000}"/>
    <cellStyle name="Normal 7 2" xfId="30704" xr:uid="{00000000-0005-0000-0000-00000A780000}"/>
    <cellStyle name="Normal 7 2 10" xfId="30705" xr:uid="{00000000-0005-0000-0000-00000B780000}"/>
    <cellStyle name="Normal 7 2 10 2" xfId="30706" xr:uid="{00000000-0005-0000-0000-00000C780000}"/>
    <cellStyle name="Normal 7 2 10 2 2" xfId="30707" xr:uid="{00000000-0005-0000-0000-00000D780000}"/>
    <cellStyle name="Normal 7 2 10 2 2 2" xfId="30708" xr:uid="{00000000-0005-0000-0000-00000E780000}"/>
    <cellStyle name="Normal 7 2 10 2 2 3" xfId="30709" xr:uid="{00000000-0005-0000-0000-00000F780000}"/>
    <cellStyle name="Normal 7 2 10 2 3" xfId="30710" xr:uid="{00000000-0005-0000-0000-000010780000}"/>
    <cellStyle name="Normal 7 2 10 2 4" xfId="30711" xr:uid="{00000000-0005-0000-0000-000011780000}"/>
    <cellStyle name="Normal 7 2 10 3" xfId="30712" xr:uid="{00000000-0005-0000-0000-000012780000}"/>
    <cellStyle name="Normal 7 2 10 3 2" xfId="30713" xr:uid="{00000000-0005-0000-0000-000013780000}"/>
    <cellStyle name="Normal 7 2 10 3 3" xfId="30714" xr:uid="{00000000-0005-0000-0000-000014780000}"/>
    <cellStyle name="Normal 7 2 10 4" xfId="30715" xr:uid="{00000000-0005-0000-0000-000015780000}"/>
    <cellStyle name="Normal 7 2 10 5" xfId="30716" xr:uid="{00000000-0005-0000-0000-000016780000}"/>
    <cellStyle name="Normal 7 2 10 6" xfId="30717" xr:uid="{00000000-0005-0000-0000-000017780000}"/>
    <cellStyle name="Normal 7 2 11" xfId="30718" xr:uid="{00000000-0005-0000-0000-000018780000}"/>
    <cellStyle name="Normal 7 2 11 2" xfId="30719" xr:uid="{00000000-0005-0000-0000-000019780000}"/>
    <cellStyle name="Normal 7 2 11 2 2" xfId="30720" xr:uid="{00000000-0005-0000-0000-00001A780000}"/>
    <cellStyle name="Normal 7 2 11 2 3" xfId="30721" xr:uid="{00000000-0005-0000-0000-00001B780000}"/>
    <cellStyle name="Normal 7 2 11 3" xfId="30722" xr:uid="{00000000-0005-0000-0000-00001C780000}"/>
    <cellStyle name="Normal 7 2 11 4" xfId="30723" xr:uid="{00000000-0005-0000-0000-00001D780000}"/>
    <cellStyle name="Normal 7 2 12" xfId="30724" xr:uid="{00000000-0005-0000-0000-00001E780000}"/>
    <cellStyle name="Normal 7 2 12 2" xfId="30725" xr:uid="{00000000-0005-0000-0000-00001F780000}"/>
    <cellStyle name="Normal 7 2 12 3" xfId="30726" xr:uid="{00000000-0005-0000-0000-000020780000}"/>
    <cellStyle name="Normal 7 2 13" xfId="30727" xr:uid="{00000000-0005-0000-0000-000021780000}"/>
    <cellStyle name="Normal 7 2 14" xfId="30728" xr:uid="{00000000-0005-0000-0000-000022780000}"/>
    <cellStyle name="Normal 7 2 15" xfId="30729" xr:uid="{00000000-0005-0000-0000-000023780000}"/>
    <cellStyle name="Normal 7 2 2" xfId="30730" xr:uid="{00000000-0005-0000-0000-000024780000}"/>
    <cellStyle name="Normal 7 2 2 10" xfId="30731" xr:uid="{00000000-0005-0000-0000-000025780000}"/>
    <cellStyle name="Normal 7 2 2 11" xfId="30732" xr:uid="{00000000-0005-0000-0000-000026780000}"/>
    <cellStyle name="Normal 7 2 2 2" xfId="30733" xr:uid="{00000000-0005-0000-0000-000027780000}"/>
    <cellStyle name="Normal 7 2 2 2 10" xfId="30734" xr:uid="{00000000-0005-0000-0000-000028780000}"/>
    <cellStyle name="Normal 7 2 2 2 2" xfId="30735" xr:uid="{00000000-0005-0000-0000-000029780000}"/>
    <cellStyle name="Normal 7 2 2 2 2 2" xfId="30736" xr:uid="{00000000-0005-0000-0000-00002A780000}"/>
    <cellStyle name="Normal 7 2 2 2 2 2 2" xfId="30737" xr:uid="{00000000-0005-0000-0000-00002B780000}"/>
    <cellStyle name="Normal 7 2 2 2 2 2 2 2" xfId="30738" xr:uid="{00000000-0005-0000-0000-00002C780000}"/>
    <cellStyle name="Normal 7 2 2 2 2 2 2 2 2" xfId="30739" xr:uid="{00000000-0005-0000-0000-00002D780000}"/>
    <cellStyle name="Normal 7 2 2 2 2 2 2 2 2 2" xfId="30740" xr:uid="{00000000-0005-0000-0000-00002E780000}"/>
    <cellStyle name="Normal 7 2 2 2 2 2 2 2 2 2 2" xfId="30741" xr:uid="{00000000-0005-0000-0000-00002F780000}"/>
    <cellStyle name="Normal 7 2 2 2 2 2 2 2 2 2 3" xfId="30742" xr:uid="{00000000-0005-0000-0000-000030780000}"/>
    <cellStyle name="Normal 7 2 2 2 2 2 2 2 2 3" xfId="30743" xr:uid="{00000000-0005-0000-0000-000031780000}"/>
    <cellStyle name="Normal 7 2 2 2 2 2 2 2 2 4" xfId="30744" xr:uid="{00000000-0005-0000-0000-000032780000}"/>
    <cellStyle name="Normal 7 2 2 2 2 2 2 2 3" xfId="30745" xr:uid="{00000000-0005-0000-0000-000033780000}"/>
    <cellStyle name="Normal 7 2 2 2 2 2 2 2 3 2" xfId="30746" xr:uid="{00000000-0005-0000-0000-000034780000}"/>
    <cellStyle name="Normal 7 2 2 2 2 2 2 2 3 3" xfId="30747" xr:uid="{00000000-0005-0000-0000-000035780000}"/>
    <cellStyle name="Normal 7 2 2 2 2 2 2 2 4" xfId="30748" xr:uid="{00000000-0005-0000-0000-000036780000}"/>
    <cellStyle name="Normal 7 2 2 2 2 2 2 2 5" xfId="30749" xr:uid="{00000000-0005-0000-0000-000037780000}"/>
    <cellStyle name="Normal 7 2 2 2 2 2 2 2 6" xfId="30750" xr:uid="{00000000-0005-0000-0000-000038780000}"/>
    <cellStyle name="Normal 7 2 2 2 2 2 2 3" xfId="30751" xr:uid="{00000000-0005-0000-0000-000039780000}"/>
    <cellStyle name="Normal 7 2 2 2 2 2 2 3 2" xfId="30752" xr:uid="{00000000-0005-0000-0000-00003A780000}"/>
    <cellStyle name="Normal 7 2 2 2 2 2 2 3 2 2" xfId="30753" xr:uid="{00000000-0005-0000-0000-00003B780000}"/>
    <cellStyle name="Normal 7 2 2 2 2 2 2 3 2 3" xfId="30754" xr:uid="{00000000-0005-0000-0000-00003C780000}"/>
    <cellStyle name="Normal 7 2 2 2 2 2 2 3 3" xfId="30755" xr:uid="{00000000-0005-0000-0000-00003D780000}"/>
    <cellStyle name="Normal 7 2 2 2 2 2 2 3 4" xfId="30756" xr:uid="{00000000-0005-0000-0000-00003E780000}"/>
    <cellStyle name="Normal 7 2 2 2 2 2 2 4" xfId="30757" xr:uid="{00000000-0005-0000-0000-00003F780000}"/>
    <cellStyle name="Normal 7 2 2 2 2 2 2 4 2" xfId="30758" xr:uid="{00000000-0005-0000-0000-000040780000}"/>
    <cellStyle name="Normal 7 2 2 2 2 2 2 4 3" xfId="30759" xr:uid="{00000000-0005-0000-0000-000041780000}"/>
    <cellStyle name="Normal 7 2 2 2 2 2 2 5" xfId="30760" xr:uid="{00000000-0005-0000-0000-000042780000}"/>
    <cellStyle name="Normal 7 2 2 2 2 2 2 6" xfId="30761" xr:uid="{00000000-0005-0000-0000-000043780000}"/>
    <cellStyle name="Normal 7 2 2 2 2 2 2 7" xfId="30762" xr:uid="{00000000-0005-0000-0000-000044780000}"/>
    <cellStyle name="Normal 7 2 2 2 2 2 3" xfId="30763" xr:uid="{00000000-0005-0000-0000-000045780000}"/>
    <cellStyle name="Normal 7 2 2 2 2 2 3 2" xfId="30764" xr:uid="{00000000-0005-0000-0000-000046780000}"/>
    <cellStyle name="Normal 7 2 2 2 2 2 3 2 2" xfId="30765" xr:uid="{00000000-0005-0000-0000-000047780000}"/>
    <cellStyle name="Normal 7 2 2 2 2 2 3 2 2 2" xfId="30766" xr:uid="{00000000-0005-0000-0000-000048780000}"/>
    <cellStyle name="Normal 7 2 2 2 2 2 3 2 2 3" xfId="30767" xr:uid="{00000000-0005-0000-0000-000049780000}"/>
    <cellStyle name="Normal 7 2 2 2 2 2 3 2 3" xfId="30768" xr:uid="{00000000-0005-0000-0000-00004A780000}"/>
    <cellStyle name="Normal 7 2 2 2 2 2 3 2 4" xfId="30769" xr:uid="{00000000-0005-0000-0000-00004B780000}"/>
    <cellStyle name="Normal 7 2 2 2 2 2 3 3" xfId="30770" xr:uid="{00000000-0005-0000-0000-00004C780000}"/>
    <cellStyle name="Normal 7 2 2 2 2 2 3 3 2" xfId="30771" xr:uid="{00000000-0005-0000-0000-00004D780000}"/>
    <cellStyle name="Normal 7 2 2 2 2 2 3 3 3" xfId="30772" xr:uid="{00000000-0005-0000-0000-00004E780000}"/>
    <cellStyle name="Normal 7 2 2 2 2 2 3 4" xfId="30773" xr:uid="{00000000-0005-0000-0000-00004F780000}"/>
    <cellStyle name="Normal 7 2 2 2 2 2 3 5" xfId="30774" xr:uid="{00000000-0005-0000-0000-000050780000}"/>
    <cellStyle name="Normal 7 2 2 2 2 2 3 6" xfId="30775" xr:uid="{00000000-0005-0000-0000-000051780000}"/>
    <cellStyle name="Normal 7 2 2 2 2 2 4" xfId="30776" xr:uid="{00000000-0005-0000-0000-000052780000}"/>
    <cellStyle name="Normal 7 2 2 2 2 2 4 2" xfId="30777" xr:uid="{00000000-0005-0000-0000-000053780000}"/>
    <cellStyle name="Normal 7 2 2 2 2 2 4 2 2" xfId="30778" xr:uid="{00000000-0005-0000-0000-000054780000}"/>
    <cellStyle name="Normal 7 2 2 2 2 2 4 2 3" xfId="30779" xr:uid="{00000000-0005-0000-0000-000055780000}"/>
    <cellStyle name="Normal 7 2 2 2 2 2 4 3" xfId="30780" xr:uid="{00000000-0005-0000-0000-000056780000}"/>
    <cellStyle name="Normal 7 2 2 2 2 2 4 4" xfId="30781" xr:uid="{00000000-0005-0000-0000-000057780000}"/>
    <cellStyle name="Normal 7 2 2 2 2 2 5" xfId="30782" xr:uid="{00000000-0005-0000-0000-000058780000}"/>
    <cellStyle name="Normal 7 2 2 2 2 2 5 2" xfId="30783" xr:uid="{00000000-0005-0000-0000-000059780000}"/>
    <cellStyle name="Normal 7 2 2 2 2 2 5 3" xfId="30784" xr:uid="{00000000-0005-0000-0000-00005A780000}"/>
    <cellStyle name="Normal 7 2 2 2 2 2 6" xfId="30785" xr:uid="{00000000-0005-0000-0000-00005B780000}"/>
    <cellStyle name="Normal 7 2 2 2 2 2 7" xfId="30786" xr:uid="{00000000-0005-0000-0000-00005C780000}"/>
    <cellStyle name="Normal 7 2 2 2 2 2 8" xfId="30787" xr:uid="{00000000-0005-0000-0000-00005D780000}"/>
    <cellStyle name="Normal 7 2 2 2 2 3" xfId="30788" xr:uid="{00000000-0005-0000-0000-00005E780000}"/>
    <cellStyle name="Normal 7 2 2 2 2 3 2" xfId="30789" xr:uid="{00000000-0005-0000-0000-00005F780000}"/>
    <cellStyle name="Normal 7 2 2 2 2 3 2 2" xfId="30790" xr:uid="{00000000-0005-0000-0000-000060780000}"/>
    <cellStyle name="Normal 7 2 2 2 2 3 2 2 2" xfId="30791" xr:uid="{00000000-0005-0000-0000-000061780000}"/>
    <cellStyle name="Normal 7 2 2 2 2 3 2 2 2 2" xfId="30792" xr:uid="{00000000-0005-0000-0000-000062780000}"/>
    <cellStyle name="Normal 7 2 2 2 2 3 2 2 2 3" xfId="30793" xr:uid="{00000000-0005-0000-0000-000063780000}"/>
    <cellStyle name="Normal 7 2 2 2 2 3 2 2 3" xfId="30794" xr:uid="{00000000-0005-0000-0000-000064780000}"/>
    <cellStyle name="Normal 7 2 2 2 2 3 2 2 4" xfId="30795" xr:uid="{00000000-0005-0000-0000-000065780000}"/>
    <cellStyle name="Normal 7 2 2 2 2 3 2 3" xfId="30796" xr:uid="{00000000-0005-0000-0000-000066780000}"/>
    <cellStyle name="Normal 7 2 2 2 2 3 2 3 2" xfId="30797" xr:uid="{00000000-0005-0000-0000-000067780000}"/>
    <cellStyle name="Normal 7 2 2 2 2 3 2 3 3" xfId="30798" xr:uid="{00000000-0005-0000-0000-000068780000}"/>
    <cellStyle name="Normal 7 2 2 2 2 3 2 4" xfId="30799" xr:uid="{00000000-0005-0000-0000-000069780000}"/>
    <cellStyle name="Normal 7 2 2 2 2 3 2 5" xfId="30800" xr:uid="{00000000-0005-0000-0000-00006A780000}"/>
    <cellStyle name="Normal 7 2 2 2 2 3 2 6" xfId="30801" xr:uid="{00000000-0005-0000-0000-00006B780000}"/>
    <cellStyle name="Normal 7 2 2 2 2 3 3" xfId="30802" xr:uid="{00000000-0005-0000-0000-00006C780000}"/>
    <cellStyle name="Normal 7 2 2 2 2 3 3 2" xfId="30803" xr:uid="{00000000-0005-0000-0000-00006D780000}"/>
    <cellStyle name="Normal 7 2 2 2 2 3 3 2 2" xfId="30804" xr:uid="{00000000-0005-0000-0000-00006E780000}"/>
    <cellStyle name="Normal 7 2 2 2 2 3 3 2 3" xfId="30805" xr:uid="{00000000-0005-0000-0000-00006F780000}"/>
    <cellStyle name="Normal 7 2 2 2 2 3 3 3" xfId="30806" xr:uid="{00000000-0005-0000-0000-000070780000}"/>
    <cellStyle name="Normal 7 2 2 2 2 3 3 4" xfId="30807" xr:uid="{00000000-0005-0000-0000-000071780000}"/>
    <cellStyle name="Normal 7 2 2 2 2 3 4" xfId="30808" xr:uid="{00000000-0005-0000-0000-000072780000}"/>
    <cellStyle name="Normal 7 2 2 2 2 3 4 2" xfId="30809" xr:uid="{00000000-0005-0000-0000-000073780000}"/>
    <cellStyle name="Normal 7 2 2 2 2 3 4 3" xfId="30810" xr:uid="{00000000-0005-0000-0000-000074780000}"/>
    <cellStyle name="Normal 7 2 2 2 2 3 5" xfId="30811" xr:uid="{00000000-0005-0000-0000-000075780000}"/>
    <cellStyle name="Normal 7 2 2 2 2 3 6" xfId="30812" xr:uid="{00000000-0005-0000-0000-000076780000}"/>
    <cellStyle name="Normal 7 2 2 2 2 3 7" xfId="30813" xr:uid="{00000000-0005-0000-0000-000077780000}"/>
    <cellStyle name="Normal 7 2 2 2 2 4" xfId="30814" xr:uid="{00000000-0005-0000-0000-000078780000}"/>
    <cellStyle name="Normal 7 2 2 2 2 4 2" xfId="30815" xr:uid="{00000000-0005-0000-0000-000079780000}"/>
    <cellStyle name="Normal 7 2 2 2 2 4 2 2" xfId="30816" xr:uid="{00000000-0005-0000-0000-00007A780000}"/>
    <cellStyle name="Normal 7 2 2 2 2 4 2 2 2" xfId="30817" xr:uid="{00000000-0005-0000-0000-00007B780000}"/>
    <cellStyle name="Normal 7 2 2 2 2 4 2 2 3" xfId="30818" xr:uid="{00000000-0005-0000-0000-00007C780000}"/>
    <cellStyle name="Normal 7 2 2 2 2 4 2 3" xfId="30819" xr:uid="{00000000-0005-0000-0000-00007D780000}"/>
    <cellStyle name="Normal 7 2 2 2 2 4 2 4" xfId="30820" xr:uid="{00000000-0005-0000-0000-00007E780000}"/>
    <cellStyle name="Normal 7 2 2 2 2 4 3" xfId="30821" xr:uid="{00000000-0005-0000-0000-00007F780000}"/>
    <cellStyle name="Normal 7 2 2 2 2 4 3 2" xfId="30822" xr:uid="{00000000-0005-0000-0000-000080780000}"/>
    <cellStyle name="Normal 7 2 2 2 2 4 3 3" xfId="30823" xr:uid="{00000000-0005-0000-0000-000081780000}"/>
    <cellStyle name="Normal 7 2 2 2 2 4 4" xfId="30824" xr:uid="{00000000-0005-0000-0000-000082780000}"/>
    <cellStyle name="Normal 7 2 2 2 2 4 5" xfId="30825" xr:uid="{00000000-0005-0000-0000-000083780000}"/>
    <cellStyle name="Normal 7 2 2 2 2 4 6" xfId="30826" xr:uid="{00000000-0005-0000-0000-000084780000}"/>
    <cellStyle name="Normal 7 2 2 2 2 5" xfId="30827" xr:uid="{00000000-0005-0000-0000-000085780000}"/>
    <cellStyle name="Normal 7 2 2 2 2 5 2" xfId="30828" xr:uid="{00000000-0005-0000-0000-000086780000}"/>
    <cellStyle name="Normal 7 2 2 2 2 5 2 2" xfId="30829" xr:uid="{00000000-0005-0000-0000-000087780000}"/>
    <cellStyle name="Normal 7 2 2 2 2 5 2 3" xfId="30830" xr:uid="{00000000-0005-0000-0000-000088780000}"/>
    <cellStyle name="Normal 7 2 2 2 2 5 3" xfId="30831" xr:uid="{00000000-0005-0000-0000-000089780000}"/>
    <cellStyle name="Normal 7 2 2 2 2 5 4" xfId="30832" xr:uid="{00000000-0005-0000-0000-00008A780000}"/>
    <cellStyle name="Normal 7 2 2 2 2 6" xfId="30833" xr:uid="{00000000-0005-0000-0000-00008B780000}"/>
    <cellStyle name="Normal 7 2 2 2 2 6 2" xfId="30834" xr:uid="{00000000-0005-0000-0000-00008C780000}"/>
    <cellStyle name="Normal 7 2 2 2 2 6 3" xfId="30835" xr:uid="{00000000-0005-0000-0000-00008D780000}"/>
    <cellStyle name="Normal 7 2 2 2 2 7" xfId="30836" xr:uid="{00000000-0005-0000-0000-00008E780000}"/>
    <cellStyle name="Normal 7 2 2 2 2 8" xfId="30837" xr:uid="{00000000-0005-0000-0000-00008F780000}"/>
    <cellStyle name="Normal 7 2 2 2 2 9" xfId="30838" xr:uid="{00000000-0005-0000-0000-000090780000}"/>
    <cellStyle name="Normal 7 2 2 2 3" xfId="30839" xr:uid="{00000000-0005-0000-0000-000091780000}"/>
    <cellStyle name="Normal 7 2 2 2 3 2" xfId="30840" xr:uid="{00000000-0005-0000-0000-000092780000}"/>
    <cellStyle name="Normal 7 2 2 2 3 2 2" xfId="30841" xr:uid="{00000000-0005-0000-0000-000093780000}"/>
    <cellStyle name="Normal 7 2 2 2 3 2 2 2" xfId="30842" xr:uid="{00000000-0005-0000-0000-000094780000}"/>
    <cellStyle name="Normal 7 2 2 2 3 2 2 2 2" xfId="30843" xr:uid="{00000000-0005-0000-0000-000095780000}"/>
    <cellStyle name="Normal 7 2 2 2 3 2 2 2 2 2" xfId="30844" xr:uid="{00000000-0005-0000-0000-000096780000}"/>
    <cellStyle name="Normal 7 2 2 2 3 2 2 2 2 3" xfId="30845" xr:uid="{00000000-0005-0000-0000-000097780000}"/>
    <cellStyle name="Normal 7 2 2 2 3 2 2 2 3" xfId="30846" xr:uid="{00000000-0005-0000-0000-000098780000}"/>
    <cellStyle name="Normal 7 2 2 2 3 2 2 2 4" xfId="30847" xr:uid="{00000000-0005-0000-0000-000099780000}"/>
    <cellStyle name="Normal 7 2 2 2 3 2 2 3" xfId="30848" xr:uid="{00000000-0005-0000-0000-00009A780000}"/>
    <cellStyle name="Normal 7 2 2 2 3 2 2 3 2" xfId="30849" xr:uid="{00000000-0005-0000-0000-00009B780000}"/>
    <cellStyle name="Normal 7 2 2 2 3 2 2 3 3" xfId="30850" xr:uid="{00000000-0005-0000-0000-00009C780000}"/>
    <cellStyle name="Normal 7 2 2 2 3 2 2 4" xfId="30851" xr:uid="{00000000-0005-0000-0000-00009D780000}"/>
    <cellStyle name="Normal 7 2 2 2 3 2 2 5" xfId="30852" xr:uid="{00000000-0005-0000-0000-00009E780000}"/>
    <cellStyle name="Normal 7 2 2 2 3 2 2 6" xfId="30853" xr:uid="{00000000-0005-0000-0000-00009F780000}"/>
    <cellStyle name="Normal 7 2 2 2 3 2 3" xfId="30854" xr:uid="{00000000-0005-0000-0000-0000A0780000}"/>
    <cellStyle name="Normal 7 2 2 2 3 2 3 2" xfId="30855" xr:uid="{00000000-0005-0000-0000-0000A1780000}"/>
    <cellStyle name="Normal 7 2 2 2 3 2 3 2 2" xfId="30856" xr:uid="{00000000-0005-0000-0000-0000A2780000}"/>
    <cellStyle name="Normal 7 2 2 2 3 2 3 2 3" xfId="30857" xr:uid="{00000000-0005-0000-0000-0000A3780000}"/>
    <cellStyle name="Normal 7 2 2 2 3 2 3 3" xfId="30858" xr:uid="{00000000-0005-0000-0000-0000A4780000}"/>
    <cellStyle name="Normal 7 2 2 2 3 2 3 4" xfId="30859" xr:uid="{00000000-0005-0000-0000-0000A5780000}"/>
    <cellStyle name="Normal 7 2 2 2 3 2 4" xfId="30860" xr:uid="{00000000-0005-0000-0000-0000A6780000}"/>
    <cellStyle name="Normal 7 2 2 2 3 2 4 2" xfId="30861" xr:uid="{00000000-0005-0000-0000-0000A7780000}"/>
    <cellStyle name="Normal 7 2 2 2 3 2 4 3" xfId="30862" xr:uid="{00000000-0005-0000-0000-0000A8780000}"/>
    <cellStyle name="Normal 7 2 2 2 3 2 5" xfId="30863" xr:uid="{00000000-0005-0000-0000-0000A9780000}"/>
    <cellStyle name="Normal 7 2 2 2 3 2 6" xfId="30864" xr:uid="{00000000-0005-0000-0000-0000AA780000}"/>
    <cellStyle name="Normal 7 2 2 2 3 2 7" xfId="30865" xr:uid="{00000000-0005-0000-0000-0000AB780000}"/>
    <cellStyle name="Normal 7 2 2 2 3 3" xfId="30866" xr:uid="{00000000-0005-0000-0000-0000AC780000}"/>
    <cellStyle name="Normal 7 2 2 2 3 3 2" xfId="30867" xr:uid="{00000000-0005-0000-0000-0000AD780000}"/>
    <cellStyle name="Normal 7 2 2 2 3 3 2 2" xfId="30868" xr:uid="{00000000-0005-0000-0000-0000AE780000}"/>
    <cellStyle name="Normal 7 2 2 2 3 3 2 2 2" xfId="30869" xr:uid="{00000000-0005-0000-0000-0000AF780000}"/>
    <cellStyle name="Normal 7 2 2 2 3 3 2 2 3" xfId="30870" xr:uid="{00000000-0005-0000-0000-0000B0780000}"/>
    <cellStyle name="Normal 7 2 2 2 3 3 2 3" xfId="30871" xr:uid="{00000000-0005-0000-0000-0000B1780000}"/>
    <cellStyle name="Normal 7 2 2 2 3 3 2 4" xfId="30872" xr:uid="{00000000-0005-0000-0000-0000B2780000}"/>
    <cellStyle name="Normal 7 2 2 2 3 3 3" xfId="30873" xr:uid="{00000000-0005-0000-0000-0000B3780000}"/>
    <cellStyle name="Normal 7 2 2 2 3 3 3 2" xfId="30874" xr:uid="{00000000-0005-0000-0000-0000B4780000}"/>
    <cellStyle name="Normal 7 2 2 2 3 3 3 3" xfId="30875" xr:uid="{00000000-0005-0000-0000-0000B5780000}"/>
    <cellStyle name="Normal 7 2 2 2 3 3 4" xfId="30876" xr:uid="{00000000-0005-0000-0000-0000B6780000}"/>
    <cellStyle name="Normal 7 2 2 2 3 3 5" xfId="30877" xr:uid="{00000000-0005-0000-0000-0000B7780000}"/>
    <cellStyle name="Normal 7 2 2 2 3 3 6" xfId="30878" xr:uid="{00000000-0005-0000-0000-0000B8780000}"/>
    <cellStyle name="Normal 7 2 2 2 3 4" xfId="30879" xr:uid="{00000000-0005-0000-0000-0000B9780000}"/>
    <cellStyle name="Normal 7 2 2 2 3 4 2" xfId="30880" xr:uid="{00000000-0005-0000-0000-0000BA780000}"/>
    <cellStyle name="Normal 7 2 2 2 3 4 2 2" xfId="30881" xr:uid="{00000000-0005-0000-0000-0000BB780000}"/>
    <cellStyle name="Normal 7 2 2 2 3 4 2 3" xfId="30882" xr:uid="{00000000-0005-0000-0000-0000BC780000}"/>
    <cellStyle name="Normal 7 2 2 2 3 4 3" xfId="30883" xr:uid="{00000000-0005-0000-0000-0000BD780000}"/>
    <cellStyle name="Normal 7 2 2 2 3 4 4" xfId="30884" xr:uid="{00000000-0005-0000-0000-0000BE780000}"/>
    <cellStyle name="Normal 7 2 2 2 3 5" xfId="30885" xr:uid="{00000000-0005-0000-0000-0000BF780000}"/>
    <cellStyle name="Normal 7 2 2 2 3 5 2" xfId="30886" xr:uid="{00000000-0005-0000-0000-0000C0780000}"/>
    <cellStyle name="Normal 7 2 2 2 3 5 3" xfId="30887" xr:uid="{00000000-0005-0000-0000-0000C1780000}"/>
    <cellStyle name="Normal 7 2 2 2 3 6" xfId="30888" xr:uid="{00000000-0005-0000-0000-0000C2780000}"/>
    <cellStyle name="Normal 7 2 2 2 3 7" xfId="30889" xr:uid="{00000000-0005-0000-0000-0000C3780000}"/>
    <cellStyle name="Normal 7 2 2 2 3 8" xfId="30890" xr:uid="{00000000-0005-0000-0000-0000C4780000}"/>
    <cellStyle name="Normal 7 2 2 2 4" xfId="30891" xr:uid="{00000000-0005-0000-0000-0000C5780000}"/>
    <cellStyle name="Normal 7 2 2 2 4 2" xfId="30892" xr:uid="{00000000-0005-0000-0000-0000C6780000}"/>
    <cellStyle name="Normal 7 2 2 2 4 2 2" xfId="30893" xr:uid="{00000000-0005-0000-0000-0000C7780000}"/>
    <cellStyle name="Normal 7 2 2 2 4 2 2 2" xfId="30894" xr:uid="{00000000-0005-0000-0000-0000C8780000}"/>
    <cellStyle name="Normal 7 2 2 2 4 2 2 2 2" xfId="30895" xr:uid="{00000000-0005-0000-0000-0000C9780000}"/>
    <cellStyle name="Normal 7 2 2 2 4 2 2 2 3" xfId="30896" xr:uid="{00000000-0005-0000-0000-0000CA780000}"/>
    <cellStyle name="Normal 7 2 2 2 4 2 2 3" xfId="30897" xr:uid="{00000000-0005-0000-0000-0000CB780000}"/>
    <cellStyle name="Normal 7 2 2 2 4 2 2 4" xfId="30898" xr:uid="{00000000-0005-0000-0000-0000CC780000}"/>
    <cellStyle name="Normal 7 2 2 2 4 2 3" xfId="30899" xr:uid="{00000000-0005-0000-0000-0000CD780000}"/>
    <cellStyle name="Normal 7 2 2 2 4 2 3 2" xfId="30900" xr:uid="{00000000-0005-0000-0000-0000CE780000}"/>
    <cellStyle name="Normal 7 2 2 2 4 2 3 3" xfId="30901" xr:uid="{00000000-0005-0000-0000-0000CF780000}"/>
    <cellStyle name="Normal 7 2 2 2 4 2 4" xfId="30902" xr:uid="{00000000-0005-0000-0000-0000D0780000}"/>
    <cellStyle name="Normal 7 2 2 2 4 2 5" xfId="30903" xr:uid="{00000000-0005-0000-0000-0000D1780000}"/>
    <cellStyle name="Normal 7 2 2 2 4 2 6" xfId="30904" xr:uid="{00000000-0005-0000-0000-0000D2780000}"/>
    <cellStyle name="Normal 7 2 2 2 4 3" xfId="30905" xr:uid="{00000000-0005-0000-0000-0000D3780000}"/>
    <cellStyle name="Normal 7 2 2 2 4 3 2" xfId="30906" xr:uid="{00000000-0005-0000-0000-0000D4780000}"/>
    <cellStyle name="Normal 7 2 2 2 4 3 2 2" xfId="30907" xr:uid="{00000000-0005-0000-0000-0000D5780000}"/>
    <cellStyle name="Normal 7 2 2 2 4 3 2 3" xfId="30908" xr:uid="{00000000-0005-0000-0000-0000D6780000}"/>
    <cellStyle name="Normal 7 2 2 2 4 3 3" xfId="30909" xr:uid="{00000000-0005-0000-0000-0000D7780000}"/>
    <cellStyle name="Normal 7 2 2 2 4 3 4" xfId="30910" xr:uid="{00000000-0005-0000-0000-0000D8780000}"/>
    <cellStyle name="Normal 7 2 2 2 4 4" xfId="30911" xr:uid="{00000000-0005-0000-0000-0000D9780000}"/>
    <cellStyle name="Normal 7 2 2 2 4 4 2" xfId="30912" xr:uid="{00000000-0005-0000-0000-0000DA780000}"/>
    <cellStyle name="Normal 7 2 2 2 4 4 3" xfId="30913" xr:uid="{00000000-0005-0000-0000-0000DB780000}"/>
    <cellStyle name="Normal 7 2 2 2 4 5" xfId="30914" xr:uid="{00000000-0005-0000-0000-0000DC780000}"/>
    <cellStyle name="Normal 7 2 2 2 4 6" xfId="30915" xr:uid="{00000000-0005-0000-0000-0000DD780000}"/>
    <cellStyle name="Normal 7 2 2 2 4 7" xfId="30916" xr:uid="{00000000-0005-0000-0000-0000DE780000}"/>
    <cellStyle name="Normal 7 2 2 2 5" xfId="30917" xr:uid="{00000000-0005-0000-0000-0000DF780000}"/>
    <cellStyle name="Normal 7 2 2 2 5 2" xfId="30918" xr:uid="{00000000-0005-0000-0000-0000E0780000}"/>
    <cellStyle name="Normal 7 2 2 2 5 2 2" xfId="30919" xr:uid="{00000000-0005-0000-0000-0000E1780000}"/>
    <cellStyle name="Normal 7 2 2 2 5 2 2 2" xfId="30920" xr:uid="{00000000-0005-0000-0000-0000E2780000}"/>
    <cellStyle name="Normal 7 2 2 2 5 2 2 3" xfId="30921" xr:uid="{00000000-0005-0000-0000-0000E3780000}"/>
    <cellStyle name="Normal 7 2 2 2 5 2 3" xfId="30922" xr:uid="{00000000-0005-0000-0000-0000E4780000}"/>
    <cellStyle name="Normal 7 2 2 2 5 2 4" xfId="30923" xr:uid="{00000000-0005-0000-0000-0000E5780000}"/>
    <cellStyle name="Normal 7 2 2 2 5 3" xfId="30924" xr:uid="{00000000-0005-0000-0000-0000E6780000}"/>
    <cellStyle name="Normal 7 2 2 2 5 3 2" xfId="30925" xr:uid="{00000000-0005-0000-0000-0000E7780000}"/>
    <cellStyle name="Normal 7 2 2 2 5 3 3" xfId="30926" xr:uid="{00000000-0005-0000-0000-0000E8780000}"/>
    <cellStyle name="Normal 7 2 2 2 5 4" xfId="30927" xr:uid="{00000000-0005-0000-0000-0000E9780000}"/>
    <cellStyle name="Normal 7 2 2 2 5 5" xfId="30928" xr:uid="{00000000-0005-0000-0000-0000EA780000}"/>
    <cellStyle name="Normal 7 2 2 2 5 6" xfId="30929" xr:uid="{00000000-0005-0000-0000-0000EB780000}"/>
    <cellStyle name="Normal 7 2 2 2 6" xfId="30930" xr:uid="{00000000-0005-0000-0000-0000EC780000}"/>
    <cellStyle name="Normal 7 2 2 2 6 2" xfId="30931" xr:uid="{00000000-0005-0000-0000-0000ED780000}"/>
    <cellStyle name="Normal 7 2 2 2 6 2 2" xfId="30932" xr:uid="{00000000-0005-0000-0000-0000EE780000}"/>
    <cellStyle name="Normal 7 2 2 2 6 2 3" xfId="30933" xr:uid="{00000000-0005-0000-0000-0000EF780000}"/>
    <cellStyle name="Normal 7 2 2 2 6 3" xfId="30934" xr:uid="{00000000-0005-0000-0000-0000F0780000}"/>
    <cellStyle name="Normal 7 2 2 2 6 4" xfId="30935" xr:uid="{00000000-0005-0000-0000-0000F1780000}"/>
    <cellStyle name="Normal 7 2 2 2 7" xfId="30936" xr:uid="{00000000-0005-0000-0000-0000F2780000}"/>
    <cellStyle name="Normal 7 2 2 2 7 2" xfId="30937" xr:uid="{00000000-0005-0000-0000-0000F3780000}"/>
    <cellStyle name="Normal 7 2 2 2 7 3" xfId="30938" xr:uid="{00000000-0005-0000-0000-0000F4780000}"/>
    <cellStyle name="Normal 7 2 2 2 8" xfId="30939" xr:uid="{00000000-0005-0000-0000-0000F5780000}"/>
    <cellStyle name="Normal 7 2 2 2 9" xfId="30940" xr:uid="{00000000-0005-0000-0000-0000F6780000}"/>
    <cellStyle name="Normal 7 2 2 3" xfId="30941" xr:uid="{00000000-0005-0000-0000-0000F7780000}"/>
    <cellStyle name="Normal 7 2 2 3 2" xfId="30942" xr:uid="{00000000-0005-0000-0000-0000F8780000}"/>
    <cellStyle name="Normal 7 2 2 3 2 2" xfId="30943" xr:uid="{00000000-0005-0000-0000-0000F9780000}"/>
    <cellStyle name="Normal 7 2 2 3 2 2 2" xfId="30944" xr:uid="{00000000-0005-0000-0000-0000FA780000}"/>
    <cellStyle name="Normal 7 2 2 3 2 2 2 2" xfId="30945" xr:uid="{00000000-0005-0000-0000-0000FB780000}"/>
    <cellStyle name="Normal 7 2 2 3 2 2 2 2 2" xfId="30946" xr:uid="{00000000-0005-0000-0000-0000FC780000}"/>
    <cellStyle name="Normal 7 2 2 3 2 2 2 2 2 2" xfId="30947" xr:uid="{00000000-0005-0000-0000-0000FD780000}"/>
    <cellStyle name="Normal 7 2 2 3 2 2 2 2 2 3" xfId="30948" xr:uid="{00000000-0005-0000-0000-0000FE780000}"/>
    <cellStyle name="Normal 7 2 2 3 2 2 2 2 3" xfId="30949" xr:uid="{00000000-0005-0000-0000-0000FF780000}"/>
    <cellStyle name="Normal 7 2 2 3 2 2 2 2 4" xfId="30950" xr:uid="{00000000-0005-0000-0000-000000790000}"/>
    <cellStyle name="Normal 7 2 2 3 2 2 2 3" xfId="30951" xr:uid="{00000000-0005-0000-0000-000001790000}"/>
    <cellStyle name="Normal 7 2 2 3 2 2 2 3 2" xfId="30952" xr:uid="{00000000-0005-0000-0000-000002790000}"/>
    <cellStyle name="Normal 7 2 2 3 2 2 2 3 3" xfId="30953" xr:uid="{00000000-0005-0000-0000-000003790000}"/>
    <cellStyle name="Normal 7 2 2 3 2 2 2 4" xfId="30954" xr:uid="{00000000-0005-0000-0000-000004790000}"/>
    <cellStyle name="Normal 7 2 2 3 2 2 2 5" xfId="30955" xr:uid="{00000000-0005-0000-0000-000005790000}"/>
    <cellStyle name="Normal 7 2 2 3 2 2 2 6" xfId="30956" xr:uid="{00000000-0005-0000-0000-000006790000}"/>
    <cellStyle name="Normal 7 2 2 3 2 2 3" xfId="30957" xr:uid="{00000000-0005-0000-0000-000007790000}"/>
    <cellStyle name="Normal 7 2 2 3 2 2 3 2" xfId="30958" xr:uid="{00000000-0005-0000-0000-000008790000}"/>
    <cellStyle name="Normal 7 2 2 3 2 2 3 2 2" xfId="30959" xr:uid="{00000000-0005-0000-0000-000009790000}"/>
    <cellStyle name="Normal 7 2 2 3 2 2 3 2 3" xfId="30960" xr:uid="{00000000-0005-0000-0000-00000A790000}"/>
    <cellStyle name="Normal 7 2 2 3 2 2 3 3" xfId="30961" xr:uid="{00000000-0005-0000-0000-00000B790000}"/>
    <cellStyle name="Normal 7 2 2 3 2 2 3 4" xfId="30962" xr:uid="{00000000-0005-0000-0000-00000C790000}"/>
    <cellStyle name="Normal 7 2 2 3 2 2 4" xfId="30963" xr:uid="{00000000-0005-0000-0000-00000D790000}"/>
    <cellStyle name="Normal 7 2 2 3 2 2 4 2" xfId="30964" xr:uid="{00000000-0005-0000-0000-00000E790000}"/>
    <cellStyle name="Normal 7 2 2 3 2 2 4 3" xfId="30965" xr:uid="{00000000-0005-0000-0000-00000F790000}"/>
    <cellStyle name="Normal 7 2 2 3 2 2 5" xfId="30966" xr:uid="{00000000-0005-0000-0000-000010790000}"/>
    <cellStyle name="Normal 7 2 2 3 2 2 6" xfId="30967" xr:uid="{00000000-0005-0000-0000-000011790000}"/>
    <cellStyle name="Normal 7 2 2 3 2 2 7" xfId="30968" xr:uid="{00000000-0005-0000-0000-000012790000}"/>
    <cellStyle name="Normal 7 2 2 3 2 3" xfId="30969" xr:uid="{00000000-0005-0000-0000-000013790000}"/>
    <cellStyle name="Normal 7 2 2 3 2 3 2" xfId="30970" xr:uid="{00000000-0005-0000-0000-000014790000}"/>
    <cellStyle name="Normal 7 2 2 3 2 3 2 2" xfId="30971" xr:uid="{00000000-0005-0000-0000-000015790000}"/>
    <cellStyle name="Normal 7 2 2 3 2 3 2 2 2" xfId="30972" xr:uid="{00000000-0005-0000-0000-000016790000}"/>
    <cellStyle name="Normal 7 2 2 3 2 3 2 2 3" xfId="30973" xr:uid="{00000000-0005-0000-0000-000017790000}"/>
    <cellStyle name="Normal 7 2 2 3 2 3 2 3" xfId="30974" xr:uid="{00000000-0005-0000-0000-000018790000}"/>
    <cellStyle name="Normal 7 2 2 3 2 3 2 4" xfId="30975" xr:uid="{00000000-0005-0000-0000-000019790000}"/>
    <cellStyle name="Normal 7 2 2 3 2 3 3" xfId="30976" xr:uid="{00000000-0005-0000-0000-00001A790000}"/>
    <cellStyle name="Normal 7 2 2 3 2 3 3 2" xfId="30977" xr:uid="{00000000-0005-0000-0000-00001B790000}"/>
    <cellStyle name="Normal 7 2 2 3 2 3 3 3" xfId="30978" xr:uid="{00000000-0005-0000-0000-00001C790000}"/>
    <cellStyle name="Normal 7 2 2 3 2 3 4" xfId="30979" xr:uid="{00000000-0005-0000-0000-00001D790000}"/>
    <cellStyle name="Normal 7 2 2 3 2 3 5" xfId="30980" xr:uid="{00000000-0005-0000-0000-00001E790000}"/>
    <cellStyle name="Normal 7 2 2 3 2 3 6" xfId="30981" xr:uid="{00000000-0005-0000-0000-00001F790000}"/>
    <cellStyle name="Normal 7 2 2 3 2 4" xfId="30982" xr:uid="{00000000-0005-0000-0000-000020790000}"/>
    <cellStyle name="Normal 7 2 2 3 2 4 2" xfId="30983" xr:uid="{00000000-0005-0000-0000-000021790000}"/>
    <cellStyle name="Normal 7 2 2 3 2 4 2 2" xfId="30984" xr:uid="{00000000-0005-0000-0000-000022790000}"/>
    <cellStyle name="Normal 7 2 2 3 2 4 2 3" xfId="30985" xr:uid="{00000000-0005-0000-0000-000023790000}"/>
    <cellStyle name="Normal 7 2 2 3 2 4 3" xfId="30986" xr:uid="{00000000-0005-0000-0000-000024790000}"/>
    <cellStyle name="Normal 7 2 2 3 2 4 4" xfId="30987" xr:uid="{00000000-0005-0000-0000-000025790000}"/>
    <cellStyle name="Normal 7 2 2 3 2 5" xfId="30988" xr:uid="{00000000-0005-0000-0000-000026790000}"/>
    <cellStyle name="Normal 7 2 2 3 2 5 2" xfId="30989" xr:uid="{00000000-0005-0000-0000-000027790000}"/>
    <cellStyle name="Normal 7 2 2 3 2 5 3" xfId="30990" xr:uid="{00000000-0005-0000-0000-000028790000}"/>
    <cellStyle name="Normal 7 2 2 3 2 6" xfId="30991" xr:uid="{00000000-0005-0000-0000-000029790000}"/>
    <cellStyle name="Normal 7 2 2 3 2 7" xfId="30992" xr:uid="{00000000-0005-0000-0000-00002A790000}"/>
    <cellStyle name="Normal 7 2 2 3 2 8" xfId="30993" xr:uid="{00000000-0005-0000-0000-00002B790000}"/>
    <cellStyle name="Normal 7 2 2 3 3" xfId="30994" xr:uid="{00000000-0005-0000-0000-00002C790000}"/>
    <cellStyle name="Normal 7 2 2 3 3 2" xfId="30995" xr:uid="{00000000-0005-0000-0000-00002D790000}"/>
    <cellStyle name="Normal 7 2 2 3 3 2 2" xfId="30996" xr:uid="{00000000-0005-0000-0000-00002E790000}"/>
    <cellStyle name="Normal 7 2 2 3 3 2 2 2" xfId="30997" xr:uid="{00000000-0005-0000-0000-00002F790000}"/>
    <cellStyle name="Normal 7 2 2 3 3 2 2 2 2" xfId="30998" xr:uid="{00000000-0005-0000-0000-000030790000}"/>
    <cellStyle name="Normal 7 2 2 3 3 2 2 2 3" xfId="30999" xr:uid="{00000000-0005-0000-0000-000031790000}"/>
    <cellStyle name="Normal 7 2 2 3 3 2 2 3" xfId="31000" xr:uid="{00000000-0005-0000-0000-000032790000}"/>
    <cellStyle name="Normal 7 2 2 3 3 2 2 4" xfId="31001" xr:uid="{00000000-0005-0000-0000-000033790000}"/>
    <cellStyle name="Normal 7 2 2 3 3 2 3" xfId="31002" xr:uid="{00000000-0005-0000-0000-000034790000}"/>
    <cellStyle name="Normal 7 2 2 3 3 2 3 2" xfId="31003" xr:uid="{00000000-0005-0000-0000-000035790000}"/>
    <cellStyle name="Normal 7 2 2 3 3 2 3 3" xfId="31004" xr:uid="{00000000-0005-0000-0000-000036790000}"/>
    <cellStyle name="Normal 7 2 2 3 3 2 4" xfId="31005" xr:uid="{00000000-0005-0000-0000-000037790000}"/>
    <cellStyle name="Normal 7 2 2 3 3 2 5" xfId="31006" xr:uid="{00000000-0005-0000-0000-000038790000}"/>
    <cellStyle name="Normal 7 2 2 3 3 2 6" xfId="31007" xr:uid="{00000000-0005-0000-0000-000039790000}"/>
    <cellStyle name="Normal 7 2 2 3 3 3" xfId="31008" xr:uid="{00000000-0005-0000-0000-00003A790000}"/>
    <cellStyle name="Normal 7 2 2 3 3 3 2" xfId="31009" xr:uid="{00000000-0005-0000-0000-00003B790000}"/>
    <cellStyle name="Normal 7 2 2 3 3 3 2 2" xfId="31010" xr:uid="{00000000-0005-0000-0000-00003C790000}"/>
    <cellStyle name="Normal 7 2 2 3 3 3 2 3" xfId="31011" xr:uid="{00000000-0005-0000-0000-00003D790000}"/>
    <cellStyle name="Normal 7 2 2 3 3 3 3" xfId="31012" xr:uid="{00000000-0005-0000-0000-00003E790000}"/>
    <cellStyle name="Normal 7 2 2 3 3 3 4" xfId="31013" xr:uid="{00000000-0005-0000-0000-00003F790000}"/>
    <cellStyle name="Normal 7 2 2 3 3 4" xfId="31014" xr:uid="{00000000-0005-0000-0000-000040790000}"/>
    <cellStyle name="Normal 7 2 2 3 3 4 2" xfId="31015" xr:uid="{00000000-0005-0000-0000-000041790000}"/>
    <cellStyle name="Normal 7 2 2 3 3 4 3" xfId="31016" xr:uid="{00000000-0005-0000-0000-000042790000}"/>
    <cellStyle name="Normal 7 2 2 3 3 5" xfId="31017" xr:uid="{00000000-0005-0000-0000-000043790000}"/>
    <cellStyle name="Normal 7 2 2 3 3 6" xfId="31018" xr:uid="{00000000-0005-0000-0000-000044790000}"/>
    <cellStyle name="Normal 7 2 2 3 3 7" xfId="31019" xr:uid="{00000000-0005-0000-0000-000045790000}"/>
    <cellStyle name="Normal 7 2 2 3 4" xfId="31020" xr:uid="{00000000-0005-0000-0000-000046790000}"/>
    <cellStyle name="Normal 7 2 2 3 4 2" xfId="31021" xr:uid="{00000000-0005-0000-0000-000047790000}"/>
    <cellStyle name="Normal 7 2 2 3 4 2 2" xfId="31022" xr:uid="{00000000-0005-0000-0000-000048790000}"/>
    <cellStyle name="Normal 7 2 2 3 4 2 2 2" xfId="31023" xr:uid="{00000000-0005-0000-0000-000049790000}"/>
    <cellStyle name="Normal 7 2 2 3 4 2 2 3" xfId="31024" xr:uid="{00000000-0005-0000-0000-00004A790000}"/>
    <cellStyle name="Normal 7 2 2 3 4 2 3" xfId="31025" xr:uid="{00000000-0005-0000-0000-00004B790000}"/>
    <cellStyle name="Normal 7 2 2 3 4 2 4" xfId="31026" xr:uid="{00000000-0005-0000-0000-00004C790000}"/>
    <cellStyle name="Normal 7 2 2 3 4 3" xfId="31027" xr:uid="{00000000-0005-0000-0000-00004D790000}"/>
    <cellStyle name="Normal 7 2 2 3 4 3 2" xfId="31028" xr:uid="{00000000-0005-0000-0000-00004E790000}"/>
    <cellStyle name="Normal 7 2 2 3 4 3 3" xfId="31029" xr:uid="{00000000-0005-0000-0000-00004F790000}"/>
    <cellStyle name="Normal 7 2 2 3 4 4" xfId="31030" xr:uid="{00000000-0005-0000-0000-000050790000}"/>
    <cellStyle name="Normal 7 2 2 3 4 5" xfId="31031" xr:uid="{00000000-0005-0000-0000-000051790000}"/>
    <cellStyle name="Normal 7 2 2 3 4 6" xfId="31032" xr:uid="{00000000-0005-0000-0000-000052790000}"/>
    <cellStyle name="Normal 7 2 2 3 5" xfId="31033" xr:uid="{00000000-0005-0000-0000-000053790000}"/>
    <cellStyle name="Normal 7 2 2 3 5 2" xfId="31034" xr:uid="{00000000-0005-0000-0000-000054790000}"/>
    <cellStyle name="Normal 7 2 2 3 5 2 2" xfId="31035" xr:uid="{00000000-0005-0000-0000-000055790000}"/>
    <cellStyle name="Normal 7 2 2 3 5 2 3" xfId="31036" xr:uid="{00000000-0005-0000-0000-000056790000}"/>
    <cellStyle name="Normal 7 2 2 3 5 3" xfId="31037" xr:uid="{00000000-0005-0000-0000-000057790000}"/>
    <cellStyle name="Normal 7 2 2 3 5 4" xfId="31038" xr:uid="{00000000-0005-0000-0000-000058790000}"/>
    <cellStyle name="Normal 7 2 2 3 6" xfId="31039" xr:uid="{00000000-0005-0000-0000-000059790000}"/>
    <cellStyle name="Normal 7 2 2 3 6 2" xfId="31040" xr:uid="{00000000-0005-0000-0000-00005A790000}"/>
    <cellStyle name="Normal 7 2 2 3 6 3" xfId="31041" xr:uid="{00000000-0005-0000-0000-00005B790000}"/>
    <cellStyle name="Normal 7 2 2 3 7" xfId="31042" xr:uid="{00000000-0005-0000-0000-00005C790000}"/>
    <cellStyle name="Normal 7 2 2 3 8" xfId="31043" xr:uid="{00000000-0005-0000-0000-00005D790000}"/>
    <cellStyle name="Normal 7 2 2 3 9" xfId="31044" xr:uid="{00000000-0005-0000-0000-00005E790000}"/>
    <cellStyle name="Normal 7 2 2 4" xfId="31045" xr:uid="{00000000-0005-0000-0000-00005F790000}"/>
    <cellStyle name="Normal 7 2 2 4 2" xfId="31046" xr:uid="{00000000-0005-0000-0000-000060790000}"/>
    <cellStyle name="Normal 7 2 2 4 2 2" xfId="31047" xr:uid="{00000000-0005-0000-0000-000061790000}"/>
    <cellStyle name="Normal 7 2 2 4 2 2 2" xfId="31048" xr:uid="{00000000-0005-0000-0000-000062790000}"/>
    <cellStyle name="Normal 7 2 2 4 2 2 2 2" xfId="31049" xr:uid="{00000000-0005-0000-0000-000063790000}"/>
    <cellStyle name="Normal 7 2 2 4 2 2 2 2 2" xfId="31050" xr:uid="{00000000-0005-0000-0000-000064790000}"/>
    <cellStyle name="Normal 7 2 2 4 2 2 2 2 3" xfId="31051" xr:uid="{00000000-0005-0000-0000-000065790000}"/>
    <cellStyle name="Normal 7 2 2 4 2 2 2 3" xfId="31052" xr:uid="{00000000-0005-0000-0000-000066790000}"/>
    <cellStyle name="Normal 7 2 2 4 2 2 2 4" xfId="31053" xr:uid="{00000000-0005-0000-0000-000067790000}"/>
    <cellStyle name="Normal 7 2 2 4 2 2 3" xfId="31054" xr:uid="{00000000-0005-0000-0000-000068790000}"/>
    <cellStyle name="Normal 7 2 2 4 2 2 3 2" xfId="31055" xr:uid="{00000000-0005-0000-0000-000069790000}"/>
    <cellStyle name="Normal 7 2 2 4 2 2 3 3" xfId="31056" xr:uid="{00000000-0005-0000-0000-00006A790000}"/>
    <cellStyle name="Normal 7 2 2 4 2 2 4" xfId="31057" xr:uid="{00000000-0005-0000-0000-00006B790000}"/>
    <cellStyle name="Normal 7 2 2 4 2 2 5" xfId="31058" xr:uid="{00000000-0005-0000-0000-00006C790000}"/>
    <cellStyle name="Normal 7 2 2 4 2 2 6" xfId="31059" xr:uid="{00000000-0005-0000-0000-00006D790000}"/>
    <cellStyle name="Normal 7 2 2 4 2 3" xfId="31060" xr:uid="{00000000-0005-0000-0000-00006E790000}"/>
    <cellStyle name="Normal 7 2 2 4 2 3 2" xfId="31061" xr:uid="{00000000-0005-0000-0000-00006F790000}"/>
    <cellStyle name="Normal 7 2 2 4 2 3 2 2" xfId="31062" xr:uid="{00000000-0005-0000-0000-000070790000}"/>
    <cellStyle name="Normal 7 2 2 4 2 3 2 3" xfId="31063" xr:uid="{00000000-0005-0000-0000-000071790000}"/>
    <cellStyle name="Normal 7 2 2 4 2 3 3" xfId="31064" xr:uid="{00000000-0005-0000-0000-000072790000}"/>
    <cellStyle name="Normal 7 2 2 4 2 3 4" xfId="31065" xr:uid="{00000000-0005-0000-0000-000073790000}"/>
    <cellStyle name="Normal 7 2 2 4 2 4" xfId="31066" xr:uid="{00000000-0005-0000-0000-000074790000}"/>
    <cellStyle name="Normal 7 2 2 4 2 4 2" xfId="31067" xr:uid="{00000000-0005-0000-0000-000075790000}"/>
    <cellStyle name="Normal 7 2 2 4 2 4 3" xfId="31068" xr:uid="{00000000-0005-0000-0000-000076790000}"/>
    <cellStyle name="Normal 7 2 2 4 2 5" xfId="31069" xr:uid="{00000000-0005-0000-0000-000077790000}"/>
    <cellStyle name="Normal 7 2 2 4 2 6" xfId="31070" xr:uid="{00000000-0005-0000-0000-000078790000}"/>
    <cellStyle name="Normal 7 2 2 4 2 7" xfId="31071" xr:uid="{00000000-0005-0000-0000-000079790000}"/>
    <cellStyle name="Normal 7 2 2 4 3" xfId="31072" xr:uid="{00000000-0005-0000-0000-00007A790000}"/>
    <cellStyle name="Normal 7 2 2 4 3 2" xfId="31073" xr:uid="{00000000-0005-0000-0000-00007B790000}"/>
    <cellStyle name="Normal 7 2 2 4 3 2 2" xfId="31074" xr:uid="{00000000-0005-0000-0000-00007C790000}"/>
    <cellStyle name="Normal 7 2 2 4 3 2 2 2" xfId="31075" xr:uid="{00000000-0005-0000-0000-00007D790000}"/>
    <cellStyle name="Normal 7 2 2 4 3 2 2 3" xfId="31076" xr:uid="{00000000-0005-0000-0000-00007E790000}"/>
    <cellStyle name="Normal 7 2 2 4 3 2 3" xfId="31077" xr:uid="{00000000-0005-0000-0000-00007F790000}"/>
    <cellStyle name="Normal 7 2 2 4 3 2 4" xfId="31078" xr:uid="{00000000-0005-0000-0000-000080790000}"/>
    <cellStyle name="Normal 7 2 2 4 3 3" xfId="31079" xr:uid="{00000000-0005-0000-0000-000081790000}"/>
    <cellStyle name="Normal 7 2 2 4 3 3 2" xfId="31080" xr:uid="{00000000-0005-0000-0000-000082790000}"/>
    <cellStyle name="Normal 7 2 2 4 3 3 3" xfId="31081" xr:uid="{00000000-0005-0000-0000-000083790000}"/>
    <cellStyle name="Normal 7 2 2 4 3 4" xfId="31082" xr:uid="{00000000-0005-0000-0000-000084790000}"/>
    <cellStyle name="Normal 7 2 2 4 3 5" xfId="31083" xr:uid="{00000000-0005-0000-0000-000085790000}"/>
    <cellStyle name="Normal 7 2 2 4 3 6" xfId="31084" xr:uid="{00000000-0005-0000-0000-000086790000}"/>
    <cellStyle name="Normal 7 2 2 4 4" xfId="31085" xr:uid="{00000000-0005-0000-0000-000087790000}"/>
    <cellStyle name="Normal 7 2 2 4 4 2" xfId="31086" xr:uid="{00000000-0005-0000-0000-000088790000}"/>
    <cellStyle name="Normal 7 2 2 4 4 2 2" xfId="31087" xr:uid="{00000000-0005-0000-0000-000089790000}"/>
    <cellStyle name="Normal 7 2 2 4 4 2 3" xfId="31088" xr:uid="{00000000-0005-0000-0000-00008A790000}"/>
    <cellStyle name="Normal 7 2 2 4 4 3" xfId="31089" xr:uid="{00000000-0005-0000-0000-00008B790000}"/>
    <cellStyle name="Normal 7 2 2 4 4 4" xfId="31090" xr:uid="{00000000-0005-0000-0000-00008C790000}"/>
    <cellStyle name="Normal 7 2 2 4 5" xfId="31091" xr:uid="{00000000-0005-0000-0000-00008D790000}"/>
    <cellStyle name="Normal 7 2 2 4 5 2" xfId="31092" xr:uid="{00000000-0005-0000-0000-00008E790000}"/>
    <cellStyle name="Normal 7 2 2 4 5 3" xfId="31093" xr:uid="{00000000-0005-0000-0000-00008F790000}"/>
    <cellStyle name="Normal 7 2 2 4 6" xfId="31094" xr:uid="{00000000-0005-0000-0000-000090790000}"/>
    <cellStyle name="Normal 7 2 2 4 7" xfId="31095" xr:uid="{00000000-0005-0000-0000-000091790000}"/>
    <cellStyle name="Normal 7 2 2 4 8" xfId="31096" xr:uid="{00000000-0005-0000-0000-000092790000}"/>
    <cellStyle name="Normal 7 2 2 5" xfId="31097" xr:uid="{00000000-0005-0000-0000-000093790000}"/>
    <cellStyle name="Normal 7 2 2 5 2" xfId="31098" xr:uid="{00000000-0005-0000-0000-000094790000}"/>
    <cellStyle name="Normal 7 2 2 5 2 2" xfId="31099" xr:uid="{00000000-0005-0000-0000-000095790000}"/>
    <cellStyle name="Normal 7 2 2 5 2 2 2" xfId="31100" xr:uid="{00000000-0005-0000-0000-000096790000}"/>
    <cellStyle name="Normal 7 2 2 5 2 2 2 2" xfId="31101" xr:uid="{00000000-0005-0000-0000-000097790000}"/>
    <cellStyle name="Normal 7 2 2 5 2 2 2 3" xfId="31102" xr:uid="{00000000-0005-0000-0000-000098790000}"/>
    <cellStyle name="Normal 7 2 2 5 2 2 3" xfId="31103" xr:uid="{00000000-0005-0000-0000-000099790000}"/>
    <cellStyle name="Normal 7 2 2 5 2 2 4" xfId="31104" xr:uid="{00000000-0005-0000-0000-00009A790000}"/>
    <cellStyle name="Normal 7 2 2 5 2 3" xfId="31105" xr:uid="{00000000-0005-0000-0000-00009B790000}"/>
    <cellStyle name="Normal 7 2 2 5 2 3 2" xfId="31106" xr:uid="{00000000-0005-0000-0000-00009C790000}"/>
    <cellStyle name="Normal 7 2 2 5 2 3 3" xfId="31107" xr:uid="{00000000-0005-0000-0000-00009D790000}"/>
    <cellStyle name="Normal 7 2 2 5 2 4" xfId="31108" xr:uid="{00000000-0005-0000-0000-00009E790000}"/>
    <cellStyle name="Normal 7 2 2 5 2 5" xfId="31109" xr:uid="{00000000-0005-0000-0000-00009F790000}"/>
    <cellStyle name="Normal 7 2 2 5 2 6" xfId="31110" xr:uid="{00000000-0005-0000-0000-0000A0790000}"/>
    <cellStyle name="Normal 7 2 2 5 3" xfId="31111" xr:uid="{00000000-0005-0000-0000-0000A1790000}"/>
    <cellStyle name="Normal 7 2 2 5 3 2" xfId="31112" xr:uid="{00000000-0005-0000-0000-0000A2790000}"/>
    <cellStyle name="Normal 7 2 2 5 3 2 2" xfId="31113" xr:uid="{00000000-0005-0000-0000-0000A3790000}"/>
    <cellStyle name="Normal 7 2 2 5 3 2 3" xfId="31114" xr:uid="{00000000-0005-0000-0000-0000A4790000}"/>
    <cellStyle name="Normal 7 2 2 5 3 3" xfId="31115" xr:uid="{00000000-0005-0000-0000-0000A5790000}"/>
    <cellStyle name="Normal 7 2 2 5 3 4" xfId="31116" xr:uid="{00000000-0005-0000-0000-0000A6790000}"/>
    <cellStyle name="Normal 7 2 2 5 4" xfId="31117" xr:uid="{00000000-0005-0000-0000-0000A7790000}"/>
    <cellStyle name="Normal 7 2 2 5 4 2" xfId="31118" xr:uid="{00000000-0005-0000-0000-0000A8790000}"/>
    <cellStyle name="Normal 7 2 2 5 4 3" xfId="31119" xr:uid="{00000000-0005-0000-0000-0000A9790000}"/>
    <cellStyle name="Normal 7 2 2 5 5" xfId="31120" xr:uid="{00000000-0005-0000-0000-0000AA790000}"/>
    <cellStyle name="Normal 7 2 2 5 6" xfId="31121" xr:uid="{00000000-0005-0000-0000-0000AB790000}"/>
    <cellStyle name="Normal 7 2 2 5 7" xfId="31122" xr:uid="{00000000-0005-0000-0000-0000AC790000}"/>
    <cellStyle name="Normal 7 2 2 6" xfId="31123" xr:uid="{00000000-0005-0000-0000-0000AD790000}"/>
    <cellStyle name="Normal 7 2 2 6 2" xfId="31124" xr:uid="{00000000-0005-0000-0000-0000AE790000}"/>
    <cellStyle name="Normal 7 2 2 6 2 2" xfId="31125" xr:uid="{00000000-0005-0000-0000-0000AF790000}"/>
    <cellStyle name="Normal 7 2 2 6 2 2 2" xfId="31126" xr:uid="{00000000-0005-0000-0000-0000B0790000}"/>
    <cellStyle name="Normal 7 2 2 6 2 2 3" xfId="31127" xr:uid="{00000000-0005-0000-0000-0000B1790000}"/>
    <cellStyle name="Normal 7 2 2 6 2 3" xfId="31128" xr:uid="{00000000-0005-0000-0000-0000B2790000}"/>
    <cellStyle name="Normal 7 2 2 6 2 4" xfId="31129" xr:uid="{00000000-0005-0000-0000-0000B3790000}"/>
    <cellStyle name="Normal 7 2 2 6 3" xfId="31130" xr:uid="{00000000-0005-0000-0000-0000B4790000}"/>
    <cellStyle name="Normal 7 2 2 6 3 2" xfId="31131" xr:uid="{00000000-0005-0000-0000-0000B5790000}"/>
    <cellStyle name="Normal 7 2 2 6 3 3" xfId="31132" xr:uid="{00000000-0005-0000-0000-0000B6790000}"/>
    <cellStyle name="Normal 7 2 2 6 4" xfId="31133" xr:uid="{00000000-0005-0000-0000-0000B7790000}"/>
    <cellStyle name="Normal 7 2 2 6 5" xfId="31134" xr:uid="{00000000-0005-0000-0000-0000B8790000}"/>
    <cellStyle name="Normal 7 2 2 6 6" xfId="31135" xr:uid="{00000000-0005-0000-0000-0000B9790000}"/>
    <cellStyle name="Normal 7 2 2 7" xfId="31136" xr:uid="{00000000-0005-0000-0000-0000BA790000}"/>
    <cellStyle name="Normal 7 2 2 7 2" xfId="31137" xr:uid="{00000000-0005-0000-0000-0000BB790000}"/>
    <cellStyle name="Normal 7 2 2 7 2 2" xfId="31138" xr:uid="{00000000-0005-0000-0000-0000BC790000}"/>
    <cellStyle name="Normal 7 2 2 7 2 3" xfId="31139" xr:uid="{00000000-0005-0000-0000-0000BD790000}"/>
    <cellStyle name="Normal 7 2 2 7 3" xfId="31140" xr:uid="{00000000-0005-0000-0000-0000BE790000}"/>
    <cellStyle name="Normal 7 2 2 7 4" xfId="31141" xr:uid="{00000000-0005-0000-0000-0000BF790000}"/>
    <cellStyle name="Normal 7 2 2 8" xfId="31142" xr:uid="{00000000-0005-0000-0000-0000C0790000}"/>
    <cellStyle name="Normal 7 2 2 8 2" xfId="31143" xr:uid="{00000000-0005-0000-0000-0000C1790000}"/>
    <cellStyle name="Normal 7 2 2 8 3" xfId="31144" xr:uid="{00000000-0005-0000-0000-0000C2790000}"/>
    <cellStyle name="Normal 7 2 2 9" xfId="31145" xr:uid="{00000000-0005-0000-0000-0000C3790000}"/>
    <cellStyle name="Normal 7 2 3" xfId="31146" xr:uid="{00000000-0005-0000-0000-0000C4790000}"/>
    <cellStyle name="Normal 7 2 3 10" xfId="31147" xr:uid="{00000000-0005-0000-0000-0000C5790000}"/>
    <cellStyle name="Normal 7 2 3 2" xfId="31148" xr:uid="{00000000-0005-0000-0000-0000C6790000}"/>
    <cellStyle name="Normal 7 2 3 2 2" xfId="31149" xr:uid="{00000000-0005-0000-0000-0000C7790000}"/>
    <cellStyle name="Normal 7 2 3 2 2 2" xfId="31150" xr:uid="{00000000-0005-0000-0000-0000C8790000}"/>
    <cellStyle name="Normal 7 2 3 2 2 2 2" xfId="31151" xr:uid="{00000000-0005-0000-0000-0000C9790000}"/>
    <cellStyle name="Normal 7 2 3 2 2 2 2 2" xfId="31152" xr:uid="{00000000-0005-0000-0000-0000CA790000}"/>
    <cellStyle name="Normal 7 2 3 2 2 2 2 2 2" xfId="31153" xr:uid="{00000000-0005-0000-0000-0000CB790000}"/>
    <cellStyle name="Normal 7 2 3 2 2 2 2 2 2 2" xfId="31154" xr:uid="{00000000-0005-0000-0000-0000CC790000}"/>
    <cellStyle name="Normal 7 2 3 2 2 2 2 2 2 3" xfId="31155" xr:uid="{00000000-0005-0000-0000-0000CD790000}"/>
    <cellStyle name="Normal 7 2 3 2 2 2 2 2 3" xfId="31156" xr:uid="{00000000-0005-0000-0000-0000CE790000}"/>
    <cellStyle name="Normal 7 2 3 2 2 2 2 2 4" xfId="31157" xr:uid="{00000000-0005-0000-0000-0000CF790000}"/>
    <cellStyle name="Normal 7 2 3 2 2 2 2 3" xfId="31158" xr:uid="{00000000-0005-0000-0000-0000D0790000}"/>
    <cellStyle name="Normal 7 2 3 2 2 2 2 3 2" xfId="31159" xr:uid="{00000000-0005-0000-0000-0000D1790000}"/>
    <cellStyle name="Normal 7 2 3 2 2 2 2 3 3" xfId="31160" xr:uid="{00000000-0005-0000-0000-0000D2790000}"/>
    <cellStyle name="Normal 7 2 3 2 2 2 2 4" xfId="31161" xr:uid="{00000000-0005-0000-0000-0000D3790000}"/>
    <cellStyle name="Normal 7 2 3 2 2 2 2 5" xfId="31162" xr:uid="{00000000-0005-0000-0000-0000D4790000}"/>
    <cellStyle name="Normal 7 2 3 2 2 2 2 6" xfId="31163" xr:uid="{00000000-0005-0000-0000-0000D5790000}"/>
    <cellStyle name="Normal 7 2 3 2 2 2 3" xfId="31164" xr:uid="{00000000-0005-0000-0000-0000D6790000}"/>
    <cellStyle name="Normal 7 2 3 2 2 2 3 2" xfId="31165" xr:uid="{00000000-0005-0000-0000-0000D7790000}"/>
    <cellStyle name="Normal 7 2 3 2 2 2 3 2 2" xfId="31166" xr:uid="{00000000-0005-0000-0000-0000D8790000}"/>
    <cellStyle name="Normal 7 2 3 2 2 2 3 2 3" xfId="31167" xr:uid="{00000000-0005-0000-0000-0000D9790000}"/>
    <cellStyle name="Normal 7 2 3 2 2 2 3 3" xfId="31168" xr:uid="{00000000-0005-0000-0000-0000DA790000}"/>
    <cellStyle name="Normal 7 2 3 2 2 2 3 4" xfId="31169" xr:uid="{00000000-0005-0000-0000-0000DB790000}"/>
    <cellStyle name="Normal 7 2 3 2 2 2 4" xfId="31170" xr:uid="{00000000-0005-0000-0000-0000DC790000}"/>
    <cellStyle name="Normal 7 2 3 2 2 2 4 2" xfId="31171" xr:uid="{00000000-0005-0000-0000-0000DD790000}"/>
    <cellStyle name="Normal 7 2 3 2 2 2 4 3" xfId="31172" xr:uid="{00000000-0005-0000-0000-0000DE790000}"/>
    <cellStyle name="Normal 7 2 3 2 2 2 5" xfId="31173" xr:uid="{00000000-0005-0000-0000-0000DF790000}"/>
    <cellStyle name="Normal 7 2 3 2 2 2 6" xfId="31174" xr:uid="{00000000-0005-0000-0000-0000E0790000}"/>
    <cellStyle name="Normal 7 2 3 2 2 2 7" xfId="31175" xr:uid="{00000000-0005-0000-0000-0000E1790000}"/>
    <cellStyle name="Normal 7 2 3 2 2 3" xfId="31176" xr:uid="{00000000-0005-0000-0000-0000E2790000}"/>
    <cellStyle name="Normal 7 2 3 2 2 3 2" xfId="31177" xr:uid="{00000000-0005-0000-0000-0000E3790000}"/>
    <cellStyle name="Normal 7 2 3 2 2 3 2 2" xfId="31178" xr:uid="{00000000-0005-0000-0000-0000E4790000}"/>
    <cellStyle name="Normal 7 2 3 2 2 3 2 2 2" xfId="31179" xr:uid="{00000000-0005-0000-0000-0000E5790000}"/>
    <cellStyle name="Normal 7 2 3 2 2 3 2 2 3" xfId="31180" xr:uid="{00000000-0005-0000-0000-0000E6790000}"/>
    <cellStyle name="Normal 7 2 3 2 2 3 2 3" xfId="31181" xr:uid="{00000000-0005-0000-0000-0000E7790000}"/>
    <cellStyle name="Normal 7 2 3 2 2 3 2 4" xfId="31182" xr:uid="{00000000-0005-0000-0000-0000E8790000}"/>
    <cellStyle name="Normal 7 2 3 2 2 3 3" xfId="31183" xr:uid="{00000000-0005-0000-0000-0000E9790000}"/>
    <cellStyle name="Normal 7 2 3 2 2 3 3 2" xfId="31184" xr:uid="{00000000-0005-0000-0000-0000EA790000}"/>
    <cellStyle name="Normal 7 2 3 2 2 3 3 3" xfId="31185" xr:uid="{00000000-0005-0000-0000-0000EB790000}"/>
    <cellStyle name="Normal 7 2 3 2 2 3 4" xfId="31186" xr:uid="{00000000-0005-0000-0000-0000EC790000}"/>
    <cellStyle name="Normal 7 2 3 2 2 3 5" xfId="31187" xr:uid="{00000000-0005-0000-0000-0000ED790000}"/>
    <cellStyle name="Normal 7 2 3 2 2 3 6" xfId="31188" xr:uid="{00000000-0005-0000-0000-0000EE790000}"/>
    <cellStyle name="Normal 7 2 3 2 2 4" xfId="31189" xr:uid="{00000000-0005-0000-0000-0000EF790000}"/>
    <cellStyle name="Normal 7 2 3 2 2 4 2" xfId="31190" xr:uid="{00000000-0005-0000-0000-0000F0790000}"/>
    <cellStyle name="Normal 7 2 3 2 2 4 2 2" xfId="31191" xr:uid="{00000000-0005-0000-0000-0000F1790000}"/>
    <cellStyle name="Normal 7 2 3 2 2 4 2 3" xfId="31192" xr:uid="{00000000-0005-0000-0000-0000F2790000}"/>
    <cellStyle name="Normal 7 2 3 2 2 4 3" xfId="31193" xr:uid="{00000000-0005-0000-0000-0000F3790000}"/>
    <cellStyle name="Normal 7 2 3 2 2 4 4" xfId="31194" xr:uid="{00000000-0005-0000-0000-0000F4790000}"/>
    <cellStyle name="Normal 7 2 3 2 2 5" xfId="31195" xr:uid="{00000000-0005-0000-0000-0000F5790000}"/>
    <cellStyle name="Normal 7 2 3 2 2 5 2" xfId="31196" xr:uid="{00000000-0005-0000-0000-0000F6790000}"/>
    <cellStyle name="Normal 7 2 3 2 2 5 3" xfId="31197" xr:uid="{00000000-0005-0000-0000-0000F7790000}"/>
    <cellStyle name="Normal 7 2 3 2 2 6" xfId="31198" xr:uid="{00000000-0005-0000-0000-0000F8790000}"/>
    <cellStyle name="Normal 7 2 3 2 2 7" xfId="31199" xr:uid="{00000000-0005-0000-0000-0000F9790000}"/>
    <cellStyle name="Normal 7 2 3 2 2 8" xfId="31200" xr:uid="{00000000-0005-0000-0000-0000FA790000}"/>
    <cellStyle name="Normal 7 2 3 2 3" xfId="31201" xr:uid="{00000000-0005-0000-0000-0000FB790000}"/>
    <cellStyle name="Normal 7 2 3 2 3 2" xfId="31202" xr:uid="{00000000-0005-0000-0000-0000FC790000}"/>
    <cellStyle name="Normal 7 2 3 2 3 2 2" xfId="31203" xr:uid="{00000000-0005-0000-0000-0000FD790000}"/>
    <cellStyle name="Normal 7 2 3 2 3 2 2 2" xfId="31204" xr:uid="{00000000-0005-0000-0000-0000FE790000}"/>
    <cellStyle name="Normal 7 2 3 2 3 2 2 2 2" xfId="31205" xr:uid="{00000000-0005-0000-0000-0000FF790000}"/>
    <cellStyle name="Normal 7 2 3 2 3 2 2 2 3" xfId="31206" xr:uid="{00000000-0005-0000-0000-0000007A0000}"/>
    <cellStyle name="Normal 7 2 3 2 3 2 2 3" xfId="31207" xr:uid="{00000000-0005-0000-0000-0000017A0000}"/>
    <cellStyle name="Normal 7 2 3 2 3 2 2 4" xfId="31208" xr:uid="{00000000-0005-0000-0000-0000027A0000}"/>
    <cellStyle name="Normal 7 2 3 2 3 2 3" xfId="31209" xr:uid="{00000000-0005-0000-0000-0000037A0000}"/>
    <cellStyle name="Normal 7 2 3 2 3 2 3 2" xfId="31210" xr:uid="{00000000-0005-0000-0000-0000047A0000}"/>
    <cellStyle name="Normal 7 2 3 2 3 2 3 3" xfId="31211" xr:uid="{00000000-0005-0000-0000-0000057A0000}"/>
    <cellStyle name="Normal 7 2 3 2 3 2 4" xfId="31212" xr:uid="{00000000-0005-0000-0000-0000067A0000}"/>
    <cellStyle name="Normal 7 2 3 2 3 2 5" xfId="31213" xr:uid="{00000000-0005-0000-0000-0000077A0000}"/>
    <cellStyle name="Normal 7 2 3 2 3 2 6" xfId="31214" xr:uid="{00000000-0005-0000-0000-0000087A0000}"/>
    <cellStyle name="Normal 7 2 3 2 3 3" xfId="31215" xr:uid="{00000000-0005-0000-0000-0000097A0000}"/>
    <cellStyle name="Normal 7 2 3 2 3 3 2" xfId="31216" xr:uid="{00000000-0005-0000-0000-00000A7A0000}"/>
    <cellStyle name="Normal 7 2 3 2 3 3 2 2" xfId="31217" xr:uid="{00000000-0005-0000-0000-00000B7A0000}"/>
    <cellStyle name="Normal 7 2 3 2 3 3 2 3" xfId="31218" xr:uid="{00000000-0005-0000-0000-00000C7A0000}"/>
    <cellStyle name="Normal 7 2 3 2 3 3 3" xfId="31219" xr:uid="{00000000-0005-0000-0000-00000D7A0000}"/>
    <cellStyle name="Normal 7 2 3 2 3 3 4" xfId="31220" xr:uid="{00000000-0005-0000-0000-00000E7A0000}"/>
    <cellStyle name="Normal 7 2 3 2 3 4" xfId="31221" xr:uid="{00000000-0005-0000-0000-00000F7A0000}"/>
    <cellStyle name="Normal 7 2 3 2 3 4 2" xfId="31222" xr:uid="{00000000-0005-0000-0000-0000107A0000}"/>
    <cellStyle name="Normal 7 2 3 2 3 4 3" xfId="31223" xr:uid="{00000000-0005-0000-0000-0000117A0000}"/>
    <cellStyle name="Normal 7 2 3 2 3 5" xfId="31224" xr:uid="{00000000-0005-0000-0000-0000127A0000}"/>
    <cellStyle name="Normal 7 2 3 2 3 6" xfId="31225" xr:uid="{00000000-0005-0000-0000-0000137A0000}"/>
    <cellStyle name="Normal 7 2 3 2 3 7" xfId="31226" xr:uid="{00000000-0005-0000-0000-0000147A0000}"/>
    <cellStyle name="Normal 7 2 3 2 4" xfId="31227" xr:uid="{00000000-0005-0000-0000-0000157A0000}"/>
    <cellStyle name="Normal 7 2 3 2 4 2" xfId="31228" xr:uid="{00000000-0005-0000-0000-0000167A0000}"/>
    <cellStyle name="Normal 7 2 3 2 4 2 2" xfId="31229" xr:uid="{00000000-0005-0000-0000-0000177A0000}"/>
    <cellStyle name="Normal 7 2 3 2 4 2 2 2" xfId="31230" xr:uid="{00000000-0005-0000-0000-0000187A0000}"/>
    <cellStyle name="Normal 7 2 3 2 4 2 2 3" xfId="31231" xr:uid="{00000000-0005-0000-0000-0000197A0000}"/>
    <cellStyle name="Normal 7 2 3 2 4 2 3" xfId="31232" xr:uid="{00000000-0005-0000-0000-00001A7A0000}"/>
    <cellStyle name="Normal 7 2 3 2 4 2 4" xfId="31233" xr:uid="{00000000-0005-0000-0000-00001B7A0000}"/>
    <cellStyle name="Normal 7 2 3 2 4 3" xfId="31234" xr:uid="{00000000-0005-0000-0000-00001C7A0000}"/>
    <cellStyle name="Normal 7 2 3 2 4 3 2" xfId="31235" xr:uid="{00000000-0005-0000-0000-00001D7A0000}"/>
    <cellStyle name="Normal 7 2 3 2 4 3 3" xfId="31236" xr:uid="{00000000-0005-0000-0000-00001E7A0000}"/>
    <cellStyle name="Normal 7 2 3 2 4 4" xfId="31237" xr:uid="{00000000-0005-0000-0000-00001F7A0000}"/>
    <cellStyle name="Normal 7 2 3 2 4 5" xfId="31238" xr:uid="{00000000-0005-0000-0000-0000207A0000}"/>
    <cellStyle name="Normal 7 2 3 2 4 6" xfId="31239" xr:uid="{00000000-0005-0000-0000-0000217A0000}"/>
    <cellStyle name="Normal 7 2 3 2 5" xfId="31240" xr:uid="{00000000-0005-0000-0000-0000227A0000}"/>
    <cellStyle name="Normal 7 2 3 2 5 2" xfId="31241" xr:uid="{00000000-0005-0000-0000-0000237A0000}"/>
    <cellStyle name="Normal 7 2 3 2 5 2 2" xfId="31242" xr:uid="{00000000-0005-0000-0000-0000247A0000}"/>
    <cellStyle name="Normal 7 2 3 2 5 2 3" xfId="31243" xr:uid="{00000000-0005-0000-0000-0000257A0000}"/>
    <cellStyle name="Normal 7 2 3 2 5 3" xfId="31244" xr:uid="{00000000-0005-0000-0000-0000267A0000}"/>
    <cellStyle name="Normal 7 2 3 2 5 4" xfId="31245" xr:uid="{00000000-0005-0000-0000-0000277A0000}"/>
    <cellStyle name="Normal 7 2 3 2 6" xfId="31246" xr:uid="{00000000-0005-0000-0000-0000287A0000}"/>
    <cellStyle name="Normal 7 2 3 2 6 2" xfId="31247" xr:uid="{00000000-0005-0000-0000-0000297A0000}"/>
    <cellStyle name="Normal 7 2 3 2 6 3" xfId="31248" xr:uid="{00000000-0005-0000-0000-00002A7A0000}"/>
    <cellStyle name="Normal 7 2 3 2 7" xfId="31249" xr:uid="{00000000-0005-0000-0000-00002B7A0000}"/>
    <cellStyle name="Normal 7 2 3 2 8" xfId="31250" xr:uid="{00000000-0005-0000-0000-00002C7A0000}"/>
    <cellStyle name="Normal 7 2 3 2 9" xfId="31251" xr:uid="{00000000-0005-0000-0000-00002D7A0000}"/>
    <cellStyle name="Normal 7 2 3 3" xfId="31252" xr:uid="{00000000-0005-0000-0000-00002E7A0000}"/>
    <cellStyle name="Normal 7 2 3 3 2" xfId="31253" xr:uid="{00000000-0005-0000-0000-00002F7A0000}"/>
    <cellStyle name="Normal 7 2 3 3 2 2" xfId="31254" xr:uid="{00000000-0005-0000-0000-0000307A0000}"/>
    <cellStyle name="Normal 7 2 3 3 2 2 2" xfId="31255" xr:uid="{00000000-0005-0000-0000-0000317A0000}"/>
    <cellStyle name="Normal 7 2 3 3 2 2 2 2" xfId="31256" xr:uid="{00000000-0005-0000-0000-0000327A0000}"/>
    <cellStyle name="Normal 7 2 3 3 2 2 2 2 2" xfId="31257" xr:uid="{00000000-0005-0000-0000-0000337A0000}"/>
    <cellStyle name="Normal 7 2 3 3 2 2 2 2 3" xfId="31258" xr:uid="{00000000-0005-0000-0000-0000347A0000}"/>
    <cellStyle name="Normal 7 2 3 3 2 2 2 3" xfId="31259" xr:uid="{00000000-0005-0000-0000-0000357A0000}"/>
    <cellStyle name="Normal 7 2 3 3 2 2 2 4" xfId="31260" xr:uid="{00000000-0005-0000-0000-0000367A0000}"/>
    <cellStyle name="Normal 7 2 3 3 2 2 3" xfId="31261" xr:uid="{00000000-0005-0000-0000-0000377A0000}"/>
    <cellStyle name="Normal 7 2 3 3 2 2 3 2" xfId="31262" xr:uid="{00000000-0005-0000-0000-0000387A0000}"/>
    <cellStyle name="Normal 7 2 3 3 2 2 3 3" xfId="31263" xr:uid="{00000000-0005-0000-0000-0000397A0000}"/>
    <cellStyle name="Normal 7 2 3 3 2 2 4" xfId="31264" xr:uid="{00000000-0005-0000-0000-00003A7A0000}"/>
    <cellStyle name="Normal 7 2 3 3 2 2 5" xfId="31265" xr:uid="{00000000-0005-0000-0000-00003B7A0000}"/>
    <cellStyle name="Normal 7 2 3 3 2 2 6" xfId="31266" xr:uid="{00000000-0005-0000-0000-00003C7A0000}"/>
    <cellStyle name="Normal 7 2 3 3 2 3" xfId="31267" xr:uid="{00000000-0005-0000-0000-00003D7A0000}"/>
    <cellStyle name="Normal 7 2 3 3 2 3 2" xfId="31268" xr:uid="{00000000-0005-0000-0000-00003E7A0000}"/>
    <cellStyle name="Normal 7 2 3 3 2 3 2 2" xfId="31269" xr:uid="{00000000-0005-0000-0000-00003F7A0000}"/>
    <cellStyle name="Normal 7 2 3 3 2 3 2 3" xfId="31270" xr:uid="{00000000-0005-0000-0000-0000407A0000}"/>
    <cellStyle name="Normal 7 2 3 3 2 3 3" xfId="31271" xr:uid="{00000000-0005-0000-0000-0000417A0000}"/>
    <cellStyle name="Normal 7 2 3 3 2 3 4" xfId="31272" xr:uid="{00000000-0005-0000-0000-0000427A0000}"/>
    <cellStyle name="Normal 7 2 3 3 2 4" xfId="31273" xr:uid="{00000000-0005-0000-0000-0000437A0000}"/>
    <cellStyle name="Normal 7 2 3 3 2 4 2" xfId="31274" xr:uid="{00000000-0005-0000-0000-0000447A0000}"/>
    <cellStyle name="Normal 7 2 3 3 2 4 3" xfId="31275" xr:uid="{00000000-0005-0000-0000-0000457A0000}"/>
    <cellStyle name="Normal 7 2 3 3 2 5" xfId="31276" xr:uid="{00000000-0005-0000-0000-0000467A0000}"/>
    <cellStyle name="Normal 7 2 3 3 2 6" xfId="31277" xr:uid="{00000000-0005-0000-0000-0000477A0000}"/>
    <cellStyle name="Normal 7 2 3 3 2 7" xfId="31278" xr:uid="{00000000-0005-0000-0000-0000487A0000}"/>
    <cellStyle name="Normal 7 2 3 3 3" xfId="31279" xr:uid="{00000000-0005-0000-0000-0000497A0000}"/>
    <cellStyle name="Normal 7 2 3 3 3 2" xfId="31280" xr:uid="{00000000-0005-0000-0000-00004A7A0000}"/>
    <cellStyle name="Normal 7 2 3 3 3 2 2" xfId="31281" xr:uid="{00000000-0005-0000-0000-00004B7A0000}"/>
    <cellStyle name="Normal 7 2 3 3 3 2 2 2" xfId="31282" xr:uid="{00000000-0005-0000-0000-00004C7A0000}"/>
    <cellStyle name="Normal 7 2 3 3 3 2 2 3" xfId="31283" xr:uid="{00000000-0005-0000-0000-00004D7A0000}"/>
    <cellStyle name="Normal 7 2 3 3 3 2 3" xfId="31284" xr:uid="{00000000-0005-0000-0000-00004E7A0000}"/>
    <cellStyle name="Normal 7 2 3 3 3 2 4" xfId="31285" xr:uid="{00000000-0005-0000-0000-00004F7A0000}"/>
    <cellStyle name="Normal 7 2 3 3 3 3" xfId="31286" xr:uid="{00000000-0005-0000-0000-0000507A0000}"/>
    <cellStyle name="Normal 7 2 3 3 3 3 2" xfId="31287" xr:uid="{00000000-0005-0000-0000-0000517A0000}"/>
    <cellStyle name="Normal 7 2 3 3 3 3 3" xfId="31288" xr:uid="{00000000-0005-0000-0000-0000527A0000}"/>
    <cellStyle name="Normal 7 2 3 3 3 4" xfId="31289" xr:uid="{00000000-0005-0000-0000-0000537A0000}"/>
    <cellStyle name="Normal 7 2 3 3 3 5" xfId="31290" xr:uid="{00000000-0005-0000-0000-0000547A0000}"/>
    <cellStyle name="Normal 7 2 3 3 3 6" xfId="31291" xr:uid="{00000000-0005-0000-0000-0000557A0000}"/>
    <cellStyle name="Normal 7 2 3 3 4" xfId="31292" xr:uid="{00000000-0005-0000-0000-0000567A0000}"/>
    <cellStyle name="Normal 7 2 3 3 4 2" xfId="31293" xr:uid="{00000000-0005-0000-0000-0000577A0000}"/>
    <cellStyle name="Normal 7 2 3 3 4 2 2" xfId="31294" xr:uid="{00000000-0005-0000-0000-0000587A0000}"/>
    <cellStyle name="Normal 7 2 3 3 4 2 3" xfId="31295" xr:uid="{00000000-0005-0000-0000-0000597A0000}"/>
    <cellStyle name="Normal 7 2 3 3 4 3" xfId="31296" xr:uid="{00000000-0005-0000-0000-00005A7A0000}"/>
    <cellStyle name="Normal 7 2 3 3 4 4" xfId="31297" xr:uid="{00000000-0005-0000-0000-00005B7A0000}"/>
    <cellStyle name="Normal 7 2 3 3 5" xfId="31298" xr:uid="{00000000-0005-0000-0000-00005C7A0000}"/>
    <cellStyle name="Normal 7 2 3 3 5 2" xfId="31299" xr:uid="{00000000-0005-0000-0000-00005D7A0000}"/>
    <cellStyle name="Normal 7 2 3 3 5 3" xfId="31300" xr:uid="{00000000-0005-0000-0000-00005E7A0000}"/>
    <cellStyle name="Normal 7 2 3 3 6" xfId="31301" xr:uid="{00000000-0005-0000-0000-00005F7A0000}"/>
    <cellStyle name="Normal 7 2 3 3 7" xfId="31302" xr:uid="{00000000-0005-0000-0000-0000607A0000}"/>
    <cellStyle name="Normal 7 2 3 3 8" xfId="31303" xr:uid="{00000000-0005-0000-0000-0000617A0000}"/>
    <cellStyle name="Normal 7 2 3 4" xfId="31304" xr:uid="{00000000-0005-0000-0000-0000627A0000}"/>
    <cellStyle name="Normal 7 2 3 4 2" xfId="31305" xr:uid="{00000000-0005-0000-0000-0000637A0000}"/>
    <cellStyle name="Normal 7 2 3 4 2 2" xfId="31306" xr:uid="{00000000-0005-0000-0000-0000647A0000}"/>
    <cellStyle name="Normal 7 2 3 4 2 2 2" xfId="31307" xr:uid="{00000000-0005-0000-0000-0000657A0000}"/>
    <cellStyle name="Normal 7 2 3 4 2 2 2 2" xfId="31308" xr:uid="{00000000-0005-0000-0000-0000667A0000}"/>
    <cellStyle name="Normal 7 2 3 4 2 2 2 3" xfId="31309" xr:uid="{00000000-0005-0000-0000-0000677A0000}"/>
    <cellStyle name="Normal 7 2 3 4 2 2 3" xfId="31310" xr:uid="{00000000-0005-0000-0000-0000687A0000}"/>
    <cellStyle name="Normal 7 2 3 4 2 2 4" xfId="31311" xr:uid="{00000000-0005-0000-0000-0000697A0000}"/>
    <cellStyle name="Normal 7 2 3 4 2 3" xfId="31312" xr:uid="{00000000-0005-0000-0000-00006A7A0000}"/>
    <cellStyle name="Normal 7 2 3 4 2 3 2" xfId="31313" xr:uid="{00000000-0005-0000-0000-00006B7A0000}"/>
    <cellStyle name="Normal 7 2 3 4 2 3 3" xfId="31314" xr:uid="{00000000-0005-0000-0000-00006C7A0000}"/>
    <cellStyle name="Normal 7 2 3 4 2 4" xfId="31315" xr:uid="{00000000-0005-0000-0000-00006D7A0000}"/>
    <cellStyle name="Normal 7 2 3 4 2 5" xfId="31316" xr:uid="{00000000-0005-0000-0000-00006E7A0000}"/>
    <cellStyle name="Normal 7 2 3 4 2 6" xfId="31317" xr:uid="{00000000-0005-0000-0000-00006F7A0000}"/>
    <cellStyle name="Normal 7 2 3 4 3" xfId="31318" xr:uid="{00000000-0005-0000-0000-0000707A0000}"/>
    <cellStyle name="Normal 7 2 3 4 3 2" xfId="31319" xr:uid="{00000000-0005-0000-0000-0000717A0000}"/>
    <cellStyle name="Normal 7 2 3 4 3 2 2" xfId="31320" xr:uid="{00000000-0005-0000-0000-0000727A0000}"/>
    <cellStyle name="Normal 7 2 3 4 3 2 3" xfId="31321" xr:uid="{00000000-0005-0000-0000-0000737A0000}"/>
    <cellStyle name="Normal 7 2 3 4 3 3" xfId="31322" xr:uid="{00000000-0005-0000-0000-0000747A0000}"/>
    <cellStyle name="Normal 7 2 3 4 3 4" xfId="31323" xr:uid="{00000000-0005-0000-0000-0000757A0000}"/>
    <cellStyle name="Normal 7 2 3 4 4" xfId="31324" xr:uid="{00000000-0005-0000-0000-0000767A0000}"/>
    <cellStyle name="Normal 7 2 3 4 4 2" xfId="31325" xr:uid="{00000000-0005-0000-0000-0000777A0000}"/>
    <cellStyle name="Normal 7 2 3 4 4 3" xfId="31326" xr:uid="{00000000-0005-0000-0000-0000787A0000}"/>
    <cellStyle name="Normal 7 2 3 4 5" xfId="31327" xr:uid="{00000000-0005-0000-0000-0000797A0000}"/>
    <cellStyle name="Normal 7 2 3 4 6" xfId="31328" xr:uid="{00000000-0005-0000-0000-00007A7A0000}"/>
    <cellStyle name="Normal 7 2 3 4 7" xfId="31329" xr:uid="{00000000-0005-0000-0000-00007B7A0000}"/>
    <cellStyle name="Normal 7 2 3 5" xfId="31330" xr:uid="{00000000-0005-0000-0000-00007C7A0000}"/>
    <cellStyle name="Normal 7 2 3 5 2" xfId="31331" xr:uid="{00000000-0005-0000-0000-00007D7A0000}"/>
    <cellStyle name="Normal 7 2 3 5 2 2" xfId="31332" xr:uid="{00000000-0005-0000-0000-00007E7A0000}"/>
    <cellStyle name="Normal 7 2 3 5 2 2 2" xfId="31333" xr:uid="{00000000-0005-0000-0000-00007F7A0000}"/>
    <cellStyle name="Normal 7 2 3 5 2 2 3" xfId="31334" xr:uid="{00000000-0005-0000-0000-0000807A0000}"/>
    <cellStyle name="Normal 7 2 3 5 2 3" xfId="31335" xr:uid="{00000000-0005-0000-0000-0000817A0000}"/>
    <cellStyle name="Normal 7 2 3 5 2 4" xfId="31336" xr:uid="{00000000-0005-0000-0000-0000827A0000}"/>
    <cellStyle name="Normal 7 2 3 5 3" xfId="31337" xr:uid="{00000000-0005-0000-0000-0000837A0000}"/>
    <cellStyle name="Normal 7 2 3 5 3 2" xfId="31338" xr:uid="{00000000-0005-0000-0000-0000847A0000}"/>
    <cellStyle name="Normal 7 2 3 5 3 3" xfId="31339" xr:uid="{00000000-0005-0000-0000-0000857A0000}"/>
    <cellStyle name="Normal 7 2 3 5 4" xfId="31340" xr:uid="{00000000-0005-0000-0000-0000867A0000}"/>
    <cellStyle name="Normal 7 2 3 5 5" xfId="31341" xr:uid="{00000000-0005-0000-0000-0000877A0000}"/>
    <cellStyle name="Normal 7 2 3 5 6" xfId="31342" xr:uid="{00000000-0005-0000-0000-0000887A0000}"/>
    <cellStyle name="Normal 7 2 3 6" xfId="31343" xr:uid="{00000000-0005-0000-0000-0000897A0000}"/>
    <cellStyle name="Normal 7 2 3 6 2" xfId="31344" xr:uid="{00000000-0005-0000-0000-00008A7A0000}"/>
    <cellStyle name="Normal 7 2 3 6 2 2" xfId="31345" xr:uid="{00000000-0005-0000-0000-00008B7A0000}"/>
    <cellStyle name="Normal 7 2 3 6 2 3" xfId="31346" xr:uid="{00000000-0005-0000-0000-00008C7A0000}"/>
    <cellStyle name="Normal 7 2 3 6 3" xfId="31347" xr:uid="{00000000-0005-0000-0000-00008D7A0000}"/>
    <cellStyle name="Normal 7 2 3 6 4" xfId="31348" xr:uid="{00000000-0005-0000-0000-00008E7A0000}"/>
    <cellStyle name="Normal 7 2 3 7" xfId="31349" xr:uid="{00000000-0005-0000-0000-00008F7A0000}"/>
    <cellStyle name="Normal 7 2 3 7 2" xfId="31350" xr:uid="{00000000-0005-0000-0000-0000907A0000}"/>
    <cellStyle name="Normal 7 2 3 7 3" xfId="31351" xr:uid="{00000000-0005-0000-0000-0000917A0000}"/>
    <cellStyle name="Normal 7 2 3 8" xfId="31352" xr:uid="{00000000-0005-0000-0000-0000927A0000}"/>
    <cellStyle name="Normal 7 2 3 9" xfId="31353" xr:uid="{00000000-0005-0000-0000-0000937A0000}"/>
    <cellStyle name="Normal 7 2 4" xfId="31354" xr:uid="{00000000-0005-0000-0000-0000947A0000}"/>
    <cellStyle name="Normal 7 2 4 2" xfId="31355" xr:uid="{00000000-0005-0000-0000-0000957A0000}"/>
    <cellStyle name="Normal 7 2 4 2 2" xfId="31356" xr:uid="{00000000-0005-0000-0000-0000967A0000}"/>
    <cellStyle name="Normal 7 2 4 2 2 2" xfId="31357" xr:uid="{00000000-0005-0000-0000-0000977A0000}"/>
    <cellStyle name="Normal 7 2 4 2 2 2 2" xfId="31358" xr:uid="{00000000-0005-0000-0000-0000987A0000}"/>
    <cellStyle name="Normal 7 2 4 2 2 2 2 2" xfId="31359" xr:uid="{00000000-0005-0000-0000-0000997A0000}"/>
    <cellStyle name="Normal 7 2 4 2 2 2 2 2 2" xfId="31360" xr:uid="{00000000-0005-0000-0000-00009A7A0000}"/>
    <cellStyle name="Normal 7 2 4 2 2 2 2 2 3" xfId="31361" xr:uid="{00000000-0005-0000-0000-00009B7A0000}"/>
    <cellStyle name="Normal 7 2 4 2 2 2 2 3" xfId="31362" xr:uid="{00000000-0005-0000-0000-00009C7A0000}"/>
    <cellStyle name="Normal 7 2 4 2 2 2 2 4" xfId="31363" xr:uid="{00000000-0005-0000-0000-00009D7A0000}"/>
    <cellStyle name="Normal 7 2 4 2 2 2 3" xfId="31364" xr:uid="{00000000-0005-0000-0000-00009E7A0000}"/>
    <cellStyle name="Normal 7 2 4 2 2 2 3 2" xfId="31365" xr:uid="{00000000-0005-0000-0000-00009F7A0000}"/>
    <cellStyle name="Normal 7 2 4 2 2 2 3 3" xfId="31366" xr:uid="{00000000-0005-0000-0000-0000A07A0000}"/>
    <cellStyle name="Normal 7 2 4 2 2 2 4" xfId="31367" xr:uid="{00000000-0005-0000-0000-0000A17A0000}"/>
    <cellStyle name="Normal 7 2 4 2 2 2 5" xfId="31368" xr:uid="{00000000-0005-0000-0000-0000A27A0000}"/>
    <cellStyle name="Normal 7 2 4 2 2 2 6" xfId="31369" xr:uid="{00000000-0005-0000-0000-0000A37A0000}"/>
    <cellStyle name="Normal 7 2 4 2 2 3" xfId="31370" xr:uid="{00000000-0005-0000-0000-0000A47A0000}"/>
    <cellStyle name="Normal 7 2 4 2 2 3 2" xfId="31371" xr:uid="{00000000-0005-0000-0000-0000A57A0000}"/>
    <cellStyle name="Normal 7 2 4 2 2 3 2 2" xfId="31372" xr:uid="{00000000-0005-0000-0000-0000A67A0000}"/>
    <cellStyle name="Normal 7 2 4 2 2 3 2 3" xfId="31373" xr:uid="{00000000-0005-0000-0000-0000A77A0000}"/>
    <cellStyle name="Normal 7 2 4 2 2 3 3" xfId="31374" xr:uid="{00000000-0005-0000-0000-0000A87A0000}"/>
    <cellStyle name="Normal 7 2 4 2 2 3 4" xfId="31375" xr:uid="{00000000-0005-0000-0000-0000A97A0000}"/>
    <cellStyle name="Normal 7 2 4 2 2 4" xfId="31376" xr:uid="{00000000-0005-0000-0000-0000AA7A0000}"/>
    <cellStyle name="Normal 7 2 4 2 2 4 2" xfId="31377" xr:uid="{00000000-0005-0000-0000-0000AB7A0000}"/>
    <cellStyle name="Normal 7 2 4 2 2 4 3" xfId="31378" xr:uid="{00000000-0005-0000-0000-0000AC7A0000}"/>
    <cellStyle name="Normal 7 2 4 2 2 5" xfId="31379" xr:uid="{00000000-0005-0000-0000-0000AD7A0000}"/>
    <cellStyle name="Normal 7 2 4 2 2 6" xfId="31380" xr:uid="{00000000-0005-0000-0000-0000AE7A0000}"/>
    <cellStyle name="Normal 7 2 4 2 2 7" xfId="31381" xr:uid="{00000000-0005-0000-0000-0000AF7A0000}"/>
    <cellStyle name="Normal 7 2 4 2 3" xfId="31382" xr:uid="{00000000-0005-0000-0000-0000B07A0000}"/>
    <cellStyle name="Normal 7 2 4 2 3 2" xfId="31383" xr:uid="{00000000-0005-0000-0000-0000B17A0000}"/>
    <cellStyle name="Normal 7 2 4 2 3 2 2" xfId="31384" xr:uid="{00000000-0005-0000-0000-0000B27A0000}"/>
    <cellStyle name="Normal 7 2 4 2 3 2 2 2" xfId="31385" xr:uid="{00000000-0005-0000-0000-0000B37A0000}"/>
    <cellStyle name="Normal 7 2 4 2 3 2 2 3" xfId="31386" xr:uid="{00000000-0005-0000-0000-0000B47A0000}"/>
    <cellStyle name="Normal 7 2 4 2 3 2 3" xfId="31387" xr:uid="{00000000-0005-0000-0000-0000B57A0000}"/>
    <cellStyle name="Normal 7 2 4 2 3 2 4" xfId="31388" xr:uid="{00000000-0005-0000-0000-0000B67A0000}"/>
    <cellStyle name="Normal 7 2 4 2 3 3" xfId="31389" xr:uid="{00000000-0005-0000-0000-0000B77A0000}"/>
    <cellStyle name="Normal 7 2 4 2 3 3 2" xfId="31390" xr:uid="{00000000-0005-0000-0000-0000B87A0000}"/>
    <cellStyle name="Normal 7 2 4 2 3 3 3" xfId="31391" xr:uid="{00000000-0005-0000-0000-0000B97A0000}"/>
    <cellStyle name="Normal 7 2 4 2 3 4" xfId="31392" xr:uid="{00000000-0005-0000-0000-0000BA7A0000}"/>
    <cellStyle name="Normal 7 2 4 2 3 5" xfId="31393" xr:uid="{00000000-0005-0000-0000-0000BB7A0000}"/>
    <cellStyle name="Normal 7 2 4 2 3 6" xfId="31394" xr:uid="{00000000-0005-0000-0000-0000BC7A0000}"/>
    <cellStyle name="Normal 7 2 4 2 4" xfId="31395" xr:uid="{00000000-0005-0000-0000-0000BD7A0000}"/>
    <cellStyle name="Normal 7 2 4 2 4 2" xfId="31396" xr:uid="{00000000-0005-0000-0000-0000BE7A0000}"/>
    <cellStyle name="Normal 7 2 4 2 4 2 2" xfId="31397" xr:uid="{00000000-0005-0000-0000-0000BF7A0000}"/>
    <cellStyle name="Normal 7 2 4 2 4 2 3" xfId="31398" xr:uid="{00000000-0005-0000-0000-0000C07A0000}"/>
    <cellStyle name="Normal 7 2 4 2 4 3" xfId="31399" xr:uid="{00000000-0005-0000-0000-0000C17A0000}"/>
    <cellStyle name="Normal 7 2 4 2 4 4" xfId="31400" xr:uid="{00000000-0005-0000-0000-0000C27A0000}"/>
    <cellStyle name="Normal 7 2 4 2 5" xfId="31401" xr:uid="{00000000-0005-0000-0000-0000C37A0000}"/>
    <cellStyle name="Normal 7 2 4 2 5 2" xfId="31402" xr:uid="{00000000-0005-0000-0000-0000C47A0000}"/>
    <cellStyle name="Normal 7 2 4 2 5 3" xfId="31403" xr:uid="{00000000-0005-0000-0000-0000C57A0000}"/>
    <cellStyle name="Normal 7 2 4 2 6" xfId="31404" xr:uid="{00000000-0005-0000-0000-0000C67A0000}"/>
    <cellStyle name="Normal 7 2 4 2 7" xfId="31405" xr:uid="{00000000-0005-0000-0000-0000C77A0000}"/>
    <cellStyle name="Normal 7 2 4 2 8" xfId="31406" xr:uid="{00000000-0005-0000-0000-0000C87A0000}"/>
    <cellStyle name="Normal 7 2 4 3" xfId="31407" xr:uid="{00000000-0005-0000-0000-0000C97A0000}"/>
    <cellStyle name="Normal 7 2 4 3 2" xfId="31408" xr:uid="{00000000-0005-0000-0000-0000CA7A0000}"/>
    <cellStyle name="Normal 7 2 4 3 2 2" xfId="31409" xr:uid="{00000000-0005-0000-0000-0000CB7A0000}"/>
    <cellStyle name="Normal 7 2 4 3 2 2 2" xfId="31410" xr:uid="{00000000-0005-0000-0000-0000CC7A0000}"/>
    <cellStyle name="Normal 7 2 4 3 2 2 2 2" xfId="31411" xr:uid="{00000000-0005-0000-0000-0000CD7A0000}"/>
    <cellStyle name="Normal 7 2 4 3 2 2 2 3" xfId="31412" xr:uid="{00000000-0005-0000-0000-0000CE7A0000}"/>
    <cellStyle name="Normal 7 2 4 3 2 2 3" xfId="31413" xr:uid="{00000000-0005-0000-0000-0000CF7A0000}"/>
    <cellStyle name="Normal 7 2 4 3 2 2 4" xfId="31414" xr:uid="{00000000-0005-0000-0000-0000D07A0000}"/>
    <cellStyle name="Normal 7 2 4 3 2 3" xfId="31415" xr:uid="{00000000-0005-0000-0000-0000D17A0000}"/>
    <cellStyle name="Normal 7 2 4 3 2 3 2" xfId="31416" xr:uid="{00000000-0005-0000-0000-0000D27A0000}"/>
    <cellStyle name="Normal 7 2 4 3 2 3 3" xfId="31417" xr:uid="{00000000-0005-0000-0000-0000D37A0000}"/>
    <cellStyle name="Normal 7 2 4 3 2 4" xfId="31418" xr:uid="{00000000-0005-0000-0000-0000D47A0000}"/>
    <cellStyle name="Normal 7 2 4 3 2 5" xfId="31419" xr:uid="{00000000-0005-0000-0000-0000D57A0000}"/>
    <cellStyle name="Normal 7 2 4 3 2 6" xfId="31420" xr:uid="{00000000-0005-0000-0000-0000D67A0000}"/>
    <cellStyle name="Normal 7 2 4 3 3" xfId="31421" xr:uid="{00000000-0005-0000-0000-0000D77A0000}"/>
    <cellStyle name="Normal 7 2 4 3 3 2" xfId="31422" xr:uid="{00000000-0005-0000-0000-0000D87A0000}"/>
    <cellStyle name="Normal 7 2 4 3 3 2 2" xfId="31423" xr:uid="{00000000-0005-0000-0000-0000D97A0000}"/>
    <cellStyle name="Normal 7 2 4 3 3 2 3" xfId="31424" xr:uid="{00000000-0005-0000-0000-0000DA7A0000}"/>
    <cellStyle name="Normal 7 2 4 3 3 3" xfId="31425" xr:uid="{00000000-0005-0000-0000-0000DB7A0000}"/>
    <cellStyle name="Normal 7 2 4 3 3 4" xfId="31426" xr:uid="{00000000-0005-0000-0000-0000DC7A0000}"/>
    <cellStyle name="Normal 7 2 4 3 4" xfId="31427" xr:uid="{00000000-0005-0000-0000-0000DD7A0000}"/>
    <cellStyle name="Normal 7 2 4 3 4 2" xfId="31428" xr:uid="{00000000-0005-0000-0000-0000DE7A0000}"/>
    <cellStyle name="Normal 7 2 4 3 4 3" xfId="31429" xr:uid="{00000000-0005-0000-0000-0000DF7A0000}"/>
    <cellStyle name="Normal 7 2 4 3 5" xfId="31430" xr:uid="{00000000-0005-0000-0000-0000E07A0000}"/>
    <cellStyle name="Normal 7 2 4 3 6" xfId="31431" xr:uid="{00000000-0005-0000-0000-0000E17A0000}"/>
    <cellStyle name="Normal 7 2 4 3 7" xfId="31432" xr:uid="{00000000-0005-0000-0000-0000E27A0000}"/>
    <cellStyle name="Normal 7 2 4 4" xfId="31433" xr:uid="{00000000-0005-0000-0000-0000E37A0000}"/>
    <cellStyle name="Normal 7 2 4 4 2" xfId="31434" xr:uid="{00000000-0005-0000-0000-0000E47A0000}"/>
    <cellStyle name="Normal 7 2 4 4 2 2" xfId="31435" xr:uid="{00000000-0005-0000-0000-0000E57A0000}"/>
    <cellStyle name="Normal 7 2 4 4 2 2 2" xfId="31436" xr:uid="{00000000-0005-0000-0000-0000E67A0000}"/>
    <cellStyle name="Normal 7 2 4 4 2 2 3" xfId="31437" xr:uid="{00000000-0005-0000-0000-0000E77A0000}"/>
    <cellStyle name="Normal 7 2 4 4 2 3" xfId="31438" xr:uid="{00000000-0005-0000-0000-0000E87A0000}"/>
    <cellStyle name="Normal 7 2 4 4 2 4" xfId="31439" xr:uid="{00000000-0005-0000-0000-0000E97A0000}"/>
    <cellStyle name="Normal 7 2 4 4 3" xfId="31440" xr:uid="{00000000-0005-0000-0000-0000EA7A0000}"/>
    <cellStyle name="Normal 7 2 4 4 3 2" xfId="31441" xr:uid="{00000000-0005-0000-0000-0000EB7A0000}"/>
    <cellStyle name="Normal 7 2 4 4 3 3" xfId="31442" xr:uid="{00000000-0005-0000-0000-0000EC7A0000}"/>
    <cellStyle name="Normal 7 2 4 4 4" xfId="31443" xr:uid="{00000000-0005-0000-0000-0000ED7A0000}"/>
    <cellStyle name="Normal 7 2 4 4 5" xfId="31444" xr:uid="{00000000-0005-0000-0000-0000EE7A0000}"/>
    <cellStyle name="Normal 7 2 4 4 6" xfId="31445" xr:uid="{00000000-0005-0000-0000-0000EF7A0000}"/>
    <cellStyle name="Normal 7 2 4 5" xfId="31446" xr:uid="{00000000-0005-0000-0000-0000F07A0000}"/>
    <cellStyle name="Normal 7 2 4 5 2" xfId="31447" xr:uid="{00000000-0005-0000-0000-0000F17A0000}"/>
    <cellStyle name="Normal 7 2 4 5 2 2" xfId="31448" xr:uid="{00000000-0005-0000-0000-0000F27A0000}"/>
    <cellStyle name="Normal 7 2 4 5 2 3" xfId="31449" xr:uid="{00000000-0005-0000-0000-0000F37A0000}"/>
    <cellStyle name="Normal 7 2 4 5 3" xfId="31450" xr:uid="{00000000-0005-0000-0000-0000F47A0000}"/>
    <cellStyle name="Normal 7 2 4 5 4" xfId="31451" xr:uid="{00000000-0005-0000-0000-0000F57A0000}"/>
    <cellStyle name="Normal 7 2 4 6" xfId="31452" xr:uid="{00000000-0005-0000-0000-0000F67A0000}"/>
    <cellStyle name="Normal 7 2 4 6 2" xfId="31453" xr:uid="{00000000-0005-0000-0000-0000F77A0000}"/>
    <cellStyle name="Normal 7 2 4 6 3" xfId="31454" xr:uid="{00000000-0005-0000-0000-0000F87A0000}"/>
    <cellStyle name="Normal 7 2 4 7" xfId="31455" xr:uid="{00000000-0005-0000-0000-0000F97A0000}"/>
    <cellStyle name="Normal 7 2 4 8" xfId="31456" xr:uid="{00000000-0005-0000-0000-0000FA7A0000}"/>
    <cellStyle name="Normal 7 2 4 9" xfId="31457" xr:uid="{00000000-0005-0000-0000-0000FB7A0000}"/>
    <cellStyle name="Normal 7 2 5" xfId="31458" xr:uid="{00000000-0005-0000-0000-0000FC7A0000}"/>
    <cellStyle name="Normal 7 2 5 2" xfId="31459" xr:uid="{00000000-0005-0000-0000-0000FD7A0000}"/>
    <cellStyle name="Normal 7 2 5 2 2" xfId="31460" xr:uid="{00000000-0005-0000-0000-0000FE7A0000}"/>
    <cellStyle name="Normal 7 2 5 2 2 2" xfId="31461" xr:uid="{00000000-0005-0000-0000-0000FF7A0000}"/>
    <cellStyle name="Normal 7 2 5 2 2 2 2" xfId="31462" xr:uid="{00000000-0005-0000-0000-0000007B0000}"/>
    <cellStyle name="Normal 7 2 5 2 2 2 2 2" xfId="31463" xr:uid="{00000000-0005-0000-0000-0000017B0000}"/>
    <cellStyle name="Normal 7 2 5 2 2 2 2 2 2" xfId="31464" xr:uid="{00000000-0005-0000-0000-0000027B0000}"/>
    <cellStyle name="Normal 7 2 5 2 2 2 2 2 3" xfId="31465" xr:uid="{00000000-0005-0000-0000-0000037B0000}"/>
    <cellStyle name="Normal 7 2 5 2 2 2 2 3" xfId="31466" xr:uid="{00000000-0005-0000-0000-0000047B0000}"/>
    <cellStyle name="Normal 7 2 5 2 2 2 2 4" xfId="31467" xr:uid="{00000000-0005-0000-0000-0000057B0000}"/>
    <cellStyle name="Normal 7 2 5 2 2 2 3" xfId="31468" xr:uid="{00000000-0005-0000-0000-0000067B0000}"/>
    <cellStyle name="Normal 7 2 5 2 2 2 3 2" xfId="31469" xr:uid="{00000000-0005-0000-0000-0000077B0000}"/>
    <cellStyle name="Normal 7 2 5 2 2 2 3 3" xfId="31470" xr:uid="{00000000-0005-0000-0000-0000087B0000}"/>
    <cellStyle name="Normal 7 2 5 2 2 2 4" xfId="31471" xr:uid="{00000000-0005-0000-0000-0000097B0000}"/>
    <cellStyle name="Normal 7 2 5 2 2 2 5" xfId="31472" xr:uid="{00000000-0005-0000-0000-00000A7B0000}"/>
    <cellStyle name="Normal 7 2 5 2 2 2 6" xfId="31473" xr:uid="{00000000-0005-0000-0000-00000B7B0000}"/>
    <cellStyle name="Normal 7 2 5 2 2 3" xfId="31474" xr:uid="{00000000-0005-0000-0000-00000C7B0000}"/>
    <cellStyle name="Normal 7 2 5 2 2 3 2" xfId="31475" xr:uid="{00000000-0005-0000-0000-00000D7B0000}"/>
    <cellStyle name="Normal 7 2 5 2 2 3 2 2" xfId="31476" xr:uid="{00000000-0005-0000-0000-00000E7B0000}"/>
    <cellStyle name="Normal 7 2 5 2 2 3 2 3" xfId="31477" xr:uid="{00000000-0005-0000-0000-00000F7B0000}"/>
    <cellStyle name="Normal 7 2 5 2 2 3 3" xfId="31478" xr:uid="{00000000-0005-0000-0000-0000107B0000}"/>
    <cellStyle name="Normal 7 2 5 2 2 3 4" xfId="31479" xr:uid="{00000000-0005-0000-0000-0000117B0000}"/>
    <cellStyle name="Normal 7 2 5 2 2 4" xfId="31480" xr:uid="{00000000-0005-0000-0000-0000127B0000}"/>
    <cellStyle name="Normal 7 2 5 2 2 4 2" xfId="31481" xr:uid="{00000000-0005-0000-0000-0000137B0000}"/>
    <cellStyle name="Normal 7 2 5 2 2 4 3" xfId="31482" xr:uid="{00000000-0005-0000-0000-0000147B0000}"/>
    <cellStyle name="Normal 7 2 5 2 2 5" xfId="31483" xr:uid="{00000000-0005-0000-0000-0000157B0000}"/>
    <cellStyle name="Normal 7 2 5 2 2 6" xfId="31484" xr:uid="{00000000-0005-0000-0000-0000167B0000}"/>
    <cellStyle name="Normal 7 2 5 2 2 7" xfId="31485" xr:uid="{00000000-0005-0000-0000-0000177B0000}"/>
    <cellStyle name="Normal 7 2 5 2 3" xfId="31486" xr:uid="{00000000-0005-0000-0000-0000187B0000}"/>
    <cellStyle name="Normal 7 2 5 2 3 2" xfId="31487" xr:uid="{00000000-0005-0000-0000-0000197B0000}"/>
    <cellStyle name="Normal 7 2 5 2 3 2 2" xfId="31488" xr:uid="{00000000-0005-0000-0000-00001A7B0000}"/>
    <cellStyle name="Normal 7 2 5 2 3 2 2 2" xfId="31489" xr:uid="{00000000-0005-0000-0000-00001B7B0000}"/>
    <cellStyle name="Normal 7 2 5 2 3 2 2 3" xfId="31490" xr:uid="{00000000-0005-0000-0000-00001C7B0000}"/>
    <cellStyle name="Normal 7 2 5 2 3 2 3" xfId="31491" xr:uid="{00000000-0005-0000-0000-00001D7B0000}"/>
    <cellStyle name="Normal 7 2 5 2 3 2 4" xfId="31492" xr:uid="{00000000-0005-0000-0000-00001E7B0000}"/>
    <cellStyle name="Normal 7 2 5 2 3 3" xfId="31493" xr:uid="{00000000-0005-0000-0000-00001F7B0000}"/>
    <cellStyle name="Normal 7 2 5 2 3 3 2" xfId="31494" xr:uid="{00000000-0005-0000-0000-0000207B0000}"/>
    <cellStyle name="Normal 7 2 5 2 3 3 3" xfId="31495" xr:uid="{00000000-0005-0000-0000-0000217B0000}"/>
    <cellStyle name="Normal 7 2 5 2 3 4" xfId="31496" xr:uid="{00000000-0005-0000-0000-0000227B0000}"/>
    <cellStyle name="Normal 7 2 5 2 3 5" xfId="31497" xr:uid="{00000000-0005-0000-0000-0000237B0000}"/>
    <cellStyle name="Normal 7 2 5 2 3 6" xfId="31498" xr:uid="{00000000-0005-0000-0000-0000247B0000}"/>
    <cellStyle name="Normal 7 2 5 2 4" xfId="31499" xr:uid="{00000000-0005-0000-0000-0000257B0000}"/>
    <cellStyle name="Normal 7 2 5 2 4 2" xfId="31500" xr:uid="{00000000-0005-0000-0000-0000267B0000}"/>
    <cellStyle name="Normal 7 2 5 2 4 2 2" xfId="31501" xr:uid="{00000000-0005-0000-0000-0000277B0000}"/>
    <cellStyle name="Normal 7 2 5 2 4 2 3" xfId="31502" xr:uid="{00000000-0005-0000-0000-0000287B0000}"/>
    <cellStyle name="Normal 7 2 5 2 4 3" xfId="31503" xr:uid="{00000000-0005-0000-0000-0000297B0000}"/>
    <cellStyle name="Normal 7 2 5 2 4 4" xfId="31504" xr:uid="{00000000-0005-0000-0000-00002A7B0000}"/>
    <cellStyle name="Normal 7 2 5 2 5" xfId="31505" xr:uid="{00000000-0005-0000-0000-00002B7B0000}"/>
    <cellStyle name="Normal 7 2 5 2 5 2" xfId="31506" xr:uid="{00000000-0005-0000-0000-00002C7B0000}"/>
    <cellStyle name="Normal 7 2 5 2 5 3" xfId="31507" xr:uid="{00000000-0005-0000-0000-00002D7B0000}"/>
    <cellStyle name="Normal 7 2 5 2 6" xfId="31508" xr:uid="{00000000-0005-0000-0000-00002E7B0000}"/>
    <cellStyle name="Normal 7 2 5 2 7" xfId="31509" xr:uid="{00000000-0005-0000-0000-00002F7B0000}"/>
    <cellStyle name="Normal 7 2 5 2 8" xfId="31510" xr:uid="{00000000-0005-0000-0000-0000307B0000}"/>
    <cellStyle name="Normal 7 2 5 3" xfId="31511" xr:uid="{00000000-0005-0000-0000-0000317B0000}"/>
    <cellStyle name="Normal 7 2 5 3 2" xfId="31512" xr:uid="{00000000-0005-0000-0000-0000327B0000}"/>
    <cellStyle name="Normal 7 2 5 3 2 2" xfId="31513" xr:uid="{00000000-0005-0000-0000-0000337B0000}"/>
    <cellStyle name="Normal 7 2 5 3 2 2 2" xfId="31514" xr:uid="{00000000-0005-0000-0000-0000347B0000}"/>
    <cellStyle name="Normal 7 2 5 3 2 2 2 2" xfId="31515" xr:uid="{00000000-0005-0000-0000-0000357B0000}"/>
    <cellStyle name="Normal 7 2 5 3 2 2 2 3" xfId="31516" xr:uid="{00000000-0005-0000-0000-0000367B0000}"/>
    <cellStyle name="Normal 7 2 5 3 2 2 3" xfId="31517" xr:uid="{00000000-0005-0000-0000-0000377B0000}"/>
    <cellStyle name="Normal 7 2 5 3 2 2 4" xfId="31518" xr:uid="{00000000-0005-0000-0000-0000387B0000}"/>
    <cellStyle name="Normal 7 2 5 3 2 3" xfId="31519" xr:uid="{00000000-0005-0000-0000-0000397B0000}"/>
    <cellStyle name="Normal 7 2 5 3 2 3 2" xfId="31520" xr:uid="{00000000-0005-0000-0000-00003A7B0000}"/>
    <cellStyle name="Normal 7 2 5 3 2 3 3" xfId="31521" xr:uid="{00000000-0005-0000-0000-00003B7B0000}"/>
    <cellStyle name="Normal 7 2 5 3 2 4" xfId="31522" xr:uid="{00000000-0005-0000-0000-00003C7B0000}"/>
    <cellStyle name="Normal 7 2 5 3 2 5" xfId="31523" xr:uid="{00000000-0005-0000-0000-00003D7B0000}"/>
    <cellStyle name="Normal 7 2 5 3 2 6" xfId="31524" xr:uid="{00000000-0005-0000-0000-00003E7B0000}"/>
    <cellStyle name="Normal 7 2 5 3 3" xfId="31525" xr:uid="{00000000-0005-0000-0000-00003F7B0000}"/>
    <cellStyle name="Normal 7 2 5 3 3 2" xfId="31526" xr:uid="{00000000-0005-0000-0000-0000407B0000}"/>
    <cellStyle name="Normal 7 2 5 3 3 2 2" xfId="31527" xr:uid="{00000000-0005-0000-0000-0000417B0000}"/>
    <cellStyle name="Normal 7 2 5 3 3 2 3" xfId="31528" xr:uid="{00000000-0005-0000-0000-0000427B0000}"/>
    <cellStyle name="Normal 7 2 5 3 3 3" xfId="31529" xr:uid="{00000000-0005-0000-0000-0000437B0000}"/>
    <cellStyle name="Normal 7 2 5 3 3 4" xfId="31530" xr:uid="{00000000-0005-0000-0000-0000447B0000}"/>
    <cellStyle name="Normal 7 2 5 3 4" xfId="31531" xr:uid="{00000000-0005-0000-0000-0000457B0000}"/>
    <cellStyle name="Normal 7 2 5 3 4 2" xfId="31532" xr:uid="{00000000-0005-0000-0000-0000467B0000}"/>
    <cellStyle name="Normal 7 2 5 3 4 3" xfId="31533" xr:uid="{00000000-0005-0000-0000-0000477B0000}"/>
    <cellStyle name="Normal 7 2 5 3 5" xfId="31534" xr:uid="{00000000-0005-0000-0000-0000487B0000}"/>
    <cellStyle name="Normal 7 2 5 3 6" xfId="31535" xr:uid="{00000000-0005-0000-0000-0000497B0000}"/>
    <cellStyle name="Normal 7 2 5 3 7" xfId="31536" xr:uid="{00000000-0005-0000-0000-00004A7B0000}"/>
    <cellStyle name="Normal 7 2 5 4" xfId="31537" xr:uid="{00000000-0005-0000-0000-00004B7B0000}"/>
    <cellStyle name="Normal 7 2 5 4 2" xfId="31538" xr:uid="{00000000-0005-0000-0000-00004C7B0000}"/>
    <cellStyle name="Normal 7 2 5 4 2 2" xfId="31539" xr:uid="{00000000-0005-0000-0000-00004D7B0000}"/>
    <cellStyle name="Normal 7 2 5 4 2 2 2" xfId="31540" xr:uid="{00000000-0005-0000-0000-00004E7B0000}"/>
    <cellStyle name="Normal 7 2 5 4 2 2 3" xfId="31541" xr:uid="{00000000-0005-0000-0000-00004F7B0000}"/>
    <cellStyle name="Normal 7 2 5 4 2 3" xfId="31542" xr:uid="{00000000-0005-0000-0000-0000507B0000}"/>
    <cellStyle name="Normal 7 2 5 4 2 4" xfId="31543" xr:uid="{00000000-0005-0000-0000-0000517B0000}"/>
    <cellStyle name="Normal 7 2 5 4 3" xfId="31544" xr:uid="{00000000-0005-0000-0000-0000527B0000}"/>
    <cellStyle name="Normal 7 2 5 4 3 2" xfId="31545" xr:uid="{00000000-0005-0000-0000-0000537B0000}"/>
    <cellStyle name="Normal 7 2 5 4 3 3" xfId="31546" xr:uid="{00000000-0005-0000-0000-0000547B0000}"/>
    <cellStyle name="Normal 7 2 5 4 4" xfId="31547" xr:uid="{00000000-0005-0000-0000-0000557B0000}"/>
    <cellStyle name="Normal 7 2 5 4 5" xfId="31548" xr:uid="{00000000-0005-0000-0000-0000567B0000}"/>
    <cellStyle name="Normal 7 2 5 4 6" xfId="31549" xr:uid="{00000000-0005-0000-0000-0000577B0000}"/>
    <cellStyle name="Normal 7 2 5 5" xfId="31550" xr:uid="{00000000-0005-0000-0000-0000587B0000}"/>
    <cellStyle name="Normal 7 2 5 5 2" xfId="31551" xr:uid="{00000000-0005-0000-0000-0000597B0000}"/>
    <cellStyle name="Normal 7 2 5 5 2 2" xfId="31552" xr:uid="{00000000-0005-0000-0000-00005A7B0000}"/>
    <cellStyle name="Normal 7 2 5 5 2 3" xfId="31553" xr:uid="{00000000-0005-0000-0000-00005B7B0000}"/>
    <cellStyle name="Normal 7 2 5 5 3" xfId="31554" xr:uid="{00000000-0005-0000-0000-00005C7B0000}"/>
    <cellStyle name="Normal 7 2 5 5 4" xfId="31555" xr:uid="{00000000-0005-0000-0000-00005D7B0000}"/>
    <cellStyle name="Normal 7 2 5 6" xfId="31556" xr:uid="{00000000-0005-0000-0000-00005E7B0000}"/>
    <cellStyle name="Normal 7 2 5 6 2" xfId="31557" xr:uid="{00000000-0005-0000-0000-00005F7B0000}"/>
    <cellStyle name="Normal 7 2 5 6 3" xfId="31558" xr:uid="{00000000-0005-0000-0000-0000607B0000}"/>
    <cellStyle name="Normal 7 2 5 7" xfId="31559" xr:uid="{00000000-0005-0000-0000-0000617B0000}"/>
    <cellStyle name="Normal 7 2 5 8" xfId="31560" xr:uid="{00000000-0005-0000-0000-0000627B0000}"/>
    <cellStyle name="Normal 7 2 5 9" xfId="31561" xr:uid="{00000000-0005-0000-0000-0000637B0000}"/>
    <cellStyle name="Normal 7 2 6" xfId="31562" xr:uid="{00000000-0005-0000-0000-0000647B0000}"/>
    <cellStyle name="Normal 7 2 6 2" xfId="31563" xr:uid="{00000000-0005-0000-0000-0000657B0000}"/>
    <cellStyle name="Normal 7 2 6 2 2" xfId="31564" xr:uid="{00000000-0005-0000-0000-0000667B0000}"/>
    <cellStyle name="Normal 7 2 6 2 2 2" xfId="31565" xr:uid="{00000000-0005-0000-0000-0000677B0000}"/>
    <cellStyle name="Normal 7 2 6 2 2 2 2" xfId="31566" xr:uid="{00000000-0005-0000-0000-0000687B0000}"/>
    <cellStyle name="Normal 7 2 6 2 2 2 2 2" xfId="31567" xr:uid="{00000000-0005-0000-0000-0000697B0000}"/>
    <cellStyle name="Normal 7 2 6 2 2 2 2 3" xfId="31568" xr:uid="{00000000-0005-0000-0000-00006A7B0000}"/>
    <cellStyle name="Normal 7 2 6 2 2 2 3" xfId="31569" xr:uid="{00000000-0005-0000-0000-00006B7B0000}"/>
    <cellStyle name="Normal 7 2 6 2 2 2 4" xfId="31570" xr:uid="{00000000-0005-0000-0000-00006C7B0000}"/>
    <cellStyle name="Normal 7 2 6 2 2 3" xfId="31571" xr:uid="{00000000-0005-0000-0000-00006D7B0000}"/>
    <cellStyle name="Normal 7 2 6 2 2 3 2" xfId="31572" xr:uid="{00000000-0005-0000-0000-00006E7B0000}"/>
    <cellStyle name="Normal 7 2 6 2 2 3 3" xfId="31573" xr:uid="{00000000-0005-0000-0000-00006F7B0000}"/>
    <cellStyle name="Normal 7 2 6 2 2 4" xfId="31574" xr:uid="{00000000-0005-0000-0000-0000707B0000}"/>
    <cellStyle name="Normal 7 2 6 2 2 5" xfId="31575" xr:uid="{00000000-0005-0000-0000-0000717B0000}"/>
    <cellStyle name="Normal 7 2 6 2 2 6" xfId="31576" xr:uid="{00000000-0005-0000-0000-0000727B0000}"/>
    <cellStyle name="Normal 7 2 6 2 3" xfId="31577" xr:uid="{00000000-0005-0000-0000-0000737B0000}"/>
    <cellStyle name="Normal 7 2 6 2 3 2" xfId="31578" xr:uid="{00000000-0005-0000-0000-0000747B0000}"/>
    <cellStyle name="Normal 7 2 6 2 3 2 2" xfId="31579" xr:uid="{00000000-0005-0000-0000-0000757B0000}"/>
    <cellStyle name="Normal 7 2 6 2 3 2 3" xfId="31580" xr:uid="{00000000-0005-0000-0000-0000767B0000}"/>
    <cellStyle name="Normal 7 2 6 2 3 3" xfId="31581" xr:uid="{00000000-0005-0000-0000-0000777B0000}"/>
    <cellStyle name="Normal 7 2 6 2 3 4" xfId="31582" xr:uid="{00000000-0005-0000-0000-0000787B0000}"/>
    <cellStyle name="Normal 7 2 6 2 4" xfId="31583" xr:uid="{00000000-0005-0000-0000-0000797B0000}"/>
    <cellStyle name="Normal 7 2 6 2 4 2" xfId="31584" xr:uid="{00000000-0005-0000-0000-00007A7B0000}"/>
    <cellStyle name="Normal 7 2 6 2 4 3" xfId="31585" xr:uid="{00000000-0005-0000-0000-00007B7B0000}"/>
    <cellStyle name="Normal 7 2 6 2 5" xfId="31586" xr:uid="{00000000-0005-0000-0000-00007C7B0000}"/>
    <cellStyle name="Normal 7 2 6 2 6" xfId="31587" xr:uid="{00000000-0005-0000-0000-00007D7B0000}"/>
    <cellStyle name="Normal 7 2 6 2 7" xfId="31588" xr:uid="{00000000-0005-0000-0000-00007E7B0000}"/>
    <cellStyle name="Normal 7 2 6 3" xfId="31589" xr:uid="{00000000-0005-0000-0000-00007F7B0000}"/>
    <cellStyle name="Normal 7 2 6 3 2" xfId="31590" xr:uid="{00000000-0005-0000-0000-0000807B0000}"/>
    <cellStyle name="Normal 7 2 6 3 2 2" xfId="31591" xr:uid="{00000000-0005-0000-0000-0000817B0000}"/>
    <cellStyle name="Normal 7 2 6 3 2 2 2" xfId="31592" xr:uid="{00000000-0005-0000-0000-0000827B0000}"/>
    <cellStyle name="Normal 7 2 6 3 2 2 3" xfId="31593" xr:uid="{00000000-0005-0000-0000-0000837B0000}"/>
    <cellStyle name="Normal 7 2 6 3 2 3" xfId="31594" xr:uid="{00000000-0005-0000-0000-0000847B0000}"/>
    <cellStyle name="Normal 7 2 6 3 2 4" xfId="31595" xr:uid="{00000000-0005-0000-0000-0000857B0000}"/>
    <cellStyle name="Normal 7 2 6 3 3" xfId="31596" xr:uid="{00000000-0005-0000-0000-0000867B0000}"/>
    <cellStyle name="Normal 7 2 6 3 3 2" xfId="31597" xr:uid="{00000000-0005-0000-0000-0000877B0000}"/>
    <cellStyle name="Normal 7 2 6 3 3 3" xfId="31598" xr:uid="{00000000-0005-0000-0000-0000887B0000}"/>
    <cellStyle name="Normal 7 2 6 3 4" xfId="31599" xr:uid="{00000000-0005-0000-0000-0000897B0000}"/>
    <cellStyle name="Normal 7 2 6 3 5" xfId="31600" xr:uid="{00000000-0005-0000-0000-00008A7B0000}"/>
    <cellStyle name="Normal 7 2 6 3 6" xfId="31601" xr:uid="{00000000-0005-0000-0000-00008B7B0000}"/>
    <cellStyle name="Normal 7 2 6 4" xfId="31602" xr:uid="{00000000-0005-0000-0000-00008C7B0000}"/>
    <cellStyle name="Normal 7 2 6 4 2" xfId="31603" xr:uid="{00000000-0005-0000-0000-00008D7B0000}"/>
    <cellStyle name="Normal 7 2 6 4 2 2" xfId="31604" xr:uid="{00000000-0005-0000-0000-00008E7B0000}"/>
    <cellStyle name="Normal 7 2 6 4 2 3" xfId="31605" xr:uid="{00000000-0005-0000-0000-00008F7B0000}"/>
    <cellStyle name="Normal 7 2 6 4 3" xfId="31606" xr:uid="{00000000-0005-0000-0000-0000907B0000}"/>
    <cellStyle name="Normal 7 2 6 4 4" xfId="31607" xr:uid="{00000000-0005-0000-0000-0000917B0000}"/>
    <cellStyle name="Normal 7 2 6 5" xfId="31608" xr:uid="{00000000-0005-0000-0000-0000927B0000}"/>
    <cellStyle name="Normal 7 2 6 5 2" xfId="31609" xr:uid="{00000000-0005-0000-0000-0000937B0000}"/>
    <cellStyle name="Normal 7 2 6 5 3" xfId="31610" xr:uid="{00000000-0005-0000-0000-0000947B0000}"/>
    <cellStyle name="Normal 7 2 6 6" xfId="31611" xr:uid="{00000000-0005-0000-0000-0000957B0000}"/>
    <cellStyle name="Normal 7 2 6 7" xfId="31612" xr:uid="{00000000-0005-0000-0000-0000967B0000}"/>
    <cellStyle name="Normal 7 2 6 8" xfId="31613" xr:uid="{00000000-0005-0000-0000-0000977B0000}"/>
    <cellStyle name="Normal 7 2 7" xfId="31614" xr:uid="{00000000-0005-0000-0000-0000987B0000}"/>
    <cellStyle name="Normal 7 2 7 2" xfId="31615" xr:uid="{00000000-0005-0000-0000-0000997B0000}"/>
    <cellStyle name="Normal 7 2 7 2 2" xfId="31616" xr:uid="{00000000-0005-0000-0000-00009A7B0000}"/>
    <cellStyle name="Normal 7 2 7 2 2 2" xfId="31617" xr:uid="{00000000-0005-0000-0000-00009B7B0000}"/>
    <cellStyle name="Normal 7 2 7 2 2 2 2" xfId="31618" xr:uid="{00000000-0005-0000-0000-00009C7B0000}"/>
    <cellStyle name="Normal 7 2 7 2 2 2 2 2" xfId="31619" xr:uid="{00000000-0005-0000-0000-00009D7B0000}"/>
    <cellStyle name="Normal 7 2 7 2 2 2 2 3" xfId="31620" xr:uid="{00000000-0005-0000-0000-00009E7B0000}"/>
    <cellStyle name="Normal 7 2 7 2 2 2 3" xfId="31621" xr:uid="{00000000-0005-0000-0000-00009F7B0000}"/>
    <cellStyle name="Normal 7 2 7 2 2 2 4" xfId="31622" xr:uid="{00000000-0005-0000-0000-0000A07B0000}"/>
    <cellStyle name="Normal 7 2 7 2 2 3" xfId="31623" xr:uid="{00000000-0005-0000-0000-0000A17B0000}"/>
    <cellStyle name="Normal 7 2 7 2 2 3 2" xfId="31624" xr:uid="{00000000-0005-0000-0000-0000A27B0000}"/>
    <cellStyle name="Normal 7 2 7 2 2 3 3" xfId="31625" xr:uid="{00000000-0005-0000-0000-0000A37B0000}"/>
    <cellStyle name="Normal 7 2 7 2 2 4" xfId="31626" xr:uid="{00000000-0005-0000-0000-0000A47B0000}"/>
    <cellStyle name="Normal 7 2 7 2 2 5" xfId="31627" xr:uid="{00000000-0005-0000-0000-0000A57B0000}"/>
    <cellStyle name="Normal 7 2 7 2 2 6" xfId="31628" xr:uid="{00000000-0005-0000-0000-0000A67B0000}"/>
    <cellStyle name="Normal 7 2 7 2 3" xfId="31629" xr:uid="{00000000-0005-0000-0000-0000A77B0000}"/>
    <cellStyle name="Normal 7 2 7 2 3 2" xfId="31630" xr:uid="{00000000-0005-0000-0000-0000A87B0000}"/>
    <cellStyle name="Normal 7 2 7 2 3 2 2" xfId="31631" xr:uid="{00000000-0005-0000-0000-0000A97B0000}"/>
    <cellStyle name="Normal 7 2 7 2 3 2 3" xfId="31632" xr:uid="{00000000-0005-0000-0000-0000AA7B0000}"/>
    <cellStyle name="Normal 7 2 7 2 3 3" xfId="31633" xr:uid="{00000000-0005-0000-0000-0000AB7B0000}"/>
    <cellStyle name="Normal 7 2 7 2 3 4" xfId="31634" xr:uid="{00000000-0005-0000-0000-0000AC7B0000}"/>
    <cellStyle name="Normal 7 2 7 2 4" xfId="31635" xr:uid="{00000000-0005-0000-0000-0000AD7B0000}"/>
    <cellStyle name="Normal 7 2 7 2 4 2" xfId="31636" xr:uid="{00000000-0005-0000-0000-0000AE7B0000}"/>
    <cellStyle name="Normal 7 2 7 2 4 3" xfId="31637" xr:uid="{00000000-0005-0000-0000-0000AF7B0000}"/>
    <cellStyle name="Normal 7 2 7 2 5" xfId="31638" xr:uid="{00000000-0005-0000-0000-0000B07B0000}"/>
    <cellStyle name="Normal 7 2 7 2 6" xfId="31639" xr:uid="{00000000-0005-0000-0000-0000B17B0000}"/>
    <cellStyle name="Normal 7 2 7 2 7" xfId="31640" xr:uid="{00000000-0005-0000-0000-0000B27B0000}"/>
    <cellStyle name="Normal 7 2 7 3" xfId="31641" xr:uid="{00000000-0005-0000-0000-0000B37B0000}"/>
    <cellStyle name="Normal 7 2 7 3 2" xfId="31642" xr:uid="{00000000-0005-0000-0000-0000B47B0000}"/>
    <cellStyle name="Normal 7 2 7 3 2 2" xfId="31643" xr:uid="{00000000-0005-0000-0000-0000B57B0000}"/>
    <cellStyle name="Normal 7 2 7 3 2 2 2" xfId="31644" xr:uid="{00000000-0005-0000-0000-0000B67B0000}"/>
    <cellStyle name="Normal 7 2 7 3 2 2 3" xfId="31645" xr:uid="{00000000-0005-0000-0000-0000B77B0000}"/>
    <cellStyle name="Normal 7 2 7 3 2 3" xfId="31646" xr:uid="{00000000-0005-0000-0000-0000B87B0000}"/>
    <cellStyle name="Normal 7 2 7 3 2 4" xfId="31647" xr:uid="{00000000-0005-0000-0000-0000B97B0000}"/>
    <cellStyle name="Normal 7 2 7 3 3" xfId="31648" xr:uid="{00000000-0005-0000-0000-0000BA7B0000}"/>
    <cellStyle name="Normal 7 2 7 3 3 2" xfId="31649" xr:uid="{00000000-0005-0000-0000-0000BB7B0000}"/>
    <cellStyle name="Normal 7 2 7 3 3 3" xfId="31650" xr:uid="{00000000-0005-0000-0000-0000BC7B0000}"/>
    <cellStyle name="Normal 7 2 7 3 4" xfId="31651" xr:uid="{00000000-0005-0000-0000-0000BD7B0000}"/>
    <cellStyle name="Normal 7 2 7 3 5" xfId="31652" xr:uid="{00000000-0005-0000-0000-0000BE7B0000}"/>
    <cellStyle name="Normal 7 2 7 3 6" xfId="31653" xr:uid="{00000000-0005-0000-0000-0000BF7B0000}"/>
    <cellStyle name="Normal 7 2 7 4" xfId="31654" xr:uid="{00000000-0005-0000-0000-0000C07B0000}"/>
    <cellStyle name="Normal 7 2 7 4 2" xfId="31655" xr:uid="{00000000-0005-0000-0000-0000C17B0000}"/>
    <cellStyle name="Normal 7 2 7 4 2 2" xfId="31656" xr:uid="{00000000-0005-0000-0000-0000C27B0000}"/>
    <cellStyle name="Normal 7 2 7 4 2 3" xfId="31657" xr:uid="{00000000-0005-0000-0000-0000C37B0000}"/>
    <cellStyle name="Normal 7 2 7 4 3" xfId="31658" xr:uid="{00000000-0005-0000-0000-0000C47B0000}"/>
    <cellStyle name="Normal 7 2 7 4 4" xfId="31659" xr:uid="{00000000-0005-0000-0000-0000C57B0000}"/>
    <cellStyle name="Normal 7 2 7 5" xfId="31660" xr:uid="{00000000-0005-0000-0000-0000C67B0000}"/>
    <cellStyle name="Normal 7 2 7 5 2" xfId="31661" xr:uid="{00000000-0005-0000-0000-0000C77B0000}"/>
    <cellStyle name="Normal 7 2 7 5 3" xfId="31662" xr:uid="{00000000-0005-0000-0000-0000C87B0000}"/>
    <cellStyle name="Normal 7 2 7 6" xfId="31663" xr:uid="{00000000-0005-0000-0000-0000C97B0000}"/>
    <cellStyle name="Normal 7 2 7 7" xfId="31664" xr:uid="{00000000-0005-0000-0000-0000CA7B0000}"/>
    <cellStyle name="Normal 7 2 7 8" xfId="31665" xr:uid="{00000000-0005-0000-0000-0000CB7B0000}"/>
    <cellStyle name="Normal 7 2 8" xfId="31666" xr:uid="{00000000-0005-0000-0000-0000CC7B0000}"/>
    <cellStyle name="Normal 7 2 8 2" xfId="31667" xr:uid="{00000000-0005-0000-0000-0000CD7B0000}"/>
    <cellStyle name="Normal 7 2 8 2 2" xfId="31668" xr:uid="{00000000-0005-0000-0000-0000CE7B0000}"/>
    <cellStyle name="Normal 7 2 8 2 2 2" xfId="31669" xr:uid="{00000000-0005-0000-0000-0000CF7B0000}"/>
    <cellStyle name="Normal 7 2 8 2 2 2 2" xfId="31670" xr:uid="{00000000-0005-0000-0000-0000D07B0000}"/>
    <cellStyle name="Normal 7 2 8 2 2 2 3" xfId="31671" xr:uid="{00000000-0005-0000-0000-0000D17B0000}"/>
    <cellStyle name="Normal 7 2 8 2 2 3" xfId="31672" xr:uid="{00000000-0005-0000-0000-0000D27B0000}"/>
    <cellStyle name="Normal 7 2 8 2 2 4" xfId="31673" xr:uid="{00000000-0005-0000-0000-0000D37B0000}"/>
    <cellStyle name="Normal 7 2 8 2 3" xfId="31674" xr:uid="{00000000-0005-0000-0000-0000D47B0000}"/>
    <cellStyle name="Normal 7 2 8 2 3 2" xfId="31675" xr:uid="{00000000-0005-0000-0000-0000D57B0000}"/>
    <cellStyle name="Normal 7 2 8 2 3 3" xfId="31676" xr:uid="{00000000-0005-0000-0000-0000D67B0000}"/>
    <cellStyle name="Normal 7 2 8 2 4" xfId="31677" xr:uid="{00000000-0005-0000-0000-0000D77B0000}"/>
    <cellStyle name="Normal 7 2 8 2 5" xfId="31678" xr:uid="{00000000-0005-0000-0000-0000D87B0000}"/>
    <cellStyle name="Normal 7 2 8 2 6" xfId="31679" xr:uid="{00000000-0005-0000-0000-0000D97B0000}"/>
    <cellStyle name="Normal 7 2 8 3" xfId="31680" xr:uid="{00000000-0005-0000-0000-0000DA7B0000}"/>
    <cellStyle name="Normal 7 2 8 3 2" xfId="31681" xr:uid="{00000000-0005-0000-0000-0000DB7B0000}"/>
    <cellStyle name="Normal 7 2 8 3 2 2" xfId="31682" xr:uid="{00000000-0005-0000-0000-0000DC7B0000}"/>
    <cellStyle name="Normal 7 2 8 3 2 3" xfId="31683" xr:uid="{00000000-0005-0000-0000-0000DD7B0000}"/>
    <cellStyle name="Normal 7 2 8 3 3" xfId="31684" xr:uid="{00000000-0005-0000-0000-0000DE7B0000}"/>
    <cellStyle name="Normal 7 2 8 3 4" xfId="31685" xr:uid="{00000000-0005-0000-0000-0000DF7B0000}"/>
    <cellStyle name="Normal 7 2 8 4" xfId="31686" xr:uid="{00000000-0005-0000-0000-0000E07B0000}"/>
    <cellStyle name="Normal 7 2 8 4 2" xfId="31687" xr:uid="{00000000-0005-0000-0000-0000E17B0000}"/>
    <cellStyle name="Normal 7 2 8 4 3" xfId="31688" xr:uid="{00000000-0005-0000-0000-0000E27B0000}"/>
    <cellStyle name="Normal 7 2 8 5" xfId="31689" xr:uid="{00000000-0005-0000-0000-0000E37B0000}"/>
    <cellStyle name="Normal 7 2 8 6" xfId="31690" xr:uid="{00000000-0005-0000-0000-0000E47B0000}"/>
    <cellStyle name="Normal 7 2 8 7" xfId="31691" xr:uid="{00000000-0005-0000-0000-0000E57B0000}"/>
    <cellStyle name="Normal 7 2 9" xfId="31692" xr:uid="{00000000-0005-0000-0000-0000E67B0000}"/>
    <cellStyle name="Normal 7 2 9 2" xfId="31693" xr:uid="{00000000-0005-0000-0000-0000E77B0000}"/>
    <cellStyle name="Normal 7 2 9 2 2" xfId="31694" xr:uid="{00000000-0005-0000-0000-0000E87B0000}"/>
    <cellStyle name="Normal 7 2 9 2 2 2" xfId="31695" xr:uid="{00000000-0005-0000-0000-0000E97B0000}"/>
    <cellStyle name="Normal 7 2 9 2 2 3" xfId="31696" xr:uid="{00000000-0005-0000-0000-0000EA7B0000}"/>
    <cellStyle name="Normal 7 2 9 2 3" xfId="31697" xr:uid="{00000000-0005-0000-0000-0000EB7B0000}"/>
    <cellStyle name="Normal 7 2 9 2 4" xfId="31698" xr:uid="{00000000-0005-0000-0000-0000EC7B0000}"/>
    <cellStyle name="Normal 7 2 9 3" xfId="31699" xr:uid="{00000000-0005-0000-0000-0000ED7B0000}"/>
    <cellStyle name="Normal 7 2 9 3 2" xfId="31700" xr:uid="{00000000-0005-0000-0000-0000EE7B0000}"/>
    <cellStyle name="Normal 7 2 9 3 3" xfId="31701" xr:uid="{00000000-0005-0000-0000-0000EF7B0000}"/>
    <cellStyle name="Normal 7 2 9 4" xfId="31702" xr:uid="{00000000-0005-0000-0000-0000F07B0000}"/>
    <cellStyle name="Normal 7 2 9 5" xfId="31703" xr:uid="{00000000-0005-0000-0000-0000F17B0000}"/>
    <cellStyle name="Normal 7 2 9 6" xfId="31704" xr:uid="{00000000-0005-0000-0000-0000F27B0000}"/>
    <cellStyle name="Normal 7 3" xfId="31705" xr:uid="{00000000-0005-0000-0000-0000F37B0000}"/>
    <cellStyle name="Normal 7 3 10" xfId="31706" xr:uid="{00000000-0005-0000-0000-0000F47B0000}"/>
    <cellStyle name="Normal 7 3 11" xfId="31707" xr:uid="{00000000-0005-0000-0000-0000F57B0000}"/>
    <cellStyle name="Normal 7 3 2" xfId="31708" xr:uid="{00000000-0005-0000-0000-0000F67B0000}"/>
    <cellStyle name="Normal 7 3 2 10" xfId="31709" xr:uid="{00000000-0005-0000-0000-0000F77B0000}"/>
    <cellStyle name="Normal 7 3 2 2" xfId="31710" xr:uid="{00000000-0005-0000-0000-0000F87B0000}"/>
    <cellStyle name="Normal 7 3 2 2 2" xfId="31711" xr:uid="{00000000-0005-0000-0000-0000F97B0000}"/>
    <cellStyle name="Normal 7 3 2 2 2 2" xfId="31712" xr:uid="{00000000-0005-0000-0000-0000FA7B0000}"/>
    <cellStyle name="Normal 7 3 2 2 2 2 2" xfId="31713" xr:uid="{00000000-0005-0000-0000-0000FB7B0000}"/>
    <cellStyle name="Normal 7 3 2 2 2 2 2 2" xfId="31714" xr:uid="{00000000-0005-0000-0000-0000FC7B0000}"/>
    <cellStyle name="Normal 7 3 2 2 2 2 2 2 2" xfId="31715" xr:uid="{00000000-0005-0000-0000-0000FD7B0000}"/>
    <cellStyle name="Normal 7 3 2 2 2 2 2 2 2 2" xfId="31716" xr:uid="{00000000-0005-0000-0000-0000FE7B0000}"/>
    <cellStyle name="Normal 7 3 2 2 2 2 2 2 2 3" xfId="31717" xr:uid="{00000000-0005-0000-0000-0000FF7B0000}"/>
    <cellStyle name="Normal 7 3 2 2 2 2 2 2 3" xfId="31718" xr:uid="{00000000-0005-0000-0000-0000007C0000}"/>
    <cellStyle name="Normal 7 3 2 2 2 2 2 2 4" xfId="31719" xr:uid="{00000000-0005-0000-0000-0000017C0000}"/>
    <cellStyle name="Normal 7 3 2 2 2 2 2 3" xfId="31720" xr:uid="{00000000-0005-0000-0000-0000027C0000}"/>
    <cellStyle name="Normal 7 3 2 2 2 2 2 3 2" xfId="31721" xr:uid="{00000000-0005-0000-0000-0000037C0000}"/>
    <cellStyle name="Normal 7 3 2 2 2 2 2 3 3" xfId="31722" xr:uid="{00000000-0005-0000-0000-0000047C0000}"/>
    <cellStyle name="Normal 7 3 2 2 2 2 2 4" xfId="31723" xr:uid="{00000000-0005-0000-0000-0000057C0000}"/>
    <cellStyle name="Normal 7 3 2 2 2 2 2 5" xfId="31724" xr:uid="{00000000-0005-0000-0000-0000067C0000}"/>
    <cellStyle name="Normal 7 3 2 2 2 2 2 6" xfId="31725" xr:uid="{00000000-0005-0000-0000-0000077C0000}"/>
    <cellStyle name="Normal 7 3 2 2 2 2 3" xfId="31726" xr:uid="{00000000-0005-0000-0000-0000087C0000}"/>
    <cellStyle name="Normal 7 3 2 2 2 2 3 2" xfId="31727" xr:uid="{00000000-0005-0000-0000-0000097C0000}"/>
    <cellStyle name="Normal 7 3 2 2 2 2 3 2 2" xfId="31728" xr:uid="{00000000-0005-0000-0000-00000A7C0000}"/>
    <cellStyle name="Normal 7 3 2 2 2 2 3 2 3" xfId="31729" xr:uid="{00000000-0005-0000-0000-00000B7C0000}"/>
    <cellStyle name="Normal 7 3 2 2 2 2 3 3" xfId="31730" xr:uid="{00000000-0005-0000-0000-00000C7C0000}"/>
    <cellStyle name="Normal 7 3 2 2 2 2 3 4" xfId="31731" xr:uid="{00000000-0005-0000-0000-00000D7C0000}"/>
    <cellStyle name="Normal 7 3 2 2 2 2 4" xfId="31732" xr:uid="{00000000-0005-0000-0000-00000E7C0000}"/>
    <cellStyle name="Normal 7 3 2 2 2 2 4 2" xfId="31733" xr:uid="{00000000-0005-0000-0000-00000F7C0000}"/>
    <cellStyle name="Normal 7 3 2 2 2 2 4 3" xfId="31734" xr:uid="{00000000-0005-0000-0000-0000107C0000}"/>
    <cellStyle name="Normal 7 3 2 2 2 2 5" xfId="31735" xr:uid="{00000000-0005-0000-0000-0000117C0000}"/>
    <cellStyle name="Normal 7 3 2 2 2 2 6" xfId="31736" xr:uid="{00000000-0005-0000-0000-0000127C0000}"/>
    <cellStyle name="Normal 7 3 2 2 2 2 7" xfId="31737" xr:uid="{00000000-0005-0000-0000-0000137C0000}"/>
    <cellStyle name="Normal 7 3 2 2 2 3" xfId="31738" xr:uid="{00000000-0005-0000-0000-0000147C0000}"/>
    <cellStyle name="Normal 7 3 2 2 2 3 2" xfId="31739" xr:uid="{00000000-0005-0000-0000-0000157C0000}"/>
    <cellStyle name="Normal 7 3 2 2 2 3 2 2" xfId="31740" xr:uid="{00000000-0005-0000-0000-0000167C0000}"/>
    <cellStyle name="Normal 7 3 2 2 2 3 2 2 2" xfId="31741" xr:uid="{00000000-0005-0000-0000-0000177C0000}"/>
    <cellStyle name="Normal 7 3 2 2 2 3 2 2 3" xfId="31742" xr:uid="{00000000-0005-0000-0000-0000187C0000}"/>
    <cellStyle name="Normal 7 3 2 2 2 3 2 3" xfId="31743" xr:uid="{00000000-0005-0000-0000-0000197C0000}"/>
    <cellStyle name="Normal 7 3 2 2 2 3 2 4" xfId="31744" xr:uid="{00000000-0005-0000-0000-00001A7C0000}"/>
    <cellStyle name="Normal 7 3 2 2 2 3 3" xfId="31745" xr:uid="{00000000-0005-0000-0000-00001B7C0000}"/>
    <cellStyle name="Normal 7 3 2 2 2 3 3 2" xfId="31746" xr:uid="{00000000-0005-0000-0000-00001C7C0000}"/>
    <cellStyle name="Normal 7 3 2 2 2 3 3 3" xfId="31747" xr:uid="{00000000-0005-0000-0000-00001D7C0000}"/>
    <cellStyle name="Normal 7 3 2 2 2 3 4" xfId="31748" xr:uid="{00000000-0005-0000-0000-00001E7C0000}"/>
    <cellStyle name="Normal 7 3 2 2 2 3 5" xfId="31749" xr:uid="{00000000-0005-0000-0000-00001F7C0000}"/>
    <cellStyle name="Normal 7 3 2 2 2 3 6" xfId="31750" xr:uid="{00000000-0005-0000-0000-0000207C0000}"/>
    <cellStyle name="Normal 7 3 2 2 2 4" xfId="31751" xr:uid="{00000000-0005-0000-0000-0000217C0000}"/>
    <cellStyle name="Normal 7 3 2 2 2 4 2" xfId="31752" xr:uid="{00000000-0005-0000-0000-0000227C0000}"/>
    <cellStyle name="Normal 7 3 2 2 2 4 2 2" xfId="31753" xr:uid="{00000000-0005-0000-0000-0000237C0000}"/>
    <cellStyle name="Normal 7 3 2 2 2 4 2 3" xfId="31754" xr:uid="{00000000-0005-0000-0000-0000247C0000}"/>
    <cellStyle name="Normal 7 3 2 2 2 4 3" xfId="31755" xr:uid="{00000000-0005-0000-0000-0000257C0000}"/>
    <cellStyle name="Normal 7 3 2 2 2 4 4" xfId="31756" xr:uid="{00000000-0005-0000-0000-0000267C0000}"/>
    <cellStyle name="Normal 7 3 2 2 2 5" xfId="31757" xr:uid="{00000000-0005-0000-0000-0000277C0000}"/>
    <cellStyle name="Normal 7 3 2 2 2 5 2" xfId="31758" xr:uid="{00000000-0005-0000-0000-0000287C0000}"/>
    <cellStyle name="Normal 7 3 2 2 2 5 3" xfId="31759" xr:uid="{00000000-0005-0000-0000-0000297C0000}"/>
    <cellStyle name="Normal 7 3 2 2 2 6" xfId="31760" xr:uid="{00000000-0005-0000-0000-00002A7C0000}"/>
    <cellStyle name="Normal 7 3 2 2 2 7" xfId="31761" xr:uid="{00000000-0005-0000-0000-00002B7C0000}"/>
    <cellStyle name="Normal 7 3 2 2 2 8" xfId="31762" xr:uid="{00000000-0005-0000-0000-00002C7C0000}"/>
    <cellStyle name="Normal 7 3 2 2 3" xfId="31763" xr:uid="{00000000-0005-0000-0000-00002D7C0000}"/>
    <cellStyle name="Normal 7 3 2 2 3 2" xfId="31764" xr:uid="{00000000-0005-0000-0000-00002E7C0000}"/>
    <cellStyle name="Normal 7 3 2 2 3 2 2" xfId="31765" xr:uid="{00000000-0005-0000-0000-00002F7C0000}"/>
    <cellStyle name="Normal 7 3 2 2 3 2 2 2" xfId="31766" xr:uid="{00000000-0005-0000-0000-0000307C0000}"/>
    <cellStyle name="Normal 7 3 2 2 3 2 2 2 2" xfId="31767" xr:uid="{00000000-0005-0000-0000-0000317C0000}"/>
    <cellStyle name="Normal 7 3 2 2 3 2 2 2 3" xfId="31768" xr:uid="{00000000-0005-0000-0000-0000327C0000}"/>
    <cellStyle name="Normal 7 3 2 2 3 2 2 3" xfId="31769" xr:uid="{00000000-0005-0000-0000-0000337C0000}"/>
    <cellStyle name="Normal 7 3 2 2 3 2 2 4" xfId="31770" xr:uid="{00000000-0005-0000-0000-0000347C0000}"/>
    <cellStyle name="Normal 7 3 2 2 3 2 3" xfId="31771" xr:uid="{00000000-0005-0000-0000-0000357C0000}"/>
    <cellStyle name="Normal 7 3 2 2 3 2 3 2" xfId="31772" xr:uid="{00000000-0005-0000-0000-0000367C0000}"/>
    <cellStyle name="Normal 7 3 2 2 3 2 3 3" xfId="31773" xr:uid="{00000000-0005-0000-0000-0000377C0000}"/>
    <cellStyle name="Normal 7 3 2 2 3 2 4" xfId="31774" xr:uid="{00000000-0005-0000-0000-0000387C0000}"/>
    <cellStyle name="Normal 7 3 2 2 3 2 5" xfId="31775" xr:uid="{00000000-0005-0000-0000-0000397C0000}"/>
    <cellStyle name="Normal 7 3 2 2 3 2 6" xfId="31776" xr:uid="{00000000-0005-0000-0000-00003A7C0000}"/>
    <cellStyle name="Normal 7 3 2 2 3 3" xfId="31777" xr:uid="{00000000-0005-0000-0000-00003B7C0000}"/>
    <cellStyle name="Normal 7 3 2 2 3 3 2" xfId="31778" xr:uid="{00000000-0005-0000-0000-00003C7C0000}"/>
    <cellStyle name="Normal 7 3 2 2 3 3 2 2" xfId="31779" xr:uid="{00000000-0005-0000-0000-00003D7C0000}"/>
    <cellStyle name="Normal 7 3 2 2 3 3 2 3" xfId="31780" xr:uid="{00000000-0005-0000-0000-00003E7C0000}"/>
    <cellStyle name="Normal 7 3 2 2 3 3 3" xfId="31781" xr:uid="{00000000-0005-0000-0000-00003F7C0000}"/>
    <cellStyle name="Normal 7 3 2 2 3 3 4" xfId="31782" xr:uid="{00000000-0005-0000-0000-0000407C0000}"/>
    <cellStyle name="Normal 7 3 2 2 3 4" xfId="31783" xr:uid="{00000000-0005-0000-0000-0000417C0000}"/>
    <cellStyle name="Normal 7 3 2 2 3 4 2" xfId="31784" xr:uid="{00000000-0005-0000-0000-0000427C0000}"/>
    <cellStyle name="Normal 7 3 2 2 3 4 3" xfId="31785" xr:uid="{00000000-0005-0000-0000-0000437C0000}"/>
    <cellStyle name="Normal 7 3 2 2 3 5" xfId="31786" xr:uid="{00000000-0005-0000-0000-0000447C0000}"/>
    <cellStyle name="Normal 7 3 2 2 3 6" xfId="31787" xr:uid="{00000000-0005-0000-0000-0000457C0000}"/>
    <cellStyle name="Normal 7 3 2 2 3 7" xfId="31788" xr:uid="{00000000-0005-0000-0000-0000467C0000}"/>
    <cellStyle name="Normal 7 3 2 2 4" xfId="31789" xr:uid="{00000000-0005-0000-0000-0000477C0000}"/>
    <cellStyle name="Normal 7 3 2 2 4 2" xfId="31790" xr:uid="{00000000-0005-0000-0000-0000487C0000}"/>
    <cellStyle name="Normal 7 3 2 2 4 2 2" xfId="31791" xr:uid="{00000000-0005-0000-0000-0000497C0000}"/>
    <cellStyle name="Normal 7 3 2 2 4 2 2 2" xfId="31792" xr:uid="{00000000-0005-0000-0000-00004A7C0000}"/>
    <cellStyle name="Normal 7 3 2 2 4 2 2 3" xfId="31793" xr:uid="{00000000-0005-0000-0000-00004B7C0000}"/>
    <cellStyle name="Normal 7 3 2 2 4 2 3" xfId="31794" xr:uid="{00000000-0005-0000-0000-00004C7C0000}"/>
    <cellStyle name="Normal 7 3 2 2 4 2 4" xfId="31795" xr:uid="{00000000-0005-0000-0000-00004D7C0000}"/>
    <cellStyle name="Normal 7 3 2 2 4 3" xfId="31796" xr:uid="{00000000-0005-0000-0000-00004E7C0000}"/>
    <cellStyle name="Normal 7 3 2 2 4 3 2" xfId="31797" xr:uid="{00000000-0005-0000-0000-00004F7C0000}"/>
    <cellStyle name="Normal 7 3 2 2 4 3 3" xfId="31798" xr:uid="{00000000-0005-0000-0000-0000507C0000}"/>
    <cellStyle name="Normal 7 3 2 2 4 4" xfId="31799" xr:uid="{00000000-0005-0000-0000-0000517C0000}"/>
    <cellStyle name="Normal 7 3 2 2 4 5" xfId="31800" xr:uid="{00000000-0005-0000-0000-0000527C0000}"/>
    <cellStyle name="Normal 7 3 2 2 4 6" xfId="31801" xr:uid="{00000000-0005-0000-0000-0000537C0000}"/>
    <cellStyle name="Normal 7 3 2 2 5" xfId="31802" xr:uid="{00000000-0005-0000-0000-0000547C0000}"/>
    <cellStyle name="Normal 7 3 2 2 5 2" xfId="31803" xr:uid="{00000000-0005-0000-0000-0000557C0000}"/>
    <cellStyle name="Normal 7 3 2 2 5 2 2" xfId="31804" xr:uid="{00000000-0005-0000-0000-0000567C0000}"/>
    <cellStyle name="Normal 7 3 2 2 5 2 3" xfId="31805" xr:uid="{00000000-0005-0000-0000-0000577C0000}"/>
    <cellStyle name="Normal 7 3 2 2 5 3" xfId="31806" xr:uid="{00000000-0005-0000-0000-0000587C0000}"/>
    <cellStyle name="Normal 7 3 2 2 5 4" xfId="31807" xr:uid="{00000000-0005-0000-0000-0000597C0000}"/>
    <cellStyle name="Normal 7 3 2 2 6" xfId="31808" xr:uid="{00000000-0005-0000-0000-00005A7C0000}"/>
    <cellStyle name="Normal 7 3 2 2 6 2" xfId="31809" xr:uid="{00000000-0005-0000-0000-00005B7C0000}"/>
    <cellStyle name="Normal 7 3 2 2 6 3" xfId="31810" xr:uid="{00000000-0005-0000-0000-00005C7C0000}"/>
    <cellStyle name="Normal 7 3 2 2 7" xfId="31811" xr:uid="{00000000-0005-0000-0000-00005D7C0000}"/>
    <cellStyle name="Normal 7 3 2 2 8" xfId="31812" xr:uid="{00000000-0005-0000-0000-00005E7C0000}"/>
    <cellStyle name="Normal 7 3 2 2 9" xfId="31813" xr:uid="{00000000-0005-0000-0000-00005F7C0000}"/>
    <cellStyle name="Normal 7 3 2 3" xfId="31814" xr:uid="{00000000-0005-0000-0000-0000607C0000}"/>
    <cellStyle name="Normal 7 3 2 3 2" xfId="31815" xr:uid="{00000000-0005-0000-0000-0000617C0000}"/>
    <cellStyle name="Normal 7 3 2 3 2 2" xfId="31816" xr:uid="{00000000-0005-0000-0000-0000627C0000}"/>
    <cellStyle name="Normal 7 3 2 3 2 2 2" xfId="31817" xr:uid="{00000000-0005-0000-0000-0000637C0000}"/>
    <cellStyle name="Normal 7 3 2 3 2 2 2 2" xfId="31818" xr:uid="{00000000-0005-0000-0000-0000647C0000}"/>
    <cellStyle name="Normal 7 3 2 3 2 2 2 2 2" xfId="31819" xr:uid="{00000000-0005-0000-0000-0000657C0000}"/>
    <cellStyle name="Normal 7 3 2 3 2 2 2 2 3" xfId="31820" xr:uid="{00000000-0005-0000-0000-0000667C0000}"/>
    <cellStyle name="Normal 7 3 2 3 2 2 2 3" xfId="31821" xr:uid="{00000000-0005-0000-0000-0000677C0000}"/>
    <cellStyle name="Normal 7 3 2 3 2 2 2 4" xfId="31822" xr:uid="{00000000-0005-0000-0000-0000687C0000}"/>
    <cellStyle name="Normal 7 3 2 3 2 2 3" xfId="31823" xr:uid="{00000000-0005-0000-0000-0000697C0000}"/>
    <cellStyle name="Normal 7 3 2 3 2 2 3 2" xfId="31824" xr:uid="{00000000-0005-0000-0000-00006A7C0000}"/>
    <cellStyle name="Normal 7 3 2 3 2 2 3 3" xfId="31825" xr:uid="{00000000-0005-0000-0000-00006B7C0000}"/>
    <cellStyle name="Normal 7 3 2 3 2 2 4" xfId="31826" xr:uid="{00000000-0005-0000-0000-00006C7C0000}"/>
    <cellStyle name="Normal 7 3 2 3 2 2 5" xfId="31827" xr:uid="{00000000-0005-0000-0000-00006D7C0000}"/>
    <cellStyle name="Normal 7 3 2 3 2 2 6" xfId="31828" xr:uid="{00000000-0005-0000-0000-00006E7C0000}"/>
    <cellStyle name="Normal 7 3 2 3 2 3" xfId="31829" xr:uid="{00000000-0005-0000-0000-00006F7C0000}"/>
    <cellStyle name="Normal 7 3 2 3 2 3 2" xfId="31830" xr:uid="{00000000-0005-0000-0000-0000707C0000}"/>
    <cellStyle name="Normal 7 3 2 3 2 3 2 2" xfId="31831" xr:uid="{00000000-0005-0000-0000-0000717C0000}"/>
    <cellStyle name="Normal 7 3 2 3 2 3 2 3" xfId="31832" xr:uid="{00000000-0005-0000-0000-0000727C0000}"/>
    <cellStyle name="Normal 7 3 2 3 2 3 3" xfId="31833" xr:uid="{00000000-0005-0000-0000-0000737C0000}"/>
    <cellStyle name="Normal 7 3 2 3 2 3 4" xfId="31834" xr:uid="{00000000-0005-0000-0000-0000747C0000}"/>
    <cellStyle name="Normal 7 3 2 3 2 4" xfId="31835" xr:uid="{00000000-0005-0000-0000-0000757C0000}"/>
    <cellStyle name="Normal 7 3 2 3 2 4 2" xfId="31836" xr:uid="{00000000-0005-0000-0000-0000767C0000}"/>
    <cellStyle name="Normal 7 3 2 3 2 4 3" xfId="31837" xr:uid="{00000000-0005-0000-0000-0000777C0000}"/>
    <cellStyle name="Normal 7 3 2 3 2 5" xfId="31838" xr:uid="{00000000-0005-0000-0000-0000787C0000}"/>
    <cellStyle name="Normal 7 3 2 3 2 6" xfId="31839" xr:uid="{00000000-0005-0000-0000-0000797C0000}"/>
    <cellStyle name="Normal 7 3 2 3 2 7" xfId="31840" xr:uid="{00000000-0005-0000-0000-00007A7C0000}"/>
    <cellStyle name="Normal 7 3 2 3 3" xfId="31841" xr:uid="{00000000-0005-0000-0000-00007B7C0000}"/>
    <cellStyle name="Normal 7 3 2 3 3 2" xfId="31842" xr:uid="{00000000-0005-0000-0000-00007C7C0000}"/>
    <cellStyle name="Normal 7 3 2 3 3 2 2" xfId="31843" xr:uid="{00000000-0005-0000-0000-00007D7C0000}"/>
    <cellStyle name="Normal 7 3 2 3 3 2 2 2" xfId="31844" xr:uid="{00000000-0005-0000-0000-00007E7C0000}"/>
    <cellStyle name="Normal 7 3 2 3 3 2 2 3" xfId="31845" xr:uid="{00000000-0005-0000-0000-00007F7C0000}"/>
    <cellStyle name="Normal 7 3 2 3 3 2 3" xfId="31846" xr:uid="{00000000-0005-0000-0000-0000807C0000}"/>
    <cellStyle name="Normal 7 3 2 3 3 2 4" xfId="31847" xr:uid="{00000000-0005-0000-0000-0000817C0000}"/>
    <cellStyle name="Normal 7 3 2 3 3 3" xfId="31848" xr:uid="{00000000-0005-0000-0000-0000827C0000}"/>
    <cellStyle name="Normal 7 3 2 3 3 3 2" xfId="31849" xr:uid="{00000000-0005-0000-0000-0000837C0000}"/>
    <cellStyle name="Normal 7 3 2 3 3 3 3" xfId="31850" xr:uid="{00000000-0005-0000-0000-0000847C0000}"/>
    <cellStyle name="Normal 7 3 2 3 3 4" xfId="31851" xr:uid="{00000000-0005-0000-0000-0000857C0000}"/>
    <cellStyle name="Normal 7 3 2 3 3 5" xfId="31852" xr:uid="{00000000-0005-0000-0000-0000867C0000}"/>
    <cellStyle name="Normal 7 3 2 3 3 6" xfId="31853" xr:uid="{00000000-0005-0000-0000-0000877C0000}"/>
    <cellStyle name="Normal 7 3 2 3 4" xfId="31854" xr:uid="{00000000-0005-0000-0000-0000887C0000}"/>
    <cellStyle name="Normal 7 3 2 3 4 2" xfId="31855" xr:uid="{00000000-0005-0000-0000-0000897C0000}"/>
    <cellStyle name="Normal 7 3 2 3 4 2 2" xfId="31856" xr:uid="{00000000-0005-0000-0000-00008A7C0000}"/>
    <cellStyle name="Normal 7 3 2 3 4 2 3" xfId="31857" xr:uid="{00000000-0005-0000-0000-00008B7C0000}"/>
    <cellStyle name="Normal 7 3 2 3 4 3" xfId="31858" xr:uid="{00000000-0005-0000-0000-00008C7C0000}"/>
    <cellStyle name="Normal 7 3 2 3 4 4" xfId="31859" xr:uid="{00000000-0005-0000-0000-00008D7C0000}"/>
    <cellStyle name="Normal 7 3 2 3 5" xfId="31860" xr:uid="{00000000-0005-0000-0000-00008E7C0000}"/>
    <cellStyle name="Normal 7 3 2 3 5 2" xfId="31861" xr:uid="{00000000-0005-0000-0000-00008F7C0000}"/>
    <cellStyle name="Normal 7 3 2 3 5 3" xfId="31862" xr:uid="{00000000-0005-0000-0000-0000907C0000}"/>
    <cellStyle name="Normal 7 3 2 3 6" xfId="31863" xr:uid="{00000000-0005-0000-0000-0000917C0000}"/>
    <cellStyle name="Normal 7 3 2 3 7" xfId="31864" xr:uid="{00000000-0005-0000-0000-0000927C0000}"/>
    <cellStyle name="Normal 7 3 2 3 8" xfId="31865" xr:uid="{00000000-0005-0000-0000-0000937C0000}"/>
    <cellStyle name="Normal 7 3 2 4" xfId="31866" xr:uid="{00000000-0005-0000-0000-0000947C0000}"/>
    <cellStyle name="Normal 7 3 2 4 2" xfId="31867" xr:uid="{00000000-0005-0000-0000-0000957C0000}"/>
    <cellStyle name="Normal 7 3 2 4 2 2" xfId="31868" xr:uid="{00000000-0005-0000-0000-0000967C0000}"/>
    <cellStyle name="Normal 7 3 2 4 2 2 2" xfId="31869" xr:uid="{00000000-0005-0000-0000-0000977C0000}"/>
    <cellStyle name="Normal 7 3 2 4 2 2 2 2" xfId="31870" xr:uid="{00000000-0005-0000-0000-0000987C0000}"/>
    <cellStyle name="Normal 7 3 2 4 2 2 2 3" xfId="31871" xr:uid="{00000000-0005-0000-0000-0000997C0000}"/>
    <cellStyle name="Normal 7 3 2 4 2 2 3" xfId="31872" xr:uid="{00000000-0005-0000-0000-00009A7C0000}"/>
    <cellStyle name="Normal 7 3 2 4 2 2 4" xfId="31873" xr:uid="{00000000-0005-0000-0000-00009B7C0000}"/>
    <cellStyle name="Normal 7 3 2 4 2 3" xfId="31874" xr:uid="{00000000-0005-0000-0000-00009C7C0000}"/>
    <cellStyle name="Normal 7 3 2 4 2 3 2" xfId="31875" xr:uid="{00000000-0005-0000-0000-00009D7C0000}"/>
    <cellStyle name="Normal 7 3 2 4 2 3 3" xfId="31876" xr:uid="{00000000-0005-0000-0000-00009E7C0000}"/>
    <cellStyle name="Normal 7 3 2 4 2 4" xfId="31877" xr:uid="{00000000-0005-0000-0000-00009F7C0000}"/>
    <cellStyle name="Normal 7 3 2 4 2 5" xfId="31878" xr:uid="{00000000-0005-0000-0000-0000A07C0000}"/>
    <cellStyle name="Normal 7 3 2 4 2 6" xfId="31879" xr:uid="{00000000-0005-0000-0000-0000A17C0000}"/>
    <cellStyle name="Normal 7 3 2 4 3" xfId="31880" xr:uid="{00000000-0005-0000-0000-0000A27C0000}"/>
    <cellStyle name="Normal 7 3 2 4 3 2" xfId="31881" xr:uid="{00000000-0005-0000-0000-0000A37C0000}"/>
    <cellStyle name="Normal 7 3 2 4 3 2 2" xfId="31882" xr:uid="{00000000-0005-0000-0000-0000A47C0000}"/>
    <cellStyle name="Normal 7 3 2 4 3 2 3" xfId="31883" xr:uid="{00000000-0005-0000-0000-0000A57C0000}"/>
    <cellStyle name="Normal 7 3 2 4 3 3" xfId="31884" xr:uid="{00000000-0005-0000-0000-0000A67C0000}"/>
    <cellStyle name="Normal 7 3 2 4 3 4" xfId="31885" xr:uid="{00000000-0005-0000-0000-0000A77C0000}"/>
    <cellStyle name="Normal 7 3 2 4 4" xfId="31886" xr:uid="{00000000-0005-0000-0000-0000A87C0000}"/>
    <cellStyle name="Normal 7 3 2 4 4 2" xfId="31887" xr:uid="{00000000-0005-0000-0000-0000A97C0000}"/>
    <cellStyle name="Normal 7 3 2 4 4 3" xfId="31888" xr:uid="{00000000-0005-0000-0000-0000AA7C0000}"/>
    <cellStyle name="Normal 7 3 2 4 5" xfId="31889" xr:uid="{00000000-0005-0000-0000-0000AB7C0000}"/>
    <cellStyle name="Normal 7 3 2 4 6" xfId="31890" xr:uid="{00000000-0005-0000-0000-0000AC7C0000}"/>
    <cellStyle name="Normal 7 3 2 4 7" xfId="31891" xr:uid="{00000000-0005-0000-0000-0000AD7C0000}"/>
    <cellStyle name="Normal 7 3 2 5" xfId="31892" xr:uid="{00000000-0005-0000-0000-0000AE7C0000}"/>
    <cellStyle name="Normal 7 3 2 5 2" xfId="31893" xr:uid="{00000000-0005-0000-0000-0000AF7C0000}"/>
    <cellStyle name="Normal 7 3 2 5 2 2" xfId="31894" xr:uid="{00000000-0005-0000-0000-0000B07C0000}"/>
    <cellStyle name="Normal 7 3 2 5 2 2 2" xfId="31895" xr:uid="{00000000-0005-0000-0000-0000B17C0000}"/>
    <cellStyle name="Normal 7 3 2 5 2 2 3" xfId="31896" xr:uid="{00000000-0005-0000-0000-0000B27C0000}"/>
    <cellStyle name="Normal 7 3 2 5 2 3" xfId="31897" xr:uid="{00000000-0005-0000-0000-0000B37C0000}"/>
    <cellStyle name="Normal 7 3 2 5 2 4" xfId="31898" xr:uid="{00000000-0005-0000-0000-0000B47C0000}"/>
    <cellStyle name="Normal 7 3 2 5 3" xfId="31899" xr:uid="{00000000-0005-0000-0000-0000B57C0000}"/>
    <cellStyle name="Normal 7 3 2 5 3 2" xfId="31900" xr:uid="{00000000-0005-0000-0000-0000B67C0000}"/>
    <cellStyle name="Normal 7 3 2 5 3 3" xfId="31901" xr:uid="{00000000-0005-0000-0000-0000B77C0000}"/>
    <cellStyle name="Normal 7 3 2 5 4" xfId="31902" xr:uid="{00000000-0005-0000-0000-0000B87C0000}"/>
    <cellStyle name="Normal 7 3 2 5 5" xfId="31903" xr:uid="{00000000-0005-0000-0000-0000B97C0000}"/>
    <cellStyle name="Normal 7 3 2 5 6" xfId="31904" xr:uid="{00000000-0005-0000-0000-0000BA7C0000}"/>
    <cellStyle name="Normal 7 3 2 6" xfId="31905" xr:uid="{00000000-0005-0000-0000-0000BB7C0000}"/>
    <cellStyle name="Normal 7 3 2 6 2" xfId="31906" xr:uid="{00000000-0005-0000-0000-0000BC7C0000}"/>
    <cellStyle name="Normal 7 3 2 6 2 2" xfId="31907" xr:uid="{00000000-0005-0000-0000-0000BD7C0000}"/>
    <cellStyle name="Normal 7 3 2 6 2 3" xfId="31908" xr:uid="{00000000-0005-0000-0000-0000BE7C0000}"/>
    <cellStyle name="Normal 7 3 2 6 3" xfId="31909" xr:uid="{00000000-0005-0000-0000-0000BF7C0000}"/>
    <cellStyle name="Normal 7 3 2 6 4" xfId="31910" xr:uid="{00000000-0005-0000-0000-0000C07C0000}"/>
    <cellStyle name="Normal 7 3 2 7" xfId="31911" xr:uid="{00000000-0005-0000-0000-0000C17C0000}"/>
    <cellStyle name="Normal 7 3 2 7 2" xfId="31912" xr:uid="{00000000-0005-0000-0000-0000C27C0000}"/>
    <cellStyle name="Normal 7 3 2 7 3" xfId="31913" xr:uid="{00000000-0005-0000-0000-0000C37C0000}"/>
    <cellStyle name="Normal 7 3 2 8" xfId="31914" xr:uid="{00000000-0005-0000-0000-0000C47C0000}"/>
    <cellStyle name="Normal 7 3 2 9" xfId="31915" xr:uid="{00000000-0005-0000-0000-0000C57C0000}"/>
    <cellStyle name="Normal 7 3 3" xfId="31916" xr:uid="{00000000-0005-0000-0000-0000C67C0000}"/>
    <cellStyle name="Normal 7 3 3 2" xfId="31917" xr:uid="{00000000-0005-0000-0000-0000C77C0000}"/>
    <cellStyle name="Normal 7 3 3 2 2" xfId="31918" xr:uid="{00000000-0005-0000-0000-0000C87C0000}"/>
    <cellStyle name="Normal 7 3 3 2 2 2" xfId="31919" xr:uid="{00000000-0005-0000-0000-0000C97C0000}"/>
    <cellStyle name="Normal 7 3 3 2 2 2 2" xfId="31920" xr:uid="{00000000-0005-0000-0000-0000CA7C0000}"/>
    <cellStyle name="Normal 7 3 3 2 2 2 2 2" xfId="31921" xr:uid="{00000000-0005-0000-0000-0000CB7C0000}"/>
    <cellStyle name="Normal 7 3 3 2 2 2 2 2 2" xfId="31922" xr:uid="{00000000-0005-0000-0000-0000CC7C0000}"/>
    <cellStyle name="Normal 7 3 3 2 2 2 2 2 3" xfId="31923" xr:uid="{00000000-0005-0000-0000-0000CD7C0000}"/>
    <cellStyle name="Normal 7 3 3 2 2 2 2 3" xfId="31924" xr:uid="{00000000-0005-0000-0000-0000CE7C0000}"/>
    <cellStyle name="Normal 7 3 3 2 2 2 2 4" xfId="31925" xr:uid="{00000000-0005-0000-0000-0000CF7C0000}"/>
    <cellStyle name="Normal 7 3 3 2 2 2 3" xfId="31926" xr:uid="{00000000-0005-0000-0000-0000D07C0000}"/>
    <cellStyle name="Normal 7 3 3 2 2 2 3 2" xfId="31927" xr:uid="{00000000-0005-0000-0000-0000D17C0000}"/>
    <cellStyle name="Normal 7 3 3 2 2 2 3 3" xfId="31928" xr:uid="{00000000-0005-0000-0000-0000D27C0000}"/>
    <cellStyle name="Normal 7 3 3 2 2 2 4" xfId="31929" xr:uid="{00000000-0005-0000-0000-0000D37C0000}"/>
    <cellStyle name="Normal 7 3 3 2 2 2 5" xfId="31930" xr:uid="{00000000-0005-0000-0000-0000D47C0000}"/>
    <cellStyle name="Normal 7 3 3 2 2 2 6" xfId="31931" xr:uid="{00000000-0005-0000-0000-0000D57C0000}"/>
    <cellStyle name="Normal 7 3 3 2 2 3" xfId="31932" xr:uid="{00000000-0005-0000-0000-0000D67C0000}"/>
    <cellStyle name="Normal 7 3 3 2 2 3 2" xfId="31933" xr:uid="{00000000-0005-0000-0000-0000D77C0000}"/>
    <cellStyle name="Normal 7 3 3 2 2 3 2 2" xfId="31934" xr:uid="{00000000-0005-0000-0000-0000D87C0000}"/>
    <cellStyle name="Normal 7 3 3 2 2 3 2 3" xfId="31935" xr:uid="{00000000-0005-0000-0000-0000D97C0000}"/>
    <cellStyle name="Normal 7 3 3 2 2 3 3" xfId="31936" xr:uid="{00000000-0005-0000-0000-0000DA7C0000}"/>
    <cellStyle name="Normal 7 3 3 2 2 3 4" xfId="31937" xr:uid="{00000000-0005-0000-0000-0000DB7C0000}"/>
    <cellStyle name="Normal 7 3 3 2 2 4" xfId="31938" xr:uid="{00000000-0005-0000-0000-0000DC7C0000}"/>
    <cellStyle name="Normal 7 3 3 2 2 4 2" xfId="31939" xr:uid="{00000000-0005-0000-0000-0000DD7C0000}"/>
    <cellStyle name="Normal 7 3 3 2 2 4 3" xfId="31940" xr:uid="{00000000-0005-0000-0000-0000DE7C0000}"/>
    <cellStyle name="Normal 7 3 3 2 2 5" xfId="31941" xr:uid="{00000000-0005-0000-0000-0000DF7C0000}"/>
    <cellStyle name="Normal 7 3 3 2 2 6" xfId="31942" xr:uid="{00000000-0005-0000-0000-0000E07C0000}"/>
    <cellStyle name="Normal 7 3 3 2 2 7" xfId="31943" xr:uid="{00000000-0005-0000-0000-0000E17C0000}"/>
    <cellStyle name="Normal 7 3 3 2 3" xfId="31944" xr:uid="{00000000-0005-0000-0000-0000E27C0000}"/>
    <cellStyle name="Normal 7 3 3 2 3 2" xfId="31945" xr:uid="{00000000-0005-0000-0000-0000E37C0000}"/>
    <cellStyle name="Normal 7 3 3 2 3 2 2" xfId="31946" xr:uid="{00000000-0005-0000-0000-0000E47C0000}"/>
    <cellStyle name="Normal 7 3 3 2 3 2 2 2" xfId="31947" xr:uid="{00000000-0005-0000-0000-0000E57C0000}"/>
    <cellStyle name="Normal 7 3 3 2 3 2 2 3" xfId="31948" xr:uid="{00000000-0005-0000-0000-0000E67C0000}"/>
    <cellStyle name="Normal 7 3 3 2 3 2 3" xfId="31949" xr:uid="{00000000-0005-0000-0000-0000E77C0000}"/>
    <cellStyle name="Normal 7 3 3 2 3 2 4" xfId="31950" xr:uid="{00000000-0005-0000-0000-0000E87C0000}"/>
    <cellStyle name="Normal 7 3 3 2 3 3" xfId="31951" xr:uid="{00000000-0005-0000-0000-0000E97C0000}"/>
    <cellStyle name="Normal 7 3 3 2 3 3 2" xfId="31952" xr:uid="{00000000-0005-0000-0000-0000EA7C0000}"/>
    <cellStyle name="Normal 7 3 3 2 3 3 3" xfId="31953" xr:uid="{00000000-0005-0000-0000-0000EB7C0000}"/>
    <cellStyle name="Normal 7 3 3 2 3 4" xfId="31954" xr:uid="{00000000-0005-0000-0000-0000EC7C0000}"/>
    <cellStyle name="Normal 7 3 3 2 3 5" xfId="31955" xr:uid="{00000000-0005-0000-0000-0000ED7C0000}"/>
    <cellStyle name="Normal 7 3 3 2 3 6" xfId="31956" xr:uid="{00000000-0005-0000-0000-0000EE7C0000}"/>
    <cellStyle name="Normal 7 3 3 2 4" xfId="31957" xr:uid="{00000000-0005-0000-0000-0000EF7C0000}"/>
    <cellStyle name="Normal 7 3 3 2 4 2" xfId="31958" xr:uid="{00000000-0005-0000-0000-0000F07C0000}"/>
    <cellStyle name="Normal 7 3 3 2 4 2 2" xfId="31959" xr:uid="{00000000-0005-0000-0000-0000F17C0000}"/>
    <cellStyle name="Normal 7 3 3 2 4 2 3" xfId="31960" xr:uid="{00000000-0005-0000-0000-0000F27C0000}"/>
    <cellStyle name="Normal 7 3 3 2 4 3" xfId="31961" xr:uid="{00000000-0005-0000-0000-0000F37C0000}"/>
    <cellStyle name="Normal 7 3 3 2 4 4" xfId="31962" xr:uid="{00000000-0005-0000-0000-0000F47C0000}"/>
    <cellStyle name="Normal 7 3 3 2 5" xfId="31963" xr:uid="{00000000-0005-0000-0000-0000F57C0000}"/>
    <cellStyle name="Normal 7 3 3 2 5 2" xfId="31964" xr:uid="{00000000-0005-0000-0000-0000F67C0000}"/>
    <cellStyle name="Normal 7 3 3 2 5 3" xfId="31965" xr:uid="{00000000-0005-0000-0000-0000F77C0000}"/>
    <cellStyle name="Normal 7 3 3 2 6" xfId="31966" xr:uid="{00000000-0005-0000-0000-0000F87C0000}"/>
    <cellStyle name="Normal 7 3 3 2 7" xfId="31967" xr:uid="{00000000-0005-0000-0000-0000F97C0000}"/>
    <cellStyle name="Normal 7 3 3 2 8" xfId="31968" xr:uid="{00000000-0005-0000-0000-0000FA7C0000}"/>
    <cellStyle name="Normal 7 3 3 3" xfId="31969" xr:uid="{00000000-0005-0000-0000-0000FB7C0000}"/>
    <cellStyle name="Normal 7 3 3 3 2" xfId="31970" xr:uid="{00000000-0005-0000-0000-0000FC7C0000}"/>
    <cellStyle name="Normal 7 3 3 3 2 2" xfId="31971" xr:uid="{00000000-0005-0000-0000-0000FD7C0000}"/>
    <cellStyle name="Normal 7 3 3 3 2 2 2" xfId="31972" xr:uid="{00000000-0005-0000-0000-0000FE7C0000}"/>
    <cellStyle name="Normal 7 3 3 3 2 2 2 2" xfId="31973" xr:uid="{00000000-0005-0000-0000-0000FF7C0000}"/>
    <cellStyle name="Normal 7 3 3 3 2 2 2 3" xfId="31974" xr:uid="{00000000-0005-0000-0000-0000007D0000}"/>
    <cellStyle name="Normal 7 3 3 3 2 2 3" xfId="31975" xr:uid="{00000000-0005-0000-0000-0000017D0000}"/>
    <cellStyle name="Normal 7 3 3 3 2 2 4" xfId="31976" xr:uid="{00000000-0005-0000-0000-0000027D0000}"/>
    <cellStyle name="Normal 7 3 3 3 2 3" xfId="31977" xr:uid="{00000000-0005-0000-0000-0000037D0000}"/>
    <cellStyle name="Normal 7 3 3 3 2 3 2" xfId="31978" xr:uid="{00000000-0005-0000-0000-0000047D0000}"/>
    <cellStyle name="Normal 7 3 3 3 2 3 3" xfId="31979" xr:uid="{00000000-0005-0000-0000-0000057D0000}"/>
    <cellStyle name="Normal 7 3 3 3 2 4" xfId="31980" xr:uid="{00000000-0005-0000-0000-0000067D0000}"/>
    <cellStyle name="Normal 7 3 3 3 2 5" xfId="31981" xr:uid="{00000000-0005-0000-0000-0000077D0000}"/>
    <cellStyle name="Normal 7 3 3 3 2 6" xfId="31982" xr:uid="{00000000-0005-0000-0000-0000087D0000}"/>
    <cellStyle name="Normal 7 3 3 3 3" xfId="31983" xr:uid="{00000000-0005-0000-0000-0000097D0000}"/>
    <cellStyle name="Normal 7 3 3 3 3 2" xfId="31984" xr:uid="{00000000-0005-0000-0000-00000A7D0000}"/>
    <cellStyle name="Normal 7 3 3 3 3 2 2" xfId="31985" xr:uid="{00000000-0005-0000-0000-00000B7D0000}"/>
    <cellStyle name="Normal 7 3 3 3 3 2 3" xfId="31986" xr:uid="{00000000-0005-0000-0000-00000C7D0000}"/>
    <cellStyle name="Normal 7 3 3 3 3 3" xfId="31987" xr:uid="{00000000-0005-0000-0000-00000D7D0000}"/>
    <cellStyle name="Normal 7 3 3 3 3 4" xfId="31988" xr:uid="{00000000-0005-0000-0000-00000E7D0000}"/>
    <cellStyle name="Normal 7 3 3 3 4" xfId="31989" xr:uid="{00000000-0005-0000-0000-00000F7D0000}"/>
    <cellStyle name="Normal 7 3 3 3 4 2" xfId="31990" xr:uid="{00000000-0005-0000-0000-0000107D0000}"/>
    <cellStyle name="Normal 7 3 3 3 4 3" xfId="31991" xr:uid="{00000000-0005-0000-0000-0000117D0000}"/>
    <cellStyle name="Normal 7 3 3 3 5" xfId="31992" xr:uid="{00000000-0005-0000-0000-0000127D0000}"/>
    <cellStyle name="Normal 7 3 3 3 6" xfId="31993" xr:uid="{00000000-0005-0000-0000-0000137D0000}"/>
    <cellStyle name="Normal 7 3 3 3 7" xfId="31994" xr:uid="{00000000-0005-0000-0000-0000147D0000}"/>
    <cellStyle name="Normal 7 3 3 4" xfId="31995" xr:uid="{00000000-0005-0000-0000-0000157D0000}"/>
    <cellStyle name="Normal 7 3 3 4 2" xfId="31996" xr:uid="{00000000-0005-0000-0000-0000167D0000}"/>
    <cellStyle name="Normal 7 3 3 4 2 2" xfId="31997" xr:uid="{00000000-0005-0000-0000-0000177D0000}"/>
    <cellStyle name="Normal 7 3 3 4 2 2 2" xfId="31998" xr:uid="{00000000-0005-0000-0000-0000187D0000}"/>
    <cellStyle name="Normal 7 3 3 4 2 2 3" xfId="31999" xr:uid="{00000000-0005-0000-0000-0000197D0000}"/>
    <cellStyle name="Normal 7 3 3 4 2 3" xfId="32000" xr:uid="{00000000-0005-0000-0000-00001A7D0000}"/>
    <cellStyle name="Normal 7 3 3 4 2 4" xfId="32001" xr:uid="{00000000-0005-0000-0000-00001B7D0000}"/>
    <cellStyle name="Normal 7 3 3 4 3" xfId="32002" xr:uid="{00000000-0005-0000-0000-00001C7D0000}"/>
    <cellStyle name="Normal 7 3 3 4 3 2" xfId="32003" xr:uid="{00000000-0005-0000-0000-00001D7D0000}"/>
    <cellStyle name="Normal 7 3 3 4 3 3" xfId="32004" xr:uid="{00000000-0005-0000-0000-00001E7D0000}"/>
    <cellStyle name="Normal 7 3 3 4 4" xfId="32005" xr:uid="{00000000-0005-0000-0000-00001F7D0000}"/>
    <cellStyle name="Normal 7 3 3 4 5" xfId="32006" xr:uid="{00000000-0005-0000-0000-0000207D0000}"/>
    <cellStyle name="Normal 7 3 3 4 6" xfId="32007" xr:uid="{00000000-0005-0000-0000-0000217D0000}"/>
    <cellStyle name="Normal 7 3 3 5" xfId="32008" xr:uid="{00000000-0005-0000-0000-0000227D0000}"/>
    <cellStyle name="Normal 7 3 3 5 2" xfId="32009" xr:uid="{00000000-0005-0000-0000-0000237D0000}"/>
    <cellStyle name="Normal 7 3 3 5 2 2" xfId="32010" xr:uid="{00000000-0005-0000-0000-0000247D0000}"/>
    <cellStyle name="Normal 7 3 3 5 2 3" xfId="32011" xr:uid="{00000000-0005-0000-0000-0000257D0000}"/>
    <cellStyle name="Normal 7 3 3 5 3" xfId="32012" xr:uid="{00000000-0005-0000-0000-0000267D0000}"/>
    <cellStyle name="Normal 7 3 3 5 4" xfId="32013" xr:uid="{00000000-0005-0000-0000-0000277D0000}"/>
    <cellStyle name="Normal 7 3 3 6" xfId="32014" xr:uid="{00000000-0005-0000-0000-0000287D0000}"/>
    <cellStyle name="Normal 7 3 3 6 2" xfId="32015" xr:uid="{00000000-0005-0000-0000-0000297D0000}"/>
    <cellStyle name="Normal 7 3 3 6 3" xfId="32016" xr:uid="{00000000-0005-0000-0000-00002A7D0000}"/>
    <cellStyle name="Normal 7 3 3 7" xfId="32017" xr:uid="{00000000-0005-0000-0000-00002B7D0000}"/>
    <cellStyle name="Normal 7 3 3 8" xfId="32018" xr:uid="{00000000-0005-0000-0000-00002C7D0000}"/>
    <cellStyle name="Normal 7 3 3 9" xfId="32019" xr:uid="{00000000-0005-0000-0000-00002D7D0000}"/>
    <cellStyle name="Normal 7 3 4" xfId="32020" xr:uid="{00000000-0005-0000-0000-00002E7D0000}"/>
    <cellStyle name="Normal 7 3 4 2" xfId="32021" xr:uid="{00000000-0005-0000-0000-00002F7D0000}"/>
    <cellStyle name="Normal 7 3 4 2 2" xfId="32022" xr:uid="{00000000-0005-0000-0000-0000307D0000}"/>
    <cellStyle name="Normal 7 3 4 2 2 2" xfId="32023" xr:uid="{00000000-0005-0000-0000-0000317D0000}"/>
    <cellStyle name="Normal 7 3 4 2 2 2 2" xfId="32024" xr:uid="{00000000-0005-0000-0000-0000327D0000}"/>
    <cellStyle name="Normal 7 3 4 2 2 2 2 2" xfId="32025" xr:uid="{00000000-0005-0000-0000-0000337D0000}"/>
    <cellStyle name="Normal 7 3 4 2 2 2 2 3" xfId="32026" xr:uid="{00000000-0005-0000-0000-0000347D0000}"/>
    <cellStyle name="Normal 7 3 4 2 2 2 3" xfId="32027" xr:uid="{00000000-0005-0000-0000-0000357D0000}"/>
    <cellStyle name="Normal 7 3 4 2 2 2 4" xfId="32028" xr:uid="{00000000-0005-0000-0000-0000367D0000}"/>
    <cellStyle name="Normal 7 3 4 2 2 3" xfId="32029" xr:uid="{00000000-0005-0000-0000-0000377D0000}"/>
    <cellStyle name="Normal 7 3 4 2 2 3 2" xfId="32030" xr:uid="{00000000-0005-0000-0000-0000387D0000}"/>
    <cellStyle name="Normal 7 3 4 2 2 3 3" xfId="32031" xr:uid="{00000000-0005-0000-0000-0000397D0000}"/>
    <cellStyle name="Normal 7 3 4 2 2 4" xfId="32032" xr:uid="{00000000-0005-0000-0000-00003A7D0000}"/>
    <cellStyle name="Normal 7 3 4 2 2 5" xfId="32033" xr:uid="{00000000-0005-0000-0000-00003B7D0000}"/>
    <cellStyle name="Normal 7 3 4 2 2 6" xfId="32034" xr:uid="{00000000-0005-0000-0000-00003C7D0000}"/>
    <cellStyle name="Normal 7 3 4 2 3" xfId="32035" xr:uid="{00000000-0005-0000-0000-00003D7D0000}"/>
    <cellStyle name="Normal 7 3 4 2 3 2" xfId="32036" xr:uid="{00000000-0005-0000-0000-00003E7D0000}"/>
    <cellStyle name="Normal 7 3 4 2 3 2 2" xfId="32037" xr:uid="{00000000-0005-0000-0000-00003F7D0000}"/>
    <cellStyle name="Normal 7 3 4 2 3 2 3" xfId="32038" xr:uid="{00000000-0005-0000-0000-0000407D0000}"/>
    <cellStyle name="Normal 7 3 4 2 3 3" xfId="32039" xr:uid="{00000000-0005-0000-0000-0000417D0000}"/>
    <cellStyle name="Normal 7 3 4 2 3 4" xfId="32040" xr:uid="{00000000-0005-0000-0000-0000427D0000}"/>
    <cellStyle name="Normal 7 3 4 2 4" xfId="32041" xr:uid="{00000000-0005-0000-0000-0000437D0000}"/>
    <cellStyle name="Normal 7 3 4 2 4 2" xfId="32042" xr:uid="{00000000-0005-0000-0000-0000447D0000}"/>
    <cellStyle name="Normal 7 3 4 2 4 3" xfId="32043" xr:uid="{00000000-0005-0000-0000-0000457D0000}"/>
    <cellStyle name="Normal 7 3 4 2 5" xfId="32044" xr:uid="{00000000-0005-0000-0000-0000467D0000}"/>
    <cellStyle name="Normal 7 3 4 2 6" xfId="32045" xr:uid="{00000000-0005-0000-0000-0000477D0000}"/>
    <cellStyle name="Normal 7 3 4 2 7" xfId="32046" xr:uid="{00000000-0005-0000-0000-0000487D0000}"/>
    <cellStyle name="Normal 7 3 4 3" xfId="32047" xr:uid="{00000000-0005-0000-0000-0000497D0000}"/>
    <cellStyle name="Normal 7 3 4 3 2" xfId="32048" xr:uid="{00000000-0005-0000-0000-00004A7D0000}"/>
    <cellStyle name="Normal 7 3 4 3 2 2" xfId="32049" xr:uid="{00000000-0005-0000-0000-00004B7D0000}"/>
    <cellStyle name="Normal 7 3 4 3 2 2 2" xfId="32050" xr:uid="{00000000-0005-0000-0000-00004C7D0000}"/>
    <cellStyle name="Normal 7 3 4 3 2 2 3" xfId="32051" xr:uid="{00000000-0005-0000-0000-00004D7D0000}"/>
    <cellStyle name="Normal 7 3 4 3 2 3" xfId="32052" xr:uid="{00000000-0005-0000-0000-00004E7D0000}"/>
    <cellStyle name="Normal 7 3 4 3 2 4" xfId="32053" xr:uid="{00000000-0005-0000-0000-00004F7D0000}"/>
    <cellStyle name="Normal 7 3 4 3 3" xfId="32054" xr:uid="{00000000-0005-0000-0000-0000507D0000}"/>
    <cellStyle name="Normal 7 3 4 3 3 2" xfId="32055" xr:uid="{00000000-0005-0000-0000-0000517D0000}"/>
    <cellStyle name="Normal 7 3 4 3 3 3" xfId="32056" xr:uid="{00000000-0005-0000-0000-0000527D0000}"/>
    <cellStyle name="Normal 7 3 4 3 4" xfId="32057" xr:uid="{00000000-0005-0000-0000-0000537D0000}"/>
    <cellStyle name="Normal 7 3 4 3 5" xfId="32058" xr:uid="{00000000-0005-0000-0000-0000547D0000}"/>
    <cellStyle name="Normal 7 3 4 3 6" xfId="32059" xr:uid="{00000000-0005-0000-0000-0000557D0000}"/>
    <cellStyle name="Normal 7 3 4 4" xfId="32060" xr:uid="{00000000-0005-0000-0000-0000567D0000}"/>
    <cellStyle name="Normal 7 3 4 4 2" xfId="32061" xr:uid="{00000000-0005-0000-0000-0000577D0000}"/>
    <cellStyle name="Normal 7 3 4 4 2 2" xfId="32062" xr:uid="{00000000-0005-0000-0000-0000587D0000}"/>
    <cellStyle name="Normal 7 3 4 4 2 3" xfId="32063" xr:uid="{00000000-0005-0000-0000-0000597D0000}"/>
    <cellStyle name="Normal 7 3 4 4 3" xfId="32064" xr:uid="{00000000-0005-0000-0000-00005A7D0000}"/>
    <cellStyle name="Normal 7 3 4 4 4" xfId="32065" xr:uid="{00000000-0005-0000-0000-00005B7D0000}"/>
    <cellStyle name="Normal 7 3 4 5" xfId="32066" xr:uid="{00000000-0005-0000-0000-00005C7D0000}"/>
    <cellStyle name="Normal 7 3 4 5 2" xfId="32067" xr:uid="{00000000-0005-0000-0000-00005D7D0000}"/>
    <cellStyle name="Normal 7 3 4 5 3" xfId="32068" xr:uid="{00000000-0005-0000-0000-00005E7D0000}"/>
    <cellStyle name="Normal 7 3 4 6" xfId="32069" xr:uid="{00000000-0005-0000-0000-00005F7D0000}"/>
    <cellStyle name="Normal 7 3 4 7" xfId="32070" xr:uid="{00000000-0005-0000-0000-0000607D0000}"/>
    <cellStyle name="Normal 7 3 4 8" xfId="32071" xr:uid="{00000000-0005-0000-0000-0000617D0000}"/>
    <cellStyle name="Normal 7 3 5" xfId="32072" xr:uid="{00000000-0005-0000-0000-0000627D0000}"/>
    <cellStyle name="Normal 7 3 5 2" xfId="32073" xr:uid="{00000000-0005-0000-0000-0000637D0000}"/>
    <cellStyle name="Normal 7 3 5 2 2" xfId="32074" xr:uid="{00000000-0005-0000-0000-0000647D0000}"/>
    <cellStyle name="Normal 7 3 5 2 2 2" xfId="32075" xr:uid="{00000000-0005-0000-0000-0000657D0000}"/>
    <cellStyle name="Normal 7 3 5 2 2 2 2" xfId="32076" xr:uid="{00000000-0005-0000-0000-0000667D0000}"/>
    <cellStyle name="Normal 7 3 5 2 2 2 3" xfId="32077" xr:uid="{00000000-0005-0000-0000-0000677D0000}"/>
    <cellStyle name="Normal 7 3 5 2 2 3" xfId="32078" xr:uid="{00000000-0005-0000-0000-0000687D0000}"/>
    <cellStyle name="Normal 7 3 5 2 2 4" xfId="32079" xr:uid="{00000000-0005-0000-0000-0000697D0000}"/>
    <cellStyle name="Normal 7 3 5 2 3" xfId="32080" xr:uid="{00000000-0005-0000-0000-00006A7D0000}"/>
    <cellStyle name="Normal 7 3 5 2 3 2" xfId="32081" xr:uid="{00000000-0005-0000-0000-00006B7D0000}"/>
    <cellStyle name="Normal 7 3 5 2 3 3" xfId="32082" xr:uid="{00000000-0005-0000-0000-00006C7D0000}"/>
    <cellStyle name="Normal 7 3 5 2 4" xfId="32083" xr:uid="{00000000-0005-0000-0000-00006D7D0000}"/>
    <cellStyle name="Normal 7 3 5 2 5" xfId="32084" xr:uid="{00000000-0005-0000-0000-00006E7D0000}"/>
    <cellStyle name="Normal 7 3 5 2 6" xfId="32085" xr:uid="{00000000-0005-0000-0000-00006F7D0000}"/>
    <cellStyle name="Normal 7 3 5 3" xfId="32086" xr:uid="{00000000-0005-0000-0000-0000707D0000}"/>
    <cellStyle name="Normal 7 3 5 3 2" xfId="32087" xr:uid="{00000000-0005-0000-0000-0000717D0000}"/>
    <cellStyle name="Normal 7 3 5 3 2 2" xfId="32088" xr:uid="{00000000-0005-0000-0000-0000727D0000}"/>
    <cellStyle name="Normal 7 3 5 3 2 3" xfId="32089" xr:uid="{00000000-0005-0000-0000-0000737D0000}"/>
    <cellStyle name="Normal 7 3 5 3 3" xfId="32090" xr:uid="{00000000-0005-0000-0000-0000747D0000}"/>
    <cellStyle name="Normal 7 3 5 3 4" xfId="32091" xr:uid="{00000000-0005-0000-0000-0000757D0000}"/>
    <cellStyle name="Normal 7 3 5 4" xfId="32092" xr:uid="{00000000-0005-0000-0000-0000767D0000}"/>
    <cellStyle name="Normal 7 3 5 4 2" xfId="32093" xr:uid="{00000000-0005-0000-0000-0000777D0000}"/>
    <cellStyle name="Normal 7 3 5 4 3" xfId="32094" xr:uid="{00000000-0005-0000-0000-0000787D0000}"/>
    <cellStyle name="Normal 7 3 5 5" xfId="32095" xr:uid="{00000000-0005-0000-0000-0000797D0000}"/>
    <cellStyle name="Normal 7 3 5 6" xfId="32096" xr:uid="{00000000-0005-0000-0000-00007A7D0000}"/>
    <cellStyle name="Normal 7 3 5 7" xfId="32097" xr:uid="{00000000-0005-0000-0000-00007B7D0000}"/>
    <cellStyle name="Normal 7 3 6" xfId="32098" xr:uid="{00000000-0005-0000-0000-00007C7D0000}"/>
    <cellStyle name="Normal 7 3 6 2" xfId="32099" xr:uid="{00000000-0005-0000-0000-00007D7D0000}"/>
    <cellStyle name="Normal 7 3 6 2 2" xfId="32100" xr:uid="{00000000-0005-0000-0000-00007E7D0000}"/>
    <cellStyle name="Normal 7 3 6 2 2 2" xfId="32101" xr:uid="{00000000-0005-0000-0000-00007F7D0000}"/>
    <cellStyle name="Normal 7 3 6 2 2 3" xfId="32102" xr:uid="{00000000-0005-0000-0000-0000807D0000}"/>
    <cellStyle name="Normal 7 3 6 2 3" xfId="32103" xr:uid="{00000000-0005-0000-0000-0000817D0000}"/>
    <cellStyle name="Normal 7 3 6 2 4" xfId="32104" xr:uid="{00000000-0005-0000-0000-0000827D0000}"/>
    <cellStyle name="Normal 7 3 6 3" xfId="32105" xr:uid="{00000000-0005-0000-0000-0000837D0000}"/>
    <cellStyle name="Normal 7 3 6 3 2" xfId="32106" xr:uid="{00000000-0005-0000-0000-0000847D0000}"/>
    <cellStyle name="Normal 7 3 6 3 3" xfId="32107" xr:uid="{00000000-0005-0000-0000-0000857D0000}"/>
    <cellStyle name="Normal 7 3 6 4" xfId="32108" xr:uid="{00000000-0005-0000-0000-0000867D0000}"/>
    <cellStyle name="Normal 7 3 6 5" xfId="32109" xr:uid="{00000000-0005-0000-0000-0000877D0000}"/>
    <cellStyle name="Normal 7 3 6 6" xfId="32110" xr:uid="{00000000-0005-0000-0000-0000887D0000}"/>
    <cellStyle name="Normal 7 3 7" xfId="32111" xr:uid="{00000000-0005-0000-0000-0000897D0000}"/>
    <cellStyle name="Normal 7 3 7 2" xfId="32112" xr:uid="{00000000-0005-0000-0000-00008A7D0000}"/>
    <cellStyle name="Normal 7 3 7 2 2" xfId="32113" xr:uid="{00000000-0005-0000-0000-00008B7D0000}"/>
    <cellStyle name="Normal 7 3 7 2 3" xfId="32114" xr:uid="{00000000-0005-0000-0000-00008C7D0000}"/>
    <cellStyle name="Normal 7 3 7 3" xfId="32115" xr:uid="{00000000-0005-0000-0000-00008D7D0000}"/>
    <cellStyle name="Normal 7 3 7 4" xfId="32116" xr:uid="{00000000-0005-0000-0000-00008E7D0000}"/>
    <cellStyle name="Normal 7 3 8" xfId="32117" xr:uid="{00000000-0005-0000-0000-00008F7D0000}"/>
    <cellStyle name="Normal 7 3 8 2" xfId="32118" xr:uid="{00000000-0005-0000-0000-0000907D0000}"/>
    <cellStyle name="Normal 7 3 8 3" xfId="32119" xr:uid="{00000000-0005-0000-0000-0000917D0000}"/>
    <cellStyle name="Normal 7 3 9" xfId="32120" xr:uid="{00000000-0005-0000-0000-0000927D0000}"/>
    <cellStyle name="Normal 7 4" xfId="32121" xr:uid="{00000000-0005-0000-0000-0000937D0000}"/>
    <cellStyle name="Normal 7 4 10" xfId="32122" xr:uid="{00000000-0005-0000-0000-0000947D0000}"/>
    <cellStyle name="Normal 7 4 2" xfId="32123" xr:uid="{00000000-0005-0000-0000-0000957D0000}"/>
    <cellStyle name="Normal 7 4 2 2" xfId="32124" xr:uid="{00000000-0005-0000-0000-0000967D0000}"/>
    <cellStyle name="Normal 7 4 2 2 2" xfId="32125" xr:uid="{00000000-0005-0000-0000-0000977D0000}"/>
    <cellStyle name="Normal 7 4 2 2 2 2" xfId="32126" xr:uid="{00000000-0005-0000-0000-0000987D0000}"/>
    <cellStyle name="Normal 7 4 2 2 2 2 2" xfId="32127" xr:uid="{00000000-0005-0000-0000-0000997D0000}"/>
    <cellStyle name="Normal 7 4 2 2 2 2 2 2" xfId="32128" xr:uid="{00000000-0005-0000-0000-00009A7D0000}"/>
    <cellStyle name="Normal 7 4 2 2 2 2 2 2 2" xfId="32129" xr:uid="{00000000-0005-0000-0000-00009B7D0000}"/>
    <cellStyle name="Normal 7 4 2 2 2 2 2 2 3" xfId="32130" xr:uid="{00000000-0005-0000-0000-00009C7D0000}"/>
    <cellStyle name="Normal 7 4 2 2 2 2 2 3" xfId="32131" xr:uid="{00000000-0005-0000-0000-00009D7D0000}"/>
    <cellStyle name="Normal 7 4 2 2 2 2 2 4" xfId="32132" xr:uid="{00000000-0005-0000-0000-00009E7D0000}"/>
    <cellStyle name="Normal 7 4 2 2 2 2 3" xfId="32133" xr:uid="{00000000-0005-0000-0000-00009F7D0000}"/>
    <cellStyle name="Normal 7 4 2 2 2 2 3 2" xfId="32134" xr:uid="{00000000-0005-0000-0000-0000A07D0000}"/>
    <cellStyle name="Normal 7 4 2 2 2 2 3 3" xfId="32135" xr:uid="{00000000-0005-0000-0000-0000A17D0000}"/>
    <cellStyle name="Normal 7 4 2 2 2 2 4" xfId="32136" xr:uid="{00000000-0005-0000-0000-0000A27D0000}"/>
    <cellStyle name="Normal 7 4 2 2 2 2 5" xfId="32137" xr:uid="{00000000-0005-0000-0000-0000A37D0000}"/>
    <cellStyle name="Normal 7 4 2 2 2 2 6" xfId="32138" xr:uid="{00000000-0005-0000-0000-0000A47D0000}"/>
    <cellStyle name="Normal 7 4 2 2 2 3" xfId="32139" xr:uid="{00000000-0005-0000-0000-0000A57D0000}"/>
    <cellStyle name="Normal 7 4 2 2 2 3 2" xfId="32140" xr:uid="{00000000-0005-0000-0000-0000A67D0000}"/>
    <cellStyle name="Normal 7 4 2 2 2 3 2 2" xfId="32141" xr:uid="{00000000-0005-0000-0000-0000A77D0000}"/>
    <cellStyle name="Normal 7 4 2 2 2 3 2 3" xfId="32142" xr:uid="{00000000-0005-0000-0000-0000A87D0000}"/>
    <cellStyle name="Normal 7 4 2 2 2 3 3" xfId="32143" xr:uid="{00000000-0005-0000-0000-0000A97D0000}"/>
    <cellStyle name="Normal 7 4 2 2 2 3 4" xfId="32144" xr:uid="{00000000-0005-0000-0000-0000AA7D0000}"/>
    <cellStyle name="Normal 7 4 2 2 2 4" xfId="32145" xr:uid="{00000000-0005-0000-0000-0000AB7D0000}"/>
    <cellStyle name="Normal 7 4 2 2 2 4 2" xfId="32146" xr:uid="{00000000-0005-0000-0000-0000AC7D0000}"/>
    <cellStyle name="Normal 7 4 2 2 2 4 3" xfId="32147" xr:uid="{00000000-0005-0000-0000-0000AD7D0000}"/>
    <cellStyle name="Normal 7 4 2 2 2 5" xfId="32148" xr:uid="{00000000-0005-0000-0000-0000AE7D0000}"/>
    <cellStyle name="Normal 7 4 2 2 2 6" xfId="32149" xr:uid="{00000000-0005-0000-0000-0000AF7D0000}"/>
    <cellStyle name="Normal 7 4 2 2 2 7" xfId="32150" xr:uid="{00000000-0005-0000-0000-0000B07D0000}"/>
    <cellStyle name="Normal 7 4 2 2 3" xfId="32151" xr:uid="{00000000-0005-0000-0000-0000B17D0000}"/>
    <cellStyle name="Normal 7 4 2 2 3 2" xfId="32152" xr:uid="{00000000-0005-0000-0000-0000B27D0000}"/>
    <cellStyle name="Normal 7 4 2 2 3 2 2" xfId="32153" xr:uid="{00000000-0005-0000-0000-0000B37D0000}"/>
    <cellStyle name="Normal 7 4 2 2 3 2 2 2" xfId="32154" xr:uid="{00000000-0005-0000-0000-0000B47D0000}"/>
    <cellStyle name="Normal 7 4 2 2 3 2 2 3" xfId="32155" xr:uid="{00000000-0005-0000-0000-0000B57D0000}"/>
    <cellStyle name="Normal 7 4 2 2 3 2 3" xfId="32156" xr:uid="{00000000-0005-0000-0000-0000B67D0000}"/>
    <cellStyle name="Normal 7 4 2 2 3 2 4" xfId="32157" xr:uid="{00000000-0005-0000-0000-0000B77D0000}"/>
    <cellStyle name="Normal 7 4 2 2 3 3" xfId="32158" xr:uid="{00000000-0005-0000-0000-0000B87D0000}"/>
    <cellStyle name="Normal 7 4 2 2 3 3 2" xfId="32159" xr:uid="{00000000-0005-0000-0000-0000B97D0000}"/>
    <cellStyle name="Normal 7 4 2 2 3 3 3" xfId="32160" xr:uid="{00000000-0005-0000-0000-0000BA7D0000}"/>
    <cellStyle name="Normal 7 4 2 2 3 4" xfId="32161" xr:uid="{00000000-0005-0000-0000-0000BB7D0000}"/>
    <cellStyle name="Normal 7 4 2 2 3 5" xfId="32162" xr:uid="{00000000-0005-0000-0000-0000BC7D0000}"/>
    <cellStyle name="Normal 7 4 2 2 3 6" xfId="32163" xr:uid="{00000000-0005-0000-0000-0000BD7D0000}"/>
    <cellStyle name="Normal 7 4 2 2 4" xfId="32164" xr:uid="{00000000-0005-0000-0000-0000BE7D0000}"/>
    <cellStyle name="Normal 7 4 2 2 4 2" xfId="32165" xr:uid="{00000000-0005-0000-0000-0000BF7D0000}"/>
    <cellStyle name="Normal 7 4 2 2 4 2 2" xfId="32166" xr:uid="{00000000-0005-0000-0000-0000C07D0000}"/>
    <cellStyle name="Normal 7 4 2 2 4 2 3" xfId="32167" xr:uid="{00000000-0005-0000-0000-0000C17D0000}"/>
    <cellStyle name="Normal 7 4 2 2 4 3" xfId="32168" xr:uid="{00000000-0005-0000-0000-0000C27D0000}"/>
    <cellStyle name="Normal 7 4 2 2 4 4" xfId="32169" xr:uid="{00000000-0005-0000-0000-0000C37D0000}"/>
    <cellStyle name="Normal 7 4 2 2 5" xfId="32170" xr:uid="{00000000-0005-0000-0000-0000C47D0000}"/>
    <cellStyle name="Normal 7 4 2 2 5 2" xfId="32171" xr:uid="{00000000-0005-0000-0000-0000C57D0000}"/>
    <cellStyle name="Normal 7 4 2 2 5 3" xfId="32172" xr:uid="{00000000-0005-0000-0000-0000C67D0000}"/>
    <cellStyle name="Normal 7 4 2 2 6" xfId="32173" xr:uid="{00000000-0005-0000-0000-0000C77D0000}"/>
    <cellStyle name="Normal 7 4 2 2 7" xfId="32174" xr:uid="{00000000-0005-0000-0000-0000C87D0000}"/>
    <cellStyle name="Normal 7 4 2 2 8" xfId="32175" xr:uid="{00000000-0005-0000-0000-0000C97D0000}"/>
    <cellStyle name="Normal 7 4 2 3" xfId="32176" xr:uid="{00000000-0005-0000-0000-0000CA7D0000}"/>
    <cellStyle name="Normal 7 4 2 3 2" xfId="32177" xr:uid="{00000000-0005-0000-0000-0000CB7D0000}"/>
    <cellStyle name="Normal 7 4 2 3 2 2" xfId="32178" xr:uid="{00000000-0005-0000-0000-0000CC7D0000}"/>
    <cellStyle name="Normal 7 4 2 3 2 2 2" xfId="32179" xr:uid="{00000000-0005-0000-0000-0000CD7D0000}"/>
    <cellStyle name="Normal 7 4 2 3 2 2 2 2" xfId="32180" xr:uid="{00000000-0005-0000-0000-0000CE7D0000}"/>
    <cellStyle name="Normal 7 4 2 3 2 2 2 3" xfId="32181" xr:uid="{00000000-0005-0000-0000-0000CF7D0000}"/>
    <cellStyle name="Normal 7 4 2 3 2 2 3" xfId="32182" xr:uid="{00000000-0005-0000-0000-0000D07D0000}"/>
    <cellStyle name="Normal 7 4 2 3 2 2 4" xfId="32183" xr:uid="{00000000-0005-0000-0000-0000D17D0000}"/>
    <cellStyle name="Normal 7 4 2 3 2 3" xfId="32184" xr:uid="{00000000-0005-0000-0000-0000D27D0000}"/>
    <cellStyle name="Normal 7 4 2 3 2 3 2" xfId="32185" xr:uid="{00000000-0005-0000-0000-0000D37D0000}"/>
    <cellStyle name="Normal 7 4 2 3 2 3 3" xfId="32186" xr:uid="{00000000-0005-0000-0000-0000D47D0000}"/>
    <cellStyle name="Normal 7 4 2 3 2 4" xfId="32187" xr:uid="{00000000-0005-0000-0000-0000D57D0000}"/>
    <cellStyle name="Normal 7 4 2 3 2 5" xfId="32188" xr:uid="{00000000-0005-0000-0000-0000D67D0000}"/>
    <cellStyle name="Normal 7 4 2 3 2 6" xfId="32189" xr:uid="{00000000-0005-0000-0000-0000D77D0000}"/>
    <cellStyle name="Normal 7 4 2 3 3" xfId="32190" xr:uid="{00000000-0005-0000-0000-0000D87D0000}"/>
    <cellStyle name="Normal 7 4 2 3 3 2" xfId="32191" xr:uid="{00000000-0005-0000-0000-0000D97D0000}"/>
    <cellStyle name="Normal 7 4 2 3 3 2 2" xfId="32192" xr:uid="{00000000-0005-0000-0000-0000DA7D0000}"/>
    <cellStyle name="Normal 7 4 2 3 3 2 3" xfId="32193" xr:uid="{00000000-0005-0000-0000-0000DB7D0000}"/>
    <cellStyle name="Normal 7 4 2 3 3 3" xfId="32194" xr:uid="{00000000-0005-0000-0000-0000DC7D0000}"/>
    <cellStyle name="Normal 7 4 2 3 3 4" xfId="32195" xr:uid="{00000000-0005-0000-0000-0000DD7D0000}"/>
    <cellStyle name="Normal 7 4 2 3 4" xfId="32196" xr:uid="{00000000-0005-0000-0000-0000DE7D0000}"/>
    <cellStyle name="Normal 7 4 2 3 4 2" xfId="32197" xr:uid="{00000000-0005-0000-0000-0000DF7D0000}"/>
    <cellStyle name="Normal 7 4 2 3 4 3" xfId="32198" xr:uid="{00000000-0005-0000-0000-0000E07D0000}"/>
    <cellStyle name="Normal 7 4 2 3 5" xfId="32199" xr:uid="{00000000-0005-0000-0000-0000E17D0000}"/>
    <cellStyle name="Normal 7 4 2 3 6" xfId="32200" xr:uid="{00000000-0005-0000-0000-0000E27D0000}"/>
    <cellStyle name="Normal 7 4 2 3 7" xfId="32201" xr:uid="{00000000-0005-0000-0000-0000E37D0000}"/>
    <cellStyle name="Normal 7 4 2 4" xfId="32202" xr:uid="{00000000-0005-0000-0000-0000E47D0000}"/>
    <cellStyle name="Normal 7 4 2 4 2" xfId="32203" xr:uid="{00000000-0005-0000-0000-0000E57D0000}"/>
    <cellStyle name="Normal 7 4 2 4 2 2" xfId="32204" xr:uid="{00000000-0005-0000-0000-0000E67D0000}"/>
    <cellStyle name="Normal 7 4 2 4 2 2 2" xfId="32205" xr:uid="{00000000-0005-0000-0000-0000E77D0000}"/>
    <cellStyle name="Normal 7 4 2 4 2 2 3" xfId="32206" xr:uid="{00000000-0005-0000-0000-0000E87D0000}"/>
    <cellStyle name="Normal 7 4 2 4 2 3" xfId="32207" xr:uid="{00000000-0005-0000-0000-0000E97D0000}"/>
    <cellStyle name="Normal 7 4 2 4 2 4" xfId="32208" xr:uid="{00000000-0005-0000-0000-0000EA7D0000}"/>
    <cellStyle name="Normal 7 4 2 4 3" xfId="32209" xr:uid="{00000000-0005-0000-0000-0000EB7D0000}"/>
    <cellStyle name="Normal 7 4 2 4 3 2" xfId="32210" xr:uid="{00000000-0005-0000-0000-0000EC7D0000}"/>
    <cellStyle name="Normal 7 4 2 4 3 3" xfId="32211" xr:uid="{00000000-0005-0000-0000-0000ED7D0000}"/>
    <cellStyle name="Normal 7 4 2 4 4" xfId="32212" xr:uid="{00000000-0005-0000-0000-0000EE7D0000}"/>
    <cellStyle name="Normal 7 4 2 4 5" xfId="32213" xr:uid="{00000000-0005-0000-0000-0000EF7D0000}"/>
    <cellStyle name="Normal 7 4 2 4 6" xfId="32214" xr:uid="{00000000-0005-0000-0000-0000F07D0000}"/>
    <cellStyle name="Normal 7 4 2 5" xfId="32215" xr:uid="{00000000-0005-0000-0000-0000F17D0000}"/>
    <cellStyle name="Normal 7 4 2 5 2" xfId="32216" xr:uid="{00000000-0005-0000-0000-0000F27D0000}"/>
    <cellStyle name="Normal 7 4 2 5 2 2" xfId="32217" xr:uid="{00000000-0005-0000-0000-0000F37D0000}"/>
    <cellStyle name="Normal 7 4 2 5 2 3" xfId="32218" xr:uid="{00000000-0005-0000-0000-0000F47D0000}"/>
    <cellStyle name="Normal 7 4 2 5 3" xfId="32219" xr:uid="{00000000-0005-0000-0000-0000F57D0000}"/>
    <cellStyle name="Normal 7 4 2 5 4" xfId="32220" xr:uid="{00000000-0005-0000-0000-0000F67D0000}"/>
    <cellStyle name="Normal 7 4 2 6" xfId="32221" xr:uid="{00000000-0005-0000-0000-0000F77D0000}"/>
    <cellStyle name="Normal 7 4 2 6 2" xfId="32222" xr:uid="{00000000-0005-0000-0000-0000F87D0000}"/>
    <cellStyle name="Normal 7 4 2 6 3" xfId="32223" xr:uid="{00000000-0005-0000-0000-0000F97D0000}"/>
    <cellStyle name="Normal 7 4 2 7" xfId="32224" xr:uid="{00000000-0005-0000-0000-0000FA7D0000}"/>
    <cellStyle name="Normal 7 4 2 8" xfId="32225" xr:uid="{00000000-0005-0000-0000-0000FB7D0000}"/>
    <cellStyle name="Normal 7 4 2 9" xfId="32226" xr:uid="{00000000-0005-0000-0000-0000FC7D0000}"/>
    <cellStyle name="Normal 7 4 3" xfId="32227" xr:uid="{00000000-0005-0000-0000-0000FD7D0000}"/>
    <cellStyle name="Normal 7 4 3 2" xfId="32228" xr:uid="{00000000-0005-0000-0000-0000FE7D0000}"/>
    <cellStyle name="Normal 7 4 3 2 2" xfId="32229" xr:uid="{00000000-0005-0000-0000-0000FF7D0000}"/>
    <cellStyle name="Normal 7 4 3 2 2 2" xfId="32230" xr:uid="{00000000-0005-0000-0000-0000007E0000}"/>
    <cellStyle name="Normal 7 4 3 2 2 2 2" xfId="32231" xr:uid="{00000000-0005-0000-0000-0000017E0000}"/>
    <cellStyle name="Normal 7 4 3 2 2 2 2 2" xfId="32232" xr:uid="{00000000-0005-0000-0000-0000027E0000}"/>
    <cellStyle name="Normal 7 4 3 2 2 2 2 3" xfId="32233" xr:uid="{00000000-0005-0000-0000-0000037E0000}"/>
    <cellStyle name="Normal 7 4 3 2 2 2 3" xfId="32234" xr:uid="{00000000-0005-0000-0000-0000047E0000}"/>
    <cellStyle name="Normal 7 4 3 2 2 2 4" xfId="32235" xr:uid="{00000000-0005-0000-0000-0000057E0000}"/>
    <cellStyle name="Normal 7 4 3 2 2 3" xfId="32236" xr:uid="{00000000-0005-0000-0000-0000067E0000}"/>
    <cellStyle name="Normal 7 4 3 2 2 3 2" xfId="32237" xr:uid="{00000000-0005-0000-0000-0000077E0000}"/>
    <cellStyle name="Normal 7 4 3 2 2 3 3" xfId="32238" xr:uid="{00000000-0005-0000-0000-0000087E0000}"/>
    <cellStyle name="Normal 7 4 3 2 2 4" xfId="32239" xr:uid="{00000000-0005-0000-0000-0000097E0000}"/>
    <cellStyle name="Normal 7 4 3 2 2 5" xfId="32240" xr:uid="{00000000-0005-0000-0000-00000A7E0000}"/>
    <cellStyle name="Normal 7 4 3 2 2 6" xfId="32241" xr:uid="{00000000-0005-0000-0000-00000B7E0000}"/>
    <cellStyle name="Normal 7 4 3 2 3" xfId="32242" xr:uid="{00000000-0005-0000-0000-00000C7E0000}"/>
    <cellStyle name="Normal 7 4 3 2 3 2" xfId="32243" xr:uid="{00000000-0005-0000-0000-00000D7E0000}"/>
    <cellStyle name="Normal 7 4 3 2 3 2 2" xfId="32244" xr:uid="{00000000-0005-0000-0000-00000E7E0000}"/>
    <cellStyle name="Normal 7 4 3 2 3 2 3" xfId="32245" xr:uid="{00000000-0005-0000-0000-00000F7E0000}"/>
    <cellStyle name="Normal 7 4 3 2 3 3" xfId="32246" xr:uid="{00000000-0005-0000-0000-0000107E0000}"/>
    <cellStyle name="Normal 7 4 3 2 3 4" xfId="32247" xr:uid="{00000000-0005-0000-0000-0000117E0000}"/>
    <cellStyle name="Normal 7 4 3 2 4" xfId="32248" xr:uid="{00000000-0005-0000-0000-0000127E0000}"/>
    <cellStyle name="Normal 7 4 3 2 4 2" xfId="32249" xr:uid="{00000000-0005-0000-0000-0000137E0000}"/>
    <cellStyle name="Normal 7 4 3 2 4 3" xfId="32250" xr:uid="{00000000-0005-0000-0000-0000147E0000}"/>
    <cellStyle name="Normal 7 4 3 2 5" xfId="32251" xr:uid="{00000000-0005-0000-0000-0000157E0000}"/>
    <cellStyle name="Normal 7 4 3 2 6" xfId="32252" xr:uid="{00000000-0005-0000-0000-0000167E0000}"/>
    <cellStyle name="Normal 7 4 3 2 7" xfId="32253" xr:uid="{00000000-0005-0000-0000-0000177E0000}"/>
    <cellStyle name="Normal 7 4 3 3" xfId="32254" xr:uid="{00000000-0005-0000-0000-0000187E0000}"/>
    <cellStyle name="Normal 7 4 3 3 2" xfId="32255" xr:uid="{00000000-0005-0000-0000-0000197E0000}"/>
    <cellStyle name="Normal 7 4 3 3 2 2" xfId="32256" xr:uid="{00000000-0005-0000-0000-00001A7E0000}"/>
    <cellStyle name="Normal 7 4 3 3 2 2 2" xfId="32257" xr:uid="{00000000-0005-0000-0000-00001B7E0000}"/>
    <cellStyle name="Normal 7 4 3 3 2 2 3" xfId="32258" xr:uid="{00000000-0005-0000-0000-00001C7E0000}"/>
    <cellStyle name="Normal 7 4 3 3 2 3" xfId="32259" xr:uid="{00000000-0005-0000-0000-00001D7E0000}"/>
    <cellStyle name="Normal 7 4 3 3 2 4" xfId="32260" xr:uid="{00000000-0005-0000-0000-00001E7E0000}"/>
    <cellStyle name="Normal 7 4 3 3 3" xfId="32261" xr:uid="{00000000-0005-0000-0000-00001F7E0000}"/>
    <cellStyle name="Normal 7 4 3 3 3 2" xfId="32262" xr:uid="{00000000-0005-0000-0000-0000207E0000}"/>
    <cellStyle name="Normal 7 4 3 3 3 3" xfId="32263" xr:uid="{00000000-0005-0000-0000-0000217E0000}"/>
    <cellStyle name="Normal 7 4 3 3 4" xfId="32264" xr:uid="{00000000-0005-0000-0000-0000227E0000}"/>
    <cellStyle name="Normal 7 4 3 3 5" xfId="32265" xr:uid="{00000000-0005-0000-0000-0000237E0000}"/>
    <cellStyle name="Normal 7 4 3 3 6" xfId="32266" xr:uid="{00000000-0005-0000-0000-0000247E0000}"/>
    <cellStyle name="Normal 7 4 3 4" xfId="32267" xr:uid="{00000000-0005-0000-0000-0000257E0000}"/>
    <cellStyle name="Normal 7 4 3 4 2" xfId="32268" xr:uid="{00000000-0005-0000-0000-0000267E0000}"/>
    <cellStyle name="Normal 7 4 3 4 2 2" xfId="32269" xr:uid="{00000000-0005-0000-0000-0000277E0000}"/>
    <cellStyle name="Normal 7 4 3 4 2 3" xfId="32270" xr:uid="{00000000-0005-0000-0000-0000287E0000}"/>
    <cellStyle name="Normal 7 4 3 4 3" xfId="32271" xr:uid="{00000000-0005-0000-0000-0000297E0000}"/>
    <cellStyle name="Normal 7 4 3 4 4" xfId="32272" xr:uid="{00000000-0005-0000-0000-00002A7E0000}"/>
    <cellStyle name="Normal 7 4 3 5" xfId="32273" xr:uid="{00000000-0005-0000-0000-00002B7E0000}"/>
    <cellStyle name="Normal 7 4 3 5 2" xfId="32274" xr:uid="{00000000-0005-0000-0000-00002C7E0000}"/>
    <cellStyle name="Normal 7 4 3 5 3" xfId="32275" xr:uid="{00000000-0005-0000-0000-00002D7E0000}"/>
    <cellStyle name="Normal 7 4 3 6" xfId="32276" xr:uid="{00000000-0005-0000-0000-00002E7E0000}"/>
    <cellStyle name="Normal 7 4 3 7" xfId="32277" xr:uid="{00000000-0005-0000-0000-00002F7E0000}"/>
    <cellStyle name="Normal 7 4 3 8" xfId="32278" xr:uid="{00000000-0005-0000-0000-0000307E0000}"/>
    <cellStyle name="Normal 7 4 4" xfId="32279" xr:uid="{00000000-0005-0000-0000-0000317E0000}"/>
    <cellStyle name="Normal 7 4 4 2" xfId="32280" xr:uid="{00000000-0005-0000-0000-0000327E0000}"/>
    <cellStyle name="Normal 7 4 4 2 2" xfId="32281" xr:uid="{00000000-0005-0000-0000-0000337E0000}"/>
    <cellStyle name="Normal 7 4 4 2 2 2" xfId="32282" xr:uid="{00000000-0005-0000-0000-0000347E0000}"/>
    <cellStyle name="Normal 7 4 4 2 2 2 2" xfId="32283" xr:uid="{00000000-0005-0000-0000-0000357E0000}"/>
    <cellStyle name="Normal 7 4 4 2 2 2 3" xfId="32284" xr:uid="{00000000-0005-0000-0000-0000367E0000}"/>
    <cellStyle name="Normal 7 4 4 2 2 3" xfId="32285" xr:uid="{00000000-0005-0000-0000-0000377E0000}"/>
    <cellStyle name="Normal 7 4 4 2 2 4" xfId="32286" xr:uid="{00000000-0005-0000-0000-0000387E0000}"/>
    <cellStyle name="Normal 7 4 4 2 3" xfId="32287" xr:uid="{00000000-0005-0000-0000-0000397E0000}"/>
    <cellStyle name="Normal 7 4 4 2 3 2" xfId="32288" xr:uid="{00000000-0005-0000-0000-00003A7E0000}"/>
    <cellStyle name="Normal 7 4 4 2 3 3" xfId="32289" xr:uid="{00000000-0005-0000-0000-00003B7E0000}"/>
    <cellStyle name="Normal 7 4 4 2 4" xfId="32290" xr:uid="{00000000-0005-0000-0000-00003C7E0000}"/>
    <cellStyle name="Normal 7 4 4 2 5" xfId="32291" xr:uid="{00000000-0005-0000-0000-00003D7E0000}"/>
    <cellStyle name="Normal 7 4 4 2 6" xfId="32292" xr:uid="{00000000-0005-0000-0000-00003E7E0000}"/>
    <cellStyle name="Normal 7 4 4 3" xfId="32293" xr:uid="{00000000-0005-0000-0000-00003F7E0000}"/>
    <cellStyle name="Normal 7 4 4 3 2" xfId="32294" xr:uid="{00000000-0005-0000-0000-0000407E0000}"/>
    <cellStyle name="Normal 7 4 4 3 2 2" xfId="32295" xr:uid="{00000000-0005-0000-0000-0000417E0000}"/>
    <cellStyle name="Normal 7 4 4 3 2 3" xfId="32296" xr:uid="{00000000-0005-0000-0000-0000427E0000}"/>
    <cellStyle name="Normal 7 4 4 3 3" xfId="32297" xr:uid="{00000000-0005-0000-0000-0000437E0000}"/>
    <cellStyle name="Normal 7 4 4 3 4" xfId="32298" xr:uid="{00000000-0005-0000-0000-0000447E0000}"/>
    <cellStyle name="Normal 7 4 4 4" xfId="32299" xr:uid="{00000000-0005-0000-0000-0000457E0000}"/>
    <cellStyle name="Normal 7 4 4 4 2" xfId="32300" xr:uid="{00000000-0005-0000-0000-0000467E0000}"/>
    <cellStyle name="Normal 7 4 4 4 3" xfId="32301" xr:uid="{00000000-0005-0000-0000-0000477E0000}"/>
    <cellStyle name="Normal 7 4 4 5" xfId="32302" xr:uid="{00000000-0005-0000-0000-0000487E0000}"/>
    <cellStyle name="Normal 7 4 4 6" xfId="32303" xr:uid="{00000000-0005-0000-0000-0000497E0000}"/>
    <cellStyle name="Normal 7 4 4 7" xfId="32304" xr:uid="{00000000-0005-0000-0000-00004A7E0000}"/>
    <cellStyle name="Normal 7 4 5" xfId="32305" xr:uid="{00000000-0005-0000-0000-00004B7E0000}"/>
    <cellStyle name="Normal 7 4 5 2" xfId="32306" xr:uid="{00000000-0005-0000-0000-00004C7E0000}"/>
    <cellStyle name="Normal 7 4 5 2 2" xfId="32307" xr:uid="{00000000-0005-0000-0000-00004D7E0000}"/>
    <cellStyle name="Normal 7 4 5 2 2 2" xfId="32308" xr:uid="{00000000-0005-0000-0000-00004E7E0000}"/>
    <cellStyle name="Normal 7 4 5 2 2 3" xfId="32309" xr:uid="{00000000-0005-0000-0000-00004F7E0000}"/>
    <cellStyle name="Normal 7 4 5 2 3" xfId="32310" xr:uid="{00000000-0005-0000-0000-0000507E0000}"/>
    <cellStyle name="Normal 7 4 5 2 4" xfId="32311" xr:uid="{00000000-0005-0000-0000-0000517E0000}"/>
    <cellStyle name="Normal 7 4 5 3" xfId="32312" xr:uid="{00000000-0005-0000-0000-0000527E0000}"/>
    <cellStyle name="Normal 7 4 5 3 2" xfId="32313" xr:uid="{00000000-0005-0000-0000-0000537E0000}"/>
    <cellStyle name="Normal 7 4 5 3 3" xfId="32314" xr:uid="{00000000-0005-0000-0000-0000547E0000}"/>
    <cellStyle name="Normal 7 4 5 4" xfId="32315" xr:uid="{00000000-0005-0000-0000-0000557E0000}"/>
    <cellStyle name="Normal 7 4 5 5" xfId="32316" xr:uid="{00000000-0005-0000-0000-0000567E0000}"/>
    <cellStyle name="Normal 7 4 5 6" xfId="32317" xr:uid="{00000000-0005-0000-0000-0000577E0000}"/>
    <cellStyle name="Normal 7 4 6" xfId="32318" xr:uid="{00000000-0005-0000-0000-0000587E0000}"/>
    <cellStyle name="Normal 7 4 6 2" xfId="32319" xr:uid="{00000000-0005-0000-0000-0000597E0000}"/>
    <cellStyle name="Normal 7 4 6 2 2" xfId="32320" xr:uid="{00000000-0005-0000-0000-00005A7E0000}"/>
    <cellStyle name="Normal 7 4 6 2 3" xfId="32321" xr:uid="{00000000-0005-0000-0000-00005B7E0000}"/>
    <cellStyle name="Normal 7 4 6 3" xfId="32322" xr:uid="{00000000-0005-0000-0000-00005C7E0000}"/>
    <cellStyle name="Normal 7 4 6 4" xfId="32323" xr:uid="{00000000-0005-0000-0000-00005D7E0000}"/>
    <cellStyle name="Normal 7 4 7" xfId="32324" xr:uid="{00000000-0005-0000-0000-00005E7E0000}"/>
    <cellStyle name="Normal 7 4 7 2" xfId="32325" xr:uid="{00000000-0005-0000-0000-00005F7E0000}"/>
    <cellStyle name="Normal 7 4 7 3" xfId="32326" xr:uid="{00000000-0005-0000-0000-0000607E0000}"/>
    <cellStyle name="Normal 7 4 8" xfId="32327" xr:uid="{00000000-0005-0000-0000-0000617E0000}"/>
    <cellStyle name="Normal 7 4 9" xfId="32328" xr:uid="{00000000-0005-0000-0000-0000627E0000}"/>
    <cellStyle name="Normal 7 5" xfId="32329" xr:uid="{00000000-0005-0000-0000-0000637E0000}"/>
    <cellStyle name="Normal 7 5 10" xfId="32330" xr:uid="{00000000-0005-0000-0000-0000647E0000}"/>
    <cellStyle name="Normal 7 5 2" xfId="32331" xr:uid="{00000000-0005-0000-0000-0000657E0000}"/>
    <cellStyle name="Normal 7 5 2 2" xfId="32332" xr:uid="{00000000-0005-0000-0000-0000667E0000}"/>
    <cellStyle name="Normal 7 5 2 2 2" xfId="32333" xr:uid="{00000000-0005-0000-0000-0000677E0000}"/>
    <cellStyle name="Normal 7 5 2 2 2 2" xfId="32334" xr:uid="{00000000-0005-0000-0000-0000687E0000}"/>
    <cellStyle name="Normal 7 5 2 2 2 2 2" xfId="32335" xr:uid="{00000000-0005-0000-0000-0000697E0000}"/>
    <cellStyle name="Normal 7 5 2 2 2 2 2 2" xfId="32336" xr:uid="{00000000-0005-0000-0000-00006A7E0000}"/>
    <cellStyle name="Normal 7 5 2 2 2 2 2 2 2" xfId="32337" xr:uid="{00000000-0005-0000-0000-00006B7E0000}"/>
    <cellStyle name="Normal 7 5 2 2 2 2 2 2 3" xfId="32338" xr:uid="{00000000-0005-0000-0000-00006C7E0000}"/>
    <cellStyle name="Normal 7 5 2 2 2 2 2 3" xfId="32339" xr:uid="{00000000-0005-0000-0000-00006D7E0000}"/>
    <cellStyle name="Normal 7 5 2 2 2 2 2 4" xfId="32340" xr:uid="{00000000-0005-0000-0000-00006E7E0000}"/>
    <cellStyle name="Normal 7 5 2 2 2 2 3" xfId="32341" xr:uid="{00000000-0005-0000-0000-00006F7E0000}"/>
    <cellStyle name="Normal 7 5 2 2 2 2 3 2" xfId="32342" xr:uid="{00000000-0005-0000-0000-0000707E0000}"/>
    <cellStyle name="Normal 7 5 2 2 2 2 3 3" xfId="32343" xr:uid="{00000000-0005-0000-0000-0000717E0000}"/>
    <cellStyle name="Normal 7 5 2 2 2 2 4" xfId="32344" xr:uid="{00000000-0005-0000-0000-0000727E0000}"/>
    <cellStyle name="Normal 7 5 2 2 2 2 5" xfId="32345" xr:uid="{00000000-0005-0000-0000-0000737E0000}"/>
    <cellStyle name="Normal 7 5 2 2 2 2 6" xfId="32346" xr:uid="{00000000-0005-0000-0000-0000747E0000}"/>
    <cellStyle name="Normal 7 5 2 2 2 3" xfId="32347" xr:uid="{00000000-0005-0000-0000-0000757E0000}"/>
    <cellStyle name="Normal 7 5 2 2 2 3 2" xfId="32348" xr:uid="{00000000-0005-0000-0000-0000767E0000}"/>
    <cellStyle name="Normal 7 5 2 2 2 3 2 2" xfId="32349" xr:uid="{00000000-0005-0000-0000-0000777E0000}"/>
    <cellStyle name="Normal 7 5 2 2 2 3 2 3" xfId="32350" xr:uid="{00000000-0005-0000-0000-0000787E0000}"/>
    <cellStyle name="Normal 7 5 2 2 2 3 3" xfId="32351" xr:uid="{00000000-0005-0000-0000-0000797E0000}"/>
    <cellStyle name="Normal 7 5 2 2 2 3 4" xfId="32352" xr:uid="{00000000-0005-0000-0000-00007A7E0000}"/>
    <cellStyle name="Normal 7 5 2 2 2 4" xfId="32353" xr:uid="{00000000-0005-0000-0000-00007B7E0000}"/>
    <cellStyle name="Normal 7 5 2 2 2 4 2" xfId="32354" xr:uid="{00000000-0005-0000-0000-00007C7E0000}"/>
    <cellStyle name="Normal 7 5 2 2 2 4 3" xfId="32355" xr:uid="{00000000-0005-0000-0000-00007D7E0000}"/>
    <cellStyle name="Normal 7 5 2 2 2 5" xfId="32356" xr:uid="{00000000-0005-0000-0000-00007E7E0000}"/>
    <cellStyle name="Normal 7 5 2 2 2 6" xfId="32357" xr:uid="{00000000-0005-0000-0000-00007F7E0000}"/>
    <cellStyle name="Normal 7 5 2 2 2 7" xfId="32358" xr:uid="{00000000-0005-0000-0000-0000807E0000}"/>
    <cellStyle name="Normal 7 5 2 2 3" xfId="32359" xr:uid="{00000000-0005-0000-0000-0000817E0000}"/>
    <cellStyle name="Normal 7 5 2 2 3 2" xfId="32360" xr:uid="{00000000-0005-0000-0000-0000827E0000}"/>
    <cellStyle name="Normal 7 5 2 2 3 2 2" xfId="32361" xr:uid="{00000000-0005-0000-0000-0000837E0000}"/>
    <cellStyle name="Normal 7 5 2 2 3 2 2 2" xfId="32362" xr:uid="{00000000-0005-0000-0000-0000847E0000}"/>
    <cellStyle name="Normal 7 5 2 2 3 2 2 3" xfId="32363" xr:uid="{00000000-0005-0000-0000-0000857E0000}"/>
    <cellStyle name="Normal 7 5 2 2 3 2 3" xfId="32364" xr:uid="{00000000-0005-0000-0000-0000867E0000}"/>
    <cellStyle name="Normal 7 5 2 2 3 2 4" xfId="32365" xr:uid="{00000000-0005-0000-0000-0000877E0000}"/>
    <cellStyle name="Normal 7 5 2 2 3 3" xfId="32366" xr:uid="{00000000-0005-0000-0000-0000887E0000}"/>
    <cellStyle name="Normal 7 5 2 2 3 3 2" xfId="32367" xr:uid="{00000000-0005-0000-0000-0000897E0000}"/>
    <cellStyle name="Normal 7 5 2 2 3 3 3" xfId="32368" xr:uid="{00000000-0005-0000-0000-00008A7E0000}"/>
    <cellStyle name="Normal 7 5 2 2 3 4" xfId="32369" xr:uid="{00000000-0005-0000-0000-00008B7E0000}"/>
    <cellStyle name="Normal 7 5 2 2 3 5" xfId="32370" xr:uid="{00000000-0005-0000-0000-00008C7E0000}"/>
    <cellStyle name="Normal 7 5 2 2 3 6" xfId="32371" xr:uid="{00000000-0005-0000-0000-00008D7E0000}"/>
    <cellStyle name="Normal 7 5 2 2 4" xfId="32372" xr:uid="{00000000-0005-0000-0000-00008E7E0000}"/>
    <cellStyle name="Normal 7 5 2 2 4 2" xfId="32373" xr:uid="{00000000-0005-0000-0000-00008F7E0000}"/>
    <cellStyle name="Normal 7 5 2 2 4 2 2" xfId="32374" xr:uid="{00000000-0005-0000-0000-0000907E0000}"/>
    <cellStyle name="Normal 7 5 2 2 4 2 3" xfId="32375" xr:uid="{00000000-0005-0000-0000-0000917E0000}"/>
    <cellStyle name="Normal 7 5 2 2 4 3" xfId="32376" xr:uid="{00000000-0005-0000-0000-0000927E0000}"/>
    <cellStyle name="Normal 7 5 2 2 4 4" xfId="32377" xr:uid="{00000000-0005-0000-0000-0000937E0000}"/>
    <cellStyle name="Normal 7 5 2 2 5" xfId="32378" xr:uid="{00000000-0005-0000-0000-0000947E0000}"/>
    <cellStyle name="Normal 7 5 2 2 5 2" xfId="32379" xr:uid="{00000000-0005-0000-0000-0000957E0000}"/>
    <cellStyle name="Normal 7 5 2 2 5 3" xfId="32380" xr:uid="{00000000-0005-0000-0000-0000967E0000}"/>
    <cellStyle name="Normal 7 5 2 2 6" xfId="32381" xr:uid="{00000000-0005-0000-0000-0000977E0000}"/>
    <cellStyle name="Normal 7 5 2 2 7" xfId="32382" xr:uid="{00000000-0005-0000-0000-0000987E0000}"/>
    <cellStyle name="Normal 7 5 2 2 8" xfId="32383" xr:uid="{00000000-0005-0000-0000-0000997E0000}"/>
    <cellStyle name="Normal 7 5 2 3" xfId="32384" xr:uid="{00000000-0005-0000-0000-00009A7E0000}"/>
    <cellStyle name="Normal 7 5 2 3 2" xfId="32385" xr:uid="{00000000-0005-0000-0000-00009B7E0000}"/>
    <cellStyle name="Normal 7 5 2 3 2 2" xfId="32386" xr:uid="{00000000-0005-0000-0000-00009C7E0000}"/>
    <cellStyle name="Normal 7 5 2 3 2 2 2" xfId="32387" xr:uid="{00000000-0005-0000-0000-00009D7E0000}"/>
    <cellStyle name="Normal 7 5 2 3 2 2 2 2" xfId="32388" xr:uid="{00000000-0005-0000-0000-00009E7E0000}"/>
    <cellStyle name="Normal 7 5 2 3 2 2 2 3" xfId="32389" xr:uid="{00000000-0005-0000-0000-00009F7E0000}"/>
    <cellStyle name="Normal 7 5 2 3 2 2 3" xfId="32390" xr:uid="{00000000-0005-0000-0000-0000A07E0000}"/>
    <cellStyle name="Normal 7 5 2 3 2 2 4" xfId="32391" xr:uid="{00000000-0005-0000-0000-0000A17E0000}"/>
    <cellStyle name="Normal 7 5 2 3 2 3" xfId="32392" xr:uid="{00000000-0005-0000-0000-0000A27E0000}"/>
    <cellStyle name="Normal 7 5 2 3 2 3 2" xfId="32393" xr:uid="{00000000-0005-0000-0000-0000A37E0000}"/>
    <cellStyle name="Normal 7 5 2 3 2 3 3" xfId="32394" xr:uid="{00000000-0005-0000-0000-0000A47E0000}"/>
    <cellStyle name="Normal 7 5 2 3 2 4" xfId="32395" xr:uid="{00000000-0005-0000-0000-0000A57E0000}"/>
    <cellStyle name="Normal 7 5 2 3 2 5" xfId="32396" xr:uid="{00000000-0005-0000-0000-0000A67E0000}"/>
    <cellStyle name="Normal 7 5 2 3 2 6" xfId="32397" xr:uid="{00000000-0005-0000-0000-0000A77E0000}"/>
    <cellStyle name="Normal 7 5 2 3 3" xfId="32398" xr:uid="{00000000-0005-0000-0000-0000A87E0000}"/>
    <cellStyle name="Normal 7 5 2 3 3 2" xfId="32399" xr:uid="{00000000-0005-0000-0000-0000A97E0000}"/>
    <cellStyle name="Normal 7 5 2 3 3 2 2" xfId="32400" xr:uid="{00000000-0005-0000-0000-0000AA7E0000}"/>
    <cellStyle name="Normal 7 5 2 3 3 2 3" xfId="32401" xr:uid="{00000000-0005-0000-0000-0000AB7E0000}"/>
    <cellStyle name="Normal 7 5 2 3 3 3" xfId="32402" xr:uid="{00000000-0005-0000-0000-0000AC7E0000}"/>
    <cellStyle name="Normal 7 5 2 3 3 4" xfId="32403" xr:uid="{00000000-0005-0000-0000-0000AD7E0000}"/>
    <cellStyle name="Normal 7 5 2 3 4" xfId="32404" xr:uid="{00000000-0005-0000-0000-0000AE7E0000}"/>
    <cellStyle name="Normal 7 5 2 3 4 2" xfId="32405" xr:uid="{00000000-0005-0000-0000-0000AF7E0000}"/>
    <cellStyle name="Normal 7 5 2 3 4 3" xfId="32406" xr:uid="{00000000-0005-0000-0000-0000B07E0000}"/>
    <cellStyle name="Normal 7 5 2 3 5" xfId="32407" xr:uid="{00000000-0005-0000-0000-0000B17E0000}"/>
    <cellStyle name="Normal 7 5 2 3 6" xfId="32408" xr:uid="{00000000-0005-0000-0000-0000B27E0000}"/>
    <cellStyle name="Normal 7 5 2 3 7" xfId="32409" xr:uid="{00000000-0005-0000-0000-0000B37E0000}"/>
    <cellStyle name="Normal 7 5 2 4" xfId="32410" xr:uid="{00000000-0005-0000-0000-0000B47E0000}"/>
    <cellStyle name="Normal 7 5 2 4 2" xfId="32411" xr:uid="{00000000-0005-0000-0000-0000B57E0000}"/>
    <cellStyle name="Normal 7 5 2 4 2 2" xfId="32412" xr:uid="{00000000-0005-0000-0000-0000B67E0000}"/>
    <cellStyle name="Normal 7 5 2 4 2 2 2" xfId="32413" xr:uid="{00000000-0005-0000-0000-0000B77E0000}"/>
    <cellStyle name="Normal 7 5 2 4 2 2 3" xfId="32414" xr:uid="{00000000-0005-0000-0000-0000B87E0000}"/>
    <cellStyle name="Normal 7 5 2 4 2 3" xfId="32415" xr:uid="{00000000-0005-0000-0000-0000B97E0000}"/>
    <cellStyle name="Normal 7 5 2 4 2 4" xfId="32416" xr:uid="{00000000-0005-0000-0000-0000BA7E0000}"/>
    <cellStyle name="Normal 7 5 2 4 3" xfId="32417" xr:uid="{00000000-0005-0000-0000-0000BB7E0000}"/>
    <cellStyle name="Normal 7 5 2 4 3 2" xfId="32418" xr:uid="{00000000-0005-0000-0000-0000BC7E0000}"/>
    <cellStyle name="Normal 7 5 2 4 3 3" xfId="32419" xr:uid="{00000000-0005-0000-0000-0000BD7E0000}"/>
    <cellStyle name="Normal 7 5 2 4 4" xfId="32420" xr:uid="{00000000-0005-0000-0000-0000BE7E0000}"/>
    <cellStyle name="Normal 7 5 2 4 5" xfId="32421" xr:uid="{00000000-0005-0000-0000-0000BF7E0000}"/>
    <cellStyle name="Normal 7 5 2 4 6" xfId="32422" xr:uid="{00000000-0005-0000-0000-0000C07E0000}"/>
    <cellStyle name="Normal 7 5 2 5" xfId="32423" xr:uid="{00000000-0005-0000-0000-0000C17E0000}"/>
    <cellStyle name="Normal 7 5 2 5 2" xfId="32424" xr:uid="{00000000-0005-0000-0000-0000C27E0000}"/>
    <cellStyle name="Normal 7 5 2 5 2 2" xfId="32425" xr:uid="{00000000-0005-0000-0000-0000C37E0000}"/>
    <cellStyle name="Normal 7 5 2 5 2 3" xfId="32426" xr:uid="{00000000-0005-0000-0000-0000C47E0000}"/>
    <cellStyle name="Normal 7 5 2 5 3" xfId="32427" xr:uid="{00000000-0005-0000-0000-0000C57E0000}"/>
    <cellStyle name="Normal 7 5 2 5 4" xfId="32428" xr:uid="{00000000-0005-0000-0000-0000C67E0000}"/>
    <cellStyle name="Normal 7 5 2 6" xfId="32429" xr:uid="{00000000-0005-0000-0000-0000C77E0000}"/>
    <cellStyle name="Normal 7 5 2 6 2" xfId="32430" xr:uid="{00000000-0005-0000-0000-0000C87E0000}"/>
    <cellStyle name="Normal 7 5 2 6 3" xfId="32431" xr:uid="{00000000-0005-0000-0000-0000C97E0000}"/>
    <cellStyle name="Normal 7 5 2 7" xfId="32432" xr:uid="{00000000-0005-0000-0000-0000CA7E0000}"/>
    <cellStyle name="Normal 7 5 2 8" xfId="32433" xr:uid="{00000000-0005-0000-0000-0000CB7E0000}"/>
    <cellStyle name="Normal 7 5 2 9" xfId="32434" xr:uid="{00000000-0005-0000-0000-0000CC7E0000}"/>
    <cellStyle name="Normal 7 5 3" xfId="32435" xr:uid="{00000000-0005-0000-0000-0000CD7E0000}"/>
    <cellStyle name="Normal 7 5 3 2" xfId="32436" xr:uid="{00000000-0005-0000-0000-0000CE7E0000}"/>
    <cellStyle name="Normal 7 5 3 2 2" xfId="32437" xr:uid="{00000000-0005-0000-0000-0000CF7E0000}"/>
    <cellStyle name="Normal 7 5 3 2 2 2" xfId="32438" xr:uid="{00000000-0005-0000-0000-0000D07E0000}"/>
    <cellStyle name="Normal 7 5 3 2 2 2 2" xfId="32439" xr:uid="{00000000-0005-0000-0000-0000D17E0000}"/>
    <cellStyle name="Normal 7 5 3 2 2 2 2 2" xfId="32440" xr:uid="{00000000-0005-0000-0000-0000D27E0000}"/>
    <cellStyle name="Normal 7 5 3 2 2 2 2 3" xfId="32441" xr:uid="{00000000-0005-0000-0000-0000D37E0000}"/>
    <cellStyle name="Normal 7 5 3 2 2 2 3" xfId="32442" xr:uid="{00000000-0005-0000-0000-0000D47E0000}"/>
    <cellStyle name="Normal 7 5 3 2 2 2 4" xfId="32443" xr:uid="{00000000-0005-0000-0000-0000D57E0000}"/>
    <cellStyle name="Normal 7 5 3 2 2 3" xfId="32444" xr:uid="{00000000-0005-0000-0000-0000D67E0000}"/>
    <cellStyle name="Normal 7 5 3 2 2 3 2" xfId="32445" xr:uid="{00000000-0005-0000-0000-0000D77E0000}"/>
    <cellStyle name="Normal 7 5 3 2 2 3 3" xfId="32446" xr:uid="{00000000-0005-0000-0000-0000D87E0000}"/>
    <cellStyle name="Normal 7 5 3 2 2 4" xfId="32447" xr:uid="{00000000-0005-0000-0000-0000D97E0000}"/>
    <cellStyle name="Normal 7 5 3 2 2 5" xfId="32448" xr:uid="{00000000-0005-0000-0000-0000DA7E0000}"/>
    <cellStyle name="Normal 7 5 3 2 2 6" xfId="32449" xr:uid="{00000000-0005-0000-0000-0000DB7E0000}"/>
    <cellStyle name="Normal 7 5 3 2 3" xfId="32450" xr:uid="{00000000-0005-0000-0000-0000DC7E0000}"/>
    <cellStyle name="Normal 7 5 3 2 3 2" xfId="32451" xr:uid="{00000000-0005-0000-0000-0000DD7E0000}"/>
    <cellStyle name="Normal 7 5 3 2 3 2 2" xfId="32452" xr:uid="{00000000-0005-0000-0000-0000DE7E0000}"/>
    <cellStyle name="Normal 7 5 3 2 3 2 3" xfId="32453" xr:uid="{00000000-0005-0000-0000-0000DF7E0000}"/>
    <cellStyle name="Normal 7 5 3 2 3 3" xfId="32454" xr:uid="{00000000-0005-0000-0000-0000E07E0000}"/>
    <cellStyle name="Normal 7 5 3 2 3 4" xfId="32455" xr:uid="{00000000-0005-0000-0000-0000E17E0000}"/>
    <cellStyle name="Normal 7 5 3 2 4" xfId="32456" xr:uid="{00000000-0005-0000-0000-0000E27E0000}"/>
    <cellStyle name="Normal 7 5 3 2 4 2" xfId="32457" xr:uid="{00000000-0005-0000-0000-0000E37E0000}"/>
    <cellStyle name="Normal 7 5 3 2 4 3" xfId="32458" xr:uid="{00000000-0005-0000-0000-0000E47E0000}"/>
    <cellStyle name="Normal 7 5 3 2 5" xfId="32459" xr:uid="{00000000-0005-0000-0000-0000E57E0000}"/>
    <cellStyle name="Normal 7 5 3 2 6" xfId="32460" xr:uid="{00000000-0005-0000-0000-0000E67E0000}"/>
    <cellStyle name="Normal 7 5 3 2 7" xfId="32461" xr:uid="{00000000-0005-0000-0000-0000E77E0000}"/>
    <cellStyle name="Normal 7 5 3 3" xfId="32462" xr:uid="{00000000-0005-0000-0000-0000E87E0000}"/>
    <cellStyle name="Normal 7 5 3 3 2" xfId="32463" xr:uid="{00000000-0005-0000-0000-0000E97E0000}"/>
    <cellStyle name="Normal 7 5 3 3 2 2" xfId="32464" xr:uid="{00000000-0005-0000-0000-0000EA7E0000}"/>
    <cellStyle name="Normal 7 5 3 3 2 2 2" xfId="32465" xr:uid="{00000000-0005-0000-0000-0000EB7E0000}"/>
    <cellStyle name="Normal 7 5 3 3 2 2 3" xfId="32466" xr:uid="{00000000-0005-0000-0000-0000EC7E0000}"/>
    <cellStyle name="Normal 7 5 3 3 2 3" xfId="32467" xr:uid="{00000000-0005-0000-0000-0000ED7E0000}"/>
    <cellStyle name="Normal 7 5 3 3 2 4" xfId="32468" xr:uid="{00000000-0005-0000-0000-0000EE7E0000}"/>
    <cellStyle name="Normal 7 5 3 3 3" xfId="32469" xr:uid="{00000000-0005-0000-0000-0000EF7E0000}"/>
    <cellStyle name="Normal 7 5 3 3 3 2" xfId="32470" xr:uid="{00000000-0005-0000-0000-0000F07E0000}"/>
    <cellStyle name="Normal 7 5 3 3 3 3" xfId="32471" xr:uid="{00000000-0005-0000-0000-0000F17E0000}"/>
    <cellStyle name="Normal 7 5 3 3 4" xfId="32472" xr:uid="{00000000-0005-0000-0000-0000F27E0000}"/>
    <cellStyle name="Normal 7 5 3 3 5" xfId="32473" xr:uid="{00000000-0005-0000-0000-0000F37E0000}"/>
    <cellStyle name="Normal 7 5 3 3 6" xfId="32474" xr:uid="{00000000-0005-0000-0000-0000F47E0000}"/>
    <cellStyle name="Normal 7 5 3 4" xfId="32475" xr:uid="{00000000-0005-0000-0000-0000F57E0000}"/>
    <cellStyle name="Normal 7 5 3 4 2" xfId="32476" xr:uid="{00000000-0005-0000-0000-0000F67E0000}"/>
    <cellStyle name="Normal 7 5 3 4 2 2" xfId="32477" xr:uid="{00000000-0005-0000-0000-0000F77E0000}"/>
    <cellStyle name="Normal 7 5 3 4 2 3" xfId="32478" xr:uid="{00000000-0005-0000-0000-0000F87E0000}"/>
    <cellStyle name="Normal 7 5 3 4 3" xfId="32479" xr:uid="{00000000-0005-0000-0000-0000F97E0000}"/>
    <cellStyle name="Normal 7 5 3 4 4" xfId="32480" xr:uid="{00000000-0005-0000-0000-0000FA7E0000}"/>
    <cellStyle name="Normal 7 5 3 5" xfId="32481" xr:uid="{00000000-0005-0000-0000-0000FB7E0000}"/>
    <cellStyle name="Normal 7 5 3 5 2" xfId="32482" xr:uid="{00000000-0005-0000-0000-0000FC7E0000}"/>
    <cellStyle name="Normal 7 5 3 5 3" xfId="32483" xr:uid="{00000000-0005-0000-0000-0000FD7E0000}"/>
    <cellStyle name="Normal 7 5 3 6" xfId="32484" xr:uid="{00000000-0005-0000-0000-0000FE7E0000}"/>
    <cellStyle name="Normal 7 5 3 7" xfId="32485" xr:uid="{00000000-0005-0000-0000-0000FF7E0000}"/>
    <cellStyle name="Normal 7 5 3 8" xfId="32486" xr:uid="{00000000-0005-0000-0000-0000007F0000}"/>
    <cellStyle name="Normal 7 5 4" xfId="32487" xr:uid="{00000000-0005-0000-0000-0000017F0000}"/>
    <cellStyle name="Normal 7 5 4 2" xfId="32488" xr:uid="{00000000-0005-0000-0000-0000027F0000}"/>
    <cellStyle name="Normal 7 5 4 2 2" xfId="32489" xr:uid="{00000000-0005-0000-0000-0000037F0000}"/>
    <cellStyle name="Normal 7 5 4 2 2 2" xfId="32490" xr:uid="{00000000-0005-0000-0000-0000047F0000}"/>
    <cellStyle name="Normal 7 5 4 2 2 2 2" xfId="32491" xr:uid="{00000000-0005-0000-0000-0000057F0000}"/>
    <cellStyle name="Normal 7 5 4 2 2 2 3" xfId="32492" xr:uid="{00000000-0005-0000-0000-0000067F0000}"/>
    <cellStyle name="Normal 7 5 4 2 2 3" xfId="32493" xr:uid="{00000000-0005-0000-0000-0000077F0000}"/>
    <cellStyle name="Normal 7 5 4 2 2 4" xfId="32494" xr:uid="{00000000-0005-0000-0000-0000087F0000}"/>
    <cellStyle name="Normal 7 5 4 2 3" xfId="32495" xr:uid="{00000000-0005-0000-0000-0000097F0000}"/>
    <cellStyle name="Normal 7 5 4 2 3 2" xfId="32496" xr:uid="{00000000-0005-0000-0000-00000A7F0000}"/>
    <cellStyle name="Normal 7 5 4 2 3 3" xfId="32497" xr:uid="{00000000-0005-0000-0000-00000B7F0000}"/>
    <cellStyle name="Normal 7 5 4 2 4" xfId="32498" xr:uid="{00000000-0005-0000-0000-00000C7F0000}"/>
    <cellStyle name="Normal 7 5 4 2 5" xfId="32499" xr:uid="{00000000-0005-0000-0000-00000D7F0000}"/>
    <cellStyle name="Normal 7 5 4 2 6" xfId="32500" xr:uid="{00000000-0005-0000-0000-00000E7F0000}"/>
    <cellStyle name="Normal 7 5 4 3" xfId="32501" xr:uid="{00000000-0005-0000-0000-00000F7F0000}"/>
    <cellStyle name="Normal 7 5 4 3 2" xfId="32502" xr:uid="{00000000-0005-0000-0000-0000107F0000}"/>
    <cellStyle name="Normal 7 5 4 3 2 2" xfId="32503" xr:uid="{00000000-0005-0000-0000-0000117F0000}"/>
    <cellStyle name="Normal 7 5 4 3 2 3" xfId="32504" xr:uid="{00000000-0005-0000-0000-0000127F0000}"/>
    <cellStyle name="Normal 7 5 4 3 3" xfId="32505" xr:uid="{00000000-0005-0000-0000-0000137F0000}"/>
    <cellStyle name="Normal 7 5 4 3 4" xfId="32506" xr:uid="{00000000-0005-0000-0000-0000147F0000}"/>
    <cellStyle name="Normal 7 5 4 4" xfId="32507" xr:uid="{00000000-0005-0000-0000-0000157F0000}"/>
    <cellStyle name="Normal 7 5 4 4 2" xfId="32508" xr:uid="{00000000-0005-0000-0000-0000167F0000}"/>
    <cellStyle name="Normal 7 5 4 4 3" xfId="32509" xr:uid="{00000000-0005-0000-0000-0000177F0000}"/>
    <cellStyle name="Normal 7 5 4 5" xfId="32510" xr:uid="{00000000-0005-0000-0000-0000187F0000}"/>
    <cellStyle name="Normal 7 5 4 6" xfId="32511" xr:uid="{00000000-0005-0000-0000-0000197F0000}"/>
    <cellStyle name="Normal 7 5 4 7" xfId="32512" xr:uid="{00000000-0005-0000-0000-00001A7F0000}"/>
    <cellStyle name="Normal 7 5 5" xfId="32513" xr:uid="{00000000-0005-0000-0000-00001B7F0000}"/>
    <cellStyle name="Normal 7 5 5 2" xfId="32514" xr:uid="{00000000-0005-0000-0000-00001C7F0000}"/>
    <cellStyle name="Normal 7 5 5 2 2" xfId="32515" xr:uid="{00000000-0005-0000-0000-00001D7F0000}"/>
    <cellStyle name="Normal 7 5 5 2 2 2" xfId="32516" xr:uid="{00000000-0005-0000-0000-00001E7F0000}"/>
    <cellStyle name="Normal 7 5 5 2 2 3" xfId="32517" xr:uid="{00000000-0005-0000-0000-00001F7F0000}"/>
    <cellStyle name="Normal 7 5 5 2 3" xfId="32518" xr:uid="{00000000-0005-0000-0000-0000207F0000}"/>
    <cellStyle name="Normal 7 5 5 2 4" xfId="32519" xr:uid="{00000000-0005-0000-0000-0000217F0000}"/>
    <cellStyle name="Normal 7 5 5 3" xfId="32520" xr:uid="{00000000-0005-0000-0000-0000227F0000}"/>
    <cellStyle name="Normal 7 5 5 3 2" xfId="32521" xr:uid="{00000000-0005-0000-0000-0000237F0000}"/>
    <cellStyle name="Normal 7 5 5 3 3" xfId="32522" xr:uid="{00000000-0005-0000-0000-0000247F0000}"/>
    <cellStyle name="Normal 7 5 5 4" xfId="32523" xr:uid="{00000000-0005-0000-0000-0000257F0000}"/>
    <cellStyle name="Normal 7 5 5 5" xfId="32524" xr:uid="{00000000-0005-0000-0000-0000267F0000}"/>
    <cellStyle name="Normal 7 5 5 6" xfId="32525" xr:uid="{00000000-0005-0000-0000-0000277F0000}"/>
    <cellStyle name="Normal 7 5 6" xfId="32526" xr:uid="{00000000-0005-0000-0000-0000287F0000}"/>
    <cellStyle name="Normal 7 5 6 2" xfId="32527" xr:uid="{00000000-0005-0000-0000-0000297F0000}"/>
    <cellStyle name="Normal 7 5 6 2 2" xfId="32528" xr:uid="{00000000-0005-0000-0000-00002A7F0000}"/>
    <cellStyle name="Normal 7 5 6 2 3" xfId="32529" xr:uid="{00000000-0005-0000-0000-00002B7F0000}"/>
    <cellStyle name="Normal 7 5 6 3" xfId="32530" xr:uid="{00000000-0005-0000-0000-00002C7F0000}"/>
    <cellStyle name="Normal 7 5 6 4" xfId="32531" xr:uid="{00000000-0005-0000-0000-00002D7F0000}"/>
    <cellStyle name="Normal 7 5 7" xfId="32532" xr:uid="{00000000-0005-0000-0000-00002E7F0000}"/>
    <cellStyle name="Normal 7 5 7 2" xfId="32533" xr:uid="{00000000-0005-0000-0000-00002F7F0000}"/>
    <cellStyle name="Normal 7 5 7 3" xfId="32534" xr:uid="{00000000-0005-0000-0000-0000307F0000}"/>
    <cellStyle name="Normal 7 5 8" xfId="32535" xr:uid="{00000000-0005-0000-0000-0000317F0000}"/>
    <cellStyle name="Normal 7 5 9" xfId="32536" xr:uid="{00000000-0005-0000-0000-0000327F0000}"/>
    <cellStyle name="Normal 7 6" xfId="32537" xr:uid="{00000000-0005-0000-0000-0000337F0000}"/>
    <cellStyle name="Normal 7 6 10" xfId="32538" xr:uid="{00000000-0005-0000-0000-0000347F0000}"/>
    <cellStyle name="Normal 7 6 2" xfId="32539" xr:uid="{00000000-0005-0000-0000-0000357F0000}"/>
    <cellStyle name="Normal 7 6 2 2" xfId="32540" xr:uid="{00000000-0005-0000-0000-0000367F0000}"/>
    <cellStyle name="Normal 7 6 2 2 2" xfId="32541" xr:uid="{00000000-0005-0000-0000-0000377F0000}"/>
    <cellStyle name="Normal 7 6 2 2 2 2" xfId="32542" xr:uid="{00000000-0005-0000-0000-0000387F0000}"/>
    <cellStyle name="Normal 7 6 2 2 2 2 2" xfId="32543" xr:uid="{00000000-0005-0000-0000-0000397F0000}"/>
    <cellStyle name="Normal 7 6 2 2 2 2 2 2" xfId="32544" xr:uid="{00000000-0005-0000-0000-00003A7F0000}"/>
    <cellStyle name="Normal 7 6 2 2 2 2 2 2 2" xfId="32545" xr:uid="{00000000-0005-0000-0000-00003B7F0000}"/>
    <cellStyle name="Normal 7 6 2 2 2 2 2 2 3" xfId="32546" xr:uid="{00000000-0005-0000-0000-00003C7F0000}"/>
    <cellStyle name="Normal 7 6 2 2 2 2 2 3" xfId="32547" xr:uid="{00000000-0005-0000-0000-00003D7F0000}"/>
    <cellStyle name="Normal 7 6 2 2 2 2 2 4" xfId="32548" xr:uid="{00000000-0005-0000-0000-00003E7F0000}"/>
    <cellStyle name="Normal 7 6 2 2 2 2 3" xfId="32549" xr:uid="{00000000-0005-0000-0000-00003F7F0000}"/>
    <cellStyle name="Normal 7 6 2 2 2 2 3 2" xfId="32550" xr:uid="{00000000-0005-0000-0000-0000407F0000}"/>
    <cellStyle name="Normal 7 6 2 2 2 2 3 3" xfId="32551" xr:uid="{00000000-0005-0000-0000-0000417F0000}"/>
    <cellStyle name="Normal 7 6 2 2 2 2 4" xfId="32552" xr:uid="{00000000-0005-0000-0000-0000427F0000}"/>
    <cellStyle name="Normal 7 6 2 2 2 2 5" xfId="32553" xr:uid="{00000000-0005-0000-0000-0000437F0000}"/>
    <cellStyle name="Normal 7 6 2 2 2 2 6" xfId="32554" xr:uid="{00000000-0005-0000-0000-0000447F0000}"/>
    <cellStyle name="Normal 7 6 2 2 2 3" xfId="32555" xr:uid="{00000000-0005-0000-0000-0000457F0000}"/>
    <cellStyle name="Normal 7 6 2 2 2 3 2" xfId="32556" xr:uid="{00000000-0005-0000-0000-0000467F0000}"/>
    <cellStyle name="Normal 7 6 2 2 2 3 2 2" xfId="32557" xr:uid="{00000000-0005-0000-0000-0000477F0000}"/>
    <cellStyle name="Normal 7 6 2 2 2 3 2 3" xfId="32558" xr:uid="{00000000-0005-0000-0000-0000487F0000}"/>
    <cellStyle name="Normal 7 6 2 2 2 3 3" xfId="32559" xr:uid="{00000000-0005-0000-0000-0000497F0000}"/>
    <cellStyle name="Normal 7 6 2 2 2 3 4" xfId="32560" xr:uid="{00000000-0005-0000-0000-00004A7F0000}"/>
    <cellStyle name="Normal 7 6 2 2 2 4" xfId="32561" xr:uid="{00000000-0005-0000-0000-00004B7F0000}"/>
    <cellStyle name="Normal 7 6 2 2 2 4 2" xfId="32562" xr:uid="{00000000-0005-0000-0000-00004C7F0000}"/>
    <cellStyle name="Normal 7 6 2 2 2 4 3" xfId="32563" xr:uid="{00000000-0005-0000-0000-00004D7F0000}"/>
    <cellStyle name="Normal 7 6 2 2 2 5" xfId="32564" xr:uid="{00000000-0005-0000-0000-00004E7F0000}"/>
    <cellStyle name="Normal 7 6 2 2 2 6" xfId="32565" xr:uid="{00000000-0005-0000-0000-00004F7F0000}"/>
    <cellStyle name="Normal 7 6 2 2 2 7" xfId="32566" xr:uid="{00000000-0005-0000-0000-0000507F0000}"/>
    <cellStyle name="Normal 7 6 2 2 3" xfId="32567" xr:uid="{00000000-0005-0000-0000-0000517F0000}"/>
    <cellStyle name="Normal 7 6 2 2 3 2" xfId="32568" xr:uid="{00000000-0005-0000-0000-0000527F0000}"/>
    <cellStyle name="Normal 7 6 2 2 3 2 2" xfId="32569" xr:uid="{00000000-0005-0000-0000-0000537F0000}"/>
    <cellStyle name="Normal 7 6 2 2 3 2 2 2" xfId="32570" xr:uid="{00000000-0005-0000-0000-0000547F0000}"/>
    <cellStyle name="Normal 7 6 2 2 3 2 2 3" xfId="32571" xr:uid="{00000000-0005-0000-0000-0000557F0000}"/>
    <cellStyle name="Normal 7 6 2 2 3 2 3" xfId="32572" xr:uid="{00000000-0005-0000-0000-0000567F0000}"/>
    <cellStyle name="Normal 7 6 2 2 3 2 4" xfId="32573" xr:uid="{00000000-0005-0000-0000-0000577F0000}"/>
    <cellStyle name="Normal 7 6 2 2 3 3" xfId="32574" xr:uid="{00000000-0005-0000-0000-0000587F0000}"/>
    <cellStyle name="Normal 7 6 2 2 3 3 2" xfId="32575" xr:uid="{00000000-0005-0000-0000-0000597F0000}"/>
    <cellStyle name="Normal 7 6 2 2 3 3 3" xfId="32576" xr:uid="{00000000-0005-0000-0000-00005A7F0000}"/>
    <cellStyle name="Normal 7 6 2 2 3 4" xfId="32577" xr:uid="{00000000-0005-0000-0000-00005B7F0000}"/>
    <cellStyle name="Normal 7 6 2 2 3 5" xfId="32578" xr:uid="{00000000-0005-0000-0000-00005C7F0000}"/>
    <cellStyle name="Normal 7 6 2 2 3 6" xfId="32579" xr:uid="{00000000-0005-0000-0000-00005D7F0000}"/>
    <cellStyle name="Normal 7 6 2 2 4" xfId="32580" xr:uid="{00000000-0005-0000-0000-00005E7F0000}"/>
    <cellStyle name="Normal 7 6 2 2 4 2" xfId="32581" xr:uid="{00000000-0005-0000-0000-00005F7F0000}"/>
    <cellStyle name="Normal 7 6 2 2 4 2 2" xfId="32582" xr:uid="{00000000-0005-0000-0000-0000607F0000}"/>
    <cellStyle name="Normal 7 6 2 2 4 2 3" xfId="32583" xr:uid="{00000000-0005-0000-0000-0000617F0000}"/>
    <cellStyle name="Normal 7 6 2 2 4 3" xfId="32584" xr:uid="{00000000-0005-0000-0000-0000627F0000}"/>
    <cellStyle name="Normal 7 6 2 2 4 4" xfId="32585" xr:uid="{00000000-0005-0000-0000-0000637F0000}"/>
    <cellStyle name="Normal 7 6 2 2 5" xfId="32586" xr:uid="{00000000-0005-0000-0000-0000647F0000}"/>
    <cellStyle name="Normal 7 6 2 2 5 2" xfId="32587" xr:uid="{00000000-0005-0000-0000-0000657F0000}"/>
    <cellStyle name="Normal 7 6 2 2 5 3" xfId="32588" xr:uid="{00000000-0005-0000-0000-0000667F0000}"/>
    <cellStyle name="Normal 7 6 2 2 6" xfId="32589" xr:uid="{00000000-0005-0000-0000-0000677F0000}"/>
    <cellStyle name="Normal 7 6 2 2 7" xfId="32590" xr:uid="{00000000-0005-0000-0000-0000687F0000}"/>
    <cellStyle name="Normal 7 6 2 2 8" xfId="32591" xr:uid="{00000000-0005-0000-0000-0000697F0000}"/>
    <cellStyle name="Normal 7 6 2 3" xfId="32592" xr:uid="{00000000-0005-0000-0000-00006A7F0000}"/>
    <cellStyle name="Normal 7 6 2 3 2" xfId="32593" xr:uid="{00000000-0005-0000-0000-00006B7F0000}"/>
    <cellStyle name="Normal 7 6 2 3 2 2" xfId="32594" xr:uid="{00000000-0005-0000-0000-00006C7F0000}"/>
    <cellStyle name="Normal 7 6 2 3 2 2 2" xfId="32595" xr:uid="{00000000-0005-0000-0000-00006D7F0000}"/>
    <cellStyle name="Normal 7 6 2 3 2 2 2 2" xfId="32596" xr:uid="{00000000-0005-0000-0000-00006E7F0000}"/>
    <cellStyle name="Normal 7 6 2 3 2 2 2 3" xfId="32597" xr:uid="{00000000-0005-0000-0000-00006F7F0000}"/>
    <cellStyle name="Normal 7 6 2 3 2 2 3" xfId="32598" xr:uid="{00000000-0005-0000-0000-0000707F0000}"/>
    <cellStyle name="Normal 7 6 2 3 2 2 4" xfId="32599" xr:uid="{00000000-0005-0000-0000-0000717F0000}"/>
    <cellStyle name="Normal 7 6 2 3 2 3" xfId="32600" xr:uid="{00000000-0005-0000-0000-0000727F0000}"/>
    <cellStyle name="Normal 7 6 2 3 2 3 2" xfId="32601" xr:uid="{00000000-0005-0000-0000-0000737F0000}"/>
    <cellStyle name="Normal 7 6 2 3 2 3 3" xfId="32602" xr:uid="{00000000-0005-0000-0000-0000747F0000}"/>
    <cellStyle name="Normal 7 6 2 3 2 4" xfId="32603" xr:uid="{00000000-0005-0000-0000-0000757F0000}"/>
    <cellStyle name="Normal 7 6 2 3 2 5" xfId="32604" xr:uid="{00000000-0005-0000-0000-0000767F0000}"/>
    <cellStyle name="Normal 7 6 2 3 2 6" xfId="32605" xr:uid="{00000000-0005-0000-0000-0000777F0000}"/>
    <cellStyle name="Normal 7 6 2 3 3" xfId="32606" xr:uid="{00000000-0005-0000-0000-0000787F0000}"/>
    <cellStyle name="Normal 7 6 2 3 3 2" xfId="32607" xr:uid="{00000000-0005-0000-0000-0000797F0000}"/>
    <cellStyle name="Normal 7 6 2 3 3 2 2" xfId="32608" xr:uid="{00000000-0005-0000-0000-00007A7F0000}"/>
    <cellStyle name="Normal 7 6 2 3 3 2 3" xfId="32609" xr:uid="{00000000-0005-0000-0000-00007B7F0000}"/>
    <cellStyle name="Normal 7 6 2 3 3 3" xfId="32610" xr:uid="{00000000-0005-0000-0000-00007C7F0000}"/>
    <cellStyle name="Normal 7 6 2 3 3 4" xfId="32611" xr:uid="{00000000-0005-0000-0000-00007D7F0000}"/>
    <cellStyle name="Normal 7 6 2 3 4" xfId="32612" xr:uid="{00000000-0005-0000-0000-00007E7F0000}"/>
    <cellStyle name="Normal 7 6 2 3 4 2" xfId="32613" xr:uid="{00000000-0005-0000-0000-00007F7F0000}"/>
    <cellStyle name="Normal 7 6 2 3 4 3" xfId="32614" xr:uid="{00000000-0005-0000-0000-0000807F0000}"/>
    <cellStyle name="Normal 7 6 2 3 5" xfId="32615" xr:uid="{00000000-0005-0000-0000-0000817F0000}"/>
    <cellStyle name="Normal 7 6 2 3 6" xfId="32616" xr:uid="{00000000-0005-0000-0000-0000827F0000}"/>
    <cellStyle name="Normal 7 6 2 3 7" xfId="32617" xr:uid="{00000000-0005-0000-0000-0000837F0000}"/>
    <cellStyle name="Normal 7 6 2 4" xfId="32618" xr:uid="{00000000-0005-0000-0000-0000847F0000}"/>
    <cellStyle name="Normal 7 6 2 4 2" xfId="32619" xr:uid="{00000000-0005-0000-0000-0000857F0000}"/>
    <cellStyle name="Normal 7 6 2 4 2 2" xfId="32620" xr:uid="{00000000-0005-0000-0000-0000867F0000}"/>
    <cellStyle name="Normal 7 6 2 4 2 2 2" xfId="32621" xr:uid="{00000000-0005-0000-0000-0000877F0000}"/>
    <cellStyle name="Normal 7 6 2 4 2 2 3" xfId="32622" xr:uid="{00000000-0005-0000-0000-0000887F0000}"/>
    <cellStyle name="Normal 7 6 2 4 2 3" xfId="32623" xr:uid="{00000000-0005-0000-0000-0000897F0000}"/>
    <cellStyle name="Normal 7 6 2 4 2 4" xfId="32624" xr:uid="{00000000-0005-0000-0000-00008A7F0000}"/>
    <cellStyle name="Normal 7 6 2 4 3" xfId="32625" xr:uid="{00000000-0005-0000-0000-00008B7F0000}"/>
    <cellStyle name="Normal 7 6 2 4 3 2" xfId="32626" xr:uid="{00000000-0005-0000-0000-00008C7F0000}"/>
    <cellStyle name="Normal 7 6 2 4 3 3" xfId="32627" xr:uid="{00000000-0005-0000-0000-00008D7F0000}"/>
    <cellStyle name="Normal 7 6 2 4 4" xfId="32628" xr:uid="{00000000-0005-0000-0000-00008E7F0000}"/>
    <cellStyle name="Normal 7 6 2 4 5" xfId="32629" xr:uid="{00000000-0005-0000-0000-00008F7F0000}"/>
    <cellStyle name="Normal 7 6 2 4 6" xfId="32630" xr:uid="{00000000-0005-0000-0000-0000907F0000}"/>
    <cellStyle name="Normal 7 6 2 5" xfId="32631" xr:uid="{00000000-0005-0000-0000-0000917F0000}"/>
    <cellStyle name="Normal 7 6 2 5 2" xfId="32632" xr:uid="{00000000-0005-0000-0000-0000927F0000}"/>
    <cellStyle name="Normal 7 6 2 5 2 2" xfId="32633" xr:uid="{00000000-0005-0000-0000-0000937F0000}"/>
    <cellStyle name="Normal 7 6 2 5 2 3" xfId="32634" xr:uid="{00000000-0005-0000-0000-0000947F0000}"/>
    <cellStyle name="Normal 7 6 2 5 3" xfId="32635" xr:uid="{00000000-0005-0000-0000-0000957F0000}"/>
    <cellStyle name="Normal 7 6 2 5 4" xfId="32636" xr:uid="{00000000-0005-0000-0000-0000967F0000}"/>
    <cellStyle name="Normal 7 6 2 6" xfId="32637" xr:uid="{00000000-0005-0000-0000-0000977F0000}"/>
    <cellStyle name="Normal 7 6 2 6 2" xfId="32638" xr:uid="{00000000-0005-0000-0000-0000987F0000}"/>
    <cellStyle name="Normal 7 6 2 6 3" xfId="32639" xr:uid="{00000000-0005-0000-0000-0000997F0000}"/>
    <cellStyle name="Normal 7 6 2 7" xfId="32640" xr:uid="{00000000-0005-0000-0000-00009A7F0000}"/>
    <cellStyle name="Normal 7 6 2 8" xfId="32641" xr:uid="{00000000-0005-0000-0000-00009B7F0000}"/>
    <cellStyle name="Normal 7 6 2 9" xfId="32642" xr:uid="{00000000-0005-0000-0000-00009C7F0000}"/>
    <cellStyle name="Normal 7 6 3" xfId="32643" xr:uid="{00000000-0005-0000-0000-00009D7F0000}"/>
    <cellStyle name="Normal 7 6 3 2" xfId="32644" xr:uid="{00000000-0005-0000-0000-00009E7F0000}"/>
    <cellStyle name="Normal 7 6 3 2 2" xfId="32645" xr:uid="{00000000-0005-0000-0000-00009F7F0000}"/>
    <cellStyle name="Normal 7 6 3 2 2 2" xfId="32646" xr:uid="{00000000-0005-0000-0000-0000A07F0000}"/>
    <cellStyle name="Normal 7 6 3 2 2 2 2" xfId="32647" xr:uid="{00000000-0005-0000-0000-0000A17F0000}"/>
    <cellStyle name="Normal 7 6 3 2 2 2 2 2" xfId="32648" xr:uid="{00000000-0005-0000-0000-0000A27F0000}"/>
    <cellStyle name="Normal 7 6 3 2 2 2 2 3" xfId="32649" xr:uid="{00000000-0005-0000-0000-0000A37F0000}"/>
    <cellStyle name="Normal 7 6 3 2 2 2 3" xfId="32650" xr:uid="{00000000-0005-0000-0000-0000A47F0000}"/>
    <cellStyle name="Normal 7 6 3 2 2 2 4" xfId="32651" xr:uid="{00000000-0005-0000-0000-0000A57F0000}"/>
    <cellStyle name="Normal 7 6 3 2 2 3" xfId="32652" xr:uid="{00000000-0005-0000-0000-0000A67F0000}"/>
    <cellStyle name="Normal 7 6 3 2 2 3 2" xfId="32653" xr:uid="{00000000-0005-0000-0000-0000A77F0000}"/>
    <cellStyle name="Normal 7 6 3 2 2 3 3" xfId="32654" xr:uid="{00000000-0005-0000-0000-0000A87F0000}"/>
    <cellStyle name="Normal 7 6 3 2 2 4" xfId="32655" xr:uid="{00000000-0005-0000-0000-0000A97F0000}"/>
    <cellStyle name="Normal 7 6 3 2 2 5" xfId="32656" xr:uid="{00000000-0005-0000-0000-0000AA7F0000}"/>
    <cellStyle name="Normal 7 6 3 2 2 6" xfId="32657" xr:uid="{00000000-0005-0000-0000-0000AB7F0000}"/>
    <cellStyle name="Normal 7 6 3 2 3" xfId="32658" xr:uid="{00000000-0005-0000-0000-0000AC7F0000}"/>
    <cellStyle name="Normal 7 6 3 2 3 2" xfId="32659" xr:uid="{00000000-0005-0000-0000-0000AD7F0000}"/>
    <cellStyle name="Normal 7 6 3 2 3 2 2" xfId="32660" xr:uid="{00000000-0005-0000-0000-0000AE7F0000}"/>
    <cellStyle name="Normal 7 6 3 2 3 2 3" xfId="32661" xr:uid="{00000000-0005-0000-0000-0000AF7F0000}"/>
    <cellStyle name="Normal 7 6 3 2 3 3" xfId="32662" xr:uid="{00000000-0005-0000-0000-0000B07F0000}"/>
    <cellStyle name="Normal 7 6 3 2 3 4" xfId="32663" xr:uid="{00000000-0005-0000-0000-0000B17F0000}"/>
    <cellStyle name="Normal 7 6 3 2 4" xfId="32664" xr:uid="{00000000-0005-0000-0000-0000B27F0000}"/>
    <cellStyle name="Normal 7 6 3 2 4 2" xfId="32665" xr:uid="{00000000-0005-0000-0000-0000B37F0000}"/>
    <cellStyle name="Normal 7 6 3 2 4 3" xfId="32666" xr:uid="{00000000-0005-0000-0000-0000B47F0000}"/>
    <cellStyle name="Normal 7 6 3 2 5" xfId="32667" xr:uid="{00000000-0005-0000-0000-0000B57F0000}"/>
    <cellStyle name="Normal 7 6 3 2 6" xfId="32668" xr:uid="{00000000-0005-0000-0000-0000B67F0000}"/>
    <cellStyle name="Normal 7 6 3 2 7" xfId="32669" xr:uid="{00000000-0005-0000-0000-0000B77F0000}"/>
    <cellStyle name="Normal 7 6 3 3" xfId="32670" xr:uid="{00000000-0005-0000-0000-0000B87F0000}"/>
    <cellStyle name="Normal 7 6 3 3 2" xfId="32671" xr:uid="{00000000-0005-0000-0000-0000B97F0000}"/>
    <cellStyle name="Normal 7 6 3 3 2 2" xfId="32672" xr:uid="{00000000-0005-0000-0000-0000BA7F0000}"/>
    <cellStyle name="Normal 7 6 3 3 2 2 2" xfId="32673" xr:uid="{00000000-0005-0000-0000-0000BB7F0000}"/>
    <cellStyle name="Normal 7 6 3 3 2 2 3" xfId="32674" xr:uid="{00000000-0005-0000-0000-0000BC7F0000}"/>
    <cellStyle name="Normal 7 6 3 3 2 3" xfId="32675" xr:uid="{00000000-0005-0000-0000-0000BD7F0000}"/>
    <cellStyle name="Normal 7 6 3 3 2 4" xfId="32676" xr:uid="{00000000-0005-0000-0000-0000BE7F0000}"/>
    <cellStyle name="Normal 7 6 3 3 3" xfId="32677" xr:uid="{00000000-0005-0000-0000-0000BF7F0000}"/>
    <cellStyle name="Normal 7 6 3 3 3 2" xfId="32678" xr:uid="{00000000-0005-0000-0000-0000C07F0000}"/>
    <cellStyle name="Normal 7 6 3 3 3 3" xfId="32679" xr:uid="{00000000-0005-0000-0000-0000C17F0000}"/>
    <cellStyle name="Normal 7 6 3 3 4" xfId="32680" xr:uid="{00000000-0005-0000-0000-0000C27F0000}"/>
    <cellStyle name="Normal 7 6 3 3 5" xfId="32681" xr:uid="{00000000-0005-0000-0000-0000C37F0000}"/>
    <cellStyle name="Normal 7 6 3 3 6" xfId="32682" xr:uid="{00000000-0005-0000-0000-0000C47F0000}"/>
    <cellStyle name="Normal 7 6 3 4" xfId="32683" xr:uid="{00000000-0005-0000-0000-0000C57F0000}"/>
    <cellStyle name="Normal 7 6 3 4 2" xfId="32684" xr:uid="{00000000-0005-0000-0000-0000C67F0000}"/>
    <cellStyle name="Normal 7 6 3 4 2 2" xfId="32685" xr:uid="{00000000-0005-0000-0000-0000C77F0000}"/>
    <cellStyle name="Normal 7 6 3 4 2 3" xfId="32686" xr:uid="{00000000-0005-0000-0000-0000C87F0000}"/>
    <cellStyle name="Normal 7 6 3 4 3" xfId="32687" xr:uid="{00000000-0005-0000-0000-0000C97F0000}"/>
    <cellStyle name="Normal 7 6 3 4 4" xfId="32688" xr:uid="{00000000-0005-0000-0000-0000CA7F0000}"/>
    <cellStyle name="Normal 7 6 3 5" xfId="32689" xr:uid="{00000000-0005-0000-0000-0000CB7F0000}"/>
    <cellStyle name="Normal 7 6 3 5 2" xfId="32690" xr:uid="{00000000-0005-0000-0000-0000CC7F0000}"/>
    <cellStyle name="Normal 7 6 3 5 3" xfId="32691" xr:uid="{00000000-0005-0000-0000-0000CD7F0000}"/>
    <cellStyle name="Normal 7 6 3 6" xfId="32692" xr:uid="{00000000-0005-0000-0000-0000CE7F0000}"/>
    <cellStyle name="Normal 7 6 3 7" xfId="32693" xr:uid="{00000000-0005-0000-0000-0000CF7F0000}"/>
    <cellStyle name="Normal 7 6 3 8" xfId="32694" xr:uid="{00000000-0005-0000-0000-0000D07F0000}"/>
    <cellStyle name="Normal 7 6 4" xfId="32695" xr:uid="{00000000-0005-0000-0000-0000D17F0000}"/>
    <cellStyle name="Normal 7 6 4 2" xfId="32696" xr:uid="{00000000-0005-0000-0000-0000D27F0000}"/>
    <cellStyle name="Normal 7 6 4 2 2" xfId="32697" xr:uid="{00000000-0005-0000-0000-0000D37F0000}"/>
    <cellStyle name="Normal 7 6 4 2 2 2" xfId="32698" xr:uid="{00000000-0005-0000-0000-0000D47F0000}"/>
    <cellStyle name="Normal 7 6 4 2 2 2 2" xfId="32699" xr:uid="{00000000-0005-0000-0000-0000D57F0000}"/>
    <cellStyle name="Normal 7 6 4 2 2 2 3" xfId="32700" xr:uid="{00000000-0005-0000-0000-0000D67F0000}"/>
    <cellStyle name="Normal 7 6 4 2 2 3" xfId="32701" xr:uid="{00000000-0005-0000-0000-0000D77F0000}"/>
    <cellStyle name="Normal 7 6 4 2 2 4" xfId="32702" xr:uid="{00000000-0005-0000-0000-0000D87F0000}"/>
    <cellStyle name="Normal 7 6 4 2 3" xfId="32703" xr:uid="{00000000-0005-0000-0000-0000D97F0000}"/>
    <cellStyle name="Normal 7 6 4 2 3 2" xfId="32704" xr:uid="{00000000-0005-0000-0000-0000DA7F0000}"/>
    <cellStyle name="Normal 7 6 4 2 3 3" xfId="32705" xr:uid="{00000000-0005-0000-0000-0000DB7F0000}"/>
    <cellStyle name="Normal 7 6 4 2 4" xfId="32706" xr:uid="{00000000-0005-0000-0000-0000DC7F0000}"/>
    <cellStyle name="Normal 7 6 4 2 5" xfId="32707" xr:uid="{00000000-0005-0000-0000-0000DD7F0000}"/>
    <cellStyle name="Normal 7 6 4 2 6" xfId="32708" xr:uid="{00000000-0005-0000-0000-0000DE7F0000}"/>
    <cellStyle name="Normal 7 6 4 3" xfId="32709" xr:uid="{00000000-0005-0000-0000-0000DF7F0000}"/>
    <cellStyle name="Normal 7 6 4 3 2" xfId="32710" xr:uid="{00000000-0005-0000-0000-0000E07F0000}"/>
    <cellStyle name="Normal 7 6 4 3 2 2" xfId="32711" xr:uid="{00000000-0005-0000-0000-0000E17F0000}"/>
    <cellStyle name="Normal 7 6 4 3 2 3" xfId="32712" xr:uid="{00000000-0005-0000-0000-0000E27F0000}"/>
    <cellStyle name="Normal 7 6 4 3 3" xfId="32713" xr:uid="{00000000-0005-0000-0000-0000E37F0000}"/>
    <cellStyle name="Normal 7 6 4 3 4" xfId="32714" xr:uid="{00000000-0005-0000-0000-0000E47F0000}"/>
    <cellStyle name="Normal 7 6 4 4" xfId="32715" xr:uid="{00000000-0005-0000-0000-0000E57F0000}"/>
    <cellStyle name="Normal 7 6 4 4 2" xfId="32716" xr:uid="{00000000-0005-0000-0000-0000E67F0000}"/>
    <cellStyle name="Normal 7 6 4 4 3" xfId="32717" xr:uid="{00000000-0005-0000-0000-0000E77F0000}"/>
    <cellStyle name="Normal 7 6 4 5" xfId="32718" xr:uid="{00000000-0005-0000-0000-0000E87F0000}"/>
    <cellStyle name="Normal 7 6 4 6" xfId="32719" xr:uid="{00000000-0005-0000-0000-0000E97F0000}"/>
    <cellStyle name="Normal 7 6 4 7" xfId="32720" xr:uid="{00000000-0005-0000-0000-0000EA7F0000}"/>
    <cellStyle name="Normal 7 6 5" xfId="32721" xr:uid="{00000000-0005-0000-0000-0000EB7F0000}"/>
    <cellStyle name="Normal 7 6 5 2" xfId="32722" xr:uid="{00000000-0005-0000-0000-0000EC7F0000}"/>
    <cellStyle name="Normal 7 6 5 2 2" xfId="32723" xr:uid="{00000000-0005-0000-0000-0000ED7F0000}"/>
    <cellStyle name="Normal 7 6 5 2 2 2" xfId="32724" xr:uid="{00000000-0005-0000-0000-0000EE7F0000}"/>
    <cellStyle name="Normal 7 6 5 2 2 3" xfId="32725" xr:uid="{00000000-0005-0000-0000-0000EF7F0000}"/>
    <cellStyle name="Normal 7 6 5 2 3" xfId="32726" xr:uid="{00000000-0005-0000-0000-0000F07F0000}"/>
    <cellStyle name="Normal 7 6 5 2 4" xfId="32727" xr:uid="{00000000-0005-0000-0000-0000F17F0000}"/>
    <cellStyle name="Normal 7 6 5 3" xfId="32728" xr:uid="{00000000-0005-0000-0000-0000F27F0000}"/>
    <cellStyle name="Normal 7 6 5 3 2" xfId="32729" xr:uid="{00000000-0005-0000-0000-0000F37F0000}"/>
    <cellStyle name="Normal 7 6 5 3 3" xfId="32730" xr:uid="{00000000-0005-0000-0000-0000F47F0000}"/>
    <cellStyle name="Normal 7 6 5 4" xfId="32731" xr:uid="{00000000-0005-0000-0000-0000F57F0000}"/>
    <cellStyle name="Normal 7 6 5 5" xfId="32732" xr:uid="{00000000-0005-0000-0000-0000F67F0000}"/>
    <cellStyle name="Normal 7 6 5 6" xfId="32733" xr:uid="{00000000-0005-0000-0000-0000F77F0000}"/>
    <cellStyle name="Normal 7 6 6" xfId="32734" xr:uid="{00000000-0005-0000-0000-0000F87F0000}"/>
    <cellStyle name="Normal 7 6 6 2" xfId="32735" xr:uid="{00000000-0005-0000-0000-0000F97F0000}"/>
    <cellStyle name="Normal 7 6 6 2 2" xfId="32736" xr:uid="{00000000-0005-0000-0000-0000FA7F0000}"/>
    <cellStyle name="Normal 7 6 6 2 3" xfId="32737" xr:uid="{00000000-0005-0000-0000-0000FB7F0000}"/>
    <cellStyle name="Normal 7 6 6 3" xfId="32738" xr:uid="{00000000-0005-0000-0000-0000FC7F0000}"/>
    <cellStyle name="Normal 7 6 6 4" xfId="32739" xr:uid="{00000000-0005-0000-0000-0000FD7F0000}"/>
    <cellStyle name="Normal 7 6 7" xfId="32740" xr:uid="{00000000-0005-0000-0000-0000FE7F0000}"/>
    <cellStyle name="Normal 7 6 7 2" xfId="32741" xr:uid="{00000000-0005-0000-0000-0000FF7F0000}"/>
    <cellStyle name="Normal 7 6 7 3" xfId="32742" xr:uid="{00000000-0005-0000-0000-000000800000}"/>
    <cellStyle name="Normal 7 6 8" xfId="32743" xr:uid="{00000000-0005-0000-0000-000001800000}"/>
    <cellStyle name="Normal 7 6 9" xfId="32744" xr:uid="{00000000-0005-0000-0000-000002800000}"/>
    <cellStyle name="Normal 7 7" xfId="32745" xr:uid="{00000000-0005-0000-0000-000003800000}"/>
    <cellStyle name="Normal 7 7 2" xfId="32746" xr:uid="{00000000-0005-0000-0000-000004800000}"/>
    <cellStyle name="Normal 7 7 2 2" xfId="32747" xr:uid="{00000000-0005-0000-0000-000005800000}"/>
    <cellStyle name="Normal 7 7 2 2 2" xfId="32748" xr:uid="{00000000-0005-0000-0000-000006800000}"/>
    <cellStyle name="Normal 7 7 2 2 2 2" xfId="32749" xr:uid="{00000000-0005-0000-0000-000007800000}"/>
    <cellStyle name="Normal 7 7 2 2 2 2 2" xfId="32750" xr:uid="{00000000-0005-0000-0000-000008800000}"/>
    <cellStyle name="Normal 7 7 2 2 2 2 2 2" xfId="32751" xr:uid="{00000000-0005-0000-0000-000009800000}"/>
    <cellStyle name="Normal 7 7 2 2 2 2 2 3" xfId="32752" xr:uid="{00000000-0005-0000-0000-00000A800000}"/>
    <cellStyle name="Normal 7 7 2 2 2 2 3" xfId="32753" xr:uid="{00000000-0005-0000-0000-00000B800000}"/>
    <cellStyle name="Normal 7 7 2 2 2 2 4" xfId="32754" xr:uid="{00000000-0005-0000-0000-00000C800000}"/>
    <cellStyle name="Normal 7 7 2 2 2 3" xfId="32755" xr:uid="{00000000-0005-0000-0000-00000D800000}"/>
    <cellStyle name="Normal 7 7 2 2 2 3 2" xfId="32756" xr:uid="{00000000-0005-0000-0000-00000E800000}"/>
    <cellStyle name="Normal 7 7 2 2 2 3 3" xfId="32757" xr:uid="{00000000-0005-0000-0000-00000F800000}"/>
    <cellStyle name="Normal 7 7 2 2 2 4" xfId="32758" xr:uid="{00000000-0005-0000-0000-000010800000}"/>
    <cellStyle name="Normal 7 7 2 2 2 5" xfId="32759" xr:uid="{00000000-0005-0000-0000-000011800000}"/>
    <cellStyle name="Normal 7 7 2 2 2 6" xfId="32760" xr:uid="{00000000-0005-0000-0000-000012800000}"/>
    <cellStyle name="Normal 7 7 2 2 3" xfId="32761" xr:uid="{00000000-0005-0000-0000-000013800000}"/>
    <cellStyle name="Normal 7 7 2 2 3 2" xfId="32762" xr:uid="{00000000-0005-0000-0000-000014800000}"/>
    <cellStyle name="Normal 7 7 2 2 3 2 2" xfId="32763" xr:uid="{00000000-0005-0000-0000-000015800000}"/>
    <cellStyle name="Normal 7 7 2 2 3 2 3" xfId="32764" xr:uid="{00000000-0005-0000-0000-000016800000}"/>
    <cellStyle name="Normal 7 7 2 2 3 3" xfId="32765" xr:uid="{00000000-0005-0000-0000-000017800000}"/>
    <cellStyle name="Normal 7 7 2 2 3 4" xfId="32766" xr:uid="{00000000-0005-0000-0000-000018800000}"/>
    <cellStyle name="Normal 7 7 2 2 4" xfId="32767" xr:uid="{00000000-0005-0000-0000-000019800000}"/>
    <cellStyle name="Normal 7 7 2 2 4 2" xfId="32768" xr:uid="{00000000-0005-0000-0000-00001A800000}"/>
    <cellStyle name="Normal 7 7 2 2 4 3" xfId="32769" xr:uid="{00000000-0005-0000-0000-00001B800000}"/>
    <cellStyle name="Normal 7 7 2 2 5" xfId="32770" xr:uid="{00000000-0005-0000-0000-00001C800000}"/>
    <cellStyle name="Normal 7 7 2 2 6" xfId="32771" xr:uid="{00000000-0005-0000-0000-00001D800000}"/>
    <cellStyle name="Normal 7 7 2 2 7" xfId="32772" xr:uid="{00000000-0005-0000-0000-00001E800000}"/>
    <cellStyle name="Normal 7 7 2 3" xfId="32773" xr:uid="{00000000-0005-0000-0000-00001F800000}"/>
    <cellStyle name="Normal 7 7 2 3 2" xfId="32774" xr:uid="{00000000-0005-0000-0000-000020800000}"/>
    <cellStyle name="Normal 7 7 2 3 2 2" xfId="32775" xr:uid="{00000000-0005-0000-0000-000021800000}"/>
    <cellStyle name="Normal 7 7 2 3 2 2 2" xfId="32776" xr:uid="{00000000-0005-0000-0000-000022800000}"/>
    <cellStyle name="Normal 7 7 2 3 2 2 3" xfId="32777" xr:uid="{00000000-0005-0000-0000-000023800000}"/>
    <cellStyle name="Normal 7 7 2 3 2 3" xfId="32778" xr:uid="{00000000-0005-0000-0000-000024800000}"/>
    <cellStyle name="Normal 7 7 2 3 2 4" xfId="32779" xr:uid="{00000000-0005-0000-0000-000025800000}"/>
    <cellStyle name="Normal 7 7 2 3 3" xfId="32780" xr:uid="{00000000-0005-0000-0000-000026800000}"/>
    <cellStyle name="Normal 7 7 2 3 3 2" xfId="32781" xr:uid="{00000000-0005-0000-0000-000027800000}"/>
    <cellStyle name="Normal 7 7 2 3 3 3" xfId="32782" xr:uid="{00000000-0005-0000-0000-000028800000}"/>
    <cellStyle name="Normal 7 7 2 3 4" xfId="32783" xr:uid="{00000000-0005-0000-0000-000029800000}"/>
    <cellStyle name="Normal 7 7 2 3 5" xfId="32784" xr:uid="{00000000-0005-0000-0000-00002A800000}"/>
    <cellStyle name="Normal 7 7 2 3 6" xfId="32785" xr:uid="{00000000-0005-0000-0000-00002B800000}"/>
    <cellStyle name="Normal 7 7 2 4" xfId="32786" xr:uid="{00000000-0005-0000-0000-00002C800000}"/>
    <cellStyle name="Normal 7 7 2 4 2" xfId="32787" xr:uid="{00000000-0005-0000-0000-00002D800000}"/>
    <cellStyle name="Normal 7 7 2 4 2 2" xfId="32788" xr:uid="{00000000-0005-0000-0000-00002E800000}"/>
    <cellStyle name="Normal 7 7 2 4 2 3" xfId="32789" xr:uid="{00000000-0005-0000-0000-00002F800000}"/>
    <cellStyle name="Normal 7 7 2 4 3" xfId="32790" xr:uid="{00000000-0005-0000-0000-000030800000}"/>
    <cellStyle name="Normal 7 7 2 4 4" xfId="32791" xr:uid="{00000000-0005-0000-0000-000031800000}"/>
    <cellStyle name="Normal 7 7 2 5" xfId="32792" xr:uid="{00000000-0005-0000-0000-000032800000}"/>
    <cellStyle name="Normal 7 7 2 5 2" xfId="32793" xr:uid="{00000000-0005-0000-0000-000033800000}"/>
    <cellStyle name="Normal 7 7 2 5 3" xfId="32794" xr:uid="{00000000-0005-0000-0000-000034800000}"/>
    <cellStyle name="Normal 7 7 2 6" xfId="32795" xr:uid="{00000000-0005-0000-0000-000035800000}"/>
    <cellStyle name="Normal 7 7 2 7" xfId="32796" xr:uid="{00000000-0005-0000-0000-000036800000}"/>
    <cellStyle name="Normal 7 7 2 8" xfId="32797" xr:uid="{00000000-0005-0000-0000-000037800000}"/>
    <cellStyle name="Normal 7 7 3" xfId="32798" xr:uid="{00000000-0005-0000-0000-000038800000}"/>
    <cellStyle name="Normal 7 7 3 2" xfId="32799" xr:uid="{00000000-0005-0000-0000-000039800000}"/>
    <cellStyle name="Normal 7 7 3 2 2" xfId="32800" xr:uid="{00000000-0005-0000-0000-00003A800000}"/>
    <cellStyle name="Normal 7 7 3 2 2 2" xfId="32801" xr:uid="{00000000-0005-0000-0000-00003B800000}"/>
    <cellStyle name="Normal 7 7 3 2 2 2 2" xfId="32802" xr:uid="{00000000-0005-0000-0000-00003C800000}"/>
    <cellStyle name="Normal 7 7 3 2 2 2 3" xfId="32803" xr:uid="{00000000-0005-0000-0000-00003D800000}"/>
    <cellStyle name="Normal 7 7 3 2 2 3" xfId="32804" xr:uid="{00000000-0005-0000-0000-00003E800000}"/>
    <cellStyle name="Normal 7 7 3 2 2 4" xfId="32805" xr:uid="{00000000-0005-0000-0000-00003F800000}"/>
    <cellStyle name="Normal 7 7 3 2 3" xfId="32806" xr:uid="{00000000-0005-0000-0000-000040800000}"/>
    <cellStyle name="Normal 7 7 3 2 3 2" xfId="32807" xr:uid="{00000000-0005-0000-0000-000041800000}"/>
    <cellStyle name="Normal 7 7 3 2 3 3" xfId="32808" xr:uid="{00000000-0005-0000-0000-000042800000}"/>
    <cellStyle name="Normal 7 7 3 2 4" xfId="32809" xr:uid="{00000000-0005-0000-0000-000043800000}"/>
    <cellStyle name="Normal 7 7 3 2 5" xfId="32810" xr:uid="{00000000-0005-0000-0000-000044800000}"/>
    <cellStyle name="Normal 7 7 3 2 6" xfId="32811" xr:uid="{00000000-0005-0000-0000-000045800000}"/>
    <cellStyle name="Normal 7 7 3 3" xfId="32812" xr:uid="{00000000-0005-0000-0000-000046800000}"/>
    <cellStyle name="Normal 7 7 3 3 2" xfId="32813" xr:uid="{00000000-0005-0000-0000-000047800000}"/>
    <cellStyle name="Normal 7 7 3 3 2 2" xfId="32814" xr:uid="{00000000-0005-0000-0000-000048800000}"/>
    <cellStyle name="Normal 7 7 3 3 2 3" xfId="32815" xr:uid="{00000000-0005-0000-0000-000049800000}"/>
    <cellStyle name="Normal 7 7 3 3 3" xfId="32816" xr:uid="{00000000-0005-0000-0000-00004A800000}"/>
    <cellStyle name="Normal 7 7 3 3 4" xfId="32817" xr:uid="{00000000-0005-0000-0000-00004B800000}"/>
    <cellStyle name="Normal 7 7 3 4" xfId="32818" xr:uid="{00000000-0005-0000-0000-00004C800000}"/>
    <cellStyle name="Normal 7 7 3 4 2" xfId="32819" xr:uid="{00000000-0005-0000-0000-00004D800000}"/>
    <cellStyle name="Normal 7 7 3 4 3" xfId="32820" xr:uid="{00000000-0005-0000-0000-00004E800000}"/>
    <cellStyle name="Normal 7 7 3 5" xfId="32821" xr:uid="{00000000-0005-0000-0000-00004F800000}"/>
    <cellStyle name="Normal 7 7 3 6" xfId="32822" xr:uid="{00000000-0005-0000-0000-000050800000}"/>
    <cellStyle name="Normal 7 7 3 7" xfId="32823" xr:uid="{00000000-0005-0000-0000-000051800000}"/>
    <cellStyle name="Normal 7 7 4" xfId="32824" xr:uid="{00000000-0005-0000-0000-000052800000}"/>
    <cellStyle name="Normal 7 7 4 2" xfId="32825" xr:uid="{00000000-0005-0000-0000-000053800000}"/>
    <cellStyle name="Normal 7 7 4 2 2" xfId="32826" xr:uid="{00000000-0005-0000-0000-000054800000}"/>
    <cellStyle name="Normal 7 7 4 2 2 2" xfId="32827" xr:uid="{00000000-0005-0000-0000-000055800000}"/>
    <cellStyle name="Normal 7 7 4 2 2 3" xfId="32828" xr:uid="{00000000-0005-0000-0000-000056800000}"/>
    <cellStyle name="Normal 7 7 4 2 3" xfId="32829" xr:uid="{00000000-0005-0000-0000-000057800000}"/>
    <cellStyle name="Normal 7 7 4 2 4" xfId="32830" xr:uid="{00000000-0005-0000-0000-000058800000}"/>
    <cellStyle name="Normal 7 7 4 3" xfId="32831" xr:uid="{00000000-0005-0000-0000-000059800000}"/>
    <cellStyle name="Normal 7 7 4 3 2" xfId="32832" xr:uid="{00000000-0005-0000-0000-00005A800000}"/>
    <cellStyle name="Normal 7 7 4 3 3" xfId="32833" xr:uid="{00000000-0005-0000-0000-00005B800000}"/>
    <cellStyle name="Normal 7 7 4 4" xfId="32834" xr:uid="{00000000-0005-0000-0000-00005C800000}"/>
    <cellStyle name="Normal 7 7 4 5" xfId="32835" xr:uid="{00000000-0005-0000-0000-00005D800000}"/>
    <cellStyle name="Normal 7 7 4 6" xfId="32836" xr:uid="{00000000-0005-0000-0000-00005E800000}"/>
    <cellStyle name="Normal 7 7 5" xfId="32837" xr:uid="{00000000-0005-0000-0000-00005F800000}"/>
    <cellStyle name="Normal 7 7 5 2" xfId="32838" xr:uid="{00000000-0005-0000-0000-000060800000}"/>
    <cellStyle name="Normal 7 7 5 2 2" xfId="32839" xr:uid="{00000000-0005-0000-0000-000061800000}"/>
    <cellStyle name="Normal 7 7 5 2 3" xfId="32840" xr:uid="{00000000-0005-0000-0000-000062800000}"/>
    <cellStyle name="Normal 7 7 5 3" xfId="32841" xr:uid="{00000000-0005-0000-0000-000063800000}"/>
    <cellStyle name="Normal 7 7 5 4" xfId="32842" xr:uid="{00000000-0005-0000-0000-000064800000}"/>
    <cellStyle name="Normal 7 7 6" xfId="32843" xr:uid="{00000000-0005-0000-0000-000065800000}"/>
    <cellStyle name="Normal 7 7 6 2" xfId="32844" xr:uid="{00000000-0005-0000-0000-000066800000}"/>
    <cellStyle name="Normal 7 7 6 3" xfId="32845" xr:uid="{00000000-0005-0000-0000-000067800000}"/>
    <cellStyle name="Normal 7 7 7" xfId="32846" xr:uid="{00000000-0005-0000-0000-000068800000}"/>
    <cellStyle name="Normal 7 7 8" xfId="32847" xr:uid="{00000000-0005-0000-0000-000069800000}"/>
    <cellStyle name="Normal 7 7 9" xfId="32848" xr:uid="{00000000-0005-0000-0000-00006A800000}"/>
    <cellStyle name="Normal 7 8" xfId="32849" xr:uid="{00000000-0005-0000-0000-00006B800000}"/>
    <cellStyle name="Normal 7 8 2" xfId="32850" xr:uid="{00000000-0005-0000-0000-00006C800000}"/>
    <cellStyle name="Normal 7 8 2 2" xfId="32851" xr:uid="{00000000-0005-0000-0000-00006D800000}"/>
    <cellStyle name="Normal 7 8 2 2 2" xfId="32852" xr:uid="{00000000-0005-0000-0000-00006E800000}"/>
    <cellStyle name="Normal 7 8 2 2 2 2" xfId="32853" xr:uid="{00000000-0005-0000-0000-00006F800000}"/>
    <cellStyle name="Normal 7 8 2 2 2 2 2" xfId="32854" xr:uid="{00000000-0005-0000-0000-000070800000}"/>
    <cellStyle name="Normal 7 8 2 2 2 2 2 2" xfId="32855" xr:uid="{00000000-0005-0000-0000-000071800000}"/>
    <cellStyle name="Normal 7 8 2 2 2 2 2 3" xfId="32856" xr:uid="{00000000-0005-0000-0000-000072800000}"/>
    <cellStyle name="Normal 7 8 2 2 2 2 3" xfId="32857" xr:uid="{00000000-0005-0000-0000-000073800000}"/>
    <cellStyle name="Normal 7 8 2 2 2 2 4" xfId="32858" xr:uid="{00000000-0005-0000-0000-000074800000}"/>
    <cellStyle name="Normal 7 8 2 2 2 3" xfId="32859" xr:uid="{00000000-0005-0000-0000-000075800000}"/>
    <cellStyle name="Normal 7 8 2 2 2 3 2" xfId="32860" xr:uid="{00000000-0005-0000-0000-000076800000}"/>
    <cellStyle name="Normal 7 8 2 2 2 3 3" xfId="32861" xr:uid="{00000000-0005-0000-0000-000077800000}"/>
    <cellStyle name="Normal 7 8 2 2 2 4" xfId="32862" xr:uid="{00000000-0005-0000-0000-000078800000}"/>
    <cellStyle name="Normal 7 8 2 2 2 5" xfId="32863" xr:uid="{00000000-0005-0000-0000-000079800000}"/>
    <cellStyle name="Normal 7 8 2 2 2 6" xfId="32864" xr:uid="{00000000-0005-0000-0000-00007A800000}"/>
    <cellStyle name="Normal 7 8 2 2 3" xfId="32865" xr:uid="{00000000-0005-0000-0000-00007B800000}"/>
    <cellStyle name="Normal 7 8 2 2 3 2" xfId="32866" xr:uid="{00000000-0005-0000-0000-00007C800000}"/>
    <cellStyle name="Normal 7 8 2 2 3 2 2" xfId="32867" xr:uid="{00000000-0005-0000-0000-00007D800000}"/>
    <cellStyle name="Normal 7 8 2 2 3 2 3" xfId="32868" xr:uid="{00000000-0005-0000-0000-00007E800000}"/>
    <cellStyle name="Normal 7 8 2 2 3 3" xfId="32869" xr:uid="{00000000-0005-0000-0000-00007F800000}"/>
    <cellStyle name="Normal 7 8 2 2 3 4" xfId="32870" xr:uid="{00000000-0005-0000-0000-000080800000}"/>
    <cellStyle name="Normal 7 8 2 2 4" xfId="32871" xr:uid="{00000000-0005-0000-0000-000081800000}"/>
    <cellStyle name="Normal 7 8 2 2 4 2" xfId="32872" xr:uid="{00000000-0005-0000-0000-000082800000}"/>
    <cellStyle name="Normal 7 8 2 2 4 3" xfId="32873" xr:uid="{00000000-0005-0000-0000-000083800000}"/>
    <cellStyle name="Normal 7 8 2 2 5" xfId="32874" xr:uid="{00000000-0005-0000-0000-000084800000}"/>
    <cellStyle name="Normal 7 8 2 2 6" xfId="32875" xr:uid="{00000000-0005-0000-0000-000085800000}"/>
    <cellStyle name="Normal 7 8 2 2 7" xfId="32876" xr:uid="{00000000-0005-0000-0000-000086800000}"/>
    <cellStyle name="Normal 7 8 2 3" xfId="32877" xr:uid="{00000000-0005-0000-0000-000087800000}"/>
    <cellStyle name="Normal 7 8 2 3 2" xfId="32878" xr:uid="{00000000-0005-0000-0000-000088800000}"/>
    <cellStyle name="Normal 7 8 2 3 2 2" xfId="32879" xr:uid="{00000000-0005-0000-0000-000089800000}"/>
    <cellStyle name="Normal 7 8 2 3 2 2 2" xfId="32880" xr:uid="{00000000-0005-0000-0000-00008A800000}"/>
    <cellStyle name="Normal 7 8 2 3 2 2 3" xfId="32881" xr:uid="{00000000-0005-0000-0000-00008B800000}"/>
    <cellStyle name="Normal 7 8 2 3 2 3" xfId="32882" xr:uid="{00000000-0005-0000-0000-00008C800000}"/>
    <cellStyle name="Normal 7 8 2 3 2 4" xfId="32883" xr:uid="{00000000-0005-0000-0000-00008D800000}"/>
    <cellStyle name="Normal 7 8 2 3 3" xfId="32884" xr:uid="{00000000-0005-0000-0000-00008E800000}"/>
    <cellStyle name="Normal 7 8 2 3 3 2" xfId="32885" xr:uid="{00000000-0005-0000-0000-00008F800000}"/>
    <cellStyle name="Normal 7 8 2 3 3 3" xfId="32886" xr:uid="{00000000-0005-0000-0000-000090800000}"/>
    <cellStyle name="Normal 7 8 2 3 4" xfId="32887" xr:uid="{00000000-0005-0000-0000-000091800000}"/>
    <cellStyle name="Normal 7 8 2 3 5" xfId="32888" xr:uid="{00000000-0005-0000-0000-000092800000}"/>
    <cellStyle name="Normal 7 8 2 3 6" xfId="32889" xr:uid="{00000000-0005-0000-0000-000093800000}"/>
    <cellStyle name="Normal 7 8 2 4" xfId="32890" xr:uid="{00000000-0005-0000-0000-000094800000}"/>
    <cellStyle name="Normal 7 8 2 4 2" xfId="32891" xr:uid="{00000000-0005-0000-0000-000095800000}"/>
    <cellStyle name="Normal 7 8 2 4 2 2" xfId="32892" xr:uid="{00000000-0005-0000-0000-000096800000}"/>
    <cellStyle name="Normal 7 8 2 4 2 3" xfId="32893" xr:uid="{00000000-0005-0000-0000-000097800000}"/>
    <cellStyle name="Normal 7 8 2 4 3" xfId="32894" xr:uid="{00000000-0005-0000-0000-000098800000}"/>
    <cellStyle name="Normal 7 8 2 4 4" xfId="32895" xr:uid="{00000000-0005-0000-0000-000099800000}"/>
    <cellStyle name="Normal 7 8 2 5" xfId="32896" xr:uid="{00000000-0005-0000-0000-00009A800000}"/>
    <cellStyle name="Normal 7 8 2 5 2" xfId="32897" xr:uid="{00000000-0005-0000-0000-00009B800000}"/>
    <cellStyle name="Normal 7 8 2 5 3" xfId="32898" xr:uid="{00000000-0005-0000-0000-00009C800000}"/>
    <cellStyle name="Normal 7 8 2 6" xfId="32899" xr:uid="{00000000-0005-0000-0000-00009D800000}"/>
    <cellStyle name="Normal 7 8 2 7" xfId="32900" xr:uid="{00000000-0005-0000-0000-00009E800000}"/>
    <cellStyle name="Normal 7 8 2 8" xfId="32901" xr:uid="{00000000-0005-0000-0000-00009F800000}"/>
    <cellStyle name="Normal 7 8 3" xfId="32902" xr:uid="{00000000-0005-0000-0000-0000A0800000}"/>
    <cellStyle name="Normal 7 8 3 2" xfId="32903" xr:uid="{00000000-0005-0000-0000-0000A1800000}"/>
    <cellStyle name="Normal 7 8 3 2 2" xfId="32904" xr:uid="{00000000-0005-0000-0000-0000A2800000}"/>
    <cellStyle name="Normal 7 8 3 2 2 2" xfId="32905" xr:uid="{00000000-0005-0000-0000-0000A3800000}"/>
    <cellStyle name="Normal 7 8 3 2 2 2 2" xfId="32906" xr:uid="{00000000-0005-0000-0000-0000A4800000}"/>
    <cellStyle name="Normal 7 8 3 2 2 2 3" xfId="32907" xr:uid="{00000000-0005-0000-0000-0000A5800000}"/>
    <cellStyle name="Normal 7 8 3 2 2 3" xfId="32908" xr:uid="{00000000-0005-0000-0000-0000A6800000}"/>
    <cellStyle name="Normal 7 8 3 2 2 4" xfId="32909" xr:uid="{00000000-0005-0000-0000-0000A7800000}"/>
    <cellStyle name="Normal 7 8 3 2 3" xfId="32910" xr:uid="{00000000-0005-0000-0000-0000A8800000}"/>
    <cellStyle name="Normal 7 8 3 2 3 2" xfId="32911" xr:uid="{00000000-0005-0000-0000-0000A9800000}"/>
    <cellStyle name="Normal 7 8 3 2 3 3" xfId="32912" xr:uid="{00000000-0005-0000-0000-0000AA800000}"/>
    <cellStyle name="Normal 7 8 3 2 4" xfId="32913" xr:uid="{00000000-0005-0000-0000-0000AB800000}"/>
    <cellStyle name="Normal 7 8 3 2 5" xfId="32914" xr:uid="{00000000-0005-0000-0000-0000AC800000}"/>
    <cellStyle name="Normal 7 8 3 2 6" xfId="32915" xr:uid="{00000000-0005-0000-0000-0000AD800000}"/>
    <cellStyle name="Normal 7 8 3 3" xfId="32916" xr:uid="{00000000-0005-0000-0000-0000AE800000}"/>
    <cellStyle name="Normal 7 8 3 3 2" xfId="32917" xr:uid="{00000000-0005-0000-0000-0000AF800000}"/>
    <cellStyle name="Normal 7 8 3 3 2 2" xfId="32918" xr:uid="{00000000-0005-0000-0000-0000B0800000}"/>
    <cellStyle name="Normal 7 8 3 3 2 3" xfId="32919" xr:uid="{00000000-0005-0000-0000-0000B1800000}"/>
    <cellStyle name="Normal 7 8 3 3 3" xfId="32920" xr:uid="{00000000-0005-0000-0000-0000B2800000}"/>
    <cellStyle name="Normal 7 8 3 3 4" xfId="32921" xr:uid="{00000000-0005-0000-0000-0000B3800000}"/>
    <cellStyle name="Normal 7 8 3 4" xfId="32922" xr:uid="{00000000-0005-0000-0000-0000B4800000}"/>
    <cellStyle name="Normal 7 8 3 4 2" xfId="32923" xr:uid="{00000000-0005-0000-0000-0000B5800000}"/>
    <cellStyle name="Normal 7 8 3 4 3" xfId="32924" xr:uid="{00000000-0005-0000-0000-0000B6800000}"/>
    <cellStyle name="Normal 7 8 3 5" xfId="32925" xr:uid="{00000000-0005-0000-0000-0000B7800000}"/>
    <cellStyle name="Normal 7 8 3 6" xfId="32926" xr:uid="{00000000-0005-0000-0000-0000B8800000}"/>
    <cellStyle name="Normal 7 8 3 7" xfId="32927" xr:uid="{00000000-0005-0000-0000-0000B9800000}"/>
    <cellStyle name="Normal 7 8 4" xfId="32928" xr:uid="{00000000-0005-0000-0000-0000BA800000}"/>
    <cellStyle name="Normal 7 8 4 2" xfId="32929" xr:uid="{00000000-0005-0000-0000-0000BB800000}"/>
    <cellStyle name="Normal 7 8 4 2 2" xfId="32930" xr:uid="{00000000-0005-0000-0000-0000BC800000}"/>
    <cellStyle name="Normal 7 8 4 2 2 2" xfId="32931" xr:uid="{00000000-0005-0000-0000-0000BD800000}"/>
    <cellStyle name="Normal 7 8 4 2 2 3" xfId="32932" xr:uid="{00000000-0005-0000-0000-0000BE800000}"/>
    <cellStyle name="Normal 7 8 4 2 3" xfId="32933" xr:uid="{00000000-0005-0000-0000-0000BF800000}"/>
    <cellStyle name="Normal 7 8 4 2 4" xfId="32934" xr:uid="{00000000-0005-0000-0000-0000C0800000}"/>
    <cellStyle name="Normal 7 8 4 3" xfId="32935" xr:uid="{00000000-0005-0000-0000-0000C1800000}"/>
    <cellStyle name="Normal 7 8 4 3 2" xfId="32936" xr:uid="{00000000-0005-0000-0000-0000C2800000}"/>
    <cellStyle name="Normal 7 8 4 3 3" xfId="32937" xr:uid="{00000000-0005-0000-0000-0000C3800000}"/>
    <cellStyle name="Normal 7 8 4 4" xfId="32938" xr:uid="{00000000-0005-0000-0000-0000C4800000}"/>
    <cellStyle name="Normal 7 8 4 5" xfId="32939" xr:uid="{00000000-0005-0000-0000-0000C5800000}"/>
    <cellStyle name="Normal 7 8 4 6" xfId="32940" xr:uid="{00000000-0005-0000-0000-0000C6800000}"/>
    <cellStyle name="Normal 7 8 5" xfId="32941" xr:uid="{00000000-0005-0000-0000-0000C7800000}"/>
    <cellStyle name="Normal 7 8 5 2" xfId="32942" xr:uid="{00000000-0005-0000-0000-0000C8800000}"/>
    <cellStyle name="Normal 7 8 5 2 2" xfId="32943" xr:uid="{00000000-0005-0000-0000-0000C9800000}"/>
    <cellStyle name="Normal 7 8 5 2 3" xfId="32944" xr:uid="{00000000-0005-0000-0000-0000CA800000}"/>
    <cellStyle name="Normal 7 8 5 3" xfId="32945" xr:uid="{00000000-0005-0000-0000-0000CB800000}"/>
    <cellStyle name="Normal 7 8 5 4" xfId="32946" xr:uid="{00000000-0005-0000-0000-0000CC800000}"/>
    <cellStyle name="Normal 7 8 6" xfId="32947" xr:uid="{00000000-0005-0000-0000-0000CD800000}"/>
    <cellStyle name="Normal 7 8 6 2" xfId="32948" xr:uid="{00000000-0005-0000-0000-0000CE800000}"/>
    <cellStyle name="Normal 7 8 6 3" xfId="32949" xr:uid="{00000000-0005-0000-0000-0000CF800000}"/>
    <cellStyle name="Normal 7 8 7" xfId="32950" xr:uid="{00000000-0005-0000-0000-0000D0800000}"/>
    <cellStyle name="Normal 7 8 8" xfId="32951" xr:uid="{00000000-0005-0000-0000-0000D1800000}"/>
    <cellStyle name="Normal 7 8 9" xfId="32952" xr:uid="{00000000-0005-0000-0000-0000D2800000}"/>
    <cellStyle name="Normal 7 9" xfId="32953" xr:uid="{00000000-0005-0000-0000-0000D3800000}"/>
    <cellStyle name="Normal 7 9 2" xfId="32954" xr:uid="{00000000-0005-0000-0000-0000D4800000}"/>
    <cellStyle name="Normal 7 9 2 2" xfId="32955" xr:uid="{00000000-0005-0000-0000-0000D5800000}"/>
    <cellStyle name="Normal 7 9 2 2 2" xfId="32956" xr:uid="{00000000-0005-0000-0000-0000D6800000}"/>
    <cellStyle name="Normal 7 9 2 2 2 2" xfId="32957" xr:uid="{00000000-0005-0000-0000-0000D7800000}"/>
    <cellStyle name="Normal 7 9 2 2 2 2 2" xfId="32958" xr:uid="{00000000-0005-0000-0000-0000D8800000}"/>
    <cellStyle name="Normal 7 9 2 2 2 2 3" xfId="32959" xr:uid="{00000000-0005-0000-0000-0000D9800000}"/>
    <cellStyle name="Normal 7 9 2 2 2 3" xfId="32960" xr:uid="{00000000-0005-0000-0000-0000DA800000}"/>
    <cellStyle name="Normal 7 9 2 2 2 4" xfId="32961" xr:uid="{00000000-0005-0000-0000-0000DB800000}"/>
    <cellStyle name="Normal 7 9 2 2 3" xfId="32962" xr:uid="{00000000-0005-0000-0000-0000DC800000}"/>
    <cellStyle name="Normal 7 9 2 2 3 2" xfId="32963" xr:uid="{00000000-0005-0000-0000-0000DD800000}"/>
    <cellStyle name="Normal 7 9 2 2 3 3" xfId="32964" xr:uid="{00000000-0005-0000-0000-0000DE800000}"/>
    <cellStyle name="Normal 7 9 2 2 4" xfId="32965" xr:uid="{00000000-0005-0000-0000-0000DF800000}"/>
    <cellStyle name="Normal 7 9 2 2 5" xfId="32966" xr:uid="{00000000-0005-0000-0000-0000E0800000}"/>
    <cellStyle name="Normal 7 9 2 2 6" xfId="32967" xr:uid="{00000000-0005-0000-0000-0000E1800000}"/>
    <cellStyle name="Normal 7 9 2 3" xfId="32968" xr:uid="{00000000-0005-0000-0000-0000E2800000}"/>
    <cellStyle name="Normal 7 9 2 3 2" xfId="32969" xr:uid="{00000000-0005-0000-0000-0000E3800000}"/>
    <cellStyle name="Normal 7 9 2 3 2 2" xfId="32970" xr:uid="{00000000-0005-0000-0000-0000E4800000}"/>
    <cellStyle name="Normal 7 9 2 3 2 3" xfId="32971" xr:uid="{00000000-0005-0000-0000-0000E5800000}"/>
    <cellStyle name="Normal 7 9 2 3 3" xfId="32972" xr:uid="{00000000-0005-0000-0000-0000E6800000}"/>
    <cellStyle name="Normal 7 9 2 3 4" xfId="32973" xr:uid="{00000000-0005-0000-0000-0000E7800000}"/>
    <cellStyle name="Normal 7 9 2 4" xfId="32974" xr:uid="{00000000-0005-0000-0000-0000E8800000}"/>
    <cellStyle name="Normal 7 9 2 4 2" xfId="32975" xr:uid="{00000000-0005-0000-0000-0000E9800000}"/>
    <cellStyle name="Normal 7 9 2 4 3" xfId="32976" xr:uid="{00000000-0005-0000-0000-0000EA800000}"/>
    <cellStyle name="Normal 7 9 2 5" xfId="32977" xr:uid="{00000000-0005-0000-0000-0000EB800000}"/>
    <cellStyle name="Normal 7 9 2 6" xfId="32978" xr:uid="{00000000-0005-0000-0000-0000EC800000}"/>
    <cellStyle name="Normal 7 9 2 7" xfId="32979" xr:uid="{00000000-0005-0000-0000-0000ED800000}"/>
    <cellStyle name="Normal 7 9 3" xfId="32980" xr:uid="{00000000-0005-0000-0000-0000EE800000}"/>
    <cellStyle name="Normal 7 9 3 2" xfId="32981" xr:uid="{00000000-0005-0000-0000-0000EF800000}"/>
    <cellStyle name="Normal 7 9 3 2 2" xfId="32982" xr:uid="{00000000-0005-0000-0000-0000F0800000}"/>
    <cellStyle name="Normal 7 9 3 2 2 2" xfId="32983" xr:uid="{00000000-0005-0000-0000-0000F1800000}"/>
    <cellStyle name="Normal 7 9 3 2 2 3" xfId="32984" xr:uid="{00000000-0005-0000-0000-0000F2800000}"/>
    <cellStyle name="Normal 7 9 3 2 3" xfId="32985" xr:uid="{00000000-0005-0000-0000-0000F3800000}"/>
    <cellStyle name="Normal 7 9 3 2 4" xfId="32986" xr:uid="{00000000-0005-0000-0000-0000F4800000}"/>
    <cellStyle name="Normal 7 9 3 3" xfId="32987" xr:uid="{00000000-0005-0000-0000-0000F5800000}"/>
    <cellStyle name="Normal 7 9 3 3 2" xfId="32988" xr:uid="{00000000-0005-0000-0000-0000F6800000}"/>
    <cellStyle name="Normal 7 9 3 3 3" xfId="32989" xr:uid="{00000000-0005-0000-0000-0000F7800000}"/>
    <cellStyle name="Normal 7 9 3 4" xfId="32990" xr:uid="{00000000-0005-0000-0000-0000F8800000}"/>
    <cellStyle name="Normal 7 9 3 5" xfId="32991" xr:uid="{00000000-0005-0000-0000-0000F9800000}"/>
    <cellStyle name="Normal 7 9 3 6" xfId="32992" xr:uid="{00000000-0005-0000-0000-0000FA800000}"/>
    <cellStyle name="Normal 7 9 4" xfId="32993" xr:uid="{00000000-0005-0000-0000-0000FB800000}"/>
    <cellStyle name="Normal 7 9 4 2" xfId="32994" xr:uid="{00000000-0005-0000-0000-0000FC800000}"/>
    <cellStyle name="Normal 7 9 4 2 2" xfId="32995" xr:uid="{00000000-0005-0000-0000-0000FD800000}"/>
    <cellStyle name="Normal 7 9 4 2 3" xfId="32996" xr:uid="{00000000-0005-0000-0000-0000FE800000}"/>
    <cellStyle name="Normal 7 9 4 3" xfId="32997" xr:uid="{00000000-0005-0000-0000-0000FF800000}"/>
    <cellStyle name="Normal 7 9 4 4" xfId="32998" xr:uid="{00000000-0005-0000-0000-000000810000}"/>
    <cellStyle name="Normal 7 9 5" xfId="32999" xr:uid="{00000000-0005-0000-0000-000001810000}"/>
    <cellStyle name="Normal 7 9 5 2" xfId="33000" xr:uid="{00000000-0005-0000-0000-000002810000}"/>
    <cellStyle name="Normal 7 9 5 3" xfId="33001" xr:uid="{00000000-0005-0000-0000-000003810000}"/>
    <cellStyle name="Normal 7 9 6" xfId="33002" xr:uid="{00000000-0005-0000-0000-000004810000}"/>
    <cellStyle name="Normal 7 9 7" xfId="33003" xr:uid="{00000000-0005-0000-0000-000005810000}"/>
    <cellStyle name="Normal 7 9 8" xfId="33004" xr:uid="{00000000-0005-0000-0000-000006810000}"/>
    <cellStyle name="Normal 70" xfId="36038" xr:uid="{00000000-0005-0000-0000-000007810000}"/>
    <cellStyle name="Normal 71" xfId="36039" xr:uid="{00000000-0005-0000-0000-000008810000}"/>
    <cellStyle name="Normal 72" xfId="36040" xr:uid="{00000000-0005-0000-0000-000009810000}"/>
    <cellStyle name="Normal 73" xfId="36041" xr:uid="{00000000-0005-0000-0000-00000A810000}"/>
    <cellStyle name="Normal 74" xfId="36042" xr:uid="{00000000-0005-0000-0000-00000B810000}"/>
    <cellStyle name="Normal 75" xfId="36043" xr:uid="{00000000-0005-0000-0000-00000C810000}"/>
    <cellStyle name="Normal 76" xfId="36044" xr:uid="{00000000-0005-0000-0000-00000D810000}"/>
    <cellStyle name="Normal 77" xfId="36045" xr:uid="{00000000-0005-0000-0000-00000E810000}"/>
    <cellStyle name="Normal 78" xfId="36046" xr:uid="{00000000-0005-0000-0000-00000F810000}"/>
    <cellStyle name="Normal 79" xfId="36047" xr:uid="{00000000-0005-0000-0000-000010810000}"/>
    <cellStyle name="Normal 8" xfId="78" xr:uid="{00000000-0005-0000-0000-000011810000}"/>
    <cellStyle name="Normal 8 2" xfId="33005" xr:uid="{00000000-0005-0000-0000-000012810000}"/>
    <cellStyle name="Normal 80" xfId="36048" xr:uid="{00000000-0005-0000-0000-000013810000}"/>
    <cellStyle name="Normal 81" xfId="36049" xr:uid="{00000000-0005-0000-0000-000014810000}"/>
    <cellStyle name="Normal 9" xfId="79" xr:uid="{00000000-0005-0000-0000-000015810000}"/>
    <cellStyle name="Normal 9 2" xfId="33006" xr:uid="{00000000-0005-0000-0000-000016810000}"/>
    <cellStyle name="Normal 9 3" xfId="33007" xr:uid="{00000000-0005-0000-0000-000017810000}"/>
    <cellStyle name="Normal_PropertyList" xfId="35999" xr:uid="{00000000-0005-0000-0000-000018810000}"/>
    <cellStyle name="Normal_Summary" xfId="35998" xr:uid="{00000000-0005-0000-0000-000019810000}"/>
    <cellStyle name="Normal_Summerville Covenant Compliance Worksheet - 200510062" xfId="89" xr:uid="{00000000-0005-0000-0000-00001A810000}"/>
    <cellStyle name="Note 2" xfId="33008" xr:uid="{00000000-0005-0000-0000-00001B810000}"/>
    <cellStyle name="Note 2 2" xfId="33009" xr:uid="{00000000-0005-0000-0000-00001C810000}"/>
    <cellStyle name="Note 2 3" xfId="33010" xr:uid="{00000000-0005-0000-0000-00001D810000}"/>
    <cellStyle name="Note 2 4" xfId="33011" xr:uid="{00000000-0005-0000-0000-00001E810000}"/>
    <cellStyle name="Note 2 4 2" xfId="33012" xr:uid="{00000000-0005-0000-0000-00001F810000}"/>
    <cellStyle name="Note 2 4 2 2" xfId="33013" xr:uid="{00000000-0005-0000-0000-000020810000}"/>
    <cellStyle name="Note 2 4 2 2 2" xfId="33014" xr:uid="{00000000-0005-0000-0000-000021810000}"/>
    <cellStyle name="Note 2 4 2 2 2 2" xfId="33015" xr:uid="{00000000-0005-0000-0000-000022810000}"/>
    <cellStyle name="Note 2 4 2 2 2 2 2" xfId="33016" xr:uid="{00000000-0005-0000-0000-000023810000}"/>
    <cellStyle name="Note 2 4 2 2 2 2 3" xfId="33017" xr:uid="{00000000-0005-0000-0000-000024810000}"/>
    <cellStyle name="Note 2 4 2 2 2 3" xfId="33018" xr:uid="{00000000-0005-0000-0000-000025810000}"/>
    <cellStyle name="Note 2 4 2 2 2 4" xfId="33019" xr:uid="{00000000-0005-0000-0000-000026810000}"/>
    <cellStyle name="Note 2 4 2 2 3" xfId="33020" xr:uid="{00000000-0005-0000-0000-000027810000}"/>
    <cellStyle name="Note 2 4 2 2 3 2" xfId="33021" xr:uid="{00000000-0005-0000-0000-000028810000}"/>
    <cellStyle name="Note 2 4 2 2 3 3" xfId="33022" xr:uid="{00000000-0005-0000-0000-000029810000}"/>
    <cellStyle name="Note 2 4 2 2 4" xfId="33023" xr:uid="{00000000-0005-0000-0000-00002A810000}"/>
    <cellStyle name="Note 2 4 2 2 5" xfId="33024" xr:uid="{00000000-0005-0000-0000-00002B810000}"/>
    <cellStyle name="Note 2 4 2 2 6" xfId="33025" xr:uid="{00000000-0005-0000-0000-00002C810000}"/>
    <cellStyle name="Note 2 4 2 3" xfId="33026" xr:uid="{00000000-0005-0000-0000-00002D810000}"/>
    <cellStyle name="Note 2 4 2 3 2" xfId="33027" xr:uid="{00000000-0005-0000-0000-00002E810000}"/>
    <cellStyle name="Note 2 4 2 3 2 2" xfId="33028" xr:uid="{00000000-0005-0000-0000-00002F810000}"/>
    <cellStyle name="Note 2 4 2 3 2 3" xfId="33029" xr:uid="{00000000-0005-0000-0000-000030810000}"/>
    <cellStyle name="Note 2 4 2 3 3" xfId="33030" xr:uid="{00000000-0005-0000-0000-000031810000}"/>
    <cellStyle name="Note 2 4 2 3 4" xfId="33031" xr:uid="{00000000-0005-0000-0000-000032810000}"/>
    <cellStyle name="Note 2 4 2 4" xfId="33032" xr:uid="{00000000-0005-0000-0000-000033810000}"/>
    <cellStyle name="Note 2 4 2 4 2" xfId="33033" xr:uid="{00000000-0005-0000-0000-000034810000}"/>
    <cellStyle name="Note 2 4 2 4 3" xfId="33034" xr:uid="{00000000-0005-0000-0000-000035810000}"/>
    <cellStyle name="Note 2 4 2 5" xfId="33035" xr:uid="{00000000-0005-0000-0000-000036810000}"/>
    <cellStyle name="Note 2 4 2 6" xfId="33036" xr:uid="{00000000-0005-0000-0000-000037810000}"/>
    <cellStyle name="Note 2 4 2 7" xfId="33037" xr:uid="{00000000-0005-0000-0000-000038810000}"/>
    <cellStyle name="Note 2 4 3" xfId="33038" xr:uid="{00000000-0005-0000-0000-000039810000}"/>
    <cellStyle name="Note 2 4 3 2" xfId="33039" xr:uid="{00000000-0005-0000-0000-00003A810000}"/>
    <cellStyle name="Note 2 4 3 2 2" xfId="33040" xr:uid="{00000000-0005-0000-0000-00003B810000}"/>
    <cellStyle name="Note 2 4 3 2 2 2" xfId="33041" xr:uid="{00000000-0005-0000-0000-00003C810000}"/>
    <cellStyle name="Note 2 4 3 2 2 3" xfId="33042" xr:uid="{00000000-0005-0000-0000-00003D810000}"/>
    <cellStyle name="Note 2 4 3 2 3" xfId="33043" xr:uid="{00000000-0005-0000-0000-00003E810000}"/>
    <cellStyle name="Note 2 4 3 2 4" xfId="33044" xr:uid="{00000000-0005-0000-0000-00003F810000}"/>
    <cellStyle name="Note 2 4 3 3" xfId="33045" xr:uid="{00000000-0005-0000-0000-000040810000}"/>
    <cellStyle name="Note 2 4 3 3 2" xfId="33046" xr:uid="{00000000-0005-0000-0000-000041810000}"/>
    <cellStyle name="Note 2 4 3 3 3" xfId="33047" xr:uid="{00000000-0005-0000-0000-000042810000}"/>
    <cellStyle name="Note 2 4 3 4" xfId="33048" xr:uid="{00000000-0005-0000-0000-000043810000}"/>
    <cellStyle name="Note 2 4 3 5" xfId="33049" xr:uid="{00000000-0005-0000-0000-000044810000}"/>
    <cellStyle name="Note 2 4 3 6" xfId="33050" xr:uid="{00000000-0005-0000-0000-000045810000}"/>
    <cellStyle name="Note 2 4 4" xfId="33051" xr:uid="{00000000-0005-0000-0000-000046810000}"/>
    <cellStyle name="Note 2 4 4 2" xfId="33052" xr:uid="{00000000-0005-0000-0000-000047810000}"/>
    <cellStyle name="Note 2 4 4 2 2" xfId="33053" xr:uid="{00000000-0005-0000-0000-000048810000}"/>
    <cellStyle name="Note 2 4 4 2 3" xfId="33054" xr:uid="{00000000-0005-0000-0000-000049810000}"/>
    <cellStyle name="Note 2 4 4 3" xfId="33055" xr:uid="{00000000-0005-0000-0000-00004A810000}"/>
    <cellStyle name="Note 2 4 4 4" xfId="33056" xr:uid="{00000000-0005-0000-0000-00004B810000}"/>
    <cellStyle name="Note 2 4 5" xfId="33057" xr:uid="{00000000-0005-0000-0000-00004C810000}"/>
    <cellStyle name="Note 2 4 5 2" xfId="33058" xr:uid="{00000000-0005-0000-0000-00004D810000}"/>
    <cellStyle name="Note 2 4 5 3" xfId="33059" xr:uid="{00000000-0005-0000-0000-00004E810000}"/>
    <cellStyle name="Note 2 4 6" xfId="33060" xr:uid="{00000000-0005-0000-0000-00004F810000}"/>
    <cellStyle name="Note 2 4 7" xfId="33061" xr:uid="{00000000-0005-0000-0000-000050810000}"/>
    <cellStyle name="Note 2 4 8" xfId="33062" xr:uid="{00000000-0005-0000-0000-000051810000}"/>
    <cellStyle name="Note 3" xfId="33063" xr:uid="{00000000-0005-0000-0000-000052810000}"/>
    <cellStyle name="Note 3 10" xfId="33064" xr:uid="{00000000-0005-0000-0000-000053810000}"/>
    <cellStyle name="Note 3 10 2" xfId="33065" xr:uid="{00000000-0005-0000-0000-000054810000}"/>
    <cellStyle name="Note 3 10 2 2" xfId="33066" xr:uid="{00000000-0005-0000-0000-000055810000}"/>
    <cellStyle name="Note 3 10 2 2 2" xfId="33067" xr:uid="{00000000-0005-0000-0000-000056810000}"/>
    <cellStyle name="Note 3 10 2 2 2 2" xfId="33068" xr:uid="{00000000-0005-0000-0000-000057810000}"/>
    <cellStyle name="Note 3 10 2 2 2 3" xfId="33069" xr:uid="{00000000-0005-0000-0000-000058810000}"/>
    <cellStyle name="Note 3 10 2 2 3" xfId="33070" xr:uid="{00000000-0005-0000-0000-000059810000}"/>
    <cellStyle name="Note 3 10 2 2 4" xfId="33071" xr:uid="{00000000-0005-0000-0000-00005A810000}"/>
    <cellStyle name="Note 3 10 2 3" xfId="33072" xr:uid="{00000000-0005-0000-0000-00005B810000}"/>
    <cellStyle name="Note 3 10 2 3 2" xfId="33073" xr:uid="{00000000-0005-0000-0000-00005C810000}"/>
    <cellStyle name="Note 3 10 2 3 3" xfId="33074" xr:uid="{00000000-0005-0000-0000-00005D810000}"/>
    <cellStyle name="Note 3 10 2 4" xfId="33075" xr:uid="{00000000-0005-0000-0000-00005E810000}"/>
    <cellStyle name="Note 3 10 2 5" xfId="33076" xr:uid="{00000000-0005-0000-0000-00005F810000}"/>
    <cellStyle name="Note 3 10 2 6" xfId="33077" xr:uid="{00000000-0005-0000-0000-000060810000}"/>
    <cellStyle name="Note 3 10 3" xfId="33078" xr:uid="{00000000-0005-0000-0000-000061810000}"/>
    <cellStyle name="Note 3 10 3 2" xfId="33079" xr:uid="{00000000-0005-0000-0000-000062810000}"/>
    <cellStyle name="Note 3 10 3 2 2" xfId="33080" xr:uid="{00000000-0005-0000-0000-000063810000}"/>
    <cellStyle name="Note 3 10 3 2 3" xfId="33081" xr:uid="{00000000-0005-0000-0000-000064810000}"/>
    <cellStyle name="Note 3 10 3 3" xfId="33082" xr:uid="{00000000-0005-0000-0000-000065810000}"/>
    <cellStyle name="Note 3 10 3 4" xfId="33083" xr:uid="{00000000-0005-0000-0000-000066810000}"/>
    <cellStyle name="Note 3 10 4" xfId="33084" xr:uid="{00000000-0005-0000-0000-000067810000}"/>
    <cellStyle name="Note 3 10 4 2" xfId="33085" xr:uid="{00000000-0005-0000-0000-000068810000}"/>
    <cellStyle name="Note 3 10 4 3" xfId="33086" xr:uid="{00000000-0005-0000-0000-000069810000}"/>
    <cellStyle name="Note 3 10 5" xfId="33087" xr:uid="{00000000-0005-0000-0000-00006A810000}"/>
    <cellStyle name="Note 3 10 6" xfId="33088" xr:uid="{00000000-0005-0000-0000-00006B810000}"/>
    <cellStyle name="Note 3 10 7" xfId="33089" xr:uid="{00000000-0005-0000-0000-00006C810000}"/>
    <cellStyle name="Note 3 11" xfId="33090" xr:uid="{00000000-0005-0000-0000-00006D810000}"/>
    <cellStyle name="Note 3 11 2" xfId="33091" xr:uid="{00000000-0005-0000-0000-00006E810000}"/>
    <cellStyle name="Note 3 11 2 2" xfId="33092" xr:uid="{00000000-0005-0000-0000-00006F810000}"/>
    <cellStyle name="Note 3 11 2 2 2" xfId="33093" xr:uid="{00000000-0005-0000-0000-000070810000}"/>
    <cellStyle name="Note 3 11 2 2 3" xfId="33094" xr:uid="{00000000-0005-0000-0000-000071810000}"/>
    <cellStyle name="Note 3 11 2 3" xfId="33095" xr:uid="{00000000-0005-0000-0000-000072810000}"/>
    <cellStyle name="Note 3 11 2 4" xfId="33096" xr:uid="{00000000-0005-0000-0000-000073810000}"/>
    <cellStyle name="Note 3 11 3" xfId="33097" xr:uid="{00000000-0005-0000-0000-000074810000}"/>
    <cellStyle name="Note 3 11 3 2" xfId="33098" xr:uid="{00000000-0005-0000-0000-000075810000}"/>
    <cellStyle name="Note 3 11 3 3" xfId="33099" xr:uid="{00000000-0005-0000-0000-000076810000}"/>
    <cellStyle name="Note 3 11 4" xfId="33100" xr:uid="{00000000-0005-0000-0000-000077810000}"/>
    <cellStyle name="Note 3 11 5" xfId="33101" xr:uid="{00000000-0005-0000-0000-000078810000}"/>
    <cellStyle name="Note 3 11 6" xfId="33102" xr:uid="{00000000-0005-0000-0000-000079810000}"/>
    <cellStyle name="Note 3 12" xfId="33103" xr:uid="{00000000-0005-0000-0000-00007A810000}"/>
    <cellStyle name="Note 3 12 2" xfId="33104" xr:uid="{00000000-0005-0000-0000-00007B810000}"/>
    <cellStyle name="Note 3 12 2 2" xfId="33105" xr:uid="{00000000-0005-0000-0000-00007C810000}"/>
    <cellStyle name="Note 3 12 2 2 2" xfId="33106" xr:uid="{00000000-0005-0000-0000-00007D810000}"/>
    <cellStyle name="Note 3 12 2 2 3" xfId="33107" xr:uid="{00000000-0005-0000-0000-00007E810000}"/>
    <cellStyle name="Note 3 12 2 3" xfId="33108" xr:uid="{00000000-0005-0000-0000-00007F810000}"/>
    <cellStyle name="Note 3 12 2 4" xfId="33109" xr:uid="{00000000-0005-0000-0000-000080810000}"/>
    <cellStyle name="Note 3 12 3" xfId="33110" xr:uid="{00000000-0005-0000-0000-000081810000}"/>
    <cellStyle name="Note 3 12 3 2" xfId="33111" xr:uid="{00000000-0005-0000-0000-000082810000}"/>
    <cellStyle name="Note 3 12 3 3" xfId="33112" xr:uid="{00000000-0005-0000-0000-000083810000}"/>
    <cellStyle name="Note 3 12 4" xfId="33113" xr:uid="{00000000-0005-0000-0000-000084810000}"/>
    <cellStyle name="Note 3 12 5" xfId="33114" xr:uid="{00000000-0005-0000-0000-000085810000}"/>
    <cellStyle name="Note 3 12 6" xfId="33115" xr:uid="{00000000-0005-0000-0000-000086810000}"/>
    <cellStyle name="Note 3 13" xfId="33116" xr:uid="{00000000-0005-0000-0000-000087810000}"/>
    <cellStyle name="Note 3 13 2" xfId="33117" xr:uid="{00000000-0005-0000-0000-000088810000}"/>
    <cellStyle name="Note 3 13 2 2" xfId="33118" xr:uid="{00000000-0005-0000-0000-000089810000}"/>
    <cellStyle name="Note 3 13 2 3" xfId="33119" xr:uid="{00000000-0005-0000-0000-00008A810000}"/>
    <cellStyle name="Note 3 13 3" xfId="33120" xr:uid="{00000000-0005-0000-0000-00008B810000}"/>
    <cellStyle name="Note 3 13 4" xfId="33121" xr:uid="{00000000-0005-0000-0000-00008C810000}"/>
    <cellStyle name="Note 3 14" xfId="33122" xr:uid="{00000000-0005-0000-0000-00008D810000}"/>
    <cellStyle name="Note 3 14 2" xfId="33123" xr:uid="{00000000-0005-0000-0000-00008E810000}"/>
    <cellStyle name="Note 3 14 3" xfId="33124" xr:uid="{00000000-0005-0000-0000-00008F810000}"/>
    <cellStyle name="Note 3 15" xfId="33125" xr:uid="{00000000-0005-0000-0000-000090810000}"/>
    <cellStyle name="Note 3 16" xfId="33126" xr:uid="{00000000-0005-0000-0000-000091810000}"/>
    <cellStyle name="Note 3 17" xfId="33127" xr:uid="{00000000-0005-0000-0000-000092810000}"/>
    <cellStyle name="Note 3 2" xfId="33128" xr:uid="{00000000-0005-0000-0000-000093810000}"/>
    <cellStyle name="Note 3 2 10" xfId="33129" xr:uid="{00000000-0005-0000-0000-000094810000}"/>
    <cellStyle name="Note 3 2 10 2" xfId="33130" xr:uid="{00000000-0005-0000-0000-000095810000}"/>
    <cellStyle name="Note 3 2 10 2 2" xfId="33131" xr:uid="{00000000-0005-0000-0000-000096810000}"/>
    <cellStyle name="Note 3 2 10 2 2 2" xfId="33132" xr:uid="{00000000-0005-0000-0000-000097810000}"/>
    <cellStyle name="Note 3 2 10 2 2 3" xfId="33133" xr:uid="{00000000-0005-0000-0000-000098810000}"/>
    <cellStyle name="Note 3 2 10 2 3" xfId="33134" xr:uid="{00000000-0005-0000-0000-000099810000}"/>
    <cellStyle name="Note 3 2 10 2 4" xfId="33135" xr:uid="{00000000-0005-0000-0000-00009A810000}"/>
    <cellStyle name="Note 3 2 10 3" xfId="33136" xr:uid="{00000000-0005-0000-0000-00009B810000}"/>
    <cellStyle name="Note 3 2 10 3 2" xfId="33137" xr:uid="{00000000-0005-0000-0000-00009C810000}"/>
    <cellStyle name="Note 3 2 10 3 3" xfId="33138" xr:uid="{00000000-0005-0000-0000-00009D810000}"/>
    <cellStyle name="Note 3 2 10 4" xfId="33139" xr:uid="{00000000-0005-0000-0000-00009E810000}"/>
    <cellStyle name="Note 3 2 10 5" xfId="33140" xr:uid="{00000000-0005-0000-0000-00009F810000}"/>
    <cellStyle name="Note 3 2 10 6" xfId="33141" xr:uid="{00000000-0005-0000-0000-0000A0810000}"/>
    <cellStyle name="Note 3 2 11" xfId="33142" xr:uid="{00000000-0005-0000-0000-0000A1810000}"/>
    <cellStyle name="Note 3 2 11 2" xfId="33143" xr:uid="{00000000-0005-0000-0000-0000A2810000}"/>
    <cellStyle name="Note 3 2 11 2 2" xfId="33144" xr:uid="{00000000-0005-0000-0000-0000A3810000}"/>
    <cellStyle name="Note 3 2 11 2 3" xfId="33145" xr:uid="{00000000-0005-0000-0000-0000A4810000}"/>
    <cellStyle name="Note 3 2 11 3" xfId="33146" xr:uid="{00000000-0005-0000-0000-0000A5810000}"/>
    <cellStyle name="Note 3 2 11 4" xfId="33147" xr:uid="{00000000-0005-0000-0000-0000A6810000}"/>
    <cellStyle name="Note 3 2 12" xfId="33148" xr:uid="{00000000-0005-0000-0000-0000A7810000}"/>
    <cellStyle name="Note 3 2 12 2" xfId="33149" xr:uid="{00000000-0005-0000-0000-0000A8810000}"/>
    <cellStyle name="Note 3 2 12 3" xfId="33150" xr:uid="{00000000-0005-0000-0000-0000A9810000}"/>
    <cellStyle name="Note 3 2 13" xfId="33151" xr:uid="{00000000-0005-0000-0000-0000AA810000}"/>
    <cellStyle name="Note 3 2 14" xfId="33152" xr:uid="{00000000-0005-0000-0000-0000AB810000}"/>
    <cellStyle name="Note 3 2 15" xfId="33153" xr:uid="{00000000-0005-0000-0000-0000AC810000}"/>
    <cellStyle name="Note 3 2 2" xfId="33154" xr:uid="{00000000-0005-0000-0000-0000AD810000}"/>
    <cellStyle name="Note 3 2 2 10" xfId="33155" xr:uid="{00000000-0005-0000-0000-0000AE810000}"/>
    <cellStyle name="Note 3 2 2 11" xfId="33156" xr:uid="{00000000-0005-0000-0000-0000AF810000}"/>
    <cellStyle name="Note 3 2 2 2" xfId="33157" xr:uid="{00000000-0005-0000-0000-0000B0810000}"/>
    <cellStyle name="Note 3 2 2 2 10" xfId="33158" xr:uid="{00000000-0005-0000-0000-0000B1810000}"/>
    <cellStyle name="Note 3 2 2 2 2" xfId="33159" xr:uid="{00000000-0005-0000-0000-0000B2810000}"/>
    <cellStyle name="Note 3 2 2 2 2 2" xfId="33160" xr:uid="{00000000-0005-0000-0000-0000B3810000}"/>
    <cellStyle name="Note 3 2 2 2 2 2 2" xfId="33161" xr:uid="{00000000-0005-0000-0000-0000B4810000}"/>
    <cellStyle name="Note 3 2 2 2 2 2 2 2" xfId="33162" xr:uid="{00000000-0005-0000-0000-0000B5810000}"/>
    <cellStyle name="Note 3 2 2 2 2 2 2 2 2" xfId="33163" xr:uid="{00000000-0005-0000-0000-0000B6810000}"/>
    <cellStyle name="Note 3 2 2 2 2 2 2 2 2 2" xfId="33164" xr:uid="{00000000-0005-0000-0000-0000B7810000}"/>
    <cellStyle name="Note 3 2 2 2 2 2 2 2 2 2 2" xfId="33165" xr:uid="{00000000-0005-0000-0000-0000B8810000}"/>
    <cellStyle name="Note 3 2 2 2 2 2 2 2 2 2 3" xfId="33166" xr:uid="{00000000-0005-0000-0000-0000B9810000}"/>
    <cellStyle name="Note 3 2 2 2 2 2 2 2 2 3" xfId="33167" xr:uid="{00000000-0005-0000-0000-0000BA810000}"/>
    <cellStyle name="Note 3 2 2 2 2 2 2 2 2 4" xfId="33168" xr:uid="{00000000-0005-0000-0000-0000BB810000}"/>
    <cellStyle name="Note 3 2 2 2 2 2 2 2 3" xfId="33169" xr:uid="{00000000-0005-0000-0000-0000BC810000}"/>
    <cellStyle name="Note 3 2 2 2 2 2 2 2 3 2" xfId="33170" xr:uid="{00000000-0005-0000-0000-0000BD810000}"/>
    <cellStyle name="Note 3 2 2 2 2 2 2 2 3 3" xfId="33171" xr:uid="{00000000-0005-0000-0000-0000BE810000}"/>
    <cellStyle name="Note 3 2 2 2 2 2 2 2 4" xfId="33172" xr:uid="{00000000-0005-0000-0000-0000BF810000}"/>
    <cellStyle name="Note 3 2 2 2 2 2 2 2 5" xfId="33173" xr:uid="{00000000-0005-0000-0000-0000C0810000}"/>
    <cellStyle name="Note 3 2 2 2 2 2 2 2 6" xfId="33174" xr:uid="{00000000-0005-0000-0000-0000C1810000}"/>
    <cellStyle name="Note 3 2 2 2 2 2 2 3" xfId="33175" xr:uid="{00000000-0005-0000-0000-0000C2810000}"/>
    <cellStyle name="Note 3 2 2 2 2 2 2 3 2" xfId="33176" xr:uid="{00000000-0005-0000-0000-0000C3810000}"/>
    <cellStyle name="Note 3 2 2 2 2 2 2 3 2 2" xfId="33177" xr:uid="{00000000-0005-0000-0000-0000C4810000}"/>
    <cellStyle name="Note 3 2 2 2 2 2 2 3 2 3" xfId="33178" xr:uid="{00000000-0005-0000-0000-0000C5810000}"/>
    <cellStyle name="Note 3 2 2 2 2 2 2 3 3" xfId="33179" xr:uid="{00000000-0005-0000-0000-0000C6810000}"/>
    <cellStyle name="Note 3 2 2 2 2 2 2 3 4" xfId="33180" xr:uid="{00000000-0005-0000-0000-0000C7810000}"/>
    <cellStyle name="Note 3 2 2 2 2 2 2 4" xfId="33181" xr:uid="{00000000-0005-0000-0000-0000C8810000}"/>
    <cellStyle name="Note 3 2 2 2 2 2 2 4 2" xfId="33182" xr:uid="{00000000-0005-0000-0000-0000C9810000}"/>
    <cellStyle name="Note 3 2 2 2 2 2 2 4 3" xfId="33183" xr:uid="{00000000-0005-0000-0000-0000CA810000}"/>
    <cellStyle name="Note 3 2 2 2 2 2 2 5" xfId="33184" xr:uid="{00000000-0005-0000-0000-0000CB810000}"/>
    <cellStyle name="Note 3 2 2 2 2 2 2 6" xfId="33185" xr:uid="{00000000-0005-0000-0000-0000CC810000}"/>
    <cellStyle name="Note 3 2 2 2 2 2 2 7" xfId="33186" xr:uid="{00000000-0005-0000-0000-0000CD810000}"/>
    <cellStyle name="Note 3 2 2 2 2 2 3" xfId="33187" xr:uid="{00000000-0005-0000-0000-0000CE810000}"/>
    <cellStyle name="Note 3 2 2 2 2 2 3 2" xfId="33188" xr:uid="{00000000-0005-0000-0000-0000CF810000}"/>
    <cellStyle name="Note 3 2 2 2 2 2 3 2 2" xfId="33189" xr:uid="{00000000-0005-0000-0000-0000D0810000}"/>
    <cellStyle name="Note 3 2 2 2 2 2 3 2 2 2" xfId="33190" xr:uid="{00000000-0005-0000-0000-0000D1810000}"/>
    <cellStyle name="Note 3 2 2 2 2 2 3 2 2 3" xfId="33191" xr:uid="{00000000-0005-0000-0000-0000D2810000}"/>
    <cellStyle name="Note 3 2 2 2 2 2 3 2 3" xfId="33192" xr:uid="{00000000-0005-0000-0000-0000D3810000}"/>
    <cellStyle name="Note 3 2 2 2 2 2 3 2 4" xfId="33193" xr:uid="{00000000-0005-0000-0000-0000D4810000}"/>
    <cellStyle name="Note 3 2 2 2 2 2 3 3" xfId="33194" xr:uid="{00000000-0005-0000-0000-0000D5810000}"/>
    <cellStyle name="Note 3 2 2 2 2 2 3 3 2" xfId="33195" xr:uid="{00000000-0005-0000-0000-0000D6810000}"/>
    <cellStyle name="Note 3 2 2 2 2 2 3 3 3" xfId="33196" xr:uid="{00000000-0005-0000-0000-0000D7810000}"/>
    <cellStyle name="Note 3 2 2 2 2 2 3 4" xfId="33197" xr:uid="{00000000-0005-0000-0000-0000D8810000}"/>
    <cellStyle name="Note 3 2 2 2 2 2 3 5" xfId="33198" xr:uid="{00000000-0005-0000-0000-0000D9810000}"/>
    <cellStyle name="Note 3 2 2 2 2 2 3 6" xfId="33199" xr:uid="{00000000-0005-0000-0000-0000DA810000}"/>
    <cellStyle name="Note 3 2 2 2 2 2 4" xfId="33200" xr:uid="{00000000-0005-0000-0000-0000DB810000}"/>
    <cellStyle name="Note 3 2 2 2 2 2 4 2" xfId="33201" xr:uid="{00000000-0005-0000-0000-0000DC810000}"/>
    <cellStyle name="Note 3 2 2 2 2 2 4 2 2" xfId="33202" xr:uid="{00000000-0005-0000-0000-0000DD810000}"/>
    <cellStyle name="Note 3 2 2 2 2 2 4 2 3" xfId="33203" xr:uid="{00000000-0005-0000-0000-0000DE810000}"/>
    <cellStyle name="Note 3 2 2 2 2 2 4 3" xfId="33204" xr:uid="{00000000-0005-0000-0000-0000DF810000}"/>
    <cellStyle name="Note 3 2 2 2 2 2 4 4" xfId="33205" xr:uid="{00000000-0005-0000-0000-0000E0810000}"/>
    <cellStyle name="Note 3 2 2 2 2 2 5" xfId="33206" xr:uid="{00000000-0005-0000-0000-0000E1810000}"/>
    <cellStyle name="Note 3 2 2 2 2 2 5 2" xfId="33207" xr:uid="{00000000-0005-0000-0000-0000E2810000}"/>
    <cellStyle name="Note 3 2 2 2 2 2 5 3" xfId="33208" xr:uid="{00000000-0005-0000-0000-0000E3810000}"/>
    <cellStyle name="Note 3 2 2 2 2 2 6" xfId="33209" xr:uid="{00000000-0005-0000-0000-0000E4810000}"/>
    <cellStyle name="Note 3 2 2 2 2 2 7" xfId="33210" xr:uid="{00000000-0005-0000-0000-0000E5810000}"/>
    <cellStyle name="Note 3 2 2 2 2 2 8" xfId="33211" xr:uid="{00000000-0005-0000-0000-0000E6810000}"/>
    <cellStyle name="Note 3 2 2 2 2 3" xfId="33212" xr:uid="{00000000-0005-0000-0000-0000E7810000}"/>
    <cellStyle name="Note 3 2 2 2 2 3 2" xfId="33213" xr:uid="{00000000-0005-0000-0000-0000E8810000}"/>
    <cellStyle name="Note 3 2 2 2 2 3 2 2" xfId="33214" xr:uid="{00000000-0005-0000-0000-0000E9810000}"/>
    <cellStyle name="Note 3 2 2 2 2 3 2 2 2" xfId="33215" xr:uid="{00000000-0005-0000-0000-0000EA810000}"/>
    <cellStyle name="Note 3 2 2 2 2 3 2 2 2 2" xfId="33216" xr:uid="{00000000-0005-0000-0000-0000EB810000}"/>
    <cellStyle name="Note 3 2 2 2 2 3 2 2 2 3" xfId="33217" xr:uid="{00000000-0005-0000-0000-0000EC810000}"/>
    <cellStyle name="Note 3 2 2 2 2 3 2 2 3" xfId="33218" xr:uid="{00000000-0005-0000-0000-0000ED810000}"/>
    <cellStyle name="Note 3 2 2 2 2 3 2 2 4" xfId="33219" xr:uid="{00000000-0005-0000-0000-0000EE810000}"/>
    <cellStyle name="Note 3 2 2 2 2 3 2 3" xfId="33220" xr:uid="{00000000-0005-0000-0000-0000EF810000}"/>
    <cellStyle name="Note 3 2 2 2 2 3 2 3 2" xfId="33221" xr:uid="{00000000-0005-0000-0000-0000F0810000}"/>
    <cellStyle name="Note 3 2 2 2 2 3 2 3 3" xfId="33222" xr:uid="{00000000-0005-0000-0000-0000F1810000}"/>
    <cellStyle name="Note 3 2 2 2 2 3 2 4" xfId="33223" xr:uid="{00000000-0005-0000-0000-0000F2810000}"/>
    <cellStyle name="Note 3 2 2 2 2 3 2 5" xfId="33224" xr:uid="{00000000-0005-0000-0000-0000F3810000}"/>
    <cellStyle name="Note 3 2 2 2 2 3 2 6" xfId="33225" xr:uid="{00000000-0005-0000-0000-0000F4810000}"/>
    <cellStyle name="Note 3 2 2 2 2 3 3" xfId="33226" xr:uid="{00000000-0005-0000-0000-0000F5810000}"/>
    <cellStyle name="Note 3 2 2 2 2 3 3 2" xfId="33227" xr:uid="{00000000-0005-0000-0000-0000F6810000}"/>
    <cellStyle name="Note 3 2 2 2 2 3 3 2 2" xfId="33228" xr:uid="{00000000-0005-0000-0000-0000F7810000}"/>
    <cellStyle name="Note 3 2 2 2 2 3 3 2 3" xfId="33229" xr:uid="{00000000-0005-0000-0000-0000F8810000}"/>
    <cellStyle name="Note 3 2 2 2 2 3 3 3" xfId="33230" xr:uid="{00000000-0005-0000-0000-0000F9810000}"/>
    <cellStyle name="Note 3 2 2 2 2 3 3 4" xfId="33231" xr:uid="{00000000-0005-0000-0000-0000FA810000}"/>
    <cellStyle name="Note 3 2 2 2 2 3 4" xfId="33232" xr:uid="{00000000-0005-0000-0000-0000FB810000}"/>
    <cellStyle name="Note 3 2 2 2 2 3 4 2" xfId="33233" xr:uid="{00000000-0005-0000-0000-0000FC810000}"/>
    <cellStyle name="Note 3 2 2 2 2 3 4 3" xfId="33234" xr:uid="{00000000-0005-0000-0000-0000FD810000}"/>
    <cellStyle name="Note 3 2 2 2 2 3 5" xfId="33235" xr:uid="{00000000-0005-0000-0000-0000FE810000}"/>
    <cellStyle name="Note 3 2 2 2 2 3 6" xfId="33236" xr:uid="{00000000-0005-0000-0000-0000FF810000}"/>
    <cellStyle name="Note 3 2 2 2 2 3 7" xfId="33237" xr:uid="{00000000-0005-0000-0000-000000820000}"/>
    <cellStyle name="Note 3 2 2 2 2 4" xfId="33238" xr:uid="{00000000-0005-0000-0000-000001820000}"/>
    <cellStyle name="Note 3 2 2 2 2 4 2" xfId="33239" xr:uid="{00000000-0005-0000-0000-000002820000}"/>
    <cellStyle name="Note 3 2 2 2 2 4 2 2" xfId="33240" xr:uid="{00000000-0005-0000-0000-000003820000}"/>
    <cellStyle name="Note 3 2 2 2 2 4 2 2 2" xfId="33241" xr:uid="{00000000-0005-0000-0000-000004820000}"/>
    <cellStyle name="Note 3 2 2 2 2 4 2 2 3" xfId="33242" xr:uid="{00000000-0005-0000-0000-000005820000}"/>
    <cellStyle name="Note 3 2 2 2 2 4 2 3" xfId="33243" xr:uid="{00000000-0005-0000-0000-000006820000}"/>
    <cellStyle name="Note 3 2 2 2 2 4 2 4" xfId="33244" xr:uid="{00000000-0005-0000-0000-000007820000}"/>
    <cellStyle name="Note 3 2 2 2 2 4 3" xfId="33245" xr:uid="{00000000-0005-0000-0000-000008820000}"/>
    <cellStyle name="Note 3 2 2 2 2 4 3 2" xfId="33246" xr:uid="{00000000-0005-0000-0000-000009820000}"/>
    <cellStyle name="Note 3 2 2 2 2 4 3 3" xfId="33247" xr:uid="{00000000-0005-0000-0000-00000A820000}"/>
    <cellStyle name="Note 3 2 2 2 2 4 4" xfId="33248" xr:uid="{00000000-0005-0000-0000-00000B820000}"/>
    <cellStyle name="Note 3 2 2 2 2 4 5" xfId="33249" xr:uid="{00000000-0005-0000-0000-00000C820000}"/>
    <cellStyle name="Note 3 2 2 2 2 4 6" xfId="33250" xr:uid="{00000000-0005-0000-0000-00000D820000}"/>
    <cellStyle name="Note 3 2 2 2 2 5" xfId="33251" xr:uid="{00000000-0005-0000-0000-00000E820000}"/>
    <cellStyle name="Note 3 2 2 2 2 5 2" xfId="33252" xr:uid="{00000000-0005-0000-0000-00000F820000}"/>
    <cellStyle name="Note 3 2 2 2 2 5 2 2" xfId="33253" xr:uid="{00000000-0005-0000-0000-000010820000}"/>
    <cellStyle name="Note 3 2 2 2 2 5 2 3" xfId="33254" xr:uid="{00000000-0005-0000-0000-000011820000}"/>
    <cellStyle name="Note 3 2 2 2 2 5 3" xfId="33255" xr:uid="{00000000-0005-0000-0000-000012820000}"/>
    <cellStyle name="Note 3 2 2 2 2 5 4" xfId="33256" xr:uid="{00000000-0005-0000-0000-000013820000}"/>
    <cellStyle name="Note 3 2 2 2 2 6" xfId="33257" xr:uid="{00000000-0005-0000-0000-000014820000}"/>
    <cellStyle name="Note 3 2 2 2 2 6 2" xfId="33258" xr:uid="{00000000-0005-0000-0000-000015820000}"/>
    <cellStyle name="Note 3 2 2 2 2 6 3" xfId="33259" xr:uid="{00000000-0005-0000-0000-000016820000}"/>
    <cellStyle name="Note 3 2 2 2 2 7" xfId="33260" xr:uid="{00000000-0005-0000-0000-000017820000}"/>
    <cellStyle name="Note 3 2 2 2 2 8" xfId="33261" xr:uid="{00000000-0005-0000-0000-000018820000}"/>
    <cellStyle name="Note 3 2 2 2 2 9" xfId="33262" xr:uid="{00000000-0005-0000-0000-000019820000}"/>
    <cellStyle name="Note 3 2 2 2 3" xfId="33263" xr:uid="{00000000-0005-0000-0000-00001A820000}"/>
    <cellStyle name="Note 3 2 2 2 3 2" xfId="33264" xr:uid="{00000000-0005-0000-0000-00001B820000}"/>
    <cellStyle name="Note 3 2 2 2 3 2 2" xfId="33265" xr:uid="{00000000-0005-0000-0000-00001C820000}"/>
    <cellStyle name="Note 3 2 2 2 3 2 2 2" xfId="33266" xr:uid="{00000000-0005-0000-0000-00001D820000}"/>
    <cellStyle name="Note 3 2 2 2 3 2 2 2 2" xfId="33267" xr:uid="{00000000-0005-0000-0000-00001E820000}"/>
    <cellStyle name="Note 3 2 2 2 3 2 2 2 2 2" xfId="33268" xr:uid="{00000000-0005-0000-0000-00001F820000}"/>
    <cellStyle name="Note 3 2 2 2 3 2 2 2 2 3" xfId="33269" xr:uid="{00000000-0005-0000-0000-000020820000}"/>
    <cellStyle name="Note 3 2 2 2 3 2 2 2 3" xfId="33270" xr:uid="{00000000-0005-0000-0000-000021820000}"/>
    <cellStyle name="Note 3 2 2 2 3 2 2 2 4" xfId="33271" xr:uid="{00000000-0005-0000-0000-000022820000}"/>
    <cellStyle name="Note 3 2 2 2 3 2 2 3" xfId="33272" xr:uid="{00000000-0005-0000-0000-000023820000}"/>
    <cellStyle name="Note 3 2 2 2 3 2 2 3 2" xfId="33273" xr:uid="{00000000-0005-0000-0000-000024820000}"/>
    <cellStyle name="Note 3 2 2 2 3 2 2 3 3" xfId="33274" xr:uid="{00000000-0005-0000-0000-000025820000}"/>
    <cellStyle name="Note 3 2 2 2 3 2 2 4" xfId="33275" xr:uid="{00000000-0005-0000-0000-000026820000}"/>
    <cellStyle name="Note 3 2 2 2 3 2 2 5" xfId="33276" xr:uid="{00000000-0005-0000-0000-000027820000}"/>
    <cellStyle name="Note 3 2 2 2 3 2 2 6" xfId="33277" xr:uid="{00000000-0005-0000-0000-000028820000}"/>
    <cellStyle name="Note 3 2 2 2 3 2 3" xfId="33278" xr:uid="{00000000-0005-0000-0000-000029820000}"/>
    <cellStyle name="Note 3 2 2 2 3 2 3 2" xfId="33279" xr:uid="{00000000-0005-0000-0000-00002A820000}"/>
    <cellStyle name="Note 3 2 2 2 3 2 3 2 2" xfId="33280" xr:uid="{00000000-0005-0000-0000-00002B820000}"/>
    <cellStyle name="Note 3 2 2 2 3 2 3 2 3" xfId="33281" xr:uid="{00000000-0005-0000-0000-00002C820000}"/>
    <cellStyle name="Note 3 2 2 2 3 2 3 3" xfId="33282" xr:uid="{00000000-0005-0000-0000-00002D820000}"/>
    <cellStyle name="Note 3 2 2 2 3 2 3 4" xfId="33283" xr:uid="{00000000-0005-0000-0000-00002E820000}"/>
    <cellStyle name="Note 3 2 2 2 3 2 4" xfId="33284" xr:uid="{00000000-0005-0000-0000-00002F820000}"/>
    <cellStyle name="Note 3 2 2 2 3 2 4 2" xfId="33285" xr:uid="{00000000-0005-0000-0000-000030820000}"/>
    <cellStyle name="Note 3 2 2 2 3 2 4 3" xfId="33286" xr:uid="{00000000-0005-0000-0000-000031820000}"/>
    <cellStyle name="Note 3 2 2 2 3 2 5" xfId="33287" xr:uid="{00000000-0005-0000-0000-000032820000}"/>
    <cellStyle name="Note 3 2 2 2 3 2 6" xfId="33288" xr:uid="{00000000-0005-0000-0000-000033820000}"/>
    <cellStyle name="Note 3 2 2 2 3 2 7" xfId="33289" xr:uid="{00000000-0005-0000-0000-000034820000}"/>
    <cellStyle name="Note 3 2 2 2 3 3" xfId="33290" xr:uid="{00000000-0005-0000-0000-000035820000}"/>
    <cellStyle name="Note 3 2 2 2 3 3 2" xfId="33291" xr:uid="{00000000-0005-0000-0000-000036820000}"/>
    <cellStyle name="Note 3 2 2 2 3 3 2 2" xfId="33292" xr:uid="{00000000-0005-0000-0000-000037820000}"/>
    <cellStyle name="Note 3 2 2 2 3 3 2 2 2" xfId="33293" xr:uid="{00000000-0005-0000-0000-000038820000}"/>
    <cellStyle name="Note 3 2 2 2 3 3 2 2 3" xfId="33294" xr:uid="{00000000-0005-0000-0000-000039820000}"/>
    <cellStyle name="Note 3 2 2 2 3 3 2 3" xfId="33295" xr:uid="{00000000-0005-0000-0000-00003A820000}"/>
    <cellStyle name="Note 3 2 2 2 3 3 2 4" xfId="33296" xr:uid="{00000000-0005-0000-0000-00003B820000}"/>
    <cellStyle name="Note 3 2 2 2 3 3 3" xfId="33297" xr:uid="{00000000-0005-0000-0000-00003C820000}"/>
    <cellStyle name="Note 3 2 2 2 3 3 3 2" xfId="33298" xr:uid="{00000000-0005-0000-0000-00003D820000}"/>
    <cellStyle name="Note 3 2 2 2 3 3 3 3" xfId="33299" xr:uid="{00000000-0005-0000-0000-00003E820000}"/>
    <cellStyle name="Note 3 2 2 2 3 3 4" xfId="33300" xr:uid="{00000000-0005-0000-0000-00003F820000}"/>
    <cellStyle name="Note 3 2 2 2 3 3 5" xfId="33301" xr:uid="{00000000-0005-0000-0000-000040820000}"/>
    <cellStyle name="Note 3 2 2 2 3 3 6" xfId="33302" xr:uid="{00000000-0005-0000-0000-000041820000}"/>
    <cellStyle name="Note 3 2 2 2 3 4" xfId="33303" xr:uid="{00000000-0005-0000-0000-000042820000}"/>
    <cellStyle name="Note 3 2 2 2 3 4 2" xfId="33304" xr:uid="{00000000-0005-0000-0000-000043820000}"/>
    <cellStyle name="Note 3 2 2 2 3 4 2 2" xfId="33305" xr:uid="{00000000-0005-0000-0000-000044820000}"/>
    <cellStyle name="Note 3 2 2 2 3 4 2 3" xfId="33306" xr:uid="{00000000-0005-0000-0000-000045820000}"/>
    <cellStyle name="Note 3 2 2 2 3 4 3" xfId="33307" xr:uid="{00000000-0005-0000-0000-000046820000}"/>
    <cellStyle name="Note 3 2 2 2 3 4 4" xfId="33308" xr:uid="{00000000-0005-0000-0000-000047820000}"/>
    <cellStyle name="Note 3 2 2 2 3 5" xfId="33309" xr:uid="{00000000-0005-0000-0000-000048820000}"/>
    <cellStyle name="Note 3 2 2 2 3 5 2" xfId="33310" xr:uid="{00000000-0005-0000-0000-000049820000}"/>
    <cellStyle name="Note 3 2 2 2 3 5 3" xfId="33311" xr:uid="{00000000-0005-0000-0000-00004A820000}"/>
    <cellStyle name="Note 3 2 2 2 3 6" xfId="33312" xr:uid="{00000000-0005-0000-0000-00004B820000}"/>
    <cellStyle name="Note 3 2 2 2 3 7" xfId="33313" xr:uid="{00000000-0005-0000-0000-00004C820000}"/>
    <cellStyle name="Note 3 2 2 2 3 8" xfId="33314" xr:uid="{00000000-0005-0000-0000-00004D820000}"/>
    <cellStyle name="Note 3 2 2 2 4" xfId="33315" xr:uid="{00000000-0005-0000-0000-00004E820000}"/>
    <cellStyle name="Note 3 2 2 2 4 2" xfId="33316" xr:uid="{00000000-0005-0000-0000-00004F820000}"/>
    <cellStyle name="Note 3 2 2 2 4 2 2" xfId="33317" xr:uid="{00000000-0005-0000-0000-000050820000}"/>
    <cellStyle name="Note 3 2 2 2 4 2 2 2" xfId="33318" xr:uid="{00000000-0005-0000-0000-000051820000}"/>
    <cellStyle name="Note 3 2 2 2 4 2 2 2 2" xfId="33319" xr:uid="{00000000-0005-0000-0000-000052820000}"/>
    <cellStyle name="Note 3 2 2 2 4 2 2 2 3" xfId="33320" xr:uid="{00000000-0005-0000-0000-000053820000}"/>
    <cellStyle name="Note 3 2 2 2 4 2 2 3" xfId="33321" xr:uid="{00000000-0005-0000-0000-000054820000}"/>
    <cellStyle name="Note 3 2 2 2 4 2 2 4" xfId="33322" xr:uid="{00000000-0005-0000-0000-000055820000}"/>
    <cellStyle name="Note 3 2 2 2 4 2 3" xfId="33323" xr:uid="{00000000-0005-0000-0000-000056820000}"/>
    <cellStyle name="Note 3 2 2 2 4 2 3 2" xfId="33324" xr:uid="{00000000-0005-0000-0000-000057820000}"/>
    <cellStyle name="Note 3 2 2 2 4 2 3 3" xfId="33325" xr:uid="{00000000-0005-0000-0000-000058820000}"/>
    <cellStyle name="Note 3 2 2 2 4 2 4" xfId="33326" xr:uid="{00000000-0005-0000-0000-000059820000}"/>
    <cellStyle name="Note 3 2 2 2 4 2 5" xfId="33327" xr:uid="{00000000-0005-0000-0000-00005A820000}"/>
    <cellStyle name="Note 3 2 2 2 4 2 6" xfId="33328" xr:uid="{00000000-0005-0000-0000-00005B820000}"/>
    <cellStyle name="Note 3 2 2 2 4 3" xfId="33329" xr:uid="{00000000-0005-0000-0000-00005C820000}"/>
    <cellStyle name="Note 3 2 2 2 4 3 2" xfId="33330" xr:uid="{00000000-0005-0000-0000-00005D820000}"/>
    <cellStyle name="Note 3 2 2 2 4 3 2 2" xfId="33331" xr:uid="{00000000-0005-0000-0000-00005E820000}"/>
    <cellStyle name="Note 3 2 2 2 4 3 2 3" xfId="33332" xr:uid="{00000000-0005-0000-0000-00005F820000}"/>
    <cellStyle name="Note 3 2 2 2 4 3 3" xfId="33333" xr:uid="{00000000-0005-0000-0000-000060820000}"/>
    <cellStyle name="Note 3 2 2 2 4 3 4" xfId="33334" xr:uid="{00000000-0005-0000-0000-000061820000}"/>
    <cellStyle name="Note 3 2 2 2 4 4" xfId="33335" xr:uid="{00000000-0005-0000-0000-000062820000}"/>
    <cellStyle name="Note 3 2 2 2 4 4 2" xfId="33336" xr:uid="{00000000-0005-0000-0000-000063820000}"/>
    <cellStyle name="Note 3 2 2 2 4 4 3" xfId="33337" xr:uid="{00000000-0005-0000-0000-000064820000}"/>
    <cellStyle name="Note 3 2 2 2 4 5" xfId="33338" xr:uid="{00000000-0005-0000-0000-000065820000}"/>
    <cellStyle name="Note 3 2 2 2 4 6" xfId="33339" xr:uid="{00000000-0005-0000-0000-000066820000}"/>
    <cellStyle name="Note 3 2 2 2 4 7" xfId="33340" xr:uid="{00000000-0005-0000-0000-000067820000}"/>
    <cellStyle name="Note 3 2 2 2 5" xfId="33341" xr:uid="{00000000-0005-0000-0000-000068820000}"/>
    <cellStyle name="Note 3 2 2 2 5 2" xfId="33342" xr:uid="{00000000-0005-0000-0000-000069820000}"/>
    <cellStyle name="Note 3 2 2 2 5 2 2" xfId="33343" xr:uid="{00000000-0005-0000-0000-00006A820000}"/>
    <cellStyle name="Note 3 2 2 2 5 2 2 2" xfId="33344" xr:uid="{00000000-0005-0000-0000-00006B820000}"/>
    <cellStyle name="Note 3 2 2 2 5 2 2 3" xfId="33345" xr:uid="{00000000-0005-0000-0000-00006C820000}"/>
    <cellStyle name="Note 3 2 2 2 5 2 3" xfId="33346" xr:uid="{00000000-0005-0000-0000-00006D820000}"/>
    <cellStyle name="Note 3 2 2 2 5 2 4" xfId="33347" xr:uid="{00000000-0005-0000-0000-00006E820000}"/>
    <cellStyle name="Note 3 2 2 2 5 3" xfId="33348" xr:uid="{00000000-0005-0000-0000-00006F820000}"/>
    <cellStyle name="Note 3 2 2 2 5 3 2" xfId="33349" xr:uid="{00000000-0005-0000-0000-000070820000}"/>
    <cellStyle name="Note 3 2 2 2 5 3 3" xfId="33350" xr:uid="{00000000-0005-0000-0000-000071820000}"/>
    <cellStyle name="Note 3 2 2 2 5 4" xfId="33351" xr:uid="{00000000-0005-0000-0000-000072820000}"/>
    <cellStyle name="Note 3 2 2 2 5 5" xfId="33352" xr:uid="{00000000-0005-0000-0000-000073820000}"/>
    <cellStyle name="Note 3 2 2 2 5 6" xfId="33353" xr:uid="{00000000-0005-0000-0000-000074820000}"/>
    <cellStyle name="Note 3 2 2 2 6" xfId="33354" xr:uid="{00000000-0005-0000-0000-000075820000}"/>
    <cellStyle name="Note 3 2 2 2 6 2" xfId="33355" xr:uid="{00000000-0005-0000-0000-000076820000}"/>
    <cellStyle name="Note 3 2 2 2 6 2 2" xfId="33356" xr:uid="{00000000-0005-0000-0000-000077820000}"/>
    <cellStyle name="Note 3 2 2 2 6 2 3" xfId="33357" xr:uid="{00000000-0005-0000-0000-000078820000}"/>
    <cellStyle name="Note 3 2 2 2 6 3" xfId="33358" xr:uid="{00000000-0005-0000-0000-000079820000}"/>
    <cellStyle name="Note 3 2 2 2 6 4" xfId="33359" xr:uid="{00000000-0005-0000-0000-00007A820000}"/>
    <cellStyle name="Note 3 2 2 2 7" xfId="33360" xr:uid="{00000000-0005-0000-0000-00007B820000}"/>
    <cellStyle name="Note 3 2 2 2 7 2" xfId="33361" xr:uid="{00000000-0005-0000-0000-00007C820000}"/>
    <cellStyle name="Note 3 2 2 2 7 3" xfId="33362" xr:uid="{00000000-0005-0000-0000-00007D820000}"/>
    <cellStyle name="Note 3 2 2 2 8" xfId="33363" xr:uid="{00000000-0005-0000-0000-00007E820000}"/>
    <cellStyle name="Note 3 2 2 2 9" xfId="33364" xr:uid="{00000000-0005-0000-0000-00007F820000}"/>
    <cellStyle name="Note 3 2 2 3" xfId="33365" xr:uid="{00000000-0005-0000-0000-000080820000}"/>
    <cellStyle name="Note 3 2 2 3 2" xfId="33366" xr:uid="{00000000-0005-0000-0000-000081820000}"/>
    <cellStyle name="Note 3 2 2 3 2 2" xfId="33367" xr:uid="{00000000-0005-0000-0000-000082820000}"/>
    <cellStyle name="Note 3 2 2 3 2 2 2" xfId="33368" xr:uid="{00000000-0005-0000-0000-000083820000}"/>
    <cellStyle name="Note 3 2 2 3 2 2 2 2" xfId="33369" xr:uid="{00000000-0005-0000-0000-000084820000}"/>
    <cellStyle name="Note 3 2 2 3 2 2 2 2 2" xfId="33370" xr:uid="{00000000-0005-0000-0000-000085820000}"/>
    <cellStyle name="Note 3 2 2 3 2 2 2 2 2 2" xfId="33371" xr:uid="{00000000-0005-0000-0000-000086820000}"/>
    <cellStyle name="Note 3 2 2 3 2 2 2 2 2 3" xfId="33372" xr:uid="{00000000-0005-0000-0000-000087820000}"/>
    <cellStyle name="Note 3 2 2 3 2 2 2 2 3" xfId="33373" xr:uid="{00000000-0005-0000-0000-000088820000}"/>
    <cellStyle name="Note 3 2 2 3 2 2 2 2 4" xfId="33374" xr:uid="{00000000-0005-0000-0000-000089820000}"/>
    <cellStyle name="Note 3 2 2 3 2 2 2 3" xfId="33375" xr:uid="{00000000-0005-0000-0000-00008A820000}"/>
    <cellStyle name="Note 3 2 2 3 2 2 2 3 2" xfId="33376" xr:uid="{00000000-0005-0000-0000-00008B820000}"/>
    <cellStyle name="Note 3 2 2 3 2 2 2 3 3" xfId="33377" xr:uid="{00000000-0005-0000-0000-00008C820000}"/>
    <cellStyle name="Note 3 2 2 3 2 2 2 4" xfId="33378" xr:uid="{00000000-0005-0000-0000-00008D820000}"/>
    <cellStyle name="Note 3 2 2 3 2 2 2 5" xfId="33379" xr:uid="{00000000-0005-0000-0000-00008E820000}"/>
    <cellStyle name="Note 3 2 2 3 2 2 2 6" xfId="33380" xr:uid="{00000000-0005-0000-0000-00008F820000}"/>
    <cellStyle name="Note 3 2 2 3 2 2 3" xfId="33381" xr:uid="{00000000-0005-0000-0000-000090820000}"/>
    <cellStyle name="Note 3 2 2 3 2 2 3 2" xfId="33382" xr:uid="{00000000-0005-0000-0000-000091820000}"/>
    <cellStyle name="Note 3 2 2 3 2 2 3 2 2" xfId="33383" xr:uid="{00000000-0005-0000-0000-000092820000}"/>
    <cellStyle name="Note 3 2 2 3 2 2 3 2 3" xfId="33384" xr:uid="{00000000-0005-0000-0000-000093820000}"/>
    <cellStyle name="Note 3 2 2 3 2 2 3 3" xfId="33385" xr:uid="{00000000-0005-0000-0000-000094820000}"/>
    <cellStyle name="Note 3 2 2 3 2 2 3 4" xfId="33386" xr:uid="{00000000-0005-0000-0000-000095820000}"/>
    <cellStyle name="Note 3 2 2 3 2 2 4" xfId="33387" xr:uid="{00000000-0005-0000-0000-000096820000}"/>
    <cellStyle name="Note 3 2 2 3 2 2 4 2" xfId="33388" xr:uid="{00000000-0005-0000-0000-000097820000}"/>
    <cellStyle name="Note 3 2 2 3 2 2 4 3" xfId="33389" xr:uid="{00000000-0005-0000-0000-000098820000}"/>
    <cellStyle name="Note 3 2 2 3 2 2 5" xfId="33390" xr:uid="{00000000-0005-0000-0000-000099820000}"/>
    <cellStyle name="Note 3 2 2 3 2 2 6" xfId="33391" xr:uid="{00000000-0005-0000-0000-00009A820000}"/>
    <cellStyle name="Note 3 2 2 3 2 2 7" xfId="33392" xr:uid="{00000000-0005-0000-0000-00009B820000}"/>
    <cellStyle name="Note 3 2 2 3 2 3" xfId="33393" xr:uid="{00000000-0005-0000-0000-00009C820000}"/>
    <cellStyle name="Note 3 2 2 3 2 3 2" xfId="33394" xr:uid="{00000000-0005-0000-0000-00009D820000}"/>
    <cellStyle name="Note 3 2 2 3 2 3 2 2" xfId="33395" xr:uid="{00000000-0005-0000-0000-00009E820000}"/>
    <cellStyle name="Note 3 2 2 3 2 3 2 2 2" xfId="33396" xr:uid="{00000000-0005-0000-0000-00009F820000}"/>
    <cellStyle name="Note 3 2 2 3 2 3 2 2 3" xfId="33397" xr:uid="{00000000-0005-0000-0000-0000A0820000}"/>
    <cellStyle name="Note 3 2 2 3 2 3 2 3" xfId="33398" xr:uid="{00000000-0005-0000-0000-0000A1820000}"/>
    <cellStyle name="Note 3 2 2 3 2 3 2 4" xfId="33399" xr:uid="{00000000-0005-0000-0000-0000A2820000}"/>
    <cellStyle name="Note 3 2 2 3 2 3 3" xfId="33400" xr:uid="{00000000-0005-0000-0000-0000A3820000}"/>
    <cellStyle name="Note 3 2 2 3 2 3 3 2" xfId="33401" xr:uid="{00000000-0005-0000-0000-0000A4820000}"/>
    <cellStyle name="Note 3 2 2 3 2 3 3 3" xfId="33402" xr:uid="{00000000-0005-0000-0000-0000A5820000}"/>
    <cellStyle name="Note 3 2 2 3 2 3 4" xfId="33403" xr:uid="{00000000-0005-0000-0000-0000A6820000}"/>
    <cellStyle name="Note 3 2 2 3 2 3 5" xfId="33404" xr:uid="{00000000-0005-0000-0000-0000A7820000}"/>
    <cellStyle name="Note 3 2 2 3 2 3 6" xfId="33405" xr:uid="{00000000-0005-0000-0000-0000A8820000}"/>
    <cellStyle name="Note 3 2 2 3 2 4" xfId="33406" xr:uid="{00000000-0005-0000-0000-0000A9820000}"/>
    <cellStyle name="Note 3 2 2 3 2 4 2" xfId="33407" xr:uid="{00000000-0005-0000-0000-0000AA820000}"/>
    <cellStyle name="Note 3 2 2 3 2 4 2 2" xfId="33408" xr:uid="{00000000-0005-0000-0000-0000AB820000}"/>
    <cellStyle name="Note 3 2 2 3 2 4 2 3" xfId="33409" xr:uid="{00000000-0005-0000-0000-0000AC820000}"/>
    <cellStyle name="Note 3 2 2 3 2 4 3" xfId="33410" xr:uid="{00000000-0005-0000-0000-0000AD820000}"/>
    <cellStyle name="Note 3 2 2 3 2 4 4" xfId="33411" xr:uid="{00000000-0005-0000-0000-0000AE820000}"/>
    <cellStyle name="Note 3 2 2 3 2 5" xfId="33412" xr:uid="{00000000-0005-0000-0000-0000AF820000}"/>
    <cellStyle name="Note 3 2 2 3 2 5 2" xfId="33413" xr:uid="{00000000-0005-0000-0000-0000B0820000}"/>
    <cellStyle name="Note 3 2 2 3 2 5 3" xfId="33414" xr:uid="{00000000-0005-0000-0000-0000B1820000}"/>
    <cellStyle name="Note 3 2 2 3 2 6" xfId="33415" xr:uid="{00000000-0005-0000-0000-0000B2820000}"/>
    <cellStyle name="Note 3 2 2 3 2 7" xfId="33416" xr:uid="{00000000-0005-0000-0000-0000B3820000}"/>
    <cellStyle name="Note 3 2 2 3 2 8" xfId="33417" xr:uid="{00000000-0005-0000-0000-0000B4820000}"/>
    <cellStyle name="Note 3 2 2 3 3" xfId="33418" xr:uid="{00000000-0005-0000-0000-0000B5820000}"/>
    <cellStyle name="Note 3 2 2 3 3 2" xfId="33419" xr:uid="{00000000-0005-0000-0000-0000B6820000}"/>
    <cellStyle name="Note 3 2 2 3 3 2 2" xfId="33420" xr:uid="{00000000-0005-0000-0000-0000B7820000}"/>
    <cellStyle name="Note 3 2 2 3 3 2 2 2" xfId="33421" xr:uid="{00000000-0005-0000-0000-0000B8820000}"/>
    <cellStyle name="Note 3 2 2 3 3 2 2 2 2" xfId="33422" xr:uid="{00000000-0005-0000-0000-0000B9820000}"/>
    <cellStyle name="Note 3 2 2 3 3 2 2 2 3" xfId="33423" xr:uid="{00000000-0005-0000-0000-0000BA820000}"/>
    <cellStyle name="Note 3 2 2 3 3 2 2 3" xfId="33424" xr:uid="{00000000-0005-0000-0000-0000BB820000}"/>
    <cellStyle name="Note 3 2 2 3 3 2 2 4" xfId="33425" xr:uid="{00000000-0005-0000-0000-0000BC820000}"/>
    <cellStyle name="Note 3 2 2 3 3 2 3" xfId="33426" xr:uid="{00000000-0005-0000-0000-0000BD820000}"/>
    <cellStyle name="Note 3 2 2 3 3 2 3 2" xfId="33427" xr:uid="{00000000-0005-0000-0000-0000BE820000}"/>
    <cellStyle name="Note 3 2 2 3 3 2 3 3" xfId="33428" xr:uid="{00000000-0005-0000-0000-0000BF820000}"/>
    <cellStyle name="Note 3 2 2 3 3 2 4" xfId="33429" xr:uid="{00000000-0005-0000-0000-0000C0820000}"/>
    <cellStyle name="Note 3 2 2 3 3 2 5" xfId="33430" xr:uid="{00000000-0005-0000-0000-0000C1820000}"/>
    <cellStyle name="Note 3 2 2 3 3 2 6" xfId="33431" xr:uid="{00000000-0005-0000-0000-0000C2820000}"/>
    <cellStyle name="Note 3 2 2 3 3 3" xfId="33432" xr:uid="{00000000-0005-0000-0000-0000C3820000}"/>
    <cellStyle name="Note 3 2 2 3 3 3 2" xfId="33433" xr:uid="{00000000-0005-0000-0000-0000C4820000}"/>
    <cellStyle name="Note 3 2 2 3 3 3 2 2" xfId="33434" xr:uid="{00000000-0005-0000-0000-0000C5820000}"/>
    <cellStyle name="Note 3 2 2 3 3 3 2 3" xfId="33435" xr:uid="{00000000-0005-0000-0000-0000C6820000}"/>
    <cellStyle name="Note 3 2 2 3 3 3 3" xfId="33436" xr:uid="{00000000-0005-0000-0000-0000C7820000}"/>
    <cellStyle name="Note 3 2 2 3 3 3 4" xfId="33437" xr:uid="{00000000-0005-0000-0000-0000C8820000}"/>
    <cellStyle name="Note 3 2 2 3 3 4" xfId="33438" xr:uid="{00000000-0005-0000-0000-0000C9820000}"/>
    <cellStyle name="Note 3 2 2 3 3 4 2" xfId="33439" xr:uid="{00000000-0005-0000-0000-0000CA820000}"/>
    <cellStyle name="Note 3 2 2 3 3 4 3" xfId="33440" xr:uid="{00000000-0005-0000-0000-0000CB820000}"/>
    <cellStyle name="Note 3 2 2 3 3 5" xfId="33441" xr:uid="{00000000-0005-0000-0000-0000CC820000}"/>
    <cellStyle name="Note 3 2 2 3 3 6" xfId="33442" xr:uid="{00000000-0005-0000-0000-0000CD820000}"/>
    <cellStyle name="Note 3 2 2 3 3 7" xfId="33443" xr:uid="{00000000-0005-0000-0000-0000CE820000}"/>
    <cellStyle name="Note 3 2 2 3 4" xfId="33444" xr:uid="{00000000-0005-0000-0000-0000CF820000}"/>
    <cellStyle name="Note 3 2 2 3 4 2" xfId="33445" xr:uid="{00000000-0005-0000-0000-0000D0820000}"/>
    <cellStyle name="Note 3 2 2 3 4 2 2" xfId="33446" xr:uid="{00000000-0005-0000-0000-0000D1820000}"/>
    <cellStyle name="Note 3 2 2 3 4 2 2 2" xfId="33447" xr:uid="{00000000-0005-0000-0000-0000D2820000}"/>
    <cellStyle name="Note 3 2 2 3 4 2 2 3" xfId="33448" xr:uid="{00000000-0005-0000-0000-0000D3820000}"/>
    <cellStyle name="Note 3 2 2 3 4 2 3" xfId="33449" xr:uid="{00000000-0005-0000-0000-0000D4820000}"/>
    <cellStyle name="Note 3 2 2 3 4 2 4" xfId="33450" xr:uid="{00000000-0005-0000-0000-0000D5820000}"/>
    <cellStyle name="Note 3 2 2 3 4 3" xfId="33451" xr:uid="{00000000-0005-0000-0000-0000D6820000}"/>
    <cellStyle name="Note 3 2 2 3 4 3 2" xfId="33452" xr:uid="{00000000-0005-0000-0000-0000D7820000}"/>
    <cellStyle name="Note 3 2 2 3 4 3 3" xfId="33453" xr:uid="{00000000-0005-0000-0000-0000D8820000}"/>
    <cellStyle name="Note 3 2 2 3 4 4" xfId="33454" xr:uid="{00000000-0005-0000-0000-0000D9820000}"/>
    <cellStyle name="Note 3 2 2 3 4 5" xfId="33455" xr:uid="{00000000-0005-0000-0000-0000DA820000}"/>
    <cellStyle name="Note 3 2 2 3 4 6" xfId="33456" xr:uid="{00000000-0005-0000-0000-0000DB820000}"/>
    <cellStyle name="Note 3 2 2 3 5" xfId="33457" xr:uid="{00000000-0005-0000-0000-0000DC820000}"/>
    <cellStyle name="Note 3 2 2 3 5 2" xfId="33458" xr:uid="{00000000-0005-0000-0000-0000DD820000}"/>
    <cellStyle name="Note 3 2 2 3 5 2 2" xfId="33459" xr:uid="{00000000-0005-0000-0000-0000DE820000}"/>
    <cellStyle name="Note 3 2 2 3 5 2 3" xfId="33460" xr:uid="{00000000-0005-0000-0000-0000DF820000}"/>
    <cellStyle name="Note 3 2 2 3 5 3" xfId="33461" xr:uid="{00000000-0005-0000-0000-0000E0820000}"/>
    <cellStyle name="Note 3 2 2 3 5 4" xfId="33462" xr:uid="{00000000-0005-0000-0000-0000E1820000}"/>
    <cellStyle name="Note 3 2 2 3 6" xfId="33463" xr:uid="{00000000-0005-0000-0000-0000E2820000}"/>
    <cellStyle name="Note 3 2 2 3 6 2" xfId="33464" xr:uid="{00000000-0005-0000-0000-0000E3820000}"/>
    <cellStyle name="Note 3 2 2 3 6 3" xfId="33465" xr:uid="{00000000-0005-0000-0000-0000E4820000}"/>
    <cellStyle name="Note 3 2 2 3 7" xfId="33466" xr:uid="{00000000-0005-0000-0000-0000E5820000}"/>
    <cellStyle name="Note 3 2 2 3 8" xfId="33467" xr:uid="{00000000-0005-0000-0000-0000E6820000}"/>
    <cellStyle name="Note 3 2 2 3 9" xfId="33468" xr:uid="{00000000-0005-0000-0000-0000E7820000}"/>
    <cellStyle name="Note 3 2 2 4" xfId="33469" xr:uid="{00000000-0005-0000-0000-0000E8820000}"/>
    <cellStyle name="Note 3 2 2 4 2" xfId="33470" xr:uid="{00000000-0005-0000-0000-0000E9820000}"/>
    <cellStyle name="Note 3 2 2 4 2 2" xfId="33471" xr:uid="{00000000-0005-0000-0000-0000EA820000}"/>
    <cellStyle name="Note 3 2 2 4 2 2 2" xfId="33472" xr:uid="{00000000-0005-0000-0000-0000EB820000}"/>
    <cellStyle name="Note 3 2 2 4 2 2 2 2" xfId="33473" xr:uid="{00000000-0005-0000-0000-0000EC820000}"/>
    <cellStyle name="Note 3 2 2 4 2 2 2 2 2" xfId="33474" xr:uid="{00000000-0005-0000-0000-0000ED820000}"/>
    <cellStyle name="Note 3 2 2 4 2 2 2 2 3" xfId="33475" xr:uid="{00000000-0005-0000-0000-0000EE820000}"/>
    <cellStyle name="Note 3 2 2 4 2 2 2 3" xfId="33476" xr:uid="{00000000-0005-0000-0000-0000EF820000}"/>
    <cellStyle name="Note 3 2 2 4 2 2 2 4" xfId="33477" xr:uid="{00000000-0005-0000-0000-0000F0820000}"/>
    <cellStyle name="Note 3 2 2 4 2 2 3" xfId="33478" xr:uid="{00000000-0005-0000-0000-0000F1820000}"/>
    <cellStyle name="Note 3 2 2 4 2 2 3 2" xfId="33479" xr:uid="{00000000-0005-0000-0000-0000F2820000}"/>
    <cellStyle name="Note 3 2 2 4 2 2 3 3" xfId="33480" xr:uid="{00000000-0005-0000-0000-0000F3820000}"/>
    <cellStyle name="Note 3 2 2 4 2 2 4" xfId="33481" xr:uid="{00000000-0005-0000-0000-0000F4820000}"/>
    <cellStyle name="Note 3 2 2 4 2 2 5" xfId="33482" xr:uid="{00000000-0005-0000-0000-0000F5820000}"/>
    <cellStyle name="Note 3 2 2 4 2 2 6" xfId="33483" xr:uid="{00000000-0005-0000-0000-0000F6820000}"/>
    <cellStyle name="Note 3 2 2 4 2 3" xfId="33484" xr:uid="{00000000-0005-0000-0000-0000F7820000}"/>
    <cellStyle name="Note 3 2 2 4 2 3 2" xfId="33485" xr:uid="{00000000-0005-0000-0000-0000F8820000}"/>
    <cellStyle name="Note 3 2 2 4 2 3 2 2" xfId="33486" xr:uid="{00000000-0005-0000-0000-0000F9820000}"/>
    <cellStyle name="Note 3 2 2 4 2 3 2 3" xfId="33487" xr:uid="{00000000-0005-0000-0000-0000FA820000}"/>
    <cellStyle name="Note 3 2 2 4 2 3 3" xfId="33488" xr:uid="{00000000-0005-0000-0000-0000FB820000}"/>
    <cellStyle name="Note 3 2 2 4 2 3 4" xfId="33489" xr:uid="{00000000-0005-0000-0000-0000FC820000}"/>
    <cellStyle name="Note 3 2 2 4 2 4" xfId="33490" xr:uid="{00000000-0005-0000-0000-0000FD820000}"/>
    <cellStyle name="Note 3 2 2 4 2 4 2" xfId="33491" xr:uid="{00000000-0005-0000-0000-0000FE820000}"/>
    <cellStyle name="Note 3 2 2 4 2 4 3" xfId="33492" xr:uid="{00000000-0005-0000-0000-0000FF820000}"/>
    <cellStyle name="Note 3 2 2 4 2 5" xfId="33493" xr:uid="{00000000-0005-0000-0000-000000830000}"/>
    <cellStyle name="Note 3 2 2 4 2 6" xfId="33494" xr:uid="{00000000-0005-0000-0000-000001830000}"/>
    <cellStyle name="Note 3 2 2 4 2 7" xfId="33495" xr:uid="{00000000-0005-0000-0000-000002830000}"/>
    <cellStyle name="Note 3 2 2 4 3" xfId="33496" xr:uid="{00000000-0005-0000-0000-000003830000}"/>
    <cellStyle name="Note 3 2 2 4 3 2" xfId="33497" xr:uid="{00000000-0005-0000-0000-000004830000}"/>
    <cellStyle name="Note 3 2 2 4 3 2 2" xfId="33498" xr:uid="{00000000-0005-0000-0000-000005830000}"/>
    <cellStyle name="Note 3 2 2 4 3 2 2 2" xfId="33499" xr:uid="{00000000-0005-0000-0000-000006830000}"/>
    <cellStyle name="Note 3 2 2 4 3 2 2 3" xfId="33500" xr:uid="{00000000-0005-0000-0000-000007830000}"/>
    <cellStyle name="Note 3 2 2 4 3 2 3" xfId="33501" xr:uid="{00000000-0005-0000-0000-000008830000}"/>
    <cellStyle name="Note 3 2 2 4 3 2 4" xfId="33502" xr:uid="{00000000-0005-0000-0000-000009830000}"/>
    <cellStyle name="Note 3 2 2 4 3 3" xfId="33503" xr:uid="{00000000-0005-0000-0000-00000A830000}"/>
    <cellStyle name="Note 3 2 2 4 3 3 2" xfId="33504" xr:uid="{00000000-0005-0000-0000-00000B830000}"/>
    <cellStyle name="Note 3 2 2 4 3 3 3" xfId="33505" xr:uid="{00000000-0005-0000-0000-00000C830000}"/>
    <cellStyle name="Note 3 2 2 4 3 4" xfId="33506" xr:uid="{00000000-0005-0000-0000-00000D830000}"/>
    <cellStyle name="Note 3 2 2 4 3 5" xfId="33507" xr:uid="{00000000-0005-0000-0000-00000E830000}"/>
    <cellStyle name="Note 3 2 2 4 3 6" xfId="33508" xr:uid="{00000000-0005-0000-0000-00000F830000}"/>
    <cellStyle name="Note 3 2 2 4 4" xfId="33509" xr:uid="{00000000-0005-0000-0000-000010830000}"/>
    <cellStyle name="Note 3 2 2 4 4 2" xfId="33510" xr:uid="{00000000-0005-0000-0000-000011830000}"/>
    <cellStyle name="Note 3 2 2 4 4 2 2" xfId="33511" xr:uid="{00000000-0005-0000-0000-000012830000}"/>
    <cellStyle name="Note 3 2 2 4 4 2 3" xfId="33512" xr:uid="{00000000-0005-0000-0000-000013830000}"/>
    <cellStyle name="Note 3 2 2 4 4 3" xfId="33513" xr:uid="{00000000-0005-0000-0000-000014830000}"/>
    <cellStyle name="Note 3 2 2 4 4 4" xfId="33514" xr:uid="{00000000-0005-0000-0000-000015830000}"/>
    <cellStyle name="Note 3 2 2 4 5" xfId="33515" xr:uid="{00000000-0005-0000-0000-000016830000}"/>
    <cellStyle name="Note 3 2 2 4 5 2" xfId="33516" xr:uid="{00000000-0005-0000-0000-000017830000}"/>
    <cellStyle name="Note 3 2 2 4 5 3" xfId="33517" xr:uid="{00000000-0005-0000-0000-000018830000}"/>
    <cellStyle name="Note 3 2 2 4 6" xfId="33518" xr:uid="{00000000-0005-0000-0000-000019830000}"/>
    <cellStyle name="Note 3 2 2 4 7" xfId="33519" xr:uid="{00000000-0005-0000-0000-00001A830000}"/>
    <cellStyle name="Note 3 2 2 4 8" xfId="33520" xr:uid="{00000000-0005-0000-0000-00001B830000}"/>
    <cellStyle name="Note 3 2 2 5" xfId="33521" xr:uid="{00000000-0005-0000-0000-00001C830000}"/>
    <cellStyle name="Note 3 2 2 5 2" xfId="33522" xr:uid="{00000000-0005-0000-0000-00001D830000}"/>
    <cellStyle name="Note 3 2 2 5 2 2" xfId="33523" xr:uid="{00000000-0005-0000-0000-00001E830000}"/>
    <cellStyle name="Note 3 2 2 5 2 2 2" xfId="33524" xr:uid="{00000000-0005-0000-0000-00001F830000}"/>
    <cellStyle name="Note 3 2 2 5 2 2 2 2" xfId="33525" xr:uid="{00000000-0005-0000-0000-000020830000}"/>
    <cellStyle name="Note 3 2 2 5 2 2 2 3" xfId="33526" xr:uid="{00000000-0005-0000-0000-000021830000}"/>
    <cellStyle name="Note 3 2 2 5 2 2 3" xfId="33527" xr:uid="{00000000-0005-0000-0000-000022830000}"/>
    <cellStyle name="Note 3 2 2 5 2 2 4" xfId="33528" xr:uid="{00000000-0005-0000-0000-000023830000}"/>
    <cellStyle name="Note 3 2 2 5 2 3" xfId="33529" xr:uid="{00000000-0005-0000-0000-000024830000}"/>
    <cellStyle name="Note 3 2 2 5 2 3 2" xfId="33530" xr:uid="{00000000-0005-0000-0000-000025830000}"/>
    <cellStyle name="Note 3 2 2 5 2 3 3" xfId="33531" xr:uid="{00000000-0005-0000-0000-000026830000}"/>
    <cellStyle name="Note 3 2 2 5 2 4" xfId="33532" xr:uid="{00000000-0005-0000-0000-000027830000}"/>
    <cellStyle name="Note 3 2 2 5 2 5" xfId="33533" xr:uid="{00000000-0005-0000-0000-000028830000}"/>
    <cellStyle name="Note 3 2 2 5 2 6" xfId="33534" xr:uid="{00000000-0005-0000-0000-000029830000}"/>
    <cellStyle name="Note 3 2 2 5 3" xfId="33535" xr:uid="{00000000-0005-0000-0000-00002A830000}"/>
    <cellStyle name="Note 3 2 2 5 3 2" xfId="33536" xr:uid="{00000000-0005-0000-0000-00002B830000}"/>
    <cellStyle name="Note 3 2 2 5 3 2 2" xfId="33537" xr:uid="{00000000-0005-0000-0000-00002C830000}"/>
    <cellStyle name="Note 3 2 2 5 3 2 3" xfId="33538" xr:uid="{00000000-0005-0000-0000-00002D830000}"/>
    <cellStyle name="Note 3 2 2 5 3 3" xfId="33539" xr:uid="{00000000-0005-0000-0000-00002E830000}"/>
    <cellStyle name="Note 3 2 2 5 3 4" xfId="33540" xr:uid="{00000000-0005-0000-0000-00002F830000}"/>
    <cellStyle name="Note 3 2 2 5 4" xfId="33541" xr:uid="{00000000-0005-0000-0000-000030830000}"/>
    <cellStyle name="Note 3 2 2 5 4 2" xfId="33542" xr:uid="{00000000-0005-0000-0000-000031830000}"/>
    <cellStyle name="Note 3 2 2 5 4 3" xfId="33543" xr:uid="{00000000-0005-0000-0000-000032830000}"/>
    <cellStyle name="Note 3 2 2 5 5" xfId="33544" xr:uid="{00000000-0005-0000-0000-000033830000}"/>
    <cellStyle name="Note 3 2 2 5 6" xfId="33545" xr:uid="{00000000-0005-0000-0000-000034830000}"/>
    <cellStyle name="Note 3 2 2 5 7" xfId="33546" xr:uid="{00000000-0005-0000-0000-000035830000}"/>
    <cellStyle name="Note 3 2 2 6" xfId="33547" xr:uid="{00000000-0005-0000-0000-000036830000}"/>
    <cellStyle name="Note 3 2 2 6 2" xfId="33548" xr:uid="{00000000-0005-0000-0000-000037830000}"/>
    <cellStyle name="Note 3 2 2 6 2 2" xfId="33549" xr:uid="{00000000-0005-0000-0000-000038830000}"/>
    <cellStyle name="Note 3 2 2 6 2 2 2" xfId="33550" xr:uid="{00000000-0005-0000-0000-000039830000}"/>
    <cellStyle name="Note 3 2 2 6 2 2 3" xfId="33551" xr:uid="{00000000-0005-0000-0000-00003A830000}"/>
    <cellStyle name="Note 3 2 2 6 2 3" xfId="33552" xr:uid="{00000000-0005-0000-0000-00003B830000}"/>
    <cellStyle name="Note 3 2 2 6 2 4" xfId="33553" xr:uid="{00000000-0005-0000-0000-00003C830000}"/>
    <cellStyle name="Note 3 2 2 6 3" xfId="33554" xr:uid="{00000000-0005-0000-0000-00003D830000}"/>
    <cellStyle name="Note 3 2 2 6 3 2" xfId="33555" xr:uid="{00000000-0005-0000-0000-00003E830000}"/>
    <cellStyle name="Note 3 2 2 6 3 3" xfId="33556" xr:uid="{00000000-0005-0000-0000-00003F830000}"/>
    <cellStyle name="Note 3 2 2 6 4" xfId="33557" xr:uid="{00000000-0005-0000-0000-000040830000}"/>
    <cellStyle name="Note 3 2 2 6 5" xfId="33558" xr:uid="{00000000-0005-0000-0000-000041830000}"/>
    <cellStyle name="Note 3 2 2 6 6" xfId="33559" xr:uid="{00000000-0005-0000-0000-000042830000}"/>
    <cellStyle name="Note 3 2 2 7" xfId="33560" xr:uid="{00000000-0005-0000-0000-000043830000}"/>
    <cellStyle name="Note 3 2 2 7 2" xfId="33561" xr:uid="{00000000-0005-0000-0000-000044830000}"/>
    <cellStyle name="Note 3 2 2 7 2 2" xfId="33562" xr:uid="{00000000-0005-0000-0000-000045830000}"/>
    <cellStyle name="Note 3 2 2 7 2 3" xfId="33563" xr:uid="{00000000-0005-0000-0000-000046830000}"/>
    <cellStyle name="Note 3 2 2 7 3" xfId="33564" xr:uid="{00000000-0005-0000-0000-000047830000}"/>
    <cellStyle name="Note 3 2 2 7 4" xfId="33565" xr:uid="{00000000-0005-0000-0000-000048830000}"/>
    <cellStyle name="Note 3 2 2 8" xfId="33566" xr:uid="{00000000-0005-0000-0000-000049830000}"/>
    <cellStyle name="Note 3 2 2 8 2" xfId="33567" xr:uid="{00000000-0005-0000-0000-00004A830000}"/>
    <cellStyle name="Note 3 2 2 8 3" xfId="33568" xr:uid="{00000000-0005-0000-0000-00004B830000}"/>
    <cellStyle name="Note 3 2 2 9" xfId="33569" xr:uid="{00000000-0005-0000-0000-00004C830000}"/>
    <cellStyle name="Note 3 2 3" xfId="33570" xr:uid="{00000000-0005-0000-0000-00004D830000}"/>
    <cellStyle name="Note 3 2 3 10" xfId="33571" xr:uid="{00000000-0005-0000-0000-00004E830000}"/>
    <cellStyle name="Note 3 2 3 2" xfId="33572" xr:uid="{00000000-0005-0000-0000-00004F830000}"/>
    <cellStyle name="Note 3 2 3 2 2" xfId="33573" xr:uid="{00000000-0005-0000-0000-000050830000}"/>
    <cellStyle name="Note 3 2 3 2 2 2" xfId="33574" xr:uid="{00000000-0005-0000-0000-000051830000}"/>
    <cellStyle name="Note 3 2 3 2 2 2 2" xfId="33575" xr:uid="{00000000-0005-0000-0000-000052830000}"/>
    <cellStyle name="Note 3 2 3 2 2 2 2 2" xfId="33576" xr:uid="{00000000-0005-0000-0000-000053830000}"/>
    <cellStyle name="Note 3 2 3 2 2 2 2 2 2" xfId="33577" xr:uid="{00000000-0005-0000-0000-000054830000}"/>
    <cellStyle name="Note 3 2 3 2 2 2 2 2 2 2" xfId="33578" xr:uid="{00000000-0005-0000-0000-000055830000}"/>
    <cellStyle name="Note 3 2 3 2 2 2 2 2 2 3" xfId="33579" xr:uid="{00000000-0005-0000-0000-000056830000}"/>
    <cellStyle name="Note 3 2 3 2 2 2 2 2 3" xfId="33580" xr:uid="{00000000-0005-0000-0000-000057830000}"/>
    <cellStyle name="Note 3 2 3 2 2 2 2 2 4" xfId="33581" xr:uid="{00000000-0005-0000-0000-000058830000}"/>
    <cellStyle name="Note 3 2 3 2 2 2 2 3" xfId="33582" xr:uid="{00000000-0005-0000-0000-000059830000}"/>
    <cellStyle name="Note 3 2 3 2 2 2 2 3 2" xfId="33583" xr:uid="{00000000-0005-0000-0000-00005A830000}"/>
    <cellStyle name="Note 3 2 3 2 2 2 2 3 3" xfId="33584" xr:uid="{00000000-0005-0000-0000-00005B830000}"/>
    <cellStyle name="Note 3 2 3 2 2 2 2 4" xfId="33585" xr:uid="{00000000-0005-0000-0000-00005C830000}"/>
    <cellStyle name="Note 3 2 3 2 2 2 2 5" xfId="33586" xr:uid="{00000000-0005-0000-0000-00005D830000}"/>
    <cellStyle name="Note 3 2 3 2 2 2 2 6" xfId="33587" xr:uid="{00000000-0005-0000-0000-00005E830000}"/>
    <cellStyle name="Note 3 2 3 2 2 2 3" xfId="33588" xr:uid="{00000000-0005-0000-0000-00005F830000}"/>
    <cellStyle name="Note 3 2 3 2 2 2 3 2" xfId="33589" xr:uid="{00000000-0005-0000-0000-000060830000}"/>
    <cellStyle name="Note 3 2 3 2 2 2 3 2 2" xfId="33590" xr:uid="{00000000-0005-0000-0000-000061830000}"/>
    <cellStyle name="Note 3 2 3 2 2 2 3 2 3" xfId="33591" xr:uid="{00000000-0005-0000-0000-000062830000}"/>
    <cellStyle name="Note 3 2 3 2 2 2 3 3" xfId="33592" xr:uid="{00000000-0005-0000-0000-000063830000}"/>
    <cellStyle name="Note 3 2 3 2 2 2 3 4" xfId="33593" xr:uid="{00000000-0005-0000-0000-000064830000}"/>
    <cellStyle name="Note 3 2 3 2 2 2 4" xfId="33594" xr:uid="{00000000-0005-0000-0000-000065830000}"/>
    <cellStyle name="Note 3 2 3 2 2 2 4 2" xfId="33595" xr:uid="{00000000-0005-0000-0000-000066830000}"/>
    <cellStyle name="Note 3 2 3 2 2 2 4 3" xfId="33596" xr:uid="{00000000-0005-0000-0000-000067830000}"/>
    <cellStyle name="Note 3 2 3 2 2 2 5" xfId="33597" xr:uid="{00000000-0005-0000-0000-000068830000}"/>
    <cellStyle name="Note 3 2 3 2 2 2 6" xfId="33598" xr:uid="{00000000-0005-0000-0000-000069830000}"/>
    <cellStyle name="Note 3 2 3 2 2 2 7" xfId="33599" xr:uid="{00000000-0005-0000-0000-00006A830000}"/>
    <cellStyle name="Note 3 2 3 2 2 3" xfId="33600" xr:uid="{00000000-0005-0000-0000-00006B830000}"/>
    <cellStyle name="Note 3 2 3 2 2 3 2" xfId="33601" xr:uid="{00000000-0005-0000-0000-00006C830000}"/>
    <cellStyle name="Note 3 2 3 2 2 3 2 2" xfId="33602" xr:uid="{00000000-0005-0000-0000-00006D830000}"/>
    <cellStyle name="Note 3 2 3 2 2 3 2 2 2" xfId="33603" xr:uid="{00000000-0005-0000-0000-00006E830000}"/>
    <cellStyle name="Note 3 2 3 2 2 3 2 2 3" xfId="33604" xr:uid="{00000000-0005-0000-0000-00006F830000}"/>
    <cellStyle name="Note 3 2 3 2 2 3 2 3" xfId="33605" xr:uid="{00000000-0005-0000-0000-000070830000}"/>
    <cellStyle name="Note 3 2 3 2 2 3 2 4" xfId="33606" xr:uid="{00000000-0005-0000-0000-000071830000}"/>
    <cellStyle name="Note 3 2 3 2 2 3 3" xfId="33607" xr:uid="{00000000-0005-0000-0000-000072830000}"/>
    <cellStyle name="Note 3 2 3 2 2 3 3 2" xfId="33608" xr:uid="{00000000-0005-0000-0000-000073830000}"/>
    <cellStyle name="Note 3 2 3 2 2 3 3 3" xfId="33609" xr:uid="{00000000-0005-0000-0000-000074830000}"/>
    <cellStyle name="Note 3 2 3 2 2 3 4" xfId="33610" xr:uid="{00000000-0005-0000-0000-000075830000}"/>
    <cellStyle name="Note 3 2 3 2 2 3 5" xfId="33611" xr:uid="{00000000-0005-0000-0000-000076830000}"/>
    <cellStyle name="Note 3 2 3 2 2 3 6" xfId="33612" xr:uid="{00000000-0005-0000-0000-000077830000}"/>
    <cellStyle name="Note 3 2 3 2 2 4" xfId="33613" xr:uid="{00000000-0005-0000-0000-000078830000}"/>
    <cellStyle name="Note 3 2 3 2 2 4 2" xfId="33614" xr:uid="{00000000-0005-0000-0000-000079830000}"/>
    <cellStyle name="Note 3 2 3 2 2 4 2 2" xfId="33615" xr:uid="{00000000-0005-0000-0000-00007A830000}"/>
    <cellStyle name="Note 3 2 3 2 2 4 2 3" xfId="33616" xr:uid="{00000000-0005-0000-0000-00007B830000}"/>
    <cellStyle name="Note 3 2 3 2 2 4 3" xfId="33617" xr:uid="{00000000-0005-0000-0000-00007C830000}"/>
    <cellStyle name="Note 3 2 3 2 2 4 4" xfId="33618" xr:uid="{00000000-0005-0000-0000-00007D830000}"/>
    <cellStyle name="Note 3 2 3 2 2 5" xfId="33619" xr:uid="{00000000-0005-0000-0000-00007E830000}"/>
    <cellStyle name="Note 3 2 3 2 2 5 2" xfId="33620" xr:uid="{00000000-0005-0000-0000-00007F830000}"/>
    <cellStyle name="Note 3 2 3 2 2 5 3" xfId="33621" xr:uid="{00000000-0005-0000-0000-000080830000}"/>
    <cellStyle name="Note 3 2 3 2 2 6" xfId="33622" xr:uid="{00000000-0005-0000-0000-000081830000}"/>
    <cellStyle name="Note 3 2 3 2 2 7" xfId="33623" xr:uid="{00000000-0005-0000-0000-000082830000}"/>
    <cellStyle name="Note 3 2 3 2 2 8" xfId="33624" xr:uid="{00000000-0005-0000-0000-000083830000}"/>
    <cellStyle name="Note 3 2 3 2 3" xfId="33625" xr:uid="{00000000-0005-0000-0000-000084830000}"/>
    <cellStyle name="Note 3 2 3 2 3 2" xfId="33626" xr:uid="{00000000-0005-0000-0000-000085830000}"/>
    <cellStyle name="Note 3 2 3 2 3 2 2" xfId="33627" xr:uid="{00000000-0005-0000-0000-000086830000}"/>
    <cellStyle name="Note 3 2 3 2 3 2 2 2" xfId="33628" xr:uid="{00000000-0005-0000-0000-000087830000}"/>
    <cellStyle name="Note 3 2 3 2 3 2 2 2 2" xfId="33629" xr:uid="{00000000-0005-0000-0000-000088830000}"/>
    <cellStyle name="Note 3 2 3 2 3 2 2 2 3" xfId="33630" xr:uid="{00000000-0005-0000-0000-000089830000}"/>
    <cellStyle name="Note 3 2 3 2 3 2 2 3" xfId="33631" xr:uid="{00000000-0005-0000-0000-00008A830000}"/>
    <cellStyle name="Note 3 2 3 2 3 2 2 4" xfId="33632" xr:uid="{00000000-0005-0000-0000-00008B830000}"/>
    <cellStyle name="Note 3 2 3 2 3 2 3" xfId="33633" xr:uid="{00000000-0005-0000-0000-00008C830000}"/>
    <cellStyle name="Note 3 2 3 2 3 2 3 2" xfId="33634" xr:uid="{00000000-0005-0000-0000-00008D830000}"/>
    <cellStyle name="Note 3 2 3 2 3 2 3 3" xfId="33635" xr:uid="{00000000-0005-0000-0000-00008E830000}"/>
    <cellStyle name="Note 3 2 3 2 3 2 4" xfId="33636" xr:uid="{00000000-0005-0000-0000-00008F830000}"/>
    <cellStyle name="Note 3 2 3 2 3 2 5" xfId="33637" xr:uid="{00000000-0005-0000-0000-000090830000}"/>
    <cellStyle name="Note 3 2 3 2 3 2 6" xfId="33638" xr:uid="{00000000-0005-0000-0000-000091830000}"/>
    <cellStyle name="Note 3 2 3 2 3 3" xfId="33639" xr:uid="{00000000-0005-0000-0000-000092830000}"/>
    <cellStyle name="Note 3 2 3 2 3 3 2" xfId="33640" xr:uid="{00000000-0005-0000-0000-000093830000}"/>
    <cellStyle name="Note 3 2 3 2 3 3 2 2" xfId="33641" xr:uid="{00000000-0005-0000-0000-000094830000}"/>
    <cellStyle name="Note 3 2 3 2 3 3 2 3" xfId="33642" xr:uid="{00000000-0005-0000-0000-000095830000}"/>
    <cellStyle name="Note 3 2 3 2 3 3 3" xfId="33643" xr:uid="{00000000-0005-0000-0000-000096830000}"/>
    <cellStyle name="Note 3 2 3 2 3 3 4" xfId="33644" xr:uid="{00000000-0005-0000-0000-000097830000}"/>
    <cellStyle name="Note 3 2 3 2 3 4" xfId="33645" xr:uid="{00000000-0005-0000-0000-000098830000}"/>
    <cellStyle name="Note 3 2 3 2 3 4 2" xfId="33646" xr:uid="{00000000-0005-0000-0000-000099830000}"/>
    <cellStyle name="Note 3 2 3 2 3 4 3" xfId="33647" xr:uid="{00000000-0005-0000-0000-00009A830000}"/>
    <cellStyle name="Note 3 2 3 2 3 5" xfId="33648" xr:uid="{00000000-0005-0000-0000-00009B830000}"/>
    <cellStyle name="Note 3 2 3 2 3 6" xfId="33649" xr:uid="{00000000-0005-0000-0000-00009C830000}"/>
    <cellStyle name="Note 3 2 3 2 3 7" xfId="33650" xr:uid="{00000000-0005-0000-0000-00009D830000}"/>
    <cellStyle name="Note 3 2 3 2 4" xfId="33651" xr:uid="{00000000-0005-0000-0000-00009E830000}"/>
    <cellStyle name="Note 3 2 3 2 4 2" xfId="33652" xr:uid="{00000000-0005-0000-0000-00009F830000}"/>
    <cellStyle name="Note 3 2 3 2 4 2 2" xfId="33653" xr:uid="{00000000-0005-0000-0000-0000A0830000}"/>
    <cellStyle name="Note 3 2 3 2 4 2 2 2" xfId="33654" xr:uid="{00000000-0005-0000-0000-0000A1830000}"/>
    <cellStyle name="Note 3 2 3 2 4 2 2 3" xfId="33655" xr:uid="{00000000-0005-0000-0000-0000A2830000}"/>
    <cellStyle name="Note 3 2 3 2 4 2 3" xfId="33656" xr:uid="{00000000-0005-0000-0000-0000A3830000}"/>
    <cellStyle name="Note 3 2 3 2 4 2 4" xfId="33657" xr:uid="{00000000-0005-0000-0000-0000A4830000}"/>
    <cellStyle name="Note 3 2 3 2 4 3" xfId="33658" xr:uid="{00000000-0005-0000-0000-0000A5830000}"/>
    <cellStyle name="Note 3 2 3 2 4 3 2" xfId="33659" xr:uid="{00000000-0005-0000-0000-0000A6830000}"/>
    <cellStyle name="Note 3 2 3 2 4 3 3" xfId="33660" xr:uid="{00000000-0005-0000-0000-0000A7830000}"/>
    <cellStyle name="Note 3 2 3 2 4 4" xfId="33661" xr:uid="{00000000-0005-0000-0000-0000A8830000}"/>
    <cellStyle name="Note 3 2 3 2 4 5" xfId="33662" xr:uid="{00000000-0005-0000-0000-0000A9830000}"/>
    <cellStyle name="Note 3 2 3 2 4 6" xfId="33663" xr:uid="{00000000-0005-0000-0000-0000AA830000}"/>
    <cellStyle name="Note 3 2 3 2 5" xfId="33664" xr:uid="{00000000-0005-0000-0000-0000AB830000}"/>
    <cellStyle name="Note 3 2 3 2 5 2" xfId="33665" xr:uid="{00000000-0005-0000-0000-0000AC830000}"/>
    <cellStyle name="Note 3 2 3 2 5 2 2" xfId="33666" xr:uid="{00000000-0005-0000-0000-0000AD830000}"/>
    <cellStyle name="Note 3 2 3 2 5 2 3" xfId="33667" xr:uid="{00000000-0005-0000-0000-0000AE830000}"/>
    <cellStyle name="Note 3 2 3 2 5 3" xfId="33668" xr:uid="{00000000-0005-0000-0000-0000AF830000}"/>
    <cellStyle name="Note 3 2 3 2 5 4" xfId="33669" xr:uid="{00000000-0005-0000-0000-0000B0830000}"/>
    <cellStyle name="Note 3 2 3 2 6" xfId="33670" xr:uid="{00000000-0005-0000-0000-0000B1830000}"/>
    <cellStyle name="Note 3 2 3 2 6 2" xfId="33671" xr:uid="{00000000-0005-0000-0000-0000B2830000}"/>
    <cellStyle name="Note 3 2 3 2 6 3" xfId="33672" xr:uid="{00000000-0005-0000-0000-0000B3830000}"/>
    <cellStyle name="Note 3 2 3 2 7" xfId="33673" xr:uid="{00000000-0005-0000-0000-0000B4830000}"/>
    <cellStyle name="Note 3 2 3 2 8" xfId="33674" xr:uid="{00000000-0005-0000-0000-0000B5830000}"/>
    <cellStyle name="Note 3 2 3 2 9" xfId="33675" xr:uid="{00000000-0005-0000-0000-0000B6830000}"/>
    <cellStyle name="Note 3 2 3 3" xfId="33676" xr:uid="{00000000-0005-0000-0000-0000B7830000}"/>
    <cellStyle name="Note 3 2 3 3 2" xfId="33677" xr:uid="{00000000-0005-0000-0000-0000B8830000}"/>
    <cellStyle name="Note 3 2 3 3 2 2" xfId="33678" xr:uid="{00000000-0005-0000-0000-0000B9830000}"/>
    <cellStyle name="Note 3 2 3 3 2 2 2" xfId="33679" xr:uid="{00000000-0005-0000-0000-0000BA830000}"/>
    <cellStyle name="Note 3 2 3 3 2 2 2 2" xfId="33680" xr:uid="{00000000-0005-0000-0000-0000BB830000}"/>
    <cellStyle name="Note 3 2 3 3 2 2 2 2 2" xfId="33681" xr:uid="{00000000-0005-0000-0000-0000BC830000}"/>
    <cellStyle name="Note 3 2 3 3 2 2 2 2 3" xfId="33682" xr:uid="{00000000-0005-0000-0000-0000BD830000}"/>
    <cellStyle name="Note 3 2 3 3 2 2 2 3" xfId="33683" xr:uid="{00000000-0005-0000-0000-0000BE830000}"/>
    <cellStyle name="Note 3 2 3 3 2 2 2 4" xfId="33684" xr:uid="{00000000-0005-0000-0000-0000BF830000}"/>
    <cellStyle name="Note 3 2 3 3 2 2 3" xfId="33685" xr:uid="{00000000-0005-0000-0000-0000C0830000}"/>
    <cellStyle name="Note 3 2 3 3 2 2 3 2" xfId="33686" xr:uid="{00000000-0005-0000-0000-0000C1830000}"/>
    <cellStyle name="Note 3 2 3 3 2 2 3 3" xfId="33687" xr:uid="{00000000-0005-0000-0000-0000C2830000}"/>
    <cellStyle name="Note 3 2 3 3 2 2 4" xfId="33688" xr:uid="{00000000-0005-0000-0000-0000C3830000}"/>
    <cellStyle name="Note 3 2 3 3 2 2 5" xfId="33689" xr:uid="{00000000-0005-0000-0000-0000C4830000}"/>
    <cellStyle name="Note 3 2 3 3 2 2 6" xfId="33690" xr:uid="{00000000-0005-0000-0000-0000C5830000}"/>
    <cellStyle name="Note 3 2 3 3 2 3" xfId="33691" xr:uid="{00000000-0005-0000-0000-0000C6830000}"/>
    <cellStyle name="Note 3 2 3 3 2 3 2" xfId="33692" xr:uid="{00000000-0005-0000-0000-0000C7830000}"/>
    <cellStyle name="Note 3 2 3 3 2 3 2 2" xfId="33693" xr:uid="{00000000-0005-0000-0000-0000C8830000}"/>
    <cellStyle name="Note 3 2 3 3 2 3 2 3" xfId="33694" xr:uid="{00000000-0005-0000-0000-0000C9830000}"/>
    <cellStyle name="Note 3 2 3 3 2 3 3" xfId="33695" xr:uid="{00000000-0005-0000-0000-0000CA830000}"/>
    <cellStyle name="Note 3 2 3 3 2 3 4" xfId="33696" xr:uid="{00000000-0005-0000-0000-0000CB830000}"/>
    <cellStyle name="Note 3 2 3 3 2 4" xfId="33697" xr:uid="{00000000-0005-0000-0000-0000CC830000}"/>
    <cellStyle name="Note 3 2 3 3 2 4 2" xfId="33698" xr:uid="{00000000-0005-0000-0000-0000CD830000}"/>
    <cellStyle name="Note 3 2 3 3 2 4 3" xfId="33699" xr:uid="{00000000-0005-0000-0000-0000CE830000}"/>
    <cellStyle name="Note 3 2 3 3 2 5" xfId="33700" xr:uid="{00000000-0005-0000-0000-0000CF830000}"/>
    <cellStyle name="Note 3 2 3 3 2 6" xfId="33701" xr:uid="{00000000-0005-0000-0000-0000D0830000}"/>
    <cellStyle name="Note 3 2 3 3 2 7" xfId="33702" xr:uid="{00000000-0005-0000-0000-0000D1830000}"/>
    <cellStyle name="Note 3 2 3 3 3" xfId="33703" xr:uid="{00000000-0005-0000-0000-0000D2830000}"/>
    <cellStyle name="Note 3 2 3 3 3 2" xfId="33704" xr:uid="{00000000-0005-0000-0000-0000D3830000}"/>
    <cellStyle name="Note 3 2 3 3 3 2 2" xfId="33705" xr:uid="{00000000-0005-0000-0000-0000D4830000}"/>
    <cellStyle name="Note 3 2 3 3 3 2 2 2" xfId="33706" xr:uid="{00000000-0005-0000-0000-0000D5830000}"/>
    <cellStyle name="Note 3 2 3 3 3 2 2 3" xfId="33707" xr:uid="{00000000-0005-0000-0000-0000D6830000}"/>
    <cellStyle name="Note 3 2 3 3 3 2 3" xfId="33708" xr:uid="{00000000-0005-0000-0000-0000D7830000}"/>
    <cellStyle name="Note 3 2 3 3 3 2 4" xfId="33709" xr:uid="{00000000-0005-0000-0000-0000D8830000}"/>
    <cellStyle name="Note 3 2 3 3 3 3" xfId="33710" xr:uid="{00000000-0005-0000-0000-0000D9830000}"/>
    <cellStyle name="Note 3 2 3 3 3 3 2" xfId="33711" xr:uid="{00000000-0005-0000-0000-0000DA830000}"/>
    <cellStyle name="Note 3 2 3 3 3 3 3" xfId="33712" xr:uid="{00000000-0005-0000-0000-0000DB830000}"/>
    <cellStyle name="Note 3 2 3 3 3 4" xfId="33713" xr:uid="{00000000-0005-0000-0000-0000DC830000}"/>
    <cellStyle name="Note 3 2 3 3 3 5" xfId="33714" xr:uid="{00000000-0005-0000-0000-0000DD830000}"/>
    <cellStyle name="Note 3 2 3 3 3 6" xfId="33715" xr:uid="{00000000-0005-0000-0000-0000DE830000}"/>
    <cellStyle name="Note 3 2 3 3 4" xfId="33716" xr:uid="{00000000-0005-0000-0000-0000DF830000}"/>
    <cellStyle name="Note 3 2 3 3 4 2" xfId="33717" xr:uid="{00000000-0005-0000-0000-0000E0830000}"/>
    <cellStyle name="Note 3 2 3 3 4 2 2" xfId="33718" xr:uid="{00000000-0005-0000-0000-0000E1830000}"/>
    <cellStyle name="Note 3 2 3 3 4 2 3" xfId="33719" xr:uid="{00000000-0005-0000-0000-0000E2830000}"/>
    <cellStyle name="Note 3 2 3 3 4 3" xfId="33720" xr:uid="{00000000-0005-0000-0000-0000E3830000}"/>
    <cellStyle name="Note 3 2 3 3 4 4" xfId="33721" xr:uid="{00000000-0005-0000-0000-0000E4830000}"/>
    <cellStyle name="Note 3 2 3 3 5" xfId="33722" xr:uid="{00000000-0005-0000-0000-0000E5830000}"/>
    <cellStyle name="Note 3 2 3 3 5 2" xfId="33723" xr:uid="{00000000-0005-0000-0000-0000E6830000}"/>
    <cellStyle name="Note 3 2 3 3 5 3" xfId="33724" xr:uid="{00000000-0005-0000-0000-0000E7830000}"/>
    <cellStyle name="Note 3 2 3 3 6" xfId="33725" xr:uid="{00000000-0005-0000-0000-0000E8830000}"/>
    <cellStyle name="Note 3 2 3 3 7" xfId="33726" xr:uid="{00000000-0005-0000-0000-0000E9830000}"/>
    <cellStyle name="Note 3 2 3 3 8" xfId="33727" xr:uid="{00000000-0005-0000-0000-0000EA830000}"/>
    <cellStyle name="Note 3 2 3 4" xfId="33728" xr:uid="{00000000-0005-0000-0000-0000EB830000}"/>
    <cellStyle name="Note 3 2 3 4 2" xfId="33729" xr:uid="{00000000-0005-0000-0000-0000EC830000}"/>
    <cellStyle name="Note 3 2 3 4 2 2" xfId="33730" xr:uid="{00000000-0005-0000-0000-0000ED830000}"/>
    <cellStyle name="Note 3 2 3 4 2 2 2" xfId="33731" xr:uid="{00000000-0005-0000-0000-0000EE830000}"/>
    <cellStyle name="Note 3 2 3 4 2 2 2 2" xfId="33732" xr:uid="{00000000-0005-0000-0000-0000EF830000}"/>
    <cellStyle name="Note 3 2 3 4 2 2 2 3" xfId="33733" xr:uid="{00000000-0005-0000-0000-0000F0830000}"/>
    <cellStyle name="Note 3 2 3 4 2 2 3" xfId="33734" xr:uid="{00000000-0005-0000-0000-0000F1830000}"/>
    <cellStyle name="Note 3 2 3 4 2 2 4" xfId="33735" xr:uid="{00000000-0005-0000-0000-0000F2830000}"/>
    <cellStyle name="Note 3 2 3 4 2 3" xfId="33736" xr:uid="{00000000-0005-0000-0000-0000F3830000}"/>
    <cellStyle name="Note 3 2 3 4 2 3 2" xfId="33737" xr:uid="{00000000-0005-0000-0000-0000F4830000}"/>
    <cellStyle name="Note 3 2 3 4 2 3 3" xfId="33738" xr:uid="{00000000-0005-0000-0000-0000F5830000}"/>
    <cellStyle name="Note 3 2 3 4 2 4" xfId="33739" xr:uid="{00000000-0005-0000-0000-0000F6830000}"/>
    <cellStyle name="Note 3 2 3 4 2 5" xfId="33740" xr:uid="{00000000-0005-0000-0000-0000F7830000}"/>
    <cellStyle name="Note 3 2 3 4 2 6" xfId="33741" xr:uid="{00000000-0005-0000-0000-0000F8830000}"/>
    <cellStyle name="Note 3 2 3 4 3" xfId="33742" xr:uid="{00000000-0005-0000-0000-0000F9830000}"/>
    <cellStyle name="Note 3 2 3 4 3 2" xfId="33743" xr:uid="{00000000-0005-0000-0000-0000FA830000}"/>
    <cellStyle name="Note 3 2 3 4 3 2 2" xfId="33744" xr:uid="{00000000-0005-0000-0000-0000FB830000}"/>
    <cellStyle name="Note 3 2 3 4 3 2 3" xfId="33745" xr:uid="{00000000-0005-0000-0000-0000FC830000}"/>
    <cellStyle name="Note 3 2 3 4 3 3" xfId="33746" xr:uid="{00000000-0005-0000-0000-0000FD830000}"/>
    <cellStyle name="Note 3 2 3 4 3 4" xfId="33747" xr:uid="{00000000-0005-0000-0000-0000FE830000}"/>
    <cellStyle name="Note 3 2 3 4 4" xfId="33748" xr:uid="{00000000-0005-0000-0000-0000FF830000}"/>
    <cellStyle name="Note 3 2 3 4 4 2" xfId="33749" xr:uid="{00000000-0005-0000-0000-000000840000}"/>
    <cellStyle name="Note 3 2 3 4 4 3" xfId="33750" xr:uid="{00000000-0005-0000-0000-000001840000}"/>
    <cellStyle name="Note 3 2 3 4 5" xfId="33751" xr:uid="{00000000-0005-0000-0000-000002840000}"/>
    <cellStyle name="Note 3 2 3 4 6" xfId="33752" xr:uid="{00000000-0005-0000-0000-000003840000}"/>
    <cellStyle name="Note 3 2 3 4 7" xfId="33753" xr:uid="{00000000-0005-0000-0000-000004840000}"/>
    <cellStyle name="Note 3 2 3 5" xfId="33754" xr:uid="{00000000-0005-0000-0000-000005840000}"/>
    <cellStyle name="Note 3 2 3 5 2" xfId="33755" xr:uid="{00000000-0005-0000-0000-000006840000}"/>
    <cellStyle name="Note 3 2 3 5 2 2" xfId="33756" xr:uid="{00000000-0005-0000-0000-000007840000}"/>
    <cellStyle name="Note 3 2 3 5 2 2 2" xfId="33757" xr:uid="{00000000-0005-0000-0000-000008840000}"/>
    <cellStyle name="Note 3 2 3 5 2 2 3" xfId="33758" xr:uid="{00000000-0005-0000-0000-000009840000}"/>
    <cellStyle name="Note 3 2 3 5 2 3" xfId="33759" xr:uid="{00000000-0005-0000-0000-00000A840000}"/>
    <cellStyle name="Note 3 2 3 5 2 4" xfId="33760" xr:uid="{00000000-0005-0000-0000-00000B840000}"/>
    <cellStyle name="Note 3 2 3 5 3" xfId="33761" xr:uid="{00000000-0005-0000-0000-00000C840000}"/>
    <cellStyle name="Note 3 2 3 5 3 2" xfId="33762" xr:uid="{00000000-0005-0000-0000-00000D840000}"/>
    <cellStyle name="Note 3 2 3 5 3 3" xfId="33763" xr:uid="{00000000-0005-0000-0000-00000E840000}"/>
    <cellStyle name="Note 3 2 3 5 4" xfId="33764" xr:uid="{00000000-0005-0000-0000-00000F840000}"/>
    <cellStyle name="Note 3 2 3 5 5" xfId="33765" xr:uid="{00000000-0005-0000-0000-000010840000}"/>
    <cellStyle name="Note 3 2 3 5 6" xfId="33766" xr:uid="{00000000-0005-0000-0000-000011840000}"/>
    <cellStyle name="Note 3 2 3 6" xfId="33767" xr:uid="{00000000-0005-0000-0000-000012840000}"/>
    <cellStyle name="Note 3 2 3 6 2" xfId="33768" xr:uid="{00000000-0005-0000-0000-000013840000}"/>
    <cellStyle name="Note 3 2 3 6 2 2" xfId="33769" xr:uid="{00000000-0005-0000-0000-000014840000}"/>
    <cellStyle name="Note 3 2 3 6 2 3" xfId="33770" xr:uid="{00000000-0005-0000-0000-000015840000}"/>
    <cellStyle name="Note 3 2 3 6 3" xfId="33771" xr:uid="{00000000-0005-0000-0000-000016840000}"/>
    <cellStyle name="Note 3 2 3 6 4" xfId="33772" xr:uid="{00000000-0005-0000-0000-000017840000}"/>
    <cellStyle name="Note 3 2 3 7" xfId="33773" xr:uid="{00000000-0005-0000-0000-000018840000}"/>
    <cellStyle name="Note 3 2 3 7 2" xfId="33774" xr:uid="{00000000-0005-0000-0000-000019840000}"/>
    <cellStyle name="Note 3 2 3 7 3" xfId="33775" xr:uid="{00000000-0005-0000-0000-00001A840000}"/>
    <cellStyle name="Note 3 2 3 8" xfId="33776" xr:uid="{00000000-0005-0000-0000-00001B840000}"/>
    <cellStyle name="Note 3 2 3 9" xfId="33777" xr:uid="{00000000-0005-0000-0000-00001C840000}"/>
    <cellStyle name="Note 3 2 4" xfId="33778" xr:uid="{00000000-0005-0000-0000-00001D840000}"/>
    <cellStyle name="Note 3 2 4 2" xfId="33779" xr:uid="{00000000-0005-0000-0000-00001E840000}"/>
    <cellStyle name="Note 3 2 4 2 2" xfId="33780" xr:uid="{00000000-0005-0000-0000-00001F840000}"/>
    <cellStyle name="Note 3 2 4 2 2 2" xfId="33781" xr:uid="{00000000-0005-0000-0000-000020840000}"/>
    <cellStyle name="Note 3 2 4 2 2 2 2" xfId="33782" xr:uid="{00000000-0005-0000-0000-000021840000}"/>
    <cellStyle name="Note 3 2 4 2 2 2 2 2" xfId="33783" xr:uid="{00000000-0005-0000-0000-000022840000}"/>
    <cellStyle name="Note 3 2 4 2 2 2 2 2 2" xfId="33784" xr:uid="{00000000-0005-0000-0000-000023840000}"/>
    <cellStyle name="Note 3 2 4 2 2 2 2 2 3" xfId="33785" xr:uid="{00000000-0005-0000-0000-000024840000}"/>
    <cellStyle name="Note 3 2 4 2 2 2 2 3" xfId="33786" xr:uid="{00000000-0005-0000-0000-000025840000}"/>
    <cellStyle name="Note 3 2 4 2 2 2 2 4" xfId="33787" xr:uid="{00000000-0005-0000-0000-000026840000}"/>
    <cellStyle name="Note 3 2 4 2 2 2 3" xfId="33788" xr:uid="{00000000-0005-0000-0000-000027840000}"/>
    <cellStyle name="Note 3 2 4 2 2 2 3 2" xfId="33789" xr:uid="{00000000-0005-0000-0000-000028840000}"/>
    <cellStyle name="Note 3 2 4 2 2 2 3 3" xfId="33790" xr:uid="{00000000-0005-0000-0000-000029840000}"/>
    <cellStyle name="Note 3 2 4 2 2 2 4" xfId="33791" xr:uid="{00000000-0005-0000-0000-00002A840000}"/>
    <cellStyle name="Note 3 2 4 2 2 2 5" xfId="33792" xr:uid="{00000000-0005-0000-0000-00002B840000}"/>
    <cellStyle name="Note 3 2 4 2 2 2 6" xfId="33793" xr:uid="{00000000-0005-0000-0000-00002C840000}"/>
    <cellStyle name="Note 3 2 4 2 2 3" xfId="33794" xr:uid="{00000000-0005-0000-0000-00002D840000}"/>
    <cellStyle name="Note 3 2 4 2 2 3 2" xfId="33795" xr:uid="{00000000-0005-0000-0000-00002E840000}"/>
    <cellStyle name="Note 3 2 4 2 2 3 2 2" xfId="33796" xr:uid="{00000000-0005-0000-0000-00002F840000}"/>
    <cellStyle name="Note 3 2 4 2 2 3 2 3" xfId="33797" xr:uid="{00000000-0005-0000-0000-000030840000}"/>
    <cellStyle name="Note 3 2 4 2 2 3 3" xfId="33798" xr:uid="{00000000-0005-0000-0000-000031840000}"/>
    <cellStyle name="Note 3 2 4 2 2 3 4" xfId="33799" xr:uid="{00000000-0005-0000-0000-000032840000}"/>
    <cellStyle name="Note 3 2 4 2 2 4" xfId="33800" xr:uid="{00000000-0005-0000-0000-000033840000}"/>
    <cellStyle name="Note 3 2 4 2 2 4 2" xfId="33801" xr:uid="{00000000-0005-0000-0000-000034840000}"/>
    <cellStyle name="Note 3 2 4 2 2 4 3" xfId="33802" xr:uid="{00000000-0005-0000-0000-000035840000}"/>
    <cellStyle name="Note 3 2 4 2 2 5" xfId="33803" xr:uid="{00000000-0005-0000-0000-000036840000}"/>
    <cellStyle name="Note 3 2 4 2 2 6" xfId="33804" xr:uid="{00000000-0005-0000-0000-000037840000}"/>
    <cellStyle name="Note 3 2 4 2 2 7" xfId="33805" xr:uid="{00000000-0005-0000-0000-000038840000}"/>
    <cellStyle name="Note 3 2 4 2 3" xfId="33806" xr:uid="{00000000-0005-0000-0000-000039840000}"/>
    <cellStyle name="Note 3 2 4 2 3 2" xfId="33807" xr:uid="{00000000-0005-0000-0000-00003A840000}"/>
    <cellStyle name="Note 3 2 4 2 3 2 2" xfId="33808" xr:uid="{00000000-0005-0000-0000-00003B840000}"/>
    <cellStyle name="Note 3 2 4 2 3 2 2 2" xfId="33809" xr:uid="{00000000-0005-0000-0000-00003C840000}"/>
    <cellStyle name="Note 3 2 4 2 3 2 2 3" xfId="33810" xr:uid="{00000000-0005-0000-0000-00003D840000}"/>
    <cellStyle name="Note 3 2 4 2 3 2 3" xfId="33811" xr:uid="{00000000-0005-0000-0000-00003E840000}"/>
    <cellStyle name="Note 3 2 4 2 3 2 4" xfId="33812" xr:uid="{00000000-0005-0000-0000-00003F840000}"/>
    <cellStyle name="Note 3 2 4 2 3 3" xfId="33813" xr:uid="{00000000-0005-0000-0000-000040840000}"/>
    <cellStyle name="Note 3 2 4 2 3 3 2" xfId="33814" xr:uid="{00000000-0005-0000-0000-000041840000}"/>
    <cellStyle name="Note 3 2 4 2 3 3 3" xfId="33815" xr:uid="{00000000-0005-0000-0000-000042840000}"/>
    <cellStyle name="Note 3 2 4 2 3 4" xfId="33816" xr:uid="{00000000-0005-0000-0000-000043840000}"/>
    <cellStyle name="Note 3 2 4 2 3 5" xfId="33817" xr:uid="{00000000-0005-0000-0000-000044840000}"/>
    <cellStyle name="Note 3 2 4 2 3 6" xfId="33818" xr:uid="{00000000-0005-0000-0000-000045840000}"/>
    <cellStyle name="Note 3 2 4 2 4" xfId="33819" xr:uid="{00000000-0005-0000-0000-000046840000}"/>
    <cellStyle name="Note 3 2 4 2 4 2" xfId="33820" xr:uid="{00000000-0005-0000-0000-000047840000}"/>
    <cellStyle name="Note 3 2 4 2 4 2 2" xfId="33821" xr:uid="{00000000-0005-0000-0000-000048840000}"/>
    <cellStyle name="Note 3 2 4 2 4 2 3" xfId="33822" xr:uid="{00000000-0005-0000-0000-000049840000}"/>
    <cellStyle name="Note 3 2 4 2 4 3" xfId="33823" xr:uid="{00000000-0005-0000-0000-00004A840000}"/>
    <cellStyle name="Note 3 2 4 2 4 4" xfId="33824" xr:uid="{00000000-0005-0000-0000-00004B840000}"/>
    <cellStyle name="Note 3 2 4 2 5" xfId="33825" xr:uid="{00000000-0005-0000-0000-00004C840000}"/>
    <cellStyle name="Note 3 2 4 2 5 2" xfId="33826" xr:uid="{00000000-0005-0000-0000-00004D840000}"/>
    <cellStyle name="Note 3 2 4 2 5 3" xfId="33827" xr:uid="{00000000-0005-0000-0000-00004E840000}"/>
    <cellStyle name="Note 3 2 4 2 6" xfId="33828" xr:uid="{00000000-0005-0000-0000-00004F840000}"/>
    <cellStyle name="Note 3 2 4 2 7" xfId="33829" xr:uid="{00000000-0005-0000-0000-000050840000}"/>
    <cellStyle name="Note 3 2 4 2 8" xfId="33830" xr:uid="{00000000-0005-0000-0000-000051840000}"/>
    <cellStyle name="Note 3 2 4 3" xfId="33831" xr:uid="{00000000-0005-0000-0000-000052840000}"/>
    <cellStyle name="Note 3 2 4 3 2" xfId="33832" xr:uid="{00000000-0005-0000-0000-000053840000}"/>
    <cellStyle name="Note 3 2 4 3 2 2" xfId="33833" xr:uid="{00000000-0005-0000-0000-000054840000}"/>
    <cellStyle name="Note 3 2 4 3 2 2 2" xfId="33834" xr:uid="{00000000-0005-0000-0000-000055840000}"/>
    <cellStyle name="Note 3 2 4 3 2 2 2 2" xfId="33835" xr:uid="{00000000-0005-0000-0000-000056840000}"/>
    <cellStyle name="Note 3 2 4 3 2 2 2 3" xfId="33836" xr:uid="{00000000-0005-0000-0000-000057840000}"/>
    <cellStyle name="Note 3 2 4 3 2 2 3" xfId="33837" xr:uid="{00000000-0005-0000-0000-000058840000}"/>
    <cellStyle name="Note 3 2 4 3 2 2 4" xfId="33838" xr:uid="{00000000-0005-0000-0000-000059840000}"/>
    <cellStyle name="Note 3 2 4 3 2 3" xfId="33839" xr:uid="{00000000-0005-0000-0000-00005A840000}"/>
    <cellStyle name="Note 3 2 4 3 2 3 2" xfId="33840" xr:uid="{00000000-0005-0000-0000-00005B840000}"/>
    <cellStyle name="Note 3 2 4 3 2 3 3" xfId="33841" xr:uid="{00000000-0005-0000-0000-00005C840000}"/>
    <cellStyle name="Note 3 2 4 3 2 4" xfId="33842" xr:uid="{00000000-0005-0000-0000-00005D840000}"/>
    <cellStyle name="Note 3 2 4 3 2 5" xfId="33843" xr:uid="{00000000-0005-0000-0000-00005E840000}"/>
    <cellStyle name="Note 3 2 4 3 2 6" xfId="33844" xr:uid="{00000000-0005-0000-0000-00005F840000}"/>
    <cellStyle name="Note 3 2 4 3 3" xfId="33845" xr:uid="{00000000-0005-0000-0000-000060840000}"/>
    <cellStyle name="Note 3 2 4 3 3 2" xfId="33846" xr:uid="{00000000-0005-0000-0000-000061840000}"/>
    <cellStyle name="Note 3 2 4 3 3 2 2" xfId="33847" xr:uid="{00000000-0005-0000-0000-000062840000}"/>
    <cellStyle name="Note 3 2 4 3 3 2 3" xfId="33848" xr:uid="{00000000-0005-0000-0000-000063840000}"/>
    <cellStyle name="Note 3 2 4 3 3 3" xfId="33849" xr:uid="{00000000-0005-0000-0000-000064840000}"/>
    <cellStyle name="Note 3 2 4 3 3 4" xfId="33850" xr:uid="{00000000-0005-0000-0000-000065840000}"/>
    <cellStyle name="Note 3 2 4 3 4" xfId="33851" xr:uid="{00000000-0005-0000-0000-000066840000}"/>
    <cellStyle name="Note 3 2 4 3 4 2" xfId="33852" xr:uid="{00000000-0005-0000-0000-000067840000}"/>
    <cellStyle name="Note 3 2 4 3 4 3" xfId="33853" xr:uid="{00000000-0005-0000-0000-000068840000}"/>
    <cellStyle name="Note 3 2 4 3 5" xfId="33854" xr:uid="{00000000-0005-0000-0000-000069840000}"/>
    <cellStyle name="Note 3 2 4 3 6" xfId="33855" xr:uid="{00000000-0005-0000-0000-00006A840000}"/>
    <cellStyle name="Note 3 2 4 3 7" xfId="33856" xr:uid="{00000000-0005-0000-0000-00006B840000}"/>
    <cellStyle name="Note 3 2 4 4" xfId="33857" xr:uid="{00000000-0005-0000-0000-00006C840000}"/>
    <cellStyle name="Note 3 2 4 4 2" xfId="33858" xr:uid="{00000000-0005-0000-0000-00006D840000}"/>
    <cellStyle name="Note 3 2 4 4 2 2" xfId="33859" xr:uid="{00000000-0005-0000-0000-00006E840000}"/>
    <cellStyle name="Note 3 2 4 4 2 2 2" xfId="33860" xr:uid="{00000000-0005-0000-0000-00006F840000}"/>
    <cellStyle name="Note 3 2 4 4 2 2 3" xfId="33861" xr:uid="{00000000-0005-0000-0000-000070840000}"/>
    <cellStyle name="Note 3 2 4 4 2 3" xfId="33862" xr:uid="{00000000-0005-0000-0000-000071840000}"/>
    <cellStyle name="Note 3 2 4 4 2 4" xfId="33863" xr:uid="{00000000-0005-0000-0000-000072840000}"/>
    <cellStyle name="Note 3 2 4 4 3" xfId="33864" xr:uid="{00000000-0005-0000-0000-000073840000}"/>
    <cellStyle name="Note 3 2 4 4 3 2" xfId="33865" xr:uid="{00000000-0005-0000-0000-000074840000}"/>
    <cellStyle name="Note 3 2 4 4 3 3" xfId="33866" xr:uid="{00000000-0005-0000-0000-000075840000}"/>
    <cellStyle name="Note 3 2 4 4 4" xfId="33867" xr:uid="{00000000-0005-0000-0000-000076840000}"/>
    <cellStyle name="Note 3 2 4 4 5" xfId="33868" xr:uid="{00000000-0005-0000-0000-000077840000}"/>
    <cellStyle name="Note 3 2 4 4 6" xfId="33869" xr:uid="{00000000-0005-0000-0000-000078840000}"/>
    <cellStyle name="Note 3 2 4 5" xfId="33870" xr:uid="{00000000-0005-0000-0000-000079840000}"/>
    <cellStyle name="Note 3 2 4 5 2" xfId="33871" xr:uid="{00000000-0005-0000-0000-00007A840000}"/>
    <cellStyle name="Note 3 2 4 5 2 2" xfId="33872" xr:uid="{00000000-0005-0000-0000-00007B840000}"/>
    <cellStyle name="Note 3 2 4 5 2 3" xfId="33873" xr:uid="{00000000-0005-0000-0000-00007C840000}"/>
    <cellStyle name="Note 3 2 4 5 3" xfId="33874" xr:uid="{00000000-0005-0000-0000-00007D840000}"/>
    <cellStyle name="Note 3 2 4 5 4" xfId="33875" xr:uid="{00000000-0005-0000-0000-00007E840000}"/>
    <cellStyle name="Note 3 2 4 6" xfId="33876" xr:uid="{00000000-0005-0000-0000-00007F840000}"/>
    <cellStyle name="Note 3 2 4 6 2" xfId="33877" xr:uid="{00000000-0005-0000-0000-000080840000}"/>
    <cellStyle name="Note 3 2 4 6 3" xfId="33878" xr:uid="{00000000-0005-0000-0000-000081840000}"/>
    <cellStyle name="Note 3 2 4 7" xfId="33879" xr:uid="{00000000-0005-0000-0000-000082840000}"/>
    <cellStyle name="Note 3 2 4 8" xfId="33880" xr:uid="{00000000-0005-0000-0000-000083840000}"/>
    <cellStyle name="Note 3 2 4 9" xfId="33881" xr:uid="{00000000-0005-0000-0000-000084840000}"/>
    <cellStyle name="Note 3 2 5" xfId="33882" xr:uid="{00000000-0005-0000-0000-000085840000}"/>
    <cellStyle name="Note 3 2 5 2" xfId="33883" xr:uid="{00000000-0005-0000-0000-000086840000}"/>
    <cellStyle name="Note 3 2 5 2 2" xfId="33884" xr:uid="{00000000-0005-0000-0000-000087840000}"/>
    <cellStyle name="Note 3 2 5 2 2 2" xfId="33885" xr:uid="{00000000-0005-0000-0000-000088840000}"/>
    <cellStyle name="Note 3 2 5 2 2 2 2" xfId="33886" xr:uid="{00000000-0005-0000-0000-000089840000}"/>
    <cellStyle name="Note 3 2 5 2 2 2 2 2" xfId="33887" xr:uid="{00000000-0005-0000-0000-00008A840000}"/>
    <cellStyle name="Note 3 2 5 2 2 2 2 2 2" xfId="33888" xr:uid="{00000000-0005-0000-0000-00008B840000}"/>
    <cellStyle name="Note 3 2 5 2 2 2 2 2 3" xfId="33889" xr:uid="{00000000-0005-0000-0000-00008C840000}"/>
    <cellStyle name="Note 3 2 5 2 2 2 2 3" xfId="33890" xr:uid="{00000000-0005-0000-0000-00008D840000}"/>
    <cellStyle name="Note 3 2 5 2 2 2 2 4" xfId="33891" xr:uid="{00000000-0005-0000-0000-00008E840000}"/>
    <cellStyle name="Note 3 2 5 2 2 2 3" xfId="33892" xr:uid="{00000000-0005-0000-0000-00008F840000}"/>
    <cellStyle name="Note 3 2 5 2 2 2 3 2" xfId="33893" xr:uid="{00000000-0005-0000-0000-000090840000}"/>
    <cellStyle name="Note 3 2 5 2 2 2 3 3" xfId="33894" xr:uid="{00000000-0005-0000-0000-000091840000}"/>
    <cellStyle name="Note 3 2 5 2 2 2 4" xfId="33895" xr:uid="{00000000-0005-0000-0000-000092840000}"/>
    <cellStyle name="Note 3 2 5 2 2 2 5" xfId="33896" xr:uid="{00000000-0005-0000-0000-000093840000}"/>
    <cellStyle name="Note 3 2 5 2 2 2 6" xfId="33897" xr:uid="{00000000-0005-0000-0000-000094840000}"/>
    <cellStyle name="Note 3 2 5 2 2 3" xfId="33898" xr:uid="{00000000-0005-0000-0000-000095840000}"/>
    <cellStyle name="Note 3 2 5 2 2 3 2" xfId="33899" xr:uid="{00000000-0005-0000-0000-000096840000}"/>
    <cellStyle name="Note 3 2 5 2 2 3 2 2" xfId="33900" xr:uid="{00000000-0005-0000-0000-000097840000}"/>
    <cellStyle name="Note 3 2 5 2 2 3 2 3" xfId="33901" xr:uid="{00000000-0005-0000-0000-000098840000}"/>
    <cellStyle name="Note 3 2 5 2 2 3 3" xfId="33902" xr:uid="{00000000-0005-0000-0000-000099840000}"/>
    <cellStyle name="Note 3 2 5 2 2 3 4" xfId="33903" xr:uid="{00000000-0005-0000-0000-00009A840000}"/>
    <cellStyle name="Note 3 2 5 2 2 4" xfId="33904" xr:uid="{00000000-0005-0000-0000-00009B840000}"/>
    <cellStyle name="Note 3 2 5 2 2 4 2" xfId="33905" xr:uid="{00000000-0005-0000-0000-00009C840000}"/>
    <cellStyle name="Note 3 2 5 2 2 4 3" xfId="33906" xr:uid="{00000000-0005-0000-0000-00009D840000}"/>
    <cellStyle name="Note 3 2 5 2 2 5" xfId="33907" xr:uid="{00000000-0005-0000-0000-00009E840000}"/>
    <cellStyle name="Note 3 2 5 2 2 6" xfId="33908" xr:uid="{00000000-0005-0000-0000-00009F840000}"/>
    <cellStyle name="Note 3 2 5 2 2 7" xfId="33909" xr:uid="{00000000-0005-0000-0000-0000A0840000}"/>
    <cellStyle name="Note 3 2 5 2 3" xfId="33910" xr:uid="{00000000-0005-0000-0000-0000A1840000}"/>
    <cellStyle name="Note 3 2 5 2 3 2" xfId="33911" xr:uid="{00000000-0005-0000-0000-0000A2840000}"/>
    <cellStyle name="Note 3 2 5 2 3 2 2" xfId="33912" xr:uid="{00000000-0005-0000-0000-0000A3840000}"/>
    <cellStyle name="Note 3 2 5 2 3 2 2 2" xfId="33913" xr:uid="{00000000-0005-0000-0000-0000A4840000}"/>
    <cellStyle name="Note 3 2 5 2 3 2 2 3" xfId="33914" xr:uid="{00000000-0005-0000-0000-0000A5840000}"/>
    <cellStyle name="Note 3 2 5 2 3 2 3" xfId="33915" xr:uid="{00000000-0005-0000-0000-0000A6840000}"/>
    <cellStyle name="Note 3 2 5 2 3 2 4" xfId="33916" xr:uid="{00000000-0005-0000-0000-0000A7840000}"/>
    <cellStyle name="Note 3 2 5 2 3 3" xfId="33917" xr:uid="{00000000-0005-0000-0000-0000A8840000}"/>
    <cellStyle name="Note 3 2 5 2 3 3 2" xfId="33918" xr:uid="{00000000-0005-0000-0000-0000A9840000}"/>
    <cellStyle name="Note 3 2 5 2 3 3 3" xfId="33919" xr:uid="{00000000-0005-0000-0000-0000AA840000}"/>
    <cellStyle name="Note 3 2 5 2 3 4" xfId="33920" xr:uid="{00000000-0005-0000-0000-0000AB840000}"/>
    <cellStyle name="Note 3 2 5 2 3 5" xfId="33921" xr:uid="{00000000-0005-0000-0000-0000AC840000}"/>
    <cellStyle name="Note 3 2 5 2 3 6" xfId="33922" xr:uid="{00000000-0005-0000-0000-0000AD840000}"/>
    <cellStyle name="Note 3 2 5 2 4" xfId="33923" xr:uid="{00000000-0005-0000-0000-0000AE840000}"/>
    <cellStyle name="Note 3 2 5 2 4 2" xfId="33924" xr:uid="{00000000-0005-0000-0000-0000AF840000}"/>
    <cellStyle name="Note 3 2 5 2 4 2 2" xfId="33925" xr:uid="{00000000-0005-0000-0000-0000B0840000}"/>
    <cellStyle name="Note 3 2 5 2 4 2 3" xfId="33926" xr:uid="{00000000-0005-0000-0000-0000B1840000}"/>
    <cellStyle name="Note 3 2 5 2 4 3" xfId="33927" xr:uid="{00000000-0005-0000-0000-0000B2840000}"/>
    <cellStyle name="Note 3 2 5 2 4 4" xfId="33928" xr:uid="{00000000-0005-0000-0000-0000B3840000}"/>
    <cellStyle name="Note 3 2 5 2 5" xfId="33929" xr:uid="{00000000-0005-0000-0000-0000B4840000}"/>
    <cellStyle name="Note 3 2 5 2 5 2" xfId="33930" xr:uid="{00000000-0005-0000-0000-0000B5840000}"/>
    <cellStyle name="Note 3 2 5 2 5 3" xfId="33931" xr:uid="{00000000-0005-0000-0000-0000B6840000}"/>
    <cellStyle name="Note 3 2 5 2 6" xfId="33932" xr:uid="{00000000-0005-0000-0000-0000B7840000}"/>
    <cellStyle name="Note 3 2 5 2 7" xfId="33933" xr:uid="{00000000-0005-0000-0000-0000B8840000}"/>
    <cellStyle name="Note 3 2 5 2 8" xfId="33934" xr:uid="{00000000-0005-0000-0000-0000B9840000}"/>
    <cellStyle name="Note 3 2 5 3" xfId="33935" xr:uid="{00000000-0005-0000-0000-0000BA840000}"/>
    <cellStyle name="Note 3 2 5 3 2" xfId="33936" xr:uid="{00000000-0005-0000-0000-0000BB840000}"/>
    <cellStyle name="Note 3 2 5 3 2 2" xfId="33937" xr:uid="{00000000-0005-0000-0000-0000BC840000}"/>
    <cellStyle name="Note 3 2 5 3 2 2 2" xfId="33938" xr:uid="{00000000-0005-0000-0000-0000BD840000}"/>
    <cellStyle name="Note 3 2 5 3 2 2 2 2" xfId="33939" xr:uid="{00000000-0005-0000-0000-0000BE840000}"/>
    <cellStyle name="Note 3 2 5 3 2 2 2 3" xfId="33940" xr:uid="{00000000-0005-0000-0000-0000BF840000}"/>
    <cellStyle name="Note 3 2 5 3 2 2 3" xfId="33941" xr:uid="{00000000-0005-0000-0000-0000C0840000}"/>
    <cellStyle name="Note 3 2 5 3 2 2 4" xfId="33942" xr:uid="{00000000-0005-0000-0000-0000C1840000}"/>
    <cellStyle name="Note 3 2 5 3 2 3" xfId="33943" xr:uid="{00000000-0005-0000-0000-0000C2840000}"/>
    <cellStyle name="Note 3 2 5 3 2 3 2" xfId="33944" xr:uid="{00000000-0005-0000-0000-0000C3840000}"/>
    <cellStyle name="Note 3 2 5 3 2 3 3" xfId="33945" xr:uid="{00000000-0005-0000-0000-0000C4840000}"/>
    <cellStyle name="Note 3 2 5 3 2 4" xfId="33946" xr:uid="{00000000-0005-0000-0000-0000C5840000}"/>
    <cellStyle name="Note 3 2 5 3 2 5" xfId="33947" xr:uid="{00000000-0005-0000-0000-0000C6840000}"/>
    <cellStyle name="Note 3 2 5 3 2 6" xfId="33948" xr:uid="{00000000-0005-0000-0000-0000C7840000}"/>
    <cellStyle name="Note 3 2 5 3 3" xfId="33949" xr:uid="{00000000-0005-0000-0000-0000C8840000}"/>
    <cellStyle name="Note 3 2 5 3 3 2" xfId="33950" xr:uid="{00000000-0005-0000-0000-0000C9840000}"/>
    <cellStyle name="Note 3 2 5 3 3 2 2" xfId="33951" xr:uid="{00000000-0005-0000-0000-0000CA840000}"/>
    <cellStyle name="Note 3 2 5 3 3 2 3" xfId="33952" xr:uid="{00000000-0005-0000-0000-0000CB840000}"/>
    <cellStyle name="Note 3 2 5 3 3 3" xfId="33953" xr:uid="{00000000-0005-0000-0000-0000CC840000}"/>
    <cellStyle name="Note 3 2 5 3 3 4" xfId="33954" xr:uid="{00000000-0005-0000-0000-0000CD840000}"/>
    <cellStyle name="Note 3 2 5 3 4" xfId="33955" xr:uid="{00000000-0005-0000-0000-0000CE840000}"/>
    <cellStyle name="Note 3 2 5 3 4 2" xfId="33956" xr:uid="{00000000-0005-0000-0000-0000CF840000}"/>
    <cellStyle name="Note 3 2 5 3 4 3" xfId="33957" xr:uid="{00000000-0005-0000-0000-0000D0840000}"/>
    <cellStyle name="Note 3 2 5 3 5" xfId="33958" xr:uid="{00000000-0005-0000-0000-0000D1840000}"/>
    <cellStyle name="Note 3 2 5 3 6" xfId="33959" xr:uid="{00000000-0005-0000-0000-0000D2840000}"/>
    <cellStyle name="Note 3 2 5 3 7" xfId="33960" xr:uid="{00000000-0005-0000-0000-0000D3840000}"/>
    <cellStyle name="Note 3 2 5 4" xfId="33961" xr:uid="{00000000-0005-0000-0000-0000D4840000}"/>
    <cellStyle name="Note 3 2 5 4 2" xfId="33962" xr:uid="{00000000-0005-0000-0000-0000D5840000}"/>
    <cellStyle name="Note 3 2 5 4 2 2" xfId="33963" xr:uid="{00000000-0005-0000-0000-0000D6840000}"/>
    <cellStyle name="Note 3 2 5 4 2 2 2" xfId="33964" xr:uid="{00000000-0005-0000-0000-0000D7840000}"/>
    <cellStyle name="Note 3 2 5 4 2 2 3" xfId="33965" xr:uid="{00000000-0005-0000-0000-0000D8840000}"/>
    <cellStyle name="Note 3 2 5 4 2 3" xfId="33966" xr:uid="{00000000-0005-0000-0000-0000D9840000}"/>
    <cellStyle name="Note 3 2 5 4 2 4" xfId="33967" xr:uid="{00000000-0005-0000-0000-0000DA840000}"/>
    <cellStyle name="Note 3 2 5 4 3" xfId="33968" xr:uid="{00000000-0005-0000-0000-0000DB840000}"/>
    <cellStyle name="Note 3 2 5 4 3 2" xfId="33969" xr:uid="{00000000-0005-0000-0000-0000DC840000}"/>
    <cellStyle name="Note 3 2 5 4 3 3" xfId="33970" xr:uid="{00000000-0005-0000-0000-0000DD840000}"/>
    <cellStyle name="Note 3 2 5 4 4" xfId="33971" xr:uid="{00000000-0005-0000-0000-0000DE840000}"/>
    <cellStyle name="Note 3 2 5 4 5" xfId="33972" xr:uid="{00000000-0005-0000-0000-0000DF840000}"/>
    <cellStyle name="Note 3 2 5 4 6" xfId="33973" xr:uid="{00000000-0005-0000-0000-0000E0840000}"/>
    <cellStyle name="Note 3 2 5 5" xfId="33974" xr:uid="{00000000-0005-0000-0000-0000E1840000}"/>
    <cellStyle name="Note 3 2 5 5 2" xfId="33975" xr:uid="{00000000-0005-0000-0000-0000E2840000}"/>
    <cellStyle name="Note 3 2 5 5 2 2" xfId="33976" xr:uid="{00000000-0005-0000-0000-0000E3840000}"/>
    <cellStyle name="Note 3 2 5 5 2 3" xfId="33977" xr:uid="{00000000-0005-0000-0000-0000E4840000}"/>
    <cellStyle name="Note 3 2 5 5 3" xfId="33978" xr:uid="{00000000-0005-0000-0000-0000E5840000}"/>
    <cellStyle name="Note 3 2 5 5 4" xfId="33979" xr:uid="{00000000-0005-0000-0000-0000E6840000}"/>
    <cellStyle name="Note 3 2 5 6" xfId="33980" xr:uid="{00000000-0005-0000-0000-0000E7840000}"/>
    <cellStyle name="Note 3 2 5 6 2" xfId="33981" xr:uid="{00000000-0005-0000-0000-0000E8840000}"/>
    <cellStyle name="Note 3 2 5 6 3" xfId="33982" xr:uid="{00000000-0005-0000-0000-0000E9840000}"/>
    <cellStyle name="Note 3 2 5 7" xfId="33983" xr:uid="{00000000-0005-0000-0000-0000EA840000}"/>
    <cellStyle name="Note 3 2 5 8" xfId="33984" xr:uid="{00000000-0005-0000-0000-0000EB840000}"/>
    <cellStyle name="Note 3 2 5 9" xfId="33985" xr:uid="{00000000-0005-0000-0000-0000EC840000}"/>
    <cellStyle name="Note 3 2 6" xfId="33986" xr:uid="{00000000-0005-0000-0000-0000ED840000}"/>
    <cellStyle name="Note 3 2 6 2" xfId="33987" xr:uid="{00000000-0005-0000-0000-0000EE840000}"/>
    <cellStyle name="Note 3 2 6 2 2" xfId="33988" xr:uid="{00000000-0005-0000-0000-0000EF840000}"/>
    <cellStyle name="Note 3 2 6 2 2 2" xfId="33989" xr:uid="{00000000-0005-0000-0000-0000F0840000}"/>
    <cellStyle name="Note 3 2 6 2 2 2 2" xfId="33990" xr:uid="{00000000-0005-0000-0000-0000F1840000}"/>
    <cellStyle name="Note 3 2 6 2 2 2 2 2" xfId="33991" xr:uid="{00000000-0005-0000-0000-0000F2840000}"/>
    <cellStyle name="Note 3 2 6 2 2 2 2 3" xfId="33992" xr:uid="{00000000-0005-0000-0000-0000F3840000}"/>
    <cellStyle name="Note 3 2 6 2 2 2 3" xfId="33993" xr:uid="{00000000-0005-0000-0000-0000F4840000}"/>
    <cellStyle name="Note 3 2 6 2 2 2 4" xfId="33994" xr:uid="{00000000-0005-0000-0000-0000F5840000}"/>
    <cellStyle name="Note 3 2 6 2 2 3" xfId="33995" xr:uid="{00000000-0005-0000-0000-0000F6840000}"/>
    <cellStyle name="Note 3 2 6 2 2 3 2" xfId="33996" xr:uid="{00000000-0005-0000-0000-0000F7840000}"/>
    <cellStyle name="Note 3 2 6 2 2 3 3" xfId="33997" xr:uid="{00000000-0005-0000-0000-0000F8840000}"/>
    <cellStyle name="Note 3 2 6 2 2 4" xfId="33998" xr:uid="{00000000-0005-0000-0000-0000F9840000}"/>
    <cellStyle name="Note 3 2 6 2 2 5" xfId="33999" xr:uid="{00000000-0005-0000-0000-0000FA840000}"/>
    <cellStyle name="Note 3 2 6 2 2 6" xfId="34000" xr:uid="{00000000-0005-0000-0000-0000FB840000}"/>
    <cellStyle name="Note 3 2 6 2 3" xfId="34001" xr:uid="{00000000-0005-0000-0000-0000FC840000}"/>
    <cellStyle name="Note 3 2 6 2 3 2" xfId="34002" xr:uid="{00000000-0005-0000-0000-0000FD840000}"/>
    <cellStyle name="Note 3 2 6 2 3 2 2" xfId="34003" xr:uid="{00000000-0005-0000-0000-0000FE840000}"/>
    <cellStyle name="Note 3 2 6 2 3 2 3" xfId="34004" xr:uid="{00000000-0005-0000-0000-0000FF840000}"/>
    <cellStyle name="Note 3 2 6 2 3 3" xfId="34005" xr:uid="{00000000-0005-0000-0000-000000850000}"/>
    <cellStyle name="Note 3 2 6 2 3 4" xfId="34006" xr:uid="{00000000-0005-0000-0000-000001850000}"/>
    <cellStyle name="Note 3 2 6 2 4" xfId="34007" xr:uid="{00000000-0005-0000-0000-000002850000}"/>
    <cellStyle name="Note 3 2 6 2 4 2" xfId="34008" xr:uid="{00000000-0005-0000-0000-000003850000}"/>
    <cellStyle name="Note 3 2 6 2 4 3" xfId="34009" xr:uid="{00000000-0005-0000-0000-000004850000}"/>
    <cellStyle name="Note 3 2 6 2 5" xfId="34010" xr:uid="{00000000-0005-0000-0000-000005850000}"/>
    <cellStyle name="Note 3 2 6 2 6" xfId="34011" xr:uid="{00000000-0005-0000-0000-000006850000}"/>
    <cellStyle name="Note 3 2 6 2 7" xfId="34012" xr:uid="{00000000-0005-0000-0000-000007850000}"/>
    <cellStyle name="Note 3 2 6 3" xfId="34013" xr:uid="{00000000-0005-0000-0000-000008850000}"/>
    <cellStyle name="Note 3 2 6 3 2" xfId="34014" xr:uid="{00000000-0005-0000-0000-000009850000}"/>
    <cellStyle name="Note 3 2 6 3 2 2" xfId="34015" xr:uid="{00000000-0005-0000-0000-00000A850000}"/>
    <cellStyle name="Note 3 2 6 3 2 2 2" xfId="34016" xr:uid="{00000000-0005-0000-0000-00000B850000}"/>
    <cellStyle name="Note 3 2 6 3 2 2 3" xfId="34017" xr:uid="{00000000-0005-0000-0000-00000C850000}"/>
    <cellStyle name="Note 3 2 6 3 2 3" xfId="34018" xr:uid="{00000000-0005-0000-0000-00000D850000}"/>
    <cellStyle name="Note 3 2 6 3 2 4" xfId="34019" xr:uid="{00000000-0005-0000-0000-00000E850000}"/>
    <cellStyle name="Note 3 2 6 3 3" xfId="34020" xr:uid="{00000000-0005-0000-0000-00000F850000}"/>
    <cellStyle name="Note 3 2 6 3 3 2" xfId="34021" xr:uid="{00000000-0005-0000-0000-000010850000}"/>
    <cellStyle name="Note 3 2 6 3 3 3" xfId="34022" xr:uid="{00000000-0005-0000-0000-000011850000}"/>
    <cellStyle name="Note 3 2 6 3 4" xfId="34023" xr:uid="{00000000-0005-0000-0000-000012850000}"/>
    <cellStyle name="Note 3 2 6 3 5" xfId="34024" xr:uid="{00000000-0005-0000-0000-000013850000}"/>
    <cellStyle name="Note 3 2 6 3 6" xfId="34025" xr:uid="{00000000-0005-0000-0000-000014850000}"/>
    <cellStyle name="Note 3 2 6 4" xfId="34026" xr:uid="{00000000-0005-0000-0000-000015850000}"/>
    <cellStyle name="Note 3 2 6 4 2" xfId="34027" xr:uid="{00000000-0005-0000-0000-000016850000}"/>
    <cellStyle name="Note 3 2 6 4 2 2" xfId="34028" xr:uid="{00000000-0005-0000-0000-000017850000}"/>
    <cellStyle name="Note 3 2 6 4 2 3" xfId="34029" xr:uid="{00000000-0005-0000-0000-000018850000}"/>
    <cellStyle name="Note 3 2 6 4 3" xfId="34030" xr:uid="{00000000-0005-0000-0000-000019850000}"/>
    <cellStyle name="Note 3 2 6 4 4" xfId="34031" xr:uid="{00000000-0005-0000-0000-00001A850000}"/>
    <cellStyle name="Note 3 2 6 5" xfId="34032" xr:uid="{00000000-0005-0000-0000-00001B850000}"/>
    <cellStyle name="Note 3 2 6 5 2" xfId="34033" xr:uid="{00000000-0005-0000-0000-00001C850000}"/>
    <cellStyle name="Note 3 2 6 5 3" xfId="34034" xr:uid="{00000000-0005-0000-0000-00001D850000}"/>
    <cellStyle name="Note 3 2 6 6" xfId="34035" xr:uid="{00000000-0005-0000-0000-00001E850000}"/>
    <cellStyle name="Note 3 2 6 7" xfId="34036" xr:uid="{00000000-0005-0000-0000-00001F850000}"/>
    <cellStyle name="Note 3 2 6 8" xfId="34037" xr:uid="{00000000-0005-0000-0000-000020850000}"/>
    <cellStyle name="Note 3 2 7" xfId="34038" xr:uid="{00000000-0005-0000-0000-000021850000}"/>
    <cellStyle name="Note 3 2 7 2" xfId="34039" xr:uid="{00000000-0005-0000-0000-000022850000}"/>
    <cellStyle name="Note 3 2 7 2 2" xfId="34040" xr:uid="{00000000-0005-0000-0000-000023850000}"/>
    <cellStyle name="Note 3 2 7 2 2 2" xfId="34041" xr:uid="{00000000-0005-0000-0000-000024850000}"/>
    <cellStyle name="Note 3 2 7 2 2 2 2" xfId="34042" xr:uid="{00000000-0005-0000-0000-000025850000}"/>
    <cellStyle name="Note 3 2 7 2 2 2 2 2" xfId="34043" xr:uid="{00000000-0005-0000-0000-000026850000}"/>
    <cellStyle name="Note 3 2 7 2 2 2 2 3" xfId="34044" xr:uid="{00000000-0005-0000-0000-000027850000}"/>
    <cellStyle name="Note 3 2 7 2 2 2 3" xfId="34045" xr:uid="{00000000-0005-0000-0000-000028850000}"/>
    <cellStyle name="Note 3 2 7 2 2 2 4" xfId="34046" xr:uid="{00000000-0005-0000-0000-000029850000}"/>
    <cellStyle name="Note 3 2 7 2 2 3" xfId="34047" xr:uid="{00000000-0005-0000-0000-00002A850000}"/>
    <cellStyle name="Note 3 2 7 2 2 3 2" xfId="34048" xr:uid="{00000000-0005-0000-0000-00002B850000}"/>
    <cellStyle name="Note 3 2 7 2 2 3 3" xfId="34049" xr:uid="{00000000-0005-0000-0000-00002C850000}"/>
    <cellStyle name="Note 3 2 7 2 2 4" xfId="34050" xr:uid="{00000000-0005-0000-0000-00002D850000}"/>
    <cellStyle name="Note 3 2 7 2 2 5" xfId="34051" xr:uid="{00000000-0005-0000-0000-00002E850000}"/>
    <cellStyle name="Note 3 2 7 2 2 6" xfId="34052" xr:uid="{00000000-0005-0000-0000-00002F850000}"/>
    <cellStyle name="Note 3 2 7 2 3" xfId="34053" xr:uid="{00000000-0005-0000-0000-000030850000}"/>
    <cellStyle name="Note 3 2 7 2 3 2" xfId="34054" xr:uid="{00000000-0005-0000-0000-000031850000}"/>
    <cellStyle name="Note 3 2 7 2 3 2 2" xfId="34055" xr:uid="{00000000-0005-0000-0000-000032850000}"/>
    <cellStyle name="Note 3 2 7 2 3 2 3" xfId="34056" xr:uid="{00000000-0005-0000-0000-000033850000}"/>
    <cellStyle name="Note 3 2 7 2 3 3" xfId="34057" xr:uid="{00000000-0005-0000-0000-000034850000}"/>
    <cellStyle name="Note 3 2 7 2 3 4" xfId="34058" xr:uid="{00000000-0005-0000-0000-000035850000}"/>
    <cellStyle name="Note 3 2 7 2 4" xfId="34059" xr:uid="{00000000-0005-0000-0000-000036850000}"/>
    <cellStyle name="Note 3 2 7 2 4 2" xfId="34060" xr:uid="{00000000-0005-0000-0000-000037850000}"/>
    <cellStyle name="Note 3 2 7 2 4 3" xfId="34061" xr:uid="{00000000-0005-0000-0000-000038850000}"/>
    <cellStyle name="Note 3 2 7 2 5" xfId="34062" xr:uid="{00000000-0005-0000-0000-000039850000}"/>
    <cellStyle name="Note 3 2 7 2 6" xfId="34063" xr:uid="{00000000-0005-0000-0000-00003A850000}"/>
    <cellStyle name="Note 3 2 7 2 7" xfId="34064" xr:uid="{00000000-0005-0000-0000-00003B850000}"/>
    <cellStyle name="Note 3 2 7 3" xfId="34065" xr:uid="{00000000-0005-0000-0000-00003C850000}"/>
    <cellStyle name="Note 3 2 7 3 2" xfId="34066" xr:uid="{00000000-0005-0000-0000-00003D850000}"/>
    <cellStyle name="Note 3 2 7 3 2 2" xfId="34067" xr:uid="{00000000-0005-0000-0000-00003E850000}"/>
    <cellStyle name="Note 3 2 7 3 2 2 2" xfId="34068" xr:uid="{00000000-0005-0000-0000-00003F850000}"/>
    <cellStyle name="Note 3 2 7 3 2 2 3" xfId="34069" xr:uid="{00000000-0005-0000-0000-000040850000}"/>
    <cellStyle name="Note 3 2 7 3 2 3" xfId="34070" xr:uid="{00000000-0005-0000-0000-000041850000}"/>
    <cellStyle name="Note 3 2 7 3 2 4" xfId="34071" xr:uid="{00000000-0005-0000-0000-000042850000}"/>
    <cellStyle name="Note 3 2 7 3 3" xfId="34072" xr:uid="{00000000-0005-0000-0000-000043850000}"/>
    <cellStyle name="Note 3 2 7 3 3 2" xfId="34073" xr:uid="{00000000-0005-0000-0000-000044850000}"/>
    <cellStyle name="Note 3 2 7 3 3 3" xfId="34074" xr:uid="{00000000-0005-0000-0000-000045850000}"/>
    <cellStyle name="Note 3 2 7 3 4" xfId="34075" xr:uid="{00000000-0005-0000-0000-000046850000}"/>
    <cellStyle name="Note 3 2 7 3 5" xfId="34076" xr:uid="{00000000-0005-0000-0000-000047850000}"/>
    <cellStyle name="Note 3 2 7 3 6" xfId="34077" xr:uid="{00000000-0005-0000-0000-000048850000}"/>
    <cellStyle name="Note 3 2 7 4" xfId="34078" xr:uid="{00000000-0005-0000-0000-000049850000}"/>
    <cellStyle name="Note 3 2 7 4 2" xfId="34079" xr:uid="{00000000-0005-0000-0000-00004A850000}"/>
    <cellStyle name="Note 3 2 7 4 2 2" xfId="34080" xr:uid="{00000000-0005-0000-0000-00004B850000}"/>
    <cellStyle name="Note 3 2 7 4 2 3" xfId="34081" xr:uid="{00000000-0005-0000-0000-00004C850000}"/>
    <cellStyle name="Note 3 2 7 4 3" xfId="34082" xr:uid="{00000000-0005-0000-0000-00004D850000}"/>
    <cellStyle name="Note 3 2 7 4 4" xfId="34083" xr:uid="{00000000-0005-0000-0000-00004E850000}"/>
    <cellStyle name="Note 3 2 7 5" xfId="34084" xr:uid="{00000000-0005-0000-0000-00004F850000}"/>
    <cellStyle name="Note 3 2 7 5 2" xfId="34085" xr:uid="{00000000-0005-0000-0000-000050850000}"/>
    <cellStyle name="Note 3 2 7 5 3" xfId="34086" xr:uid="{00000000-0005-0000-0000-000051850000}"/>
    <cellStyle name="Note 3 2 7 6" xfId="34087" xr:uid="{00000000-0005-0000-0000-000052850000}"/>
    <cellStyle name="Note 3 2 7 7" xfId="34088" xr:uid="{00000000-0005-0000-0000-000053850000}"/>
    <cellStyle name="Note 3 2 7 8" xfId="34089" xr:uid="{00000000-0005-0000-0000-000054850000}"/>
    <cellStyle name="Note 3 2 8" xfId="34090" xr:uid="{00000000-0005-0000-0000-000055850000}"/>
    <cellStyle name="Note 3 2 8 2" xfId="34091" xr:uid="{00000000-0005-0000-0000-000056850000}"/>
    <cellStyle name="Note 3 2 8 2 2" xfId="34092" xr:uid="{00000000-0005-0000-0000-000057850000}"/>
    <cellStyle name="Note 3 2 8 2 2 2" xfId="34093" xr:uid="{00000000-0005-0000-0000-000058850000}"/>
    <cellStyle name="Note 3 2 8 2 2 2 2" xfId="34094" xr:uid="{00000000-0005-0000-0000-000059850000}"/>
    <cellStyle name="Note 3 2 8 2 2 2 3" xfId="34095" xr:uid="{00000000-0005-0000-0000-00005A850000}"/>
    <cellStyle name="Note 3 2 8 2 2 3" xfId="34096" xr:uid="{00000000-0005-0000-0000-00005B850000}"/>
    <cellStyle name="Note 3 2 8 2 2 4" xfId="34097" xr:uid="{00000000-0005-0000-0000-00005C850000}"/>
    <cellStyle name="Note 3 2 8 2 3" xfId="34098" xr:uid="{00000000-0005-0000-0000-00005D850000}"/>
    <cellStyle name="Note 3 2 8 2 3 2" xfId="34099" xr:uid="{00000000-0005-0000-0000-00005E850000}"/>
    <cellStyle name="Note 3 2 8 2 3 3" xfId="34100" xr:uid="{00000000-0005-0000-0000-00005F850000}"/>
    <cellStyle name="Note 3 2 8 2 4" xfId="34101" xr:uid="{00000000-0005-0000-0000-000060850000}"/>
    <cellStyle name="Note 3 2 8 2 5" xfId="34102" xr:uid="{00000000-0005-0000-0000-000061850000}"/>
    <cellStyle name="Note 3 2 8 2 6" xfId="34103" xr:uid="{00000000-0005-0000-0000-000062850000}"/>
    <cellStyle name="Note 3 2 8 3" xfId="34104" xr:uid="{00000000-0005-0000-0000-000063850000}"/>
    <cellStyle name="Note 3 2 8 3 2" xfId="34105" xr:uid="{00000000-0005-0000-0000-000064850000}"/>
    <cellStyle name="Note 3 2 8 3 2 2" xfId="34106" xr:uid="{00000000-0005-0000-0000-000065850000}"/>
    <cellStyle name="Note 3 2 8 3 2 3" xfId="34107" xr:uid="{00000000-0005-0000-0000-000066850000}"/>
    <cellStyle name="Note 3 2 8 3 3" xfId="34108" xr:uid="{00000000-0005-0000-0000-000067850000}"/>
    <cellStyle name="Note 3 2 8 3 4" xfId="34109" xr:uid="{00000000-0005-0000-0000-000068850000}"/>
    <cellStyle name="Note 3 2 8 4" xfId="34110" xr:uid="{00000000-0005-0000-0000-000069850000}"/>
    <cellStyle name="Note 3 2 8 4 2" xfId="34111" xr:uid="{00000000-0005-0000-0000-00006A850000}"/>
    <cellStyle name="Note 3 2 8 4 3" xfId="34112" xr:uid="{00000000-0005-0000-0000-00006B850000}"/>
    <cellStyle name="Note 3 2 8 5" xfId="34113" xr:uid="{00000000-0005-0000-0000-00006C850000}"/>
    <cellStyle name="Note 3 2 8 6" xfId="34114" xr:uid="{00000000-0005-0000-0000-00006D850000}"/>
    <cellStyle name="Note 3 2 8 7" xfId="34115" xr:uid="{00000000-0005-0000-0000-00006E850000}"/>
    <cellStyle name="Note 3 2 9" xfId="34116" xr:uid="{00000000-0005-0000-0000-00006F850000}"/>
    <cellStyle name="Note 3 2 9 2" xfId="34117" xr:uid="{00000000-0005-0000-0000-000070850000}"/>
    <cellStyle name="Note 3 2 9 2 2" xfId="34118" xr:uid="{00000000-0005-0000-0000-000071850000}"/>
    <cellStyle name="Note 3 2 9 2 2 2" xfId="34119" xr:uid="{00000000-0005-0000-0000-000072850000}"/>
    <cellStyle name="Note 3 2 9 2 2 3" xfId="34120" xr:uid="{00000000-0005-0000-0000-000073850000}"/>
    <cellStyle name="Note 3 2 9 2 3" xfId="34121" xr:uid="{00000000-0005-0000-0000-000074850000}"/>
    <cellStyle name="Note 3 2 9 2 4" xfId="34122" xr:uid="{00000000-0005-0000-0000-000075850000}"/>
    <cellStyle name="Note 3 2 9 3" xfId="34123" xr:uid="{00000000-0005-0000-0000-000076850000}"/>
    <cellStyle name="Note 3 2 9 3 2" xfId="34124" xr:uid="{00000000-0005-0000-0000-000077850000}"/>
    <cellStyle name="Note 3 2 9 3 3" xfId="34125" xr:uid="{00000000-0005-0000-0000-000078850000}"/>
    <cellStyle name="Note 3 2 9 4" xfId="34126" xr:uid="{00000000-0005-0000-0000-000079850000}"/>
    <cellStyle name="Note 3 2 9 5" xfId="34127" xr:uid="{00000000-0005-0000-0000-00007A850000}"/>
    <cellStyle name="Note 3 2 9 6" xfId="34128" xr:uid="{00000000-0005-0000-0000-00007B850000}"/>
    <cellStyle name="Note 3 3" xfId="34129" xr:uid="{00000000-0005-0000-0000-00007C850000}"/>
    <cellStyle name="Note 3 3 10" xfId="34130" xr:uid="{00000000-0005-0000-0000-00007D850000}"/>
    <cellStyle name="Note 3 3 11" xfId="34131" xr:uid="{00000000-0005-0000-0000-00007E850000}"/>
    <cellStyle name="Note 3 3 2" xfId="34132" xr:uid="{00000000-0005-0000-0000-00007F850000}"/>
    <cellStyle name="Note 3 3 2 10" xfId="34133" xr:uid="{00000000-0005-0000-0000-000080850000}"/>
    <cellStyle name="Note 3 3 2 2" xfId="34134" xr:uid="{00000000-0005-0000-0000-000081850000}"/>
    <cellStyle name="Note 3 3 2 2 2" xfId="34135" xr:uid="{00000000-0005-0000-0000-000082850000}"/>
    <cellStyle name="Note 3 3 2 2 2 2" xfId="34136" xr:uid="{00000000-0005-0000-0000-000083850000}"/>
    <cellStyle name="Note 3 3 2 2 2 2 2" xfId="34137" xr:uid="{00000000-0005-0000-0000-000084850000}"/>
    <cellStyle name="Note 3 3 2 2 2 2 2 2" xfId="34138" xr:uid="{00000000-0005-0000-0000-000085850000}"/>
    <cellStyle name="Note 3 3 2 2 2 2 2 2 2" xfId="34139" xr:uid="{00000000-0005-0000-0000-000086850000}"/>
    <cellStyle name="Note 3 3 2 2 2 2 2 2 2 2" xfId="34140" xr:uid="{00000000-0005-0000-0000-000087850000}"/>
    <cellStyle name="Note 3 3 2 2 2 2 2 2 2 3" xfId="34141" xr:uid="{00000000-0005-0000-0000-000088850000}"/>
    <cellStyle name="Note 3 3 2 2 2 2 2 2 3" xfId="34142" xr:uid="{00000000-0005-0000-0000-000089850000}"/>
    <cellStyle name="Note 3 3 2 2 2 2 2 2 4" xfId="34143" xr:uid="{00000000-0005-0000-0000-00008A850000}"/>
    <cellStyle name="Note 3 3 2 2 2 2 2 3" xfId="34144" xr:uid="{00000000-0005-0000-0000-00008B850000}"/>
    <cellStyle name="Note 3 3 2 2 2 2 2 3 2" xfId="34145" xr:uid="{00000000-0005-0000-0000-00008C850000}"/>
    <cellStyle name="Note 3 3 2 2 2 2 2 3 3" xfId="34146" xr:uid="{00000000-0005-0000-0000-00008D850000}"/>
    <cellStyle name="Note 3 3 2 2 2 2 2 4" xfId="34147" xr:uid="{00000000-0005-0000-0000-00008E850000}"/>
    <cellStyle name="Note 3 3 2 2 2 2 2 5" xfId="34148" xr:uid="{00000000-0005-0000-0000-00008F850000}"/>
    <cellStyle name="Note 3 3 2 2 2 2 2 6" xfId="34149" xr:uid="{00000000-0005-0000-0000-000090850000}"/>
    <cellStyle name="Note 3 3 2 2 2 2 3" xfId="34150" xr:uid="{00000000-0005-0000-0000-000091850000}"/>
    <cellStyle name="Note 3 3 2 2 2 2 3 2" xfId="34151" xr:uid="{00000000-0005-0000-0000-000092850000}"/>
    <cellStyle name="Note 3 3 2 2 2 2 3 2 2" xfId="34152" xr:uid="{00000000-0005-0000-0000-000093850000}"/>
    <cellStyle name="Note 3 3 2 2 2 2 3 2 3" xfId="34153" xr:uid="{00000000-0005-0000-0000-000094850000}"/>
    <cellStyle name="Note 3 3 2 2 2 2 3 3" xfId="34154" xr:uid="{00000000-0005-0000-0000-000095850000}"/>
    <cellStyle name="Note 3 3 2 2 2 2 3 4" xfId="34155" xr:uid="{00000000-0005-0000-0000-000096850000}"/>
    <cellStyle name="Note 3 3 2 2 2 2 4" xfId="34156" xr:uid="{00000000-0005-0000-0000-000097850000}"/>
    <cellStyle name="Note 3 3 2 2 2 2 4 2" xfId="34157" xr:uid="{00000000-0005-0000-0000-000098850000}"/>
    <cellStyle name="Note 3 3 2 2 2 2 4 3" xfId="34158" xr:uid="{00000000-0005-0000-0000-000099850000}"/>
    <cellStyle name="Note 3 3 2 2 2 2 5" xfId="34159" xr:uid="{00000000-0005-0000-0000-00009A850000}"/>
    <cellStyle name="Note 3 3 2 2 2 2 6" xfId="34160" xr:uid="{00000000-0005-0000-0000-00009B850000}"/>
    <cellStyle name="Note 3 3 2 2 2 2 7" xfId="34161" xr:uid="{00000000-0005-0000-0000-00009C850000}"/>
    <cellStyle name="Note 3 3 2 2 2 3" xfId="34162" xr:uid="{00000000-0005-0000-0000-00009D850000}"/>
    <cellStyle name="Note 3 3 2 2 2 3 2" xfId="34163" xr:uid="{00000000-0005-0000-0000-00009E850000}"/>
    <cellStyle name="Note 3 3 2 2 2 3 2 2" xfId="34164" xr:uid="{00000000-0005-0000-0000-00009F850000}"/>
    <cellStyle name="Note 3 3 2 2 2 3 2 2 2" xfId="34165" xr:uid="{00000000-0005-0000-0000-0000A0850000}"/>
    <cellStyle name="Note 3 3 2 2 2 3 2 2 3" xfId="34166" xr:uid="{00000000-0005-0000-0000-0000A1850000}"/>
    <cellStyle name="Note 3 3 2 2 2 3 2 3" xfId="34167" xr:uid="{00000000-0005-0000-0000-0000A2850000}"/>
    <cellStyle name="Note 3 3 2 2 2 3 2 4" xfId="34168" xr:uid="{00000000-0005-0000-0000-0000A3850000}"/>
    <cellStyle name="Note 3 3 2 2 2 3 3" xfId="34169" xr:uid="{00000000-0005-0000-0000-0000A4850000}"/>
    <cellStyle name="Note 3 3 2 2 2 3 3 2" xfId="34170" xr:uid="{00000000-0005-0000-0000-0000A5850000}"/>
    <cellStyle name="Note 3 3 2 2 2 3 3 3" xfId="34171" xr:uid="{00000000-0005-0000-0000-0000A6850000}"/>
    <cellStyle name="Note 3 3 2 2 2 3 4" xfId="34172" xr:uid="{00000000-0005-0000-0000-0000A7850000}"/>
    <cellStyle name="Note 3 3 2 2 2 3 5" xfId="34173" xr:uid="{00000000-0005-0000-0000-0000A8850000}"/>
    <cellStyle name="Note 3 3 2 2 2 3 6" xfId="34174" xr:uid="{00000000-0005-0000-0000-0000A9850000}"/>
    <cellStyle name="Note 3 3 2 2 2 4" xfId="34175" xr:uid="{00000000-0005-0000-0000-0000AA850000}"/>
    <cellStyle name="Note 3 3 2 2 2 4 2" xfId="34176" xr:uid="{00000000-0005-0000-0000-0000AB850000}"/>
    <cellStyle name="Note 3 3 2 2 2 4 2 2" xfId="34177" xr:uid="{00000000-0005-0000-0000-0000AC850000}"/>
    <cellStyle name="Note 3 3 2 2 2 4 2 3" xfId="34178" xr:uid="{00000000-0005-0000-0000-0000AD850000}"/>
    <cellStyle name="Note 3 3 2 2 2 4 3" xfId="34179" xr:uid="{00000000-0005-0000-0000-0000AE850000}"/>
    <cellStyle name="Note 3 3 2 2 2 4 4" xfId="34180" xr:uid="{00000000-0005-0000-0000-0000AF850000}"/>
    <cellStyle name="Note 3 3 2 2 2 5" xfId="34181" xr:uid="{00000000-0005-0000-0000-0000B0850000}"/>
    <cellStyle name="Note 3 3 2 2 2 5 2" xfId="34182" xr:uid="{00000000-0005-0000-0000-0000B1850000}"/>
    <cellStyle name="Note 3 3 2 2 2 5 3" xfId="34183" xr:uid="{00000000-0005-0000-0000-0000B2850000}"/>
    <cellStyle name="Note 3 3 2 2 2 6" xfId="34184" xr:uid="{00000000-0005-0000-0000-0000B3850000}"/>
    <cellStyle name="Note 3 3 2 2 2 7" xfId="34185" xr:uid="{00000000-0005-0000-0000-0000B4850000}"/>
    <cellStyle name="Note 3 3 2 2 2 8" xfId="34186" xr:uid="{00000000-0005-0000-0000-0000B5850000}"/>
    <cellStyle name="Note 3 3 2 2 3" xfId="34187" xr:uid="{00000000-0005-0000-0000-0000B6850000}"/>
    <cellStyle name="Note 3 3 2 2 3 2" xfId="34188" xr:uid="{00000000-0005-0000-0000-0000B7850000}"/>
    <cellStyle name="Note 3 3 2 2 3 2 2" xfId="34189" xr:uid="{00000000-0005-0000-0000-0000B8850000}"/>
    <cellStyle name="Note 3 3 2 2 3 2 2 2" xfId="34190" xr:uid="{00000000-0005-0000-0000-0000B9850000}"/>
    <cellStyle name="Note 3 3 2 2 3 2 2 2 2" xfId="34191" xr:uid="{00000000-0005-0000-0000-0000BA850000}"/>
    <cellStyle name="Note 3 3 2 2 3 2 2 2 3" xfId="34192" xr:uid="{00000000-0005-0000-0000-0000BB850000}"/>
    <cellStyle name="Note 3 3 2 2 3 2 2 3" xfId="34193" xr:uid="{00000000-0005-0000-0000-0000BC850000}"/>
    <cellStyle name="Note 3 3 2 2 3 2 2 4" xfId="34194" xr:uid="{00000000-0005-0000-0000-0000BD850000}"/>
    <cellStyle name="Note 3 3 2 2 3 2 3" xfId="34195" xr:uid="{00000000-0005-0000-0000-0000BE850000}"/>
    <cellStyle name="Note 3 3 2 2 3 2 3 2" xfId="34196" xr:uid="{00000000-0005-0000-0000-0000BF850000}"/>
    <cellStyle name="Note 3 3 2 2 3 2 3 3" xfId="34197" xr:uid="{00000000-0005-0000-0000-0000C0850000}"/>
    <cellStyle name="Note 3 3 2 2 3 2 4" xfId="34198" xr:uid="{00000000-0005-0000-0000-0000C1850000}"/>
    <cellStyle name="Note 3 3 2 2 3 2 5" xfId="34199" xr:uid="{00000000-0005-0000-0000-0000C2850000}"/>
    <cellStyle name="Note 3 3 2 2 3 2 6" xfId="34200" xr:uid="{00000000-0005-0000-0000-0000C3850000}"/>
    <cellStyle name="Note 3 3 2 2 3 3" xfId="34201" xr:uid="{00000000-0005-0000-0000-0000C4850000}"/>
    <cellStyle name="Note 3 3 2 2 3 3 2" xfId="34202" xr:uid="{00000000-0005-0000-0000-0000C5850000}"/>
    <cellStyle name="Note 3 3 2 2 3 3 2 2" xfId="34203" xr:uid="{00000000-0005-0000-0000-0000C6850000}"/>
    <cellStyle name="Note 3 3 2 2 3 3 2 3" xfId="34204" xr:uid="{00000000-0005-0000-0000-0000C7850000}"/>
    <cellStyle name="Note 3 3 2 2 3 3 3" xfId="34205" xr:uid="{00000000-0005-0000-0000-0000C8850000}"/>
    <cellStyle name="Note 3 3 2 2 3 3 4" xfId="34206" xr:uid="{00000000-0005-0000-0000-0000C9850000}"/>
    <cellStyle name="Note 3 3 2 2 3 4" xfId="34207" xr:uid="{00000000-0005-0000-0000-0000CA850000}"/>
    <cellStyle name="Note 3 3 2 2 3 4 2" xfId="34208" xr:uid="{00000000-0005-0000-0000-0000CB850000}"/>
    <cellStyle name="Note 3 3 2 2 3 4 3" xfId="34209" xr:uid="{00000000-0005-0000-0000-0000CC850000}"/>
    <cellStyle name="Note 3 3 2 2 3 5" xfId="34210" xr:uid="{00000000-0005-0000-0000-0000CD850000}"/>
    <cellStyle name="Note 3 3 2 2 3 6" xfId="34211" xr:uid="{00000000-0005-0000-0000-0000CE850000}"/>
    <cellStyle name="Note 3 3 2 2 3 7" xfId="34212" xr:uid="{00000000-0005-0000-0000-0000CF850000}"/>
    <cellStyle name="Note 3 3 2 2 4" xfId="34213" xr:uid="{00000000-0005-0000-0000-0000D0850000}"/>
    <cellStyle name="Note 3 3 2 2 4 2" xfId="34214" xr:uid="{00000000-0005-0000-0000-0000D1850000}"/>
    <cellStyle name="Note 3 3 2 2 4 2 2" xfId="34215" xr:uid="{00000000-0005-0000-0000-0000D2850000}"/>
    <cellStyle name="Note 3 3 2 2 4 2 2 2" xfId="34216" xr:uid="{00000000-0005-0000-0000-0000D3850000}"/>
    <cellStyle name="Note 3 3 2 2 4 2 2 3" xfId="34217" xr:uid="{00000000-0005-0000-0000-0000D4850000}"/>
    <cellStyle name="Note 3 3 2 2 4 2 3" xfId="34218" xr:uid="{00000000-0005-0000-0000-0000D5850000}"/>
    <cellStyle name="Note 3 3 2 2 4 2 4" xfId="34219" xr:uid="{00000000-0005-0000-0000-0000D6850000}"/>
    <cellStyle name="Note 3 3 2 2 4 3" xfId="34220" xr:uid="{00000000-0005-0000-0000-0000D7850000}"/>
    <cellStyle name="Note 3 3 2 2 4 3 2" xfId="34221" xr:uid="{00000000-0005-0000-0000-0000D8850000}"/>
    <cellStyle name="Note 3 3 2 2 4 3 3" xfId="34222" xr:uid="{00000000-0005-0000-0000-0000D9850000}"/>
    <cellStyle name="Note 3 3 2 2 4 4" xfId="34223" xr:uid="{00000000-0005-0000-0000-0000DA850000}"/>
    <cellStyle name="Note 3 3 2 2 4 5" xfId="34224" xr:uid="{00000000-0005-0000-0000-0000DB850000}"/>
    <cellStyle name="Note 3 3 2 2 4 6" xfId="34225" xr:uid="{00000000-0005-0000-0000-0000DC850000}"/>
    <cellStyle name="Note 3 3 2 2 5" xfId="34226" xr:uid="{00000000-0005-0000-0000-0000DD850000}"/>
    <cellStyle name="Note 3 3 2 2 5 2" xfId="34227" xr:uid="{00000000-0005-0000-0000-0000DE850000}"/>
    <cellStyle name="Note 3 3 2 2 5 2 2" xfId="34228" xr:uid="{00000000-0005-0000-0000-0000DF850000}"/>
    <cellStyle name="Note 3 3 2 2 5 2 3" xfId="34229" xr:uid="{00000000-0005-0000-0000-0000E0850000}"/>
    <cellStyle name="Note 3 3 2 2 5 3" xfId="34230" xr:uid="{00000000-0005-0000-0000-0000E1850000}"/>
    <cellStyle name="Note 3 3 2 2 5 4" xfId="34231" xr:uid="{00000000-0005-0000-0000-0000E2850000}"/>
    <cellStyle name="Note 3 3 2 2 6" xfId="34232" xr:uid="{00000000-0005-0000-0000-0000E3850000}"/>
    <cellStyle name="Note 3 3 2 2 6 2" xfId="34233" xr:uid="{00000000-0005-0000-0000-0000E4850000}"/>
    <cellStyle name="Note 3 3 2 2 6 3" xfId="34234" xr:uid="{00000000-0005-0000-0000-0000E5850000}"/>
    <cellStyle name="Note 3 3 2 2 7" xfId="34235" xr:uid="{00000000-0005-0000-0000-0000E6850000}"/>
    <cellStyle name="Note 3 3 2 2 8" xfId="34236" xr:uid="{00000000-0005-0000-0000-0000E7850000}"/>
    <cellStyle name="Note 3 3 2 2 9" xfId="34237" xr:uid="{00000000-0005-0000-0000-0000E8850000}"/>
    <cellStyle name="Note 3 3 2 3" xfId="34238" xr:uid="{00000000-0005-0000-0000-0000E9850000}"/>
    <cellStyle name="Note 3 3 2 3 2" xfId="34239" xr:uid="{00000000-0005-0000-0000-0000EA850000}"/>
    <cellStyle name="Note 3 3 2 3 2 2" xfId="34240" xr:uid="{00000000-0005-0000-0000-0000EB850000}"/>
    <cellStyle name="Note 3 3 2 3 2 2 2" xfId="34241" xr:uid="{00000000-0005-0000-0000-0000EC850000}"/>
    <cellStyle name="Note 3 3 2 3 2 2 2 2" xfId="34242" xr:uid="{00000000-0005-0000-0000-0000ED850000}"/>
    <cellStyle name="Note 3 3 2 3 2 2 2 2 2" xfId="34243" xr:uid="{00000000-0005-0000-0000-0000EE850000}"/>
    <cellStyle name="Note 3 3 2 3 2 2 2 2 3" xfId="34244" xr:uid="{00000000-0005-0000-0000-0000EF850000}"/>
    <cellStyle name="Note 3 3 2 3 2 2 2 3" xfId="34245" xr:uid="{00000000-0005-0000-0000-0000F0850000}"/>
    <cellStyle name="Note 3 3 2 3 2 2 2 4" xfId="34246" xr:uid="{00000000-0005-0000-0000-0000F1850000}"/>
    <cellStyle name="Note 3 3 2 3 2 2 3" xfId="34247" xr:uid="{00000000-0005-0000-0000-0000F2850000}"/>
    <cellStyle name="Note 3 3 2 3 2 2 3 2" xfId="34248" xr:uid="{00000000-0005-0000-0000-0000F3850000}"/>
    <cellStyle name="Note 3 3 2 3 2 2 3 3" xfId="34249" xr:uid="{00000000-0005-0000-0000-0000F4850000}"/>
    <cellStyle name="Note 3 3 2 3 2 2 4" xfId="34250" xr:uid="{00000000-0005-0000-0000-0000F5850000}"/>
    <cellStyle name="Note 3 3 2 3 2 2 5" xfId="34251" xr:uid="{00000000-0005-0000-0000-0000F6850000}"/>
    <cellStyle name="Note 3 3 2 3 2 2 6" xfId="34252" xr:uid="{00000000-0005-0000-0000-0000F7850000}"/>
    <cellStyle name="Note 3 3 2 3 2 3" xfId="34253" xr:uid="{00000000-0005-0000-0000-0000F8850000}"/>
    <cellStyle name="Note 3 3 2 3 2 3 2" xfId="34254" xr:uid="{00000000-0005-0000-0000-0000F9850000}"/>
    <cellStyle name="Note 3 3 2 3 2 3 2 2" xfId="34255" xr:uid="{00000000-0005-0000-0000-0000FA850000}"/>
    <cellStyle name="Note 3 3 2 3 2 3 2 3" xfId="34256" xr:uid="{00000000-0005-0000-0000-0000FB850000}"/>
    <cellStyle name="Note 3 3 2 3 2 3 3" xfId="34257" xr:uid="{00000000-0005-0000-0000-0000FC850000}"/>
    <cellStyle name="Note 3 3 2 3 2 3 4" xfId="34258" xr:uid="{00000000-0005-0000-0000-0000FD850000}"/>
    <cellStyle name="Note 3 3 2 3 2 4" xfId="34259" xr:uid="{00000000-0005-0000-0000-0000FE850000}"/>
    <cellStyle name="Note 3 3 2 3 2 4 2" xfId="34260" xr:uid="{00000000-0005-0000-0000-0000FF850000}"/>
    <cellStyle name="Note 3 3 2 3 2 4 3" xfId="34261" xr:uid="{00000000-0005-0000-0000-000000860000}"/>
    <cellStyle name="Note 3 3 2 3 2 5" xfId="34262" xr:uid="{00000000-0005-0000-0000-000001860000}"/>
    <cellStyle name="Note 3 3 2 3 2 6" xfId="34263" xr:uid="{00000000-0005-0000-0000-000002860000}"/>
    <cellStyle name="Note 3 3 2 3 2 7" xfId="34264" xr:uid="{00000000-0005-0000-0000-000003860000}"/>
    <cellStyle name="Note 3 3 2 3 3" xfId="34265" xr:uid="{00000000-0005-0000-0000-000004860000}"/>
    <cellStyle name="Note 3 3 2 3 3 2" xfId="34266" xr:uid="{00000000-0005-0000-0000-000005860000}"/>
    <cellStyle name="Note 3 3 2 3 3 2 2" xfId="34267" xr:uid="{00000000-0005-0000-0000-000006860000}"/>
    <cellStyle name="Note 3 3 2 3 3 2 2 2" xfId="34268" xr:uid="{00000000-0005-0000-0000-000007860000}"/>
    <cellStyle name="Note 3 3 2 3 3 2 2 3" xfId="34269" xr:uid="{00000000-0005-0000-0000-000008860000}"/>
    <cellStyle name="Note 3 3 2 3 3 2 3" xfId="34270" xr:uid="{00000000-0005-0000-0000-000009860000}"/>
    <cellStyle name="Note 3 3 2 3 3 2 4" xfId="34271" xr:uid="{00000000-0005-0000-0000-00000A860000}"/>
    <cellStyle name="Note 3 3 2 3 3 3" xfId="34272" xr:uid="{00000000-0005-0000-0000-00000B860000}"/>
    <cellStyle name="Note 3 3 2 3 3 3 2" xfId="34273" xr:uid="{00000000-0005-0000-0000-00000C860000}"/>
    <cellStyle name="Note 3 3 2 3 3 3 3" xfId="34274" xr:uid="{00000000-0005-0000-0000-00000D860000}"/>
    <cellStyle name="Note 3 3 2 3 3 4" xfId="34275" xr:uid="{00000000-0005-0000-0000-00000E860000}"/>
    <cellStyle name="Note 3 3 2 3 3 5" xfId="34276" xr:uid="{00000000-0005-0000-0000-00000F860000}"/>
    <cellStyle name="Note 3 3 2 3 3 6" xfId="34277" xr:uid="{00000000-0005-0000-0000-000010860000}"/>
    <cellStyle name="Note 3 3 2 3 4" xfId="34278" xr:uid="{00000000-0005-0000-0000-000011860000}"/>
    <cellStyle name="Note 3 3 2 3 4 2" xfId="34279" xr:uid="{00000000-0005-0000-0000-000012860000}"/>
    <cellStyle name="Note 3 3 2 3 4 2 2" xfId="34280" xr:uid="{00000000-0005-0000-0000-000013860000}"/>
    <cellStyle name="Note 3 3 2 3 4 2 3" xfId="34281" xr:uid="{00000000-0005-0000-0000-000014860000}"/>
    <cellStyle name="Note 3 3 2 3 4 3" xfId="34282" xr:uid="{00000000-0005-0000-0000-000015860000}"/>
    <cellStyle name="Note 3 3 2 3 4 4" xfId="34283" xr:uid="{00000000-0005-0000-0000-000016860000}"/>
    <cellStyle name="Note 3 3 2 3 5" xfId="34284" xr:uid="{00000000-0005-0000-0000-000017860000}"/>
    <cellStyle name="Note 3 3 2 3 5 2" xfId="34285" xr:uid="{00000000-0005-0000-0000-000018860000}"/>
    <cellStyle name="Note 3 3 2 3 5 3" xfId="34286" xr:uid="{00000000-0005-0000-0000-000019860000}"/>
    <cellStyle name="Note 3 3 2 3 6" xfId="34287" xr:uid="{00000000-0005-0000-0000-00001A860000}"/>
    <cellStyle name="Note 3 3 2 3 7" xfId="34288" xr:uid="{00000000-0005-0000-0000-00001B860000}"/>
    <cellStyle name="Note 3 3 2 3 8" xfId="34289" xr:uid="{00000000-0005-0000-0000-00001C860000}"/>
    <cellStyle name="Note 3 3 2 4" xfId="34290" xr:uid="{00000000-0005-0000-0000-00001D860000}"/>
    <cellStyle name="Note 3 3 2 4 2" xfId="34291" xr:uid="{00000000-0005-0000-0000-00001E860000}"/>
    <cellStyle name="Note 3 3 2 4 2 2" xfId="34292" xr:uid="{00000000-0005-0000-0000-00001F860000}"/>
    <cellStyle name="Note 3 3 2 4 2 2 2" xfId="34293" xr:uid="{00000000-0005-0000-0000-000020860000}"/>
    <cellStyle name="Note 3 3 2 4 2 2 2 2" xfId="34294" xr:uid="{00000000-0005-0000-0000-000021860000}"/>
    <cellStyle name="Note 3 3 2 4 2 2 2 3" xfId="34295" xr:uid="{00000000-0005-0000-0000-000022860000}"/>
    <cellStyle name="Note 3 3 2 4 2 2 3" xfId="34296" xr:uid="{00000000-0005-0000-0000-000023860000}"/>
    <cellStyle name="Note 3 3 2 4 2 2 4" xfId="34297" xr:uid="{00000000-0005-0000-0000-000024860000}"/>
    <cellStyle name="Note 3 3 2 4 2 3" xfId="34298" xr:uid="{00000000-0005-0000-0000-000025860000}"/>
    <cellStyle name="Note 3 3 2 4 2 3 2" xfId="34299" xr:uid="{00000000-0005-0000-0000-000026860000}"/>
    <cellStyle name="Note 3 3 2 4 2 3 3" xfId="34300" xr:uid="{00000000-0005-0000-0000-000027860000}"/>
    <cellStyle name="Note 3 3 2 4 2 4" xfId="34301" xr:uid="{00000000-0005-0000-0000-000028860000}"/>
    <cellStyle name="Note 3 3 2 4 2 5" xfId="34302" xr:uid="{00000000-0005-0000-0000-000029860000}"/>
    <cellStyle name="Note 3 3 2 4 2 6" xfId="34303" xr:uid="{00000000-0005-0000-0000-00002A860000}"/>
    <cellStyle name="Note 3 3 2 4 3" xfId="34304" xr:uid="{00000000-0005-0000-0000-00002B860000}"/>
    <cellStyle name="Note 3 3 2 4 3 2" xfId="34305" xr:uid="{00000000-0005-0000-0000-00002C860000}"/>
    <cellStyle name="Note 3 3 2 4 3 2 2" xfId="34306" xr:uid="{00000000-0005-0000-0000-00002D860000}"/>
    <cellStyle name="Note 3 3 2 4 3 2 3" xfId="34307" xr:uid="{00000000-0005-0000-0000-00002E860000}"/>
    <cellStyle name="Note 3 3 2 4 3 3" xfId="34308" xr:uid="{00000000-0005-0000-0000-00002F860000}"/>
    <cellStyle name="Note 3 3 2 4 3 4" xfId="34309" xr:uid="{00000000-0005-0000-0000-000030860000}"/>
    <cellStyle name="Note 3 3 2 4 4" xfId="34310" xr:uid="{00000000-0005-0000-0000-000031860000}"/>
    <cellStyle name="Note 3 3 2 4 4 2" xfId="34311" xr:uid="{00000000-0005-0000-0000-000032860000}"/>
    <cellStyle name="Note 3 3 2 4 4 3" xfId="34312" xr:uid="{00000000-0005-0000-0000-000033860000}"/>
    <cellStyle name="Note 3 3 2 4 5" xfId="34313" xr:uid="{00000000-0005-0000-0000-000034860000}"/>
    <cellStyle name="Note 3 3 2 4 6" xfId="34314" xr:uid="{00000000-0005-0000-0000-000035860000}"/>
    <cellStyle name="Note 3 3 2 4 7" xfId="34315" xr:uid="{00000000-0005-0000-0000-000036860000}"/>
    <cellStyle name="Note 3 3 2 5" xfId="34316" xr:uid="{00000000-0005-0000-0000-000037860000}"/>
    <cellStyle name="Note 3 3 2 5 2" xfId="34317" xr:uid="{00000000-0005-0000-0000-000038860000}"/>
    <cellStyle name="Note 3 3 2 5 2 2" xfId="34318" xr:uid="{00000000-0005-0000-0000-000039860000}"/>
    <cellStyle name="Note 3 3 2 5 2 2 2" xfId="34319" xr:uid="{00000000-0005-0000-0000-00003A860000}"/>
    <cellStyle name="Note 3 3 2 5 2 2 3" xfId="34320" xr:uid="{00000000-0005-0000-0000-00003B860000}"/>
    <cellStyle name="Note 3 3 2 5 2 3" xfId="34321" xr:uid="{00000000-0005-0000-0000-00003C860000}"/>
    <cellStyle name="Note 3 3 2 5 2 4" xfId="34322" xr:uid="{00000000-0005-0000-0000-00003D860000}"/>
    <cellStyle name="Note 3 3 2 5 3" xfId="34323" xr:uid="{00000000-0005-0000-0000-00003E860000}"/>
    <cellStyle name="Note 3 3 2 5 3 2" xfId="34324" xr:uid="{00000000-0005-0000-0000-00003F860000}"/>
    <cellStyle name="Note 3 3 2 5 3 3" xfId="34325" xr:uid="{00000000-0005-0000-0000-000040860000}"/>
    <cellStyle name="Note 3 3 2 5 4" xfId="34326" xr:uid="{00000000-0005-0000-0000-000041860000}"/>
    <cellStyle name="Note 3 3 2 5 5" xfId="34327" xr:uid="{00000000-0005-0000-0000-000042860000}"/>
    <cellStyle name="Note 3 3 2 5 6" xfId="34328" xr:uid="{00000000-0005-0000-0000-000043860000}"/>
    <cellStyle name="Note 3 3 2 6" xfId="34329" xr:uid="{00000000-0005-0000-0000-000044860000}"/>
    <cellStyle name="Note 3 3 2 6 2" xfId="34330" xr:uid="{00000000-0005-0000-0000-000045860000}"/>
    <cellStyle name="Note 3 3 2 6 2 2" xfId="34331" xr:uid="{00000000-0005-0000-0000-000046860000}"/>
    <cellStyle name="Note 3 3 2 6 2 3" xfId="34332" xr:uid="{00000000-0005-0000-0000-000047860000}"/>
    <cellStyle name="Note 3 3 2 6 3" xfId="34333" xr:uid="{00000000-0005-0000-0000-000048860000}"/>
    <cellStyle name="Note 3 3 2 6 4" xfId="34334" xr:uid="{00000000-0005-0000-0000-000049860000}"/>
    <cellStyle name="Note 3 3 2 7" xfId="34335" xr:uid="{00000000-0005-0000-0000-00004A860000}"/>
    <cellStyle name="Note 3 3 2 7 2" xfId="34336" xr:uid="{00000000-0005-0000-0000-00004B860000}"/>
    <cellStyle name="Note 3 3 2 7 3" xfId="34337" xr:uid="{00000000-0005-0000-0000-00004C860000}"/>
    <cellStyle name="Note 3 3 2 8" xfId="34338" xr:uid="{00000000-0005-0000-0000-00004D860000}"/>
    <cellStyle name="Note 3 3 2 9" xfId="34339" xr:uid="{00000000-0005-0000-0000-00004E860000}"/>
    <cellStyle name="Note 3 3 3" xfId="34340" xr:uid="{00000000-0005-0000-0000-00004F860000}"/>
    <cellStyle name="Note 3 3 3 2" xfId="34341" xr:uid="{00000000-0005-0000-0000-000050860000}"/>
    <cellStyle name="Note 3 3 3 2 2" xfId="34342" xr:uid="{00000000-0005-0000-0000-000051860000}"/>
    <cellStyle name="Note 3 3 3 2 2 2" xfId="34343" xr:uid="{00000000-0005-0000-0000-000052860000}"/>
    <cellStyle name="Note 3 3 3 2 2 2 2" xfId="34344" xr:uid="{00000000-0005-0000-0000-000053860000}"/>
    <cellStyle name="Note 3 3 3 2 2 2 2 2" xfId="34345" xr:uid="{00000000-0005-0000-0000-000054860000}"/>
    <cellStyle name="Note 3 3 3 2 2 2 2 2 2" xfId="34346" xr:uid="{00000000-0005-0000-0000-000055860000}"/>
    <cellStyle name="Note 3 3 3 2 2 2 2 2 3" xfId="34347" xr:uid="{00000000-0005-0000-0000-000056860000}"/>
    <cellStyle name="Note 3 3 3 2 2 2 2 3" xfId="34348" xr:uid="{00000000-0005-0000-0000-000057860000}"/>
    <cellStyle name="Note 3 3 3 2 2 2 2 4" xfId="34349" xr:uid="{00000000-0005-0000-0000-000058860000}"/>
    <cellStyle name="Note 3 3 3 2 2 2 3" xfId="34350" xr:uid="{00000000-0005-0000-0000-000059860000}"/>
    <cellStyle name="Note 3 3 3 2 2 2 3 2" xfId="34351" xr:uid="{00000000-0005-0000-0000-00005A860000}"/>
    <cellStyle name="Note 3 3 3 2 2 2 3 3" xfId="34352" xr:uid="{00000000-0005-0000-0000-00005B860000}"/>
    <cellStyle name="Note 3 3 3 2 2 2 4" xfId="34353" xr:uid="{00000000-0005-0000-0000-00005C860000}"/>
    <cellStyle name="Note 3 3 3 2 2 2 5" xfId="34354" xr:uid="{00000000-0005-0000-0000-00005D860000}"/>
    <cellStyle name="Note 3 3 3 2 2 2 6" xfId="34355" xr:uid="{00000000-0005-0000-0000-00005E860000}"/>
    <cellStyle name="Note 3 3 3 2 2 3" xfId="34356" xr:uid="{00000000-0005-0000-0000-00005F860000}"/>
    <cellStyle name="Note 3 3 3 2 2 3 2" xfId="34357" xr:uid="{00000000-0005-0000-0000-000060860000}"/>
    <cellStyle name="Note 3 3 3 2 2 3 2 2" xfId="34358" xr:uid="{00000000-0005-0000-0000-000061860000}"/>
    <cellStyle name="Note 3 3 3 2 2 3 2 3" xfId="34359" xr:uid="{00000000-0005-0000-0000-000062860000}"/>
    <cellStyle name="Note 3 3 3 2 2 3 3" xfId="34360" xr:uid="{00000000-0005-0000-0000-000063860000}"/>
    <cellStyle name="Note 3 3 3 2 2 3 4" xfId="34361" xr:uid="{00000000-0005-0000-0000-000064860000}"/>
    <cellStyle name="Note 3 3 3 2 2 4" xfId="34362" xr:uid="{00000000-0005-0000-0000-000065860000}"/>
    <cellStyle name="Note 3 3 3 2 2 4 2" xfId="34363" xr:uid="{00000000-0005-0000-0000-000066860000}"/>
    <cellStyle name="Note 3 3 3 2 2 4 3" xfId="34364" xr:uid="{00000000-0005-0000-0000-000067860000}"/>
    <cellStyle name="Note 3 3 3 2 2 5" xfId="34365" xr:uid="{00000000-0005-0000-0000-000068860000}"/>
    <cellStyle name="Note 3 3 3 2 2 6" xfId="34366" xr:uid="{00000000-0005-0000-0000-000069860000}"/>
    <cellStyle name="Note 3 3 3 2 2 7" xfId="34367" xr:uid="{00000000-0005-0000-0000-00006A860000}"/>
    <cellStyle name="Note 3 3 3 2 3" xfId="34368" xr:uid="{00000000-0005-0000-0000-00006B860000}"/>
    <cellStyle name="Note 3 3 3 2 3 2" xfId="34369" xr:uid="{00000000-0005-0000-0000-00006C860000}"/>
    <cellStyle name="Note 3 3 3 2 3 2 2" xfId="34370" xr:uid="{00000000-0005-0000-0000-00006D860000}"/>
    <cellStyle name="Note 3 3 3 2 3 2 2 2" xfId="34371" xr:uid="{00000000-0005-0000-0000-00006E860000}"/>
    <cellStyle name="Note 3 3 3 2 3 2 2 3" xfId="34372" xr:uid="{00000000-0005-0000-0000-00006F860000}"/>
    <cellStyle name="Note 3 3 3 2 3 2 3" xfId="34373" xr:uid="{00000000-0005-0000-0000-000070860000}"/>
    <cellStyle name="Note 3 3 3 2 3 2 4" xfId="34374" xr:uid="{00000000-0005-0000-0000-000071860000}"/>
    <cellStyle name="Note 3 3 3 2 3 3" xfId="34375" xr:uid="{00000000-0005-0000-0000-000072860000}"/>
    <cellStyle name="Note 3 3 3 2 3 3 2" xfId="34376" xr:uid="{00000000-0005-0000-0000-000073860000}"/>
    <cellStyle name="Note 3 3 3 2 3 3 3" xfId="34377" xr:uid="{00000000-0005-0000-0000-000074860000}"/>
    <cellStyle name="Note 3 3 3 2 3 4" xfId="34378" xr:uid="{00000000-0005-0000-0000-000075860000}"/>
    <cellStyle name="Note 3 3 3 2 3 5" xfId="34379" xr:uid="{00000000-0005-0000-0000-000076860000}"/>
    <cellStyle name="Note 3 3 3 2 3 6" xfId="34380" xr:uid="{00000000-0005-0000-0000-000077860000}"/>
    <cellStyle name="Note 3 3 3 2 4" xfId="34381" xr:uid="{00000000-0005-0000-0000-000078860000}"/>
    <cellStyle name="Note 3 3 3 2 4 2" xfId="34382" xr:uid="{00000000-0005-0000-0000-000079860000}"/>
    <cellStyle name="Note 3 3 3 2 4 2 2" xfId="34383" xr:uid="{00000000-0005-0000-0000-00007A860000}"/>
    <cellStyle name="Note 3 3 3 2 4 2 3" xfId="34384" xr:uid="{00000000-0005-0000-0000-00007B860000}"/>
    <cellStyle name="Note 3 3 3 2 4 3" xfId="34385" xr:uid="{00000000-0005-0000-0000-00007C860000}"/>
    <cellStyle name="Note 3 3 3 2 4 4" xfId="34386" xr:uid="{00000000-0005-0000-0000-00007D860000}"/>
    <cellStyle name="Note 3 3 3 2 5" xfId="34387" xr:uid="{00000000-0005-0000-0000-00007E860000}"/>
    <cellStyle name="Note 3 3 3 2 5 2" xfId="34388" xr:uid="{00000000-0005-0000-0000-00007F860000}"/>
    <cellStyle name="Note 3 3 3 2 5 3" xfId="34389" xr:uid="{00000000-0005-0000-0000-000080860000}"/>
    <cellStyle name="Note 3 3 3 2 6" xfId="34390" xr:uid="{00000000-0005-0000-0000-000081860000}"/>
    <cellStyle name="Note 3 3 3 2 7" xfId="34391" xr:uid="{00000000-0005-0000-0000-000082860000}"/>
    <cellStyle name="Note 3 3 3 2 8" xfId="34392" xr:uid="{00000000-0005-0000-0000-000083860000}"/>
    <cellStyle name="Note 3 3 3 3" xfId="34393" xr:uid="{00000000-0005-0000-0000-000084860000}"/>
    <cellStyle name="Note 3 3 3 3 2" xfId="34394" xr:uid="{00000000-0005-0000-0000-000085860000}"/>
    <cellStyle name="Note 3 3 3 3 2 2" xfId="34395" xr:uid="{00000000-0005-0000-0000-000086860000}"/>
    <cellStyle name="Note 3 3 3 3 2 2 2" xfId="34396" xr:uid="{00000000-0005-0000-0000-000087860000}"/>
    <cellStyle name="Note 3 3 3 3 2 2 2 2" xfId="34397" xr:uid="{00000000-0005-0000-0000-000088860000}"/>
    <cellStyle name="Note 3 3 3 3 2 2 2 3" xfId="34398" xr:uid="{00000000-0005-0000-0000-000089860000}"/>
    <cellStyle name="Note 3 3 3 3 2 2 3" xfId="34399" xr:uid="{00000000-0005-0000-0000-00008A860000}"/>
    <cellStyle name="Note 3 3 3 3 2 2 4" xfId="34400" xr:uid="{00000000-0005-0000-0000-00008B860000}"/>
    <cellStyle name="Note 3 3 3 3 2 3" xfId="34401" xr:uid="{00000000-0005-0000-0000-00008C860000}"/>
    <cellStyle name="Note 3 3 3 3 2 3 2" xfId="34402" xr:uid="{00000000-0005-0000-0000-00008D860000}"/>
    <cellStyle name="Note 3 3 3 3 2 3 3" xfId="34403" xr:uid="{00000000-0005-0000-0000-00008E860000}"/>
    <cellStyle name="Note 3 3 3 3 2 4" xfId="34404" xr:uid="{00000000-0005-0000-0000-00008F860000}"/>
    <cellStyle name="Note 3 3 3 3 2 5" xfId="34405" xr:uid="{00000000-0005-0000-0000-000090860000}"/>
    <cellStyle name="Note 3 3 3 3 2 6" xfId="34406" xr:uid="{00000000-0005-0000-0000-000091860000}"/>
    <cellStyle name="Note 3 3 3 3 3" xfId="34407" xr:uid="{00000000-0005-0000-0000-000092860000}"/>
    <cellStyle name="Note 3 3 3 3 3 2" xfId="34408" xr:uid="{00000000-0005-0000-0000-000093860000}"/>
    <cellStyle name="Note 3 3 3 3 3 2 2" xfId="34409" xr:uid="{00000000-0005-0000-0000-000094860000}"/>
    <cellStyle name="Note 3 3 3 3 3 2 3" xfId="34410" xr:uid="{00000000-0005-0000-0000-000095860000}"/>
    <cellStyle name="Note 3 3 3 3 3 3" xfId="34411" xr:uid="{00000000-0005-0000-0000-000096860000}"/>
    <cellStyle name="Note 3 3 3 3 3 4" xfId="34412" xr:uid="{00000000-0005-0000-0000-000097860000}"/>
    <cellStyle name="Note 3 3 3 3 4" xfId="34413" xr:uid="{00000000-0005-0000-0000-000098860000}"/>
    <cellStyle name="Note 3 3 3 3 4 2" xfId="34414" xr:uid="{00000000-0005-0000-0000-000099860000}"/>
    <cellStyle name="Note 3 3 3 3 4 3" xfId="34415" xr:uid="{00000000-0005-0000-0000-00009A860000}"/>
    <cellStyle name="Note 3 3 3 3 5" xfId="34416" xr:uid="{00000000-0005-0000-0000-00009B860000}"/>
    <cellStyle name="Note 3 3 3 3 6" xfId="34417" xr:uid="{00000000-0005-0000-0000-00009C860000}"/>
    <cellStyle name="Note 3 3 3 3 7" xfId="34418" xr:uid="{00000000-0005-0000-0000-00009D860000}"/>
    <cellStyle name="Note 3 3 3 4" xfId="34419" xr:uid="{00000000-0005-0000-0000-00009E860000}"/>
    <cellStyle name="Note 3 3 3 4 2" xfId="34420" xr:uid="{00000000-0005-0000-0000-00009F860000}"/>
    <cellStyle name="Note 3 3 3 4 2 2" xfId="34421" xr:uid="{00000000-0005-0000-0000-0000A0860000}"/>
    <cellStyle name="Note 3 3 3 4 2 2 2" xfId="34422" xr:uid="{00000000-0005-0000-0000-0000A1860000}"/>
    <cellStyle name="Note 3 3 3 4 2 2 3" xfId="34423" xr:uid="{00000000-0005-0000-0000-0000A2860000}"/>
    <cellStyle name="Note 3 3 3 4 2 3" xfId="34424" xr:uid="{00000000-0005-0000-0000-0000A3860000}"/>
    <cellStyle name="Note 3 3 3 4 2 4" xfId="34425" xr:uid="{00000000-0005-0000-0000-0000A4860000}"/>
    <cellStyle name="Note 3 3 3 4 3" xfId="34426" xr:uid="{00000000-0005-0000-0000-0000A5860000}"/>
    <cellStyle name="Note 3 3 3 4 3 2" xfId="34427" xr:uid="{00000000-0005-0000-0000-0000A6860000}"/>
    <cellStyle name="Note 3 3 3 4 3 3" xfId="34428" xr:uid="{00000000-0005-0000-0000-0000A7860000}"/>
    <cellStyle name="Note 3 3 3 4 4" xfId="34429" xr:uid="{00000000-0005-0000-0000-0000A8860000}"/>
    <cellStyle name="Note 3 3 3 4 5" xfId="34430" xr:uid="{00000000-0005-0000-0000-0000A9860000}"/>
    <cellStyle name="Note 3 3 3 4 6" xfId="34431" xr:uid="{00000000-0005-0000-0000-0000AA860000}"/>
    <cellStyle name="Note 3 3 3 5" xfId="34432" xr:uid="{00000000-0005-0000-0000-0000AB860000}"/>
    <cellStyle name="Note 3 3 3 5 2" xfId="34433" xr:uid="{00000000-0005-0000-0000-0000AC860000}"/>
    <cellStyle name="Note 3 3 3 5 2 2" xfId="34434" xr:uid="{00000000-0005-0000-0000-0000AD860000}"/>
    <cellStyle name="Note 3 3 3 5 2 3" xfId="34435" xr:uid="{00000000-0005-0000-0000-0000AE860000}"/>
    <cellStyle name="Note 3 3 3 5 3" xfId="34436" xr:uid="{00000000-0005-0000-0000-0000AF860000}"/>
    <cellStyle name="Note 3 3 3 5 4" xfId="34437" xr:uid="{00000000-0005-0000-0000-0000B0860000}"/>
    <cellStyle name="Note 3 3 3 6" xfId="34438" xr:uid="{00000000-0005-0000-0000-0000B1860000}"/>
    <cellStyle name="Note 3 3 3 6 2" xfId="34439" xr:uid="{00000000-0005-0000-0000-0000B2860000}"/>
    <cellStyle name="Note 3 3 3 6 3" xfId="34440" xr:uid="{00000000-0005-0000-0000-0000B3860000}"/>
    <cellStyle name="Note 3 3 3 7" xfId="34441" xr:uid="{00000000-0005-0000-0000-0000B4860000}"/>
    <cellStyle name="Note 3 3 3 8" xfId="34442" xr:uid="{00000000-0005-0000-0000-0000B5860000}"/>
    <cellStyle name="Note 3 3 3 9" xfId="34443" xr:uid="{00000000-0005-0000-0000-0000B6860000}"/>
    <cellStyle name="Note 3 3 4" xfId="34444" xr:uid="{00000000-0005-0000-0000-0000B7860000}"/>
    <cellStyle name="Note 3 3 4 2" xfId="34445" xr:uid="{00000000-0005-0000-0000-0000B8860000}"/>
    <cellStyle name="Note 3 3 4 2 2" xfId="34446" xr:uid="{00000000-0005-0000-0000-0000B9860000}"/>
    <cellStyle name="Note 3 3 4 2 2 2" xfId="34447" xr:uid="{00000000-0005-0000-0000-0000BA860000}"/>
    <cellStyle name="Note 3 3 4 2 2 2 2" xfId="34448" xr:uid="{00000000-0005-0000-0000-0000BB860000}"/>
    <cellStyle name="Note 3 3 4 2 2 2 2 2" xfId="34449" xr:uid="{00000000-0005-0000-0000-0000BC860000}"/>
    <cellStyle name="Note 3 3 4 2 2 2 2 3" xfId="34450" xr:uid="{00000000-0005-0000-0000-0000BD860000}"/>
    <cellStyle name="Note 3 3 4 2 2 2 3" xfId="34451" xr:uid="{00000000-0005-0000-0000-0000BE860000}"/>
    <cellStyle name="Note 3 3 4 2 2 2 4" xfId="34452" xr:uid="{00000000-0005-0000-0000-0000BF860000}"/>
    <cellStyle name="Note 3 3 4 2 2 3" xfId="34453" xr:uid="{00000000-0005-0000-0000-0000C0860000}"/>
    <cellStyle name="Note 3 3 4 2 2 3 2" xfId="34454" xr:uid="{00000000-0005-0000-0000-0000C1860000}"/>
    <cellStyle name="Note 3 3 4 2 2 3 3" xfId="34455" xr:uid="{00000000-0005-0000-0000-0000C2860000}"/>
    <cellStyle name="Note 3 3 4 2 2 4" xfId="34456" xr:uid="{00000000-0005-0000-0000-0000C3860000}"/>
    <cellStyle name="Note 3 3 4 2 2 5" xfId="34457" xr:uid="{00000000-0005-0000-0000-0000C4860000}"/>
    <cellStyle name="Note 3 3 4 2 2 6" xfId="34458" xr:uid="{00000000-0005-0000-0000-0000C5860000}"/>
    <cellStyle name="Note 3 3 4 2 3" xfId="34459" xr:uid="{00000000-0005-0000-0000-0000C6860000}"/>
    <cellStyle name="Note 3 3 4 2 3 2" xfId="34460" xr:uid="{00000000-0005-0000-0000-0000C7860000}"/>
    <cellStyle name="Note 3 3 4 2 3 2 2" xfId="34461" xr:uid="{00000000-0005-0000-0000-0000C8860000}"/>
    <cellStyle name="Note 3 3 4 2 3 2 3" xfId="34462" xr:uid="{00000000-0005-0000-0000-0000C9860000}"/>
    <cellStyle name="Note 3 3 4 2 3 3" xfId="34463" xr:uid="{00000000-0005-0000-0000-0000CA860000}"/>
    <cellStyle name="Note 3 3 4 2 3 4" xfId="34464" xr:uid="{00000000-0005-0000-0000-0000CB860000}"/>
    <cellStyle name="Note 3 3 4 2 4" xfId="34465" xr:uid="{00000000-0005-0000-0000-0000CC860000}"/>
    <cellStyle name="Note 3 3 4 2 4 2" xfId="34466" xr:uid="{00000000-0005-0000-0000-0000CD860000}"/>
    <cellStyle name="Note 3 3 4 2 4 3" xfId="34467" xr:uid="{00000000-0005-0000-0000-0000CE860000}"/>
    <cellStyle name="Note 3 3 4 2 5" xfId="34468" xr:uid="{00000000-0005-0000-0000-0000CF860000}"/>
    <cellStyle name="Note 3 3 4 2 6" xfId="34469" xr:uid="{00000000-0005-0000-0000-0000D0860000}"/>
    <cellStyle name="Note 3 3 4 2 7" xfId="34470" xr:uid="{00000000-0005-0000-0000-0000D1860000}"/>
    <cellStyle name="Note 3 3 4 3" xfId="34471" xr:uid="{00000000-0005-0000-0000-0000D2860000}"/>
    <cellStyle name="Note 3 3 4 3 2" xfId="34472" xr:uid="{00000000-0005-0000-0000-0000D3860000}"/>
    <cellStyle name="Note 3 3 4 3 2 2" xfId="34473" xr:uid="{00000000-0005-0000-0000-0000D4860000}"/>
    <cellStyle name="Note 3 3 4 3 2 2 2" xfId="34474" xr:uid="{00000000-0005-0000-0000-0000D5860000}"/>
    <cellStyle name="Note 3 3 4 3 2 2 3" xfId="34475" xr:uid="{00000000-0005-0000-0000-0000D6860000}"/>
    <cellStyle name="Note 3 3 4 3 2 3" xfId="34476" xr:uid="{00000000-0005-0000-0000-0000D7860000}"/>
    <cellStyle name="Note 3 3 4 3 2 4" xfId="34477" xr:uid="{00000000-0005-0000-0000-0000D8860000}"/>
    <cellStyle name="Note 3 3 4 3 3" xfId="34478" xr:uid="{00000000-0005-0000-0000-0000D9860000}"/>
    <cellStyle name="Note 3 3 4 3 3 2" xfId="34479" xr:uid="{00000000-0005-0000-0000-0000DA860000}"/>
    <cellStyle name="Note 3 3 4 3 3 3" xfId="34480" xr:uid="{00000000-0005-0000-0000-0000DB860000}"/>
    <cellStyle name="Note 3 3 4 3 4" xfId="34481" xr:uid="{00000000-0005-0000-0000-0000DC860000}"/>
    <cellStyle name="Note 3 3 4 3 5" xfId="34482" xr:uid="{00000000-0005-0000-0000-0000DD860000}"/>
    <cellStyle name="Note 3 3 4 3 6" xfId="34483" xr:uid="{00000000-0005-0000-0000-0000DE860000}"/>
    <cellStyle name="Note 3 3 4 4" xfId="34484" xr:uid="{00000000-0005-0000-0000-0000DF860000}"/>
    <cellStyle name="Note 3 3 4 4 2" xfId="34485" xr:uid="{00000000-0005-0000-0000-0000E0860000}"/>
    <cellStyle name="Note 3 3 4 4 2 2" xfId="34486" xr:uid="{00000000-0005-0000-0000-0000E1860000}"/>
    <cellStyle name="Note 3 3 4 4 2 3" xfId="34487" xr:uid="{00000000-0005-0000-0000-0000E2860000}"/>
    <cellStyle name="Note 3 3 4 4 3" xfId="34488" xr:uid="{00000000-0005-0000-0000-0000E3860000}"/>
    <cellStyle name="Note 3 3 4 4 4" xfId="34489" xr:uid="{00000000-0005-0000-0000-0000E4860000}"/>
    <cellStyle name="Note 3 3 4 5" xfId="34490" xr:uid="{00000000-0005-0000-0000-0000E5860000}"/>
    <cellStyle name="Note 3 3 4 5 2" xfId="34491" xr:uid="{00000000-0005-0000-0000-0000E6860000}"/>
    <cellStyle name="Note 3 3 4 5 3" xfId="34492" xr:uid="{00000000-0005-0000-0000-0000E7860000}"/>
    <cellStyle name="Note 3 3 4 6" xfId="34493" xr:uid="{00000000-0005-0000-0000-0000E8860000}"/>
    <cellStyle name="Note 3 3 4 7" xfId="34494" xr:uid="{00000000-0005-0000-0000-0000E9860000}"/>
    <cellStyle name="Note 3 3 4 8" xfId="34495" xr:uid="{00000000-0005-0000-0000-0000EA860000}"/>
    <cellStyle name="Note 3 3 5" xfId="34496" xr:uid="{00000000-0005-0000-0000-0000EB860000}"/>
    <cellStyle name="Note 3 3 5 2" xfId="34497" xr:uid="{00000000-0005-0000-0000-0000EC860000}"/>
    <cellStyle name="Note 3 3 5 2 2" xfId="34498" xr:uid="{00000000-0005-0000-0000-0000ED860000}"/>
    <cellStyle name="Note 3 3 5 2 2 2" xfId="34499" xr:uid="{00000000-0005-0000-0000-0000EE860000}"/>
    <cellStyle name="Note 3 3 5 2 2 2 2" xfId="34500" xr:uid="{00000000-0005-0000-0000-0000EF860000}"/>
    <cellStyle name="Note 3 3 5 2 2 2 3" xfId="34501" xr:uid="{00000000-0005-0000-0000-0000F0860000}"/>
    <cellStyle name="Note 3 3 5 2 2 3" xfId="34502" xr:uid="{00000000-0005-0000-0000-0000F1860000}"/>
    <cellStyle name="Note 3 3 5 2 2 4" xfId="34503" xr:uid="{00000000-0005-0000-0000-0000F2860000}"/>
    <cellStyle name="Note 3 3 5 2 3" xfId="34504" xr:uid="{00000000-0005-0000-0000-0000F3860000}"/>
    <cellStyle name="Note 3 3 5 2 3 2" xfId="34505" xr:uid="{00000000-0005-0000-0000-0000F4860000}"/>
    <cellStyle name="Note 3 3 5 2 3 3" xfId="34506" xr:uid="{00000000-0005-0000-0000-0000F5860000}"/>
    <cellStyle name="Note 3 3 5 2 4" xfId="34507" xr:uid="{00000000-0005-0000-0000-0000F6860000}"/>
    <cellStyle name="Note 3 3 5 2 5" xfId="34508" xr:uid="{00000000-0005-0000-0000-0000F7860000}"/>
    <cellStyle name="Note 3 3 5 2 6" xfId="34509" xr:uid="{00000000-0005-0000-0000-0000F8860000}"/>
    <cellStyle name="Note 3 3 5 3" xfId="34510" xr:uid="{00000000-0005-0000-0000-0000F9860000}"/>
    <cellStyle name="Note 3 3 5 3 2" xfId="34511" xr:uid="{00000000-0005-0000-0000-0000FA860000}"/>
    <cellStyle name="Note 3 3 5 3 2 2" xfId="34512" xr:uid="{00000000-0005-0000-0000-0000FB860000}"/>
    <cellStyle name="Note 3 3 5 3 2 3" xfId="34513" xr:uid="{00000000-0005-0000-0000-0000FC860000}"/>
    <cellStyle name="Note 3 3 5 3 3" xfId="34514" xr:uid="{00000000-0005-0000-0000-0000FD860000}"/>
    <cellStyle name="Note 3 3 5 3 4" xfId="34515" xr:uid="{00000000-0005-0000-0000-0000FE860000}"/>
    <cellStyle name="Note 3 3 5 4" xfId="34516" xr:uid="{00000000-0005-0000-0000-0000FF860000}"/>
    <cellStyle name="Note 3 3 5 4 2" xfId="34517" xr:uid="{00000000-0005-0000-0000-000000870000}"/>
    <cellStyle name="Note 3 3 5 4 3" xfId="34518" xr:uid="{00000000-0005-0000-0000-000001870000}"/>
    <cellStyle name="Note 3 3 5 5" xfId="34519" xr:uid="{00000000-0005-0000-0000-000002870000}"/>
    <cellStyle name="Note 3 3 5 6" xfId="34520" xr:uid="{00000000-0005-0000-0000-000003870000}"/>
    <cellStyle name="Note 3 3 5 7" xfId="34521" xr:uid="{00000000-0005-0000-0000-000004870000}"/>
    <cellStyle name="Note 3 3 6" xfId="34522" xr:uid="{00000000-0005-0000-0000-000005870000}"/>
    <cellStyle name="Note 3 3 6 2" xfId="34523" xr:uid="{00000000-0005-0000-0000-000006870000}"/>
    <cellStyle name="Note 3 3 6 2 2" xfId="34524" xr:uid="{00000000-0005-0000-0000-000007870000}"/>
    <cellStyle name="Note 3 3 6 2 2 2" xfId="34525" xr:uid="{00000000-0005-0000-0000-000008870000}"/>
    <cellStyle name="Note 3 3 6 2 2 3" xfId="34526" xr:uid="{00000000-0005-0000-0000-000009870000}"/>
    <cellStyle name="Note 3 3 6 2 3" xfId="34527" xr:uid="{00000000-0005-0000-0000-00000A870000}"/>
    <cellStyle name="Note 3 3 6 2 4" xfId="34528" xr:uid="{00000000-0005-0000-0000-00000B870000}"/>
    <cellStyle name="Note 3 3 6 3" xfId="34529" xr:uid="{00000000-0005-0000-0000-00000C870000}"/>
    <cellStyle name="Note 3 3 6 3 2" xfId="34530" xr:uid="{00000000-0005-0000-0000-00000D870000}"/>
    <cellStyle name="Note 3 3 6 3 3" xfId="34531" xr:uid="{00000000-0005-0000-0000-00000E870000}"/>
    <cellStyle name="Note 3 3 6 4" xfId="34532" xr:uid="{00000000-0005-0000-0000-00000F870000}"/>
    <cellStyle name="Note 3 3 6 5" xfId="34533" xr:uid="{00000000-0005-0000-0000-000010870000}"/>
    <cellStyle name="Note 3 3 6 6" xfId="34534" xr:uid="{00000000-0005-0000-0000-000011870000}"/>
    <cellStyle name="Note 3 3 7" xfId="34535" xr:uid="{00000000-0005-0000-0000-000012870000}"/>
    <cellStyle name="Note 3 3 7 2" xfId="34536" xr:uid="{00000000-0005-0000-0000-000013870000}"/>
    <cellStyle name="Note 3 3 7 2 2" xfId="34537" xr:uid="{00000000-0005-0000-0000-000014870000}"/>
    <cellStyle name="Note 3 3 7 2 3" xfId="34538" xr:uid="{00000000-0005-0000-0000-000015870000}"/>
    <cellStyle name="Note 3 3 7 3" xfId="34539" xr:uid="{00000000-0005-0000-0000-000016870000}"/>
    <cellStyle name="Note 3 3 7 4" xfId="34540" xr:uid="{00000000-0005-0000-0000-000017870000}"/>
    <cellStyle name="Note 3 3 8" xfId="34541" xr:uid="{00000000-0005-0000-0000-000018870000}"/>
    <cellStyle name="Note 3 3 8 2" xfId="34542" xr:uid="{00000000-0005-0000-0000-000019870000}"/>
    <cellStyle name="Note 3 3 8 3" xfId="34543" xr:uid="{00000000-0005-0000-0000-00001A870000}"/>
    <cellStyle name="Note 3 3 9" xfId="34544" xr:uid="{00000000-0005-0000-0000-00001B870000}"/>
    <cellStyle name="Note 3 4" xfId="34545" xr:uid="{00000000-0005-0000-0000-00001C870000}"/>
    <cellStyle name="Note 3 4 10" xfId="34546" xr:uid="{00000000-0005-0000-0000-00001D870000}"/>
    <cellStyle name="Note 3 4 2" xfId="34547" xr:uid="{00000000-0005-0000-0000-00001E870000}"/>
    <cellStyle name="Note 3 4 2 2" xfId="34548" xr:uid="{00000000-0005-0000-0000-00001F870000}"/>
    <cellStyle name="Note 3 4 2 2 2" xfId="34549" xr:uid="{00000000-0005-0000-0000-000020870000}"/>
    <cellStyle name="Note 3 4 2 2 2 2" xfId="34550" xr:uid="{00000000-0005-0000-0000-000021870000}"/>
    <cellStyle name="Note 3 4 2 2 2 2 2" xfId="34551" xr:uid="{00000000-0005-0000-0000-000022870000}"/>
    <cellStyle name="Note 3 4 2 2 2 2 2 2" xfId="34552" xr:uid="{00000000-0005-0000-0000-000023870000}"/>
    <cellStyle name="Note 3 4 2 2 2 2 2 2 2" xfId="34553" xr:uid="{00000000-0005-0000-0000-000024870000}"/>
    <cellStyle name="Note 3 4 2 2 2 2 2 2 3" xfId="34554" xr:uid="{00000000-0005-0000-0000-000025870000}"/>
    <cellStyle name="Note 3 4 2 2 2 2 2 3" xfId="34555" xr:uid="{00000000-0005-0000-0000-000026870000}"/>
    <cellStyle name="Note 3 4 2 2 2 2 2 4" xfId="34556" xr:uid="{00000000-0005-0000-0000-000027870000}"/>
    <cellStyle name="Note 3 4 2 2 2 2 3" xfId="34557" xr:uid="{00000000-0005-0000-0000-000028870000}"/>
    <cellStyle name="Note 3 4 2 2 2 2 3 2" xfId="34558" xr:uid="{00000000-0005-0000-0000-000029870000}"/>
    <cellStyle name="Note 3 4 2 2 2 2 3 3" xfId="34559" xr:uid="{00000000-0005-0000-0000-00002A870000}"/>
    <cellStyle name="Note 3 4 2 2 2 2 4" xfId="34560" xr:uid="{00000000-0005-0000-0000-00002B870000}"/>
    <cellStyle name="Note 3 4 2 2 2 2 5" xfId="34561" xr:uid="{00000000-0005-0000-0000-00002C870000}"/>
    <cellStyle name="Note 3 4 2 2 2 2 6" xfId="34562" xr:uid="{00000000-0005-0000-0000-00002D870000}"/>
    <cellStyle name="Note 3 4 2 2 2 3" xfId="34563" xr:uid="{00000000-0005-0000-0000-00002E870000}"/>
    <cellStyle name="Note 3 4 2 2 2 3 2" xfId="34564" xr:uid="{00000000-0005-0000-0000-00002F870000}"/>
    <cellStyle name="Note 3 4 2 2 2 3 2 2" xfId="34565" xr:uid="{00000000-0005-0000-0000-000030870000}"/>
    <cellStyle name="Note 3 4 2 2 2 3 2 3" xfId="34566" xr:uid="{00000000-0005-0000-0000-000031870000}"/>
    <cellStyle name="Note 3 4 2 2 2 3 3" xfId="34567" xr:uid="{00000000-0005-0000-0000-000032870000}"/>
    <cellStyle name="Note 3 4 2 2 2 3 4" xfId="34568" xr:uid="{00000000-0005-0000-0000-000033870000}"/>
    <cellStyle name="Note 3 4 2 2 2 4" xfId="34569" xr:uid="{00000000-0005-0000-0000-000034870000}"/>
    <cellStyle name="Note 3 4 2 2 2 4 2" xfId="34570" xr:uid="{00000000-0005-0000-0000-000035870000}"/>
    <cellStyle name="Note 3 4 2 2 2 4 3" xfId="34571" xr:uid="{00000000-0005-0000-0000-000036870000}"/>
    <cellStyle name="Note 3 4 2 2 2 5" xfId="34572" xr:uid="{00000000-0005-0000-0000-000037870000}"/>
    <cellStyle name="Note 3 4 2 2 2 6" xfId="34573" xr:uid="{00000000-0005-0000-0000-000038870000}"/>
    <cellStyle name="Note 3 4 2 2 2 7" xfId="34574" xr:uid="{00000000-0005-0000-0000-000039870000}"/>
    <cellStyle name="Note 3 4 2 2 3" xfId="34575" xr:uid="{00000000-0005-0000-0000-00003A870000}"/>
    <cellStyle name="Note 3 4 2 2 3 2" xfId="34576" xr:uid="{00000000-0005-0000-0000-00003B870000}"/>
    <cellStyle name="Note 3 4 2 2 3 2 2" xfId="34577" xr:uid="{00000000-0005-0000-0000-00003C870000}"/>
    <cellStyle name="Note 3 4 2 2 3 2 2 2" xfId="34578" xr:uid="{00000000-0005-0000-0000-00003D870000}"/>
    <cellStyle name="Note 3 4 2 2 3 2 2 3" xfId="34579" xr:uid="{00000000-0005-0000-0000-00003E870000}"/>
    <cellStyle name="Note 3 4 2 2 3 2 3" xfId="34580" xr:uid="{00000000-0005-0000-0000-00003F870000}"/>
    <cellStyle name="Note 3 4 2 2 3 2 4" xfId="34581" xr:uid="{00000000-0005-0000-0000-000040870000}"/>
    <cellStyle name="Note 3 4 2 2 3 3" xfId="34582" xr:uid="{00000000-0005-0000-0000-000041870000}"/>
    <cellStyle name="Note 3 4 2 2 3 3 2" xfId="34583" xr:uid="{00000000-0005-0000-0000-000042870000}"/>
    <cellStyle name="Note 3 4 2 2 3 3 3" xfId="34584" xr:uid="{00000000-0005-0000-0000-000043870000}"/>
    <cellStyle name="Note 3 4 2 2 3 4" xfId="34585" xr:uid="{00000000-0005-0000-0000-000044870000}"/>
    <cellStyle name="Note 3 4 2 2 3 5" xfId="34586" xr:uid="{00000000-0005-0000-0000-000045870000}"/>
    <cellStyle name="Note 3 4 2 2 3 6" xfId="34587" xr:uid="{00000000-0005-0000-0000-000046870000}"/>
    <cellStyle name="Note 3 4 2 2 4" xfId="34588" xr:uid="{00000000-0005-0000-0000-000047870000}"/>
    <cellStyle name="Note 3 4 2 2 4 2" xfId="34589" xr:uid="{00000000-0005-0000-0000-000048870000}"/>
    <cellStyle name="Note 3 4 2 2 4 2 2" xfId="34590" xr:uid="{00000000-0005-0000-0000-000049870000}"/>
    <cellStyle name="Note 3 4 2 2 4 2 3" xfId="34591" xr:uid="{00000000-0005-0000-0000-00004A870000}"/>
    <cellStyle name="Note 3 4 2 2 4 3" xfId="34592" xr:uid="{00000000-0005-0000-0000-00004B870000}"/>
    <cellStyle name="Note 3 4 2 2 4 4" xfId="34593" xr:uid="{00000000-0005-0000-0000-00004C870000}"/>
    <cellStyle name="Note 3 4 2 2 5" xfId="34594" xr:uid="{00000000-0005-0000-0000-00004D870000}"/>
    <cellStyle name="Note 3 4 2 2 5 2" xfId="34595" xr:uid="{00000000-0005-0000-0000-00004E870000}"/>
    <cellStyle name="Note 3 4 2 2 5 3" xfId="34596" xr:uid="{00000000-0005-0000-0000-00004F870000}"/>
    <cellStyle name="Note 3 4 2 2 6" xfId="34597" xr:uid="{00000000-0005-0000-0000-000050870000}"/>
    <cellStyle name="Note 3 4 2 2 7" xfId="34598" xr:uid="{00000000-0005-0000-0000-000051870000}"/>
    <cellStyle name="Note 3 4 2 2 8" xfId="34599" xr:uid="{00000000-0005-0000-0000-000052870000}"/>
    <cellStyle name="Note 3 4 2 3" xfId="34600" xr:uid="{00000000-0005-0000-0000-000053870000}"/>
    <cellStyle name="Note 3 4 2 3 2" xfId="34601" xr:uid="{00000000-0005-0000-0000-000054870000}"/>
    <cellStyle name="Note 3 4 2 3 2 2" xfId="34602" xr:uid="{00000000-0005-0000-0000-000055870000}"/>
    <cellStyle name="Note 3 4 2 3 2 2 2" xfId="34603" xr:uid="{00000000-0005-0000-0000-000056870000}"/>
    <cellStyle name="Note 3 4 2 3 2 2 2 2" xfId="34604" xr:uid="{00000000-0005-0000-0000-000057870000}"/>
    <cellStyle name="Note 3 4 2 3 2 2 2 3" xfId="34605" xr:uid="{00000000-0005-0000-0000-000058870000}"/>
    <cellStyle name="Note 3 4 2 3 2 2 3" xfId="34606" xr:uid="{00000000-0005-0000-0000-000059870000}"/>
    <cellStyle name="Note 3 4 2 3 2 2 4" xfId="34607" xr:uid="{00000000-0005-0000-0000-00005A870000}"/>
    <cellStyle name="Note 3 4 2 3 2 3" xfId="34608" xr:uid="{00000000-0005-0000-0000-00005B870000}"/>
    <cellStyle name="Note 3 4 2 3 2 3 2" xfId="34609" xr:uid="{00000000-0005-0000-0000-00005C870000}"/>
    <cellStyle name="Note 3 4 2 3 2 3 3" xfId="34610" xr:uid="{00000000-0005-0000-0000-00005D870000}"/>
    <cellStyle name="Note 3 4 2 3 2 4" xfId="34611" xr:uid="{00000000-0005-0000-0000-00005E870000}"/>
    <cellStyle name="Note 3 4 2 3 2 5" xfId="34612" xr:uid="{00000000-0005-0000-0000-00005F870000}"/>
    <cellStyle name="Note 3 4 2 3 2 6" xfId="34613" xr:uid="{00000000-0005-0000-0000-000060870000}"/>
    <cellStyle name="Note 3 4 2 3 3" xfId="34614" xr:uid="{00000000-0005-0000-0000-000061870000}"/>
    <cellStyle name="Note 3 4 2 3 3 2" xfId="34615" xr:uid="{00000000-0005-0000-0000-000062870000}"/>
    <cellStyle name="Note 3 4 2 3 3 2 2" xfId="34616" xr:uid="{00000000-0005-0000-0000-000063870000}"/>
    <cellStyle name="Note 3 4 2 3 3 2 3" xfId="34617" xr:uid="{00000000-0005-0000-0000-000064870000}"/>
    <cellStyle name="Note 3 4 2 3 3 3" xfId="34618" xr:uid="{00000000-0005-0000-0000-000065870000}"/>
    <cellStyle name="Note 3 4 2 3 3 4" xfId="34619" xr:uid="{00000000-0005-0000-0000-000066870000}"/>
    <cellStyle name="Note 3 4 2 3 4" xfId="34620" xr:uid="{00000000-0005-0000-0000-000067870000}"/>
    <cellStyle name="Note 3 4 2 3 4 2" xfId="34621" xr:uid="{00000000-0005-0000-0000-000068870000}"/>
    <cellStyle name="Note 3 4 2 3 4 3" xfId="34622" xr:uid="{00000000-0005-0000-0000-000069870000}"/>
    <cellStyle name="Note 3 4 2 3 5" xfId="34623" xr:uid="{00000000-0005-0000-0000-00006A870000}"/>
    <cellStyle name="Note 3 4 2 3 6" xfId="34624" xr:uid="{00000000-0005-0000-0000-00006B870000}"/>
    <cellStyle name="Note 3 4 2 3 7" xfId="34625" xr:uid="{00000000-0005-0000-0000-00006C870000}"/>
    <cellStyle name="Note 3 4 2 4" xfId="34626" xr:uid="{00000000-0005-0000-0000-00006D870000}"/>
    <cellStyle name="Note 3 4 2 4 2" xfId="34627" xr:uid="{00000000-0005-0000-0000-00006E870000}"/>
    <cellStyle name="Note 3 4 2 4 2 2" xfId="34628" xr:uid="{00000000-0005-0000-0000-00006F870000}"/>
    <cellStyle name="Note 3 4 2 4 2 2 2" xfId="34629" xr:uid="{00000000-0005-0000-0000-000070870000}"/>
    <cellStyle name="Note 3 4 2 4 2 2 3" xfId="34630" xr:uid="{00000000-0005-0000-0000-000071870000}"/>
    <cellStyle name="Note 3 4 2 4 2 3" xfId="34631" xr:uid="{00000000-0005-0000-0000-000072870000}"/>
    <cellStyle name="Note 3 4 2 4 2 4" xfId="34632" xr:uid="{00000000-0005-0000-0000-000073870000}"/>
    <cellStyle name="Note 3 4 2 4 3" xfId="34633" xr:uid="{00000000-0005-0000-0000-000074870000}"/>
    <cellStyle name="Note 3 4 2 4 3 2" xfId="34634" xr:uid="{00000000-0005-0000-0000-000075870000}"/>
    <cellStyle name="Note 3 4 2 4 3 3" xfId="34635" xr:uid="{00000000-0005-0000-0000-000076870000}"/>
    <cellStyle name="Note 3 4 2 4 4" xfId="34636" xr:uid="{00000000-0005-0000-0000-000077870000}"/>
    <cellStyle name="Note 3 4 2 4 5" xfId="34637" xr:uid="{00000000-0005-0000-0000-000078870000}"/>
    <cellStyle name="Note 3 4 2 4 6" xfId="34638" xr:uid="{00000000-0005-0000-0000-000079870000}"/>
    <cellStyle name="Note 3 4 2 5" xfId="34639" xr:uid="{00000000-0005-0000-0000-00007A870000}"/>
    <cellStyle name="Note 3 4 2 5 2" xfId="34640" xr:uid="{00000000-0005-0000-0000-00007B870000}"/>
    <cellStyle name="Note 3 4 2 5 2 2" xfId="34641" xr:uid="{00000000-0005-0000-0000-00007C870000}"/>
    <cellStyle name="Note 3 4 2 5 2 3" xfId="34642" xr:uid="{00000000-0005-0000-0000-00007D870000}"/>
    <cellStyle name="Note 3 4 2 5 3" xfId="34643" xr:uid="{00000000-0005-0000-0000-00007E870000}"/>
    <cellStyle name="Note 3 4 2 5 4" xfId="34644" xr:uid="{00000000-0005-0000-0000-00007F870000}"/>
    <cellStyle name="Note 3 4 2 6" xfId="34645" xr:uid="{00000000-0005-0000-0000-000080870000}"/>
    <cellStyle name="Note 3 4 2 6 2" xfId="34646" xr:uid="{00000000-0005-0000-0000-000081870000}"/>
    <cellStyle name="Note 3 4 2 6 3" xfId="34647" xr:uid="{00000000-0005-0000-0000-000082870000}"/>
    <cellStyle name="Note 3 4 2 7" xfId="34648" xr:uid="{00000000-0005-0000-0000-000083870000}"/>
    <cellStyle name="Note 3 4 2 8" xfId="34649" xr:uid="{00000000-0005-0000-0000-000084870000}"/>
    <cellStyle name="Note 3 4 2 9" xfId="34650" xr:uid="{00000000-0005-0000-0000-000085870000}"/>
    <cellStyle name="Note 3 4 3" xfId="34651" xr:uid="{00000000-0005-0000-0000-000086870000}"/>
    <cellStyle name="Note 3 4 3 2" xfId="34652" xr:uid="{00000000-0005-0000-0000-000087870000}"/>
    <cellStyle name="Note 3 4 3 2 2" xfId="34653" xr:uid="{00000000-0005-0000-0000-000088870000}"/>
    <cellStyle name="Note 3 4 3 2 2 2" xfId="34654" xr:uid="{00000000-0005-0000-0000-000089870000}"/>
    <cellStyle name="Note 3 4 3 2 2 2 2" xfId="34655" xr:uid="{00000000-0005-0000-0000-00008A870000}"/>
    <cellStyle name="Note 3 4 3 2 2 2 2 2" xfId="34656" xr:uid="{00000000-0005-0000-0000-00008B870000}"/>
    <cellStyle name="Note 3 4 3 2 2 2 2 3" xfId="34657" xr:uid="{00000000-0005-0000-0000-00008C870000}"/>
    <cellStyle name="Note 3 4 3 2 2 2 3" xfId="34658" xr:uid="{00000000-0005-0000-0000-00008D870000}"/>
    <cellStyle name="Note 3 4 3 2 2 2 4" xfId="34659" xr:uid="{00000000-0005-0000-0000-00008E870000}"/>
    <cellStyle name="Note 3 4 3 2 2 3" xfId="34660" xr:uid="{00000000-0005-0000-0000-00008F870000}"/>
    <cellStyle name="Note 3 4 3 2 2 3 2" xfId="34661" xr:uid="{00000000-0005-0000-0000-000090870000}"/>
    <cellStyle name="Note 3 4 3 2 2 3 3" xfId="34662" xr:uid="{00000000-0005-0000-0000-000091870000}"/>
    <cellStyle name="Note 3 4 3 2 2 4" xfId="34663" xr:uid="{00000000-0005-0000-0000-000092870000}"/>
    <cellStyle name="Note 3 4 3 2 2 5" xfId="34664" xr:uid="{00000000-0005-0000-0000-000093870000}"/>
    <cellStyle name="Note 3 4 3 2 2 6" xfId="34665" xr:uid="{00000000-0005-0000-0000-000094870000}"/>
    <cellStyle name="Note 3 4 3 2 3" xfId="34666" xr:uid="{00000000-0005-0000-0000-000095870000}"/>
    <cellStyle name="Note 3 4 3 2 3 2" xfId="34667" xr:uid="{00000000-0005-0000-0000-000096870000}"/>
    <cellStyle name="Note 3 4 3 2 3 2 2" xfId="34668" xr:uid="{00000000-0005-0000-0000-000097870000}"/>
    <cellStyle name="Note 3 4 3 2 3 2 3" xfId="34669" xr:uid="{00000000-0005-0000-0000-000098870000}"/>
    <cellStyle name="Note 3 4 3 2 3 3" xfId="34670" xr:uid="{00000000-0005-0000-0000-000099870000}"/>
    <cellStyle name="Note 3 4 3 2 3 4" xfId="34671" xr:uid="{00000000-0005-0000-0000-00009A870000}"/>
    <cellStyle name="Note 3 4 3 2 4" xfId="34672" xr:uid="{00000000-0005-0000-0000-00009B870000}"/>
    <cellStyle name="Note 3 4 3 2 4 2" xfId="34673" xr:uid="{00000000-0005-0000-0000-00009C870000}"/>
    <cellStyle name="Note 3 4 3 2 4 3" xfId="34674" xr:uid="{00000000-0005-0000-0000-00009D870000}"/>
    <cellStyle name="Note 3 4 3 2 5" xfId="34675" xr:uid="{00000000-0005-0000-0000-00009E870000}"/>
    <cellStyle name="Note 3 4 3 2 6" xfId="34676" xr:uid="{00000000-0005-0000-0000-00009F870000}"/>
    <cellStyle name="Note 3 4 3 2 7" xfId="34677" xr:uid="{00000000-0005-0000-0000-0000A0870000}"/>
    <cellStyle name="Note 3 4 3 3" xfId="34678" xr:uid="{00000000-0005-0000-0000-0000A1870000}"/>
    <cellStyle name="Note 3 4 3 3 2" xfId="34679" xr:uid="{00000000-0005-0000-0000-0000A2870000}"/>
    <cellStyle name="Note 3 4 3 3 2 2" xfId="34680" xr:uid="{00000000-0005-0000-0000-0000A3870000}"/>
    <cellStyle name="Note 3 4 3 3 2 2 2" xfId="34681" xr:uid="{00000000-0005-0000-0000-0000A4870000}"/>
    <cellStyle name="Note 3 4 3 3 2 2 3" xfId="34682" xr:uid="{00000000-0005-0000-0000-0000A5870000}"/>
    <cellStyle name="Note 3 4 3 3 2 3" xfId="34683" xr:uid="{00000000-0005-0000-0000-0000A6870000}"/>
    <cellStyle name="Note 3 4 3 3 2 4" xfId="34684" xr:uid="{00000000-0005-0000-0000-0000A7870000}"/>
    <cellStyle name="Note 3 4 3 3 3" xfId="34685" xr:uid="{00000000-0005-0000-0000-0000A8870000}"/>
    <cellStyle name="Note 3 4 3 3 3 2" xfId="34686" xr:uid="{00000000-0005-0000-0000-0000A9870000}"/>
    <cellStyle name="Note 3 4 3 3 3 3" xfId="34687" xr:uid="{00000000-0005-0000-0000-0000AA870000}"/>
    <cellStyle name="Note 3 4 3 3 4" xfId="34688" xr:uid="{00000000-0005-0000-0000-0000AB870000}"/>
    <cellStyle name="Note 3 4 3 3 5" xfId="34689" xr:uid="{00000000-0005-0000-0000-0000AC870000}"/>
    <cellStyle name="Note 3 4 3 3 6" xfId="34690" xr:uid="{00000000-0005-0000-0000-0000AD870000}"/>
    <cellStyle name="Note 3 4 3 4" xfId="34691" xr:uid="{00000000-0005-0000-0000-0000AE870000}"/>
    <cellStyle name="Note 3 4 3 4 2" xfId="34692" xr:uid="{00000000-0005-0000-0000-0000AF870000}"/>
    <cellStyle name="Note 3 4 3 4 2 2" xfId="34693" xr:uid="{00000000-0005-0000-0000-0000B0870000}"/>
    <cellStyle name="Note 3 4 3 4 2 3" xfId="34694" xr:uid="{00000000-0005-0000-0000-0000B1870000}"/>
    <cellStyle name="Note 3 4 3 4 3" xfId="34695" xr:uid="{00000000-0005-0000-0000-0000B2870000}"/>
    <cellStyle name="Note 3 4 3 4 4" xfId="34696" xr:uid="{00000000-0005-0000-0000-0000B3870000}"/>
    <cellStyle name="Note 3 4 3 5" xfId="34697" xr:uid="{00000000-0005-0000-0000-0000B4870000}"/>
    <cellStyle name="Note 3 4 3 5 2" xfId="34698" xr:uid="{00000000-0005-0000-0000-0000B5870000}"/>
    <cellStyle name="Note 3 4 3 5 3" xfId="34699" xr:uid="{00000000-0005-0000-0000-0000B6870000}"/>
    <cellStyle name="Note 3 4 3 6" xfId="34700" xr:uid="{00000000-0005-0000-0000-0000B7870000}"/>
    <cellStyle name="Note 3 4 3 7" xfId="34701" xr:uid="{00000000-0005-0000-0000-0000B8870000}"/>
    <cellStyle name="Note 3 4 3 8" xfId="34702" xr:uid="{00000000-0005-0000-0000-0000B9870000}"/>
    <cellStyle name="Note 3 4 4" xfId="34703" xr:uid="{00000000-0005-0000-0000-0000BA870000}"/>
    <cellStyle name="Note 3 4 4 2" xfId="34704" xr:uid="{00000000-0005-0000-0000-0000BB870000}"/>
    <cellStyle name="Note 3 4 4 2 2" xfId="34705" xr:uid="{00000000-0005-0000-0000-0000BC870000}"/>
    <cellStyle name="Note 3 4 4 2 2 2" xfId="34706" xr:uid="{00000000-0005-0000-0000-0000BD870000}"/>
    <cellStyle name="Note 3 4 4 2 2 2 2" xfId="34707" xr:uid="{00000000-0005-0000-0000-0000BE870000}"/>
    <cellStyle name="Note 3 4 4 2 2 2 3" xfId="34708" xr:uid="{00000000-0005-0000-0000-0000BF870000}"/>
    <cellStyle name="Note 3 4 4 2 2 3" xfId="34709" xr:uid="{00000000-0005-0000-0000-0000C0870000}"/>
    <cellStyle name="Note 3 4 4 2 2 4" xfId="34710" xr:uid="{00000000-0005-0000-0000-0000C1870000}"/>
    <cellStyle name="Note 3 4 4 2 3" xfId="34711" xr:uid="{00000000-0005-0000-0000-0000C2870000}"/>
    <cellStyle name="Note 3 4 4 2 3 2" xfId="34712" xr:uid="{00000000-0005-0000-0000-0000C3870000}"/>
    <cellStyle name="Note 3 4 4 2 3 3" xfId="34713" xr:uid="{00000000-0005-0000-0000-0000C4870000}"/>
    <cellStyle name="Note 3 4 4 2 4" xfId="34714" xr:uid="{00000000-0005-0000-0000-0000C5870000}"/>
    <cellStyle name="Note 3 4 4 2 5" xfId="34715" xr:uid="{00000000-0005-0000-0000-0000C6870000}"/>
    <cellStyle name="Note 3 4 4 2 6" xfId="34716" xr:uid="{00000000-0005-0000-0000-0000C7870000}"/>
    <cellStyle name="Note 3 4 4 3" xfId="34717" xr:uid="{00000000-0005-0000-0000-0000C8870000}"/>
    <cellStyle name="Note 3 4 4 3 2" xfId="34718" xr:uid="{00000000-0005-0000-0000-0000C9870000}"/>
    <cellStyle name="Note 3 4 4 3 2 2" xfId="34719" xr:uid="{00000000-0005-0000-0000-0000CA870000}"/>
    <cellStyle name="Note 3 4 4 3 2 3" xfId="34720" xr:uid="{00000000-0005-0000-0000-0000CB870000}"/>
    <cellStyle name="Note 3 4 4 3 3" xfId="34721" xr:uid="{00000000-0005-0000-0000-0000CC870000}"/>
    <cellStyle name="Note 3 4 4 3 4" xfId="34722" xr:uid="{00000000-0005-0000-0000-0000CD870000}"/>
    <cellStyle name="Note 3 4 4 4" xfId="34723" xr:uid="{00000000-0005-0000-0000-0000CE870000}"/>
    <cellStyle name="Note 3 4 4 4 2" xfId="34724" xr:uid="{00000000-0005-0000-0000-0000CF870000}"/>
    <cellStyle name="Note 3 4 4 4 3" xfId="34725" xr:uid="{00000000-0005-0000-0000-0000D0870000}"/>
    <cellStyle name="Note 3 4 4 5" xfId="34726" xr:uid="{00000000-0005-0000-0000-0000D1870000}"/>
    <cellStyle name="Note 3 4 4 6" xfId="34727" xr:uid="{00000000-0005-0000-0000-0000D2870000}"/>
    <cellStyle name="Note 3 4 4 7" xfId="34728" xr:uid="{00000000-0005-0000-0000-0000D3870000}"/>
    <cellStyle name="Note 3 4 5" xfId="34729" xr:uid="{00000000-0005-0000-0000-0000D4870000}"/>
    <cellStyle name="Note 3 4 5 2" xfId="34730" xr:uid="{00000000-0005-0000-0000-0000D5870000}"/>
    <cellStyle name="Note 3 4 5 2 2" xfId="34731" xr:uid="{00000000-0005-0000-0000-0000D6870000}"/>
    <cellStyle name="Note 3 4 5 2 2 2" xfId="34732" xr:uid="{00000000-0005-0000-0000-0000D7870000}"/>
    <cellStyle name="Note 3 4 5 2 2 3" xfId="34733" xr:uid="{00000000-0005-0000-0000-0000D8870000}"/>
    <cellStyle name="Note 3 4 5 2 3" xfId="34734" xr:uid="{00000000-0005-0000-0000-0000D9870000}"/>
    <cellStyle name="Note 3 4 5 2 4" xfId="34735" xr:uid="{00000000-0005-0000-0000-0000DA870000}"/>
    <cellStyle name="Note 3 4 5 3" xfId="34736" xr:uid="{00000000-0005-0000-0000-0000DB870000}"/>
    <cellStyle name="Note 3 4 5 3 2" xfId="34737" xr:uid="{00000000-0005-0000-0000-0000DC870000}"/>
    <cellStyle name="Note 3 4 5 3 3" xfId="34738" xr:uid="{00000000-0005-0000-0000-0000DD870000}"/>
    <cellStyle name="Note 3 4 5 4" xfId="34739" xr:uid="{00000000-0005-0000-0000-0000DE870000}"/>
    <cellStyle name="Note 3 4 5 5" xfId="34740" xr:uid="{00000000-0005-0000-0000-0000DF870000}"/>
    <cellStyle name="Note 3 4 5 6" xfId="34741" xr:uid="{00000000-0005-0000-0000-0000E0870000}"/>
    <cellStyle name="Note 3 4 6" xfId="34742" xr:uid="{00000000-0005-0000-0000-0000E1870000}"/>
    <cellStyle name="Note 3 4 6 2" xfId="34743" xr:uid="{00000000-0005-0000-0000-0000E2870000}"/>
    <cellStyle name="Note 3 4 6 2 2" xfId="34744" xr:uid="{00000000-0005-0000-0000-0000E3870000}"/>
    <cellStyle name="Note 3 4 6 2 3" xfId="34745" xr:uid="{00000000-0005-0000-0000-0000E4870000}"/>
    <cellStyle name="Note 3 4 6 3" xfId="34746" xr:uid="{00000000-0005-0000-0000-0000E5870000}"/>
    <cellStyle name="Note 3 4 6 4" xfId="34747" xr:uid="{00000000-0005-0000-0000-0000E6870000}"/>
    <cellStyle name="Note 3 4 7" xfId="34748" xr:uid="{00000000-0005-0000-0000-0000E7870000}"/>
    <cellStyle name="Note 3 4 7 2" xfId="34749" xr:uid="{00000000-0005-0000-0000-0000E8870000}"/>
    <cellStyle name="Note 3 4 7 3" xfId="34750" xr:uid="{00000000-0005-0000-0000-0000E9870000}"/>
    <cellStyle name="Note 3 4 8" xfId="34751" xr:uid="{00000000-0005-0000-0000-0000EA870000}"/>
    <cellStyle name="Note 3 4 9" xfId="34752" xr:uid="{00000000-0005-0000-0000-0000EB870000}"/>
    <cellStyle name="Note 3 5" xfId="34753" xr:uid="{00000000-0005-0000-0000-0000EC870000}"/>
    <cellStyle name="Note 3 5 10" xfId="34754" xr:uid="{00000000-0005-0000-0000-0000ED870000}"/>
    <cellStyle name="Note 3 5 2" xfId="34755" xr:uid="{00000000-0005-0000-0000-0000EE870000}"/>
    <cellStyle name="Note 3 5 2 2" xfId="34756" xr:uid="{00000000-0005-0000-0000-0000EF870000}"/>
    <cellStyle name="Note 3 5 2 2 2" xfId="34757" xr:uid="{00000000-0005-0000-0000-0000F0870000}"/>
    <cellStyle name="Note 3 5 2 2 2 2" xfId="34758" xr:uid="{00000000-0005-0000-0000-0000F1870000}"/>
    <cellStyle name="Note 3 5 2 2 2 2 2" xfId="34759" xr:uid="{00000000-0005-0000-0000-0000F2870000}"/>
    <cellStyle name="Note 3 5 2 2 2 2 2 2" xfId="34760" xr:uid="{00000000-0005-0000-0000-0000F3870000}"/>
    <cellStyle name="Note 3 5 2 2 2 2 2 2 2" xfId="34761" xr:uid="{00000000-0005-0000-0000-0000F4870000}"/>
    <cellStyle name="Note 3 5 2 2 2 2 2 2 3" xfId="34762" xr:uid="{00000000-0005-0000-0000-0000F5870000}"/>
    <cellStyle name="Note 3 5 2 2 2 2 2 3" xfId="34763" xr:uid="{00000000-0005-0000-0000-0000F6870000}"/>
    <cellStyle name="Note 3 5 2 2 2 2 2 4" xfId="34764" xr:uid="{00000000-0005-0000-0000-0000F7870000}"/>
    <cellStyle name="Note 3 5 2 2 2 2 3" xfId="34765" xr:uid="{00000000-0005-0000-0000-0000F8870000}"/>
    <cellStyle name="Note 3 5 2 2 2 2 3 2" xfId="34766" xr:uid="{00000000-0005-0000-0000-0000F9870000}"/>
    <cellStyle name="Note 3 5 2 2 2 2 3 3" xfId="34767" xr:uid="{00000000-0005-0000-0000-0000FA870000}"/>
    <cellStyle name="Note 3 5 2 2 2 2 4" xfId="34768" xr:uid="{00000000-0005-0000-0000-0000FB870000}"/>
    <cellStyle name="Note 3 5 2 2 2 2 5" xfId="34769" xr:uid="{00000000-0005-0000-0000-0000FC870000}"/>
    <cellStyle name="Note 3 5 2 2 2 2 6" xfId="34770" xr:uid="{00000000-0005-0000-0000-0000FD870000}"/>
    <cellStyle name="Note 3 5 2 2 2 3" xfId="34771" xr:uid="{00000000-0005-0000-0000-0000FE870000}"/>
    <cellStyle name="Note 3 5 2 2 2 3 2" xfId="34772" xr:uid="{00000000-0005-0000-0000-0000FF870000}"/>
    <cellStyle name="Note 3 5 2 2 2 3 2 2" xfId="34773" xr:uid="{00000000-0005-0000-0000-000000880000}"/>
    <cellStyle name="Note 3 5 2 2 2 3 2 3" xfId="34774" xr:uid="{00000000-0005-0000-0000-000001880000}"/>
    <cellStyle name="Note 3 5 2 2 2 3 3" xfId="34775" xr:uid="{00000000-0005-0000-0000-000002880000}"/>
    <cellStyle name="Note 3 5 2 2 2 3 4" xfId="34776" xr:uid="{00000000-0005-0000-0000-000003880000}"/>
    <cellStyle name="Note 3 5 2 2 2 4" xfId="34777" xr:uid="{00000000-0005-0000-0000-000004880000}"/>
    <cellStyle name="Note 3 5 2 2 2 4 2" xfId="34778" xr:uid="{00000000-0005-0000-0000-000005880000}"/>
    <cellStyle name="Note 3 5 2 2 2 4 3" xfId="34779" xr:uid="{00000000-0005-0000-0000-000006880000}"/>
    <cellStyle name="Note 3 5 2 2 2 5" xfId="34780" xr:uid="{00000000-0005-0000-0000-000007880000}"/>
    <cellStyle name="Note 3 5 2 2 2 6" xfId="34781" xr:uid="{00000000-0005-0000-0000-000008880000}"/>
    <cellStyle name="Note 3 5 2 2 2 7" xfId="34782" xr:uid="{00000000-0005-0000-0000-000009880000}"/>
    <cellStyle name="Note 3 5 2 2 3" xfId="34783" xr:uid="{00000000-0005-0000-0000-00000A880000}"/>
    <cellStyle name="Note 3 5 2 2 3 2" xfId="34784" xr:uid="{00000000-0005-0000-0000-00000B880000}"/>
    <cellStyle name="Note 3 5 2 2 3 2 2" xfId="34785" xr:uid="{00000000-0005-0000-0000-00000C880000}"/>
    <cellStyle name="Note 3 5 2 2 3 2 2 2" xfId="34786" xr:uid="{00000000-0005-0000-0000-00000D880000}"/>
    <cellStyle name="Note 3 5 2 2 3 2 2 3" xfId="34787" xr:uid="{00000000-0005-0000-0000-00000E880000}"/>
    <cellStyle name="Note 3 5 2 2 3 2 3" xfId="34788" xr:uid="{00000000-0005-0000-0000-00000F880000}"/>
    <cellStyle name="Note 3 5 2 2 3 2 4" xfId="34789" xr:uid="{00000000-0005-0000-0000-000010880000}"/>
    <cellStyle name="Note 3 5 2 2 3 3" xfId="34790" xr:uid="{00000000-0005-0000-0000-000011880000}"/>
    <cellStyle name="Note 3 5 2 2 3 3 2" xfId="34791" xr:uid="{00000000-0005-0000-0000-000012880000}"/>
    <cellStyle name="Note 3 5 2 2 3 3 3" xfId="34792" xr:uid="{00000000-0005-0000-0000-000013880000}"/>
    <cellStyle name="Note 3 5 2 2 3 4" xfId="34793" xr:uid="{00000000-0005-0000-0000-000014880000}"/>
    <cellStyle name="Note 3 5 2 2 3 5" xfId="34794" xr:uid="{00000000-0005-0000-0000-000015880000}"/>
    <cellStyle name="Note 3 5 2 2 3 6" xfId="34795" xr:uid="{00000000-0005-0000-0000-000016880000}"/>
    <cellStyle name="Note 3 5 2 2 4" xfId="34796" xr:uid="{00000000-0005-0000-0000-000017880000}"/>
    <cellStyle name="Note 3 5 2 2 4 2" xfId="34797" xr:uid="{00000000-0005-0000-0000-000018880000}"/>
    <cellStyle name="Note 3 5 2 2 4 2 2" xfId="34798" xr:uid="{00000000-0005-0000-0000-000019880000}"/>
    <cellStyle name="Note 3 5 2 2 4 2 3" xfId="34799" xr:uid="{00000000-0005-0000-0000-00001A880000}"/>
    <cellStyle name="Note 3 5 2 2 4 3" xfId="34800" xr:uid="{00000000-0005-0000-0000-00001B880000}"/>
    <cellStyle name="Note 3 5 2 2 4 4" xfId="34801" xr:uid="{00000000-0005-0000-0000-00001C880000}"/>
    <cellStyle name="Note 3 5 2 2 5" xfId="34802" xr:uid="{00000000-0005-0000-0000-00001D880000}"/>
    <cellStyle name="Note 3 5 2 2 5 2" xfId="34803" xr:uid="{00000000-0005-0000-0000-00001E880000}"/>
    <cellStyle name="Note 3 5 2 2 5 3" xfId="34804" xr:uid="{00000000-0005-0000-0000-00001F880000}"/>
    <cellStyle name="Note 3 5 2 2 6" xfId="34805" xr:uid="{00000000-0005-0000-0000-000020880000}"/>
    <cellStyle name="Note 3 5 2 2 7" xfId="34806" xr:uid="{00000000-0005-0000-0000-000021880000}"/>
    <cellStyle name="Note 3 5 2 2 8" xfId="34807" xr:uid="{00000000-0005-0000-0000-000022880000}"/>
    <cellStyle name="Note 3 5 2 3" xfId="34808" xr:uid="{00000000-0005-0000-0000-000023880000}"/>
    <cellStyle name="Note 3 5 2 3 2" xfId="34809" xr:uid="{00000000-0005-0000-0000-000024880000}"/>
    <cellStyle name="Note 3 5 2 3 2 2" xfId="34810" xr:uid="{00000000-0005-0000-0000-000025880000}"/>
    <cellStyle name="Note 3 5 2 3 2 2 2" xfId="34811" xr:uid="{00000000-0005-0000-0000-000026880000}"/>
    <cellStyle name="Note 3 5 2 3 2 2 2 2" xfId="34812" xr:uid="{00000000-0005-0000-0000-000027880000}"/>
    <cellStyle name="Note 3 5 2 3 2 2 2 3" xfId="34813" xr:uid="{00000000-0005-0000-0000-000028880000}"/>
    <cellStyle name="Note 3 5 2 3 2 2 3" xfId="34814" xr:uid="{00000000-0005-0000-0000-000029880000}"/>
    <cellStyle name="Note 3 5 2 3 2 2 4" xfId="34815" xr:uid="{00000000-0005-0000-0000-00002A880000}"/>
    <cellStyle name="Note 3 5 2 3 2 3" xfId="34816" xr:uid="{00000000-0005-0000-0000-00002B880000}"/>
    <cellStyle name="Note 3 5 2 3 2 3 2" xfId="34817" xr:uid="{00000000-0005-0000-0000-00002C880000}"/>
    <cellStyle name="Note 3 5 2 3 2 3 3" xfId="34818" xr:uid="{00000000-0005-0000-0000-00002D880000}"/>
    <cellStyle name="Note 3 5 2 3 2 4" xfId="34819" xr:uid="{00000000-0005-0000-0000-00002E880000}"/>
    <cellStyle name="Note 3 5 2 3 2 5" xfId="34820" xr:uid="{00000000-0005-0000-0000-00002F880000}"/>
    <cellStyle name="Note 3 5 2 3 2 6" xfId="34821" xr:uid="{00000000-0005-0000-0000-000030880000}"/>
    <cellStyle name="Note 3 5 2 3 3" xfId="34822" xr:uid="{00000000-0005-0000-0000-000031880000}"/>
    <cellStyle name="Note 3 5 2 3 3 2" xfId="34823" xr:uid="{00000000-0005-0000-0000-000032880000}"/>
    <cellStyle name="Note 3 5 2 3 3 2 2" xfId="34824" xr:uid="{00000000-0005-0000-0000-000033880000}"/>
    <cellStyle name="Note 3 5 2 3 3 2 3" xfId="34825" xr:uid="{00000000-0005-0000-0000-000034880000}"/>
    <cellStyle name="Note 3 5 2 3 3 3" xfId="34826" xr:uid="{00000000-0005-0000-0000-000035880000}"/>
    <cellStyle name="Note 3 5 2 3 3 4" xfId="34827" xr:uid="{00000000-0005-0000-0000-000036880000}"/>
    <cellStyle name="Note 3 5 2 3 4" xfId="34828" xr:uid="{00000000-0005-0000-0000-000037880000}"/>
    <cellStyle name="Note 3 5 2 3 4 2" xfId="34829" xr:uid="{00000000-0005-0000-0000-000038880000}"/>
    <cellStyle name="Note 3 5 2 3 4 3" xfId="34830" xr:uid="{00000000-0005-0000-0000-000039880000}"/>
    <cellStyle name="Note 3 5 2 3 5" xfId="34831" xr:uid="{00000000-0005-0000-0000-00003A880000}"/>
    <cellStyle name="Note 3 5 2 3 6" xfId="34832" xr:uid="{00000000-0005-0000-0000-00003B880000}"/>
    <cellStyle name="Note 3 5 2 3 7" xfId="34833" xr:uid="{00000000-0005-0000-0000-00003C880000}"/>
    <cellStyle name="Note 3 5 2 4" xfId="34834" xr:uid="{00000000-0005-0000-0000-00003D880000}"/>
    <cellStyle name="Note 3 5 2 4 2" xfId="34835" xr:uid="{00000000-0005-0000-0000-00003E880000}"/>
    <cellStyle name="Note 3 5 2 4 2 2" xfId="34836" xr:uid="{00000000-0005-0000-0000-00003F880000}"/>
    <cellStyle name="Note 3 5 2 4 2 2 2" xfId="34837" xr:uid="{00000000-0005-0000-0000-000040880000}"/>
    <cellStyle name="Note 3 5 2 4 2 2 3" xfId="34838" xr:uid="{00000000-0005-0000-0000-000041880000}"/>
    <cellStyle name="Note 3 5 2 4 2 3" xfId="34839" xr:uid="{00000000-0005-0000-0000-000042880000}"/>
    <cellStyle name="Note 3 5 2 4 2 4" xfId="34840" xr:uid="{00000000-0005-0000-0000-000043880000}"/>
    <cellStyle name="Note 3 5 2 4 3" xfId="34841" xr:uid="{00000000-0005-0000-0000-000044880000}"/>
    <cellStyle name="Note 3 5 2 4 3 2" xfId="34842" xr:uid="{00000000-0005-0000-0000-000045880000}"/>
    <cellStyle name="Note 3 5 2 4 3 3" xfId="34843" xr:uid="{00000000-0005-0000-0000-000046880000}"/>
    <cellStyle name="Note 3 5 2 4 4" xfId="34844" xr:uid="{00000000-0005-0000-0000-000047880000}"/>
    <cellStyle name="Note 3 5 2 4 5" xfId="34845" xr:uid="{00000000-0005-0000-0000-000048880000}"/>
    <cellStyle name="Note 3 5 2 4 6" xfId="34846" xr:uid="{00000000-0005-0000-0000-000049880000}"/>
    <cellStyle name="Note 3 5 2 5" xfId="34847" xr:uid="{00000000-0005-0000-0000-00004A880000}"/>
    <cellStyle name="Note 3 5 2 5 2" xfId="34848" xr:uid="{00000000-0005-0000-0000-00004B880000}"/>
    <cellStyle name="Note 3 5 2 5 2 2" xfId="34849" xr:uid="{00000000-0005-0000-0000-00004C880000}"/>
    <cellStyle name="Note 3 5 2 5 2 3" xfId="34850" xr:uid="{00000000-0005-0000-0000-00004D880000}"/>
    <cellStyle name="Note 3 5 2 5 3" xfId="34851" xr:uid="{00000000-0005-0000-0000-00004E880000}"/>
    <cellStyle name="Note 3 5 2 5 4" xfId="34852" xr:uid="{00000000-0005-0000-0000-00004F880000}"/>
    <cellStyle name="Note 3 5 2 6" xfId="34853" xr:uid="{00000000-0005-0000-0000-000050880000}"/>
    <cellStyle name="Note 3 5 2 6 2" xfId="34854" xr:uid="{00000000-0005-0000-0000-000051880000}"/>
    <cellStyle name="Note 3 5 2 6 3" xfId="34855" xr:uid="{00000000-0005-0000-0000-000052880000}"/>
    <cellStyle name="Note 3 5 2 7" xfId="34856" xr:uid="{00000000-0005-0000-0000-000053880000}"/>
    <cellStyle name="Note 3 5 2 8" xfId="34857" xr:uid="{00000000-0005-0000-0000-000054880000}"/>
    <cellStyle name="Note 3 5 2 9" xfId="34858" xr:uid="{00000000-0005-0000-0000-000055880000}"/>
    <cellStyle name="Note 3 5 3" xfId="34859" xr:uid="{00000000-0005-0000-0000-000056880000}"/>
    <cellStyle name="Note 3 5 3 2" xfId="34860" xr:uid="{00000000-0005-0000-0000-000057880000}"/>
    <cellStyle name="Note 3 5 3 2 2" xfId="34861" xr:uid="{00000000-0005-0000-0000-000058880000}"/>
    <cellStyle name="Note 3 5 3 2 2 2" xfId="34862" xr:uid="{00000000-0005-0000-0000-000059880000}"/>
    <cellStyle name="Note 3 5 3 2 2 2 2" xfId="34863" xr:uid="{00000000-0005-0000-0000-00005A880000}"/>
    <cellStyle name="Note 3 5 3 2 2 2 2 2" xfId="34864" xr:uid="{00000000-0005-0000-0000-00005B880000}"/>
    <cellStyle name="Note 3 5 3 2 2 2 2 3" xfId="34865" xr:uid="{00000000-0005-0000-0000-00005C880000}"/>
    <cellStyle name="Note 3 5 3 2 2 2 3" xfId="34866" xr:uid="{00000000-0005-0000-0000-00005D880000}"/>
    <cellStyle name="Note 3 5 3 2 2 2 4" xfId="34867" xr:uid="{00000000-0005-0000-0000-00005E880000}"/>
    <cellStyle name="Note 3 5 3 2 2 3" xfId="34868" xr:uid="{00000000-0005-0000-0000-00005F880000}"/>
    <cellStyle name="Note 3 5 3 2 2 3 2" xfId="34869" xr:uid="{00000000-0005-0000-0000-000060880000}"/>
    <cellStyle name="Note 3 5 3 2 2 3 3" xfId="34870" xr:uid="{00000000-0005-0000-0000-000061880000}"/>
    <cellStyle name="Note 3 5 3 2 2 4" xfId="34871" xr:uid="{00000000-0005-0000-0000-000062880000}"/>
    <cellStyle name="Note 3 5 3 2 2 5" xfId="34872" xr:uid="{00000000-0005-0000-0000-000063880000}"/>
    <cellStyle name="Note 3 5 3 2 2 6" xfId="34873" xr:uid="{00000000-0005-0000-0000-000064880000}"/>
    <cellStyle name="Note 3 5 3 2 3" xfId="34874" xr:uid="{00000000-0005-0000-0000-000065880000}"/>
    <cellStyle name="Note 3 5 3 2 3 2" xfId="34875" xr:uid="{00000000-0005-0000-0000-000066880000}"/>
    <cellStyle name="Note 3 5 3 2 3 2 2" xfId="34876" xr:uid="{00000000-0005-0000-0000-000067880000}"/>
    <cellStyle name="Note 3 5 3 2 3 2 3" xfId="34877" xr:uid="{00000000-0005-0000-0000-000068880000}"/>
    <cellStyle name="Note 3 5 3 2 3 3" xfId="34878" xr:uid="{00000000-0005-0000-0000-000069880000}"/>
    <cellStyle name="Note 3 5 3 2 3 4" xfId="34879" xr:uid="{00000000-0005-0000-0000-00006A880000}"/>
    <cellStyle name="Note 3 5 3 2 4" xfId="34880" xr:uid="{00000000-0005-0000-0000-00006B880000}"/>
    <cellStyle name="Note 3 5 3 2 4 2" xfId="34881" xr:uid="{00000000-0005-0000-0000-00006C880000}"/>
    <cellStyle name="Note 3 5 3 2 4 3" xfId="34882" xr:uid="{00000000-0005-0000-0000-00006D880000}"/>
    <cellStyle name="Note 3 5 3 2 5" xfId="34883" xr:uid="{00000000-0005-0000-0000-00006E880000}"/>
    <cellStyle name="Note 3 5 3 2 6" xfId="34884" xr:uid="{00000000-0005-0000-0000-00006F880000}"/>
    <cellStyle name="Note 3 5 3 2 7" xfId="34885" xr:uid="{00000000-0005-0000-0000-000070880000}"/>
    <cellStyle name="Note 3 5 3 3" xfId="34886" xr:uid="{00000000-0005-0000-0000-000071880000}"/>
    <cellStyle name="Note 3 5 3 3 2" xfId="34887" xr:uid="{00000000-0005-0000-0000-000072880000}"/>
    <cellStyle name="Note 3 5 3 3 2 2" xfId="34888" xr:uid="{00000000-0005-0000-0000-000073880000}"/>
    <cellStyle name="Note 3 5 3 3 2 2 2" xfId="34889" xr:uid="{00000000-0005-0000-0000-000074880000}"/>
    <cellStyle name="Note 3 5 3 3 2 2 3" xfId="34890" xr:uid="{00000000-0005-0000-0000-000075880000}"/>
    <cellStyle name="Note 3 5 3 3 2 3" xfId="34891" xr:uid="{00000000-0005-0000-0000-000076880000}"/>
    <cellStyle name="Note 3 5 3 3 2 4" xfId="34892" xr:uid="{00000000-0005-0000-0000-000077880000}"/>
    <cellStyle name="Note 3 5 3 3 3" xfId="34893" xr:uid="{00000000-0005-0000-0000-000078880000}"/>
    <cellStyle name="Note 3 5 3 3 3 2" xfId="34894" xr:uid="{00000000-0005-0000-0000-000079880000}"/>
    <cellStyle name="Note 3 5 3 3 3 3" xfId="34895" xr:uid="{00000000-0005-0000-0000-00007A880000}"/>
    <cellStyle name="Note 3 5 3 3 4" xfId="34896" xr:uid="{00000000-0005-0000-0000-00007B880000}"/>
    <cellStyle name="Note 3 5 3 3 5" xfId="34897" xr:uid="{00000000-0005-0000-0000-00007C880000}"/>
    <cellStyle name="Note 3 5 3 3 6" xfId="34898" xr:uid="{00000000-0005-0000-0000-00007D880000}"/>
    <cellStyle name="Note 3 5 3 4" xfId="34899" xr:uid="{00000000-0005-0000-0000-00007E880000}"/>
    <cellStyle name="Note 3 5 3 4 2" xfId="34900" xr:uid="{00000000-0005-0000-0000-00007F880000}"/>
    <cellStyle name="Note 3 5 3 4 2 2" xfId="34901" xr:uid="{00000000-0005-0000-0000-000080880000}"/>
    <cellStyle name="Note 3 5 3 4 2 3" xfId="34902" xr:uid="{00000000-0005-0000-0000-000081880000}"/>
    <cellStyle name="Note 3 5 3 4 3" xfId="34903" xr:uid="{00000000-0005-0000-0000-000082880000}"/>
    <cellStyle name="Note 3 5 3 4 4" xfId="34904" xr:uid="{00000000-0005-0000-0000-000083880000}"/>
    <cellStyle name="Note 3 5 3 5" xfId="34905" xr:uid="{00000000-0005-0000-0000-000084880000}"/>
    <cellStyle name="Note 3 5 3 5 2" xfId="34906" xr:uid="{00000000-0005-0000-0000-000085880000}"/>
    <cellStyle name="Note 3 5 3 5 3" xfId="34907" xr:uid="{00000000-0005-0000-0000-000086880000}"/>
    <cellStyle name="Note 3 5 3 6" xfId="34908" xr:uid="{00000000-0005-0000-0000-000087880000}"/>
    <cellStyle name="Note 3 5 3 7" xfId="34909" xr:uid="{00000000-0005-0000-0000-000088880000}"/>
    <cellStyle name="Note 3 5 3 8" xfId="34910" xr:uid="{00000000-0005-0000-0000-000089880000}"/>
    <cellStyle name="Note 3 5 4" xfId="34911" xr:uid="{00000000-0005-0000-0000-00008A880000}"/>
    <cellStyle name="Note 3 5 4 2" xfId="34912" xr:uid="{00000000-0005-0000-0000-00008B880000}"/>
    <cellStyle name="Note 3 5 4 2 2" xfId="34913" xr:uid="{00000000-0005-0000-0000-00008C880000}"/>
    <cellStyle name="Note 3 5 4 2 2 2" xfId="34914" xr:uid="{00000000-0005-0000-0000-00008D880000}"/>
    <cellStyle name="Note 3 5 4 2 2 2 2" xfId="34915" xr:uid="{00000000-0005-0000-0000-00008E880000}"/>
    <cellStyle name="Note 3 5 4 2 2 2 3" xfId="34916" xr:uid="{00000000-0005-0000-0000-00008F880000}"/>
    <cellStyle name="Note 3 5 4 2 2 3" xfId="34917" xr:uid="{00000000-0005-0000-0000-000090880000}"/>
    <cellStyle name="Note 3 5 4 2 2 4" xfId="34918" xr:uid="{00000000-0005-0000-0000-000091880000}"/>
    <cellStyle name="Note 3 5 4 2 3" xfId="34919" xr:uid="{00000000-0005-0000-0000-000092880000}"/>
    <cellStyle name="Note 3 5 4 2 3 2" xfId="34920" xr:uid="{00000000-0005-0000-0000-000093880000}"/>
    <cellStyle name="Note 3 5 4 2 3 3" xfId="34921" xr:uid="{00000000-0005-0000-0000-000094880000}"/>
    <cellStyle name="Note 3 5 4 2 4" xfId="34922" xr:uid="{00000000-0005-0000-0000-000095880000}"/>
    <cellStyle name="Note 3 5 4 2 5" xfId="34923" xr:uid="{00000000-0005-0000-0000-000096880000}"/>
    <cellStyle name="Note 3 5 4 2 6" xfId="34924" xr:uid="{00000000-0005-0000-0000-000097880000}"/>
    <cellStyle name="Note 3 5 4 3" xfId="34925" xr:uid="{00000000-0005-0000-0000-000098880000}"/>
    <cellStyle name="Note 3 5 4 3 2" xfId="34926" xr:uid="{00000000-0005-0000-0000-000099880000}"/>
    <cellStyle name="Note 3 5 4 3 2 2" xfId="34927" xr:uid="{00000000-0005-0000-0000-00009A880000}"/>
    <cellStyle name="Note 3 5 4 3 2 3" xfId="34928" xr:uid="{00000000-0005-0000-0000-00009B880000}"/>
    <cellStyle name="Note 3 5 4 3 3" xfId="34929" xr:uid="{00000000-0005-0000-0000-00009C880000}"/>
    <cellStyle name="Note 3 5 4 3 4" xfId="34930" xr:uid="{00000000-0005-0000-0000-00009D880000}"/>
    <cellStyle name="Note 3 5 4 4" xfId="34931" xr:uid="{00000000-0005-0000-0000-00009E880000}"/>
    <cellStyle name="Note 3 5 4 4 2" xfId="34932" xr:uid="{00000000-0005-0000-0000-00009F880000}"/>
    <cellStyle name="Note 3 5 4 4 3" xfId="34933" xr:uid="{00000000-0005-0000-0000-0000A0880000}"/>
    <cellStyle name="Note 3 5 4 5" xfId="34934" xr:uid="{00000000-0005-0000-0000-0000A1880000}"/>
    <cellStyle name="Note 3 5 4 6" xfId="34935" xr:uid="{00000000-0005-0000-0000-0000A2880000}"/>
    <cellStyle name="Note 3 5 4 7" xfId="34936" xr:uid="{00000000-0005-0000-0000-0000A3880000}"/>
    <cellStyle name="Note 3 5 5" xfId="34937" xr:uid="{00000000-0005-0000-0000-0000A4880000}"/>
    <cellStyle name="Note 3 5 5 2" xfId="34938" xr:uid="{00000000-0005-0000-0000-0000A5880000}"/>
    <cellStyle name="Note 3 5 5 2 2" xfId="34939" xr:uid="{00000000-0005-0000-0000-0000A6880000}"/>
    <cellStyle name="Note 3 5 5 2 2 2" xfId="34940" xr:uid="{00000000-0005-0000-0000-0000A7880000}"/>
    <cellStyle name="Note 3 5 5 2 2 3" xfId="34941" xr:uid="{00000000-0005-0000-0000-0000A8880000}"/>
    <cellStyle name="Note 3 5 5 2 3" xfId="34942" xr:uid="{00000000-0005-0000-0000-0000A9880000}"/>
    <cellStyle name="Note 3 5 5 2 4" xfId="34943" xr:uid="{00000000-0005-0000-0000-0000AA880000}"/>
    <cellStyle name="Note 3 5 5 3" xfId="34944" xr:uid="{00000000-0005-0000-0000-0000AB880000}"/>
    <cellStyle name="Note 3 5 5 3 2" xfId="34945" xr:uid="{00000000-0005-0000-0000-0000AC880000}"/>
    <cellStyle name="Note 3 5 5 3 3" xfId="34946" xr:uid="{00000000-0005-0000-0000-0000AD880000}"/>
    <cellStyle name="Note 3 5 5 4" xfId="34947" xr:uid="{00000000-0005-0000-0000-0000AE880000}"/>
    <cellStyle name="Note 3 5 5 5" xfId="34948" xr:uid="{00000000-0005-0000-0000-0000AF880000}"/>
    <cellStyle name="Note 3 5 5 6" xfId="34949" xr:uid="{00000000-0005-0000-0000-0000B0880000}"/>
    <cellStyle name="Note 3 5 6" xfId="34950" xr:uid="{00000000-0005-0000-0000-0000B1880000}"/>
    <cellStyle name="Note 3 5 6 2" xfId="34951" xr:uid="{00000000-0005-0000-0000-0000B2880000}"/>
    <cellStyle name="Note 3 5 6 2 2" xfId="34952" xr:uid="{00000000-0005-0000-0000-0000B3880000}"/>
    <cellStyle name="Note 3 5 6 2 3" xfId="34953" xr:uid="{00000000-0005-0000-0000-0000B4880000}"/>
    <cellStyle name="Note 3 5 6 3" xfId="34954" xr:uid="{00000000-0005-0000-0000-0000B5880000}"/>
    <cellStyle name="Note 3 5 6 4" xfId="34955" xr:uid="{00000000-0005-0000-0000-0000B6880000}"/>
    <cellStyle name="Note 3 5 7" xfId="34956" xr:uid="{00000000-0005-0000-0000-0000B7880000}"/>
    <cellStyle name="Note 3 5 7 2" xfId="34957" xr:uid="{00000000-0005-0000-0000-0000B8880000}"/>
    <cellStyle name="Note 3 5 7 3" xfId="34958" xr:uid="{00000000-0005-0000-0000-0000B9880000}"/>
    <cellStyle name="Note 3 5 8" xfId="34959" xr:uid="{00000000-0005-0000-0000-0000BA880000}"/>
    <cellStyle name="Note 3 5 9" xfId="34960" xr:uid="{00000000-0005-0000-0000-0000BB880000}"/>
    <cellStyle name="Note 3 6" xfId="34961" xr:uid="{00000000-0005-0000-0000-0000BC880000}"/>
    <cellStyle name="Note 3 6 2" xfId="34962" xr:uid="{00000000-0005-0000-0000-0000BD880000}"/>
    <cellStyle name="Note 3 6 2 2" xfId="34963" xr:uid="{00000000-0005-0000-0000-0000BE880000}"/>
    <cellStyle name="Note 3 6 2 2 2" xfId="34964" xr:uid="{00000000-0005-0000-0000-0000BF880000}"/>
    <cellStyle name="Note 3 6 2 2 2 2" xfId="34965" xr:uid="{00000000-0005-0000-0000-0000C0880000}"/>
    <cellStyle name="Note 3 6 2 2 2 2 2" xfId="34966" xr:uid="{00000000-0005-0000-0000-0000C1880000}"/>
    <cellStyle name="Note 3 6 2 2 2 2 2 2" xfId="34967" xr:uid="{00000000-0005-0000-0000-0000C2880000}"/>
    <cellStyle name="Note 3 6 2 2 2 2 2 3" xfId="34968" xr:uid="{00000000-0005-0000-0000-0000C3880000}"/>
    <cellStyle name="Note 3 6 2 2 2 2 3" xfId="34969" xr:uid="{00000000-0005-0000-0000-0000C4880000}"/>
    <cellStyle name="Note 3 6 2 2 2 2 4" xfId="34970" xr:uid="{00000000-0005-0000-0000-0000C5880000}"/>
    <cellStyle name="Note 3 6 2 2 2 3" xfId="34971" xr:uid="{00000000-0005-0000-0000-0000C6880000}"/>
    <cellStyle name="Note 3 6 2 2 2 3 2" xfId="34972" xr:uid="{00000000-0005-0000-0000-0000C7880000}"/>
    <cellStyle name="Note 3 6 2 2 2 3 3" xfId="34973" xr:uid="{00000000-0005-0000-0000-0000C8880000}"/>
    <cellStyle name="Note 3 6 2 2 2 4" xfId="34974" xr:uid="{00000000-0005-0000-0000-0000C9880000}"/>
    <cellStyle name="Note 3 6 2 2 2 5" xfId="34975" xr:uid="{00000000-0005-0000-0000-0000CA880000}"/>
    <cellStyle name="Note 3 6 2 2 2 6" xfId="34976" xr:uid="{00000000-0005-0000-0000-0000CB880000}"/>
    <cellStyle name="Note 3 6 2 2 3" xfId="34977" xr:uid="{00000000-0005-0000-0000-0000CC880000}"/>
    <cellStyle name="Note 3 6 2 2 3 2" xfId="34978" xr:uid="{00000000-0005-0000-0000-0000CD880000}"/>
    <cellStyle name="Note 3 6 2 2 3 2 2" xfId="34979" xr:uid="{00000000-0005-0000-0000-0000CE880000}"/>
    <cellStyle name="Note 3 6 2 2 3 2 3" xfId="34980" xr:uid="{00000000-0005-0000-0000-0000CF880000}"/>
    <cellStyle name="Note 3 6 2 2 3 3" xfId="34981" xr:uid="{00000000-0005-0000-0000-0000D0880000}"/>
    <cellStyle name="Note 3 6 2 2 3 4" xfId="34982" xr:uid="{00000000-0005-0000-0000-0000D1880000}"/>
    <cellStyle name="Note 3 6 2 2 4" xfId="34983" xr:uid="{00000000-0005-0000-0000-0000D2880000}"/>
    <cellStyle name="Note 3 6 2 2 4 2" xfId="34984" xr:uid="{00000000-0005-0000-0000-0000D3880000}"/>
    <cellStyle name="Note 3 6 2 2 4 3" xfId="34985" xr:uid="{00000000-0005-0000-0000-0000D4880000}"/>
    <cellStyle name="Note 3 6 2 2 5" xfId="34986" xr:uid="{00000000-0005-0000-0000-0000D5880000}"/>
    <cellStyle name="Note 3 6 2 2 6" xfId="34987" xr:uid="{00000000-0005-0000-0000-0000D6880000}"/>
    <cellStyle name="Note 3 6 2 2 7" xfId="34988" xr:uid="{00000000-0005-0000-0000-0000D7880000}"/>
    <cellStyle name="Note 3 6 2 3" xfId="34989" xr:uid="{00000000-0005-0000-0000-0000D8880000}"/>
    <cellStyle name="Note 3 6 2 3 2" xfId="34990" xr:uid="{00000000-0005-0000-0000-0000D9880000}"/>
    <cellStyle name="Note 3 6 2 3 2 2" xfId="34991" xr:uid="{00000000-0005-0000-0000-0000DA880000}"/>
    <cellStyle name="Note 3 6 2 3 2 2 2" xfId="34992" xr:uid="{00000000-0005-0000-0000-0000DB880000}"/>
    <cellStyle name="Note 3 6 2 3 2 2 3" xfId="34993" xr:uid="{00000000-0005-0000-0000-0000DC880000}"/>
    <cellStyle name="Note 3 6 2 3 2 3" xfId="34994" xr:uid="{00000000-0005-0000-0000-0000DD880000}"/>
    <cellStyle name="Note 3 6 2 3 2 4" xfId="34995" xr:uid="{00000000-0005-0000-0000-0000DE880000}"/>
    <cellStyle name="Note 3 6 2 3 3" xfId="34996" xr:uid="{00000000-0005-0000-0000-0000DF880000}"/>
    <cellStyle name="Note 3 6 2 3 3 2" xfId="34997" xr:uid="{00000000-0005-0000-0000-0000E0880000}"/>
    <cellStyle name="Note 3 6 2 3 3 3" xfId="34998" xr:uid="{00000000-0005-0000-0000-0000E1880000}"/>
    <cellStyle name="Note 3 6 2 3 4" xfId="34999" xr:uid="{00000000-0005-0000-0000-0000E2880000}"/>
    <cellStyle name="Note 3 6 2 3 5" xfId="35000" xr:uid="{00000000-0005-0000-0000-0000E3880000}"/>
    <cellStyle name="Note 3 6 2 3 6" xfId="35001" xr:uid="{00000000-0005-0000-0000-0000E4880000}"/>
    <cellStyle name="Note 3 6 2 4" xfId="35002" xr:uid="{00000000-0005-0000-0000-0000E5880000}"/>
    <cellStyle name="Note 3 6 2 4 2" xfId="35003" xr:uid="{00000000-0005-0000-0000-0000E6880000}"/>
    <cellStyle name="Note 3 6 2 4 2 2" xfId="35004" xr:uid="{00000000-0005-0000-0000-0000E7880000}"/>
    <cellStyle name="Note 3 6 2 4 2 3" xfId="35005" xr:uid="{00000000-0005-0000-0000-0000E8880000}"/>
    <cellStyle name="Note 3 6 2 4 3" xfId="35006" xr:uid="{00000000-0005-0000-0000-0000E9880000}"/>
    <cellStyle name="Note 3 6 2 4 4" xfId="35007" xr:uid="{00000000-0005-0000-0000-0000EA880000}"/>
    <cellStyle name="Note 3 6 2 5" xfId="35008" xr:uid="{00000000-0005-0000-0000-0000EB880000}"/>
    <cellStyle name="Note 3 6 2 5 2" xfId="35009" xr:uid="{00000000-0005-0000-0000-0000EC880000}"/>
    <cellStyle name="Note 3 6 2 5 3" xfId="35010" xr:uid="{00000000-0005-0000-0000-0000ED880000}"/>
    <cellStyle name="Note 3 6 2 6" xfId="35011" xr:uid="{00000000-0005-0000-0000-0000EE880000}"/>
    <cellStyle name="Note 3 6 2 7" xfId="35012" xr:uid="{00000000-0005-0000-0000-0000EF880000}"/>
    <cellStyle name="Note 3 6 2 8" xfId="35013" xr:uid="{00000000-0005-0000-0000-0000F0880000}"/>
    <cellStyle name="Note 3 6 3" xfId="35014" xr:uid="{00000000-0005-0000-0000-0000F1880000}"/>
    <cellStyle name="Note 3 6 3 2" xfId="35015" xr:uid="{00000000-0005-0000-0000-0000F2880000}"/>
    <cellStyle name="Note 3 6 3 2 2" xfId="35016" xr:uid="{00000000-0005-0000-0000-0000F3880000}"/>
    <cellStyle name="Note 3 6 3 2 2 2" xfId="35017" xr:uid="{00000000-0005-0000-0000-0000F4880000}"/>
    <cellStyle name="Note 3 6 3 2 2 2 2" xfId="35018" xr:uid="{00000000-0005-0000-0000-0000F5880000}"/>
    <cellStyle name="Note 3 6 3 2 2 2 3" xfId="35019" xr:uid="{00000000-0005-0000-0000-0000F6880000}"/>
    <cellStyle name="Note 3 6 3 2 2 3" xfId="35020" xr:uid="{00000000-0005-0000-0000-0000F7880000}"/>
    <cellStyle name="Note 3 6 3 2 2 4" xfId="35021" xr:uid="{00000000-0005-0000-0000-0000F8880000}"/>
    <cellStyle name="Note 3 6 3 2 3" xfId="35022" xr:uid="{00000000-0005-0000-0000-0000F9880000}"/>
    <cellStyle name="Note 3 6 3 2 3 2" xfId="35023" xr:uid="{00000000-0005-0000-0000-0000FA880000}"/>
    <cellStyle name="Note 3 6 3 2 3 3" xfId="35024" xr:uid="{00000000-0005-0000-0000-0000FB880000}"/>
    <cellStyle name="Note 3 6 3 2 4" xfId="35025" xr:uid="{00000000-0005-0000-0000-0000FC880000}"/>
    <cellStyle name="Note 3 6 3 2 5" xfId="35026" xr:uid="{00000000-0005-0000-0000-0000FD880000}"/>
    <cellStyle name="Note 3 6 3 2 6" xfId="35027" xr:uid="{00000000-0005-0000-0000-0000FE880000}"/>
    <cellStyle name="Note 3 6 3 3" xfId="35028" xr:uid="{00000000-0005-0000-0000-0000FF880000}"/>
    <cellStyle name="Note 3 6 3 3 2" xfId="35029" xr:uid="{00000000-0005-0000-0000-000000890000}"/>
    <cellStyle name="Note 3 6 3 3 2 2" xfId="35030" xr:uid="{00000000-0005-0000-0000-000001890000}"/>
    <cellStyle name="Note 3 6 3 3 2 3" xfId="35031" xr:uid="{00000000-0005-0000-0000-000002890000}"/>
    <cellStyle name="Note 3 6 3 3 3" xfId="35032" xr:uid="{00000000-0005-0000-0000-000003890000}"/>
    <cellStyle name="Note 3 6 3 3 4" xfId="35033" xr:uid="{00000000-0005-0000-0000-000004890000}"/>
    <cellStyle name="Note 3 6 3 4" xfId="35034" xr:uid="{00000000-0005-0000-0000-000005890000}"/>
    <cellStyle name="Note 3 6 3 4 2" xfId="35035" xr:uid="{00000000-0005-0000-0000-000006890000}"/>
    <cellStyle name="Note 3 6 3 4 3" xfId="35036" xr:uid="{00000000-0005-0000-0000-000007890000}"/>
    <cellStyle name="Note 3 6 3 5" xfId="35037" xr:uid="{00000000-0005-0000-0000-000008890000}"/>
    <cellStyle name="Note 3 6 3 6" xfId="35038" xr:uid="{00000000-0005-0000-0000-000009890000}"/>
    <cellStyle name="Note 3 6 3 7" xfId="35039" xr:uid="{00000000-0005-0000-0000-00000A890000}"/>
    <cellStyle name="Note 3 6 4" xfId="35040" xr:uid="{00000000-0005-0000-0000-00000B890000}"/>
    <cellStyle name="Note 3 6 4 2" xfId="35041" xr:uid="{00000000-0005-0000-0000-00000C890000}"/>
    <cellStyle name="Note 3 6 4 2 2" xfId="35042" xr:uid="{00000000-0005-0000-0000-00000D890000}"/>
    <cellStyle name="Note 3 6 4 2 2 2" xfId="35043" xr:uid="{00000000-0005-0000-0000-00000E890000}"/>
    <cellStyle name="Note 3 6 4 2 2 3" xfId="35044" xr:uid="{00000000-0005-0000-0000-00000F890000}"/>
    <cellStyle name="Note 3 6 4 2 3" xfId="35045" xr:uid="{00000000-0005-0000-0000-000010890000}"/>
    <cellStyle name="Note 3 6 4 2 4" xfId="35046" xr:uid="{00000000-0005-0000-0000-000011890000}"/>
    <cellStyle name="Note 3 6 4 3" xfId="35047" xr:uid="{00000000-0005-0000-0000-000012890000}"/>
    <cellStyle name="Note 3 6 4 3 2" xfId="35048" xr:uid="{00000000-0005-0000-0000-000013890000}"/>
    <cellStyle name="Note 3 6 4 3 3" xfId="35049" xr:uid="{00000000-0005-0000-0000-000014890000}"/>
    <cellStyle name="Note 3 6 4 4" xfId="35050" xr:uid="{00000000-0005-0000-0000-000015890000}"/>
    <cellStyle name="Note 3 6 4 5" xfId="35051" xr:uid="{00000000-0005-0000-0000-000016890000}"/>
    <cellStyle name="Note 3 6 4 6" xfId="35052" xr:uid="{00000000-0005-0000-0000-000017890000}"/>
    <cellStyle name="Note 3 6 5" xfId="35053" xr:uid="{00000000-0005-0000-0000-000018890000}"/>
    <cellStyle name="Note 3 6 5 2" xfId="35054" xr:uid="{00000000-0005-0000-0000-000019890000}"/>
    <cellStyle name="Note 3 6 5 2 2" xfId="35055" xr:uid="{00000000-0005-0000-0000-00001A890000}"/>
    <cellStyle name="Note 3 6 5 2 3" xfId="35056" xr:uid="{00000000-0005-0000-0000-00001B890000}"/>
    <cellStyle name="Note 3 6 5 3" xfId="35057" xr:uid="{00000000-0005-0000-0000-00001C890000}"/>
    <cellStyle name="Note 3 6 5 4" xfId="35058" xr:uid="{00000000-0005-0000-0000-00001D890000}"/>
    <cellStyle name="Note 3 6 6" xfId="35059" xr:uid="{00000000-0005-0000-0000-00001E890000}"/>
    <cellStyle name="Note 3 6 6 2" xfId="35060" xr:uid="{00000000-0005-0000-0000-00001F890000}"/>
    <cellStyle name="Note 3 6 6 3" xfId="35061" xr:uid="{00000000-0005-0000-0000-000020890000}"/>
    <cellStyle name="Note 3 6 7" xfId="35062" xr:uid="{00000000-0005-0000-0000-000021890000}"/>
    <cellStyle name="Note 3 6 8" xfId="35063" xr:uid="{00000000-0005-0000-0000-000022890000}"/>
    <cellStyle name="Note 3 6 9" xfId="35064" xr:uid="{00000000-0005-0000-0000-000023890000}"/>
    <cellStyle name="Note 3 7" xfId="35065" xr:uid="{00000000-0005-0000-0000-000024890000}"/>
    <cellStyle name="Note 3 7 2" xfId="35066" xr:uid="{00000000-0005-0000-0000-000025890000}"/>
    <cellStyle name="Note 3 7 2 2" xfId="35067" xr:uid="{00000000-0005-0000-0000-000026890000}"/>
    <cellStyle name="Note 3 7 2 2 2" xfId="35068" xr:uid="{00000000-0005-0000-0000-000027890000}"/>
    <cellStyle name="Note 3 7 2 2 2 2" xfId="35069" xr:uid="{00000000-0005-0000-0000-000028890000}"/>
    <cellStyle name="Note 3 7 2 2 2 2 2" xfId="35070" xr:uid="{00000000-0005-0000-0000-000029890000}"/>
    <cellStyle name="Note 3 7 2 2 2 2 2 2" xfId="35071" xr:uid="{00000000-0005-0000-0000-00002A890000}"/>
    <cellStyle name="Note 3 7 2 2 2 2 2 3" xfId="35072" xr:uid="{00000000-0005-0000-0000-00002B890000}"/>
    <cellStyle name="Note 3 7 2 2 2 2 3" xfId="35073" xr:uid="{00000000-0005-0000-0000-00002C890000}"/>
    <cellStyle name="Note 3 7 2 2 2 2 4" xfId="35074" xr:uid="{00000000-0005-0000-0000-00002D890000}"/>
    <cellStyle name="Note 3 7 2 2 2 3" xfId="35075" xr:uid="{00000000-0005-0000-0000-00002E890000}"/>
    <cellStyle name="Note 3 7 2 2 2 3 2" xfId="35076" xr:uid="{00000000-0005-0000-0000-00002F890000}"/>
    <cellStyle name="Note 3 7 2 2 2 3 3" xfId="35077" xr:uid="{00000000-0005-0000-0000-000030890000}"/>
    <cellStyle name="Note 3 7 2 2 2 4" xfId="35078" xr:uid="{00000000-0005-0000-0000-000031890000}"/>
    <cellStyle name="Note 3 7 2 2 2 5" xfId="35079" xr:uid="{00000000-0005-0000-0000-000032890000}"/>
    <cellStyle name="Note 3 7 2 2 2 6" xfId="35080" xr:uid="{00000000-0005-0000-0000-000033890000}"/>
    <cellStyle name="Note 3 7 2 2 3" xfId="35081" xr:uid="{00000000-0005-0000-0000-000034890000}"/>
    <cellStyle name="Note 3 7 2 2 3 2" xfId="35082" xr:uid="{00000000-0005-0000-0000-000035890000}"/>
    <cellStyle name="Note 3 7 2 2 3 2 2" xfId="35083" xr:uid="{00000000-0005-0000-0000-000036890000}"/>
    <cellStyle name="Note 3 7 2 2 3 2 3" xfId="35084" xr:uid="{00000000-0005-0000-0000-000037890000}"/>
    <cellStyle name="Note 3 7 2 2 3 3" xfId="35085" xr:uid="{00000000-0005-0000-0000-000038890000}"/>
    <cellStyle name="Note 3 7 2 2 3 4" xfId="35086" xr:uid="{00000000-0005-0000-0000-000039890000}"/>
    <cellStyle name="Note 3 7 2 2 4" xfId="35087" xr:uid="{00000000-0005-0000-0000-00003A890000}"/>
    <cellStyle name="Note 3 7 2 2 4 2" xfId="35088" xr:uid="{00000000-0005-0000-0000-00003B890000}"/>
    <cellStyle name="Note 3 7 2 2 4 3" xfId="35089" xr:uid="{00000000-0005-0000-0000-00003C890000}"/>
    <cellStyle name="Note 3 7 2 2 5" xfId="35090" xr:uid="{00000000-0005-0000-0000-00003D890000}"/>
    <cellStyle name="Note 3 7 2 2 6" xfId="35091" xr:uid="{00000000-0005-0000-0000-00003E890000}"/>
    <cellStyle name="Note 3 7 2 2 7" xfId="35092" xr:uid="{00000000-0005-0000-0000-00003F890000}"/>
    <cellStyle name="Note 3 7 2 3" xfId="35093" xr:uid="{00000000-0005-0000-0000-000040890000}"/>
    <cellStyle name="Note 3 7 2 3 2" xfId="35094" xr:uid="{00000000-0005-0000-0000-000041890000}"/>
    <cellStyle name="Note 3 7 2 3 2 2" xfId="35095" xr:uid="{00000000-0005-0000-0000-000042890000}"/>
    <cellStyle name="Note 3 7 2 3 2 2 2" xfId="35096" xr:uid="{00000000-0005-0000-0000-000043890000}"/>
    <cellStyle name="Note 3 7 2 3 2 2 3" xfId="35097" xr:uid="{00000000-0005-0000-0000-000044890000}"/>
    <cellStyle name="Note 3 7 2 3 2 3" xfId="35098" xr:uid="{00000000-0005-0000-0000-000045890000}"/>
    <cellStyle name="Note 3 7 2 3 2 4" xfId="35099" xr:uid="{00000000-0005-0000-0000-000046890000}"/>
    <cellStyle name="Note 3 7 2 3 3" xfId="35100" xr:uid="{00000000-0005-0000-0000-000047890000}"/>
    <cellStyle name="Note 3 7 2 3 3 2" xfId="35101" xr:uid="{00000000-0005-0000-0000-000048890000}"/>
    <cellStyle name="Note 3 7 2 3 3 3" xfId="35102" xr:uid="{00000000-0005-0000-0000-000049890000}"/>
    <cellStyle name="Note 3 7 2 3 4" xfId="35103" xr:uid="{00000000-0005-0000-0000-00004A890000}"/>
    <cellStyle name="Note 3 7 2 3 5" xfId="35104" xr:uid="{00000000-0005-0000-0000-00004B890000}"/>
    <cellStyle name="Note 3 7 2 3 6" xfId="35105" xr:uid="{00000000-0005-0000-0000-00004C890000}"/>
    <cellStyle name="Note 3 7 2 4" xfId="35106" xr:uid="{00000000-0005-0000-0000-00004D890000}"/>
    <cellStyle name="Note 3 7 2 4 2" xfId="35107" xr:uid="{00000000-0005-0000-0000-00004E890000}"/>
    <cellStyle name="Note 3 7 2 4 2 2" xfId="35108" xr:uid="{00000000-0005-0000-0000-00004F890000}"/>
    <cellStyle name="Note 3 7 2 4 2 3" xfId="35109" xr:uid="{00000000-0005-0000-0000-000050890000}"/>
    <cellStyle name="Note 3 7 2 4 3" xfId="35110" xr:uid="{00000000-0005-0000-0000-000051890000}"/>
    <cellStyle name="Note 3 7 2 4 4" xfId="35111" xr:uid="{00000000-0005-0000-0000-000052890000}"/>
    <cellStyle name="Note 3 7 2 5" xfId="35112" xr:uid="{00000000-0005-0000-0000-000053890000}"/>
    <cellStyle name="Note 3 7 2 5 2" xfId="35113" xr:uid="{00000000-0005-0000-0000-000054890000}"/>
    <cellStyle name="Note 3 7 2 5 3" xfId="35114" xr:uid="{00000000-0005-0000-0000-000055890000}"/>
    <cellStyle name="Note 3 7 2 6" xfId="35115" xr:uid="{00000000-0005-0000-0000-000056890000}"/>
    <cellStyle name="Note 3 7 2 7" xfId="35116" xr:uid="{00000000-0005-0000-0000-000057890000}"/>
    <cellStyle name="Note 3 7 2 8" xfId="35117" xr:uid="{00000000-0005-0000-0000-000058890000}"/>
    <cellStyle name="Note 3 7 3" xfId="35118" xr:uid="{00000000-0005-0000-0000-000059890000}"/>
    <cellStyle name="Note 3 7 3 2" xfId="35119" xr:uid="{00000000-0005-0000-0000-00005A890000}"/>
    <cellStyle name="Note 3 7 3 2 2" xfId="35120" xr:uid="{00000000-0005-0000-0000-00005B890000}"/>
    <cellStyle name="Note 3 7 3 2 2 2" xfId="35121" xr:uid="{00000000-0005-0000-0000-00005C890000}"/>
    <cellStyle name="Note 3 7 3 2 2 2 2" xfId="35122" xr:uid="{00000000-0005-0000-0000-00005D890000}"/>
    <cellStyle name="Note 3 7 3 2 2 2 3" xfId="35123" xr:uid="{00000000-0005-0000-0000-00005E890000}"/>
    <cellStyle name="Note 3 7 3 2 2 3" xfId="35124" xr:uid="{00000000-0005-0000-0000-00005F890000}"/>
    <cellStyle name="Note 3 7 3 2 2 4" xfId="35125" xr:uid="{00000000-0005-0000-0000-000060890000}"/>
    <cellStyle name="Note 3 7 3 2 3" xfId="35126" xr:uid="{00000000-0005-0000-0000-000061890000}"/>
    <cellStyle name="Note 3 7 3 2 3 2" xfId="35127" xr:uid="{00000000-0005-0000-0000-000062890000}"/>
    <cellStyle name="Note 3 7 3 2 3 3" xfId="35128" xr:uid="{00000000-0005-0000-0000-000063890000}"/>
    <cellStyle name="Note 3 7 3 2 4" xfId="35129" xr:uid="{00000000-0005-0000-0000-000064890000}"/>
    <cellStyle name="Note 3 7 3 2 5" xfId="35130" xr:uid="{00000000-0005-0000-0000-000065890000}"/>
    <cellStyle name="Note 3 7 3 2 6" xfId="35131" xr:uid="{00000000-0005-0000-0000-000066890000}"/>
    <cellStyle name="Note 3 7 3 3" xfId="35132" xr:uid="{00000000-0005-0000-0000-000067890000}"/>
    <cellStyle name="Note 3 7 3 3 2" xfId="35133" xr:uid="{00000000-0005-0000-0000-000068890000}"/>
    <cellStyle name="Note 3 7 3 3 2 2" xfId="35134" xr:uid="{00000000-0005-0000-0000-000069890000}"/>
    <cellStyle name="Note 3 7 3 3 2 3" xfId="35135" xr:uid="{00000000-0005-0000-0000-00006A890000}"/>
    <cellStyle name="Note 3 7 3 3 3" xfId="35136" xr:uid="{00000000-0005-0000-0000-00006B890000}"/>
    <cellStyle name="Note 3 7 3 3 4" xfId="35137" xr:uid="{00000000-0005-0000-0000-00006C890000}"/>
    <cellStyle name="Note 3 7 3 4" xfId="35138" xr:uid="{00000000-0005-0000-0000-00006D890000}"/>
    <cellStyle name="Note 3 7 3 4 2" xfId="35139" xr:uid="{00000000-0005-0000-0000-00006E890000}"/>
    <cellStyle name="Note 3 7 3 4 3" xfId="35140" xr:uid="{00000000-0005-0000-0000-00006F890000}"/>
    <cellStyle name="Note 3 7 3 5" xfId="35141" xr:uid="{00000000-0005-0000-0000-000070890000}"/>
    <cellStyle name="Note 3 7 3 6" xfId="35142" xr:uid="{00000000-0005-0000-0000-000071890000}"/>
    <cellStyle name="Note 3 7 3 7" xfId="35143" xr:uid="{00000000-0005-0000-0000-000072890000}"/>
    <cellStyle name="Note 3 7 4" xfId="35144" xr:uid="{00000000-0005-0000-0000-000073890000}"/>
    <cellStyle name="Note 3 7 4 2" xfId="35145" xr:uid="{00000000-0005-0000-0000-000074890000}"/>
    <cellStyle name="Note 3 7 4 2 2" xfId="35146" xr:uid="{00000000-0005-0000-0000-000075890000}"/>
    <cellStyle name="Note 3 7 4 2 2 2" xfId="35147" xr:uid="{00000000-0005-0000-0000-000076890000}"/>
    <cellStyle name="Note 3 7 4 2 2 3" xfId="35148" xr:uid="{00000000-0005-0000-0000-000077890000}"/>
    <cellStyle name="Note 3 7 4 2 3" xfId="35149" xr:uid="{00000000-0005-0000-0000-000078890000}"/>
    <cellStyle name="Note 3 7 4 2 4" xfId="35150" xr:uid="{00000000-0005-0000-0000-000079890000}"/>
    <cellStyle name="Note 3 7 4 3" xfId="35151" xr:uid="{00000000-0005-0000-0000-00007A890000}"/>
    <cellStyle name="Note 3 7 4 3 2" xfId="35152" xr:uid="{00000000-0005-0000-0000-00007B890000}"/>
    <cellStyle name="Note 3 7 4 3 3" xfId="35153" xr:uid="{00000000-0005-0000-0000-00007C890000}"/>
    <cellStyle name="Note 3 7 4 4" xfId="35154" xr:uid="{00000000-0005-0000-0000-00007D890000}"/>
    <cellStyle name="Note 3 7 4 5" xfId="35155" xr:uid="{00000000-0005-0000-0000-00007E890000}"/>
    <cellStyle name="Note 3 7 4 6" xfId="35156" xr:uid="{00000000-0005-0000-0000-00007F890000}"/>
    <cellStyle name="Note 3 7 5" xfId="35157" xr:uid="{00000000-0005-0000-0000-000080890000}"/>
    <cellStyle name="Note 3 7 5 2" xfId="35158" xr:uid="{00000000-0005-0000-0000-000081890000}"/>
    <cellStyle name="Note 3 7 5 2 2" xfId="35159" xr:uid="{00000000-0005-0000-0000-000082890000}"/>
    <cellStyle name="Note 3 7 5 2 3" xfId="35160" xr:uid="{00000000-0005-0000-0000-000083890000}"/>
    <cellStyle name="Note 3 7 5 3" xfId="35161" xr:uid="{00000000-0005-0000-0000-000084890000}"/>
    <cellStyle name="Note 3 7 5 4" xfId="35162" xr:uid="{00000000-0005-0000-0000-000085890000}"/>
    <cellStyle name="Note 3 7 6" xfId="35163" xr:uid="{00000000-0005-0000-0000-000086890000}"/>
    <cellStyle name="Note 3 7 6 2" xfId="35164" xr:uid="{00000000-0005-0000-0000-000087890000}"/>
    <cellStyle name="Note 3 7 6 3" xfId="35165" xr:uid="{00000000-0005-0000-0000-000088890000}"/>
    <cellStyle name="Note 3 7 7" xfId="35166" xr:uid="{00000000-0005-0000-0000-000089890000}"/>
    <cellStyle name="Note 3 7 8" xfId="35167" xr:uid="{00000000-0005-0000-0000-00008A890000}"/>
    <cellStyle name="Note 3 7 9" xfId="35168" xr:uid="{00000000-0005-0000-0000-00008B890000}"/>
    <cellStyle name="Note 3 8" xfId="35169" xr:uid="{00000000-0005-0000-0000-00008C890000}"/>
    <cellStyle name="Note 3 8 2" xfId="35170" xr:uid="{00000000-0005-0000-0000-00008D890000}"/>
    <cellStyle name="Note 3 8 2 2" xfId="35171" xr:uid="{00000000-0005-0000-0000-00008E890000}"/>
    <cellStyle name="Note 3 8 2 2 2" xfId="35172" xr:uid="{00000000-0005-0000-0000-00008F890000}"/>
    <cellStyle name="Note 3 8 2 2 2 2" xfId="35173" xr:uid="{00000000-0005-0000-0000-000090890000}"/>
    <cellStyle name="Note 3 8 2 2 2 2 2" xfId="35174" xr:uid="{00000000-0005-0000-0000-000091890000}"/>
    <cellStyle name="Note 3 8 2 2 2 2 3" xfId="35175" xr:uid="{00000000-0005-0000-0000-000092890000}"/>
    <cellStyle name="Note 3 8 2 2 2 3" xfId="35176" xr:uid="{00000000-0005-0000-0000-000093890000}"/>
    <cellStyle name="Note 3 8 2 2 2 4" xfId="35177" xr:uid="{00000000-0005-0000-0000-000094890000}"/>
    <cellStyle name="Note 3 8 2 2 3" xfId="35178" xr:uid="{00000000-0005-0000-0000-000095890000}"/>
    <cellStyle name="Note 3 8 2 2 3 2" xfId="35179" xr:uid="{00000000-0005-0000-0000-000096890000}"/>
    <cellStyle name="Note 3 8 2 2 3 3" xfId="35180" xr:uid="{00000000-0005-0000-0000-000097890000}"/>
    <cellStyle name="Note 3 8 2 2 4" xfId="35181" xr:uid="{00000000-0005-0000-0000-000098890000}"/>
    <cellStyle name="Note 3 8 2 2 5" xfId="35182" xr:uid="{00000000-0005-0000-0000-000099890000}"/>
    <cellStyle name="Note 3 8 2 2 6" xfId="35183" xr:uid="{00000000-0005-0000-0000-00009A890000}"/>
    <cellStyle name="Note 3 8 2 3" xfId="35184" xr:uid="{00000000-0005-0000-0000-00009B890000}"/>
    <cellStyle name="Note 3 8 2 3 2" xfId="35185" xr:uid="{00000000-0005-0000-0000-00009C890000}"/>
    <cellStyle name="Note 3 8 2 3 2 2" xfId="35186" xr:uid="{00000000-0005-0000-0000-00009D890000}"/>
    <cellStyle name="Note 3 8 2 3 2 3" xfId="35187" xr:uid="{00000000-0005-0000-0000-00009E890000}"/>
    <cellStyle name="Note 3 8 2 3 3" xfId="35188" xr:uid="{00000000-0005-0000-0000-00009F890000}"/>
    <cellStyle name="Note 3 8 2 3 4" xfId="35189" xr:uid="{00000000-0005-0000-0000-0000A0890000}"/>
    <cellStyle name="Note 3 8 2 4" xfId="35190" xr:uid="{00000000-0005-0000-0000-0000A1890000}"/>
    <cellStyle name="Note 3 8 2 4 2" xfId="35191" xr:uid="{00000000-0005-0000-0000-0000A2890000}"/>
    <cellStyle name="Note 3 8 2 4 3" xfId="35192" xr:uid="{00000000-0005-0000-0000-0000A3890000}"/>
    <cellStyle name="Note 3 8 2 5" xfId="35193" xr:uid="{00000000-0005-0000-0000-0000A4890000}"/>
    <cellStyle name="Note 3 8 2 6" xfId="35194" xr:uid="{00000000-0005-0000-0000-0000A5890000}"/>
    <cellStyle name="Note 3 8 2 7" xfId="35195" xr:uid="{00000000-0005-0000-0000-0000A6890000}"/>
    <cellStyle name="Note 3 8 3" xfId="35196" xr:uid="{00000000-0005-0000-0000-0000A7890000}"/>
    <cellStyle name="Note 3 8 3 2" xfId="35197" xr:uid="{00000000-0005-0000-0000-0000A8890000}"/>
    <cellStyle name="Note 3 8 3 2 2" xfId="35198" xr:uid="{00000000-0005-0000-0000-0000A9890000}"/>
    <cellStyle name="Note 3 8 3 2 2 2" xfId="35199" xr:uid="{00000000-0005-0000-0000-0000AA890000}"/>
    <cellStyle name="Note 3 8 3 2 2 3" xfId="35200" xr:uid="{00000000-0005-0000-0000-0000AB890000}"/>
    <cellStyle name="Note 3 8 3 2 3" xfId="35201" xr:uid="{00000000-0005-0000-0000-0000AC890000}"/>
    <cellStyle name="Note 3 8 3 2 4" xfId="35202" xr:uid="{00000000-0005-0000-0000-0000AD890000}"/>
    <cellStyle name="Note 3 8 3 3" xfId="35203" xr:uid="{00000000-0005-0000-0000-0000AE890000}"/>
    <cellStyle name="Note 3 8 3 3 2" xfId="35204" xr:uid="{00000000-0005-0000-0000-0000AF890000}"/>
    <cellStyle name="Note 3 8 3 3 3" xfId="35205" xr:uid="{00000000-0005-0000-0000-0000B0890000}"/>
    <cellStyle name="Note 3 8 3 4" xfId="35206" xr:uid="{00000000-0005-0000-0000-0000B1890000}"/>
    <cellStyle name="Note 3 8 3 5" xfId="35207" xr:uid="{00000000-0005-0000-0000-0000B2890000}"/>
    <cellStyle name="Note 3 8 3 6" xfId="35208" xr:uid="{00000000-0005-0000-0000-0000B3890000}"/>
    <cellStyle name="Note 3 8 4" xfId="35209" xr:uid="{00000000-0005-0000-0000-0000B4890000}"/>
    <cellStyle name="Note 3 8 4 2" xfId="35210" xr:uid="{00000000-0005-0000-0000-0000B5890000}"/>
    <cellStyle name="Note 3 8 4 2 2" xfId="35211" xr:uid="{00000000-0005-0000-0000-0000B6890000}"/>
    <cellStyle name="Note 3 8 4 2 3" xfId="35212" xr:uid="{00000000-0005-0000-0000-0000B7890000}"/>
    <cellStyle name="Note 3 8 4 3" xfId="35213" xr:uid="{00000000-0005-0000-0000-0000B8890000}"/>
    <cellStyle name="Note 3 8 4 4" xfId="35214" xr:uid="{00000000-0005-0000-0000-0000B9890000}"/>
    <cellStyle name="Note 3 8 5" xfId="35215" xr:uid="{00000000-0005-0000-0000-0000BA890000}"/>
    <cellStyle name="Note 3 8 5 2" xfId="35216" xr:uid="{00000000-0005-0000-0000-0000BB890000}"/>
    <cellStyle name="Note 3 8 5 3" xfId="35217" xr:uid="{00000000-0005-0000-0000-0000BC890000}"/>
    <cellStyle name="Note 3 8 6" xfId="35218" xr:uid="{00000000-0005-0000-0000-0000BD890000}"/>
    <cellStyle name="Note 3 8 7" xfId="35219" xr:uid="{00000000-0005-0000-0000-0000BE890000}"/>
    <cellStyle name="Note 3 8 8" xfId="35220" xr:uid="{00000000-0005-0000-0000-0000BF890000}"/>
    <cellStyle name="Note 3 9" xfId="35221" xr:uid="{00000000-0005-0000-0000-0000C0890000}"/>
    <cellStyle name="Note 3 9 2" xfId="35222" xr:uid="{00000000-0005-0000-0000-0000C1890000}"/>
    <cellStyle name="Note 3 9 2 2" xfId="35223" xr:uid="{00000000-0005-0000-0000-0000C2890000}"/>
    <cellStyle name="Note 3 9 2 2 2" xfId="35224" xr:uid="{00000000-0005-0000-0000-0000C3890000}"/>
    <cellStyle name="Note 3 9 2 2 2 2" xfId="35225" xr:uid="{00000000-0005-0000-0000-0000C4890000}"/>
    <cellStyle name="Note 3 9 2 2 2 2 2" xfId="35226" xr:uid="{00000000-0005-0000-0000-0000C5890000}"/>
    <cellStyle name="Note 3 9 2 2 2 2 3" xfId="35227" xr:uid="{00000000-0005-0000-0000-0000C6890000}"/>
    <cellStyle name="Note 3 9 2 2 2 3" xfId="35228" xr:uid="{00000000-0005-0000-0000-0000C7890000}"/>
    <cellStyle name="Note 3 9 2 2 2 4" xfId="35229" xr:uid="{00000000-0005-0000-0000-0000C8890000}"/>
    <cellStyle name="Note 3 9 2 2 3" xfId="35230" xr:uid="{00000000-0005-0000-0000-0000C9890000}"/>
    <cellStyle name="Note 3 9 2 2 3 2" xfId="35231" xr:uid="{00000000-0005-0000-0000-0000CA890000}"/>
    <cellStyle name="Note 3 9 2 2 3 3" xfId="35232" xr:uid="{00000000-0005-0000-0000-0000CB890000}"/>
    <cellStyle name="Note 3 9 2 2 4" xfId="35233" xr:uid="{00000000-0005-0000-0000-0000CC890000}"/>
    <cellStyle name="Note 3 9 2 2 5" xfId="35234" xr:uid="{00000000-0005-0000-0000-0000CD890000}"/>
    <cellStyle name="Note 3 9 2 2 6" xfId="35235" xr:uid="{00000000-0005-0000-0000-0000CE890000}"/>
    <cellStyle name="Note 3 9 2 3" xfId="35236" xr:uid="{00000000-0005-0000-0000-0000CF890000}"/>
    <cellStyle name="Note 3 9 2 3 2" xfId="35237" xr:uid="{00000000-0005-0000-0000-0000D0890000}"/>
    <cellStyle name="Note 3 9 2 3 2 2" xfId="35238" xr:uid="{00000000-0005-0000-0000-0000D1890000}"/>
    <cellStyle name="Note 3 9 2 3 2 3" xfId="35239" xr:uid="{00000000-0005-0000-0000-0000D2890000}"/>
    <cellStyle name="Note 3 9 2 3 3" xfId="35240" xr:uid="{00000000-0005-0000-0000-0000D3890000}"/>
    <cellStyle name="Note 3 9 2 3 4" xfId="35241" xr:uid="{00000000-0005-0000-0000-0000D4890000}"/>
    <cellStyle name="Note 3 9 2 4" xfId="35242" xr:uid="{00000000-0005-0000-0000-0000D5890000}"/>
    <cellStyle name="Note 3 9 2 4 2" xfId="35243" xr:uid="{00000000-0005-0000-0000-0000D6890000}"/>
    <cellStyle name="Note 3 9 2 4 3" xfId="35244" xr:uid="{00000000-0005-0000-0000-0000D7890000}"/>
    <cellStyle name="Note 3 9 2 5" xfId="35245" xr:uid="{00000000-0005-0000-0000-0000D8890000}"/>
    <cellStyle name="Note 3 9 2 6" xfId="35246" xr:uid="{00000000-0005-0000-0000-0000D9890000}"/>
    <cellStyle name="Note 3 9 2 7" xfId="35247" xr:uid="{00000000-0005-0000-0000-0000DA890000}"/>
    <cellStyle name="Note 3 9 3" xfId="35248" xr:uid="{00000000-0005-0000-0000-0000DB890000}"/>
    <cellStyle name="Note 3 9 3 2" xfId="35249" xr:uid="{00000000-0005-0000-0000-0000DC890000}"/>
    <cellStyle name="Note 3 9 3 2 2" xfId="35250" xr:uid="{00000000-0005-0000-0000-0000DD890000}"/>
    <cellStyle name="Note 3 9 3 2 2 2" xfId="35251" xr:uid="{00000000-0005-0000-0000-0000DE890000}"/>
    <cellStyle name="Note 3 9 3 2 2 3" xfId="35252" xr:uid="{00000000-0005-0000-0000-0000DF890000}"/>
    <cellStyle name="Note 3 9 3 2 3" xfId="35253" xr:uid="{00000000-0005-0000-0000-0000E0890000}"/>
    <cellStyle name="Note 3 9 3 2 4" xfId="35254" xr:uid="{00000000-0005-0000-0000-0000E1890000}"/>
    <cellStyle name="Note 3 9 3 3" xfId="35255" xr:uid="{00000000-0005-0000-0000-0000E2890000}"/>
    <cellStyle name="Note 3 9 3 3 2" xfId="35256" xr:uid="{00000000-0005-0000-0000-0000E3890000}"/>
    <cellStyle name="Note 3 9 3 3 3" xfId="35257" xr:uid="{00000000-0005-0000-0000-0000E4890000}"/>
    <cellStyle name="Note 3 9 3 4" xfId="35258" xr:uid="{00000000-0005-0000-0000-0000E5890000}"/>
    <cellStyle name="Note 3 9 3 5" xfId="35259" xr:uid="{00000000-0005-0000-0000-0000E6890000}"/>
    <cellStyle name="Note 3 9 3 6" xfId="35260" xr:uid="{00000000-0005-0000-0000-0000E7890000}"/>
    <cellStyle name="Note 3 9 4" xfId="35261" xr:uid="{00000000-0005-0000-0000-0000E8890000}"/>
    <cellStyle name="Note 3 9 4 2" xfId="35262" xr:uid="{00000000-0005-0000-0000-0000E9890000}"/>
    <cellStyle name="Note 3 9 4 2 2" xfId="35263" xr:uid="{00000000-0005-0000-0000-0000EA890000}"/>
    <cellStyle name="Note 3 9 4 2 3" xfId="35264" xr:uid="{00000000-0005-0000-0000-0000EB890000}"/>
    <cellStyle name="Note 3 9 4 3" xfId="35265" xr:uid="{00000000-0005-0000-0000-0000EC890000}"/>
    <cellStyle name="Note 3 9 4 4" xfId="35266" xr:uid="{00000000-0005-0000-0000-0000ED890000}"/>
    <cellStyle name="Note 3 9 5" xfId="35267" xr:uid="{00000000-0005-0000-0000-0000EE890000}"/>
    <cellStyle name="Note 3 9 5 2" xfId="35268" xr:uid="{00000000-0005-0000-0000-0000EF890000}"/>
    <cellStyle name="Note 3 9 5 3" xfId="35269" xr:uid="{00000000-0005-0000-0000-0000F0890000}"/>
    <cellStyle name="Note 3 9 6" xfId="35270" xr:uid="{00000000-0005-0000-0000-0000F1890000}"/>
    <cellStyle name="Note 3 9 7" xfId="35271" xr:uid="{00000000-0005-0000-0000-0000F2890000}"/>
    <cellStyle name="Note 3 9 8" xfId="35272" xr:uid="{00000000-0005-0000-0000-0000F3890000}"/>
    <cellStyle name="Note 4" xfId="35273" xr:uid="{00000000-0005-0000-0000-0000F4890000}"/>
    <cellStyle name="Note 4 10" xfId="35274" xr:uid="{00000000-0005-0000-0000-0000F5890000}"/>
    <cellStyle name="Note 4 10 2" xfId="35275" xr:uid="{00000000-0005-0000-0000-0000F6890000}"/>
    <cellStyle name="Note 4 10 3" xfId="35276" xr:uid="{00000000-0005-0000-0000-0000F7890000}"/>
    <cellStyle name="Note 4 11" xfId="35277" xr:uid="{00000000-0005-0000-0000-0000F8890000}"/>
    <cellStyle name="Note 4 12" xfId="35278" xr:uid="{00000000-0005-0000-0000-0000F9890000}"/>
    <cellStyle name="Note 4 13" xfId="35279" xr:uid="{00000000-0005-0000-0000-0000FA890000}"/>
    <cellStyle name="Note 4 2" xfId="35280" xr:uid="{00000000-0005-0000-0000-0000FB890000}"/>
    <cellStyle name="Note 4 2 10" xfId="35281" xr:uid="{00000000-0005-0000-0000-0000FC890000}"/>
    <cellStyle name="Note 4 2 2" xfId="35282" xr:uid="{00000000-0005-0000-0000-0000FD890000}"/>
    <cellStyle name="Note 4 2 2 2" xfId="35283" xr:uid="{00000000-0005-0000-0000-0000FE890000}"/>
    <cellStyle name="Note 4 2 2 2 2" xfId="35284" xr:uid="{00000000-0005-0000-0000-0000FF890000}"/>
    <cellStyle name="Note 4 2 2 2 2 2" xfId="35285" xr:uid="{00000000-0005-0000-0000-0000008A0000}"/>
    <cellStyle name="Note 4 2 2 2 2 2 2" xfId="35286" xr:uid="{00000000-0005-0000-0000-0000018A0000}"/>
    <cellStyle name="Note 4 2 2 2 2 2 2 2" xfId="35287" xr:uid="{00000000-0005-0000-0000-0000028A0000}"/>
    <cellStyle name="Note 4 2 2 2 2 2 2 2 2" xfId="35288" xr:uid="{00000000-0005-0000-0000-0000038A0000}"/>
    <cellStyle name="Note 4 2 2 2 2 2 2 2 3" xfId="35289" xr:uid="{00000000-0005-0000-0000-0000048A0000}"/>
    <cellStyle name="Note 4 2 2 2 2 2 2 3" xfId="35290" xr:uid="{00000000-0005-0000-0000-0000058A0000}"/>
    <cellStyle name="Note 4 2 2 2 2 2 2 4" xfId="35291" xr:uid="{00000000-0005-0000-0000-0000068A0000}"/>
    <cellStyle name="Note 4 2 2 2 2 2 3" xfId="35292" xr:uid="{00000000-0005-0000-0000-0000078A0000}"/>
    <cellStyle name="Note 4 2 2 2 2 2 3 2" xfId="35293" xr:uid="{00000000-0005-0000-0000-0000088A0000}"/>
    <cellStyle name="Note 4 2 2 2 2 2 3 3" xfId="35294" xr:uid="{00000000-0005-0000-0000-0000098A0000}"/>
    <cellStyle name="Note 4 2 2 2 2 2 4" xfId="35295" xr:uid="{00000000-0005-0000-0000-00000A8A0000}"/>
    <cellStyle name="Note 4 2 2 2 2 2 5" xfId="35296" xr:uid="{00000000-0005-0000-0000-00000B8A0000}"/>
    <cellStyle name="Note 4 2 2 2 2 2 6" xfId="35297" xr:uid="{00000000-0005-0000-0000-00000C8A0000}"/>
    <cellStyle name="Note 4 2 2 2 2 3" xfId="35298" xr:uid="{00000000-0005-0000-0000-00000D8A0000}"/>
    <cellStyle name="Note 4 2 2 2 2 3 2" xfId="35299" xr:uid="{00000000-0005-0000-0000-00000E8A0000}"/>
    <cellStyle name="Note 4 2 2 2 2 3 2 2" xfId="35300" xr:uid="{00000000-0005-0000-0000-00000F8A0000}"/>
    <cellStyle name="Note 4 2 2 2 2 3 2 3" xfId="35301" xr:uid="{00000000-0005-0000-0000-0000108A0000}"/>
    <cellStyle name="Note 4 2 2 2 2 3 3" xfId="35302" xr:uid="{00000000-0005-0000-0000-0000118A0000}"/>
    <cellStyle name="Note 4 2 2 2 2 3 4" xfId="35303" xr:uid="{00000000-0005-0000-0000-0000128A0000}"/>
    <cellStyle name="Note 4 2 2 2 2 4" xfId="35304" xr:uid="{00000000-0005-0000-0000-0000138A0000}"/>
    <cellStyle name="Note 4 2 2 2 2 4 2" xfId="35305" xr:uid="{00000000-0005-0000-0000-0000148A0000}"/>
    <cellStyle name="Note 4 2 2 2 2 4 3" xfId="35306" xr:uid="{00000000-0005-0000-0000-0000158A0000}"/>
    <cellStyle name="Note 4 2 2 2 2 5" xfId="35307" xr:uid="{00000000-0005-0000-0000-0000168A0000}"/>
    <cellStyle name="Note 4 2 2 2 2 6" xfId="35308" xr:uid="{00000000-0005-0000-0000-0000178A0000}"/>
    <cellStyle name="Note 4 2 2 2 2 7" xfId="35309" xr:uid="{00000000-0005-0000-0000-0000188A0000}"/>
    <cellStyle name="Note 4 2 2 2 3" xfId="35310" xr:uid="{00000000-0005-0000-0000-0000198A0000}"/>
    <cellStyle name="Note 4 2 2 2 3 2" xfId="35311" xr:uid="{00000000-0005-0000-0000-00001A8A0000}"/>
    <cellStyle name="Note 4 2 2 2 3 2 2" xfId="35312" xr:uid="{00000000-0005-0000-0000-00001B8A0000}"/>
    <cellStyle name="Note 4 2 2 2 3 2 2 2" xfId="35313" xr:uid="{00000000-0005-0000-0000-00001C8A0000}"/>
    <cellStyle name="Note 4 2 2 2 3 2 2 3" xfId="35314" xr:uid="{00000000-0005-0000-0000-00001D8A0000}"/>
    <cellStyle name="Note 4 2 2 2 3 2 3" xfId="35315" xr:uid="{00000000-0005-0000-0000-00001E8A0000}"/>
    <cellStyle name="Note 4 2 2 2 3 2 4" xfId="35316" xr:uid="{00000000-0005-0000-0000-00001F8A0000}"/>
    <cellStyle name="Note 4 2 2 2 3 3" xfId="35317" xr:uid="{00000000-0005-0000-0000-0000208A0000}"/>
    <cellStyle name="Note 4 2 2 2 3 3 2" xfId="35318" xr:uid="{00000000-0005-0000-0000-0000218A0000}"/>
    <cellStyle name="Note 4 2 2 2 3 3 3" xfId="35319" xr:uid="{00000000-0005-0000-0000-0000228A0000}"/>
    <cellStyle name="Note 4 2 2 2 3 4" xfId="35320" xr:uid="{00000000-0005-0000-0000-0000238A0000}"/>
    <cellStyle name="Note 4 2 2 2 3 5" xfId="35321" xr:uid="{00000000-0005-0000-0000-0000248A0000}"/>
    <cellStyle name="Note 4 2 2 2 3 6" xfId="35322" xr:uid="{00000000-0005-0000-0000-0000258A0000}"/>
    <cellStyle name="Note 4 2 2 2 4" xfId="35323" xr:uid="{00000000-0005-0000-0000-0000268A0000}"/>
    <cellStyle name="Note 4 2 2 2 4 2" xfId="35324" xr:uid="{00000000-0005-0000-0000-0000278A0000}"/>
    <cellStyle name="Note 4 2 2 2 4 2 2" xfId="35325" xr:uid="{00000000-0005-0000-0000-0000288A0000}"/>
    <cellStyle name="Note 4 2 2 2 4 2 3" xfId="35326" xr:uid="{00000000-0005-0000-0000-0000298A0000}"/>
    <cellStyle name="Note 4 2 2 2 4 3" xfId="35327" xr:uid="{00000000-0005-0000-0000-00002A8A0000}"/>
    <cellStyle name="Note 4 2 2 2 4 4" xfId="35328" xr:uid="{00000000-0005-0000-0000-00002B8A0000}"/>
    <cellStyle name="Note 4 2 2 2 5" xfId="35329" xr:uid="{00000000-0005-0000-0000-00002C8A0000}"/>
    <cellStyle name="Note 4 2 2 2 5 2" xfId="35330" xr:uid="{00000000-0005-0000-0000-00002D8A0000}"/>
    <cellStyle name="Note 4 2 2 2 5 3" xfId="35331" xr:uid="{00000000-0005-0000-0000-00002E8A0000}"/>
    <cellStyle name="Note 4 2 2 2 6" xfId="35332" xr:uid="{00000000-0005-0000-0000-00002F8A0000}"/>
    <cellStyle name="Note 4 2 2 2 7" xfId="35333" xr:uid="{00000000-0005-0000-0000-0000308A0000}"/>
    <cellStyle name="Note 4 2 2 2 8" xfId="35334" xr:uid="{00000000-0005-0000-0000-0000318A0000}"/>
    <cellStyle name="Note 4 2 2 3" xfId="35335" xr:uid="{00000000-0005-0000-0000-0000328A0000}"/>
    <cellStyle name="Note 4 2 2 3 2" xfId="35336" xr:uid="{00000000-0005-0000-0000-0000338A0000}"/>
    <cellStyle name="Note 4 2 2 3 2 2" xfId="35337" xr:uid="{00000000-0005-0000-0000-0000348A0000}"/>
    <cellStyle name="Note 4 2 2 3 2 2 2" xfId="35338" xr:uid="{00000000-0005-0000-0000-0000358A0000}"/>
    <cellStyle name="Note 4 2 2 3 2 2 2 2" xfId="35339" xr:uid="{00000000-0005-0000-0000-0000368A0000}"/>
    <cellStyle name="Note 4 2 2 3 2 2 2 3" xfId="35340" xr:uid="{00000000-0005-0000-0000-0000378A0000}"/>
    <cellStyle name="Note 4 2 2 3 2 2 3" xfId="35341" xr:uid="{00000000-0005-0000-0000-0000388A0000}"/>
    <cellStyle name="Note 4 2 2 3 2 2 4" xfId="35342" xr:uid="{00000000-0005-0000-0000-0000398A0000}"/>
    <cellStyle name="Note 4 2 2 3 2 3" xfId="35343" xr:uid="{00000000-0005-0000-0000-00003A8A0000}"/>
    <cellStyle name="Note 4 2 2 3 2 3 2" xfId="35344" xr:uid="{00000000-0005-0000-0000-00003B8A0000}"/>
    <cellStyle name="Note 4 2 2 3 2 3 3" xfId="35345" xr:uid="{00000000-0005-0000-0000-00003C8A0000}"/>
    <cellStyle name="Note 4 2 2 3 2 4" xfId="35346" xr:uid="{00000000-0005-0000-0000-00003D8A0000}"/>
    <cellStyle name="Note 4 2 2 3 2 5" xfId="35347" xr:uid="{00000000-0005-0000-0000-00003E8A0000}"/>
    <cellStyle name="Note 4 2 2 3 2 6" xfId="35348" xr:uid="{00000000-0005-0000-0000-00003F8A0000}"/>
    <cellStyle name="Note 4 2 2 3 3" xfId="35349" xr:uid="{00000000-0005-0000-0000-0000408A0000}"/>
    <cellStyle name="Note 4 2 2 3 3 2" xfId="35350" xr:uid="{00000000-0005-0000-0000-0000418A0000}"/>
    <cellStyle name="Note 4 2 2 3 3 2 2" xfId="35351" xr:uid="{00000000-0005-0000-0000-0000428A0000}"/>
    <cellStyle name="Note 4 2 2 3 3 2 3" xfId="35352" xr:uid="{00000000-0005-0000-0000-0000438A0000}"/>
    <cellStyle name="Note 4 2 2 3 3 3" xfId="35353" xr:uid="{00000000-0005-0000-0000-0000448A0000}"/>
    <cellStyle name="Note 4 2 2 3 3 4" xfId="35354" xr:uid="{00000000-0005-0000-0000-0000458A0000}"/>
    <cellStyle name="Note 4 2 2 3 4" xfId="35355" xr:uid="{00000000-0005-0000-0000-0000468A0000}"/>
    <cellStyle name="Note 4 2 2 3 4 2" xfId="35356" xr:uid="{00000000-0005-0000-0000-0000478A0000}"/>
    <cellStyle name="Note 4 2 2 3 4 3" xfId="35357" xr:uid="{00000000-0005-0000-0000-0000488A0000}"/>
    <cellStyle name="Note 4 2 2 3 5" xfId="35358" xr:uid="{00000000-0005-0000-0000-0000498A0000}"/>
    <cellStyle name="Note 4 2 2 3 6" xfId="35359" xr:uid="{00000000-0005-0000-0000-00004A8A0000}"/>
    <cellStyle name="Note 4 2 2 3 7" xfId="35360" xr:uid="{00000000-0005-0000-0000-00004B8A0000}"/>
    <cellStyle name="Note 4 2 2 4" xfId="35361" xr:uid="{00000000-0005-0000-0000-00004C8A0000}"/>
    <cellStyle name="Note 4 2 2 4 2" xfId="35362" xr:uid="{00000000-0005-0000-0000-00004D8A0000}"/>
    <cellStyle name="Note 4 2 2 4 2 2" xfId="35363" xr:uid="{00000000-0005-0000-0000-00004E8A0000}"/>
    <cellStyle name="Note 4 2 2 4 2 2 2" xfId="35364" xr:uid="{00000000-0005-0000-0000-00004F8A0000}"/>
    <cellStyle name="Note 4 2 2 4 2 2 3" xfId="35365" xr:uid="{00000000-0005-0000-0000-0000508A0000}"/>
    <cellStyle name="Note 4 2 2 4 2 3" xfId="35366" xr:uid="{00000000-0005-0000-0000-0000518A0000}"/>
    <cellStyle name="Note 4 2 2 4 2 4" xfId="35367" xr:uid="{00000000-0005-0000-0000-0000528A0000}"/>
    <cellStyle name="Note 4 2 2 4 3" xfId="35368" xr:uid="{00000000-0005-0000-0000-0000538A0000}"/>
    <cellStyle name="Note 4 2 2 4 3 2" xfId="35369" xr:uid="{00000000-0005-0000-0000-0000548A0000}"/>
    <cellStyle name="Note 4 2 2 4 3 3" xfId="35370" xr:uid="{00000000-0005-0000-0000-0000558A0000}"/>
    <cellStyle name="Note 4 2 2 4 4" xfId="35371" xr:uid="{00000000-0005-0000-0000-0000568A0000}"/>
    <cellStyle name="Note 4 2 2 4 5" xfId="35372" xr:uid="{00000000-0005-0000-0000-0000578A0000}"/>
    <cellStyle name="Note 4 2 2 4 6" xfId="35373" xr:uid="{00000000-0005-0000-0000-0000588A0000}"/>
    <cellStyle name="Note 4 2 2 5" xfId="35374" xr:uid="{00000000-0005-0000-0000-0000598A0000}"/>
    <cellStyle name="Note 4 2 2 5 2" xfId="35375" xr:uid="{00000000-0005-0000-0000-00005A8A0000}"/>
    <cellStyle name="Note 4 2 2 5 2 2" xfId="35376" xr:uid="{00000000-0005-0000-0000-00005B8A0000}"/>
    <cellStyle name="Note 4 2 2 5 2 3" xfId="35377" xr:uid="{00000000-0005-0000-0000-00005C8A0000}"/>
    <cellStyle name="Note 4 2 2 5 3" xfId="35378" xr:uid="{00000000-0005-0000-0000-00005D8A0000}"/>
    <cellStyle name="Note 4 2 2 5 4" xfId="35379" xr:uid="{00000000-0005-0000-0000-00005E8A0000}"/>
    <cellStyle name="Note 4 2 2 6" xfId="35380" xr:uid="{00000000-0005-0000-0000-00005F8A0000}"/>
    <cellStyle name="Note 4 2 2 6 2" xfId="35381" xr:uid="{00000000-0005-0000-0000-0000608A0000}"/>
    <cellStyle name="Note 4 2 2 6 3" xfId="35382" xr:uid="{00000000-0005-0000-0000-0000618A0000}"/>
    <cellStyle name="Note 4 2 2 7" xfId="35383" xr:uid="{00000000-0005-0000-0000-0000628A0000}"/>
    <cellStyle name="Note 4 2 2 8" xfId="35384" xr:uid="{00000000-0005-0000-0000-0000638A0000}"/>
    <cellStyle name="Note 4 2 2 9" xfId="35385" xr:uid="{00000000-0005-0000-0000-0000648A0000}"/>
    <cellStyle name="Note 4 2 3" xfId="35386" xr:uid="{00000000-0005-0000-0000-0000658A0000}"/>
    <cellStyle name="Note 4 2 3 2" xfId="35387" xr:uid="{00000000-0005-0000-0000-0000668A0000}"/>
    <cellStyle name="Note 4 2 3 2 2" xfId="35388" xr:uid="{00000000-0005-0000-0000-0000678A0000}"/>
    <cellStyle name="Note 4 2 3 2 2 2" xfId="35389" xr:uid="{00000000-0005-0000-0000-0000688A0000}"/>
    <cellStyle name="Note 4 2 3 2 2 2 2" xfId="35390" xr:uid="{00000000-0005-0000-0000-0000698A0000}"/>
    <cellStyle name="Note 4 2 3 2 2 2 2 2" xfId="35391" xr:uid="{00000000-0005-0000-0000-00006A8A0000}"/>
    <cellStyle name="Note 4 2 3 2 2 2 2 3" xfId="35392" xr:uid="{00000000-0005-0000-0000-00006B8A0000}"/>
    <cellStyle name="Note 4 2 3 2 2 2 3" xfId="35393" xr:uid="{00000000-0005-0000-0000-00006C8A0000}"/>
    <cellStyle name="Note 4 2 3 2 2 2 4" xfId="35394" xr:uid="{00000000-0005-0000-0000-00006D8A0000}"/>
    <cellStyle name="Note 4 2 3 2 2 3" xfId="35395" xr:uid="{00000000-0005-0000-0000-00006E8A0000}"/>
    <cellStyle name="Note 4 2 3 2 2 3 2" xfId="35396" xr:uid="{00000000-0005-0000-0000-00006F8A0000}"/>
    <cellStyle name="Note 4 2 3 2 2 3 3" xfId="35397" xr:uid="{00000000-0005-0000-0000-0000708A0000}"/>
    <cellStyle name="Note 4 2 3 2 2 4" xfId="35398" xr:uid="{00000000-0005-0000-0000-0000718A0000}"/>
    <cellStyle name="Note 4 2 3 2 2 5" xfId="35399" xr:uid="{00000000-0005-0000-0000-0000728A0000}"/>
    <cellStyle name="Note 4 2 3 2 2 6" xfId="35400" xr:uid="{00000000-0005-0000-0000-0000738A0000}"/>
    <cellStyle name="Note 4 2 3 2 3" xfId="35401" xr:uid="{00000000-0005-0000-0000-0000748A0000}"/>
    <cellStyle name="Note 4 2 3 2 3 2" xfId="35402" xr:uid="{00000000-0005-0000-0000-0000758A0000}"/>
    <cellStyle name="Note 4 2 3 2 3 2 2" xfId="35403" xr:uid="{00000000-0005-0000-0000-0000768A0000}"/>
    <cellStyle name="Note 4 2 3 2 3 2 3" xfId="35404" xr:uid="{00000000-0005-0000-0000-0000778A0000}"/>
    <cellStyle name="Note 4 2 3 2 3 3" xfId="35405" xr:uid="{00000000-0005-0000-0000-0000788A0000}"/>
    <cellStyle name="Note 4 2 3 2 3 4" xfId="35406" xr:uid="{00000000-0005-0000-0000-0000798A0000}"/>
    <cellStyle name="Note 4 2 3 2 4" xfId="35407" xr:uid="{00000000-0005-0000-0000-00007A8A0000}"/>
    <cellStyle name="Note 4 2 3 2 4 2" xfId="35408" xr:uid="{00000000-0005-0000-0000-00007B8A0000}"/>
    <cellStyle name="Note 4 2 3 2 4 3" xfId="35409" xr:uid="{00000000-0005-0000-0000-00007C8A0000}"/>
    <cellStyle name="Note 4 2 3 2 5" xfId="35410" xr:uid="{00000000-0005-0000-0000-00007D8A0000}"/>
    <cellStyle name="Note 4 2 3 2 6" xfId="35411" xr:uid="{00000000-0005-0000-0000-00007E8A0000}"/>
    <cellStyle name="Note 4 2 3 2 7" xfId="35412" xr:uid="{00000000-0005-0000-0000-00007F8A0000}"/>
    <cellStyle name="Note 4 2 3 3" xfId="35413" xr:uid="{00000000-0005-0000-0000-0000808A0000}"/>
    <cellStyle name="Note 4 2 3 3 2" xfId="35414" xr:uid="{00000000-0005-0000-0000-0000818A0000}"/>
    <cellStyle name="Note 4 2 3 3 2 2" xfId="35415" xr:uid="{00000000-0005-0000-0000-0000828A0000}"/>
    <cellStyle name="Note 4 2 3 3 2 2 2" xfId="35416" xr:uid="{00000000-0005-0000-0000-0000838A0000}"/>
    <cellStyle name="Note 4 2 3 3 2 2 3" xfId="35417" xr:uid="{00000000-0005-0000-0000-0000848A0000}"/>
    <cellStyle name="Note 4 2 3 3 2 3" xfId="35418" xr:uid="{00000000-0005-0000-0000-0000858A0000}"/>
    <cellStyle name="Note 4 2 3 3 2 4" xfId="35419" xr:uid="{00000000-0005-0000-0000-0000868A0000}"/>
    <cellStyle name="Note 4 2 3 3 3" xfId="35420" xr:uid="{00000000-0005-0000-0000-0000878A0000}"/>
    <cellStyle name="Note 4 2 3 3 3 2" xfId="35421" xr:uid="{00000000-0005-0000-0000-0000888A0000}"/>
    <cellStyle name="Note 4 2 3 3 3 3" xfId="35422" xr:uid="{00000000-0005-0000-0000-0000898A0000}"/>
    <cellStyle name="Note 4 2 3 3 4" xfId="35423" xr:uid="{00000000-0005-0000-0000-00008A8A0000}"/>
    <cellStyle name="Note 4 2 3 3 5" xfId="35424" xr:uid="{00000000-0005-0000-0000-00008B8A0000}"/>
    <cellStyle name="Note 4 2 3 3 6" xfId="35425" xr:uid="{00000000-0005-0000-0000-00008C8A0000}"/>
    <cellStyle name="Note 4 2 3 4" xfId="35426" xr:uid="{00000000-0005-0000-0000-00008D8A0000}"/>
    <cellStyle name="Note 4 2 3 4 2" xfId="35427" xr:uid="{00000000-0005-0000-0000-00008E8A0000}"/>
    <cellStyle name="Note 4 2 3 4 2 2" xfId="35428" xr:uid="{00000000-0005-0000-0000-00008F8A0000}"/>
    <cellStyle name="Note 4 2 3 4 2 3" xfId="35429" xr:uid="{00000000-0005-0000-0000-0000908A0000}"/>
    <cellStyle name="Note 4 2 3 4 3" xfId="35430" xr:uid="{00000000-0005-0000-0000-0000918A0000}"/>
    <cellStyle name="Note 4 2 3 4 4" xfId="35431" xr:uid="{00000000-0005-0000-0000-0000928A0000}"/>
    <cellStyle name="Note 4 2 3 5" xfId="35432" xr:uid="{00000000-0005-0000-0000-0000938A0000}"/>
    <cellStyle name="Note 4 2 3 5 2" xfId="35433" xr:uid="{00000000-0005-0000-0000-0000948A0000}"/>
    <cellStyle name="Note 4 2 3 5 3" xfId="35434" xr:uid="{00000000-0005-0000-0000-0000958A0000}"/>
    <cellStyle name="Note 4 2 3 6" xfId="35435" xr:uid="{00000000-0005-0000-0000-0000968A0000}"/>
    <cellStyle name="Note 4 2 3 7" xfId="35436" xr:uid="{00000000-0005-0000-0000-0000978A0000}"/>
    <cellStyle name="Note 4 2 3 8" xfId="35437" xr:uid="{00000000-0005-0000-0000-0000988A0000}"/>
    <cellStyle name="Note 4 2 4" xfId="35438" xr:uid="{00000000-0005-0000-0000-0000998A0000}"/>
    <cellStyle name="Note 4 2 4 2" xfId="35439" xr:uid="{00000000-0005-0000-0000-00009A8A0000}"/>
    <cellStyle name="Note 4 2 4 2 2" xfId="35440" xr:uid="{00000000-0005-0000-0000-00009B8A0000}"/>
    <cellStyle name="Note 4 2 4 2 2 2" xfId="35441" xr:uid="{00000000-0005-0000-0000-00009C8A0000}"/>
    <cellStyle name="Note 4 2 4 2 2 2 2" xfId="35442" xr:uid="{00000000-0005-0000-0000-00009D8A0000}"/>
    <cellStyle name="Note 4 2 4 2 2 2 3" xfId="35443" xr:uid="{00000000-0005-0000-0000-00009E8A0000}"/>
    <cellStyle name="Note 4 2 4 2 2 3" xfId="35444" xr:uid="{00000000-0005-0000-0000-00009F8A0000}"/>
    <cellStyle name="Note 4 2 4 2 2 4" xfId="35445" xr:uid="{00000000-0005-0000-0000-0000A08A0000}"/>
    <cellStyle name="Note 4 2 4 2 3" xfId="35446" xr:uid="{00000000-0005-0000-0000-0000A18A0000}"/>
    <cellStyle name="Note 4 2 4 2 3 2" xfId="35447" xr:uid="{00000000-0005-0000-0000-0000A28A0000}"/>
    <cellStyle name="Note 4 2 4 2 3 3" xfId="35448" xr:uid="{00000000-0005-0000-0000-0000A38A0000}"/>
    <cellStyle name="Note 4 2 4 2 4" xfId="35449" xr:uid="{00000000-0005-0000-0000-0000A48A0000}"/>
    <cellStyle name="Note 4 2 4 2 5" xfId="35450" xr:uid="{00000000-0005-0000-0000-0000A58A0000}"/>
    <cellStyle name="Note 4 2 4 2 6" xfId="35451" xr:uid="{00000000-0005-0000-0000-0000A68A0000}"/>
    <cellStyle name="Note 4 2 4 3" xfId="35452" xr:uid="{00000000-0005-0000-0000-0000A78A0000}"/>
    <cellStyle name="Note 4 2 4 3 2" xfId="35453" xr:uid="{00000000-0005-0000-0000-0000A88A0000}"/>
    <cellStyle name="Note 4 2 4 3 2 2" xfId="35454" xr:uid="{00000000-0005-0000-0000-0000A98A0000}"/>
    <cellStyle name="Note 4 2 4 3 2 3" xfId="35455" xr:uid="{00000000-0005-0000-0000-0000AA8A0000}"/>
    <cellStyle name="Note 4 2 4 3 3" xfId="35456" xr:uid="{00000000-0005-0000-0000-0000AB8A0000}"/>
    <cellStyle name="Note 4 2 4 3 4" xfId="35457" xr:uid="{00000000-0005-0000-0000-0000AC8A0000}"/>
    <cellStyle name="Note 4 2 4 4" xfId="35458" xr:uid="{00000000-0005-0000-0000-0000AD8A0000}"/>
    <cellStyle name="Note 4 2 4 4 2" xfId="35459" xr:uid="{00000000-0005-0000-0000-0000AE8A0000}"/>
    <cellStyle name="Note 4 2 4 4 3" xfId="35460" xr:uid="{00000000-0005-0000-0000-0000AF8A0000}"/>
    <cellStyle name="Note 4 2 4 5" xfId="35461" xr:uid="{00000000-0005-0000-0000-0000B08A0000}"/>
    <cellStyle name="Note 4 2 4 6" xfId="35462" xr:uid="{00000000-0005-0000-0000-0000B18A0000}"/>
    <cellStyle name="Note 4 2 4 7" xfId="35463" xr:uid="{00000000-0005-0000-0000-0000B28A0000}"/>
    <cellStyle name="Note 4 2 5" xfId="35464" xr:uid="{00000000-0005-0000-0000-0000B38A0000}"/>
    <cellStyle name="Note 4 2 5 2" xfId="35465" xr:uid="{00000000-0005-0000-0000-0000B48A0000}"/>
    <cellStyle name="Note 4 2 5 2 2" xfId="35466" xr:uid="{00000000-0005-0000-0000-0000B58A0000}"/>
    <cellStyle name="Note 4 2 5 2 2 2" xfId="35467" xr:uid="{00000000-0005-0000-0000-0000B68A0000}"/>
    <cellStyle name="Note 4 2 5 2 2 3" xfId="35468" xr:uid="{00000000-0005-0000-0000-0000B78A0000}"/>
    <cellStyle name="Note 4 2 5 2 3" xfId="35469" xr:uid="{00000000-0005-0000-0000-0000B88A0000}"/>
    <cellStyle name="Note 4 2 5 2 4" xfId="35470" xr:uid="{00000000-0005-0000-0000-0000B98A0000}"/>
    <cellStyle name="Note 4 2 5 3" xfId="35471" xr:uid="{00000000-0005-0000-0000-0000BA8A0000}"/>
    <cellStyle name="Note 4 2 5 3 2" xfId="35472" xr:uid="{00000000-0005-0000-0000-0000BB8A0000}"/>
    <cellStyle name="Note 4 2 5 3 3" xfId="35473" xr:uid="{00000000-0005-0000-0000-0000BC8A0000}"/>
    <cellStyle name="Note 4 2 5 4" xfId="35474" xr:uid="{00000000-0005-0000-0000-0000BD8A0000}"/>
    <cellStyle name="Note 4 2 5 5" xfId="35475" xr:uid="{00000000-0005-0000-0000-0000BE8A0000}"/>
    <cellStyle name="Note 4 2 5 6" xfId="35476" xr:uid="{00000000-0005-0000-0000-0000BF8A0000}"/>
    <cellStyle name="Note 4 2 6" xfId="35477" xr:uid="{00000000-0005-0000-0000-0000C08A0000}"/>
    <cellStyle name="Note 4 2 6 2" xfId="35478" xr:uid="{00000000-0005-0000-0000-0000C18A0000}"/>
    <cellStyle name="Note 4 2 6 2 2" xfId="35479" xr:uid="{00000000-0005-0000-0000-0000C28A0000}"/>
    <cellStyle name="Note 4 2 6 2 3" xfId="35480" xr:uid="{00000000-0005-0000-0000-0000C38A0000}"/>
    <cellStyle name="Note 4 2 6 3" xfId="35481" xr:uid="{00000000-0005-0000-0000-0000C48A0000}"/>
    <cellStyle name="Note 4 2 6 4" xfId="35482" xr:uid="{00000000-0005-0000-0000-0000C58A0000}"/>
    <cellStyle name="Note 4 2 7" xfId="35483" xr:uid="{00000000-0005-0000-0000-0000C68A0000}"/>
    <cellStyle name="Note 4 2 7 2" xfId="35484" xr:uid="{00000000-0005-0000-0000-0000C78A0000}"/>
    <cellStyle name="Note 4 2 7 3" xfId="35485" xr:uid="{00000000-0005-0000-0000-0000C88A0000}"/>
    <cellStyle name="Note 4 2 8" xfId="35486" xr:uid="{00000000-0005-0000-0000-0000C98A0000}"/>
    <cellStyle name="Note 4 2 9" xfId="35487" xr:uid="{00000000-0005-0000-0000-0000CA8A0000}"/>
    <cellStyle name="Note 4 3" xfId="35488" xr:uid="{00000000-0005-0000-0000-0000CB8A0000}"/>
    <cellStyle name="Note 4 3 2" xfId="35489" xr:uid="{00000000-0005-0000-0000-0000CC8A0000}"/>
    <cellStyle name="Note 4 3 2 2" xfId="35490" xr:uid="{00000000-0005-0000-0000-0000CD8A0000}"/>
    <cellStyle name="Note 4 3 2 2 2" xfId="35491" xr:uid="{00000000-0005-0000-0000-0000CE8A0000}"/>
    <cellStyle name="Note 4 3 2 2 2 2" xfId="35492" xr:uid="{00000000-0005-0000-0000-0000CF8A0000}"/>
    <cellStyle name="Note 4 3 2 2 2 2 2" xfId="35493" xr:uid="{00000000-0005-0000-0000-0000D08A0000}"/>
    <cellStyle name="Note 4 3 2 2 2 2 2 2" xfId="35494" xr:uid="{00000000-0005-0000-0000-0000D18A0000}"/>
    <cellStyle name="Note 4 3 2 2 2 2 2 3" xfId="35495" xr:uid="{00000000-0005-0000-0000-0000D28A0000}"/>
    <cellStyle name="Note 4 3 2 2 2 2 3" xfId="35496" xr:uid="{00000000-0005-0000-0000-0000D38A0000}"/>
    <cellStyle name="Note 4 3 2 2 2 2 4" xfId="35497" xr:uid="{00000000-0005-0000-0000-0000D48A0000}"/>
    <cellStyle name="Note 4 3 2 2 2 3" xfId="35498" xr:uid="{00000000-0005-0000-0000-0000D58A0000}"/>
    <cellStyle name="Note 4 3 2 2 2 3 2" xfId="35499" xr:uid="{00000000-0005-0000-0000-0000D68A0000}"/>
    <cellStyle name="Note 4 3 2 2 2 3 3" xfId="35500" xr:uid="{00000000-0005-0000-0000-0000D78A0000}"/>
    <cellStyle name="Note 4 3 2 2 2 4" xfId="35501" xr:uid="{00000000-0005-0000-0000-0000D88A0000}"/>
    <cellStyle name="Note 4 3 2 2 2 5" xfId="35502" xr:uid="{00000000-0005-0000-0000-0000D98A0000}"/>
    <cellStyle name="Note 4 3 2 2 2 6" xfId="35503" xr:uid="{00000000-0005-0000-0000-0000DA8A0000}"/>
    <cellStyle name="Note 4 3 2 2 3" xfId="35504" xr:uid="{00000000-0005-0000-0000-0000DB8A0000}"/>
    <cellStyle name="Note 4 3 2 2 3 2" xfId="35505" xr:uid="{00000000-0005-0000-0000-0000DC8A0000}"/>
    <cellStyle name="Note 4 3 2 2 3 2 2" xfId="35506" xr:uid="{00000000-0005-0000-0000-0000DD8A0000}"/>
    <cellStyle name="Note 4 3 2 2 3 2 3" xfId="35507" xr:uid="{00000000-0005-0000-0000-0000DE8A0000}"/>
    <cellStyle name="Note 4 3 2 2 3 3" xfId="35508" xr:uid="{00000000-0005-0000-0000-0000DF8A0000}"/>
    <cellStyle name="Note 4 3 2 2 3 4" xfId="35509" xr:uid="{00000000-0005-0000-0000-0000E08A0000}"/>
    <cellStyle name="Note 4 3 2 2 4" xfId="35510" xr:uid="{00000000-0005-0000-0000-0000E18A0000}"/>
    <cellStyle name="Note 4 3 2 2 4 2" xfId="35511" xr:uid="{00000000-0005-0000-0000-0000E28A0000}"/>
    <cellStyle name="Note 4 3 2 2 4 3" xfId="35512" xr:uid="{00000000-0005-0000-0000-0000E38A0000}"/>
    <cellStyle name="Note 4 3 2 2 5" xfId="35513" xr:uid="{00000000-0005-0000-0000-0000E48A0000}"/>
    <cellStyle name="Note 4 3 2 2 6" xfId="35514" xr:uid="{00000000-0005-0000-0000-0000E58A0000}"/>
    <cellStyle name="Note 4 3 2 2 7" xfId="35515" xr:uid="{00000000-0005-0000-0000-0000E68A0000}"/>
    <cellStyle name="Note 4 3 2 3" xfId="35516" xr:uid="{00000000-0005-0000-0000-0000E78A0000}"/>
    <cellStyle name="Note 4 3 2 3 2" xfId="35517" xr:uid="{00000000-0005-0000-0000-0000E88A0000}"/>
    <cellStyle name="Note 4 3 2 3 2 2" xfId="35518" xr:uid="{00000000-0005-0000-0000-0000E98A0000}"/>
    <cellStyle name="Note 4 3 2 3 2 2 2" xfId="35519" xr:uid="{00000000-0005-0000-0000-0000EA8A0000}"/>
    <cellStyle name="Note 4 3 2 3 2 2 3" xfId="35520" xr:uid="{00000000-0005-0000-0000-0000EB8A0000}"/>
    <cellStyle name="Note 4 3 2 3 2 3" xfId="35521" xr:uid="{00000000-0005-0000-0000-0000EC8A0000}"/>
    <cellStyle name="Note 4 3 2 3 2 4" xfId="35522" xr:uid="{00000000-0005-0000-0000-0000ED8A0000}"/>
    <cellStyle name="Note 4 3 2 3 3" xfId="35523" xr:uid="{00000000-0005-0000-0000-0000EE8A0000}"/>
    <cellStyle name="Note 4 3 2 3 3 2" xfId="35524" xr:uid="{00000000-0005-0000-0000-0000EF8A0000}"/>
    <cellStyle name="Note 4 3 2 3 3 3" xfId="35525" xr:uid="{00000000-0005-0000-0000-0000F08A0000}"/>
    <cellStyle name="Note 4 3 2 3 4" xfId="35526" xr:uid="{00000000-0005-0000-0000-0000F18A0000}"/>
    <cellStyle name="Note 4 3 2 3 5" xfId="35527" xr:uid="{00000000-0005-0000-0000-0000F28A0000}"/>
    <cellStyle name="Note 4 3 2 3 6" xfId="35528" xr:uid="{00000000-0005-0000-0000-0000F38A0000}"/>
    <cellStyle name="Note 4 3 2 4" xfId="35529" xr:uid="{00000000-0005-0000-0000-0000F48A0000}"/>
    <cellStyle name="Note 4 3 2 4 2" xfId="35530" xr:uid="{00000000-0005-0000-0000-0000F58A0000}"/>
    <cellStyle name="Note 4 3 2 4 2 2" xfId="35531" xr:uid="{00000000-0005-0000-0000-0000F68A0000}"/>
    <cellStyle name="Note 4 3 2 4 2 3" xfId="35532" xr:uid="{00000000-0005-0000-0000-0000F78A0000}"/>
    <cellStyle name="Note 4 3 2 4 3" xfId="35533" xr:uid="{00000000-0005-0000-0000-0000F88A0000}"/>
    <cellStyle name="Note 4 3 2 4 4" xfId="35534" xr:uid="{00000000-0005-0000-0000-0000F98A0000}"/>
    <cellStyle name="Note 4 3 2 5" xfId="35535" xr:uid="{00000000-0005-0000-0000-0000FA8A0000}"/>
    <cellStyle name="Note 4 3 2 5 2" xfId="35536" xr:uid="{00000000-0005-0000-0000-0000FB8A0000}"/>
    <cellStyle name="Note 4 3 2 5 3" xfId="35537" xr:uid="{00000000-0005-0000-0000-0000FC8A0000}"/>
    <cellStyle name="Note 4 3 2 6" xfId="35538" xr:uid="{00000000-0005-0000-0000-0000FD8A0000}"/>
    <cellStyle name="Note 4 3 2 7" xfId="35539" xr:uid="{00000000-0005-0000-0000-0000FE8A0000}"/>
    <cellStyle name="Note 4 3 2 8" xfId="35540" xr:uid="{00000000-0005-0000-0000-0000FF8A0000}"/>
    <cellStyle name="Note 4 3 3" xfId="35541" xr:uid="{00000000-0005-0000-0000-0000008B0000}"/>
    <cellStyle name="Note 4 3 3 2" xfId="35542" xr:uid="{00000000-0005-0000-0000-0000018B0000}"/>
    <cellStyle name="Note 4 3 3 2 2" xfId="35543" xr:uid="{00000000-0005-0000-0000-0000028B0000}"/>
    <cellStyle name="Note 4 3 3 2 2 2" xfId="35544" xr:uid="{00000000-0005-0000-0000-0000038B0000}"/>
    <cellStyle name="Note 4 3 3 2 2 2 2" xfId="35545" xr:uid="{00000000-0005-0000-0000-0000048B0000}"/>
    <cellStyle name="Note 4 3 3 2 2 2 3" xfId="35546" xr:uid="{00000000-0005-0000-0000-0000058B0000}"/>
    <cellStyle name="Note 4 3 3 2 2 3" xfId="35547" xr:uid="{00000000-0005-0000-0000-0000068B0000}"/>
    <cellStyle name="Note 4 3 3 2 2 4" xfId="35548" xr:uid="{00000000-0005-0000-0000-0000078B0000}"/>
    <cellStyle name="Note 4 3 3 2 3" xfId="35549" xr:uid="{00000000-0005-0000-0000-0000088B0000}"/>
    <cellStyle name="Note 4 3 3 2 3 2" xfId="35550" xr:uid="{00000000-0005-0000-0000-0000098B0000}"/>
    <cellStyle name="Note 4 3 3 2 3 3" xfId="35551" xr:uid="{00000000-0005-0000-0000-00000A8B0000}"/>
    <cellStyle name="Note 4 3 3 2 4" xfId="35552" xr:uid="{00000000-0005-0000-0000-00000B8B0000}"/>
    <cellStyle name="Note 4 3 3 2 5" xfId="35553" xr:uid="{00000000-0005-0000-0000-00000C8B0000}"/>
    <cellStyle name="Note 4 3 3 2 6" xfId="35554" xr:uid="{00000000-0005-0000-0000-00000D8B0000}"/>
    <cellStyle name="Note 4 3 3 3" xfId="35555" xr:uid="{00000000-0005-0000-0000-00000E8B0000}"/>
    <cellStyle name="Note 4 3 3 3 2" xfId="35556" xr:uid="{00000000-0005-0000-0000-00000F8B0000}"/>
    <cellStyle name="Note 4 3 3 3 2 2" xfId="35557" xr:uid="{00000000-0005-0000-0000-0000108B0000}"/>
    <cellStyle name="Note 4 3 3 3 2 3" xfId="35558" xr:uid="{00000000-0005-0000-0000-0000118B0000}"/>
    <cellStyle name="Note 4 3 3 3 3" xfId="35559" xr:uid="{00000000-0005-0000-0000-0000128B0000}"/>
    <cellStyle name="Note 4 3 3 3 4" xfId="35560" xr:uid="{00000000-0005-0000-0000-0000138B0000}"/>
    <cellStyle name="Note 4 3 3 4" xfId="35561" xr:uid="{00000000-0005-0000-0000-0000148B0000}"/>
    <cellStyle name="Note 4 3 3 4 2" xfId="35562" xr:uid="{00000000-0005-0000-0000-0000158B0000}"/>
    <cellStyle name="Note 4 3 3 4 3" xfId="35563" xr:uid="{00000000-0005-0000-0000-0000168B0000}"/>
    <cellStyle name="Note 4 3 3 5" xfId="35564" xr:uid="{00000000-0005-0000-0000-0000178B0000}"/>
    <cellStyle name="Note 4 3 3 6" xfId="35565" xr:uid="{00000000-0005-0000-0000-0000188B0000}"/>
    <cellStyle name="Note 4 3 3 7" xfId="35566" xr:uid="{00000000-0005-0000-0000-0000198B0000}"/>
    <cellStyle name="Note 4 3 4" xfId="35567" xr:uid="{00000000-0005-0000-0000-00001A8B0000}"/>
    <cellStyle name="Note 4 3 4 2" xfId="35568" xr:uid="{00000000-0005-0000-0000-00001B8B0000}"/>
    <cellStyle name="Note 4 3 4 2 2" xfId="35569" xr:uid="{00000000-0005-0000-0000-00001C8B0000}"/>
    <cellStyle name="Note 4 3 4 2 2 2" xfId="35570" xr:uid="{00000000-0005-0000-0000-00001D8B0000}"/>
    <cellStyle name="Note 4 3 4 2 2 3" xfId="35571" xr:uid="{00000000-0005-0000-0000-00001E8B0000}"/>
    <cellStyle name="Note 4 3 4 2 3" xfId="35572" xr:uid="{00000000-0005-0000-0000-00001F8B0000}"/>
    <cellStyle name="Note 4 3 4 2 4" xfId="35573" xr:uid="{00000000-0005-0000-0000-0000208B0000}"/>
    <cellStyle name="Note 4 3 4 3" xfId="35574" xr:uid="{00000000-0005-0000-0000-0000218B0000}"/>
    <cellStyle name="Note 4 3 4 3 2" xfId="35575" xr:uid="{00000000-0005-0000-0000-0000228B0000}"/>
    <cellStyle name="Note 4 3 4 3 3" xfId="35576" xr:uid="{00000000-0005-0000-0000-0000238B0000}"/>
    <cellStyle name="Note 4 3 4 4" xfId="35577" xr:uid="{00000000-0005-0000-0000-0000248B0000}"/>
    <cellStyle name="Note 4 3 4 5" xfId="35578" xr:uid="{00000000-0005-0000-0000-0000258B0000}"/>
    <cellStyle name="Note 4 3 4 6" xfId="35579" xr:uid="{00000000-0005-0000-0000-0000268B0000}"/>
    <cellStyle name="Note 4 3 5" xfId="35580" xr:uid="{00000000-0005-0000-0000-0000278B0000}"/>
    <cellStyle name="Note 4 3 5 2" xfId="35581" xr:uid="{00000000-0005-0000-0000-0000288B0000}"/>
    <cellStyle name="Note 4 3 5 2 2" xfId="35582" xr:uid="{00000000-0005-0000-0000-0000298B0000}"/>
    <cellStyle name="Note 4 3 5 2 3" xfId="35583" xr:uid="{00000000-0005-0000-0000-00002A8B0000}"/>
    <cellStyle name="Note 4 3 5 3" xfId="35584" xr:uid="{00000000-0005-0000-0000-00002B8B0000}"/>
    <cellStyle name="Note 4 3 5 4" xfId="35585" xr:uid="{00000000-0005-0000-0000-00002C8B0000}"/>
    <cellStyle name="Note 4 3 6" xfId="35586" xr:uid="{00000000-0005-0000-0000-00002D8B0000}"/>
    <cellStyle name="Note 4 3 6 2" xfId="35587" xr:uid="{00000000-0005-0000-0000-00002E8B0000}"/>
    <cellStyle name="Note 4 3 6 3" xfId="35588" xr:uid="{00000000-0005-0000-0000-00002F8B0000}"/>
    <cellStyle name="Note 4 3 7" xfId="35589" xr:uid="{00000000-0005-0000-0000-0000308B0000}"/>
    <cellStyle name="Note 4 3 8" xfId="35590" xr:uid="{00000000-0005-0000-0000-0000318B0000}"/>
    <cellStyle name="Note 4 3 9" xfId="35591" xr:uid="{00000000-0005-0000-0000-0000328B0000}"/>
    <cellStyle name="Note 4 4" xfId="35592" xr:uid="{00000000-0005-0000-0000-0000338B0000}"/>
    <cellStyle name="Note 4 4 2" xfId="35593" xr:uid="{00000000-0005-0000-0000-0000348B0000}"/>
    <cellStyle name="Note 4 4 2 2" xfId="35594" xr:uid="{00000000-0005-0000-0000-0000358B0000}"/>
    <cellStyle name="Note 4 4 2 2 2" xfId="35595" xr:uid="{00000000-0005-0000-0000-0000368B0000}"/>
    <cellStyle name="Note 4 4 2 2 2 2" xfId="35596" xr:uid="{00000000-0005-0000-0000-0000378B0000}"/>
    <cellStyle name="Note 4 4 2 2 2 2 2" xfId="35597" xr:uid="{00000000-0005-0000-0000-0000388B0000}"/>
    <cellStyle name="Note 4 4 2 2 2 2 3" xfId="35598" xr:uid="{00000000-0005-0000-0000-0000398B0000}"/>
    <cellStyle name="Note 4 4 2 2 2 3" xfId="35599" xr:uid="{00000000-0005-0000-0000-00003A8B0000}"/>
    <cellStyle name="Note 4 4 2 2 2 4" xfId="35600" xr:uid="{00000000-0005-0000-0000-00003B8B0000}"/>
    <cellStyle name="Note 4 4 2 2 3" xfId="35601" xr:uid="{00000000-0005-0000-0000-00003C8B0000}"/>
    <cellStyle name="Note 4 4 2 2 3 2" xfId="35602" xr:uid="{00000000-0005-0000-0000-00003D8B0000}"/>
    <cellStyle name="Note 4 4 2 2 3 3" xfId="35603" xr:uid="{00000000-0005-0000-0000-00003E8B0000}"/>
    <cellStyle name="Note 4 4 2 2 4" xfId="35604" xr:uid="{00000000-0005-0000-0000-00003F8B0000}"/>
    <cellStyle name="Note 4 4 2 2 5" xfId="35605" xr:uid="{00000000-0005-0000-0000-0000408B0000}"/>
    <cellStyle name="Note 4 4 2 2 6" xfId="35606" xr:uid="{00000000-0005-0000-0000-0000418B0000}"/>
    <cellStyle name="Note 4 4 2 3" xfId="35607" xr:uid="{00000000-0005-0000-0000-0000428B0000}"/>
    <cellStyle name="Note 4 4 2 3 2" xfId="35608" xr:uid="{00000000-0005-0000-0000-0000438B0000}"/>
    <cellStyle name="Note 4 4 2 3 2 2" xfId="35609" xr:uid="{00000000-0005-0000-0000-0000448B0000}"/>
    <cellStyle name="Note 4 4 2 3 2 3" xfId="35610" xr:uid="{00000000-0005-0000-0000-0000458B0000}"/>
    <cellStyle name="Note 4 4 2 3 3" xfId="35611" xr:uid="{00000000-0005-0000-0000-0000468B0000}"/>
    <cellStyle name="Note 4 4 2 3 4" xfId="35612" xr:uid="{00000000-0005-0000-0000-0000478B0000}"/>
    <cellStyle name="Note 4 4 2 4" xfId="35613" xr:uid="{00000000-0005-0000-0000-0000488B0000}"/>
    <cellStyle name="Note 4 4 2 4 2" xfId="35614" xr:uid="{00000000-0005-0000-0000-0000498B0000}"/>
    <cellStyle name="Note 4 4 2 4 3" xfId="35615" xr:uid="{00000000-0005-0000-0000-00004A8B0000}"/>
    <cellStyle name="Note 4 4 2 5" xfId="35616" xr:uid="{00000000-0005-0000-0000-00004B8B0000}"/>
    <cellStyle name="Note 4 4 2 6" xfId="35617" xr:uid="{00000000-0005-0000-0000-00004C8B0000}"/>
    <cellStyle name="Note 4 4 2 7" xfId="35618" xr:uid="{00000000-0005-0000-0000-00004D8B0000}"/>
    <cellStyle name="Note 4 4 3" xfId="35619" xr:uid="{00000000-0005-0000-0000-00004E8B0000}"/>
    <cellStyle name="Note 4 4 3 2" xfId="35620" xr:uid="{00000000-0005-0000-0000-00004F8B0000}"/>
    <cellStyle name="Note 4 4 3 2 2" xfId="35621" xr:uid="{00000000-0005-0000-0000-0000508B0000}"/>
    <cellStyle name="Note 4 4 3 2 2 2" xfId="35622" xr:uid="{00000000-0005-0000-0000-0000518B0000}"/>
    <cellStyle name="Note 4 4 3 2 2 3" xfId="35623" xr:uid="{00000000-0005-0000-0000-0000528B0000}"/>
    <cellStyle name="Note 4 4 3 2 3" xfId="35624" xr:uid="{00000000-0005-0000-0000-0000538B0000}"/>
    <cellStyle name="Note 4 4 3 2 4" xfId="35625" xr:uid="{00000000-0005-0000-0000-0000548B0000}"/>
    <cellStyle name="Note 4 4 3 3" xfId="35626" xr:uid="{00000000-0005-0000-0000-0000558B0000}"/>
    <cellStyle name="Note 4 4 3 3 2" xfId="35627" xr:uid="{00000000-0005-0000-0000-0000568B0000}"/>
    <cellStyle name="Note 4 4 3 3 3" xfId="35628" xr:uid="{00000000-0005-0000-0000-0000578B0000}"/>
    <cellStyle name="Note 4 4 3 4" xfId="35629" xr:uid="{00000000-0005-0000-0000-0000588B0000}"/>
    <cellStyle name="Note 4 4 3 5" xfId="35630" xr:uid="{00000000-0005-0000-0000-0000598B0000}"/>
    <cellStyle name="Note 4 4 3 6" xfId="35631" xr:uid="{00000000-0005-0000-0000-00005A8B0000}"/>
    <cellStyle name="Note 4 4 4" xfId="35632" xr:uid="{00000000-0005-0000-0000-00005B8B0000}"/>
    <cellStyle name="Note 4 4 4 2" xfId="35633" xr:uid="{00000000-0005-0000-0000-00005C8B0000}"/>
    <cellStyle name="Note 4 4 4 2 2" xfId="35634" xr:uid="{00000000-0005-0000-0000-00005D8B0000}"/>
    <cellStyle name="Note 4 4 4 2 3" xfId="35635" xr:uid="{00000000-0005-0000-0000-00005E8B0000}"/>
    <cellStyle name="Note 4 4 4 3" xfId="35636" xr:uid="{00000000-0005-0000-0000-00005F8B0000}"/>
    <cellStyle name="Note 4 4 4 4" xfId="35637" xr:uid="{00000000-0005-0000-0000-0000608B0000}"/>
    <cellStyle name="Note 4 4 5" xfId="35638" xr:uid="{00000000-0005-0000-0000-0000618B0000}"/>
    <cellStyle name="Note 4 4 5 2" xfId="35639" xr:uid="{00000000-0005-0000-0000-0000628B0000}"/>
    <cellStyle name="Note 4 4 5 3" xfId="35640" xr:uid="{00000000-0005-0000-0000-0000638B0000}"/>
    <cellStyle name="Note 4 4 6" xfId="35641" xr:uid="{00000000-0005-0000-0000-0000648B0000}"/>
    <cellStyle name="Note 4 4 7" xfId="35642" xr:uid="{00000000-0005-0000-0000-0000658B0000}"/>
    <cellStyle name="Note 4 4 8" xfId="35643" xr:uid="{00000000-0005-0000-0000-0000668B0000}"/>
    <cellStyle name="Note 4 5" xfId="35644" xr:uid="{00000000-0005-0000-0000-0000678B0000}"/>
    <cellStyle name="Note 4 5 2" xfId="35645" xr:uid="{00000000-0005-0000-0000-0000688B0000}"/>
    <cellStyle name="Note 4 5 2 2" xfId="35646" xr:uid="{00000000-0005-0000-0000-0000698B0000}"/>
    <cellStyle name="Note 4 5 2 2 2" xfId="35647" xr:uid="{00000000-0005-0000-0000-00006A8B0000}"/>
    <cellStyle name="Note 4 5 2 2 2 2" xfId="35648" xr:uid="{00000000-0005-0000-0000-00006B8B0000}"/>
    <cellStyle name="Note 4 5 2 2 2 2 2" xfId="35649" xr:uid="{00000000-0005-0000-0000-00006C8B0000}"/>
    <cellStyle name="Note 4 5 2 2 2 2 3" xfId="35650" xr:uid="{00000000-0005-0000-0000-00006D8B0000}"/>
    <cellStyle name="Note 4 5 2 2 2 3" xfId="35651" xr:uid="{00000000-0005-0000-0000-00006E8B0000}"/>
    <cellStyle name="Note 4 5 2 2 2 4" xfId="35652" xr:uid="{00000000-0005-0000-0000-00006F8B0000}"/>
    <cellStyle name="Note 4 5 2 2 3" xfId="35653" xr:uid="{00000000-0005-0000-0000-0000708B0000}"/>
    <cellStyle name="Note 4 5 2 2 3 2" xfId="35654" xr:uid="{00000000-0005-0000-0000-0000718B0000}"/>
    <cellStyle name="Note 4 5 2 2 3 3" xfId="35655" xr:uid="{00000000-0005-0000-0000-0000728B0000}"/>
    <cellStyle name="Note 4 5 2 2 4" xfId="35656" xr:uid="{00000000-0005-0000-0000-0000738B0000}"/>
    <cellStyle name="Note 4 5 2 2 5" xfId="35657" xr:uid="{00000000-0005-0000-0000-0000748B0000}"/>
    <cellStyle name="Note 4 5 2 2 6" xfId="35658" xr:uid="{00000000-0005-0000-0000-0000758B0000}"/>
    <cellStyle name="Note 4 5 2 3" xfId="35659" xr:uid="{00000000-0005-0000-0000-0000768B0000}"/>
    <cellStyle name="Note 4 5 2 3 2" xfId="35660" xr:uid="{00000000-0005-0000-0000-0000778B0000}"/>
    <cellStyle name="Note 4 5 2 3 2 2" xfId="35661" xr:uid="{00000000-0005-0000-0000-0000788B0000}"/>
    <cellStyle name="Note 4 5 2 3 2 3" xfId="35662" xr:uid="{00000000-0005-0000-0000-0000798B0000}"/>
    <cellStyle name="Note 4 5 2 3 3" xfId="35663" xr:uid="{00000000-0005-0000-0000-00007A8B0000}"/>
    <cellStyle name="Note 4 5 2 3 4" xfId="35664" xr:uid="{00000000-0005-0000-0000-00007B8B0000}"/>
    <cellStyle name="Note 4 5 2 4" xfId="35665" xr:uid="{00000000-0005-0000-0000-00007C8B0000}"/>
    <cellStyle name="Note 4 5 2 4 2" xfId="35666" xr:uid="{00000000-0005-0000-0000-00007D8B0000}"/>
    <cellStyle name="Note 4 5 2 4 3" xfId="35667" xr:uid="{00000000-0005-0000-0000-00007E8B0000}"/>
    <cellStyle name="Note 4 5 2 5" xfId="35668" xr:uid="{00000000-0005-0000-0000-00007F8B0000}"/>
    <cellStyle name="Note 4 5 2 6" xfId="35669" xr:uid="{00000000-0005-0000-0000-0000808B0000}"/>
    <cellStyle name="Note 4 5 2 7" xfId="35670" xr:uid="{00000000-0005-0000-0000-0000818B0000}"/>
    <cellStyle name="Note 4 5 3" xfId="35671" xr:uid="{00000000-0005-0000-0000-0000828B0000}"/>
    <cellStyle name="Note 4 5 3 2" xfId="35672" xr:uid="{00000000-0005-0000-0000-0000838B0000}"/>
    <cellStyle name="Note 4 5 3 2 2" xfId="35673" xr:uid="{00000000-0005-0000-0000-0000848B0000}"/>
    <cellStyle name="Note 4 5 3 2 2 2" xfId="35674" xr:uid="{00000000-0005-0000-0000-0000858B0000}"/>
    <cellStyle name="Note 4 5 3 2 2 3" xfId="35675" xr:uid="{00000000-0005-0000-0000-0000868B0000}"/>
    <cellStyle name="Note 4 5 3 2 3" xfId="35676" xr:uid="{00000000-0005-0000-0000-0000878B0000}"/>
    <cellStyle name="Note 4 5 3 2 4" xfId="35677" xr:uid="{00000000-0005-0000-0000-0000888B0000}"/>
    <cellStyle name="Note 4 5 3 3" xfId="35678" xr:uid="{00000000-0005-0000-0000-0000898B0000}"/>
    <cellStyle name="Note 4 5 3 3 2" xfId="35679" xr:uid="{00000000-0005-0000-0000-00008A8B0000}"/>
    <cellStyle name="Note 4 5 3 3 3" xfId="35680" xr:uid="{00000000-0005-0000-0000-00008B8B0000}"/>
    <cellStyle name="Note 4 5 3 4" xfId="35681" xr:uid="{00000000-0005-0000-0000-00008C8B0000}"/>
    <cellStyle name="Note 4 5 3 5" xfId="35682" xr:uid="{00000000-0005-0000-0000-00008D8B0000}"/>
    <cellStyle name="Note 4 5 3 6" xfId="35683" xr:uid="{00000000-0005-0000-0000-00008E8B0000}"/>
    <cellStyle name="Note 4 5 4" xfId="35684" xr:uid="{00000000-0005-0000-0000-00008F8B0000}"/>
    <cellStyle name="Note 4 5 4 2" xfId="35685" xr:uid="{00000000-0005-0000-0000-0000908B0000}"/>
    <cellStyle name="Note 4 5 4 2 2" xfId="35686" xr:uid="{00000000-0005-0000-0000-0000918B0000}"/>
    <cellStyle name="Note 4 5 4 2 3" xfId="35687" xr:uid="{00000000-0005-0000-0000-0000928B0000}"/>
    <cellStyle name="Note 4 5 4 3" xfId="35688" xr:uid="{00000000-0005-0000-0000-0000938B0000}"/>
    <cellStyle name="Note 4 5 4 4" xfId="35689" xr:uid="{00000000-0005-0000-0000-0000948B0000}"/>
    <cellStyle name="Note 4 5 5" xfId="35690" xr:uid="{00000000-0005-0000-0000-0000958B0000}"/>
    <cellStyle name="Note 4 5 5 2" xfId="35691" xr:uid="{00000000-0005-0000-0000-0000968B0000}"/>
    <cellStyle name="Note 4 5 5 3" xfId="35692" xr:uid="{00000000-0005-0000-0000-0000978B0000}"/>
    <cellStyle name="Note 4 5 6" xfId="35693" xr:uid="{00000000-0005-0000-0000-0000988B0000}"/>
    <cellStyle name="Note 4 5 7" xfId="35694" xr:uid="{00000000-0005-0000-0000-0000998B0000}"/>
    <cellStyle name="Note 4 5 8" xfId="35695" xr:uid="{00000000-0005-0000-0000-00009A8B0000}"/>
    <cellStyle name="Note 4 6" xfId="35696" xr:uid="{00000000-0005-0000-0000-00009B8B0000}"/>
    <cellStyle name="Note 4 6 2" xfId="35697" xr:uid="{00000000-0005-0000-0000-00009C8B0000}"/>
    <cellStyle name="Note 4 6 2 2" xfId="35698" xr:uid="{00000000-0005-0000-0000-00009D8B0000}"/>
    <cellStyle name="Note 4 6 2 2 2" xfId="35699" xr:uid="{00000000-0005-0000-0000-00009E8B0000}"/>
    <cellStyle name="Note 4 6 2 2 2 2" xfId="35700" xr:uid="{00000000-0005-0000-0000-00009F8B0000}"/>
    <cellStyle name="Note 4 6 2 2 2 3" xfId="35701" xr:uid="{00000000-0005-0000-0000-0000A08B0000}"/>
    <cellStyle name="Note 4 6 2 2 3" xfId="35702" xr:uid="{00000000-0005-0000-0000-0000A18B0000}"/>
    <cellStyle name="Note 4 6 2 2 4" xfId="35703" xr:uid="{00000000-0005-0000-0000-0000A28B0000}"/>
    <cellStyle name="Note 4 6 2 3" xfId="35704" xr:uid="{00000000-0005-0000-0000-0000A38B0000}"/>
    <cellStyle name="Note 4 6 2 3 2" xfId="35705" xr:uid="{00000000-0005-0000-0000-0000A48B0000}"/>
    <cellStyle name="Note 4 6 2 3 3" xfId="35706" xr:uid="{00000000-0005-0000-0000-0000A58B0000}"/>
    <cellStyle name="Note 4 6 2 4" xfId="35707" xr:uid="{00000000-0005-0000-0000-0000A68B0000}"/>
    <cellStyle name="Note 4 6 2 5" xfId="35708" xr:uid="{00000000-0005-0000-0000-0000A78B0000}"/>
    <cellStyle name="Note 4 6 2 6" xfId="35709" xr:uid="{00000000-0005-0000-0000-0000A88B0000}"/>
    <cellStyle name="Note 4 6 3" xfId="35710" xr:uid="{00000000-0005-0000-0000-0000A98B0000}"/>
    <cellStyle name="Note 4 6 3 2" xfId="35711" xr:uid="{00000000-0005-0000-0000-0000AA8B0000}"/>
    <cellStyle name="Note 4 6 3 2 2" xfId="35712" xr:uid="{00000000-0005-0000-0000-0000AB8B0000}"/>
    <cellStyle name="Note 4 6 3 2 3" xfId="35713" xr:uid="{00000000-0005-0000-0000-0000AC8B0000}"/>
    <cellStyle name="Note 4 6 3 3" xfId="35714" xr:uid="{00000000-0005-0000-0000-0000AD8B0000}"/>
    <cellStyle name="Note 4 6 3 4" xfId="35715" xr:uid="{00000000-0005-0000-0000-0000AE8B0000}"/>
    <cellStyle name="Note 4 6 4" xfId="35716" xr:uid="{00000000-0005-0000-0000-0000AF8B0000}"/>
    <cellStyle name="Note 4 6 4 2" xfId="35717" xr:uid="{00000000-0005-0000-0000-0000B08B0000}"/>
    <cellStyle name="Note 4 6 4 3" xfId="35718" xr:uid="{00000000-0005-0000-0000-0000B18B0000}"/>
    <cellStyle name="Note 4 6 5" xfId="35719" xr:uid="{00000000-0005-0000-0000-0000B28B0000}"/>
    <cellStyle name="Note 4 6 6" xfId="35720" xr:uid="{00000000-0005-0000-0000-0000B38B0000}"/>
    <cellStyle name="Note 4 6 7" xfId="35721" xr:uid="{00000000-0005-0000-0000-0000B48B0000}"/>
    <cellStyle name="Note 4 7" xfId="35722" xr:uid="{00000000-0005-0000-0000-0000B58B0000}"/>
    <cellStyle name="Note 4 7 2" xfId="35723" xr:uid="{00000000-0005-0000-0000-0000B68B0000}"/>
    <cellStyle name="Note 4 7 2 2" xfId="35724" xr:uid="{00000000-0005-0000-0000-0000B78B0000}"/>
    <cellStyle name="Note 4 7 2 2 2" xfId="35725" xr:uid="{00000000-0005-0000-0000-0000B88B0000}"/>
    <cellStyle name="Note 4 7 2 2 3" xfId="35726" xr:uid="{00000000-0005-0000-0000-0000B98B0000}"/>
    <cellStyle name="Note 4 7 2 3" xfId="35727" xr:uid="{00000000-0005-0000-0000-0000BA8B0000}"/>
    <cellStyle name="Note 4 7 2 4" xfId="35728" xr:uid="{00000000-0005-0000-0000-0000BB8B0000}"/>
    <cellStyle name="Note 4 7 3" xfId="35729" xr:uid="{00000000-0005-0000-0000-0000BC8B0000}"/>
    <cellStyle name="Note 4 7 3 2" xfId="35730" xr:uid="{00000000-0005-0000-0000-0000BD8B0000}"/>
    <cellStyle name="Note 4 7 3 3" xfId="35731" xr:uid="{00000000-0005-0000-0000-0000BE8B0000}"/>
    <cellStyle name="Note 4 7 4" xfId="35732" xr:uid="{00000000-0005-0000-0000-0000BF8B0000}"/>
    <cellStyle name="Note 4 7 5" xfId="35733" xr:uid="{00000000-0005-0000-0000-0000C08B0000}"/>
    <cellStyle name="Note 4 7 6" xfId="35734" xr:uid="{00000000-0005-0000-0000-0000C18B0000}"/>
    <cellStyle name="Note 4 8" xfId="35735" xr:uid="{00000000-0005-0000-0000-0000C28B0000}"/>
    <cellStyle name="Note 4 8 2" xfId="35736" xr:uid="{00000000-0005-0000-0000-0000C38B0000}"/>
    <cellStyle name="Note 4 8 2 2" xfId="35737" xr:uid="{00000000-0005-0000-0000-0000C48B0000}"/>
    <cellStyle name="Note 4 8 2 2 2" xfId="35738" xr:uid="{00000000-0005-0000-0000-0000C58B0000}"/>
    <cellStyle name="Note 4 8 2 2 3" xfId="35739" xr:uid="{00000000-0005-0000-0000-0000C68B0000}"/>
    <cellStyle name="Note 4 8 2 3" xfId="35740" xr:uid="{00000000-0005-0000-0000-0000C78B0000}"/>
    <cellStyle name="Note 4 8 2 4" xfId="35741" xr:uid="{00000000-0005-0000-0000-0000C88B0000}"/>
    <cellStyle name="Note 4 8 3" xfId="35742" xr:uid="{00000000-0005-0000-0000-0000C98B0000}"/>
    <cellStyle name="Note 4 8 3 2" xfId="35743" xr:uid="{00000000-0005-0000-0000-0000CA8B0000}"/>
    <cellStyle name="Note 4 8 3 3" xfId="35744" xr:uid="{00000000-0005-0000-0000-0000CB8B0000}"/>
    <cellStyle name="Note 4 8 4" xfId="35745" xr:uid="{00000000-0005-0000-0000-0000CC8B0000}"/>
    <cellStyle name="Note 4 8 5" xfId="35746" xr:uid="{00000000-0005-0000-0000-0000CD8B0000}"/>
    <cellStyle name="Note 4 8 6" xfId="35747" xr:uid="{00000000-0005-0000-0000-0000CE8B0000}"/>
    <cellStyle name="Note 4 9" xfId="35748" xr:uid="{00000000-0005-0000-0000-0000CF8B0000}"/>
    <cellStyle name="Note 4 9 2" xfId="35749" xr:uid="{00000000-0005-0000-0000-0000D08B0000}"/>
    <cellStyle name="Note 4 9 2 2" xfId="35750" xr:uid="{00000000-0005-0000-0000-0000D18B0000}"/>
    <cellStyle name="Note 4 9 2 3" xfId="35751" xr:uid="{00000000-0005-0000-0000-0000D28B0000}"/>
    <cellStyle name="Note 4 9 3" xfId="35752" xr:uid="{00000000-0005-0000-0000-0000D38B0000}"/>
    <cellStyle name="Note 4 9 4" xfId="35753" xr:uid="{00000000-0005-0000-0000-0000D48B0000}"/>
    <cellStyle name="Note 5" xfId="35754" xr:uid="{00000000-0005-0000-0000-0000D58B0000}"/>
    <cellStyle name="Note 5 2" xfId="35755" xr:uid="{00000000-0005-0000-0000-0000D68B0000}"/>
    <cellStyle name="Note 5 2 2" xfId="35756" xr:uid="{00000000-0005-0000-0000-0000D78B0000}"/>
    <cellStyle name="Note 5 2 2 2" xfId="35757" xr:uid="{00000000-0005-0000-0000-0000D88B0000}"/>
    <cellStyle name="Note 5 2 2 2 2" xfId="35758" xr:uid="{00000000-0005-0000-0000-0000D98B0000}"/>
    <cellStyle name="Note 5 2 2 2 2 2" xfId="35759" xr:uid="{00000000-0005-0000-0000-0000DA8B0000}"/>
    <cellStyle name="Note 5 2 2 2 2 2 2" xfId="35760" xr:uid="{00000000-0005-0000-0000-0000DB8B0000}"/>
    <cellStyle name="Note 5 2 2 2 2 2 3" xfId="35761" xr:uid="{00000000-0005-0000-0000-0000DC8B0000}"/>
    <cellStyle name="Note 5 2 2 2 2 3" xfId="35762" xr:uid="{00000000-0005-0000-0000-0000DD8B0000}"/>
    <cellStyle name="Note 5 2 2 2 2 4" xfId="35763" xr:uid="{00000000-0005-0000-0000-0000DE8B0000}"/>
    <cellStyle name="Note 5 2 2 2 3" xfId="35764" xr:uid="{00000000-0005-0000-0000-0000DF8B0000}"/>
    <cellStyle name="Note 5 2 2 2 3 2" xfId="35765" xr:uid="{00000000-0005-0000-0000-0000E08B0000}"/>
    <cellStyle name="Note 5 2 2 2 3 3" xfId="35766" xr:uid="{00000000-0005-0000-0000-0000E18B0000}"/>
    <cellStyle name="Note 5 2 2 2 4" xfId="35767" xr:uid="{00000000-0005-0000-0000-0000E28B0000}"/>
    <cellStyle name="Note 5 2 2 2 5" xfId="35768" xr:uid="{00000000-0005-0000-0000-0000E38B0000}"/>
    <cellStyle name="Note 5 2 2 2 6" xfId="35769" xr:uid="{00000000-0005-0000-0000-0000E48B0000}"/>
    <cellStyle name="Note 5 2 2 3" xfId="35770" xr:uid="{00000000-0005-0000-0000-0000E58B0000}"/>
    <cellStyle name="Note 5 2 2 3 2" xfId="35771" xr:uid="{00000000-0005-0000-0000-0000E68B0000}"/>
    <cellStyle name="Note 5 2 2 3 2 2" xfId="35772" xr:uid="{00000000-0005-0000-0000-0000E78B0000}"/>
    <cellStyle name="Note 5 2 2 3 2 3" xfId="35773" xr:uid="{00000000-0005-0000-0000-0000E88B0000}"/>
    <cellStyle name="Note 5 2 2 3 3" xfId="35774" xr:uid="{00000000-0005-0000-0000-0000E98B0000}"/>
    <cellStyle name="Note 5 2 2 3 4" xfId="35775" xr:uid="{00000000-0005-0000-0000-0000EA8B0000}"/>
    <cellStyle name="Note 5 2 2 4" xfId="35776" xr:uid="{00000000-0005-0000-0000-0000EB8B0000}"/>
    <cellStyle name="Note 5 2 2 4 2" xfId="35777" xr:uid="{00000000-0005-0000-0000-0000EC8B0000}"/>
    <cellStyle name="Note 5 2 2 4 3" xfId="35778" xr:uid="{00000000-0005-0000-0000-0000ED8B0000}"/>
    <cellStyle name="Note 5 2 2 5" xfId="35779" xr:uid="{00000000-0005-0000-0000-0000EE8B0000}"/>
    <cellStyle name="Note 5 2 2 6" xfId="35780" xr:uid="{00000000-0005-0000-0000-0000EF8B0000}"/>
    <cellStyle name="Note 5 2 2 7" xfId="35781" xr:uid="{00000000-0005-0000-0000-0000F08B0000}"/>
    <cellStyle name="Note 5 2 3" xfId="35782" xr:uid="{00000000-0005-0000-0000-0000F18B0000}"/>
    <cellStyle name="Note 5 2 3 2" xfId="35783" xr:uid="{00000000-0005-0000-0000-0000F28B0000}"/>
    <cellStyle name="Note 5 2 3 2 2" xfId="35784" xr:uid="{00000000-0005-0000-0000-0000F38B0000}"/>
    <cellStyle name="Note 5 2 3 2 2 2" xfId="35785" xr:uid="{00000000-0005-0000-0000-0000F48B0000}"/>
    <cellStyle name="Note 5 2 3 2 2 3" xfId="35786" xr:uid="{00000000-0005-0000-0000-0000F58B0000}"/>
    <cellStyle name="Note 5 2 3 2 3" xfId="35787" xr:uid="{00000000-0005-0000-0000-0000F68B0000}"/>
    <cellStyle name="Note 5 2 3 2 4" xfId="35788" xr:uid="{00000000-0005-0000-0000-0000F78B0000}"/>
    <cellStyle name="Note 5 2 3 3" xfId="35789" xr:uid="{00000000-0005-0000-0000-0000F88B0000}"/>
    <cellStyle name="Note 5 2 3 3 2" xfId="35790" xr:uid="{00000000-0005-0000-0000-0000F98B0000}"/>
    <cellStyle name="Note 5 2 3 3 3" xfId="35791" xr:uid="{00000000-0005-0000-0000-0000FA8B0000}"/>
    <cellStyle name="Note 5 2 3 4" xfId="35792" xr:uid="{00000000-0005-0000-0000-0000FB8B0000}"/>
    <cellStyle name="Note 5 2 3 5" xfId="35793" xr:uid="{00000000-0005-0000-0000-0000FC8B0000}"/>
    <cellStyle name="Note 5 2 3 6" xfId="35794" xr:uid="{00000000-0005-0000-0000-0000FD8B0000}"/>
    <cellStyle name="Note 5 2 4" xfId="35795" xr:uid="{00000000-0005-0000-0000-0000FE8B0000}"/>
    <cellStyle name="Note 5 2 4 2" xfId="35796" xr:uid="{00000000-0005-0000-0000-0000FF8B0000}"/>
    <cellStyle name="Note 5 2 4 2 2" xfId="35797" xr:uid="{00000000-0005-0000-0000-0000008C0000}"/>
    <cellStyle name="Note 5 2 4 2 3" xfId="35798" xr:uid="{00000000-0005-0000-0000-0000018C0000}"/>
    <cellStyle name="Note 5 2 4 3" xfId="35799" xr:uid="{00000000-0005-0000-0000-0000028C0000}"/>
    <cellStyle name="Note 5 2 4 4" xfId="35800" xr:uid="{00000000-0005-0000-0000-0000038C0000}"/>
    <cellStyle name="Note 5 2 5" xfId="35801" xr:uid="{00000000-0005-0000-0000-0000048C0000}"/>
    <cellStyle name="Note 5 2 5 2" xfId="35802" xr:uid="{00000000-0005-0000-0000-0000058C0000}"/>
    <cellStyle name="Note 5 2 5 3" xfId="35803" xr:uid="{00000000-0005-0000-0000-0000068C0000}"/>
    <cellStyle name="Note 5 2 6" xfId="35804" xr:uid="{00000000-0005-0000-0000-0000078C0000}"/>
    <cellStyle name="Note 5 2 7" xfId="35805" xr:uid="{00000000-0005-0000-0000-0000088C0000}"/>
    <cellStyle name="Note 5 2 8" xfId="35806" xr:uid="{00000000-0005-0000-0000-0000098C0000}"/>
    <cellStyle name="Note 5 3" xfId="35807" xr:uid="{00000000-0005-0000-0000-00000A8C0000}"/>
    <cellStyle name="Note 5 3 2" xfId="35808" xr:uid="{00000000-0005-0000-0000-00000B8C0000}"/>
    <cellStyle name="Note 5 3 2 2" xfId="35809" xr:uid="{00000000-0005-0000-0000-00000C8C0000}"/>
    <cellStyle name="Note 5 3 2 2 2" xfId="35810" xr:uid="{00000000-0005-0000-0000-00000D8C0000}"/>
    <cellStyle name="Note 5 3 2 2 2 2" xfId="35811" xr:uid="{00000000-0005-0000-0000-00000E8C0000}"/>
    <cellStyle name="Note 5 3 2 2 2 3" xfId="35812" xr:uid="{00000000-0005-0000-0000-00000F8C0000}"/>
    <cellStyle name="Note 5 3 2 2 3" xfId="35813" xr:uid="{00000000-0005-0000-0000-0000108C0000}"/>
    <cellStyle name="Note 5 3 2 2 4" xfId="35814" xr:uid="{00000000-0005-0000-0000-0000118C0000}"/>
    <cellStyle name="Note 5 3 2 3" xfId="35815" xr:uid="{00000000-0005-0000-0000-0000128C0000}"/>
    <cellStyle name="Note 5 3 2 3 2" xfId="35816" xr:uid="{00000000-0005-0000-0000-0000138C0000}"/>
    <cellStyle name="Note 5 3 2 3 3" xfId="35817" xr:uid="{00000000-0005-0000-0000-0000148C0000}"/>
    <cellStyle name="Note 5 3 2 4" xfId="35818" xr:uid="{00000000-0005-0000-0000-0000158C0000}"/>
    <cellStyle name="Note 5 3 2 5" xfId="35819" xr:uid="{00000000-0005-0000-0000-0000168C0000}"/>
    <cellStyle name="Note 5 3 2 6" xfId="35820" xr:uid="{00000000-0005-0000-0000-0000178C0000}"/>
    <cellStyle name="Note 5 3 3" xfId="35821" xr:uid="{00000000-0005-0000-0000-0000188C0000}"/>
    <cellStyle name="Note 5 3 3 2" xfId="35822" xr:uid="{00000000-0005-0000-0000-0000198C0000}"/>
    <cellStyle name="Note 5 3 3 2 2" xfId="35823" xr:uid="{00000000-0005-0000-0000-00001A8C0000}"/>
    <cellStyle name="Note 5 3 3 2 3" xfId="35824" xr:uid="{00000000-0005-0000-0000-00001B8C0000}"/>
    <cellStyle name="Note 5 3 3 3" xfId="35825" xr:uid="{00000000-0005-0000-0000-00001C8C0000}"/>
    <cellStyle name="Note 5 3 3 4" xfId="35826" xr:uid="{00000000-0005-0000-0000-00001D8C0000}"/>
    <cellStyle name="Note 5 3 4" xfId="35827" xr:uid="{00000000-0005-0000-0000-00001E8C0000}"/>
    <cellStyle name="Note 5 3 4 2" xfId="35828" xr:uid="{00000000-0005-0000-0000-00001F8C0000}"/>
    <cellStyle name="Note 5 3 4 3" xfId="35829" xr:uid="{00000000-0005-0000-0000-0000208C0000}"/>
    <cellStyle name="Note 5 3 5" xfId="35830" xr:uid="{00000000-0005-0000-0000-0000218C0000}"/>
    <cellStyle name="Note 5 3 6" xfId="35831" xr:uid="{00000000-0005-0000-0000-0000228C0000}"/>
    <cellStyle name="Note 5 3 7" xfId="35832" xr:uid="{00000000-0005-0000-0000-0000238C0000}"/>
    <cellStyle name="Note 5 4" xfId="35833" xr:uid="{00000000-0005-0000-0000-0000248C0000}"/>
    <cellStyle name="Note 5 4 2" xfId="35834" xr:uid="{00000000-0005-0000-0000-0000258C0000}"/>
    <cellStyle name="Note 5 4 2 2" xfId="35835" xr:uid="{00000000-0005-0000-0000-0000268C0000}"/>
    <cellStyle name="Note 5 4 2 2 2" xfId="35836" xr:uid="{00000000-0005-0000-0000-0000278C0000}"/>
    <cellStyle name="Note 5 4 2 2 3" xfId="35837" xr:uid="{00000000-0005-0000-0000-0000288C0000}"/>
    <cellStyle name="Note 5 4 2 3" xfId="35838" xr:uid="{00000000-0005-0000-0000-0000298C0000}"/>
    <cellStyle name="Note 5 4 2 4" xfId="35839" xr:uid="{00000000-0005-0000-0000-00002A8C0000}"/>
    <cellStyle name="Note 5 4 3" xfId="35840" xr:uid="{00000000-0005-0000-0000-00002B8C0000}"/>
    <cellStyle name="Note 5 4 3 2" xfId="35841" xr:uid="{00000000-0005-0000-0000-00002C8C0000}"/>
    <cellStyle name="Note 5 4 3 3" xfId="35842" xr:uid="{00000000-0005-0000-0000-00002D8C0000}"/>
    <cellStyle name="Note 5 4 4" xfId="35843" xr:uid="{00000000-0005-0000-0000-00002E8C0000}"/>
    <cellStyle name="Note 5 4 5" xfId="35844" xr:uid="{00000000-0005-0000-0000-00002F8C0000}"/>
    <cellStyle name="Note 5 4 6" xfId="35845" xr:uid="{00000000-0005-0000-0000-0000308C0000}"/>
    <cellStyle name="Note 5 5" xfId="35846" xr:uid="{00000000-0005-0000-0000-0000318C0000}"/>
    <cellStyle name="Note 5 5 2" xfId="35847" xr:uid="{00000000-0005-0000-0000-0000328C0000}"/>
    <cellStyle name="Note 5 5 2 2" xfId="35848" xr:uid="{00000000-0005-0000-0000-0000338C0000}"/>
    <cellStyle name="Note 5 5 2 3" xfId="35849" xr:uid="{00000000-0005-0000-0000-0000348C0000}"/>
    <cellStyle name="Note 5 5 3" xfId="35850" xr:uid="{00000000-0005-0000-0000-0000358C0000}"/>
    <cellStyle name="Note 5 5 4" xfId="35851" xr:uid="{00000000-0005-0000-0000-0000368C0000}"/>
    <cellStyle name="Note 5 6" xfId="35852" xr:uid="{00000000-0005-0000-0000-0000378C0000}"/>
    <cellStyle name="Note 5 6 2" xfId="35853" xr:uid="{00000000-0005-0000-0000-0000388C0000}"/>
    <cellStyle name="Note 5 6 3" xfId="35854" xr:uid="{00000000-0005-0000-0000-0000398C0000}"/>
    <cellStyle name="Note 5 7" xfId="35855" xr:uid="{00000000-0005-0000-0000-00003A8C0000}"/>
    <cellStyle name="Note 5 8" xfId="35856" xr:uid="{00000000-0005-0000-0000-00003B8C0000}"/>
    <cellStyle name="Note 5 9" xfId="35857" xr:uid="{00000000-0005-0000-0000-00003C8C0000}"/>
    <cellStyle name="Output 2" xfId="35858" xr:uid="{00000000-0005-0000-0000-00003D8C0000}"/>
    <cellStyle name="Output 2 2" xfId="35859" xr:uid="{00000000-0005-0000-0000-00003E8C0000}"/>
    <cellStyle name="Percent %" xfId="35860" xr:uid="{00000000-0005-0000-0000-00003F8C0000}"/>
    <cellStyle name="Percent % Long Underline" xfId="35861" xr:uid="{00000000-0005-0000-0000-0000408C0000}"/>
    <cellStyle name="Percent 0.0%" xfId="35862" xr:uid="{00000000-0005-0000-0000-0000418C0000}"/>
    <cellStyle name="Percent 0.0% Long Underline" xfId="35863" xr:uid="{00000000-0005-0000-0000-0000428C0000}"/>
    <cellStyle name="Percent 0.00%" xfId="35864" xr:uid="{00000000-0005-0000-0000-0000438C0000}"/>
    <cellStyle name="Percent 0.00% Long Underline" xfId="35865" xr:uid="{00000000-0005-0000-0000-0000448C0000}"/>
    <cellStyle name="Percent 0.000%" xfId="35866" xr:uid="{00000000-0005-0000-0000-0000458C0000}"/>
    <cellStyle name="Percent 0.000% Long Underline" xfId="35867" xr:uid="{00000000-0005-0000-0000-0000468C0000}"/>
    <cellStyle name="Percent 0.0000%" xfId="35868" xr:uid="{00000000-0005-0000-0000-0000478C0000}"/>
    <cellStyle name="Percent 0.0000% Long Underline" xfId="35869" xr:uid="{00000000-0005-0000-0000-0000488C0000}"/>
    <cellStyle name="Percent 2" xfId="5" xr:uid="{00000000-0005-0000-0000-0000498C0000}"/>
    <cellStyle name="Percent 2 2" xfId="35870" xr:uid="{00000000-0005-0000-0000-00004A8C0000}"/>
    <cellStyle name="Percent 2 3" xfId="35871" xr:uid="{00000000-0005-0000-0000-00004B8C0000}"/>
    <cellStyle name="Percent 2 4" xfId="35872" xr:uid="{00000000-0005-0000-0000-00004C8C0000}"/>
    <cellStyle name="Percent 3" xfId="7" xr:uid="{00000000-0005-0000-0000-00004D8C0000}"/>
    <cellStyle name="Percent 3 2" xfId="35873" xr:uid="{00000000-0005-0000-0000-00004E8C0000}"/>
    <cellStyle name="Percent 3 2 2" xfId="35874" xr:uid="{00000000-0005-0000-0000-00004F8C0000}"/>
    <cellStyle name="Percent 3 2 2 2" xfId="35875" xr:uid="{00000000-0005-0000-0000-0000508C0000}"/>
    <cellStyle name="Percent 3 2 2 2 2" xfId="35876" xr:uid="{00000000-0005-0000-0000-0000518C0000}"/>
    <cellStyle name="Percent 3 2 2 2 2 2" xfId="35877" xr:uid="{00000000-0005-0000-0000-0000528C0000}"/>
    <cellStyle name="Percent 3 2 2 2 2 3" xfId="35878" xr:uid="{00000000-0005-0000-0000-0000538C0000}"/>
    <cellStyle name="Percent 3 2 2 2 3" xfId="35879" xr:uid="{00000000-0005-0000-0000-0000548C0000}"/>
    <cellStyle name="Percent 3 2 2 2 4" xfId="35880" xr:uid="{00000000-0005-0000-0000-0000558C0000}"/>
    <cellStyle name="Percent 3 2 2 3" xfId="35881" xr:uid="{00000000-0005-0000-0000-0000568C0000}"/>
    <cellStyle name="Percent 3 2 2 3 2" xfId="35882" xr:uid="{00000000-0005-0000-0000-0000578C0000}"/>
    <cellStyle name="Percent 3 2 2 3 3" xfId="35883" xr:uid="{00000000-0005-0000-0000-0000588C0000}"/>
    <cellStyle name="Percent 3 2 2 4" xfId="35884" xr:uid="{00000000-0005-0000-0000-0000598C0000}"/>
    <cellStyle name="Percent 3 2 2 5" xfId="35885" xr:uid="{00000000-0005-0000-0000-00005A8C0000}"/>
    <cellStyle name="Percent 3 2 2 6" xfId="35886" xr:uid="{00000000-0005-0000-0000-00005B8C0000}"/>
    <cellStyle name="Percent 3 2 3" xfId="35887" xr:uid="{00000000-0005-0000-0000-00005C8C0000}"/>
    <cellStyle name="Percent 3 2 3 2" xfId="35888" xr:uid="{00000000-0005-0000-0000-00005D8C0000}"/>
    <cellStyle name="Percent 3 2 3 2 2" xfId="35889" xr:uid="{00000000-0005-0000-0000-00005E8C0000}"/>
    <cellStyle name="Percent 3 2 3 2 3" xfId="35890" xr:uid="{00000000-0005-0000-0000-00005F8C0000}"/>
    <cellStyle name="Percent 3 2 3 3" xfId="35891" xr:uid="{00000000-0005-0000-0000-0000608C0000}"/>
    <cellStyle name="Percent 3 2 3 4" xfId="35892" xr:uid="{00000000-0005-0000-0000-0000618C0000}"/>
    <cellStyle name="Percent 3 2 4" xfId="35893" xr:uid="{00000000-0005-0000-0000-0000628C0000}"/>
    <cellStyle name="Percent 3 2 4 2" xfId="35894" xr:uid="{00000000-0005-0000-0000-0000638C0000}"/>
    <cellStyle name="Percent 3 2 4 3" xfId="35895" xr:uid="{00000000-0005-0000-0000-0000648C0000}"/>
    <cellStyle name="Percent 3 2 5" xfId="35896" xr:uid="{00000000-0005-0000-0000-0000658C0000}"/>
    <cellStyle name="Percent 3 2 6" xfId="35897" xr:uid="{00000000-0005-0000-0000-0000668C0000}"/>
    <cellStyle name="Percent 3 2 7" xfId="35898" xr:uid="{00000000-0005-0000-0000-0000678C0000}"/>
    <cellStyle name="Percent 3 3" xfId="35899" xr:uid="{00000000-0005-0000-0000-0000688C0000}"/>
    <cellStyle name="Percent 3 3 2" xfId="35900" xr:uid="{00000000-0005-0000-0000-0000698C0000}"/>
    <cellStyle name="Percent 3 3 2 2" xfId="35901" xr:uid="{00000000-0005-0000-0000-00006A8C0000}"/>
    <cellStyle name="Percent 3 3 2 2 2" xfId="35902" xr:uid="{00000000-0005-0000-0000-00006B8C0000}"/>
    <cellStyle name="Percent 3 3 2 2 3" xfId="35903" xr:uid="{00000000-0005-0000-0000-00006C8C0000}"/>
    <cellStyle name="Percent 3 3 2 3" xfId="35904" xr:uid="{00000000-0005-0000-0000-00006D8C0000}"/>
    <cellStyle name="Percent 3 3 2 4" xfId="35905" xr:uid="{00000000-0005-0000-0000-00006E8C0000}"/>
    <cellStyle name="Percent 3 3 3" xfId="35906" xr:uid="{00000000-0005-0000-0000-00006F8C0000}"/>
    <cellStyle name="Percent 3 3 3 2" xfId="35907" xr:uid="{00000000-0005-0000-0000-0000708C0000}"/>
    <cellStyle name="Percent 3 3 3 3" xfId="35908" xr:uid="{00000000-0005-0000-0000-0000718C0000}"/>
    <cellStyle name="Percent 3 3 4" xfId="35909" xr:uid="{00000000-0005-0000-0000-0000728C0000}"/>
    <cellStyle name="Percent 3 3 5" xfId="35910" xr:uid="{00000000-0005-0000-0000-0000738C0000}"/>
    <cellStyle name="Percent 3 3 6" xfId="35911" xr:uid="{00000000-0005-0000-0000-0000748C0000}"/>
    <cellStyle name="Percent 3 4" xfId="35912" xr:uid="{00000000-0005-0000-0000-0000758C0000}"/>
    <cellStyle name="Percent 3 4 2" xfId="35913" xr:uid="{00000000-0005-0000-0000-0000768C0000}"/>
    <cellStyle name="Percent 3 4 2 2" xfId="35914" xr:uid="{00000000-0005-0000-0000-0000778C0000}"/>
    <cellStyle name="Percent 3 4 2 3" xfId="35915" xr:uid="{00000000-0005-0000-0000-0000788C0000}"/>
    <cellStyle name="Percent 3 4 3" xfId="35916" xr:uid="{00000000-0005-0000-0000-0000798C0000}"/>
    <cellStyle name="Percent 3 4 4" xfId="35917" xr:uid="{00000000-0005-0000-0000-00007A8C0000}"/>
    <cellStyle name="Percent 3 5" xfId="35918" xr:uid="{00000000-0005-0000-0000-00007B8C0000}"/>
    <cellStyle name="Percent 3 5 2" xfId="35919" xr:uid="{00000000-0005-0000-0000-00007C8C0000}"/>
    <cellStyle name="Percent 3 5 3" xfId="35920" xr:uid="{00000000-0005-0000-0000-00007D8C0000}"/>
    <cellStyle name="Percent 3 6" xfId="35921" xr:uid="{00000000-0005-0000-0000-00007E8C0000}"/>
    <cellStyle name="Percent 3 7" xfId="35922" xr:uid="{00000000-0005-0000-0000-00007F8C0000}"/>
    <cellStyle name="Percent 3 8" xfId="35923" xr:uid="{00000000-0005-0000-0000-0000808C0000}"/>
    <cellStyle name="Percent 4" xfId="35924" xr:uid="{00000000-0005-0000-0000-0000818C0000}"/>
    <cellStyle name="Percent 4 2" xfId="35925" xr:uid="{00000000-0005-0000-0000-0000828C0000}"/>
    <cellStyle name="Percent 5" xfId="35926" xr:uid="{00000000-0005-0000-0000-0000838C0000}"/>
    <cellStyle name="Percent 5 2" xfId="35927" xr:uid="{00000000-0005-0000-0000-0000848C0000}"/>
    <cellStyle name="Percent 6" xfId="35928" xr:uid="{00000000-0005-0000-0000-0000858C0000}"/>
    <cellStyle name="PSChar" xfId="35929" xr:uid="{00000000-0005-0000-0000-0000868C0000}"/>
    <cellStyle name="R00A" xfId="35930" xr:uid="{00000000-0005-0000-0000-0000878C0000}"/>
    <cellStyle name="R00A 2" xfId="35931" xr:uid="{00000000-0005-0000-0000-0000888C0000}"/>
    <cellStyle name="R00B" xfId="35932" xr:uid="{00000000-0005-0000-0000-0000898C0000}"/>
    <cellStyle name="R00L" xfId="35933" xr:uid="{00000000-0005-0000-0000-00008A8C0000}"/>
    <cellStyle name="R00L 2" xfId="35934" xr:uid="{00000000-0005-0000-0000-00008B8C0000}"/>
    <cellStyle name="R01A" xfId="35935" xr:uid="{00000000-0005-0000-0000-00008C8C0000}"/>
    <cellStyle name="R01B" xfId="35936" xr:uid="{00000000-0005-0000-0000-00008D8C0000}"/>
    <cellStyle name="R01H" xfId="35937" xr:uid="{00000000-0005-0000-0000-00008E8C0000}"/>
    <cellStyle name="R01L" xfId="35938" xr:uid="{00000000-0005-0000-0000-00008F8C0000}"/>
    <cellStyle name="R02A" xfId="35939" xr:uid="{00000000-0005-0000-0000-0000908C0000}"/>
    <cellStyle name="R02B" xfId="35940" xr:uid="{00000000-0005-0000-0000-0000918C0000}"/>
    <cellStyle name="R02B 2" xfId="35941" xr:uid="{00000000-0005-0000-0000-0000928C0000}"/>
    <cellStyle name="R02B 2 2" xfId="35942" xr:uid="{00000000-0005-0000-0000-0000938C0000}"/>
    <cellStyle name="R02B 3" xfId="35943" xr:uid="{00000000-0005-0000-0000-0000948C0000}"/>
    <cellStyle name="R02B 4" xfId="35944" xr:uid="{00000000-0005-0000-0000-0000958C0000}"/>
    <cellStyle name="R02B 5" xfId="35945" xr:uid="{00000000-0005-0000-0000-0000968C0000}"/>
    <cellStyle name="R02B 6" xfId="35946" xr:uid="{00000000-0005-0000-0000-0000978C0000}"/>
    <cellStyle name="R02B 7" xfId="35947" xr:uid="{00000000-0005-0000-0000-0000988C0000}"/>
    <cellStyle name="R02B 8" xfId="35948" xr:uid="{00000000-0005-0000-0000-0000998C0000}"/>
    <cellStyle name="R02B 9" xfId="35949" xr:uid="{00000000-0005-0000-0000-00009A8C0000}"/>
    <cellStyle name="R02H" xfId="35950" xr:uid="{00000000-0005-0000-0000-00009B8C0000}"/>
    <cellStyle name="R02L" xfId="35951" xr:uid="{00000000-0005-0000-0000-00009C8C0000}"/>
    <cellStyle name="R03A" xfId="35952" xr:uid="{00000000-0005-0000-0000-00009D8C0000}"/>
    <cellStyle name="R03B" xfId="35953" xr:uid="{00000000-0005-0000-0000-00009E8C0000}"/>
    <cellStyle name="R03B 2" xfId="35954" xr:uid="{00000000-0005-0000-0000-00009F8C0000}"/>
    <cellStyle name="R03H" xfId="35955" xr:uid="{00000000-0005-0000-0000-0000A08C0000}"/>
    <cellStyle name="R03L" xfId="35956" xr:uid="{00000000-0005-0000-0000-0000A18C0000}"/>
    <cellStyle name="R04A" xfId="35957" xr:uid="{00000000-0005-0000-0000-0000A28C0000}"/>
    <cellStyle name="R04B" xfId="35958" xr:uid="{00000000-0005-0000-0000-0000A38C0000}"/>
    <cellStyle name="R04H" xfId="35959" xr:uid="{00000000-0005-0000-0000-0000A48C0000}"/>
    <cellStyle name="R04L" xfId="35960" xr:uid="{00000000-0005-0000-0000-0000A58C0000}"/>
    <cellStyle name="R05A" xfId="35961" xr:uid="{00000000-0005-0000-0000-0000A68C0000}"/>
    <cellStyle name="R05B" xfId="35962" xr:uid="{00000000-0005-0000-0000-0000A78C0000}"/>
    <cellStyle name="R05H" xfId="35963" xr:uid="{00000000-0005-0000-0000-0000A88C0000}"/>
    <cellStyle name="R05L" xfId="35964" xr:uid="{00000000-0005-0000-0000-0000A98C0000}"/>
    <cellStyle name="R06A" xfId="35965" xr:uid="{00000000-0005-0000-0000-0000AA8C0000}"/>
    <cellStyle name="R06B" xfId="35966" xr:uid="{00000000-0005-0000-0000-0000AB8C0000}"/>
    <cellStyle name="R06H" xfId="35967" xr:uid="{00000000-0005-0000-0000-0000AC8C0000}"/>
    <cellStyle name="R06L" xfId="35968" xr:uid="{00000000-0005-0000-0000-0000AD8C0000}"/>
    <cellStyle name="R07A" xfId="35969" xr:uid="{00000000-0005-0000-0000-0000AE8C0000}"/>
    <cellStyle name="R07B" xfId="35970" xr:uid="{00000000-0005-0000-0000-0000AF8C0000}"/>
    <cellStyle name="R07H" xfId="35971" xr:uid="{00000000-0005-0000-0000-0000B08C0000}"/>
    <cellStyle name="R07L" xfId="35972" xr:uid="{00000000-0005-0000-0000-0000B18C0000}"/>
    <cellStyle name="Standard_1350" xfId="35973" xr:uid="{00000000-0005-0000-0000-0000B28C0000}"/>
    <cellStyle name="STYLE1" xfId="80" xr:uid="{00000000-0005-0000-0000-0000B38C0000}"/>
    <cellStyle name="STYLE1 2" xfId="35974" xr:uid="{00000000-0005-0000-0000-0000B48C0000}"/>
    <cellStyle name="STYLE1 3" xfId="35975" xr:uid="{00000000-0005-0000-0000-0000B58C0000}"/>
    <cellStyle name="STYLE2" xfId="81" xr:uid="{00000000-0005-0000-0000-0000B68C0000}"/>
    <cellStyle name="STYLE2 2" xfId="35976" xr:uid="{00000000-0005-0000-0000-0000B78C0000}"/>
    <cellStyle name="STYLE2 3" xfId="35977" xr:uid="{00000000-0005-0000-0000-0000B88C0000}"/>
    <cellStyle name="STYLE3" xfId="82" xr:uid="{00000000-0005-0000-0000-0000B98C0000}"/>
    <cellStyle name="STYLE3 2" xfId="35978" xr:uid="{00000000-0005-0000-0000-0000BA8C0000}"/>
    <cellStyle name="STYLE3 3" xfId="35979" xr:uid="{00000000-0005-0000-0000-0000BB8C0000}"/>
    <cellStyle name="STYLE4" xfId="83" xr:uid="{00000000-0005-0000-0000-0000BC8C0000}"/>
    <cellStyle name="STYLE4 2" xfId="35980" xr:uid="{00000000-0005-0000-0000-0000BD8C0000}"/>
    <cellStyle name="STYLE4 3" xfId="35981" xr:uid="{00000000-0005-0000-0000-0000BE8C0000}"/>
    <cellStyle name="STYLE4_June 2007- ran 8-11-07" xfId="35982" xr:uid="{00000000-0005-0000-0000-0000BF8C0000}"/>
    <cellStyle name="STYLE5" xfId="84" xr:uid="{00000000-0005-0000-0000-0000C08C0000}"/>
    <cellStyle name="STYLE5 2" xfId="35983" xr:uid="{00000000-0005-0000-0000-0000C18C0000}"/>
    <cellStyle name="STYLE6" xfId="85" xr:uid="{00000000-0005-0000-0000-0000C28C0000}"/>
    <cellStyle name="STYLE6 2" xfId="35984" xr:uid="{00000000-0005-0000-0000-0000C38C0000}"/>
    <cellStyle name="STYLE7" xfId="86" xr:uid="{00000000-0005-0000-0000-0000C48C0000}"/>
    <cellStyle name="Title 2" xfId="35985" xr:uid="{00000000-0005-0000-0000-0000C58C0000}"/>
    <cellStyle name="Total 2" xfId="35986" xr:uid="{00000000-0005-0000-0000-0000C68C0000}"/>
    <cellStyle name="Total 2 2" xfId="35987" xr:uid="{00000000-0005-0000-0000-0000C78C0000}"/>
    <cellStyle name="Warning Text 2" xfId="35988" xr:uid="{00000000-0005-0000-0000-0000C88C0000}"/>
    <cellStyle name="Warning Text 2 2" xfId="35989" xr:uid="{00000000-0005-0000-0000-0000C98C0000}"/>
    <cellStyle name="XComma" xfId="35990" xr:uid="{00000000-0005-0000-0000-0000CA8C0000}"/>
    <cellStyle name="XComma 0.0" xfId="35991" xr:uid="{00000000-0005-0000-0000-0000CB8C0000}"/>
    <cellStyle name="XComma 0.00" xfId="35992" xr:uid="{00000000-0005-0000-0000-0000CC8C0000}"/>
    <cellStyle name="XComma 0.000" xfId="35993" xr:uid="{00000000-0005-0000-0000-0000CD8C0000}"/>
    <cellStyle name="XCurrency" xfId="35994" xr:uid="{00000000-0005-0000-0000-0000CE8C0000}"/>
    <cellStyle name="XCurrency 0.0" xfId="35995" xr:uid="{00000000-0005-0000-0000-0000CF8C0000}"/>
    <cellStyle name="XCurrency 0.00" xfId="35996" xr:uid="{00000000-0005-0000-0000-0000D08C0000}"/>
    <cellStyle name="XCurrency 0.000" xfId="35997" xr:uid="{00000000-0005-0000-0000-0000D18C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activeX/activeX2.xml><?xml version="1.0" encoding="utf-8"?>
<ax:ocx xmlns:ax="http://schemas.microsoft.com/office/2006/activeX" xmlns:r="http://schemas.openxmlformats.org/officeDocument/2006/relationships" ax:classid="{8BD21D10-EC42-11CE-9E0D-00AA006002F3}" ax:persistence="persistStreamInit" r:id="rId1"/>
</file>

<file path=xl/activeX/activeX3.xml><?xml version="1.0" encoding="utf-8"?>
<ax:ocx xmlns:ax="http://schemas.microsoft.com/office/2006/activeX" xmlns:r="http://schemas.openxmlformats.org/officeDocument/2006/relationships" ax:classid="{8BD21D10-EC42-11CE-9E0D-00AA006002F3}" ax:persistence="persistStreamInit" r:id="rId1"/>
</file>

<file path=xl/activeX/activeX4.xml><?xml version="1.0" encoding="utf-8"?>
<ax:ocx xmlns:ax="http://schemas.microsoft.com/office/2006/activeX" xmlns:r="http://schemas.openxmlformats.org/officeDocument/2006/relationships" ax:classid="{8BD21D10-EC42-11CE-9E0D-00AA006002F3}" ax:persistence="persistStreamInit" r:id="rId1"/>
</file>

<file path=xl/activeX/activeX5.xml><?xml version="1.0" encoding="utf-8"?>
<ax:ocx xmlns:ax="http://schemas.microsoft.com/office/2006/activeX" xmlns:r="http://schemas.openxmlformats.org/officeDocument/2006/relationships" ax:classid="{8BD21D10-EC42-11CE-9E0D-00AA006002F3}" ax:persistence="persistStreamInit" r:id="rId1"/>
</file>

<file path=xl/activeX/activeX6.xml><?xml version="1.0" encoding="utf-8"?>
<ax:ocx xmlns:ax="http://schemas.microsoft.com/office/2006/activeX" xmlns:r="http://schemas.openxmlformats.org/officeDocument/2006/relationships" ax:classid="{8BD21D10-EC42-11CE-9E0D-00AA006002F3}" ax:persistence="persistStreamInit" r:id="rId1"/>
</file>

<file path=xl/activeX/activeX7.xml><?xml version="1.0" encoding="utf-8"?>
<ax:ocx xmlns:ax="http://schemas.microsoft.com/office/2006/activeX" xmlns:r="http://schemas.openxmlformats.org/officeDocument/2006/relationships" ax:classid="{8BD21D10-EC42-11CE-9E0D-00AA006002F3}" ax:persistence="persistStreamInit" r:id="rId1"/>
</file>

<file path=xl/activeX/activeX8.xml><?xml version="1.0" encoding="utf-8"?>
<ax:ocx xmlns:ax="http://schemas.microsoft.com/office/2006/activeX" xmlns:r="http://schemas.openxmlformats.org/officeDocument/2006/relationships" ax:classid="{8BD21D10-EC42-11CE-9E0D-00AA006002F3}" ax:persistence="persistStreamInit" r:id="rId1"/>
</file>

<file path=xl/activeX/activeX9.xml><?xml version="1.0" encoding="utf-8"?>
<ax:ocx xmlns:ax="http://schemas.microsoft.com/office/2006/activeX" xmlns:r="http://schemas.openxmlformats.org/officeDocument/2006/relationships" ax:classid="{8BD21D10-EC42-11CE-9E0D-00AA006002F3}" ax:persistence="persistStreamInit" r:id="rId1"/>
</file>

<file path=xl/activeX/activeX10.xml><?xml version="1.0" encoding="utf-8"?>
<ax:ocx xmlns:ax="http://schemas.microsoft.com/office/2006/activeX" xmlns:r="http://schemas.openxmlformats.org/officeDocument/2006/relationships" ax:classid="{8BD21D10-EC42-11CE-9E0D-00AA006002F3}" ax:persistence="persistStreamInit" r:id="rId1"/>
</file>

<file path=xl/activeX/activeX11.xml><?xml version="1.0" encoding="utf-8"?>
<ax:ocx xmlns:ax="http://schemas.microsoft.com/office/2006/activeX" xmlns:r="http://schemas.openxmlformats.org/officeDocument/2006/relationships" ax:classid="{8BD21D10-EC42-11CE-9E0D-00AA006002F3}" ax:persistence="persistStreamInit" r:id="rId1"/>
</file>

<file path=xl/activeX/activeX12.xml><?xml version="1.0" encoding="utf-8"?>
<ax:ocx xmlns:ax="http://schemas.microsoft.com/office/2006/activeX" xmlns:r="http://schemas.openxmlformats.org/officeDocument/2006/relationships" ax:classid="{8BD21D10-EC42-11CE-9E0D-00AA006002F3}" ax:persistence="persistStreamInit" r:id="rId1"/>
</file>

<file path=xl/activeX/activeX13.xml><?xml version="1.0" encoding="utf-8"?>
<ax:ocx xmlns:ax="http://schemas.microsoft.com/office/2006/activeX" xmlns:r="http://schemas.openxmlformats.org/officeDocument/2006/relationships" ax:classid="{8BD21D10-EC42-11CE-9E0D-00AA006002F3}" ax:persistence="persistStreamInit" r:id="rId1"/>
</file>

<file path=xl/activeX/activeX14.xml><?xml version="1.0" encoding="utf-8"?>
<ax:ocx xmlns:ax="http://schemas.microsoft.com/office/2006/activeX" xmlns:r="http://schemas.openxmlformats.org/officeDocument/2006/relationships" ax:classid="{8BD21D10-EC42-11CE-9E0D-00AA006002F3}" ax:persistence="persistStreamInit" r:id="rId1"/>
</file>

<file path=xl/activeX/activeX15.xml><?xml version="1.0" encoding="utf-8"?>
<ax:ocx xmlns:ax="http://schemas.microsoft.com/office/2006/activeX" xmlns:r="http://schemas.openxmlformats.org/officeDocument/2006/relationships" ax:classid="{8BD21D10-EC42-11CE-9E0D-00AA006002F3}" ax:persistence="persistStreamInit" r:id="rId1"/>
</file>

<file path=xl/activeX/activeX16.xml><?xml version="1.0" encoding="utf-8"?>
<ax:ocx xmlns:ax="http://schemas.microsoft.com/office/2006/activeX" xmlns:r="http://schemas.openxmlformats.org/officeDocument/2006/relationships" ax:classid="{8BD21D10-EC42-11CE-9E0D-00AA006002F3}" ax:persistence="persistStreamInit" r:id="rId1"/>
</file>

<file path=xl/activeX/activeX17.xml><?xml version="1.0" encoding="utf-8"?>
<ax:ocx xmlns:ax="http://schemas.microsoft.com/office/2006/activeX" xmlns:r="http://schemas.openxmlformats.org/officeDocument/2006/relationships" ax:classid="{8BD21D10-EC42-11CE-9E0D-00AA006002F3}" ax:persistence="persistStreamInit" r:id="rId1"/>
</file>

<file path=xl/activeX/activeX18.xml><?xml version="1.0" encoding="utf-8"?>
<ax:ocx xmlns:ax="http://schemas.microsoft.com/office/2006/activeX" xmlns:r="http://schemas.openxmlformats.org/officeDocument/2006/relationships" ax:classid="{8BD21D10-EC42-11CE-9E0D-00AA006002F3}" ax:persistence="persistStreamInit" r:id="rId1"/>
</file>

<file path=xl/activeX/activeX19.xml><?xml version="1.0" encoding="utf-8"?>
<ax:ocx xmlns:ax="http://schemas.microsoft.com/office/2006/activeX" xmlns:r="http://schemas.openxmlformats.org/officeDocument/2006/relationships" ax:classid="{8BD21D10-EC42-11CE-9E0D-00AA006002F3}" ax:persistence="persistStreamInit" r:id="rId1"/>
</file>

<file path=xl/activeX/activeX20.xml><?xml version="1.0" encoding="utf-8"?>
<ax:ocx xmlns:ax="http://schemas.microsoft.com/office/2006/activeX" xmlns:r="http://schemas.openxmlformats.org/officeDocument/2006/relationships" ax:classid="{8BD21D10-EC42-11CE-9E0D-00AA006002F3}" ax:persistence="persistStreamInit" r:id="rId1"/>
</file>

<file path=xl/activeX/activeX21.xml><?xml version="1.0" encoding="utf-8"?>
<ax:ocx xmlns:ax="http://schemas.microsoft.com/office/2006/activeX" xmlns:r="http://schemas.openxmlformats.org/officeDocument/2006/relationships" ax:classid="{8BD21D10-EC42-11CE-9E0D-00AA006002F3}" ax:persistence="persistStreamInit" r:id="rId1"/>
</file>

<file path=xl/activeX/activeX22.xml><?xml version="1.0" encoding="utf-8"?>
<ax:ocx xmlns:ax="http://schemas.microsoft.com/office/2006/activeX" xmlns:r="http://schemas.openxmlformats.org/officeDocument/2006/relationships" ax:classid="{8BD21D10-EC42-11CE-9E0D-00AA006002F3}" ax:persistence="persistStreamInit" r:id="rId1"/>
</file>

<file path=xl/activeX/activeX23.xml><?xml version="1.0" encoding="utf-8"?>
<ax:ocx xmlns:ax="http://schemas.microsoft.com/office/2006/activeX" xmlns:r="http://schemas.openxmlformats.org/officeDocument/2006/relationships" ax:classid="{8BD21D10-EC42-11CE-9E0D-00AA006002F3}" ax:persistence="persistStreamInit" r:id="rId1"/>
</file>

<file path=xl/activeX/activeX24.xml><?xml version="1.0" encoding="utf-8"?>
<ax:ocx xmlns:ax="http://schemas.microsoft.com/office/2006/activeX" xmlns:r="http://schemas.openxmlformats.org/officeDocument/2006/relationships" ax:classid="{8BD21D10-EC42-11CE-9E0D-00AA006002F3}" ax:persistence="persistStreamInit" r:id="rId1"/>
</file>

<file path=xl/activeX/activeX25.xml><?xml version="1.0" encoding="utf-8"?>
<ax:ocx xmlns:ax="http://schemas.microsoft.com/office/2006/activeX" xmlns:r="http://schemas.openxmlformats.org/officeDocument/2006/relationships" ax:classid="{8BD21D10-EC42-11CE-9E0D-00AA006002F3}" ax:persistence="persistStreamInit" r:id="rId1"/>
</file>

<file path=xl/activeX/activeX26.xml><?xml version="1.0" encoding="utf-8"?>
<ax:ocx xmlns:ax="http://schemas.microsoft.com/office/2006/activeX" xmlns:r="http://schemas.openxmlformats.org/officeDocument/2006/relationships" ax:classid="{8BD21D10-EC42-11CE-9E0D-00AA006002F3}" ax:persistence="persistStreamInit" r:id="rId1"/>
</file>

<file path=xl/activeX/activeX27.xml><?xml version="1.0" encoding="utf-8"?>
<ax:ocx xmlns:ax="http://schemas.microsoft.com/office/2006/activeX" xmlns:r="http://schemas.openxmlformats.org/officeDocument/2006/relationships" ax:classid="{8BD21D10-EC42-11CE-9E0D-00AA006002F3}" ax:persistence="persistStreamInit" r:id="rId1"/>
</file>

<file path=xl/activeX/activeX28.xml><?xml version="1.0" encoding="utf-8"?>
<ax:ocx xmlns:ax="http://schemas.microsoft.com/office/2006/activeX" xmlns:r="http://schemas.openxmlformats.org/officeDocument/2006/relationships" ax:classid="{8BD21D10-EC42-11CE-9E0D-00AA006002F3}" ax:persistence="persistStreamInit" r:id="rId1"/>
</file>

<file path=xl/activeX/activeX29.xml><?xml version="1.0" encoding="utf-8"?>
<ax:ocx xmlns:ax="http://schemas.microsoft.com/office/2006/activeX" xmlns:r="http://schemas.openxmlformats.org/officeDocument/2006/relationships" ax:classid="{8BD21D10-EC42-11CE-9E0D-00AA006002F3}" ax:persistence="persistStreamInit"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3.emf"/><Relationship Id="rId1" Type="http://schemas.openxmlformats.org/officeDocument/2006/relationships/image" Target="../media/image2.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6.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8.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9.emf"/></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1.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2.emf"/></Relationships>
</file>

<file path=xl/drawings/_rels/vmlDrawing20.vml.rels><?xml version="1.0" encoding="UTF-8" standalone="yes"?>
<Relationships xmlns="http://schemas.openxmlformats.org/package/2006/relationships"><Relationship Id="rId1" Type="http://schemas.openxmlformats.org/officeDocument/2006/relationships/image" Target="../media/image23.emf"/></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4.emf"/></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5.emf"/></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6.emf"/></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7.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8.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676275</xdr:colOff>
          <xdr:row>0</xdr:row>
          <xdr:rowOff>0</xdr:rowOff>
        </xdr:to>
        <xdr:sp macro="" textlink="">
          <xdr:nvSpPr>
            <xdr:cNvPr id="3073" name="FPMExcelClientSheetOptionstb1"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1190625</xdr:colOff>
          <xdr:row>0</xdr:row>
          <xdr:rowOff>0</xdr:rowOff>
        </xdr:to>
        <xdr:sp macro="" textlink="">
          <xdr:nvSpPr>
            <xdr:cNvPr id="1025" name="FPMExcelClientSheetOptionstb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1190625</xdr:colOff>
          <xdr:row>0</xdr:row>
          <xdr:rowOff>0</xdr:rowOff>
        </xdr:to>
        <xdr:sp macro="" textlink="">
          <xdr:nvSpPr>
            <xdr:cNvPr id="1026" name="ConnectionDescriptorsInfotb1"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1190625</xdr:colOff>
          <xdr:row>0</xdr:row>
          <xdr:rowOff>0</xdr:rowOff>
        </xdr:to>
        <xdr:sp macro="" textlink="">
          <xdr:nvSpPr>
            <xdr:cNvPr id="1027" name="MultipleReportManagerInfotb1" hidden="1">
              <a:extLst>
                <a:ext uri="{63B3BB69-23CF-44E3-9099-C40C66FF867C}">
                  <a14:compatExt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1190625</xdr:colOff>
          <xdr:row>0</xdr:row>
          <xdr:rowOff>0</xdr:rowOff>
        </xdr:to>
        <xdr:sp macro="" textlink="">
          <xdr:nvSpPr>
            <xdr:cNvPr id="1028" name="AnalyzerDynReport000tb1"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0</xdr:rowOff>
        </xdr:from>
        <xdr:to>
          <xdr:col>0</xdr:col>
          <xdr:colOff>0</xdr:colOff>
          <xdr:row>1</xdr:row>
          <xdr:rowOff>0</xdr:rowOff>
        </xdr:to>
        <xdr:sp macro="" textlink="">
          <xdr:nvSpPr>
            <xdr:cNvPr id="2049" name="FPMExcelClientSheetOptionstb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6</xdr:col>
          <xdr:colOff>695325</xdr:colOff>
          <xdr:row>0</xdr:row>
          <xdr:rowOff>0</xdr:rowOff>
        </xdr:to>
        <xdr:sp macro="" textlink="">
          <xdr:nvSpPr>
            <xdr:cNvPr id="6145" name="FPMExcelClientSheetOptionstb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76200</xdr:colOff>
          <xdr:row>0</xdr:row>
          <xdr:rowOff>0</xdr:rowOff>
        </xdr:to>
        <xdr:sp macro="" textlink="">
          <xdr:nvSpPr>
            <xdr:cNvPr id="4097" name="FPMExcelClientSheetOptionstb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25601" name="FPMExcelClientSheetOptionstb1" hidden="1">
              <a:extLst>
                <a:ext uri="{63B3BB69-23CF-44E3-9099-C40C66FF867C}">
                  <a14:compatExt spid="_x0000_s25601"/>
                </a:ext>
                <a:ext uri="{FF2B5EF4-FFF2-40B4-BE49-F238E27FC236}">
                  <a16:creationId xmlns:a16="http://schemas.microsoft.com/office/drawing/2014/main" id="{00000000-0008-0000-0700-0000016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1265" name="FPMExcelClientSheetOptionstb1" hidden="1">
              <a:extLst>
                <a:ext uri="{63B3BB69-23CF-44E3-9099-C40C66FF867C}">
                  <a14:compatExt spid="_x0000_s11265"/>
                </a:ext>
                <a:ext uri="{FF2B5EF4-FFF2-40B4-BE49-F238E27FC236}">
                  <a16:creationId xmlns:a16="http://schemas.microsoft.com/office/drawing/2014/main" id="{00000000-0008-0000-0800-0000012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5121" name="FPMExcelClientSheetOptionstb1" hidden="1">
              <a:extLst>
                <a:ext uri="{63B3BB69-23CF-44E3-9099-C40C66FF867C}">
                  <a14:compatExt spid="_x0000_s5121"/>
                </a:ext>
                <a:ext uri="{FF2B5EF4-FFF2-40B4-BE49-F238E27FC236}">
                  <a16:creationId xmlns:a16="http://schemas.microsoft.com/office/drawing/2014/main" id="{00000000-0008-0000-0900-0000011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7169" name="FPMExcelClientSheetOptionstb1" hidden="1">
              <a:extLst>
                <a:ext uri="{63B3BB69-23CF-44E3-9099-C40C66FF867C}">
                  <a14:compatExt spid="_x0000_s7169"/>
                </a:ext>
                <a:ext uri="{FF2B5EF4-FFF2-40B4-BE49-F238E27FC236}">
                  <a16:creationId xmlns:a16="http://schemas.microsoft.com/office/drawing/2014/main" id="{00000000-0008-0000-0A00-0000011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8193" name="FPMExcelClientSheetOptionstb1" hidden="1">
              <a:extLst>
                <a:ext uri="{63B3BB69-23CF-44E3-9099-C40C66FF867C}">
                  <a14:compatExt spid="_x0000_s8193"/>
                </a:ext>
                <a:ext uri="{FF2B5EF4-FFF2-40B4-BE49-F238E27FC236}">
                  <a16:creationId xmlns:a16="http://schemas.microsoft.com/office/drawing/2014/main" id="{00000000-0008-0000-0B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0241" name="FPMExcelClientSheetOptionstb1" hidden="1">
              <a:extLst>
                <a:ext uri="{63B3BB69-23CF-44E3-9099-C40C66FF867C}">
                  <a14:compatExt spid="_x0000_s10241"/>
                </a:ext>
                <a:ext uri="{FF2B5EF4-FFF2-40B4-BE49-F238E27FC236}">
                  <a16:creationId xmlns:a16="http://schemas.microsoft.com/office/drawing/2014/main" id="{00000000-0008-0000-0C00-0000012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9217" name="FPMExcelClientSheetOptionstb1" hidden="1">
              <a:extLst>
                <a:ext uri="{63B3BB69-23CF-44E3-9099-C40C66FF867C}">
                  <a14:compatExt spid="_x0000_s9217"/>
                </a:ext>
                <a:ext uri="{FF2B5EF4-FFF2-40B4-BE49-F238E27FC236}">
                  <a16:creationId xmlns:a16="http://schemas.microsoft.com/office/drawing/2014/main" id="{00000000-0008-0000-0D00-000001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2289" name="FPMExcelClientSheetOptionstb1" hidden="1">
              <a:extLst>
                <a:ext uri="{63B3BB69-23CF-44E3-9099-C40C66FF867C}">
                  <a14:compatExt spid="_x0000_s12289"/>
                </a:ext>
                <a:ext uri="{FF2B5EF4-FFF2-40B4-BE49-F238E27FC236}">
                  <a16:creationId xmlns:a16="http://schemas.microsoft.com/office/drawing/2014/main" id="{00000000-0008-0000-0E00-0000013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6385" name="FPMExcelClientSheetOptionstb1" hidden="1">
              <a:extLst>
                <a:ext uri="{63B3BB69-23CF-44E3-9099-C40C66FF867C}">
                  <a14:compatExt spid="_x0000_s16385"/>
                </a:ext>
                <a:ext uri="{FF2B5EF4-FFF2-40B4-BE49-F238E27FC236}">
                  <a16:creationId xmlns:a16="http://schemas.microsoft.com/office/drawing/2014/main" id="{00000000-0008-0000-0F00-0000014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7409" name="FPMExcelClientSheetOptionstb1" hidden="1">
              <a:extLst>
                <a:ext uri="{63B3BB69-23CF-44E3-9099-C40C66FF867C}">
                  <a14:compatExt spid="_x0000_s17409"/>
                </a:ext>
                <a:ext uri="{FF2B5EF4-FFF2-40B4-BE49-F238E27FC236}">
                  <a16:creationId xmlns:a16="http://schemas.microsoft.com/office/drawing/2014/main" id="{00000000-0008-0000-1000-0000014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8433" name="FPMExcelClientSheetOptionstb1" hidden="1">
              <a:extLst>
                <a:ext uri="{63B3BB69-23CF-44E3-9099-C40C66FF867C}">
                  <a14:compatExt spid="_x0000_s18433"/>
                </a:ext>
                <a:ext uri="{FF2B5EF4-FFF2-40B4-BE49-F238E27FC236}">
                  <a16:creationId xmlns:a16="http://schemas.microsoft.com/office/drawing/2014/main" id="{00000000-0008-0000-1100-0000014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5361" name="FPMExcelClientSheetOptionstb1" hidden="1">
              <a:extLst>
                <a:ext uri="{63B3BB69-23CF-44E3-9099-C40C66FF867C}">
                  <a14:compatExt spid="_x0000_s15361"/>
                </a:ext>
                <a:ext uri="{FF2B5EF4-FFF2-40B4-BE49-F238E27FC236}">
                  <a16:creationId xmlns:a16="http://schemas.microsoft.com/office/drawing/2014/main" id="{00000000-0008-0000-1200-0000013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4337" name="FPMExcelClientSheetOptionstb1" hidden="1">
              <a:extLst>
                <a:ext uri="{63B3BB69-23CF-44E3-9099-C40C66FF867C}">
                  <a14:compatExt spid="_x0000_s14337"/>
                </a:ext>
                <a:ext uri="{FF2B5EF4-FFF2-40B4-BE49-F238E27FC236}">
                  <a16:creationId xmlns:a16="http://schemas.microsoft.com/office/drawing/2014/main" id="{00000000-0008-0000-1300-0000013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3313" name="FPMExcelClientSheetOptionstb1" hidden="1">
              <a:extLst>
                <a:ext uri="{63B3BB69-23CF-44E3-9099-C40C66FF867C}">
                  <a14:compatExt spid="_x0000_s13313"/>
                </a:ext>
                <a:ext uri="{FF2B5EF4-FFF2-40B4-BE49-F238E27FC236}">
                  <a16:creationId xmlns:a16="http://schemas.microsoft.com/office/drawing/2014/main" id="{00000000-0008-0000-1400-0000013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23553" name="FPMExcelClientSheetOptionstb1" hidden="1">
              <a:extLst>
                <a:ext uri="{63B3BB69-23CF-44E3-9099-C40C66FF867C}">
                  <a14:compatExt spid="_x0000_s23553"/>
                </a:ext>
                <a:ext uri="{FF2B5EF4-FFF2-40B4-BE49-F238E27FC236}">
                  <a16:creationId xmlns:a16="http://schemas.microsoft.com/office/drawing/2014/main" id="{00000000-0008-0000-1500-0000015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22529" name="FPMExcelClientSheetOptionstb1" hidden="1">
              <a:extLst>
                <a:ext uri="{63B3BB69-23CF-44E3-9099-C40C66FF867C}">
                  <a14:compatExt spid="_x0000_s22529"/>
                </a:ext>
                <a:ext uri="{FF2B5EF4-FFF2-40B4-BE49-F238E27FC236}">
                  <a16:creationId xmlns:a16="http://schemas.microsoft.com/office/drawing/2014/main" id="{00000000-0008-0000-1600-0000015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21505" name="FPMExcelClientSheetOptionstb1" hidden="1">
              <a:extLst>
                <a:ext uri="{63B3BB69-23CF-44E3-9099-C40C66FF867C}">
                  <a14:compatExt spid="_x0000_s21505"/>
                </a:ext>
                <a:ext uri="{FF2B5EF4-FFF2-40B4-BE49-F238E27FC236}">
                  <a16:creationId xmlns:a16="http://schemas.microsoft.com/office/drawing/2014/main" id="{00000000-0008-0000-1700-000001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981075</xdr:colOff>
          <xdr:row>0</xdr:row>
          <xdr:rowOff>0</xdr:rowOff>
        </xdr:to>
        <xdr:sp macro="" textlink="">
          <xdr:nvSpPr>
            <xdr:cNvPr id="20481" name="FPMExcelClientSheetOptionstb1" hidden="1">
              <a:extLst>
                <a:ext uri="{63B3BB69-23CF-44E3-9099-C40C66FF867C}">
                  <a14:compatExt spid="_x0000_s20481"/>
                </a:ext>
                <a:ext uri="{FF2B5EF4-FFF2-40B4-BE49-F238E27FC236}">
                  <a16:creationId xmlns:a16="http://schemas.microsoft.com/office/drawing/2014/main" id="{00000000-0008-0000-1800-0000015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24577" name="FPMExcelClientSheetOptionstb1" hidden="1">
              <a:extLst>
                <a:ext uri="{63B3BB69-23CF-44E3-9099-C40C66FF867C}">
                  <a14:compatExt spid="_x0000_s24577"/>
                </a:ext>
                <a:ext uri="{FF2B5EF4-FFF2-40B4-BE49-F238E27FC236}">
                  <a16:creationId xmlns:a16="http://schemas.microsoft.com/office/drawing/2014/main" id="{00000000-0008-0000-1900-0000016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19457" name="FPMExcelClientSheetOptionstb1" hidden="1">
              <a:extLst>
                <a:ext uri="{63B3BB69-23CF-44E3-9099-C40C66FF867C}">
                  <a14:compatExt spid="_x0000_s19457"/>
                </a:ext>
                <a:ext uri="{FF2B5EF4-FFF2-40B4-BE49-F238E27FC236}">
                  <a16:creationId xmlns:a16="http://schemas.microsoft.com/office/drawing/2014/main" id="{00000000-0008-0000-1A00-0000014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1</xdr:col>
          <xdr:colOff>304800</xdr:colOff>
          <xdr:row>0</xdr:row>
          <xdr:rowOff>0</xdr:rowOff>
        </xdr:to>
        <xdr:sp macro="" textlink="">
          <xdr:nvSpPr>
            <xdr:cNvPr id="26625" name="FPMExcelClientSheetOptionstb1" hidden="1">
              <a:extLst>
                <a:ext uri="{63B3BB69-23CF-44E3-9099-C40C66FF867C}">
                  <a14:compatExt spid="_x0000_s26625"/>
                </a:ext>
                <a:ext uri="{FF2B5EF4-FFF2-40B4-BE49-F238E27FC236}">
                  <a16:creationId xmlns:a16="http://schemas.microsoft.com/office/drawing/2014/main" id="{00000000-0008-0000-1B00-0000016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psr02\nvision\Layout\CTRS_PAYR_OS_GHC_NSG.xn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tance_Hook"/>
      <sheetName val="History"/>
      <sheetName val="Options"/>
      <sheetName val="Operating Statement"/>
    </sheetNames>
    <sheetDataSet>
      <sheetData sheetId="0" refreshError="1"/>
      <sheetData sheetId="1" refreshError="1"/>
      <sheetData sheetId="2" refreshError="1"/>
      <sheetData sheetId="3" refreshError="1">
        <row r="101">
          <cell r="A101" t="str">
            <v>%,FCHARTFIELD1,TPG_OP_STATE,X,NINS,FACCOUNT,VDAYS,FCURRENCY_CD,V,VUSD</v>
          </cell>
          <cell r="D101" t="str">
            <v>Insurance</v>
          </cell>
          <cell r="M101">
            <v>0</v>
          </cell>
          <cell r="T101">
            <v>0</v>
          </cell>
        </row>
        <row r="103">
          <cell r="A103" t="str">
            <v>%,FCHARTFIELD1,TPG_OP_STATE,X,NMCAID_SNF,FACCOUNT,VDAYS,FCURRENCY_CD,V,VUSD</v>
          </cell>
          <cell r="D103" t="str">
            <v>Medicaid</v>
          </cell>
          <cell r="M103">
            <v>0</v>
          </cell>
          <cell r="T103">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ustomProperty" Target="../customProperty2.bin"/><Relationship Id="rId7" Type="http://schemas.openxmlformats.org/officeDocument/2006/relationships/control" Target="../activeX/activeX1.xml"/><Relationship Id="rId2" Type="http://schemas.openxmlformats.org/officeDocument/2006/relationships/customProperty" Target="../customProperty1.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customProperty" Target="../customProperty3.bin"/></Relationships>
</file>

<file path=xl/worksheets/_rels/sheet2.xml.rels><?xml version="1.0" encoding="UTF-8" standalone="yes"?>
<Relationships xmlns="http://schemas.openxmlformats.org/package/2006/relationships"><Relationship Id="rId8" Type="http://schemas.openxmlformats.org/officeDocument/2006/relationships/image" Target="../media/image2.emf"/><Relationship Id="rId13" Type="http://schemas.openxmlformats.org/officeDocument/2006/relationships/control" Target="../activeX/activeX5.xml"/><Relationship Id="rId3" Type="http://schemas.openxmlformats.org/officeDocument/2006/relationships/customProperty" Target="../customProperty5.bin"/><Relationship Id="rId7" Type="http://schemas.openxmlformats.org/officeDocument/2006/relationships/control" Target="../activeX/activeX2.xml"/><Relationship Id="rId12" Type="http://schemas.openxmlformats.org/officeDocument/2006/relationships/image" Target="../media/image4.emf"/><Relationship Id="rId2" Type="http://schemas.openxmlformats.org/officeDocument/2006/relationships/customProperty" Target="../customProperty4.bin"/><Relationship Id="rId1" Type="http://schemas.openxmlformats.org/officeDocument/2006/relationships/printerSettings" Target="../printerSettings/printerSettings2.bin"/><Relationship Id="rId6" Type="http://schemas.openxmlformats.org/officeDocument/2006/relationships/vmlDrawing" Target="../drawings/vmlDrawing2.vml"/><Relationship Id="rId11" Type="http://schemas.openxmlformats.org/officeDocument/2006/relationships/control" Target="../activeX/activeX4.xml"/><Relationship Id="rId5" Type="http://schemas.openxmlformats.org/officeDocument/2006/relationships/drawing" Target="../drawings/drawing2.xml"/><Relationship Id="rId10" Type="http://schemas.openxmlformats.org/officeDocument/2006/relationships/image" Target="../media/image3.emf"/><Relationship Id="rId4" Type="http://schemas.openxmlformats.org/officeDocument/2006/relationships/customProperty" Target="../customProperty6.bin"/><Relationship Id="rId9" Type="http://schemas.openxmlformats.org/officeDocument/2006/relationships/control" Target="../activeX/activeX3.xml"/><Relationship Id="rId14" Type="http://schemas.openxmlformats.org/officeDocument/2006/relationships/image" Target="../media/image5.emf"/></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8.bin"/><Relationship Id="rId7" Type="http://schemas.openxmlformats.org/officeDocument/2006/relationships/image" Target="../media/image6.emf"/><Relationship Id="rId2" Type="http://schemas.openxmlformats.org/officeDocument/2006/relationships/customProperty" Target="../customProperty7.bin"/><Relationship Id="rId1" Type="http://schemas.openxmlformats.org/officeDocument/2006/relationships/printerSettings" Target="../printerSettings/printerSettings3.bin"/><Relationship Id="rId6" Type="http://schemas.openxmlformats.org/officeDocument/2006/relationships/control" Target="../activeX/activeX6.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13.bin"/><Relationship Id="rId7" Type="http://schemas.openxmlformats.org/officeDocument/2006/relationships/image" Target="../media/image7.emf"/><Relationship Id="rId2" Type="http://schemas.openxmlformats.org/officeDocument/2006/relationships/customProperty" Target="../customProperty12.bin"/><Relationship Id="rId1" Type="http://schemas.openxmlformats.org/officeDocument/2006/relationships/customProperty" Target="../customProperty11.bin"/><Relationship Id="rId6" Type="http://schemas.openxmlformats.org/officeDocument/2006/relationships/control" Target="../activeX/activeX7.xml"/><Relationship Id="rId5" Type="http://schemas.openxmlformats.org/officeDocument/2006/relationships/vmlDrawing" Target="../drawings/vmlDrawing4.vm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4.bin"/><Relationship Id="rId1" Type="http://schemas.openxmlformats.org/officeDocument/2006/relationships/printerSettings" Target="../printerSettings/printerSettings5.bin"/><Relationship Id="rId6" Type="http://schemas.openxmlformats.org/officeDocument/2006/relationships/image" Target="../media/image8.emf"/><Relationship Id="rId5" Type="http://schemas.openxmlformats.org/officeDocument/2006/relationships/control" Target="../activeX/activeX8.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15.bin"/><Relationship Id="rId1" Type="http://schemas.openxmlformats.org/officeDocument/2006/relationships/printerSettings" Target="../printerSettings/printerSettings6.bin"/><Relationship Id="rId6" Type="http://schemas.openxmlformats.org/officeDocument/2006/relationships/image" Target="../media/image9.emf"/><Relationship Id="rId5" Type="http://schemas.openxmlformats.org/officeDocument/2006/relationships/control" Target="../activeX/activeX9.xml"/><Relationship Id="rId4"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16.bin"/><Relationship Id="rId1" Type="http://schemas.openxmlformats.org/officeDocument/2006/relationships/printerSettings" Target="../printerSettings/printerSettings7.bin"/><Relationship Id="rId6" Type="http://schemas.openxmlformats.org/officeDocument/2006/relationships/image" Target="../media/image10.emf"/><Relationship Id="rId5" Type="http://schemas.openxmlformats.org/officeDocument/2006/relationships/control" Target="../activeX/activeX10.xml"/><Relationship Id="rId4"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17.bin"/><Relationship Id="rId1" Type="http://schemas.openxmlformats.org/officeDocument/2006/relationships/printerSettings" Target="../printerSettings/printerSettings8.bin"/><Relationship Id="rId6" Type="http://schemas.openxmlformats.org/officeDocument/2006/relationships/image" Target="../media/image11.emf"/><Relationship Id="rId5" Type="http://schemas.openxmlformats.org/officeDocument/2006/relationships/control" Target="../activeX/activeX11.xml"/><Relationship Id="rId4"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8.bin"/><Relationship Id="rId1" Type="http://schemas.openxmlformats.org/officeDocument/2006/relationships/printerSettings" Target="../printerSettings/printerSettings9.bin"/><Relationship Id="rId6" Type="http://schemas.openxmlformats.org/officeDocument/2006/relationships/image" Target="../media/image12.emf"/><Relationship Id="rId5" Type="http://schemas.openxmlformats.org/officeDocument/2006/relationships/control" Target="../activeX/activeX12.xml"/><Relationship Id="rId4"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9.bin"/><Relationship Id="rId1" Type="http://schemas.openxmlformats.org/officeDocument/2006/relationships/printerSettings" Target="../printerSettings/printerSettings10.bin"/><Relationship Id="rId6" Type="http://schemas.openxmlformats.org/officeDocument/2006/relationships/image" Target="../media/image13.emf"/><Relationship Id="rId5" Type="http://schemas.openxmlformats.org/officeDocument/2006/relationships/control" Target="../activeX/activeX13.xml"/><Relationship Id="rId4"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20.bin"/><Relationship Id="rId1" Type="http://schemas.openxmlformats.org/officeDocument/2006/relationships/printerSettings" Target="../printerSettings/printerSettings11.bin"/><Relationship Id="rId6" Type="http://schemas.openxmlformats.org/officeDocument/2006/relationships/image" Target="../media/image14.emf"/><Relationship Id="rId5" Type="http://schemas.openxmlformats.org/officeDocument/2006/relationships/control" Target="../activeX/activeX14.xml"/><Relationship Id="rId4"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21.bin"/><Relationship Id="rId1" Type="http://schemas.openxmlformats.org/officeDocument/2006/relationships/printerSettings" Target="../printerSettings/printerSettings12.bin"/><Relationship Id="rId6" Type="http://schemas.openxmlformats.org/officeDocument/2006/relationships/image" Target="../media/image15.emf"/><Relationship Id="rId5" Type="http://schemas.openxmlformats.org/officeDocument/2006/relationships/control" Target="../activeX/activeX15.xml"/><Relationship Id="rId4"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22.bin"/><Relationship Id="rId1" Type="http://schemas.openxmlformats.org/officeDocument/2006/relationships/printerSettings" Target="../printerSettings/printerSettings13.bin"/><Relationship Id="rId6" Type="http://schemas.openxmlformats.org/officeDocument/2006/relationships/image" Target="../media/image16.emf"/><Relationship Id="rId5" Type="http://schemas.openxmlformats.org/officeDocument/2006/relationships/control" Target="../activeX/activeX16.xml"/><Relationship Id="rId4"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23.bin"/><Relationship Id="rId1" Type="http://schemas.openxmlformats.org/officeDocument/2006/relationships/printerSettings" Target="../printerSettings/printerSettings14.bin"/><Relationship Id="rId6" Type="http://schemas.openxmlformats.org/officeDocument/2006/relationships/image" Target="../media/image17.emf"/><Relationship Id="rId5" Type="http://schemas.openxmlformats.org/officeDocument/2006/relationships/control" Target="../activeX/activeX17.xml"/><Relationship Id="rId4"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24.bin"/><Relationship Id="rId1" Type="http://schemas.openxmlformats.org/officeDocument/2006/relationships/printerSettings" Target="../printerSettings/printerSettings15.bin"/><Relationship Id="rId6" Type="http://schemas.openxmlformats.org/officeDocument/2006/relationships/image" Target="../media/image18.emf"/><Relationship Id="rId5" Type="http://schemas.openxmlformats.org/officeDocument/2006/relationships/control" Target="../activeX/activeX18.xml"/><Relationship Id="rId4"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25.bin"/><Relationship Id="rId1" Type="http://schemas.openxmlformats.org/officeDocument/2006/relationships/printerSettings" Target="../printerSettings/printerSettings16.bin"/><Relationship Id="rId6" Type="http://schemas.openxmlformats.org/officeDocument/2006/relationships/image" Target="../media/image19.emf"/><Relationship Id="rId5" Type="http://schemas.openxmlformats.org/officeDocument/2006/relationships/control" Target="../activeX/activeX19.xml"/><Relationship Id="rId4" Type="http://schemas.openxmlformats.org/officeDocument/2006/relationships/vmlDrawing" Target="../drawings/vmlDrawing16.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customProperty" Target="../customProperty26.bin"/><Relationship Id="rId1" Type="http://schemas.openxmlformats.org/officeDocument/2006/relationships/printerSettings" Target="../printerSettings/printerSettings17.bin"/><Relationship Id="rId6" Type="http://schemas.openxmlformats.org/officeDocument/2006/relationships/image" Target="../media/image20.emf"/><Relationship Id="rId5" Type="http://schemas.openxmlformats.org/officeDocument/2006/relationships/control" Target="../activeX/activeX20.xml"/><Relationship Id="rId4"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customProperty" Target="../customProperty27.bin"/><Relationship Id="rId1" Type="http://schemas.openxmlformats.org/officeDocument/2006/relationships/printerSettings" Target="../printerSettings/printerSettings18.bin"/><Relationship Id="rId6" Type="http://schemas.openxmlformats.org/officeDocument/2006/relationships/image" Target="../media/image21.emf"/><Relationship Id="rId5" Type="http://schemas.openxmlformats.org/officeDocument/2006/relationships/control" Target="../activeX/activeX21.xml"/><Relationship Id="rId4"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customProperty" Target="../customProperty28.bin"/><Relationship Id="rId1" Type="http://schemas.openxmlformats.org/officeDocument/2006/relationships/printerSettings" Target="../printerSettings/printerSettings19.bin"/><Relationship Id="rId6" Type="http://schemas.openxmlformats.org/officeDocument/2006/relationships/image" Target="../media/image22.emf"/><Relationship Id="rId5" Type="http://schemas.openxmlformats.org/officeDocument/2006/relationships/control" Target="../activeX/activeX22.xml"/><Relationship Id="rId4"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customProperty" Target="../customProperty29.bin"/><Relationship Id="rId1" Type="http://schemas.openxmlformats.org/officeDocument/2006/relationships/printerSettings" Target="../printerSettings/printerSettings20.bin"/><Relationship Id="rId6" Type="http://schemas.openxmlformats.org/officeDocument/2006/relationships/image" Target="../media/image23.emf"/><Relationship Id="rId5" Type="http://schemas.openxmlformats.org/officeDocument/2006/relationships/control" Target="../activeX/activeX23.xml"/><Relationship Id="rId4" Type="http://schemas.openxmlformats.org/officeDocument/2006/relationships/vmlDrawing" Target="../drawings/vmlDrawing20.v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customProperty" Target="../customProperty30.bin"/><Relationship Id="rId1" Type="http://schemas.openxmlformats.org/officeDocument/2006/relationships/printerSettings" Target="../printerSettings/printerSettings21.bin"/><Relationship Id="rId6" Type="http://schemas.openxmlformats.org/officeDocument/2006/relationships/image" Target="../media/image24.emf"/><Relationship Id="rId5" Type="http://schemas.openxmlformats.org/officeDocument/2006/relationships/control" Target="../activeX/activeX24.xml"/><Relationship Id="rId4" Type="http://schemas.openxmlformats.org/officeDocument/2006/relationships/vmlDrawing" Target="../drawings/vmlDrawing21.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customProperty" Target="../customProperty31.bin"/><Relationship Id="rId1" Type="http://schemas.openxmlformats.org/officeDocument/2006/relationships/printerSettings" Target="../printerSettings/printerSettings22.bin"/><Relationship Id="rId6" Type="http://schemas.openxmlformats.org/officeDocument/2006/relationships/image" Target="../media/image25.emf"/><Relationship Id="rId5" Type="http://schemas.openxmlformats.org/officeDocument/2006/relationships/control" Target="../activeX/activeX25.xml"/><Relationship Id="rId4" Type="http://schemas.openxmlformats.org/officeDocument/2006/relationships/vmlDrawing" Target="../drawings/vmlDrawing22.v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32.bin"/><Relationship Id="rId1" Type="http://schemas.openxmlformats.org/officeDocument/2006/relationships/printerSettings" Target="../printerSettings/printerSettings23.bin"/><Relationship Id="rId6" Type="http://schemas.openxmlformats.org/officeDocument/2006/relationships/image" Target="../media/image26.emf"/><Relationship Id="rId5" Type="http://schemas.openxmlformats.org/officeDocument/2006/relationships/control" Target="../activeX/activeX26.xml"/><Relationship Id="rId4" Type="http://schemas.openxmlformats.org/officeDocument/2006/relationships/vmlDrawing" Target="../drawings/vmlDrawing23.v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customProperty" Target="../customProperty33.bin"/><Relationship Id="rId1" Type="http://schemas.openxmlformats.org/officeDocument/2006/relationships/printerSettings" Target="../printerSettings/printerSettings24.bin"/><Relationship Id="rId6" Type="http://schemas.openxmlformats.org/officeDocument/2006/relationships/image" Target="../media/image27.emf"/><Relationship Id="rId5" Type="http://schemas.openxmlformats.org/officeDocument/2006/relationships/control" Target="../activeX/activeX27.xml"/><Relationship Id="rId4" Type="http://schemas.openxmlformats.org/officeDocument/2006/relationships/vmlDrawing" Target="../drawings/vmlDrawing24.v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customProperty" Target="../customProperty34.bin"/><Relationship Id="rId1" Type="http://schemas.openxmlformats.org/officeDocument/2006/relationships/printerSettings" Target="../printerSettings/printerSettings25.bin"/><Relationship Id="rId6" Type="http://schemas.openxmlformats.org/officeDocument/2006/relationships/image" Target="../media/image28.emf"/><Relationship Id="rId5" Type="http://schemas.openxmlformats.org/officeDocument/2006/relationships/control" Target="../activeX/activeX28.xml"/><Relationship Id="rId4" Type="http://schemas.openxmlformats.org/officeDocument/2006/relationships/vmlDrawing" Target="../drawings/vmlDrawing25.v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customProperty" Target="../customProperty35.bin"/><Relationship Id="rId5" Type="http://schemas.openxmlformats.org/officeDocument/2006/relationships/image" Target="../media/image29.emf"/><Relationship Id="rId4" Type="http://schemas.openxmlformats.org/officeDocument/2006/relationships/control" Target="../activeX/activeX2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L19"/>
  <sheetViews>
    <sheetView tabSelected="1" zoomScale="80" zoomScaleNormal="80" workbookViewId="0"/>
  </sheetViews>
  <sheetFormatPr defaultColWidth="9.140625" defaultRowHeight="15"/>
  <cols>
    <col min="1" max="1" width="3.5703125" style="26" customWidth="1"/>
    <col min="2" max="2" width="19.42578125" style="26" bestFit="1" customWidth="1"/>
    <col min="3" max="3" width="19" style="26" customWidth="1"/>
    <col min="4" max="4" width="4.7109375" style="26" customWidth="1"/>
    <col min="5" max="5" width="19.140625" style="26" bestFit="1" customWidth="1"/>
    <col min="6" max="6" width="16" style="26" customWidth="1"/>
    <col min="7" max="7" width="6.42578125" style="26" customWidth="1"/>
    <col min="8" max="8" width="13.28515625" style="177" customWidth="1"/>
    <col min="9" max="9" width="2.5703125" style="26" customWidth="1"/>
    <col min="10" max="10" width="126.42578125" style="26" bestFit="1" customWidth="1"/>
    <col min="11" max="11" width="12" style="26" bestFit="1" customWidth="1"/>
    <col min="12" max="12" width="15" style="26" bestFit="1" customWidth="1"/>
    <col min="13" max="16384" width="9.140625" style="26"/>
  </cols>
  <sheetData>
    <row r="1" spans="1:12" s="28" customFormat="1" ht="12.75">
      <c r="A1" s="185" t="s">
        <v>412</v>
      </c>
      <c r="B1" s="27"/>
      <c r="H1" s="176"/>
    </row>
    <row r="2" spans="1:12" s="28" customFormat="1" ht="12.75">
      <c r="A2" s="29" t="s">
        <v>25</v>
      </c>
      <c r="B2" s="27"/>
      <c r="H2" s="176"/>
    </row>
    <row r="3" spans="1:12" s="28" customFormat="1" ht="12.75">
      <c r="A3" s="29" t="s">
        <v>419</v>
      </c>
      <c r="B3" s="27"/>
      <c r="H3" s="176"/>
    </row>
    <row r="4" spans="1:12" ht="15.75" thickBot="1">
      <c r="K4" s="28"/>
    </row>
    <row r="5" spans="1:12" ht="15.75" thickBot="1">
      <c r="B5" s="30" t="s">
        <v>23</v>
      </c>
      <c r="C5" s="31"/>
      <c r="E5" s="30" t="s">
        <v>28</v>
      </c>
      <c r="F5" s="31"/>
      <c r="H5" s="178" t="s">
        <v>29</v>
      </c>
      <c r="I5" s="40"/>
      <c r="J5" s="41" t="s">
        <v>30</v>
      </c>
      <c r="K5" s="28"/>
    </row>
    <row r="6" spans="1:12">
      <c r="B6" s="32"/>
      <c r="C6" s="33"/>
      <c r="E6" s="32"/>
      <c r="F6" s="33"/>
      <c r="H6" s="179"/>
      <c r="I6" s="35"/>
      <c r="J6" s="38"/>
      <c r="K6" s="28"/>
    </row>
    <row r="7" spans="1:12">
      <c r="B7" s="106" t="s">
        <v>18</v>
      </c>
      <c r="C7" s="67">
        <v>1885</v>
      </c>
      <c r="D7" s="68"/>
      <c r="E7" s="106" t="s">
        <v>18</v>
      </c>
      <c r="F7" s="67">
        <f ca="1">+Summary!S551</f>
        <v>1885</v>
      </c>
      <c r="H7" s="179">
        <f ca="1">C7-F7</f>
        <v>0</v>
      </c>
      <c r="I7" s="35"/>
      <c r="J7" s="58" t="s">
        <v>393</v>
      </c>
      <c r="K7" s="28"/>
    </row>
    <row r="8" spans="1:12" ht="30">
      <c r="B8" s="66" t="s">
        <v>26</v>
      </c>
      <c r="C8" s="67">
        <f ca="1">+Summary!T550</f>
        <v>418305</v>
      </c>
      <c r="D8" s="68"/>
      <c r="E8" s="66" t="s">
        <v>26</v>
      </c>
      <c r="F8" s="67">
        <f ca="1">+Summary!S550</f>
        <v>444897</v>
      </c>
      <c r="G8" s="68"/>
      <c r="H8" s="180">
        <f ca="1">C8-F8</f>
        <v>-26592</v>
      </c>
      <c r="I8" s="46"/>
      <c r="J8" s="58" t="s">
        <v>420</v>
      </c>
      <c r="K8" s="28"/>
      <c r="L8" s="171"/>
    </row>
    <row r="9" spans="1:12">
      <c r="B9" s="34"/>
      <c r="C9" s="33"/>
      <c r="E9" s="34"/>
      <c r="F9" s="33"/>
      <c r="H9" s="179"/>
      <c r="I9" s="35"/>
      <c r="J9" s="38"/>
      <c r="L9" s="172"/>
    </row>
    <row r="10" spans="1:12" ht="60">
      <c r="B10" s="66" t="s">
        <v>24</v>
      </c>
      <c r="C10" s="69">
        <f ca="1">+Summary!T552</f>
        <v>100866393.50999999</v>
      </c>
      <c r="D10" s="68"/>
      <c r="E10" s="66" t="s">
        <v>24</v>
      </c>
      <c r="F10" s="69">
        <f ca="1">+Summary!S552</f>
        <v>119617224</v>
      </c>
      <c r="G10" s="68"/>
      <c r="H10" s="180">
        <f ca="1">C10-F10</f>
        <v>-18750830.49000001</v>
      </c>
      <c r="I10" s="46"/>
      <c r="J10" s="58" t="s">
        <v>424</v>
      </c>
      <c r="L10" s="172"/>
    </row>
    <row r="11" spans="1:12" ht="75">
      <c r="B11" s="66" t="s">
        <v>21</v>
      </c>
      <c r="C11" s="70">
        <f ca="1">+Summary!T553</f>
        <v>83445963.649999976</v>
      </c>
      <c r="D11" s="68"/>
      <c r="E11" s="66" t="s">
        <v>21</v>
      </c>
      <c r="F11" s="70">
        <f ca="1">+Summary!S553</f>
        <v>92524028.920000002</v>
      </c>
      <c r="G11" s="68"/>
      <c r="H11" s="180">
        <f ca="1">C11-F11</f>
        <v>-9078065.2700000256</v>
      </c>
      <c r="I11" s="46"/>
      <c r="J11" s="213" t="s">
        <v>421</v>
      </c>
      <c r="K11" s="214"/>
      <c r="L11" s="172"/>
    </row>
    <row r="12" spans="1:12">
      <c r="B12" s="34" t="s">
        <v>12</v>
      </c>
      <c r="C12" s="82">
        <f ca="1">+Summary!T555</f>
        <v>17420429.859999996</v>
      </c>
      <c r="E12" s="34" t="s">
        <v>12</v>
      </c>
      <c r="F12" s="81">
        <f ca="1">+F10-F11</f>
        <v>27093195.079999998</v>
      </c>
      <c r="H12" s="180">
        <f ca="1">C12-F12</f>
        <v>-9672765.2200000025</v>
      </c>
      <c r="I12" s="46"/>
      <c r="J12" s="38"/>
      <c r="L12" s="172"/>
    </row>
    <row r="13" spans="1:12" ht="45">
      <c r="B13" s="66" t="s">
        <v>32</v>
      </c>
      <c r="C13" s="70">
        <f ca="1">+Summary!T556</f>
        <v>-3069460</v>
      </c>
      <c r="D13" s="68"/>
      <c r="E13" s="66" t="s">
        <v>32</v>
      </c>
      <c r="F13" s="70">
        <f ca="1">+Summary!S556</f>
        <v>5618639</v>
      </c>
      <c r="G13" s="68"/>
      <c r="H13" s="180">
        <f ca="1">C13-F13</f>
        <v>-8688099</v>
      </c>
      <c r="I13" s="46"/>
      <c r="J13" s="210" t="s">
        <v>422</v>
      </c>
      <c r="L13" s="172"/>
    </row>
    <row r="14" spans="1:12">
      <c r="B14" s="34" t="s">
        <v>11</v>
      </c>
      <c r="C14" s="43">
        <f ca="1">C12-C13</f>
        <v>20489889.859999996</v>
      </c>
      <c r="E14" s="34" t="s">
        <v>11</v>
      </c>
      <c r="F14" s="43">
        <f ca="1">F12-F13</f>
        <v>21474556.079999998</v>
      </c>
      <c r="H14" s="179">
        <f ca="1">C14-F14</f>
        <v>-984666.22000000253</v>
      </c>
      <c r="I14" s="46"/>
      <c r="J14" s="38"/>
      <c r="L14" s="172"/>
    </row>
    <row r="15" spans="1:12">
      <c r="B15" s="34"/>
      <c r="C15" s="36"/>
      <c r="E15" s="34"/>
      <c r="F15" s="36"/>
      <c r="H15" s="179"/>
      <c r="I15" s="35"/>
      <c r="J15" s="38"/>
      <c r="L15" s="105"/>
    </row>
    <row r="16" spans="1:12" ht="48.75" customHeight="1">
      <c r="B16" s="66" t="s">
        <v>31</v>
      </c>
      <c r="C16" s="170">
        <f ca="1">+Summary!T558</f>
        <v>15352606.960000001</v>
      </c>
      <c r="D16" s="68"/>
      <c r="E16" s="66" t="s">
        <v>31</v>
      </c>
      <c r="F16" s="170">
        <f ca="1">+Summary!S558</f>
        <v>17262175</v>
      </c>
      <c r="G16" s="68"/>
      <c r="H16" s="180">
        <f ca="1">C16-F16</f>
        <v>-1909568.0399999991</v>
      </c>
      <c r="I16" s="46"/>
      <c r="J16" s="210" t="s">
        <v>423</v>
      </c>
      <c r="L16" s="105"/>
    </row>
    <row r="17" spans="2:12">
      <c r="B17" s="37"/>
      <c r="C17" s="38"/>
      <c r="E17" s="37"/>
      <c r="F17" s="38"/>
      <c r="H17" s="179"/>
      <c r="I17" s="35"/>
      <c r="J17" s="38"/>
      <c r="L17" s="105"/>
    </row>
    <row r="18" spans="2:12">
      <c r="B18" s="37" t="s">
        <v>27</v>
      </c>
      <c r="C18" s="44">
        <f ca="1">C12/C16</f>
        <v>1.1346887147822871</v>
      </c>
      <c r="E18" s="37" t="s">
        <v>27</v>
      </c>
      <c r="F18" s="44">
        <f ca="1">F12/F16</f>
        <v>1.5695122474427468</v>
      </c>
      <c r="H18" s="179">
        <f ca="1">C18-F18</f>
        <v>-0.4348235326604597</v>
      </c>
      <c r="I18" s="46"/>
      <c r="J18" s="38"/>
    </row>
    <row r="19" spans="2:12" ht="15.75" thickBot="1">
      <c r="B19" s="39" t="s">
        <v>0</v>
      </c>
      <c r="C19" s="45">
        <f ca="1">C14/C16</f>
        <v>1.3346195804650491</v>
      </c>
      <c r="E19" s="39" t="s">
        <v>0</v>
      </c>
      <c r="F19" s="45">
        <f ca="1">F14/F16</f>
        <v>1.2440237733657549</v>
      </c>
      <c r="H19" s="181">
        <f ca="1">C19-F19</f>
        <v>9.0595807099294268E-2</v>
      </c>
      <c r="I19" s="47"/>
      <c r="J19" s="42"/>
    </row>
  </sheetData>
  <pageMargins left="0.7" right="0.7" top="0.75" bottom="0.75" header="0.3" footer="0.3"/>
  <pageSetup orientation="portrait" horizontalDpi="4294967295" verticalDpi="4294967295" r:id="rId1"/>
  <customProperties>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3073" r:id="rId7" name="FPMExcelClientSheetOptionstb1">
          <controlPr defaultSize="0" autoLine="0" autoPict="0" r:id="rId8">
            <anchor moveWithCells="1" sizeWithCells="1">
              <from>
                <xdr:col>0</xdr:col>
                <xdr:colOff>0</xdr:colOff>
                <xdr:row>0</xdr:row>
                <xdr:rowOff>0</xdr:rowOff>
              </from>
              <to>
                <xdr:col>1</xdr:col>
                <xdr:colOff>676275</xdr:colOff>
                <xdr:row>0</xdr:row>
                <xdr:rowOff>0</xdr:rowOff>
              </to>
            </anchor>
          </controlPr>
        </control>
      </mc:Choice>
      <mc:Fallback>
        <control shapeId="3073" r:id="rId7" name="FPMExcelClientSheetOptionstb1"/>
      </mc:Fallback>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Q385"/>
  <sheetViews>
    <sheetView workbookViewId="0"/>
  </sheetViews>
  <sheetFormatPr defaultRowHeight="15"/>
  <cols>
    <col min="1" max="1" width="10.28515625" bestFit="1" customWidth="1"/>
    <col min="2" max="2" width="43.5703125" bestFit="1" customWidth="1"/>
    <col min="3" max="4" width="51.42578125" bestFit="1" customWidth="1"/>
    <col min="5" max="5" width="47.28515625" bestFit="1" customWidth="1"/>
    <col min="6" max="6" width="19.5703125" bestFit="1" customWidth="1"/>
    <col min="7" max="7" width="18.140625" bestFit="1" customWidth="1"/>
    <col min="8" max="8" width="19" bestFit="1" customWidth="1"/>
    <col min="9" max="9" width="20.140625" bestFit="1" customWidth="1"/>
    <col min="10" max="11" width="18.7109375" bestFit="1" customWidth="1"/>
    <col min="12" max="12" width="18.140625" bestFit="1" customWidth="1"/>
    <col min="13" max="13" width="20.140625" bestFit="1" customWidth="1"/>
    <col min="14" max="14" width="19" bestFit="1" customWidth="1"/>
    <col min="15" max="15" width="19.85546875" bestFit="1" customWidth="1"/>
    <col min="16" max="16" width="18.7109375" bestFit="1" customWidth="1"/>
    <col min="17" max="17" width="17.5703125" bestFit="1" customWidth="1"/>
  </cols>
  <sheetData>
    <row r="1" spans="1:17">
      <c r="A1" t="s">
        <v>384</v>
      </c>
      <c r="D1" s="1" t="str">
        <f xml:space="preserve"> _xll.EPMOlapMemberO("[TENANT].[H1].[M_00060]","","M_00060 - Healthmark Group","","000")</f>
        <v>M_00060 - Healthmark Group</v>
      </c>
    </row>
    <row r="2" spans="1:17">
      <c r="D2" s="1" t="str">
        <f xml:space="preserve"> _xll.EPMOlapMemberO("[MEASURES].[].[PERIODIC]","","Periodic","","000")</f>
        <v>Periodic</v>
      </c>
    </row>
    <row r="4" spans="1:17">
      <c r="F4" s="51" t="str">
        <f xml:space="preserve"> _xll.EPMOlapMemberO("[TIME].[H1].[2021.AUG]","","2021.AUG - 2021 AUG","","000")</f>
        <v>2021.AUG - 2021 AUG</v>
      </c>
      <c r="G4" s="51" t="str">
        <f xml:space="preserve"> _xll.EPMOlapMemberO("[TIME].[H1].[2021.SEP]","","2021.SEP - 2021 SEP","","000")</f>
        <v>2021.SEP - 2021 SEP</v>
      </c>
      <c r="H4" s="51" t="str">
        <f xml:space="preserve"> _xll.EPMOlapMemberO("[TIME].[H1].[2021.OCT]","","2021.OCT - 2021 OCT","","000")</f>
        <v>2021.OCT - 2021 OCT</v>
      </c>
      <c r="I4" s="51" t="str">
        <f xml:space="preserve"> _xll.EPMOlapMemberO("[TIME].[H1].[2021.NOV]","","2021.NOV - 2021 NOV","","000")</f>
        <v>2021.NOV - 2021 NOV</v>
      </c>
      <c r="J4" s="51" t="str">
        <f xml:space="preserve"> _xll.EPMOlapMemberO("[TIME].[H1].[2021.DEC]","","2021.DEC - 2021 DEC","","000")</f>
        <v>2021.DEC - 2021 DEC</v>
      </c>
      <c r="K4" s="1" t="str">
        <f xml:space="preserve"> _xll.EPMOlapMemberO("[TIME].[H1].[2022.JAN]","","2022.JAN - 2022 JAN","","000")</f>
        <v>2022.JAN - 2022 JAN</v>
      </c>
      <c r="L4" s="1" t="str">
        <f xml:space="preserve"> _xll.EPMOlapMemberO("[TIME].[H1].[2022.FEB]","","2022.FEB - 2022 FEB","","000")</f>
        <v>2022.FEB - 2022 FEB</v>
      </c>
      <c r="M4" s="1" t="str">
        <f xml:space="preserve"> _xll.EPMOlapMemberO("[TIME].[H1].[2022.MAR]","","2022.MAR - 2022 MAR","","000")</f>
        <v>2022.MAR - 2022 MAR</v>
      </c>
      <c r="N4" s="1" t="str">
        <f xml:space="preserve"> _xll.EPMOlapMemberO("[TIME].[H1].[2022.APR]","","2022.APR - 2022 APR","","000")</f>
        <v>2022.APR - 2022 APR</v>
      </c>
      <c r="O4" s="1" t="str">
        <f xml:space="preserve"> _xll.EPMOlapMemberO("[TIME].[H1].[2022.MAY]","","2022.MAY - 2022 MAY","","000")</f>
        <v>2022.MAY - 2022 MAY</v>
      </c>
      <c r="P4" s="1" t="str">
        <f xml:space="preserve"> _xll.EPMOlapMemberO("[TIME].[H1].[2022.JUN]","","2022.JUN - 2022 JUN","","000")</f>
        <v>2022.JUN - 2022 JUN</v>
      </c>
      <c r="Q4" s="1" t="str">
        <f xml:space="preserve"> _xll.EPMOlapMemberO("[TIME].[H1].[2022.JUL]","","2022.JUL - 2022 JUL","","000")</f>
        <v>2022.JUL - 2022 JUL</v>
      </c>
    </row>
    <row r="5" spans="1:17">
      <c r="A5" s="24" t="str">
        <f>_xll.EVPRO("Finance",$C5,"Inv_Type")</f>
        <v>Inv_Equity</v>
      </c>
      <c r="B5" s="24" t="str">
        <f t="shared" ref="B5:B68" si="0">MID($C5,FIND("- ",$C5)+2,10000)</f>
        <v>Park Manor of Conroe</v>
      </c>
      <c r="C5" s="24" t="str">
        <f>IF(D5&lt;&gt;"",D5,C4)</f>
        <v>S09077 - Park Manor of Conroe</v>
      </c>
      <c r="D5" s="51" t="str">
        <f xml:space="preserve"> _xll.EPMOlapMemberO("[ENTITY].[H1].[S09077]","","S09077 - Park Manor of Conroe","","000")</f>
        <v>S09077 - Park Manor of Conroe</v>
      </c>
      <c r="E5" s="51" t="str">
        <f xml:space="preserve"> _xll.EPMOlapMemberO("[ACCOUNT].[H1].[PAY_PAT_DAYS]","","PAY_PAT_DAYS - Total Payor Patient Days","","000")</f>
        <v>PAY_PAT_DAYS - Total Payor Patient Days</v>
      </c>
      <c r="F5" s="182">
        <v>2547</v>
      </c>
      <c r="G5" s="182">
        <v>2720</v>
      </c>
      <c r="H5" s="182">
        <v>2883</v>
      </c>
      <c r="I5" s="182">
        <v>2744</v>
      </c>
      <c r="J5" s="182">
        <v>2864</v>
      </c>
      <c r="K5">
        <v>2921</v>
      </c>
      <c r="L5">
        <v>2748</v>
      </c>
      <c r="M5">
        <v>2672</v>
      </c>
      <c r="N5">
        <v>2602</v>
      </c>
      <c r="O5">
        <v>2948</v>
      </c>
      <c r="P5">
        <v>2953</v>
      </c>
      <c r="Q5">
        <v>3011</v>
      </c>
    </row>
    <row r="6" spans="1:17">
      <c r="A6" s="24" t="str">
        <f>_xll.EVPRO("Finance",$C6,"Inv_Type")</f>
        <v>Inv_Equity</v>
      </c>
      <c r="B6" s="24" t="str">
        <f t="shared" si="0"/>
        <v>Park Manor of Conroe</v>
      </c>
      <c r="C6" s="24" t="str">
        <f t="shared" ref="C6:C69" si="1">IF(D6&lt;&gt;"",D6,C5)</f>
        <v>S09077 - Park Manor of Conroe</v>
      </c>
      <c r="D6" s="51"/>
      <c r="E6" s="2" t="str">
        <f xml:space="preserve"> _xll.EPMOlapMemberO("[ACCOUNT].[H1].[A_BEDS_TOTAL]","","A_BEDS_TOTAL - Total Available Beds","","000")</f>
        <v>A_BEDS_TOTAL - Total Available Beds</v>
      </c>
      <c r="F6" s="182">
        <v>125</v>
      </c>
      <c r="G6" s="182">
        <v>125</v>
      </c>
      <c r="H6" s="182">
        <v>125</v>
      </c>
      <c r="I6" s="182">
        <v>125</v>
      </c>
      <c r="J6" s="182">
        <v>125</v>
      </c>
      <c r="K6">
        <v>125</v>
      </c>
      <c r="L6">
        <v>125</v>
      </c>
      <c r="M6">
        <v>125</v>
      </c>
      <c r="N6">
        <v>125</v>
      </c>
      <c r="O6">
        <v>125</v>
      </c>
      <c r="P6">
        <v>125</v>
      </c>
      <c r="Q6">
        <v>125</v>
      </c>
    </row>
    <row r="7" spans="1:17">
      <c r="A7" s="24" t="str">
        <f>_xll.EVPRO("Finance",$C7,"Inv_Type")</f>
        <v>Inv_Equity</v>
      </c>
      <c r="B7" s="24" t="str">
        <f t="shared" si="0"/>
        <v>Park Manor of Conroe</v>
      </c>
      <c r="C7" s="24" t="str">
        <f t="shared" si="1"/>
        <v>S09077 - Park Manor of Conroe</v>
      </c>
      <c r="D7" s="51"/>
      <c r="E7" s="10" t="str">
        <f xml:space="preserve"> _xll.EPMOlapMemberO("[ACCOUNT].[H1].[T_REVENUES]","","T_REVENUES - Total Tenant Revenues","","000")</f>
        <v>T_REVENUES - Total Tenant Revenues</v>
      </c>
      <c r="F7" s="182">
        <v>816389</v>
      </c>
      <c r="G7" s="182">
        <v>949754</v>
      </c>
      <c r="H7" s="182">
        <v>967002</v>
      </c>
      <c r="I7" s="182">
        <v>853047</v>
      </c>
      <c r="J7" s="182">
        <v>856268</v>
      </c>
      <c r="K7">
        <v>1052511</v>
      </c>
      <c r="L7">
        <v>951522</v>
      </c>
      <c r="M7">
        <v>841091</v>
      </c>
      <c r="N7">
        <v>780252</v>
      </c>
      <c r="O7">
        <v>930618</v>
      </c>
      <c r="P7">
        <v>993091</v>
      </c>
      <c r="Q7">
        <v>1075571</v>
      </c>
    </row>
    <row r="8" spans="1:17">
      <c r="A8" s="24" t="str">
        <f>_xll.EVPRO("Finance",$C8,"Inv_Type")</f>
        <v>Inv_Equity</v>
      </c>
      <c r="B8" s="24" t="str">
        <f t="shared" si="0"/>
        <v>Park Manor of Conroe</v>
      </c>
      <c r="C8" s="24" t="str">
        <f t="shared" si="1"/>
        <v>S09077 - Park Manor of Conroe</v>
      </c>
      <c r="D8" s="51"/>
      <c r="E8" s="10" t="str">
        <f xml:space="preserve"> _xll.EPMOlapMemberO("[ACCOUNT].[H1].[T_OPEX]","","T_OPEX - Tenant Operating Expenses","","000")</f>
        <v>T_OPEX - Tenant Operating Expenses</v>
      </c>
      <c r="F8" s="182">
        <v>696090</v>
      </c>
      <c r="G8" s="182">
        <v>696955</v>
      </c>
      <c r="H8" s="182">
        <v>694274</v>
      </c>
      <c r="I8" s="182">
        <v>665927</v>
      </c>
      <c r="J8" s="182">
        <v>513462</v>
      </c>
      <c r="K8">
        <v>667080</v>
      </c>
      <c r="L8">
        <v>639281</v>
      </c>
      <c r="M8">
        <v>652532</v>
      </c>
      <c r="N8">
        <v>601407</v>
      </c>
      <c r="O8">
        <v>657065</v>
      </c>
      <c r="P8">
        <v>710807</v>
      </c>
      <c r="Q8">
        <v>713187</v>
      </c>
    </row>
    <row r="9" spans="1:17">
      <c r="A9" s="24" t="str">
        <f>_xll.EVPRO("Finance",$C9,"Inv_Type")</f>
        <v>Inv_Equity</v>
      </c>
      <c r="B9" s="24" t="str">
        <f t="shared" si="0"/>
        <v>Park Manor of Conroe</v>
      </c>
      <c r="C9" s="24" t="str">
        <f t="shared" si="1"/>
        <v>S09077 - Park Manor of Conroe</v>
      </c>
      <c r="D9" s="51"/>
      <c r="E9" s="2" t="str">
        <f xml:space="preserve"> _xll.EPMOlapMemberO("[ACCOUNT].[H1].[T_NON_OP_EXP]","","T_NON_OP_EXP - Tenant Non-Operating Expense","","000")</f>
        <v>T_NON_OP_EXP - Tenant Non-Operating Expense</v>
      </c>
      <c r="F9" s="182">
        <v>20278</v>
      </c>
      <c r="G9" s="182">
        <v>32770</v>
      </c>
      <c r="H9" s="182">
        <v>27638</v>
      </c>
      <c r="I9" s="182">
        <v>12218</v>
      </c>
      <c r="J9" s="182">
        <v>114782</v>
      </c>
      <c r="K9">
        <v>26073</v>
      </c>
      <c r="L9">
        <v>62770</v>
      </c>
      <c r="M9">
        <v>23185</v>
      </c>
      <c r="N9">
        <v>11600</v>
      </c>
      <c r="O9">
        <v>10779</v>
      </c>
      <c r="P9">
        <v>11971</v>
      </c>
      <c r="Q9">
        <v>82137</v>
      </c>
    </row>
    <row r="10" spans="1:17">
      <c r="A10" s="24" t="str">
        <f>_xll.EVPRO("Finance",$C10,"Inv_Type")</f>
        <v>Inv_Equity</v>
      </c>
      <c r="B10" s="24" t="str">
        <f t="shared" si="0"/>
        <v>Park Manor of Conroe</v>
      </c>
      <c r="C10" s="24" t="str">
        <f t="shared" si="1"/>
        <v>S09077 - Park Manor of Conroe</v>
      </c>
      <c r="D10" s="51"/>
      <c r="E10" s="11" t="str">
        <f xml:space="preserve"> _xll.EPMOlapMemberO("[ACCOUNT].[H1].[T_BAD_DEBT]","","T_BAD_DEBT - Tenant Bad Debt Expense","","000")</f>
        <v>T_BAD_DEBT - Tenant Bad Debt Expense</v>
      </c>
      <c r="F10" s="182">
        <v>27222</v>
      </c>
      <c r="G10" s="182">
        <v>25630</v>
      </c>
      <c r="H10" s="182">
        <v>27066</v>
      </c>
      <c r="I10" s="182">
        <v>24728</v>
      </c>
      <c r="J10" s="182">
        <v>36922</v>
      </c>
      <c r="K10">
        <v>32614</v>
      </c>
      <c r="L10">
        <v>48913</v>
      </c>
      <c r="M10">
        <v>26766</v>
      </c>
      <c r="N10">
        <v>25870</v>
      </c>
      <c r="O10">
        <v>28935</v>
      </c>
      <c r="P10">
        <v>29897</v>
      </c>
      <c r="Q10">
        <v>28920</v>
      </c>
    </row>
    <row r="11" spans="1:17">
      <c r="A11" s="24" t="str">
        <f>_xll.EVPRO("Finance",$C11,"Inv_Type")</f>
        <v>Inv_Equity</v>
      </c>
      <c r="B11" s="24" t="str">
        <f t="shared" si="0"/>
        <v>Park Manor of Conroe</v>
      </c>
      <c r="C11" s="24" t="str">
        <f t="shared" si="1"/>
        <v>S09077 - Park Manor of Conroe</v>
      </c>
      <c r="D11" s="51"/>
      <c r="E11" s="3" t="str">
        <f xml:space="preserve"> _xll.EPMOlapMemberO("[ACCOUNT].[H1].[T_EBITDARM]","","T_EBITDARM - EBITDARM","","000")</f>
        <v>T_EBITDARM - EBITDARM</v>
      </c>
      <c r="F11" s="182">
        <v>120299</v>
      </c>
      <c r="G11" s="182">
        <v>252799</v>
      </c>
      <c r="H11" s="182">
        <v>272728</v>
      </c>
      <c r="I11" s="182">
        <v>187120</v>
      </c>
      <c r="J11" s="182">
        <v>342806</v>
      </c>
      <c r="K11">
        <v>385431</v>
      </c>
      <c r="L11">
        <v>312241</v>
      </c>
      <c r="M11">
        <v>188559</v>
      </c>
      <c r="N11">
        <v>178845</v>
      </c>
      <c r="O11">
        <v>273553</v>
      </c>
      <c r="P11">
        <v>282284</v>
      </c>
      <c r="Q11">
        <v>362384</v>
      </c>
    </row>
    <row r="12" spans="1:17">
      <c r="A12" s="24" t="str">
        <f>_xll.EVPRO("Finance",$C12,"Inv_Type")</f>
        <v>Inv_Equity</v>
      </c>
      <c r="B12" s="24" t="str">
        <f t="shared" si="0"/>
        <v>Park Manor of Conroe</v>
      </c>
      <c r="C12" s="24" t="str">
        <f t="shared" si="1"/>
        <v>S09077 - Park Manor of Conroe</v>
      </c>
      <c r="D12" s="51"/>
      <c r="E12" s="3" t="str">
        <f xml:space="preserve"> _xll.EPMOlapMemberO("[ACCOUNT].[H1].[T_MGMT_FEE]","","T_MGMT_FEE - Tenant Management Fee - Actual","","000")</f>
        <v>T_MGMT_FEE - Tenant Management Fee - Actual</v>
      </c>
      <c r="F12" s="182">
        <v>38193</v>
      </c>
      <c r="G12" s="182">
        <v>42717</v>
      </c>
      <c r="H12" s="182">
        <v>45109</v>
      </c>
      <c r="I12" s="182">
        <v>41214</v>
      </c>
      <c r="J12" s="182">
        <v>40561</v>
      </c>
      <c r="K12">
        <v>54357</v>
      </c>
      <c r="L12">
        <v>45715</v>
      </c>
      <c r="M12">
        <v>40932</v>
      </c>
      <c r="N12">
        <v>38680</v>
      </c>
      <c r="O12">
        <v>46119</v>
      </c>
      <c r="P12">
        <v>49828</v>
      </c>
      <c r="Q12">
        <v>48087</v>
      </c>
    </row>
    <row r="13" spans="1:17">
      <c r="A13" s="24" t="str">
        <f>_xll.EVPRO("Finance",$C13,"Inv_Type")</f>
        <v>Inv_Equity</v>
      </c>
      <c r="B13" s="24" t="str">
        <f t="shared" si="0"/>
        <v>Park Manor of Conroe</v>
      </c>
      <c r="C13" s="24" t="str">
        <f t="shared" si="1"/>
        <v>S09077 - Park Manor of Conroe</v>
      </c>
      <c r="D13" s="51"/>
      <c r="E13" s="2" t="str">
        <f xml:space="preserve"> _xll.EPMOlapMemberO("[ACCOUNT].[H1].[T_EBITDAR]","","T_EBITDAR - EBITDAR","","000")</f>
        <v>T_EBITDAR - EBITDAR</v>
      </c>
      <c r="F13" s="182">
        <v>82106</v>
      </c>
      <c r="G13" s="182">
        <v>210082</v>
      </c>
      <c r="H13" s="182">
        <v>227619</v>
      </c>
      <c r="I13" s="182">
        <v>145906</v>
      </c>
      <c r="J13" s="182">
        <v>302245</v>
      </c>
      <c r="K13">
        <v>331074</v>
      </c>
      <c r="L13">
        <v>266526</v>
      </c>
      <c r="M13">
        <v>147627</v>
      </c>
      <c r="N13">
        <v>140165</v>
      </c>
      <c r="O13">
        <v>227434</v>
      </c>
      <c r="P13">
        <v>232456</v>
      </c>
      <c r="Q13">
        <v>314297</v>
      </c>
    </row>
    <row r="14" spans="1:17">
      <c r="A14" s="24" t="str">
        <f>_xll.EVPRO("Finance",$C14,"Inv_Type")</f>
        <v>Inv_Equity</v>
      </c>
      <c r="B14" s="24" t="str">
        <f t="shared" si="0"/>
        <v>Park Manor of Conroe</v>
      </c>
      <c r="C14" s="24" t="str">
        <f t="shared" si="1"/>
        <v>S09077 - Park Manor of Conroe</v>
      </c>
      <c r="D14" s="51"/>
      <c r="E14" s="2" t="str">
        <f xml:space="preserve"> _xll.EPMOlapMemberO("[ACCOUNT].[H1].[T_RENT_EXP]","","T_RENT_EXP - Tenant Rent Expense","","000")</f>
        <v>T_RENT_EXP - Tenant Rent Expense</v>
      </c>
      <c r="F14" s="182">
        <v>118129</v>
      </c>
      <c r="G14" s="182">
        <v>121023</v>
      </c>
      <c r="H14" s="182">
        <v>121023</v>
      </c>
      <c r="I14" s="182">
        <v>121023</v>
      </c>
      <c r="J14" s="182">
        <v>121023</v>
      </c>
      <c r="K14">
        <v>121023</v>
      </c>
      <c r="L14">
        <v>121023</v>
      </c>
      <c r="M14">
        <v>121023</v>
      </c>
      <c r="N14">
        <v>121023</v>
      </c>
      <c r="O14">
        <v>121023</v>
      </c>
      <c r="P14">
        <v>121023</v>
      </c>
      <c r="Q14">
        <v>132696</v>
      </c>
    </row>
    <row r="15" spans="1:17">
      <c r="A15" s="24" t="str">
        <f>_xll.EVPRO("Finance",$C15,"Inv_Type")</f>
        <v>Inv_Equity</v>
      </c>
      <c r="B15" s="24" t="str">
        <f t="shared" si="0"/>
        <v>Park Manor of Cypress Station</v>
      </c>
      <c r="C15" s="24" t="str">
        <f t="shared" si="1"/>
        <v>S09078 - Park Manor of Cypress Station</v>
      </c>
      <c r="D15" s="51" t="str">
        <f xml:space="preserve"> _xll.EPMOlapMemberO("[ENTITY].[H1].[S09078]","","S09078 - Park Manor of Cypress Station","","000")</f>
        <v>S09078 - Park Manor of Cypress Station</v>
      </c>
      <c r="E15" s="51" t="str">
        <f xml:space="preserve"> _xll.EPMOlapMemberO("[ACCOUNT].[H1].[PAY_PAT_DAYS]","","PAY_PAT_DAYS - Total Payor Patient Days","","000")</f>
        <v>PAY_PAT_DAYS - Total Payor Patient Days</v>
      </c>
      <c r="F15" s="182">
        <v>2529</v>
      </c>
      <c r="G15" s="182">
        <v>2416</v>
      </c>
      <c r="H15" s="182">
        <v>2418</v>
      </c>
      <c r="I15" s="182">
        <v>2319</v>
      </c>
      <c r="J15" s="182">
        <v>2458</v>
      </c>
      <c r="K15">
        <v>2666</v>
      </c>
      <c r="L15">
        <v>2231</v>
      </c>
      <c r="M15">
        <v>2192</v>
      </c>
      <c r="N15">
        <v>2116</v>
      </c>
      <c r="O15">
        <v>2090</v>
      </c>
      <c r="P15">
        <v>2204</v>
      </c>
      <c r="Q15">
        <v>2609</v>
      </c>
    </row>
    <row r="16" spans="1:17">
      <c r="A16" s="24" t="str">
        <f>_xll.EVPRO("Finance",$C16,"Inv_Type")</f>
        <v>Inv_Equity</v>
      </c>
      <c r="B16" s="24" t="str">
        <f t="shared" si="0"/>
        <v>Park Manor of Cypress Station</v>
      </c>
      <c r="C16" s="24" t="str">
        <f t="shared" si="1"/>
        <v>S09078 - Park Manor of Cypress Station</v>
      </c>
      <c r="D16" s="51"/>
      <c r="E16" s="2" t="str">
        <f xml:space="preserve"> _xll.EPMOlapMemberO("[ACCOUNT].[H1].[A_BEDS_TOTAL]","","A_BEDS_TOTAL - Total Available Beds","","000")</f>
        <v>A_BEDS_TOTAL - Total Available Beds</v>
      </c>
      <c r="F16" s="182">
        <v>125</v>
      </c>
      <c r="G16" s="182">
        <v>125</v>
      </c>
      <c r="H16" s="182">
        <v>125</v>
      </c>
      <c r="I16" s="182">
        <v>125</v>
      </c>
      <c r="J16" s="182">
        <v>125</v>
      </c>
      <c r="K16">
        <v>125</v>
      </c>
      <c r="L16">
        <v>125</v>
      </c>
      <c r="M16">
        <v>125</v>
      </c>
      <c r="N16">
        <v>125</v>
      </c>
      <c r="O16">
        <v>125</v>
      </c>
      <c r="P16">
        <v>125</v>
      </c>
      <c r="Q16">
        <v>125</v>
      </c>
    </row>
    <row r="17" spans="1:17">
      <c r="A17" s="24" t="str">
        <f>_xll.EVPRO("Finance",$C17,"Inv_Type")</f>
        <v>Inv_Equity</v>
      </c>
      <c r="B17" s="24" t="str">
        <f t="shared" si="0"/>
        <v>Park Manor of Cypress Station</v>
      </c>
      <c r="C17" s="24" t="str">
        <f t="shared" si="1"/>
        <v>S09078 - Park Manor of Cypress Station</v>
      </c>
      <c r="D17" s="51"/>
      <c r="E17" s="10" t="str">
        <f xml:space="preserve"> _xll.EPMOlapMemberO("[ACCOUNT].[H1].[T_REVENUES]","","T_REVENUES - Total Tenant Revenues","","000")</f>
        <v>T_REVENUES - Total Tenant Revenues</v>
      </c>
      <c r="F17" s="182">
        <v>802309</v>
      </c>
      <c r="G17" s="182">
        <v>756080</v>
      </c>
      <c r="H17" s="182">
        <v>699051</v>
      </c>
      <c r="I17" s="182">
        <v>667121</v>
      </c>
      <c r="J17" s="182">
        <v>838785</v>
      </c>
      <c r="K17">
        <v>855427</v>
      </c>
      <c r="L17">
        <v>639260</v>
      </c>
      <c r="M17">
        <v>620682</v>
      </c>
      <c r="N17">
        <v>561881</v>
      </c>
      <c r="O17">
        <v>587078</v>
      </c>
      <c r="P17">
        <v>676364</v>
      </c>
      <c r="Q17">
        <v>770625</v>
      </c>
    </row>
    <row r="18" spans="1:17">
      <c r="A18" s="24" t="str">
        <f>_xll.EVPRO("Finance",$C18,"Inv_Type")</f>
        <v>Inv_Equity</v>
      </c>
      <c r="B18" s="24" t="str">
        <f t="shared" si="0"/>
        <v>Park Manor of Cypress Station</v>
      </c>
      <c r="C18" s="24" t="str">
        <f t="shared" si="1"/>
        <v>S09078 - Park Manor of Cypress Station</v>
      </c>
      <c r="D18" s="51"/>
      <c r="E18" s="10" t="str">
        <f xml:space="preserve"> _xll.EPMOlapMemberO("[ACCOUNT].[H1].[T_OPEX]","","T_OPEX - Tenant Operating Expenses","","000")</f>
        <v>T_OPEX - Tenant Operating Expenses</v>
      </c>
      <c r="F18" s="182">
        <v>575092</v>
      </c>
      <c r="G18" s="182">
        <v>575860</v>
      </c>
      <c r="H18" s="182">
        <v>562751</v>
      </c>
      <c r="I18" s="182">
        <v>543948</v>
      </c>
      <c r="J18" s="182">
        <v>564967</v>
      </c>
      <c r="K18">
        <v>561916</v>
      </c>
      <c r="L18">
        <v>572286</v>
      </c>
      <c r="M18">
        <v>523254</v>
      </c>
      <c r="N18">
        <v>529768</v>
      </c>
      <c r="O18">
        <v>531913</v>
      </c>
      <c r="P18">
        <v>526564</v>
      </c>
      <c r="Q18">
        <v>585610</v>
      </c>
    </row>
    <row r="19" spans="1:17">
      <c r="A19" s="24" t="str">
        <f>_xll.EVPRO("Finance",$C19,"Inv_Type")</f>
        <v>Inv_Equity</v>
      </c>
      <c r="B19" s="24" t="str">
        <f t="shared" si="0"/>
        <v>Park Manor of Cypress Station</v>
      </c>
      <c r="C19" s="24" t="str">
        <f t="shared" si="1"/>
        <v>S09078 - Park Manor of Cypress Station</v>
      </c>
      <c r="D19" s="51"/>
      <c r="E19" s="2" t="str">
        <f xml:space="preserve"> _xll.EPMOlapMemberO("[ACCOUNT].[H1].[T_NON_OP_EXP]","","T_NON_OP_EXP - Tenant Non-Operating Expense","","000")</f>
        <v>T_NON_OP_EXP - Tenant Non-Operating Expense</v>
      </c>
      <c r="F19" s="182">
        <v>37875</v>
      </c>
      <c r="G19" s="182">
        <v>30351</v>
      </c>
      <c r="H19" s="182">
        <v>27034</v>
      </c>
      <c r="I19" s="182">
        <v>29371</v>
      </c>
      <c r="J19" s="182">
        <v>-41687</v>
      </c>
      <c r="K19">
        <v>48170</v>
      </c>
      <c r="L19">
        <v>40016</v>
      </c>
      <c r="M19">
        <v>14079</v>
      </c>
      <c r="N19">
        <v>11350</v>
      </c>
      <c r="O19">
        <v>15465</v>
      </c>
      <c r="P19">
        <v>13546</v>
      </c>
      <c r="Q19">
        <v>12081</v>
      </c>
    </row>
    <row r="20" spans="1:17">
      <c r="A20" s="24" t="str">
        <f>_xll.EVPRO("Finance",$C20,"Inv_Type")</f>
        <v>Inv_Equity</v>
      </c>
      <c r="B20" s="24" t="str">
        <f t="shared" si="0"/>
        <v>Park Manor of Cypress Station</v>
      </c>
      <c r="C20" s="24" t="str">
        <f t="shared" si="1"/>
        <v>S09078 - Park Manor of Cypress Station</v>
      </c>
      <c r="D20" s="51"/>
      <c r="E20" s="11" t="str">
        <f xml:space="preserve"> _xll.EPMOlapMemberO("[ACCOUNT].[H1].[T_BAD_DEBT]","","T_BAD_DEBT - Tenant Bad Debt Expense","","000")</f>
        <v>T_BAD_DEBT - Tenant Bad Debt Expense</v>
      </c>
      <c r="F20" s="182">
        <v>22833</v>
      </c>
      <c r="G20" s="182">
        <v>21339</v>
      </c>
      <c r="H20" s="182">
        <v>19538</v>
      </c>
      <c r="I20" s="182">
        <v>19044</v>
      </c>
      <c r="J20" s="182">
        <v>23910</v>
      </c>
      <c r="K20">
        <v>31471</v>
      </c>
      <c r="L20">
        <v>68981</v>
      </c>
      <c r="M20">
        <v>23108</v>
      </c>
      <c r="N20">
        <v>18445</v>
      </c>
      <c r="O20">
        <v>18516</v>
      </c>
      <c r="P20">
        <v>37836</v>
      </c>
      <c r="Q20">
        <v>35956</v>
      </c>
    </row>
    <row r="21" spans="1:17">
      <c r="A21" s="24" t="str">
        <f>_xll.EVPRO("Finance",$C21,"Inv_Type")</f>
        <v>Inv_Equity</v>
      </c>
      <c r="B21" s="24" t="str">
        <f t="shared" si="0"/>
        <v>Park Manor of Cypress Station</v>
      </c>
      <c r="C21" s="24" t="str">
        <f t="shared" si="1"/>
        <v>S09078 - Park Manor of Cypress Station</v>
      </c>
      <c r="D21" s="51"/>
      <c r="E21" s="3" t="str">
        <f xml:space="preserve"> _xll.EPMOlapMemberO("[ACCOUNT].[H1].[T_EBITDARM]","","T_EBITDARM - EBITDARM","","000")</f>
        <v>T_EBITDARM - EBITDARM</v>
      </c>
      <c r="F21" s="182">
        <v>227217</v>
      </c>
      <c r="G21" s="182">
        <v>180220</v>
      </c>
      <c r="H21" s="182">
        <v>136300</v>
      </c>
      <c r="I21" s="182">
        <v>123173</v>
      </c>
      <c r="J21" s="182">
        <v>273818</v>
      </c>
      <c r="K21">
        <v>293511</v>
      </c>
      <c r="L21">
        <v>66974</v>
      </c>
      <c r="M21">
        <v>97428</v>
      </c>
      <c r="N21">
        <v>32113</v>
      </c>
      <c r="O21">
        <v>55165</v>
      </c>
      <c r="P21">
        <v>149800</v>
      </c>
      <c r="Q21">
        <v>185015</v>
      </c>
    </row>
    <row r="22" spans="1:17">
      <c r="A22" s="24" t="str">
        <f>_xll.EVPRO("Finance",$C22,"Inv_Type")</f>
        <v>Inv_Equity</v>
      </c>
      <c r="B22" s="24" t="str">
        <f t="shared" si="0"/>
        <v>Park Manor of Cypress Station</v>
      </c>
      <c r="C22" s="24" t="str">
        <f t="shared" si="1"/>
        <v>S09078 - Park Manor of Cypress Station</v>
      </c>
      <c r="D22" s="51"/>
      <c r="E22" s="3" t="str">
        <f xml:space="preserve"> _xll.EPMOlapMemberO("[ACCOUNT].[H1].[T_MGMT_FEE]","","T_MGMT_FEE - Tenant Management Fee - Actual","","000")</f>
        <v>T_MGMT_FEE - Tenant Management Fee - Actual</v>
      </c>
      <c r="F22" s="182">
        <v>36937</v>
      </c>
      <c r="G22" s="182">
        <v>35565</v>
      </c>
      <c r="H22" s="182">
        <v>32564</v>
      </c>
      <c r="I22" s="182">
        <v>31741</v>
      </c>
      <c r="J22" s="182">
        <v>39849</v>
      </c>
      <c r="K22">
        <v>44084</v>
      </c>
      <c r="L22">
        <v>27788</v>
      </c>
      <c r="M22">
        <v>30737</v>
      </c>
      <c r="N22">
        <v>27929</v>
      </c>
      <c r="O22">
        <v>28912</v>
      </c>
      <c r="P22">
        <v>31018</v>
      </c>
      <c r="Q22">
        <v>36637</v>
      </c>
    </row>
    <row r="23" spans="1:17">
      <c r="A23" s="24" t="str">
        <f>_xll.EVPRO("Finance",$C23,"Inv_Type")</f>
        <v>Inv_Equity</v>
      </c>
      <c r="B23" s="24" t="str">
        <f t="shared" si="0"/>
        <v>Park Manor of Cypress Station</v>
      </c>
      <c r="C23" s="24" t="str">
        <f t="shared" si="1"/>
        <v>S09078 - Park Manor of Cypress Station</v>
      </c>
      <c r="D23" s="51"/>
      <c r="E23" s="2" t="str">
        <f xml:space="preserve"> _xll.EPMOlapMemberO("[ACCOUNT].[H1].[T_EBITDAR]","","T_EBITDAR - EBITDAR","","000")</f>
        <v>T_EBITDAR - EBITDAR</v>
      </c>
      <c r="F23" s="182">
        <v>190280</v>
      </c>
      <c r="G23" s="182">
        <v>144655</v>
      </c>
      <c r="H23" s="182">
        <v>103736</v>
      </c>
      <c r="I23" s="182">
        <v>91432</v>
      </c>
      <c r="J23" s="182">
        <v>233969</v>
      </c>
      <c r="K23">
        <v>249427</v>
      </c>
      <c r="L23">
        <v>39186</v>
      </c>
      <c r="M23">
        <v>66691</v>
      </c>
      <c r="N23">
        <v>4184</v>
      </c>
      <c r="O23">
        <v>26253</v>
      </c>
      <c r="P23">
        <v>118782</v>
      </c>
      <c r="Q23">
        <v>148378</v>
      </c>
    </row>
    <row r="24" spans="1:17">
      <c r="A24" s="24" t="str">
        <f>_xll.EVPRO("Finance",$C24,"Inv_Type")</f>
        <v>Inv_Equity</v>
      </c>
      <c r="B24" s="24" t="str">
        <f t="shared" si="0"/>
        <v>Park Manor of Cypress Station</v>
      </c>
      <c r="C24" s="24" t="str">
        <f t="shared" si="1"/>
        <v>S09078 - Park Manor of Cypress Station</v>
      </c>
      <c r="D24" s="51"/>
      <c r="E24" s="2" t="str">
        <f xml:space="preserve"> _xll.EPMOlapMemberO("[ACCOUNT].[H1].[T_RENT_EXP]","","T_RENT_EXP - Tenant Rent Expense","","000")</f>
        <v>T_RENT_EXP - Tenant Rent Expense</v>
      </c>
      <c r="F24" s="182">
        <v>114129</v>
      </c>
      <c r="G24" s="182">
        <v>117023</v>
      </c>
      <c r="H24" s="182">
        <v>117023</v>
      </c>
      <c r="I24" s="182">
        <v>117023</v>
      </c>
      <c r="J24" s="182">
        <v>117023</v>
      </c>
      <c r="K24">
        <v>117023</v>
      </c>
      <c r="L24">
        <v>117023</v>
      </c>
      <c r="M24">
        <v>117023</v>
      </c>
      <c r="N24">
        <v>117023</v>
      </c>
      <c r="O24">
        <v>117023</v>
      </c>
      <c r="P24">
        <v>117023</v>
      </c>
      <c r="Q24">
        <v>128973</v>
      </c>
    </row>
    <row r="25" spans="1:17">
      <c r="A25" s="24" t="str">
        <f>_xll.EVPRO("Finance",$C25,"Inv_Type")</f>
        <v>Inv_Equity</v>
      </c>
      <c r="B25" s="24" t="str">
        <f t="shared" si="0"/>
        <v>Park Manor of Humble</v>
      </c>
      <c r="C25" s="24" t="str">
        <f t="shared" si="1"/>
        <v>S09079 - Park Manor of Humble</v>
      </c>
      <c r="D25" s="51" t="str">
        <f xml:space="preserve"> _xll.EPMOlapMemberO("[ENTITY].[H1].[S09079]","","S09079 - Park Manor of Humble","","000")</f>
        <v>S09079 - Park Manor of Humble</v>
      </c>
      <c r="E25" s="51" t="str">
        <f xml:space="preserve"> _xll.EPMOlapMemberO("[ACCOUNT].[H1].[PAY_PAT_DAYS]","","PAY_PAT_DAYS - Total Payor Patient Days","","000")</f>
        <v>PAY_PAT_DAYS - Total Payor Patient Days</v>
      </c>
      <c r="F25" s="182">
        <v>2182</v>
      </c>
      <c r="G25" s="182">
        <v>2387</v>
      </c>
      <c r="H25" s="182">
        <v>2597</v>
      </c>
      <c r="I25" s="182">
        <v>2295</v>
      </c>
      <c r="J25" s="182">
        <v>2513</v>
      </c>
      <c r="K25">
        <v>2194</v>
      </c>
      <c r="L25">
        <v>2146</v>
      </c>
      <c r="M25">
        <v>2405</v>
      </c>
      <c r="N25">
        <v>2348</v>
      </c>
      <c r="O25">
        <v>2350</v>
      </c>
      <c r="P25">
        <v>2450</v>
      </c>
      <c r="Q25">
        <v>2664</v>
      </c>
    </row>
    <row r="26" spans="1:17">
      <c r="A26" s="24" t="str">
        <f>_xll.EVPRO("Finance",$C26,"Inv_Type")</f>
        <v>Inv_Equity</v>
      </c>
      <c r="B26" s="24" t="str">
        <f t="shared" si="0"/>
        <v>Park Manor of Humble</v>
      </c>
      <c r="C26" s="24" t="str">
        <f t="shared" si="1"/>
        <v>S09079 - Park Manor of Humble</v>
      </c>
      <c r="D26" s="51"/>
      <c r="E26" s="2" t="str">
        <f xml:space="preserve"> _xll.EPMOlapMemberO("[ACCOUNT].[H1].[A_BEDS_TOTAL]","","A_BEDS_TOTAL - Total Available Beds","","000")</f>
        <v>A_BEDS_TOTAL - Total Available Beds</v>
      </c>
      <c r="F26" s="182">
        <v>125</v>
      </c>
      <c r="G26" s="182">
        <v>125</v>
      </c>
      <c r="H26" s="182">
        <v>125</v>
      </c>
      <c r="I26" s="182">
        <v>125</v>
      </c>
      <c r="J26" s="182">
        <v>125</v>
      </c>
      <c r="K26">
        <v>125</v>
      </c>
      <c r="L26">
        <v>125</v>
      </c>
      <c r="M26">
        <v>125</v>
      </c>
      <c r="N26">
        <v>125</v>
      </c>
      <c r="O26">
        <v>125</v>
      </c>
      <c r="P26">
        <v>125</v>
      </c>
      <c r="Q26">
        <v>125</v>
      </c>
    </row>
    <row r="27" spans="1:17">
      <c r="A27" s="24" t="str">
        <f>_xll.EVPRO("Finance",$C27,"Inv_Type")</f>
        <v>Inv_Equity</v>
      </c>
      <c r="B27" s="24" t="str">
        <f t="shared" si="0"/>
        <v>Park Manor of Humble</v>
      </c>
      <c r="C27" s="24" t="str">
        <f t="shared" si="1"/>
        <v>S09079 - Park Manor of Humble</v>
      </c>
      <c r="D27" s="51"/>
      <c r="E27" s="10" t="str">
        <f xml:space="preserve"> _xll.EPMOlapMemberO("[ACCOUNT].[H1].[T_REVENUES]","","T_REVENUES - Total Tenant Revenues","","000")</f>
        <v>T_REVENUES - Total Tenant Revenues</v>
      </c>
      <c r="F27" s="182">
        <v>677980</v>
      </c>
      <c r="G27" s="182">
        <v>806419</v>
      </c>
      <c r="H27" s="182">
        <v>873873</v>
      </c>
      <c r="I27" s="182">
        <v>743870</v>
      </c>
      <c r="J27" s="182">
        <v>847488</v>
      </c>
      <c r="K27">
        <v>683220</v>
      </c>
      <c r="L27">
        <v>620345</v>
      </c>
      <c r="M27">
        <v>761977</v>
      </c>
      <c r="N27">
        <v>758817</v>
      </c>
      <c r="O27">
        <v>756952</v>
      </c>
      <c r="P27">
        <v>795160</v>
      </c>
      <c r="Q27">
        <v>867402</v>
      </c>
    </row>
    <row r="28" spans="1:17">
      <c r="A28" s="24" t="str">
        <f>_xll.EVPRO("Finance",$C28,"Inv_Type")</f>
        <v>Inv_Equity</v>
      </c>
      <c r="B28" s="24" t="str">
        <f t="shared" si="0"/>
        <v>Park Manor of Humble</v>
      </c>
      <c r="C28" s="24" t="str">
        <f t="shared" si="1"/>
        <v>S09079 - Park Manor of Humble</v>
      </c>
      <c r="D28" s="51"/>
      <c r="E28" s="10" t="str">
        <f xml:space="preserve"> _xll.EPMOlapMemberO("[ACCOUNT].[H1].[T_OPEX]","","T_OPEX - Tenant Operating Expenses","","000")</f>
        <v>T_OPEX - Tenant Operating Expenses</v>
      </c>
      <c r="F28" s="182">
        <v>654691</v>
      </c>
      <c r="G28" s="182">
        <v>600598</v>
      </c>
      <c r="H28" s="182">
        <v>605663</v>
      </c>
      <c r="I28" s="182">
        <v>547580</v>
      </c>
      <c r="J28" s="182">
        <v>470013</v>
      </c>
      <c r="K28">
        <v>604961</v>
      </c>
      <c r="L28">
        <v>601823</v>
      </c>
      <c r="M28">
        <v>611279</v>
      </c>
      <c r="N28">
        <v>677037</v>
      </c>
      <c r="O28">
        <v>598947</v>
      </c>
      <c r="P28">
        <v>667283</v>
      </c>
      <c r="Q28">
        <v>714324</v>
      </c>
    </row>
    <row r="29" spans="1:17">
      <c r="A29" s="24" t="str">
        <f>_xll.EVPRO("Finance",$C29,"Inv_Type")</f>
        <v>Inv_Equity</v>
      </c>
      <c r="B29" s="24" t="str">
        <f t="shared" si="0"/>
        <v>Park Manor of Humble</v>
      </c>
      <c r="C29" s="24" t="str">
        <f t="shared" si="1"/>
        <v>S09079 - Park Manor of Humble</v>
      </c>
      <c r="D29" s="51"/>
      <c r="E29" s="2" t="str">
        <f xml:space="preserve"> _xll.EPMOlapMemberO("[ACCOUNT].[H1].[T_NON_OP_EXP]","","T_NON_OP_EXP - Tenant Non-Operating Expense","","000")</f>
        <v>T_NON_OP_EXP - Tenant Non-Operating Expense</v>
      </c>
      <c r="F29" s="182">
        <v>44586</v>
      </c>
      <c r="G29" s="182">
        <v>32536</v>
      </c>
      <c r="H29" s="182">
        <v>20215</v>
      </c>
      <c r="I29" s="182">
        <v>25583</v>
      </c>
      <c r="J29" s="182">
        <v>233709</v>
      </c>
      <c r="K29">
        <v>18508</v>
      </c>
      <c r="L29">
        <v>13502</v>
      </c>
      <c r="M29">
        <v>13829</v>
      </c>
      <c r="N29">
        <v>14307</v>
      </c>
      <c r="O29">
        <v>15457</v>
      </c>
      <c r="P29">
        <v>10088</v>
      </c>
      <c r="Q29">
        <v>9622</v>
      </c>
    </row>
    <row r="30" spans="1:17">
      <c r="A30" s="24" t="str">
        <f>_xll.EVPRO("Finance",$C30,"Inv_Type")</f>
        <v>Inv_Equity</v>
      </c>
      <c r="B30" s="24" t="str">
        <f t="shared" si="0"/>
        <v>Park Manor of Humble</v>
      </c>
      <c r="C30" s="24" t="str">
        <f t="shared" si="1"/>
        <v>S09079 - Park Manor of Humble</v>
      </c>
      <c r="D30" s="51"/>
      <c r="E30" s="11" t="str">
        <f xml:space="preserve"> _xll.EPMOlapMemberO("[ACCOUNT].[H1].[T_BAD_DEBT]","","T_BAD_DEBT - Tenant Bad Debt Expense","","000")</f>
        <v>T_BAD_DEBT - Tenant Bad Debt Expense</v>
      </c>
      <c r="F30" s="182">
        <v>24196</v>
      </c>
      <c r="G30" s="182">
        <v>21691</v>
      </c>
      <c r="H30" s="182">
        <v>29963</v>
      </c>
      <c r="I30" s="182">
        <v>19139</v>
      </c>
      <c r="J30" s="182">
        <v>79323</v>
      </c>
      <c r="K30">
        <v>57209</v>
      </c>
      <c r="L30">
        <v>61459</v>
      </c>
      <c r="M30">
        <v>28553</v>
      </c>
      <c r="N30">
        <v>25652</v>
      </c>
      <c r="O30">
        <v>24215</v>
      </c>
      <c r="P30">
        <v>33753</v>
      </c>
      <c r="Q30">
        <v>53498</v>
      </c>
    </row>
    <row r="31" spans="1:17">
      <c r="A31" s="24" t="str">
        <f>_xll.EVPRO("Finance",$C31,"Inv_Type")</f>
        <v>Inv_Equity</v>
      </c>
      <c r="B31" s="24" t="str">
        <f t="shared" si="0"/>
        <v>Park Manor of Humble</v>
      </c>
      <c r="C31" s="24" t="str">
        <f t="shared" si="1"/>
        <v>S09079 - Park Manor of Humble</v>
      </c>
      <c r="D31" s="51"/>
      <c r="E31" s="3" t="str">
        <f xml:space="preserve"> _xll.EPMOlapMemberO("[ACCOUNT].[H1].[T_EBITDARM]","","T_EBITDARM - EBITDARM","","000")</f>
        <v>T_EBITDARM - EBITDARM</v>
      </c>
      <c r="F31" s="182">
        <v>23289</v>
      </c>
      <c r="G31" s="182">
        <v>205821</v>
      </c>
      <c r="H31" s="182">
        <v>268210</v>
      </c>
      <c r="I31" s="182">
        <v>196290</v>
      </c>
      <c r="J31" s="182">
        <v>377475</v>
      </c>
      <c r="K31">
        <v>78259</v>
      </c>
      <c r="L31">
        <v>18522</v>
      </c>
      <c r="M31">
        <v>150698</v>
      </c>
      <c r="N31">
        <v>81780</v>
      </c>
      <c r="O31">
        <v>158005</v>
      </c>
      <c r="P31">
        <v>127877</v>
      </c>
      <c r="Q31">
        <v>153078</v>
      </c>
    </row>
    <row r="32" spans="1:17">
      <c r="A32" s="24" t="str">
        <f>_xll.EVPRO("Finance",$C32,"Inv_Type")</f>
        <v>Inv_Equity</v>
      </c>
      <c r="B32" s="24" t="str">
        <f t="shared" si="0"/>
        <v>Park Manor of Humble</v>
      </c>
      <c r="C32" s="24" t="str">
        <f t="shared" si="1"/>
        <v>S09079 - Park Manor of Humble</v>
      </c>
      <c r="D32" s="51"/>
      <c r="E32" s="3" t="str">
        <f xml:space="preserve"> _xll.EPMOlapMemberO("[ACCOUNT].[H1].[T_MGMT_FEE]","","T_MGMT_FEE - Tenant Management Fee - Actual","","000")</f>
        <v>T_MGMT_FEE - Tenant Management Fee - Actual</v>
      </c>
      <c r="F32" s="182">
        <v>30697</v>
      </c>
      <c r="G32" s="182">
        <v>36152</v>
      </c>
      <c r="H32" s="182">
        <v>38143</v>
      </c>
      <c r="I32" s="182">
        <v>31899</v>
      </c>
      <c r="J32" s="182">
        <v>37509</v>
      </c>
      <c r="K32">
        <v>35394</v>
      </c>
      <c r="L32">
        <v>27158</v>
      </c>
      <c r="M32">
        <v>37741</v>
      </c>
      <c r="N32">
        <v>37668</v>
      </c>
      <c r="O32">
        <v>37437</v>
      </c>
      <c r="P32">
        <v>39727</v>
      </c>
      <c r="Q32">
        <v>39163</v>
      </c>
    </row>
    <row r="33" spans="1:17">
      <c r="A33" s="24" t="str">
        <f>_xll.EVPRO("Finance",$C33,"Inv_Type")</f>
        <v>Inv_Equity</v>
      </c>
      <c r="B33" s="24" t="str">
        <f t="shared" si="0"/>
        <v>Park Manor of Humble</v>
      </c>
      <c r="C33" s="24" t="str">
        <f t="shared" si="1"/>
        <v>S09079 - Park Manor of Humble</v>
      </c>
      <c r="D33" s="51"/>
      <c r="E33" s="2" t="str">
        <f xml:space="preserve"> _xll.EPMOlapMemberO("[ACCOUNT].[H1].[T_EBITDAR]","","T_EBITDAR - EBITDAR","","000")</f>
        <v>T_EBITDAR - EBITDAR</v>
      </c>
      <c r="F33" s="182">
        <v>-7408</v>
      </c>
      <c r="G33" s="182">
        <v>169669</v>
      </c>
      <c r="H33" s="182">
        <v>230067</v>
      </c>
      <c r="I33" s="182">
        <v>164391</v>
      </c>
      <c r="J33" s="182">
        <v>339966</v>
      </c>
      <c r="K33">
        <v>42865</v>
      </c>
      <c r="L33">
        <v>-8636</v>
      </c>
      <c r="M33">
        <v>112957</v>
      </c>
      <c r="N33">
        <v>44112</v>
      </c>
      <c r="O33">
        <v>120568</v>
      </c>
      <c r="P33">
        <v>88150</v>
      </c>
      <c r="Q33">
        <v>113915</v>
      </c>
    </row>
    <row r="34" spans="1:17">
      <c r="A34" s="24" t="str">
        <f>_xll.EVPRO("Finance",$C34,"Inv_Type")</f>
        <v>Inv_Equity</v>
      </c>
      <c r="B34" s="24" t="str">
        <f t="shared" si="0"/>
        <v>Park Manor of Humble</v>
      </c>
      <c r="C34" s="24" t="str">
        <f t="shared" si="1"/>
        <v>S09079 - Park Manor of Humble</v>
      </c>
      <c r="D34" s="51"/>
      <c r="E34" s="2" t="str">
        <f xml:space="preserve"> _xll.EPMOlapMemberO("[ACCOUNT].[H1].[T_RENT_EXP]","","T_RENT_EXP - Tenant Rent Expense","","000")</f>
        <v>T_RENT_EXP - Tenant Rent Expense</v>
      </c>
      <c r="F34" s="182">
        <v>119676</v>
      </c>
      <c r="G34" s="182">
        <v>122608</v>
      </c>
      <c r="H34" s="182">
        <v>122608</v>
      </c>
      <c r="I34" s="182">
        <v>122608</v>
      </c>
      <c r="J34" s="182">
        <v>122608</v>
      </c>
      <c r="K34">
        <v>122608</v>
      </c>
      <c r="L34">
        <v>122608</v>
      </c>
      <c r="M34">
        <v>122608</v>
      </c>
      <c r="N34">
        <v>122608</v>
      </c>
      <c r="O34">
        <v>114550</v>
      </c>
      <c r="P34">
        <v>114550</v>
      </c>
      <c r="Q34">
        <v>126587</v>
      </c>
    </row>
    <row r="35" spans="1:17">
      <c r="A35" s="24" t="str">
        <f>_xll.EVPRO("Finance",$C35,"Inv_Type")</f>
        <v>Inv_Equity</v>
      </c>
      <c r="B35" s="24" t="str">
        <f t="shared" si="0"/>
        <v>Park Manor of Quail Valley</v>
      </c>
      <c r="C35" s="24" t="str">
        <f t="shared" si="1"/>
        <v>S09080 - Park Manor of Quail Valley</v>
      </c>
      <c r="D35" s="51" t="str">
        <f xml:space="preserve"> _xll.EPMOlapMemberO("[ENTITY].[H1].[S09080]","","S09080 - Park Manor of Quail Valley","","000")</f>
        <v>S09080 - Park Manor of Quail Valley</v>
      </c>
      <c r="E35" s="51" t="str">
        <f xml:space="preserve"> _xll.EPMOlapMemberO("[ACCOUNT].[H1].[PAY_PAT_DAYS]","","PAY_PAT_DAYS - Total Payor Patient Days","","000")</f>
        <v>PAY_PAT_DAYS - Total Payor Patient Days</v>
      </c>
      <c r="F35" s="182">
        <v>2439</v>
      </c>
      <c r="G35" s="182">
        <v>2189</v>
      </c>
      <c r="H35" s="182">
        <v>2248</v>
      </c>
      <c r="I35" s="182">
        <v>2226</v>
      </c>
      <c r="J35" s="182">
        <v>2095</v>
      </c>
      <c r="K35">
        <v>2254</v>
      </c>
      <c r="L35">
        <v>2273</v>
      </c>
      <c r="M35">
        <v>2245</v>
      </c>
      <c r="N35">
        <v>2205</v>
      </c>
      <c r="O35">
        <v>2211</v>
      </c>
      <c r="P35">
        <v>2565</v>
      </c>
      <c r="Q35">
        <v>2682</v>
      </c>
    </row>
    <row r="36" spans="1:17">
      <c r="A36" s="24" t="str">
        <f>_xll.EVPRO("Finance",$C36,"Inv_Type")</f>
        <v>Inv_Equity</v>
      </c>
      <c r="B36" s="24" t="str">
        <f t="shared" si="0"/>
        <v>Park Manor of Quail Valley</v>
      </c>
      <c r="C36" s="24" t="str">
        <f t="shared" si="1"/>
        <v>S09080 - Park Manor of Quail Valley</v>
      </c>
      <c r="D36" s="51"/>
      <c r="E36" s="2" t="str">
        <f xml:space="preserve"> _xll.EPMOlapMemberO("[ACCOUNT].[H1].[A_BEDS_TOTAL]","","A_BEDS_TOTAL - Total Available Beds","","000")</f>
        <v>A_BEDS_TOTAL - Total Available Beds</v>
      </c>
      <c r="F36" s="182">
        <v>125</v>
      </c>
      <c r="G36" s="182">
        <v>125</v>
      </c>
      <c r="H36" s="182">
        <v>125</v>
      </c>
      <c r="I36" s="182">
        <v>125</v>
      </c>
      <c r="J36" s="182">
        <v>125</v>
      </c>
      <c r="K36">
        <v>125</v>
      </c>
      <c r="L36">
        <v>125</v>
      </c>
      <c r="M36">
        <v>125</v>
      </c>
      <c r="N36">
        <v>125</v>
      </c>
      <c r="O36">
        <v>125</v>
      </c>
      <c r="P36">
        <v>125</v>
      </c>
      <c r="Q36">
        <v>125</v>
      </c>
    </row>
    <row r="37" spans="1:17">
      <c r="A37" s="24" t="str">
        <f>_xll.EVPRO("Finance",$C37,"Inv_Type")</f>
        <v>Inv_Equity</v>
      </c>
      <c r="B37" s="24" t="str">
        <f t="shared" si="0"/>
        <v>Park Manor of Quail Valley</v>
      </c>
      <c r="C37" s="24" t="str">
        <f t="shared" si="1"/>
        <v>S09080 - Park Manor of Quail Valley</v>
      </c>
      <c r="D37" s="51"/>
      <c r="E37" s="10" t="str">
        <f xml:space="preserve"> _xll.EPMOlapMemberO("[ACCOUNT].[H1].[T_REVENUES]","","T_REVENUES - Total Tenant Revenues","","000")</f>
        <v>T_REVENUES - Total Tenant Revenues</v>
      </c>
      <c r="F37" s="182">
        <v>763066</v>
      </c>
      <c r="G37" s="182">
        <v>716461</v>
      </c>
      <c r="H37" s="182">
        <v>737317</v>
      </c>
      <c r="I37" s="182">
        <v>772922</v>
      </c>
      <c r="J37" s="182">
        <v>654919</v>
      </c>
      <c r="K37">
        <v>819223</v>
      </c>
      <c r="L37">
        <v>796905</v>
      </c>
      <c r="M37">
        <v>737623</v>
      </c>
      <c r="N37">
        <v>695745</v>
      </c>
      <c r="O37">
        <v>694591</v>
      </c>
      <c r="P37">
        <v>872789</v>
      </c>
      <c r="Q37">
        <v>922317</v>
      </c>
    </row>
    <row r="38" spans="1:17">
      <c r="A38" s="24" t="str">
        <f>_xll.EVPRO("Finance",$C38,"Inv_Type")</f>
        <v>Inv_Equity</v>
      </c>
      <c r="B38" s="24" t="str">
        <f t="shared" si="0"/>
        <v>Park Manor of Quail Valley</v>
      </c>
      <c r="C38" s="24" t="str">
        <f t="shared" si="1"/>
        <v>S09080 - Park Manor of Quail Valley</v>
      </c>
      <c r="D38" s="51"/>
      <c r="E38" s="10" t="str">
        <f xml:space="preserve"> _xll.EPMOlapMemberO("[ACCOUNT].[H1].[T_OPEX]","","T_OPEX - Tenant Operating Expenses","","000")</f>
        <v>T_OPEX - Tenant Operating Expenses</v>
      </c>
      <c r="F38" s="182">
        <v>587573</v>
      </c>
      <c r="G38" s="182">
        <v>601241</v>
      </c>
      <c r="H38" s="182">
        <v>602168</v>
      </c>
      <c r="I38" s="182">
        <v>579880</v>
      </c>
      <c r="J38" s="182">
        <v>315408</v>
      </c>
      <c r="K38">
        <v>602952</v>
      </c>
      <c r="L38">
        <v>593554</v>
      </c>
      <c r="M38">
        <v>581522</v>
      </c>
      <c r="N38">
        <v>602531</v>
      </c>
      <c r="O38">
        <v>563424</v>
      </c>
      <c r="P38">
        <v>562869</v>
      </c>
      <c r="Q38">
        <v>670220</v>
      </c>
    </row>
    <row r="39" spans="1:17">
      <c r="A39" s="24" t="str">
        <f>_xll.EVPRO("Finance",$C39,"Inv_Type")</f>
        <v>Inv_Equity</v>
      </c>
      <c r="B39" s="24" t="str">
        <f t="shared" si="0"/>
        <v>Park Manor of Quail Valley</v>
      </c>
      <c r="C39" s="24" t="str">
        <f t="shared" si="1"/>
        <v>S09080 - Park Manor of Quail Valley</v>
      </c>
      <c r="D39" s="51"/>
      <c r="E39" s="2" t="str">
        <f xml:space="preserve"> _xll.EPMOlapMemberO("[ACCOUNT].[H1].[T_NON_OP_EXP]","","T_NON_OP_EXP - Tenant Non-Operating Expense","","000")</f>
        <v>T_NON_OP_EXP - Tenant Non-Operating Expense</v>
      </c>
      <c r="F39" s="182">
        <v>27436</v>
      </c>
      <c r="G39" s="182">
        <v>17521</v>
      </c>
      <c r="H39" s="182">
        <v>3980</v>
      </c>
      <c r="I39" s="182">
        <v>10822</v>
      </c>
      <c r="J39" s="182">
        <v>368644</v>
      </c>
      <c r="K39">
        <v>31441</v>
      </c>
      <c r="L39">
        <v>50837</v>
      </c>
      <c r="M39">
        <v>19254</v>
      </c>
      <c r="N39">
        <v>23107</v>
      </c>
      <c r="O39">
        <v>5010</v>
      </c>
      <c r="P39">
        <v>4368</v>
      </c>
      <c r="Q39">
        <v>9523</v>
      </c>
    </row>
    <row r="40" spans="1:17">
      <c r="A40" s="24" t="str">
        <f>_xll.EVPRO("Finance",$C40,"Inv_Type")</f>
        <v>Inv_Equity</v>
      </c>
      <c r="B40" s="24" t="str">
        <f t="shared" si="0"/>
        <v>Park Manor of Quail Valley</v>
      </c>
      <c r="C40" s="24" t="str">
        <f t="shared" si="1"/>
        <v>S09080 - Park Manor of Quail Valley</v>
      </c>
      <c r="D40" s="51"/>
      <c r="E40" s="11" t="str">
        <f xml:space="preserve"> _xll.EPMOlapMemberO("[ACCOUNT].[H1].[T_BAD_DEBT]","","T_BAD_DEBT - Tenant Bad Debt Expense","","000")</f>
        <v>T_BAD_DEBT - Tenant Bad Debt Expense</v>
      </c>
      <c r="F40" s="182">
        <v>21244</v>
      </c>
      <c r="G40" s="182">
        <v>19493</v>
      </c>
      <c r="H40" s="182">
        <v>20218</v>
      </c>
      <c r="I40" s="182">
        <v>26658</v>
      </c>
      <c r="J40" s="182">
        <v>66951</v>
      </c>
      <c r="K40">
        <v>58363</v>
      </c>
      <c r="L40">
        <v>29357</v>
      </c>
      <c r="M40">
        <v>22315</v>
      </c>
      <c r="N40">
        <v>25015</v>
      </c>
      <c r="O40">
        <v>21621</v>
      </c>
      <c r="P40">
        <v>26232</v>
      </c>
      <c r="Q40">
        <v>28308</v>
      </c>
    </row>
    <row r="41" spans="1:17">
      <c r="A41" s="24" t="str">
        <f>_xll.EVPRO("Finance",$C41,"Inv_Type")</f>
        <v>Inv_Equity</v>
      </c>
      <c r="B41" s="24" t="str">
        <f t="shared" si="0"/>
        <v>Park Manor of Quail Valley</v>
      </c>
      <c r="C41" s="24" t="str">
        <f t="shared" si="1"/>
        <v>S09080 - Park Manor of Quail Valley</v>
      </c>
      <c r="D41" s="51"/>
      <c r="E41" s="3" t="str">
        <f xml:space="preserve"> _xll.EPMOlapMemberO("[ACCOUNT].[H1].[T_EBITDARM]","","T_EBITDARM - EBITDARM","","000")</f>
        <v>T_EBITDARM - EBITDARM</v>
      </c>
      <c r="F41" s="182">
        <v>175493</v>
      </c>
      <c r="G41" s="182">
        <v>115220</v>
      </c>
      <c r="H41" s="182">
        <v>135149</v>
      </c>
      <c r="I41" s="182">
        <v>193042</v>
      </c>
      <c r="J41" s="182">
        <v>339511</v>
      </c>
      <c r="K41">
        <v>216271</v>
      </c>
      <c r="L41">
        <v>203351</v>
      </c>
      <c r="M41">
        <v>156101</v>
      </c>
      <c r="N41">
        <v>93214</v>
      </c>
      <c r="O41">
        <v>131167</v>
      </c>
      <c r="P41">
        <v>309920</v>
      </c>
      <c r="Q41">
        <v>252097</v>
      </c>
    </row>
    <row r="42" spans="1:17">
      <c r="A42" s="24" t="str">
        <f>_xll.EVPRO("Finance",$C42,"Inv_Type")</f>
        <v>Inv_Equity</v>
      </c>
      <c r="B42" s="24" t="str">
        <f t="shared" si="0"/>
        <v>Park Manor of Quail Valley</v>
      </c>
      <c r="C42" s="24" t="str">
        <f t="shared" si="1"/>
        <v>S09080 - Park Manor of Quail Valley</v>
      </c>
      <c r="D42" s="51"/>
      <c r="E42" s="3" t="str">
        <f xml:space="preserve"> _xll.EPMOlapMemberO("[ACCOUNT].[H1].[T_MGMT_FEE]","","T_MGMT_FEE - Tenant Management Fee - Actual","","000")</f>
        <v>T_MGMT_FEE - Tenant Management Fee - Actual</v>
      </c>
      <c r="F42" s="182">
        <v>35406</v>
      </c>
      <c r="G42" s="182">
        <v>32489</v>
      </c>
      <c r="H42" s="182">
        <v>33696</v>
      </c>
      <c r="I42" s="182">
        <v>34182</v>
      </c>
      <c r="J42" s="182">
        <v>28252</v>
      </c>
      <c r="K42">
        <v>38391</v>
      </c>
      <c r="L42">
        <v>35888</v>
      </c>
      <c r="M42">
        <v>36002</v>
      </c>
      <c r="N42">
        <v>33770</v>
      </c>
      <c r="O42">
        <v>34628</v>
      </c>
      <c r="P42">
        <v>43720</v>
      </c>
      <c r="Q42">
        <v>45824</v>
      </c>
    </row>
    <row r="43" spans="1:17">
      <c r="A43" s="24" t="str">
        <f>_xll.EVPRO("Finance",$C43,"Inv_Type")</f>
        <v>Inv_Equity</v>
      </c>
      <c r="B43" s="24" t="str">
        <f t="shared" si="0"/>
        <v>Park Manor of Quail Valley</v>
      </c>
      <c r="C43" s="24" t="str">
        <f t="shared" si="1"/>
        <v>S09080 - Park Manor of Quail Valley</v>
      </c>
      <c r="D43" s="51"/>
      <c r="E43" s="2" t="str">
        <f xml:space="preserve"> _xll.EPMOlapMemberO("[ACCOUNT].[H1].[T_EBITDAR]","","T_EBITDAR - EBITDAR","","000")</f>
        <v>T_EBITDAR - EBITDAR</v>
      </c>
      <c r="F43" s="182">
        <v>140087</v>
      </c>
      <c r="G43" s="182">
        <v>82731</v>
      </c>
      <c r="H43" s="182">
        <v>101453</v>
      </c>
      <c r="I43" s="182">
        <v>158860</v>
      </c>
      <c r="J43" s="182">
        <v>311259</v>
      </c>
      <c r="K43">
        <v>177880</v>
      </c>
      <c r="L43">
        <v>167463</v>
      </c>
      <c r="M43">
        <v>120099</v>
      </c>
      <c r="N43">
        <v>59444</v>
      </c>
      <c r="O43">
        <v>96539</v>
      </c>
      <c r="P43">
        <v>266200</v>
      </c>
      <c r="Q43">
        <v>206273</v>
      </c>
    </row>
    <row r="44" spans="1:17">
      <c r="A44" s="24" t="str">
        <f>_xll.EVPRO("Finance",$C44,"Inv_Type")</f>
        <v>Inv_Equity</v>
      </c>
      <c r="B44" s="24" t="str">
        <f t="shared" si="0"/>
        <v>Park Manor of Quail Valley</v>
      </c>
      <c r="C44" s="24" t="str">
        <f t="shared" si="1"/>
        <v>S09080 - Park Manor of Quail Valley</v>
      </c>
      <c r="D44" s="51"/>
      <c r="E44" s="2" t="str">
        <f xml:space="preserve"> _xll.EPMOlapMemberO("[ACCOUNT].[H1].[T_RENT_EXP]","","T_RENT_EXP - Tenant Rent Expense","","000")</f>
        <v>T_RENT_EXP - Tenant Rent Expense</v>
      </c>
      <c r="F44" s="182">
        <v>118129</v>
      </c>
      <c r="G44" s="182">
        <v>121023</v>
      </c>
      <c r="H44" s="182">
        <v>121023</v>
      </c>
      <c r="I44" s="182">
        <v>121023</v>
      </c>
      <c r="J44" s="182">
        <v>121023</v>
      </c>
      <c r="K44">
        <v>121023</v>
      </c>
      <c r="L44">
        <v>121023</v>
      </c>
      <c r="M44">
        <v>121023</v>
      </c>
      <c r="N44">
        <v>121023</v>
      </c>
      <c r="O44">
        <v>121023</v>
      </c>
      <c r="P44">
        <v>121023</v>
      </c>
      <c r="Q44">
        <v>133218</v>
      </c>
    </row>
    <row r="45" spans="1:17">
      <c r="A45" s="24" t="str">
        <f>_xll.EVPRO("Finance",$C45,"Inv_Type")</f>
        <v>Inv_Equity</v>
      </c>
      <c r="B45" s="24" t="str">
        <f t="shared" si="0"/>
        <v>Park Manor of Westchase</v>
      </c>
      <c r="C45" s="24" t="str">
        <f t="shared" si="1"/>
        <v>S09081 - Park Manor of Westchase</v>
      </c>
      <c r="D45" s="51" t="str">
        <f xml:space="preserve"> _xll.EPMOlapMemberO("[ENTITY].[H1].[S09081]","","S09081 - Park Manor of Westchase","","000")</f>
        <v>S09081 - Park Manor of Westchase</v>
      </c>
      <c r="E45" s="51" t="str">
        <f xml:space="preserve"> _xll.EPMOlapMemberO("[ACCOUNT].[H1].[PAY_PAT_DAYS]","","PAY_PAT_DAYS - Total Payor Patient Days","","000")</f>
        <v>PAY_PAT_DAYS - Total Payor Patient Days</v>
      </c>
      <c r="F45" s="182">
        <v>2263</v>
      </c>
      <c r="G45" s="182">
        <v>2006</v>
      </c>
      <c r="H45" s="182">
        <v>2216</v>
      </c>
      <c r="I45" s="182">
        <v>2155</v>
      </c>
      <c r="J45" s="182">
        <v>2414</v>
      </c>
      <c r="K45">
        <v>2355</v>
      </c>
      <c r="L45">
        <v>2490</v>
      </c>
      <c r="M45">
        <v>2466</v>
      </c>
      <c r="N45">
        <v>2594</v>
      </c>
      <c r="O45">
        <v>2520</v>
      </c>
      <c r="P45">
        <v>2473</v>
      </c>
      <c r="Q45">
        <v>2636</v>
      </c>
    </row>
    <row r="46" spans="1:17">
      <c r="A46" s="24" t="str">
        <f>_xll.EVPRO("Finance",$C46,"Inv_Type")</f>
        <v>Inv_Equity</v>
      </c>
      <c r="B46" s="24" t="str">
        <f t="shared" si="0"/>
        <v>Park Manor of Westchase</v>
      </c>
      <c r="C46" s="24" t="str">
        <f t="shared" si="1"/>
        <v>S09081 - Park Manor of Westchase</v>
      </c>
      <c r="D46" s="51"/>
      <c r="E46" s="2" t="str">
        <f xml:space="preserve"> _xll.EPMOlapMemberO("[ACCOUNT].[H1].[A_BEDS_TOTAL]","","A_BEDS_TOTAL - Total Available Beds","","000")</f>
        <v>A_BEDS_TOTAL - Total Available Beds</v>
      </c>
      <c r="F46" s="182">
        <v>125</v>
      </c>
      <c r="G46" s="182">
        <v>125</v>
      </c>
      <c r="H46" s="182">
        <v>125</v>
      </c>
      <c r="I46" s="182">
        <v>125</v>
      </c>
      <c r="J46" s="182">
        <v>125</v>
      </c>
      <c r="K46">
        <v>125</v>
      </c>
      <c r="L46">
        <v>125</v>
      </c>
      <c r="M46">
        <v>125</v>
      </c>
      <c r="N46">
        <v>125</v>
      </c>
      <c r="O46">
        <v>125</v>
      </c>
      <c r="P46">
        <v>125</v>
      </c>
      <c r="Q46">
        <v>125</v>
      </c>
    </row>
    <row r="47" spans="1:17">
      <c r="A47" s="24" t="str">
        <f>_xll.EVPRO("Finance",$C47,"Inv_Type")</f>
        <v>Inv_Equity</v>
      </c>
      <c r="B47" s="24" t="str">
        <f t="shared" si="0"/>
        <v>Park Manor of Westchase</v>
      </c>
      <c r="C47" s="24" t="str">
        <f t="shared" si="1"/>
        <v>S09081 - Park Manor of Westchase</v>
      </c>
      <c r="D47" s="51"/>
      <c r="E47" s="10" t="str">
        <f xml:space="preserve"> _xll.EPMOlapMemberO("[ACCOUNT].[H1].[T_REVENUES]","","T_REVENUES - Total Tenant Revenues","","000")</f>
        <v>T_REVENUES - Total Tenant Revenues</v>
      </c>
      <c r="F47" s="182">
        <v>627619</v>
      </c>
      <c r="G47" s="182">
        <v>611854</v>
      </c>
      <c r="H47" s="182">
        <v>638791</v>
      </c>
      <c r="I47" s="182">
        <v>608849</v>
      </c>
      <c r="J47" s="182">
        <v>700784</v>
      </c>
      <c r="K47">
        <v>689768</v>
      </c>
      <c r="L47">
        <v>864577</v>
      </c>
      <c r="M47">
        <v>760538</v>
      </c>
      <c r="N47">
        <v>812915</v>
      </c>
      <c r="O47">
        <v>756970</v>
      </c>
      <c r="P47">
        <v>650986</v>
      </c>
      <c r="Q47">
        <v>697768</v>
      </c>
    </row>
    <row r="48" spans="1:17">
      <c r="A48" s="24" t="str">
        <f>_xll.EVPRO("Finance",$C48,"Inv_Type")</f>
        <v>Inv_Equity</v>
      </c>
      <c r="B48" s="24" t="str">
        <f t="shared" si="0"/>
        <v>Park Manor of Westchase</v>
      </c>
      <c r="C48" s="24" t="str">
        <f t="shared" si="1"/>
        <v>S09081 - Park Manor of Westchase</v>
      </c>
      <c r="D48" s="51"/>
      <c r="E48" s="10" t="str">
        <f xml:space="preserve"> _xll.EPMOlapMemberO("[ACCOUNT].[H1].[T_OPEX]","","T_OPEX - Tenant Operating Expenses","","000")</f>
        <v>T_OPEX - Tenant Operating Expenses</v>
      </c>
      <c r="F48" s="182">
        <v>571287</v>
      </c>
      <c r="G48" s="182">
        <v>520948</v>
      </c>
      <c r="H48" s="182">
        <v>550869</v>
      </c>
      <c r="I48" s="182">
        <v>472799</v>
      </c>
      <c r="J48" s="182">
        <v>267139</v>
      </c>
      <c r="K48">
        <v>474445</v>
      </c>
      <c r="L48">
        <v>505833</v>
      </c>
      <c r="M48">
        <v>565382</v>
      </c>
      <c r="N48">
        <v>517438</v>
      </c>
      <c r="O48">
        <v>500347</v>
      </c>
      <c r="P48">
        <v>544366</v>
      </c>
      <c r="Q48">
        <v>655599</v>
      </c>
    </row>
    <row r="49" spans="1:17">
      <c r="A49" s="24" t="str">
        <f>_xll.EVPRO("Finance",$C49,"Inv_Type")</f>
        <v>Inv_Equity</v>
      </c>
      <c r="B49" s="24" t="str">
        <f t="shared" si="0"/>
        <v>Park Manor of Westchase</v>
      </c>
      <c r="C49" s="24" t="str">
        <f t="shared" si="1"/>
        <v>S09081 - Park Manor of Westchase</v>
      </c>
      <c r="D49" s="51"/>
      <c r="E49" s="2" t="str">
        <f xml:space="preserve"> _xll.EPMOlapMemberO("[ACCOUNT].[H1].[T_NON_OP_EXP]","","T_NON_OP_EXP - Tenant Non-Operating Expense","","000")</f>
        <v>T_NON_OP_EXP - Tenant Non-Operating Expense</v>
      </c>
      <c r="F49" s="182">
        <v>5040</v>
      </c>
      <c r="G49" s="182">
        <v>10947</v>
      </c>
      <c r="H49" s="182">
        <v>6977</v>
      </c>
      <c r="I49" s="182">
        <v>4090</v>
      </c>
      <c r="J49" s="182">
        <v>288762</v>
      </c>
      <c r="K49">
        <v>56612</v>
      </c>
      <c r="L49">
        <v>92793</v>
      </c>
      <c r="M49">
        <v>66133</v>
      </c>
      <c r="N49">
        <v>94314</v>
      </c>
      <c r="O49">
        <v>113188</v>
      </c>
      <c r="P49">
        <v>-446</v>
      </c>
      <c r="Q49">
        <v>7643</v>
      </c>
    </row>
    <row r="50" spans="1:17">
      <c r="A50" s="24" t="str">
        <f>_xll.EVPRO("Finance",$C50,"Inv_Type")</f>
        <v>Inv_Equity</v>
      </c>
      <c r="B50" s="24" t="str">
        <f t="shared" si="0"/>
        <v>Park Manor of Westchase</v>
      </c>
      <c r="C50" s="24" t="str">
        <f t="shared" si="1"/>
        <v>S09081 - Park Manor of Westchase</v>
      </c>
      <c r="D50" s="51"/>
      <c r="E50" s="11" t="str">
        <f xml:space="preserve"> _xll.EPMOlapMemberO("[ACCOUNT].[H1].[T_BAD_DEBT]","","T_BAD_DEBT - Tenant Bad Debt Expense","","000")</f>
        <v>T_BAD_DEBT - Tenant Bad Debt Expense</v>
      </c>
      <c r="F50" s="182">
        <v>17690</v>
      </c>
      <c r="G50" s="182">
        <v>17202</v>
      </c>
      <c r="H50" s="182">
        <v>17518</v>
      </c>
      <c r="I50" s="182">
        <v>16024</v>
      </c>
      <c r="J50" s="182">
        <v>18808</v>
      </c>
      <c r="K50">
        <v>17950</v>
      </c>
      <c r="L50">
        <v>26219</v>
      </c>
      <c r="M50">
        <v>19813</v>
      </c>
      <c r="N50">
        <v>20544</v>
      </c>
      <c r="O50">
        <v>48301</v>
      </c>
      <c r="P50">
        <v>42058</v>
      </c>
      <c r="Q50">
        <v>62323</v>
      </c>
    </row>
    <row r="51" spans="1:17">
      <c r="A51" s="24" t="str">
        <f>_xll.EVPRO("Finance",$C51,"Inv_Type")</f>
        <v>Inv_Equity</v>
      </c>
      <c r="B51" s="24" t="str">
        <f t="shared" si="0"/>
        <v>Park Manor of Westchase</v>
      </c>
      <c r="C51" s="24" t="str">
        <f t="shared" si="1"/>
        <v>S09081 - Park Manor of Westchase</v>
      </c>
      <c r="D51" s="51"/>
      <c r="E51" s="3" t="str">
        <f xml:space="preserve"> _xll.EPMOlapMemberO("[ACCOUNT].[H1].[T_EBITDARM]","","T_EBITDARM - EBITDARM","","000")</f>
        <v>T_EBITDARM - EBITDARM</v>
      </c>
      <c r="F51" s="182">
        <v>56332</v>
      </c>
      <c r="G51" s="182">
        <v>90906</v>
      </c>
      <c r="H51" s="182">
        <v>87922</v>
      </c>
      <c r="I51" s="182">
        <v>136050</v>
      </c>
      <c r="J51" s="182">
        <v>433645</v>
      </c>
      <c r="K51">
        <v>215323</v>
      </c>
      <c r="L51">
        <v>358744</v>
      </c>
      <c r="M51">
        <v>195156</v>
      </c>
      <c r="N51">
        <v>295477</v>
      </c>
      <c r="O51">
        <v>256623</v>
      </c>
      <c r="P51">
        <v>106620</v>
      </c>
      <c r="Q51">
        <v>42169</v>
      </c>
    </row>
    <row r="52" spans="1:17">
      <c r="A52" s="24" t="str">
        <f>_xll.EVPRO("Finance",$C52,"Inv_Type")</f>
        <v>Inv_Equity</v>
      </c>
      <c r="B52" s="24" t="str">
        <f t="shared" si="0"/>
        <v>Park Manor of Westchase</v>
      </c>
      <c r="C52" s="24" t="str">
        <f t="shared" si="1"/>
        <v>S09081 - Park Manor of Westchase</v>
      </c>
      <c r="D52" s="51"/>
      <c r="E52" s="3" t="str">
        <f xml:space="preserve"> _xll.EPMOlapMemberO("[ACCOUNT].[H1].[T_MGMT_FEE]","","T_MGMT_FEE - Tenant Management Fee - Actual","","000")</f>
        <v>T_MGMT_FEE - Tenant Management Fee - Actual</v>
      </c>
      <c r="F52" s="182">
        <v>29484</v>
      </c>
      <c r="G52" s="182">
        <v>28669</v>
      </c>
      <c r="H52" s="182">
        <v>29197</v>
      </c>
      <c r="I52" s="182">
        <v>26707</v>
      </c>
      <c r="J52" s="182">
        <v>31346</v>
      </c>
      <c r="K52">
        <v>29917</v>
      </c>
      <c r="L52">
        <v>36795</v>
      </c>
      <c r="M52">
        <v>33022</v>
      </c>
      <c r="N52">
        <v>34239</v>
      </c>
      <c r="O52">
        <v>30501</v>
      </c>
      <c r="P52">
        <v>28419</v>
      </c>
      <c r="Q52">
        <v>32813</v>
      </c>
    </row>
    <row r="53" spans="1:17">
      <c r="A53" s="24" t="str">
        <f>_xll.EVPRO("Finance",$C53,"Inv_Type")</f>
        <v>Inv_Equity</v>
      </c>
      <c r="B53" s="24" t="str">
        <f t="shared" si="0"/>
        <v>Park Manor of Westchase</v>
      </c>
      <c r="C53" s="24" t="str">
        <f t="shared" si="1"/>
        <v>S09081 - Park Manor of Westchase</v>
      </c>
      <c r="D53" s="51"/>
      <c r="E53" s="2" t="str">
        <f xml:space="preserve"> _xll.EPMOlapMemberO("[ACCOUNT].[H1].[T_EBITDAR]","","T_EBITDAR - EBITDAR","","000")</f>
        <v>T_EBITDAR - EBITDAR</v>
      </c>
      <c r="F53" s="182">
        <v>26848</v>
      </c>
      <c r="G53" s="182">
        <v>62237</v>
      </c>
      <c r="H53" s="182">
        <v>58725</v>
      </c>
      <c r="I53" s="182">
        <v>109343</v>
      </c>
      <c r="J53" s="182">
        <v>402299</v>
      </c>
      <c r="K53">
        <v>185406</v>
      </c>
      <c r="L53">
        <v>321949</v>
      </c>
      <c r="M53">
        <v>162134</v>
      </c>
      <c r="N53">
        <v>261238</v>
      </c>
      <c r="O53">
        <v>226122</v>
      </c>
      <c r="P53">
        <v>78201</v>
      </c>
      <c r="Q53">
        <v>9356</v>
      </c>
    </row>
    <row r="54" spans="1:17">
      <c r="A54" s="24" t="str">
        <f>_xll.EVPRO("Finance",$C54,"Inv_Type")</f>
        <v>Inv_Equity</v>
      </c>
      <c r="B54" s="24" t="str">
        <f t="shared" si="0"/>
        <v>Park Manor of Westchase</v>
      </c>
      <c r="C54" s="24" t="str">
        <f t="shared" si="1"/>
        <v>S09081 - Park Manor of Westchase</v>
      </c>
      <c r="D54" s="51"/>
      <c r="E54" s="2" t="str">
        <f xml:space="preserve"> _xll.EPMOlapMemberO("[ACCOUNT].[H1].[T_RENT_EXP]","","T_RENT_EXP - Tenant Rent Expense","","000")</f>
        <v>T_RENT_EXP - Tenant Rent Expense</v>
      </c>
      <c r="F54" s="182">
        <v>118129</v>
      </c>
      <c r="G54" s="182">
        <v>121023</v>
      </c>
      <c r="H54" s="182">
        <v>121023</v>
      </c>
      <c r="I54" s="182">
        <v>121023</v>
      </c>
      <c r="J54" s="182">
        <v>121023</v>
      </c>
      <c r="K54">
        <v>121023</v>
      </c>
      <c r="L54">
        <v>121023</v>
      </c>
      <c r="M54">
        <v>121023</v>
      </c>
      <c r="N54">
        <v>121023</v>
      </c>
      <c r="O54">
        <v>121023</v>
      </c>
      <c r="P54">
        <v>121023</v>
      </c>
      <c r="Q54">
        <v>133227</v>
      </c>
    </row>
    <row r="55" spans="1:17">
      <c r="A55" s="24" t="str">
        <f>_xll.EVPRO("Finance",$C55,"Inv_Type")</f>
        <v>Inv_Equity</v>
      </c>
      <c r="B55" s="24" t="str">
        <f t="shared" si="0"/>
        <v>Park Manor of CyFair</v>
      </c>
      <c r="C55" s="24" t="str">
        <f t="shared" si="1"/>
        <v>S09082 - Park Manor of CyFair</v>
      </c>
      <c r="D55" s="51" t="str">
        <f xml:space="preserve"> _xll.EPMOlapMemberO("[ENTITY].[H1].[S09082]","","S09082 - Park Manor of CyFair","","000")</f>
        <v>S09082 - Park Manor of CyFair</v>
      </c>
      <c r="E55" s="51" t="str">
        <f xml:space="preserve"> _xll.EPMOlapMemberO("[ACCOUNT].[H1].[PAY_PAT_DAYS]","","PAY_PAT_DAYS - Total Payor Patient Days","","000")</f>
        <v>PAY_PAT_DAYS - Total Payor Patient Days</v>
      </c>
      <c r="F55" s="182">
        <v>2637</v>
      </c>
      <c r="G55" s="182">
        <v>2556</v>
      </c>
      <c r="H55" s="182">
        <v>2751</v>
      </c>
      <c r="I55" s="182">
        <v>2568</v>
      </c>
      <c r="J55" s="182">
        <v>2663</v>
      </c>
      <c r="K55">
        <v>2833</v>
      </c>
      <c r="L55">
        <v>2795</v>
      </c>
      <c r="M55">
        <v>3242</v>
      </c>
      <c r="N55">
        <v>3088</v>
      </c>
      <c r="O55">
        <v>3019</v>
      </c>
      <c r="P55">
        <v>2863</v>
      </c>
      <c r="Q55">
        <v>2964</v>
      </c>
    </row>
    <row r="56" spans="1:17">
      <c r="A56" s="24" t="str">
        <f>_xll.EVPRO("Finance",$C56,"Inv_Type")</f>
        <v>Inv_Equity</v>
      </c>
      <c r="B56" s="24" t="str">
        <f t="shared" si="0"/>
        <v>Park Manor of CyFair</v>
      </c>
      <c r="C56" s="24" t="str">
        <f t="shared" si="1"/>
        <v>S09082 - Park Manor of CyFair</v>
      </c>
      <c r="D56" s="51"/>
      <c r="E56" s="2" t="str">
        <f xml:space="preserve"> _xll.EPMOlapMemberO("[ACCOUNT].[H1].[A_BEDS_TOTAL]","","A_BEDS_TOTAL - Total Available Beds","","000")</f>
        <v>A_BEDS_TOTAL - Total Available Beds</v>
      </c>
      <c r="F56" s="182">
        <v>120</v>
      </c>
      <c r="G56" s="182">
        <v>120</v>
      </c>
      <c r="H56" s="182">
        <v>120</v>
      </c>
      <c r="I56" s="182">
        <v>120</v>
      </c>
      <c r="J56" s="182">
        <v>120</v>
      </c>
      <c r="K56">
        <v>120</v>
      </c>
      <c r="L56">
        <v>120</v>
      </c>
      <c r="M56">
        <v>120</v>
      </c>
      <c r="N56">
        <v>120</v>
      </c>
      <c r="O56">
        <v>120</v>
      </c>
      <c r="P56">
        <v>120</v>
      </c>
      <c r="Q56">
        <v>120</v>
      </c>
    </row>
    <row r="57" spans="1:17">
      <c r="A57" s="24" t="str">
        <f>_xll.EVPRO("Finance",$C57,"Inv_Type")</f>
        <v>Inv_Equity</v>
      </c>
      <c r="B57" s="24" t="str">
        <f t="shared" si="0"/>
        <v>Park Manor of CyFair</v>
      </c>
      <c r="C57" s="24" t="str">
        <f t="shared" si="1"/>
        <v>S09082 - Park Manor of CyFair</v>
      </c>
      <c r="D57" s="51"/>
      <c r="E57" s="10" t="str">
        <f xml:space="preserve"> _xll.EPMOlapMemberO("[ACCOUNT].[H1].[T_REVENUES]","","T_REVENUES - Total Tenant Revenues","","000")</f>
        <v>T_REVENUES - Total Tenant Revenues</v>
      </c>
      <c r="F57" s="182">
        <v>820389</v>
      </c>
      <c r="G57" s="182">
        <v>764628</v>
      </c>
      <c r="H57" s="182">
        <v>894552</v>
      </c>
      <c r="I57" s="182">
        <v>828968</v>
      </c>
      <c r="J57" s="182">
        <v>825996</v>
      </c>
      <c r="K57">
        <v>858486</v>
      </c>
      <c r="L57">
        <v>780991</v>
      </c>
      <c r="M57">
        <v>979266</v>
      </c>
      <c r="N57">
        <v>923823</v>
      </c>
      <c r="O57">
        <v>851548</v>
      </c>
      <c r="P57">
        <v>782276</v>
      </c>
      <c r="Q57">
        <v>847556</v>
      </c>
    </row>
    <row r="58" spans="1:17">
      <c r="A58" s="24" t="str">
        <f>_xll.EVPRO("Finance",$C58,"Inv_Type")</f>
        <v>Inv_Equity</v>
      </c>
      <c r="B58" s="24" t="str">
        <f t="shared" si="0"/>
        <v>Park Manor of CyFair</v>
      </c>
      <c r="C58" s="24" t="str">
        <f t="shared" si="1"/>
        <v>S09082 - Park Manor of CyFair</v>
      </c>
      <c r="D58" s="51"/>
      <c r="E58" s="10" t="str">
        <f xml:space="preserve"> _xll.EPMOlapMemberO("[ACCOUNT].[H1].[T_OPEX]","","T_OPEX - Tenant Operating Expenses","","000")</f>
        <v>T_OPEX - Tenant Operating Expenses</v>
      </c>
      <c r="F58" s="182">
        <v>639806</v>
      </c>
      <c r="G58" s="182">
        <v>636443</v>
      </c>
      <c r="H58" s="182">
        <v>675283</v>
      </c>
      <c r="I58" s="182">
        <v>630980</v>
      </c>
      <c r="J58" s="182">
        <v>529343</v>
      </c>
      <c r="K58">
        <v>601548</v>
      </c>
      <c r="L58">
        <v>643934</v>
      </c>
      <c r="M58">
        <v>673637</v>
      </c>
      <c r="N58">
        <v>679109</v>
      </c>
      <c r="O58">
        <v>629327</v>
      </c>
      <c r="P58">
        <v>611333</v>
      </c>
      <c r="Q58">
        <v>647076</v>
      </c>
    </row>
    <row r="59" spans="1:17">
      <c r="A59" s="24" t="str">
        <f>_xll.EVPRO("Finance",$C59,"Inv_Type")</f>
        <v>Inv_Equity</v>
      </c>
      <c r="B59" s="24" t="str">
        <f t="shared" si="0"/>
        <v>Park Manor of CyFair</v>
      </c>
      <c r="C59" s="24" t="str">
        <f t="shared" si="1"/>
        <v>S09082 - Park Manor of CyFair</v>
      </c>
      <c r="D59" s="51"/>
      <c r="E59" s="2" t="str">
        <f xml:space="preserve"> _xll.EPMOlapMemberO("[ACCOUNT].[H1].[T_NON_OP_EXP]","","T_NON_OP_EXP - Tenant Non-Operating Expense","","000")</f>
        <v>T_NON_OP_EXP - Tenant Non-Operating Expense</v>
      </c>
      <c r="F59" s="182">
        <v>10583</v>
      </c>
      <c r="G59" s="182">
        <v>8812</v>
      </c>
      <c r="H59" s="182">
        <v>10853</v>
      </c>
      <c r="I59" s="182">
        <v>10887</v>
      </c>
      <c r="J59" s="182">
        <v>53014</v>
      </c>
      <c r="K59">
        <v>9969.4599999999991</v>
      </c>
      <c r="L59">
        <v>9213</v>
      </c>
      <c r="M59">
        <v>9331</v>
      </c>
      <c r="N59">
        <v>10864</v>
      </c>
      <c r="O59">
        <v>535</v>
      </c>
      <c r="P59">
        <v>4899</v>
      </c>
      <c r="Q59">
        <v>8339</v>
      </c>
    </row>
    <row r="60" spans="1:17">
      <c r="A60" s="24" t="str">
        <f>_xll.EVPRO("Finance",$C60,"Inv_Type")</f>
        <v>Inv_Equity</v>
      </c>
      <c r="B60" s="24" t="str">
        <f t="shared" si="0"/>
        <v>Park Manor of CyFair</v>
      </c>
      <c r="C60" s="24" t="str">
        <f t="shared" si="1"/>
        <v>S09082 - Park Manor of CyFair</v>
      </c>
      <c r="D60" s="51"/>
      <c r="E60" s="11" t="str">
        <f xml:space="preserve"> _xll.EPMOlapMemberO("[ACCOUNT].[H1].[T_BAD_DEBT]","","T_BAD_DEBT - Tenant Bad Debt Expense","","000")</f>
        <v>T_BAD_DEBT - Tenant Bad Debt Expense</v>
      </c>
      <c r="F60" s="182">
        <v>23316</v>
      </c>
      <c r="G60" s="182">
        <v>21518</v>
      </c>
      <c r="H60" s="182">
        <v>25133</v>
      </c>
      <c r="I60" s="182">
        <v>23801</v>
      </c>
      <c r="J60" s="182">
        <v>23410</v>
      </c>
      <c r="K60">
        <v>27883</v>
      </c>
      <c r="L60">
        <v>54052</v>
      </c>
      <c r="M60">
        <v>28456</v>
      </c>
      <c r="N60">
        <v>25832</v>
      </c>
      <c r="O60">
        <v>-4576</v>
      </c>
      <c r="P60">
        <v>22262</v>
      </c>
      <c r="Q60">
        <v>24037</v>
      </c>
    </row>
    <row r="61" spans="1:17">
      <c r="A61" s="24" t="str">
        <f>_xll.EVPRO("Finance",$C61,"Inv_Type")</f>
        <v>Inv_Equity</v>
      </c>
      <c r="B61" s="24" t="str">
        <f t="shared" si="0"/>
        <v>Park Manor of CyFair</v>
      </c>
      <c r="C61" s="24" t="str">
        <f t="shared" si="1"/>
        <v>S09082 - Park Manor of CyFair</v>
      </c>
      <c r="D61" s="51"/>
      <c r="E61" s="3" t="str">
        <f xml:space="preserve"> _xll.EPMOlapMemberO("[ACCOUNT].[H1].[T_EBITDARM]","","T_EBITDARM - EBITDARM","","000")</f>
        <v>T_EBITDARM - EBITDARM</v>
      </c>
      <c r="F61" s="182">
        <v>180583</v>
      </c>
      <c r="G61" s="182">
        <v>128185</v>
      </c>
      <c r="H61" s="182">
        <v>219269</v>
      </c>
      <c r="I61" s="182">
        <v>197988</v>
      </c>
      <c r="J61" s="182">
        <v>296653</v>
      </c>
      <c r="K61">
        <v>256938</v>
      </c>
      <c r="L61">
        <v>137057</v>
      </c>
      <c r="M61">
        <v>305629</v>
      </c>
      <c r="N61">
        <v>244714</v>
      </c>
      <c r="O61">
        <v>222221</v>
      </c>
      <c r="P61">
        <v>170943</v>
      </c>
      <c r="Q61">
        <v>200480</v>
      </c>
    </row>
    <row r="62" spans="1:17">
      <c r="A62" s="24" t="str">
        <f>_xll.EVPRO("Finance",$C62,"Inv_Type")</f>
        <v>Inv_Equity</v>
      </c>
      <c r="B62" s="24" t="str">
        <f t="shared" si="0"/>
        <v>Park Manor of CyFair</v>
      </c>
      <c r="C62" s="24" t="str">
        <f t="shared" si="1"/>
        <v>S09082 - Park Manor of CyFair</v>
      </c>
      <c r="D62" s="51"/>
      <c r="E62" s="3" t="str">
        <f xml:space="preserve"> _xll.EPMOlapMemberO("[ACCOUNT].[H1].[T_MGMT_FEE]","","T_MGMT_FEE - Tenant Management Fee - Actual","","000")</f>
        <v>T_MGMT_FEE - Tenant Management Fee - Actual</v>
      </c>
      <c r="F62" s="182">
        <v>38861</v>
      </c>
      <c r="G62" s="182">
        <v>35863</v>
      </c>
      <c r="H62" s="182">
        <v>41888</v>
      </c>
      <c r="I62" s="182">
        <v>39669</v>
      </c>
      <c r="J62" s="182">
        <v>39017</v>
      </c>
      <c r="K62">
        <v>46471</v>
      </c>
      <c r="L62">
        <v>37882</v>
      </c>
      <c r="M62">
        <v>46444</v>
      </c>
      <c r="N62">
        <v>43054</v>
      </c>
      <c r="O62">
        <v>40561</v>
      </c>
      <c r="P62">
        <v>37103</v>
      </c>
      <c r="Q62">
        <v>40062</v>
      </c>
    </row>
    <row r="63" spans="1:17">
      <c r="A63" s="24" t="str">
        <f>_xll.EVPRO("Finance",$C63,"Inv_Type")</f>
        <v>Inv_Equity</v>
      </c>
      <c r="B63" s="24" t="str">
        <f t="shared" si="0"/>
        <v>Park Manor of CyFair</v>
      </c>
      <c r="C63" s="24" t="str">
        <f t="shared" si="1"/>
        <v>S09082 - Park Manor of CyFair</v>
      </c>
      <c r="D63" s="51"/>
      <c r="E63" s="2" t="str">
        <f xml:space="preserve"> _xll.EPMOlapMemberO("[ACCOUNT].[H1].[T_EBITDAR]","","T_EBITDAR - EBITDAR","","000")</f>
        <v>T_EBITDAR - EBITDAR</v>
      </c>
      <c r="F63" s="182">
        <v>141722</v>
      </c>
      <c r="G63" s="182">
        <v>92322</v>
      </c>
      <c r="H63" s="182">
        <v>177381</v>
      </c>
      <c r="I63" s="182">
        <v>158319</v>
      </c>
      <c r="J63" s="182">
        <v>257636</v>
      </c>
      <c r="K63">
        <v>210467</v>
      </c>
      <c r="L63">
        <v>99175</v>
      </c>
      <c r="M63">
        <v>259185</v>
      </c>
      <c r="N63">
        <v>201660</v>
      </c>
      <c r="O63">
        <v>181660</v>
      </c>
      <c r="P63">
        <v>133840</v>
      </c>
      <c r="Q63">
        <v>160418</v>
      </c>
    </row>
    <row r="64" spans="1:17">
      <c r="A64" s="24" t="str">
        <f>_xll.EVPRO("Finance",$C64,"Inv_Type")</f>
        <v>Inv_Equity</v>
      </c>
      <c r="B64" s="24" t="str">
        <f t="shared" si="0"/>
        <v>Park Manor of CyFair</v>
      </c>
      <c r="C64" s="24" t="str">
        <f t="shared" si="1"/>
        <v>S09082 - Park Manor of CyFair</v>
      </c>
      <c r="D64" s="51"/>
      <c r="E64" s="2" t="str">
        <f xml:space="preserve"> _xll.EPMOlapMemberO("[ACCOUNT].[H1].[T_RENT_EXP]","","T_RENT_EXP - Tenant Rent Expense","","000")</f>
        <v>T_RENT_EXP - Tenant Rent Expense</v>
      </c>
      <c r="F64" s="182">
        <v>118129</v>
      </c>
      <c r="G64" s="182">
        <v>121023</v>
      </c>
      <c r="H64" s="182">
        <v>121023</v>
      </c>
      <c r="I64" s="182">
        <v>121023</v>
      </c>
      <c r="J64" s="182">
        <v>121023</v>
      </c>
      <c r="K64">
        <v>121023</v>
      </c>
      <c r="L64">
        <v>121023</v>
      </c>
      <c r="M64">
        <v>121023</v>
      </c>
      <c r="N64">
        <v>121023</v>
      </c>
      <c r="O64">
        <v>121023</v>
      </c>
      <c r="P64">
        <v>121023</v>
      </c>
      <c r="Q64">
        <v>133068</v>
      </c>
    </row>
    <row r="65" spans="1:17">
      <c r="A65" s="24" t="str">
        <f>_xll.EVPRO("Finance",$C65,"Inv_Type")</f>
        <v>Inv_Equity</v>
      </c>
      <c r="B65" s="24" t="str">
        <f t="shared" si="0"/>
        <v>Park Manor of McKinney</v>
      </c>
      <c r="C65" s="24" t="str">
        <f t="shared" si="1"/>
        <v>S09083 - Park Manor of McKinney</v>
      </c>
      <c r="D65" s="51" t="str">
        <f xml:space="preserve"> _xll.EPMOlapMemberO("[ENTITY].[H1].[S09083]","","S09083 - Park Manor of McKinney","","000")</f>
        <v>S09083 - Park Manor of McKinney</v>
      </c>
      <c r="E65" s="51" t="str">
        <f xml:space="preserve"> _xll.EPMOlapMemberO("[ACCOUNT].[H1].[PAY_PAT_DAYS]","","PAY_PAT_DAYS - Total Payor Patient Days","","000")</f>
        <v>PAY_PAT_DAYS - Total Payor Patient Days</v>
      </c>
      <c r="F65" s="182">
        <v>2259</v>
      </c>
      <c r="G65" s="182">
        <v>2116</v>
      </c>
      <c r="H65" s="182">
        <v>2183</v>
      </c>
      <c r="I65" s="182">
        <v>1920</v>
      </c>
      <c r="J65" s="182">
        <v>1944</v>
      </c>
      <c r="K65">
        <v>2012</v>
      </c>
      <c r="L65">
        <v>2035</v>
      </c>
      <c r="M65">
        <v>2126</v>
      </c>
      <c r="N65">
        <v>2100</v>
      </c>
      <c r="O65">
        <v>2228</v>
      </c>
      <c r="P65">
        <v>2147</v>
      </c>
      <c r="Q65">
        <v>-12648</v>
      </c>
    </row>
    <row r="66" spans="1:17">
      <c r="A66" s="24" t="str">
        <f>_xll.EVPRO("Finance",$C66,"Inv_Type")</f>
        <v>Inv_Equity</v>
      </c>
      <c r="B66" s="24" t="str">
        <f t="shared" si="0"/>
        <v>Park Manor of McKinney</v>
      </c>
      <c r="C66" s="24" t="str">
        <f t="shared" si="1"/>
        <v>S09083 - Park Manor of McKinney</v>
      </c>
      <c r="D66" s="51"/>
      <c r="E66" s="2" t="str">
        <f xml:space="preserve"> _xll.EPMOlapMemberO("[ACCOUNT].[H1].[A_BEDS_TOTAL]","","A_BEDS_TOTAL - Total Available Beds","","000")</f>
        <v>A_BEDS_TOTAL - Total Available Beds</v>
      </c>
      <c r="F66" s="182">
        <v>138</v>
      </c>
      <c r="G66" s="182">
        <v>138</v>
      </c>
      <c r="H66" s="182">
        <v>138</v>
      </c>
      <c r="I66" s="182">
        <v>138</v>
      </c>
      <c r="J66" s="182">
        <v>138</v>
      </c>
      <c r="K66">
        <v>138</v>
      </c>
      <c r="L66">
        <v>138</v>
      </c>
      <c r="M66">
        <v>138</v>
      </c>
      <c r="N66">
        <v>138</v>
      </c>
      <c r="O66">
        <v>138</v>
      </c>
      <c r="P66">
        <v>138</v>
      </c>
      <c r="Q66">
        <v>138</v>
      </c>
    </row>
    <row r="67" spans="1:17">
      <c r="A67" s="24" t="str">
        <f>_xll.EVPRO("Finance",$C67,"Inv_Type")</f>
        <v>Inv_Equity</v>
      </c>
      <c r="B67" s="24" t="str">
        <f t="shared" si="0"/>
        <v>Park Manor of McKinney</v>
      </c>
      <c r="C67" s="24" t="str">
        <f t="shared" si="1"/>
        <v>S09083 - Park Manor of McKinney</v>
      </c>
      <c r="D67" s="51"/>
      <c r="E67" s="10" t="str">
        <f xml:space="preserve"> _xll.EPMOlapMemberO("[ACCOUNT].[H1].[T_REVENUES]","","T_REVENUES - Total Tenant Revenues","","000")</f>
        <v>T_REVENUES - Total Tenant Revenues</v>
      </c>
      <c r="F67" s="182">
        <v>620614</v>
      </c>
      <c r="G67" s="182">
        <v>672922</v>
      </c>
      <c r="H67" s="182">
        <v>667827</v>
      </c>
      <c r="I67" s="182">
        <v>503507</v>
      </c>
      <c r="J67" s="182">
        <v>507731</v>
      </c>
      <c r="K67">
        <v>554265</v>
      </c>
      <c r="L67">
        <v>644975</v>
      </c>
      <c r="M67">
        <v>723586</v>
      </c>
      <c r="N67">
        <v>601437</v>
      </c>
      <c r="O67">
        <v>555325</v>
      </c>
      <c r="P67">
        <v>475341</v>
      </c>
      <c r="Q67">
        <v>58</v>
      </c>
    </row>
    <row r="68" spans="1:17">
      <c r="A68" s="24" t="str">
        <f>_xll.EVPRO("Finance",$C68,"Inv_Type")</f>
        <v>Inv_Equity</v>
      </c>
      <c r="B68" s="24" t="str">
        <f t="shared" si="0"/>
        <v>Park Manor of McKinney</v>
      </c>
      <c r="C68" s="24" t="str">
        <f t="shared" si="1"/>
        <v>S09083 - Park Manor of McKinney</v>
      </c>
      <c r="D68" s="51"/>
      <c r="E68" s="10" t="str">
        <f xml:space="preserve"> _xll.EPMOlapMemberO("[ACCOUNT].[H1].[T_OPEX]","","T_OPEX - Tenant Operating Expenses","","000")</f>
        <v>T_OPEX - Tenant Operating Expenses</v>
      </c>
      <c r="F68" s="182">
        <v>523584</v>
      </c>
      <c r="G68" s="182">
        <v>555217</v>
      </c>
      <c r="H68" s="182">
        <v>536180</v>
      </c>
      <c r="I68" s="182">
        <v>488007</v>
      </c>
      <c r="J68" s="182">
        <v>441540</v>
      </c>
      <c r="K68">
        <v>506721</v>
      </c>
      <c r="L68">
        <v>505492</v>
      </c>
      <c r="M68">
        <v>581160</v>
      </c>
      <c r="N68">
        <v>483920</v>
      </c>
      <c r="O68">
        <v>408082</v>
      </c>
      <c r="P68">
        <v>391266</v>
      </c>
    </row>
    <row r="69" spans="1:17">
      <c r="A69" s="24" t="str">
        <f>_xll.EVPRO("Finance",$C69,"Inv_Type")</f>
        <v>Inv_Equity</v>
      </c>
      <c r="B69" s="24" t="str">
        <f t="shared" ref="B69:B132" si="2">MID($C69,FIND("- ",$C69)+2,10000)</f>
        <v>Park Manor of McKinney</v>
      </c>
      <c r="C69" s="24" t="str">
        <f t="shared" si="1"/>
        <v>S09083 - Park Manor of McKinney</v>
      </c>
      <c r="D69" s="51"/>
      <c r="E69" s="2" t="str">
        <f xml:space="preserve"> _xll.EPMOlapMemberO("[ACCOUNT].[H1].[T_NON_OP_EXP]","","T_NON_OP_EXP - Tenant Non-Operating Expense","","000")</f>
        <v>T_NON_OP_EXP - Tenant Non-Operating Expense</v>
      </c>
      <c r="F69" s="182">
        <v>21073</v>
      </c>
      <c r="G69" s="182">
        <v>23441</v>
      </c>
      <c r="H69" s="182">
        <v>22912</v>
      </c>
      <c r="I69" s="182">
        <v>8885</v>
      </c>
      <c r="J69" s="182">
        <v>72893</v>
      </c>
      <c r="K69">
        <v>29553</v>
      </c>
      <c r="L69">
        <v>48501</v>
      </c>
      <c r="M69">
        <v>127126</v>
      </c>
      <c r="N69">
        <v>112310</v>
      </c>
      <c r="O69">
        <v>152506</v>
      </c>
      <c r="P69">
        <v>21113</v>
      </c>
    </row>
    <row r="70" spans="1:17">
      <c r="A70" s="24" t="str">
        <f>_xll.EVPRO("Finance",$C70,"Inv_Type")</f>
        <v>Inv_Equity</v>
      </c>
      <c r="B70" s="24" t="str">
        <f t="shared" si="2"/>
        <v>Park Manor of McKinney</v>
      </c>
      <c r="C70" s="24" t="str">
        <f t="shared" ref="C70:C133" si="3">IF(D70&lt;&gt;"",D70,C69)</f>
        <v>S09083 - Park Manor of McKinney</v>
      </c>
      <c r="D70" s="51"/>
      <c r="E70" s="11" t="str">
        <f xml:space="preserve"> _xll.EPMOlapMemberO("[ACCOUNT].[H1].[T_BAD_DEBT]","","T_BAD_DEBT - Tenant Bad Debt Expense","","000")</f>
        <v>T_BAD_DEBT - Tenant Bad Debt Expense</v>
      </c>
      <c r="F70" s="182">
        <v>13081</v>
      </c>
      <c r="G70" s="182">
        <v>12178</v>
      </c>
      <c r="H70" s="182">
        <v>11956</v>
      </c>
      <c r="I70" s="182">
        <v>9111</v>
      </c>
      <c r="J70" s="182">
        <v>32964</v>
      </c>
      <c r="K70">
        <v>9983</v>
      </c>
      <c r="L70">
        <v>16556</v>
      </c>
      <c r="M70">
        <v>11434</v>
      </c>
      <c r="N70">
        <v>11403</v>
      </c>
      <c r="O70">
        <v>10413</v>
      </c>
      <c r="P70">
        <v>9507</v>
      </c>
    </row>
    <row r="71" spans="1:17">
      <c r="A71" s="24" t="str">
        <f>_xll.EVPRO("Finance",$C71,"Inv_Type")</f>
        <v>Inv_Equity</v>
      </c>
      <c r="B71" s="24" t="str">
        <f t="shared" si="2"/>
        <v>Park Manor of McKinney</v>
      </c>
      <c r="C71" s="24" t="str">
        <f t="shared" si="3"/>
        <v>S09083 - Park Manor of McKinney</v>
      </c>
      <c r="D71" s="51"/>
      <c r="E71" s="3" t="str">
        <f xml:space="preserve"> _xll.EPMOlapMemberO("[ACCOUNT].[H1].[T_EBITDARM]","","T_EBITDARM - EBITDARM","","000")</f>
        <v>T_EBITDARM - EBITDARM</v>
      </c>
      <c r="F71" s="182">
        <v>97030</v>
      </c>
      <c r="G71" s="182">
        <v>117705</v>
      </c>
      <c r="H71" s="182">
        <v>131647</v>
      </c>
      <c r="I71" s="182">
        <v>15500</v>
      </c>
      <c r="J71" s="182">
        <v>66191</v>
      </c>
      <c r="K71">
        <v>47544</v>
      </c>
      <c r="L71">
        <v>139483</v>
      </c>
      <c r="M71">
        <v>142426</v>
      </c>
      <c r="N71">
        <v>117517</v>
      </c>
      <c r="O71">
        <v>147243</v>
      </c>
      <c r="P71">
        <v>84075</v>
      </c>
      <c r="Q71">
        <v>58</v>
      </c>
    </row>
    <row r="72" spans="1:17">
      <c r="A72" s="24" t="str">
        <f>_xll.EVPRO("Finance",$C72,"Inv_Type")</f>
        <v>Inv_Equity</v>
      </c>
      <c r="B72" s="24" t="str">
        <f t="shared" si="2"/>
        <v>Park Manor of McKinney</v>
      </c>
      <c r="C72" s="24" t="str">
        <f t="shared" si="3"/>
        <v>S09083 - Park Manor of McKinney</v>
      </c>
      <c r="D72" s="51"/>
      <c r="E72" s="3" t="str">
        <f xml:space="preserve"> _xll.EPMOlapMemberO("[ACCOUNT].[H1].[T_MGMT_FEE]","","T_MGMT_FEE - Tenant Management Fee - Actual","","000")</f>
        <v>T_MGMT_FEE - Tenant Management Fee - Actual</v>
      </c>
      <c r="F72" s="182">
        <v>29968</v>
      </c>
      <c r="G72" s="182">
        <v>30445</v>
      </c>
      <c r="H72" s="182">
        <v>29891</v>
      </c>
      <c r="I72" s="182">
        <v>22777</v>
      </c>
      <c r="J72" s="182">
        <v>22882</v>
      </c>
      <c r="K72">
        <v>24957</v>
      </c>
      <c r="L72">
        <v>28336</v>
      </c>
      <c r="M72">
        <v>28584</v>
      </c>
      <c r="N72">
        <v>28507</v>
      </c>
      <c r="O72">
        <v>26033</v>
      </c>
      <c r="P72">
        <v>23767</v>
      </c>
    </row>
    <row r="73" spans="1:17">
      <c r="A73" s="24" t="str">
        <f>_xll.EVPRO("Finance",$C73,"Inv_Type")</f>
        <v>Inv_Equity</v>
      </c>
      <c r="B73" s="24" t="str">
        <f t="shared" si="2"/>
        <v>Park Manor of McKinney</v>
      </c>
      <c r="C73" s="24" t="str">
        <f t="shared" si="3"/>
        <v>S09083 - Park Manor of McKinney</v>
      </c>
      <c r="D73" s="51"/>
      <c r="E73" s="2" t="str">
        <f xml:space="preserve"> _xll.EPMOlapMemberO("[ACCOUNT].[H1].[T_EBITDAR]","","T_EBITDAR - EBITDAR","","000")</f>
        <v>T_EBITDAR - EBITDAR</v>
      </c>
      <c r="F73" s="182">
        <v>67062</v>
      </c>
      <c r="G73" s="182">
        <v>87260</v>
      </c>
      <c r="H73" s="182">
        <v>101756</v>
      </c>
      <c r="I73" s="182">
        <v>-7277</v>
      </c>
      <c r="J73" s="182">
        <v>43309</v>
      </c>
      <c r="K73">
        <v>22587</v>
      </c>
      <c r="L73">
        <v>111147</v>
      </c>
      <c r="M73">
        <v>113842</v>
      </c>
      <c r="N73">
        <v>89010</v>
      </c>
      <c r="O73">
        <v>121210</v>
      </c>
      <c r="P73">
        <v>60308</v>
      </c>
      <c r="Q73">
        <v>58</v>
      </c>
    </row>
    <row r="74" spans="1:17">
      <c r="A74" s="24" t="str">
        <f>_xll.EVPRO("Finance",$C74,"Inv_Type")</f>
        <v>Inv_Equity</v>
      </c>
      <c r="B74" s="24" t="str">
        <f t="shared" si="2"/>
        <v>Park Manor of McKinney</v>
      </c>
      <c r="C74" s="24" t="str">
        <f t="shared" si="3"/>
        <v>S09083 - Park Manor of McKinney</v>
      </c>
      <c r="D74" s="51"/>
      <c r="E74" s="2" t="str">
        <f xml:space="preserve"> _xll.EPMOlapMemberO("[ACCOUNT].[H1].[T_RENT_EXP]","","T_RENT_EXP - Tenant Rent Expense","","000")</f>
        <v>T_RENT_EXP - Tenant Rent Expense</v>
      </c>
      <c r="F74" s="182">
        <v>85129</v>
      </c>
      <c r="G74" s="182">
        <v>87043</v>
      </c>
      <c r="H74" s="182">
        <v>87043</v>
      </c>
      <c r="I74" s="182">
        <v>87043</v>
      </c>
      <c r="J74" s="182">
        <v>87043</v>
      </c>
      <c r="K74">
        <v>87043</v>
      </c>
      <c r="L74">
        <v>87042</v>
      </c>
      <c r="M74">
        <v>87043</v>
      </c>
      <c r="N74">
        <v>87043</v>
      </c>
      <c r="O74">
        <v>87043</v>
      </c>
      <c r="P74">
        <v>87043</v>
      </c>
    </row>
    <row r="75" spans="1:17">
      <c r="A75" s="24" t="str">
        <f>_xll.EVPRO("Finance",$C75,"Inv_Type")</f>
        <v>Inv_Equity</v>
      </c>
      <c r="B75" s="24" t="str">
        <f t="shared" si="2"/>
        <v>Tanglewood Health and Rehabilitation</v>
      </c>
      <c r="C75" s="24" t="str">
        <f t="shared" si="3"/>
        <v>S09084 - Tanglewood Health and Rehabilitation</v>
      </c>
      <c r="D75" s="51" t="str">
        <f xml:space="preserve"> _xll.EPMOlapMemberO("[ENTITY].[H1].[S09084]","","S09084 - Tanglewood Health and Rehabilitation","","000")</f>
        <v>S09084 - Tanglewood Health and Rehabilitation</v>
      </c>
      <c r="E75" s="51" t="str">
        <f xml:space="preserve"> _xll.EPMOlapMemberO("[ACCOUNT].[H1].[PAY_PAT_DAYS]","","PAY_PAT_DAYS - Total Payor Patient Days","","000")</f>
        <v>PAY_PAT_DAYS - Total Payor Patient Days</v>
      </c>
      <c r="F75" s="182">
        <v>1309</v>
      </c>
      <c r="G75" s="182">
        <v>1248</v>
      </c>
      <c r="H75" s="182">
        <v>1454</v>
      </c>
      <c r="I75" s="182">
        <v>1385</v>
      </c>
      <c r="J75" s="182">
        <v>1333</v>
      </c>
      <c r="K75">
        <v>1442</v>
      </c>
      <c r="L75">
        <v>1321</v>
      </c>
      <c r="M75">
        <v>1514</v>
      </c>
      <c r="N75">
        <v>1432</v>
      </c>
      <c r="O75">
        <v>1450</v>
      </c>
      <c r="P75">
        <v>1371</v>
      </c>
      <c r="Q75">
        <v>1409</v>
      </c>
    </row>
    <row r="76" spans="1:17">
      <c r="A76" s="24" t="str">
        <f>_xll.EVPRO("Finance",$C76,"Inv_Type")</f>
        <v>Inv_Equity</v>
      </c>
      <c r="B76" s="24" t="str">
        <f t="shared" si="2"/>
        <v>Tanglewood Health and Rehabilitation</v>
      </c>
      <c r="C76" s="24" t="str">
        <f t="shared" si="3"/>
        <v>S09084 - Tanglewood Health and Rehabilitation</v>
      </c>
      <c r="D76" s="51"/>
      <c r="E76" s="2" t="str">
        <f xml:space="preserve"> _xll.EPMOlapMemberO("[ACCOUNT].[H1].[A_BEDS_TOTAL]","","A_BEDS_TOTAL - Total Available Beds","","000")</f>
        <v>A_BEDS_TOTAL - Total Available Beds</v>
      </c>
      <c r="F76" s="182">
        <v>54</v>
      </c>
      <c r="G76" s="182">
        <v>54</v>
      </c>
      <c r="H76" s="182">
        <v>54</v>
      </c>
      <c r="I76" s="182">
        <v>54</v>
      </c>
      <c r="J76" s="182">
        <v>54</v>
      </c>
      <c r="K76">
        <v>54</v>
      </c>
      <c r="L76">
        <v>54</v>
      </c>
      <c r="M76">
        <v>54</v>
      </c>
      <c r="N76">
        <v>54</v>
      </c>
      <c r="O76">
        <v>54</v>
      </c>
      <c r="P76">
        <v>54</v>
      </c>
      <c r="Q76">
        <v>54</v>
      </c>
    </row>
    <row r="77" spans="1:17">
      <c r="A77" s="24" t="str">
        <f>_xll.EVPRO("Finance",$C77,"Inv_Type")</f>
        <v>Inv_Equity</v>
      </c>
      <c r="B77" s="24" t="str">
        <f t="shared" si="2"/>
        <v>Tanglewood Health and Rehabilitation</v>
      </c>
      <c r="C77" s="24" t="str">
        <f t="shared" si="3"/>
        <v>S09084 - Tanglewood Health and Rehabilitation</v>
      </c>
      <c r="D77" s="51"/>
      <c r="E77" s="10" t="str">
        <f xml:space="preserve"> _xll.EPMOlapMemberO("[ACCOUNT].[H1].[T_REVENUES]","","T_REVENUES - Total Tenant Revenues","","000")</f>
        <v>T_REVENUES - Total Tenant Revenues</v>
      </c>
      <c r="F77" s="182">
        <v>309801</v>
      </c>
      <c r="G77" s="182">
        <v>352528</v>
      </c>
      <c r="H77" s="182">
        <v>378780</v>
      </c>
      <c r="I77" s="182">
        <v>358291</v>
      </c>
      <c r="J77" s="182">
        <v>298549</v>
      </c>
      <c r="K77">
        <v>375048</v>
      </c>
      <c r="L77">
        <v>363620</v>
      </c>
      <c r="M77">
        <v>376029</v>
      </c>
      <c r="N77">
        <v>333752</v>
      </c>
      <c r="O77">
        <v>353795</v>
      </c>
      <c r="P77">
        <v>331737</v>
      </c>
      <c r="Q77">
        <v>466277</v>
      </c>
    </row>
    <row r="78" spans="1:17">
      <c r="A78" s="24" t="str">
        <f>_xll.EVPRO("Finance",$C78,"Inv_Type")</f>
        <v>Inv_Equity</v>
      </c>
      <c r="B78" s="24" t="str">
        <f t="shared" si="2"/>
        <v>Tanglewood Health and Rehabilitation</v>
      </c>
      <c r="C78" s="24" t="str">
        <f t="shared" si="3"/>
        <v>S09084 - Tanglewood Health and Rehabilitation</v>
      </c>
      <c r="D78" s="51"/>
      <c r="E78" s="10" t="str">
        <f xml:space="preserve"> _xll.EPMOlapMemberO("[ACCOUNT].[H1].[T_OPEX]","","T_OPEX - Tenant Operating Expenses","","000")</f>
        <v>T_OPEX - Tenant Operating Expenses</v>
      </c>
      <c r="F78" s="182">
        <v>320201.92</v>
      </c>
      <c r="G78" s="182">
        <v>333434</v>
      </c>
      <c r="H78" s="182">
        <v>272683</v>
      </c>
      <c r="I78" s="182">
        <v>297500</v>
      </c>
      <c r="J78" s="182">
        <v>253495</v>
      </c>
      <c r="K78">
        <v>288179</v>
      </c>
      <c r="L78">
        <v>321683</v>
      </c>
      <c r="M78">
        <v>363854</v>
      </c>
      <c r="N78">
        <v>300312</v>
      </c>
      <c r="O78">
        <v>334761</v>
      </c>
      <c r="P78">
        <v>308532</v>
      </c>
      <c r="Q78">
        <v>375009</v>
      </c>
    </row>
    <row r="79" spans="1:17">
      <c r="A79" s="24" t="str">
        <f>_xll.EVPRO("Finance",$C79,"Inv_Type")</f>
        <v>Inv_Equity</v>
      </c>
      <c r="B79" s="24" t="str">
        <f t="shared" si="2"/>
        <v>Tanglewood Health and Rehabilitation</v>
      </c>
      <c r="C79" s="24" t="str">
        <f t="shared" si="3"/>
        <v>S09084 - Tanglewood Health and Rehabilitation</v>
      </c>
      <c r="D79" s="51"/>
      <c r="E79" s="2" t="str">
        <f xml:space="preserve"> _xll.EPMOlapMemberO("[ACCOUNT].[H1].[T_NON_OP_EXP]","","T_NON_OP_EXP - Tenant Non-Operating Expense","","000")</f>
        <v>T_NON_OP_EXP - Tenant Non-Operating Expense</v>
      </c>
      <c r="F79" s="182">
        <v>8340.08</v>
      </c>
      <c r="G79" s="182">
        <v>6243</v>
      </c>
      <c r="H79" s="182">
        <v>6209</v>
      </c>
      <c r="I79" s="182">
        <v>6385</v>
      </c>
      <c r="J79" s="182">
        <v>107428</v>
      </c>
      <c r="K79">
        <v>23015</v>
      </c>
      <c r="L79">
        <v>6660</v>
      </c>
      <c r="M79">
        <v>5340.84</v>
      </c>
      <c r="N79">
        <v>6773</v>
      </c>
      <c r="O79">
        <v>5912</v>
      </c>
      <c r="P79">
        <v>663</v>
      </c>
      <c r="Q79">
        <v>3120</v>
      </c>
    </row>
    <row r="80" spans="1:17">
      <c r="A80" s="24" t="str">
        <f>_xll.EVPRO("Finance",$C80,"Inv_Type")</f>
        <v>Inv_Equity</v>
      </c>
      <c r="B80" s="24" t="str">
        <f t="shared" si="2"/>
        <v>Tanglewood Health and Rehabilitation</v>
      </c>
      <c r="C80" s="24" t="str">
        <f t="shared" si="3"/>
        <v>S09084 - Tanglewood Health and Rehabilitation</v>
      </c>
      <c r="D80" s="51"/>
      <c r="E80" s="11" t="str">
        <f xml:space="preserve"> _xll.EPMOlapMemberO("[ACCOUNT].[H1].[T_BAD_DEBT]","","T_BAD_DEBT - Tenant Bad Debt Expense","","000")</f>
        <v>T_BAD_DEBT - Tenant Bad Debt Expense</v>
      </c>
      <c r="F80" s="182">
        <v>6136</v>
      </c>
      <c r="G80" s="182">
        <v>9896</v>
      </c>
      <c r="H80" s="182">
        <v>7555</v>
      </c>
      <c r="I80" s="182">
        <v>7143</v>
      </c>
      <c r="J80" s="182">
        <v>106875</v>
      </c>
      <c r="K80">
        <v>7143</v>
      </c>
      <c r="L80">
        <v>32138</v>
      </c>
      <c r="M80">
        <v>47611</v>
      </c>
      <c r="N80">
        <v>6629</v>
      </c>
      <c r="O80">
        <v>7059</v>
      </c>
      <c r="P80">
        <v>31720</v>
      </c>
      <c r="Q80">
        <v>38822</v>
      </c>
    </row>
    <row r="81" spans="1:17">
      <c r="A81" s="24" t="str">
        <f>_xll.EVPRO("Finance",$C81,"Inv_Type")</f>
        <v>Inv_Equity</v>
      </c>
      <c r="B81" s="24" t="str">
        <f t="shared" si="2"/>
        <v>Tanglewood Health and Rehabilitation</v>
      </c>
      <c r="C81" s="24" t="str">
        <f t="shared" si="3"/>
        <v>S09084 - Tanglewood Health and Rehabilitation</v>
      </c>
      <c r="D81" s="51"/>
      <c r="E81" s="3" t="str">
        <f xml:space="preserve"> _xll.EPMOlapMemberO("[ACCOUNT].[H1].[T_EBITDARM]","","T_EBITDARM - EBITDARM","","000")</f>
        <v>T_EBITDARM - EBITDARM</v>
      </c>
      <c r="F81" s="182">
        <v>-10400.92</v>
      </c>
      <c r="G81" s="182">
        <v>19094</v>
      </c>
      <c r="H81" s="182">
        <v>106097</v>
      </c>
      <c r="I81" s="182">
        <v>60791</v>
      </c>
      <c r="J81" s="182">
        <v>45054</v>
      </c>
      <c r="K81">
        <v>86869</v>
      </c>
      <c r="L81">
        <v>41937</v>
      </c>
      <c r="M81">
        <v>12175</v>
      </c>
      <c r="N81">
        <v>33440</v>
      </c>
      <c r="O81">
        <v>19034</v>
      </c>
      <c r="P81">
        <v>23205</v>
      </c>
      <c r="Q81">
        <v>91268</v>
      </c>
    </row>
    <row r="82" spans="1:17">
      <c r="A82" s="24" t="str">
        <f>_xll.EVPRO("Finance",$C82,"Inv_Type")</f>
        <v>Inv_Equity</v>
      </c>
      <c r="B82" s="24" t="str">
        <f t="shared" si="2"/>
        <v>Tanglewood Health and Rehabilitation</v>
      </c>
      <c r="C82" s="24" t="str">
        <f t="shared" si="3"/>
        <v>S09084 - Tanglewood Health and Rehabilitation</v>
      </c>
      <c r="D82" s="51"/>
      <c r="E82" s="3" t="str">
        <f xml:space="preserve"> _xll.EPMOlapMemberO("[ACCOUNT].[H1].[T_MGMT_FEE]","","T_MGMT_FEE - Tenant Management Fee - Actual","","000")</f>
        <v>T_MGMT_FEE - Tenant Management Fee - Actual</v>
      </c>
      <c r="F82" s="182">
        <v>15340</v>
      </c>
      <c r="G82" s="182">
        <v>15325</v>
      </c>
      <c r="H82" s="182">
        <v>18888</v>
      </c>
      <c r="I82" s="182">
        <v>17858</v>
      </c>
      <c r="J82" s="182">
        <v>17188</v>
      </c>
      <c r="K82">
        <v>17857</v>
      </c>
      <c r="L82">
        <v>16810</v>
      </c>
      <c r="M82">
        <v>18752</v>
      </c>
      <c r="N82">
        <v>16573</v>
      </c>
      <c r="O82">
        <v>17649</v>
      </c>
      <c r="P82">
        <v>16800</v>
      </c>
      <c r="Q82">
        <v>19581</v>
      </c>
    </row>
    <row r="83" spans="1:17">
      <c r="A83" s="24" t="str">
        <f>_xll.EVPRO("Finance",$C83,"Inv_Type")</f>
        <v>Inv_Equity</v>
      </c>
      <c r="B83" s="24" t="str">
        <f t="shared" si="2"/>
        <v>Tanglewood Health and Rehabilitation</v>
      </c>
      <c r="C83" s="24" t="str">
        <f t="shared" si="3"/>
        <v>S09084 - Tanglewood Health and Rehabilitation</v>
      </c>
      <c r="D83" s="51"/>
      <c r="E83" s="2" t="str">
        <f xml:space="preserve"> _xll.EPMOlapMemberO("[ACCOUNT].[H1].[T_EBITDAR]","","T_EBITDAR - EBITDAR","","000")</f>
        <v>T_EBITDAR - EBITDAR</v>
      </c>
      <c r="F83" s="182">
        <v>-25740.92</v>
      </c>
      <c r="G83" s="182">
        <v>3769</v>
      </c>
      <c r="H83" s="182">
        <v>87209</v>
      </c>
      <c r="I83" s="182">
        <v>42933</v>
      </c>
      <c r="J83" s="182">
        <v>27866</v>
      </c>
      <c r="K83">
        <v>69012</v>
      </c>
      <c r="L83">
        <v>25127</v>
      </c>
      <c r="M83">
        <v>-6577</v>
      </c>
      <c r="N83">
        <v>16867</v>
      </c>
      <c r="O83">
        <v>1385</v>
      </c>
      <c r="P83">
        <v>6405</v>
      </c>
      <c r="Q83">
        <v>71687</v>
      </c>
    </row>
    <row r="84" spans="1:17">
      <c r="A84" s="24" t="str">
        <f>_xll.EVPRO("Finance",$C84,"Inv_Type")</f>
        <v>Inv_Equity</v>
      </c>
      <c r="B84" s="24" t="str">
        <f t="shared" si="2"/>
        <v>Tanglewood Health and Rehabilitation</v>
      </c>
      <c r="C84" s="24" t="str">
        <f t="shared" si="3"/>
        <v>S09084 - Tanglewood Health and Rehabilitation</v>
      </c>
      <c r="D84" s="51"/>
      <c r="E84" s="2" t="str">
        <f xml:space="preserve"> _xll.EPMOlapMemberO("[ACCOUNT].[H1].[T_RENT_EXP]","","T_RENT_EXP - Tenant Rent Expense","","000")</f>
        <v>T_RENT_EXP - Tenant Rent Expense</v>
      </c>
      <c r="F84" s="182">
        <v>28379</v>
      </c>
      <c r="G84" s="182">
        <v>29158</v>
      </c>
      <c r="H84" s="182">
        <v>29158</v>
      </c>
      <c r="I84" s="182">
        <v>29158</v>
      </c>
      <c r="J84" s="182">
        <v>29158</v>
      </c>
      <c r="K84">
        <v>29158</v>
      </c>
      <c r="L84">
        <v>29158</v>
      </c>
      <c r="M84">
        <v>29158</v>
      </c>
      <c r="N84">
        <v>29158</v>
      </c>
      <c r="O84">
        <v>29158</v>
      </c>
      <c r="P84">
        <v>29157</v>
      </c>
      <c r="Q84">
        <v>31617</v>
      </c>
    </row>
    <row r="85" spans="1:17">
      <c r="A85" s="24" t="str">
        <f>_xll.EVPRO("Finance",$C85,"Inv_Type")</f>
        <v>Inv_Equity</v>
      </c>
      <c r="B85" s="24" t="str">
        <f t="shared" si="2"/>
        <v>Smoky Hill Health and Rehbilitation</v>
      </c>
      <c r="C85" s="24" t="str">
        <f t="shared" si="3"/>
        <v>S09085 - Smoky Hill Health and Rehbilitation</v>
      </c>
      <c r="D85" s="51" t="str">
        <f xml:space="preserve"> _xll.EPMOlapMemberO("[ENTITY].[H1].[S09085]","","S09085 - Smoky Hill Health and Rehbilitation","","000")</f>
        <v>S09085 - Smoky Hill Health and Rehbilitation</v>
      </c>
      <c r="E85" s="51" t="str">
        <f xml:space="preserve"> _xll.EPMOlapMemberO("[ACCOUNT].[H1].[PAY_PAT_DAYS]","","PAY_PAT_DAYS - Total Payor Patient Days","","000")</f>
        <v>PAY_PAT_DAYS - Total Payor Patient Days</v>
      </c>
      <c r="F85" s="182">
        <v>1834</v>
      </c>
      <c r="G85" s="182">
        <v>1793</v>
      </c>
      <c r="H85" s="182">
        <v>1869</v>
      </c>
      <c r="I85" s="182">
        <v>1859</v>
      </c>
      <c r="J85" s="182">
        <v>1902</v>
      </c>
      <c r="K85">
        <v>1945</v>
      </c>
      <c r="L85">
        <v>1727</v>
      </c>
      <c r="M85">
        <v>1736</v>
      </c>
      <c r="N85">
        <v>1938</v>
      </c>
      <c r="O85">
        <v>1967</v>
      </c>
      <c r="P85">
        <v>1802</v>
      </c>
      <c r="Q85">
        <v>1970</v>
      </c>
    </row>
    <row r="86" spans="1:17">
      <c r="A86" s="24" t="str">
        <f>_xll.EVPRO("Finance",$C86,"Inv_Type")</f>
        <v>Inv_Equity</v>
      </c>
      <c r="B86" s="24" t="str">
        <f t="shared" si="2"/>
        <v>Smoky Hill Health and Rehbilitation</v>
      </c>
      <c r="C86" s="24" t="str">
        <f t="shared" si="3"/>
        <v>S09085 - Smoky Hill Health and Rehbilitation</v>
      </c>
      <c r="D86" s="51"/>
      <c r="E86" s="2" t="str">
        <f xml:space="preserve"> _xll.EPMOlapMemberO("[ACCOUNT].[H1].[A_BEDS_TOTAL]","","A_BEDS_TOTAL - Total Available Beds","","000")</f>
        <v>A_BEDS_TOTAL - Total Available Beds</v>
      </c>
      <c r="F86" s="182">
        <v>90</v>
      </c>
      <c r="G86" s="182">
        <v>90</v>
      </c>
      <c r="H86" s="182">
        <v>90</v>
      </c>
      <c r="I86" s="182">
        <v>90</v>
      </c>
      <c r="J86" s="182">
        <v>90</v>
      </c>
      <c r="K86">
        <v>90</v>
      </c>
      <c r="L86">
        <v>90</v>
      </c>
      <c r="M86">
        <v>90</v>
      </c>
      <c r="N86">
        <v>90</v>
      </c>
      <c r="O86">
        <v>90</v>
      </c>
      <c r="P86">
        <v>90</v>
      </c>
      <c r="Q86">
        <v>90</v>
      </c>
    </row>
    <row r="87" spans="1:17">
      <c r="A87" s="24" t="str">
        <f>_xll.EVPRO("Finance",$C87,"Inv_Type")</f>
        <v>Inv_Equity</v>
      </c>
      <c r="B87" s="24" t="str">
        <f t="shared" si="2"/>
        <v>Smoky Hill Health and Rehbilitation</v>
      </c>
      <c r="C87" s="24" t="str">
        <f t="shared" si="3"/>
        <v>S09085 - Smoky Hill Health and Rehbilitation</v>
      </c>
      <c r="D87" s="51"/>
      <c r="E87" s="10" t="str">
        <f xml:space="preserve"> _xll.EPMOlapMemberO("[ACCOUNT].[H1].[T_REVENUES]","","T_REVENUES - Total Tenant Revenues","","000")</f>
        <v>T_REVENUES - Total Tenant Revenues</v>
      </c>
      <c r="F87" s="182">
        <v>423441</v>
      </c>
      <c r="G87" s="182">
        <v>499954</v>
      </c>
      <c r="H87" s="182">
        <v>469995</v>
      </c>
      <c r="I87" s="182">
        <v>449396</v>
      </c>
      <c r="J87" s="182">
        <v>444517</v>
      </c>
      <c r="K87">
        <v>474910</v>
      </c>
      <c r="L87">
        <v>439829</v>
      </c>
      <c r="M87">
        <v>460413</v>
      </c>
      <c r="N87">
        <v>516195</v>
      </c>
      <c r="O87">
        <v>539893</v>
      </c>
      <c r="P87">
        <v>487234</v>
      </c>
      <c r="Q87">
        <v>704732</v>
      </c>
    </row>
    <row r="88" spans="1:17">
      <c r="A88" s="24" t="str">
        <f>_xll.EVPRO("Finance",$C88,"Inv_Type")</f>
        <v>Inv_Equity</v>
      </c>
      <c r="B88" s="24" t="str">
        <f t="shared" si="2"/>
        <v>Smoky Hill Health and Rehbilitation</v>
      </c>
      <c r="C88" s="24" t="str">
        <f t="shared" si="3"/>
        <v>S09085 - Smoky Hill Health and Rehbilitation</v>
      </c>
      <c r="D88" s="51"/>
      <c r="E88" s="10" t="str">
        <f xml:space="preserve"> _xll.EPMOlapMemberO("[ACCOUNT].[H1].[T_OPEX]","","T_OPEX - Tenant Operating Expenses","","000")</f>
        <v>T_OPEX - Tenant Operating Expenses</v>
      </c>
      <c r="F88" s="182">
        <v>401652</v>
      </c>
      <c r="G88" s="182">
        <v>397674</v>
      </c>
      <c r="H88" s="182">
        <v>374835</v>
      </c>
      <c r="I88" s="182">
        <v>363096</v>
      </c>
      <c r="J88" s="182">
        <v>316725</v>
      </c>
      <c r="K88">
        <v>382293</v>
      </c>
      <c r="L88">
        <v>359703</v>
      </c>
      <c r="M88">
        <v>400851</v>
      </c>
      <c r="N88">
        <v>430116</v>
      </c>
      <c r="O88">
        <v>414959</v>
      </c>
      <c r="P88">
        <v>412752</v>
      </c>
      <c r="Q88">
        <v>437112</v>
      </c>
    </row>
    <row r="89" spans="1:17">
      <c r="A89" s="24" t="str">
        <f>_xll.EVPRO("Finance",$C89,"Inv_Type")</f>
        <v>Inv_Equity</v>
      </c>
      <c r="B89" s="24" t="str">
        <f t="shared" si="2"/>
        <v>Smoky Hill Health and Rehbilitation</v>
      </c>
      <c r="C89" s="24" t="str">
        <f t="shared" si="3"/>
        <v>S09085 - Smoky Hill Health and Rehbilitation</v>
      </c>
      <c r="D89" s="51"/>
      <c r="E89" s="2" t="str">
        <f xml:space="preserve"> _xll.EPMOlapMemberO("[ACCOUNT].[H1].[T_NON_OP_EXP]","","T_NON_OP_EXP - Tenant Non-Operating Expense","","000")</f>
        <v>T_NON_OP_EXP - Tenant Non-Operating Expense</v>
      </c>
      <c r="F89" s="182">
        <v>16197</v>
      </c>
      <c r="G89" s="182">
        <v>27513</v>
      </c>
      <c r="H89" s="182">
        <v>22589</v>
      </c>
      <c r="I89" s="182">
        <v>22189</v>
      </c>
      <c r="J89" s="182">
        <v>94752</v>
      </c>
      <c r="K89">
        <v>15575</v>
      </c>
      <c r="L89">
        <v>45929</v>
      </c>
      <c r="M89">
        <v>90437</v>
      </c>
      <c r="N89">
        <v>62175</v>
      </c>
      <c r="O89">
        <v>60396</v>
      </c>
      <c r="P89">
        <v>35553</v>
      </c>
      <c r="Q89">
        <v>58434</v>
      </c>
    </row>
    <row r="90" spans="1:17">
      <c r="A90" s="24" t="str">
        <f>_xll.EVPRO("Finance",$C90,"Inv_Type")</f>
        <v>Inv_Equity</v>
      </c>
      <c r="B90" s="24" t="str">
        <f t="shared" si="2"/>
        <v>Smoky Hill Health and Rehbilitation</v>
      </c>
      <c r="C90" s="24" t="str">
        <f t="shared" si="3"/>
        <v>S09085 - Smoky Hill Health and Rehbilitation</v>
      </c>
      <c r="D90" s="51"/>
      <c r="E90" s="11" t="str">
        <f xml:space="preserve"> _xll.EPMOlapMemberO("[ACCOUNT].[H1].[T_BAD_DEBT]","","T_BAD_DEBT - Tenant Bad Debt Expense","","000")</f>
        <v>T_BAD_DEBT - Tenant Bad Debt Expense</v>
      </c>
      <c r="F90" s="182">
        <v>8262</v>
      </c>
      <c r="G90" s="182">
        <v>12153</v>
      </c>
      <c r="H90" s="182">
        <v>17196</v>
      </c>
      <c r="I90" s="182">
        <v>8658</v>
      </c>
      <c r="J90" s="182">
        <v>17048</v>
      </c>
      <c r="K90">
        <v>17101</v>
      </c>
      <c r="L90">
        <v>7987</v>
      </c>
      <c r="M90">
        <v>20319</v>
      </c>
      <c r="N90">
        <v>9193</v>
      </c>
      <c r="O90">
        <v>14051</v>
      </c>
      <c r="P90">
        <v>11127</v>
      </c>
      <c r="Q90">
        <v>21422</v>
      </c>
    </row>
    <row r="91" spans="1:17">
      <c r="A91" s="24" t="str">
        <f>_xll.EVPRO("Finance",$C91,"Inv_Type")</f>
        <v>Inv_Equity</v>
      </c>
      <c r="B91" s="24" t="str">
        <f t="shared" si="2"/>
        <v>Smoky Hill Health and Rehbilitation</v>
      </c>
      <c r="C91" s="24" t="str">
        <f t="shared" si="3"/>
        <v>S09085 - Smoky Hill Health and Rehbilitation</v>
      </c>
      <c r="D91" s="51"/>
      <c r="E91" s="3" t="str">
        <f xml:space="preserve"> _xll.EPMOlapMemberO("[ACCOUNT].[H1].[T_EBITDARM]","","T_EBITDARM - EBITDARM","","000")</f>
        <v>T_EBITDARM - EBITDARM</v>
      </c>
      <c r="F91" s="182">
        <v>21789</v>
      </c>
      <c r="G91" s="182">
        <v>102280</v>
      </c>
      <c r="H91" s="182">
        <v>95160</v>
      </c>
      <c r="I91" s="182">
        <v>86300</v>
      </c>
      <c r="J91" s="182">
        <v>127792</v>
      </c>
      <c r="K91">
        <v>92617</v>
      </c>
      <c r="L91">
        <v>80126</v>
      </c>
      <c r="M91">
        <v>59562</v>
      </c>
      <c r="N91">
        <v>86079</v>
      </c>
      <c r="O91">
        <v>124934</v>
      </c>
      <c r="P91">
        <v>74482</v>
      </c>
      <c r="Q91">
        <v>267620</v>
      </c>
    </row>
    <row r="92" spans="1:17">
      <c r="A92" s="24" t="str">
        <f>_xll.EVPRO("Finance",$C92,"Inv_Type")</f>
        <v>Inv_Equity</v>
      </c>
      <c r="B92" s="24" t="str">
        <f t="shared" si="2"/>
        <v>Smoky Hill Health and Rehbilitation</v>
      </c>
      <c r="C92" s="24" t="str">
        <f t="shared" si="3"/>
        <v>S09085 - Smoky Hill Health and Rehbilitation</v>
      </c>
      <c r="D92" s="51"/>
      <c r="E92" s="3" t="str">
        <f xml:space="preserve"> _xll.EPMOlapMemberO("[ACCOUNT].[H1].[T_MGMT_FEE]","","T_MGMT_FEE - Tenant Management Fee - Actual","","000")</f>
        <v>T_MGMT_FEE - Tenant Management Fee - Actual</v>
      </c>
      <c r="F92" s="182">
        <v>20654</v>
      </c>
      <c r="G92" s="182">
        <v>20157</v>
      </c>
      <c r="H92" s="182">
        <v>22670</v>
      </c>
      <c r="I92" s="182">
        <v>21644</v>
      </c>
      <c r="J92" s="182">
        <v>23305</v>
      </c>
      <c r="K92">
        <v>23238</v>
      </c>
      <c r="L92">
        <v>19968</v>
      </c>
      <c r="M92">
        <v>18777</v>
      </c>
      <c r="N92">
        <v>22981</v>
      </c>
      <c r="O92">
        <v>24406</v>
      </c>
      <c r="P92">
        <v>22543</v>
      </c>
      <c r="Q92">
        <v>32793</v>
      </c>
    </row>
    <row r="93" spans="1:17">
      <c r="A93" s="24" t="str">
        <f>_xll.EVPRO("Finance",$C93,"Inv_Type")</f>
        <v>Inv_Equity</v>
      </c>
      <c r="B93" s="24" t="str">
        <f t="shared" si="2"/>
        <v>Smoky Hill Health and Rehbilitation</v>
      </c>
      <c r="C93" s="24" t="str">
        <f t="shared" si="3"/>
        <v>S09085 - Smoky Hill Health and Rehbilitation</v>
      </c>
      <c r="D93" s="51"/>
      <c r="E93" s="2" t="str">
        <f xml:space="preserve"> _xll.EPMOlapMemberO("[ACCOUNT].[H1].[T_EBITDAR]","","T_EBITDAR - EBITDAR","","000")</f>
        <v>T_EBITDAR - EBITDAR</v>
      </c>
      <c r="F93" s="182">
        <v>1135</v>
      </c>
      <c r="G93" s="182">
        <v>82123</v>
      </c>
      <c r="H93" s="182">
        <v>72490</v>
      </c>
      <c r="I93" s="182">
        <v>64656</v>
      </c>
      <c r="J93" s="182">
        <v>104487</v>
      </c>
      <c r="K93">
        <v>69379</v>
      </c>
      <c r="L93">
        <v>60158</v>
      </c>
      <c r="M93">
        <v>40785</v>
      </c>
      <c r="N93">
        <v>63098</v>
      </c>
      <c r="O93">
        <v>100528</v>
      </c>
      <c r="P93">
        <v>51939</v>
      </c>
      <c r="Q93">
        <v>234827</v>
      </c>
    </row>
    <row r="94" spans="1:17">
      <c r="A94" s="24" t="str">
        <f>_xll.EVPRO("Finance",$C94,"Inv_Type")</f>
        <v>Inv_Equity</v>
      </c>
      <c r="B94" s="24" t="str">
        <f t="shared" si="2"/>
        <v>Smoky Hill Health and Rehbilitation</v>
      </c>
      <c r="C94" s="24" t="str">
        <f t="shared" si="3"/>
        <v>S09085 - Smoky Hill Health and Rehbilitation</v>
      </c>
      <c r="D94" s="51"/>
      <c r="E94" s="2" t="str">
        <f xml:space="preserve"> _xll.EPMOlapMemberO("[ACCOUNT].[H1].[T_RENT_EXP]","","T_RENT_EXP - Tenant Rent Expense","","000")</f>
        <v>T_RENT_EXP - Tenant Rent Expense</v>
      </c>
      <c r="F94" s="182">
        <v>29629</v>
      </c>
      <c r="G94" s="182">
        <v>30433</v>
      </c>
      <c r="H94" s="182">
        <v>30433</v>
      </c>
      <c r="I94" s="182">
        <v>30433</v>
      </c>
      <c r="J94" s="182">
        <v>30433</v>
      </c>
      <c r="K94">
        <v>30433</v>
      </c>
      <c r="L94">
        <v>30433</v>
      </c>
      <c r="M94">
        <v>30433</v>
      </c>
      <c r="N94">
        <v>30433</v>
      </c>
      <c r="O94">
        <v>30433</v>
      </c>
      <c r="P94">
        <v>30433</v>
      </c>
      <c r="Q94">
        <v>33092</v>
      </c>
    </row>
    <row r="95" spans="1:17">
      <c r="A95" s="24" t="str">
        <f>_xll.EVPRO("Finance",$C95,"Inv_Type")</f>
        <v>Inv_Equity</v>
      </c>
      <c r="B95" s="24" t="str">
        <f t="shared" si="2"/>
        <v>Arbor Court Retirement Community at Alvamar</v>
      </c>
      <c r="C95" s="24" t="str">
        <f t="shared" si="3"/>
        <v>S09310 - Arbor Court Retirement Community at Alvamar</v>
      </c>
      <c r="D95" s="51" t="str">
        <f xml:space="preserve"> _xll.EPMOlapMemberO("[ENTITY].[H1].[S09310]","","S09310 - Arbor Court Retirement Community at Alvamar","","000")</f>
        <v>S09310 - Arbor Court Retirement Community at Alvamar</v>
      </c>
      <c r="E95" s="51" t="str">
        <f xml:space="preserve"> _xll.EPMOlapMemberO("[ACCOUNT].[H1].[PAY_PAT_DAYS]","","PAY_PAT_DAYS - Total Payor Patient Days","","000")</f>
        <v>PAY_PAT_DAYS - Total Payor Patient Days</v>
      </c>
      <c r="F95" s="182">
        <v>1786</v>
      </c>
      <c r="G95" s="182">
        <v>1710</v>
      </c>
      <c r="H95" s="182">
        <v>974</v>
      </c>
      <c r="I95" s="182">
        <v>1672</v>
      </c>
      <c r="J95" s="182">
        <v>1767</v>
      </c>
      <c r="K95">
        <v>1760</v>
      </c>
      <c r="L95">
        <v>1621</v>
      </c>
      <c r="M95">
        <v>1822</v>
      </c>
      <c r="N95">
        <v>1783</v>
      </c>
      <c r="O95">
        <v>1841</v>
      </c>
      <c r="P95">
        <v>1876</v>
      </c>
      <c r="Q95">
        <v>1969</v>
      </c>
    </row>
    <row r="96" spans="1:17">
      <c r="A96" s="24" t="str">
        <f>_xll.EVPRO("Finance",$C96,"Inv_Type")</f>
        <v>Inv_Equity</v>
      </c>
      <c r="B96" s="24" t="str">
        <f t="shared" si="2"/>
        <v>Arbor Court Retirement Community at Alvamar</v>
      </c>
      <c r="C96" s="24" t="str">
        <f t="shared" si="3"/>
        <v>S09310 - Arbor Court Retirement Community at Alvamar</v>
      </c>
      <c r="D96" s="51"/>
      <c r="E96" s="2" t="str">
        <f xml:space="preserve"> _xll.EPMOlapMemberO("[ACCOUNT].[H1].[A_BEDS_TOTAL]","","A_BEDS_TOTAL - Total Available Beds","","000")</f>
        <v>A_BEDS_TOTAL - Total Available Beds</v>
      </c>
      <c r="F96" s="182">
        <v>66</v>
      </c>
      <c r="G96" s="182">
        <v>66</v>
      </c>
      <c r="H96" s="182">
        <v>66</v>
      </c>
      <c r="I96" s="182">
        <v>66</v>
      </c>
      <c r="J96" s="182">
        <v>66</v>
      </c>
      <c r="K96">
        <v>66</v>
      </c>
      <c r="L96">
        <v>66</v>
      </c>
      <c r="M96">
        <v>66</v>
      </c>
      <c r="N96">
        <v>66</v>
      </c>
      <c r="O96">
        <v>66</v>
      </c>
      <c r="P96">
        <v>66</v>
      </c>
      <c r="Q96">
        <v>66</v>
      </c>
    </row>
    <row r="97" spans="1:17">
      <c r="A97" s="24" t="str">
        <f>_xll.EVPRO("Finance",$C97,"Inv_Type")</f>
        <v>Inv_Equity</v>
      </c>
      <c r="B97" s="24" t="str">
        <f t="shared" si="2"/>
        <v>Arbor Court Retirement Community at Alvamar</v>
      </c>
      <c r="C97" s="24" t="str">
        <f t="shared" si="3"/>
        <v>S09310 - Arbor Court Retirement Community at Alvamar</v>
      </c>
      <c r="D97" s="51"/>
      <c r="E97" s="10" t="str">
        <f xml:space="preserve"> _xll.EPMOlapMemberO("[ACCOUNT].[H1].[T_REVENUES]","","T_REVENUES - Total Tenant Revenues","","000")</f>
        <v>T_REVENUES - Total Tenant Revenues</v>
      </c>
      <c r="F97" s="182">
        <v>121662</v>
      </c>
      <c r="G97" s="182">
        <v>118040</v>
      </c>
      <c r="H97" s="182">
        <v>116278</v>
      </c>
      <c r="I97" s="182">
        <v>120895</v>
      </c>
      <c r="J97" s="182">
        <v>121618</v>
      </c>
      <c r="K97">
        <v>133857</v>
      </c>
      <c r="L97">
        <v>120533</v>
      </c>
      <c r="M97">
        <v>131098</v>
      </c>
      <c r="N97">
        <v>132590</v>
      </c>
      <c r="O97">
        <v>134168</v>
      </c>
      <c r="P97">
        <v>140051</v>
      </c>
      <c r="Q97">
        <v>143542</v>
      </c>
    </row>
    <row r="98" spans="1:17">
      <c r="A98" s="24" t="str">
        <f>_xll.EVPRO("Finance",$C98,"Inv_Type")</f>
        <v>Inv_Equity</v>
      </c>
      <c r="B98" s="24" t="str">
        <f t="shared" si="2"/>
        <v>Arbor Court Retirement Community at Alvamar</v>
      </c>
      <c r="C98" s="24" t="str">
        <f t="shared" si="3"/>
        <v>S09310 - Arbor Court Retirement Community at Alvamar</v>
      </c>
      <c r="D98" s="51"/>
      <c r="E98" s="10" t="str">
        <f xml:space="preserve"> _xll.EPMOlapMemberO("[ACCOUNT].[H1].[T_OPEX]","","T_OPEX - Tenant Operating Expenses","","000")</f>
        <v>T_OPEX - Tenant Operating Expenses</v>
      </c>
      <c r="F98" s="182">
        <v>76711</v>
      </c>
      <c r="G98" s="182">
        <v>76708</v>
      </c>
      <c r="H98" s="182">
        <v>73531</v>
      </c>
      <c r="I98" s="182">
        <v>71748</v>
      </c>
      <c r="J98" s="182">
        <v>75928</v>
      </c>
      <c r="K98">
        <v>75417</v>
      </c>
      <c r="L98">
        <v>63311</v>
      </c>
      <c r="M98">
        <v>77298</v>
      </c>
      <c r="N98">
        <v>72885</v>
      </c>
      <c r="O98">
        <v>74461</v>
      </c>
      <c r="P98">
        <v>74036</v>
      </c>
      <c r="Q98">
        <v>80117</v>
      </c>
    </row>
    <row r="99" spans="1:17">
      <c r="A99" s="24" t="str">
        <f>_xll.EVPRO("Finance",$C99,"Inv_Type")</f>
        <v>Inv_Equity</v>
      </c>
      <c r="B99" s="24" t="str">
        <f t="shared" si="2"/>
        <v>Arbor Court Retirement Community at Alvamar</v>
      </c>
      <c r="C99" s="24" t="str">
        <f t="shared" si="3"/>
        <v>S09310 - Arbor Court Retirement Community at Alvamar</v>
      </c>
      <c r="D99" s="51"/>
      <c r="E99" s="2" t="str">
        <f xml:space="preserve"> _xll.EPMOlapMemberO("[ACCOUNT].[H1].[T_NON_OP_EXP]","","T_NON_OP_EXP - Tenant Non-Operating Expense","","000")</f>
        <v>T_NON_OP_EXP - Tenant Non-Operating Expense</v>
      </c>
      <c r="F99" s="182">
        <v>756</v>
      </c>
      <c r="G99" s="182">
        <v>2165</v>
      </c>
      <c r="H99" s="182">
        <v>3126</v>
      </c>
      <c r="I99" s="182">
        <v>159</v>
      </c>
      <c r="J99" s="182">
        <v>617</v>
      </c>
      <c r="K99">
        <v>-2702</v>
      </c>
      <c r="L99">
        <v>115</v>
      </c>
      <c r="M99">
        <v>783</v>
      </c>
      <c r="N99">
        <v>3517</v>
      </c>
      <c r="O99">
        <v>-56</v>
      </c>
      <c r="P99">
        <v>-316</v>
      </c>
      <c r="Q99">
        <v>1438</v>
      </c>
    </row>
    <row r="100" spans="1:17">
      <c r="A100" s="24" t="str">
        <f>_xll.EVPRO("Finance",$C100,"Inv_Type")</f>
        <v>Inv_Equity</v>
      </c>
      <c r="B100" s="24" t="str">
        <f t="shared" si="2"/>
        <v>Arbor Court Retirement Community at Alvamar</v>
      </c>
      <c r="C100" s="24" t="str">
        <f t="shared" si="3"/>
        <v>S09310 - Arbor Court Retirement Community at Alvamar</v>
      </c>
      <c r="D100" s="51"/>
      <c r="E100" s="3" t="str">
        <f xml:space="preserve"> _xll.EPMOlapMemberO("[ACCOUNT].[H1].[T_EBITDARM]","","T_EBITDARM - EBITDARM","","000")</f>
        <v>T_EBITDARM - EBITDARM</v>
      </c>
      <c r="F100" s="182">
        <v>44951</v>
      </c>
      <c r="G100" s="182">
        <v>41332</v>
      </c>
      <c r="H100" s="182">
        <v>42747</v>
      </c>
      <c r="I100" s="182">
        <v>49147</v>
      </c>
      <c r="J100" s="182">
        <v>45690</v>
      </c>
      <c r="K100">
        <v>58440</v>
      </c>
      <c r="L100">
        <v>57222</v>
      </c>
      <c r="M100">
        <v>53800</v>
      </c>
      <c r="N100">
        <v>59705</v>
      </c>
      <c r="O100">
        <v>59707</v>
      </c>
      <c r="P100">
        <v>66015</v>
      </c>
      <c r="Q100">
        <v>63425</v>
      </c>
    </row>
    <row r="101" spans="1:17">
      <c r="A101" s="24" t="str">
        <f>_xll.EVPRO("Finance",$C101,"Inv_Type")</f>
        <v>Inv_Equity</v>
      </c>
      <c r="B101" s="24" t="str">
        <f t="shared" si="2"/>
        <v>Arbor Court Retirement Community at Alvamar</v>
      </c>
      <c r="C101" s="24" t="str">
        <f t="shared" si="3"/>
        <v>S09310 - Arbor Court Retirement Community at Alvamar</v>
      </c>
      <c r="D101" s="51"/>
      <c r="E101" s="3" t="str">
        <f xml:space="preserve"> _xll.EPMOlapMemberO("[ACCOUNT].[H1].[T_MGMT_FEE]","","T_MGMT_FEE - Tenant Management Fee - Actual","","000")</f>
        <v>T_MGMT_FEE - Tenant Management Fee - Actual</v>
      </c>
      <c r="F101" s="182">
        <v>6246</v>
      </c>
      <c r="G101" s="182">
        <v>5953</v>
      </c>
      <c r="H101" s="182">
        <v>5814</v>
      </c>
      <c r="I101" s="182">
        <v>6195</v>
      </c>
      <c r="J101" s="182">
        <v>6233</v>
      </c>
      <c r="K101">
        <v>7000</v>
      </c>
      <c r="L101">
        <v>6177</v>
      </c>
      <c r="M101">
        <v>6681</v>
      </c>
      <c r="N101">
        <v>6630</v>
      </c>
      <c r="O101">
        <v>6883</v>
      </c>
      <c r="P101">
        <v>7190</v>
      </c>
      <c r="Q101">
        <v>7277</v>
      </c>
    </row>
    <row r="102" spans="1:17">
      <c r="A102" s="24" t="str">
        <f>_xll.EVPRO("Finance",$C102,"Inv_Type")</f>
        <v>Inv_Equity</v>
      </c>
      <c r="B102" s="24" t="str">
        <f t="shared" si="2"/>
        <v>Arbor Court Retirement Community at Alvamar</v>
      </c>
      <c r="C102" s="24" t="str">
        <f t="shared" si="3"/>
        <v>S09310 - Arbor Court Retirement Community at Alvamar</v>
      </c>
      <c r="D102" s="51"/>
      <c r="E102" s="2" t="str">
        <f xml:space="preserve"> _xll.EPMOlapMemberO("[ACCOUNT].[H1].[T_EBITDAR]","","T_EBITDAR - EBITDAR","","000")</f>
        <v>T_EBITDAR - EBITDAR</v>
      </c>
      <c r="F102" s="182">
        <v>38705</v>
      </c>
      <c r="G102" s="182">
        <v>35379</v>
      </c>
      <c r="H102" s="182">
        <v>36933</v>
      </c>
      <c r="I102" s="182">
        <v>42952</v>
      </c>
      <c r="J102" s="182">
        <v>39457</v>
      </c>
      <c r="K102">
        <v>51440</v>
      </c>
      <c r="L102">
        <v>51045</v>
      </c>
      <c r="M102">
        <v>47119</v>
      </c>
      <c r="N102">
        <v>53075</v>
      </c>
      <c r="O102">
        <v>52824</v>
      </c>
      <c r="P102">
        <v>58825</v>
      </c>
      <c r="Q102">
        <v>56148</v>
      </c>
    </row>
    <row r="103" spans="1:17">
      <c r="A103" s="24" t="str">
        <f>_xll.EVPRO("Finance",$C103,"Inv_Type")</f>
        <v>Inv_Equity</v>
      </c>
      <c r="B103" s="24" t="str">
        <f t="shared" si="2"/>
        <v>Arbor Court Retirement Community at Alvamar</v>
      </c>
      <c r="C103" s="24" t="str">
        <f t="shared" si="3"/>
        <v>S09310 - Arbor Court Retirement Community at Alvamar</v>
      </c>
      <c r="D103" s="51"/>
      <c r="E103" s="2" t="str">
        <f xml:space="preserve"> _xll.EPMOlapMemberO("[ACCOUNT].[H1].[T_RENT_EXP]","","T_RENT_EXP - Tenant Rent Expense","","000")</f>
        <v>T_RENT_EXP - Tenant Rent Expense</v>
      </c>
      <c r="F103" s="182">
        <v>34444</v>
      </c>
      <c r="G103" s="182">
        <v>35344</v>
      </c>
      <c r="H103" s="182">
        <v>35344</v>
      </c>
      <c r="I103" s="182">
        <v>35344</v>
      </c>
      <c r="J103" s="182">
        <v>35344</v>
      </c>
      <c r="K103">
        <v>35344</v>
      </c>
      <c r="L103">
        <v>35344</v>
      </c>
      <c r="M103">
        <v>35344</v>
      </c>
      <c r="N103">
        <v>35344</v>
      </c>
      <c r="O103">
        <v>35344</v>
      </c>
      <c r="P103">
        <v>35344</v>
      </c>
      <c r="Q103">
        <v>38579</v>
      </c>
    </row>
    <row r="104" spans="1:17">
      <c r="A104" s="24" t="str">
        <f>_xll.EVPRO("Finance",$C104,"Inv_Type")</f>
        <v>Inv_Equity</v>
      </c>
      <c r="B104" s="24" t="str">
        <f t="shared" si="2"/>
        <v>Arbor Court Retirement Community at Salina</v>
      </c>
      <c r="C104" s="24" t="str">
        <f t="shared" si="3"/>
        <v>S09311 - Arbor Court Retirement Community at Salina</v>
      </c>
      <c r="D104" s="51" t="str">
        <f xml:space="preserve"> _xll.EPMOlapMemberO("[ENTITY].[H1].[S09311]","","S09311 - Arbor Court Retirement Community at Salina","","000")</f>
        <v>S09311 - Arbor Court Retirement Community at Salina</v>
      </c>
      <c r="E104" s="51" t="str">
        <f xml:space="preserve"> _xll.EPMOlapMemberO("[ACCOUNT].[H1].[PAY_PAT_DAYS]","","PAY_PAT_DAYS - Total Payor Patient Days","","000")</f>
        <v>PAY_PAT_DAYS - Total Payor Patient Days</v>
      </c>
      <c r="F104" s="182">
        <v>1193</v>
      </c>
      <c r="G104" s="182">
        <v>1200</v>
      </c>
      <c r="H104" s="182">
        <v>1240</v>
      </c>
      <c r="I104" s="182">
        <v>1200</v>
      </c>
      <c r="J104" s="182">
        <v>1209</v>
      </c>
      <c r="K104">
        <v>1209</v>
      </c>
      <c r="L104">
        <v>1092</v>
      </c>
      <c r="M104">
        <v>1240</v>
      </c>
      <c r="N104">
        <v>1140</v>
      </c>
      <c r="O104">
        <v>1271</v>
      </c>
      <c r="P104">
        <v>1260</v>
      </c>
      <c r="Q104">
        <v>1209</v>
      </c>
    </row>
    <row r="105" spans="1:17">
      <c r="A105" s="24" t="str">
        <f>_xll.EVPRO("Finance",$C105,"Inv_Type")</f>
        <v>Inv_Equity</v>
      </c>
      <c r="B105" s="24" t="str">
        <f t="shared" si="2"/>
        <v>Arbor Court Retirement Community at Salina</v>
      </c>
      <c r="C105" s="24" t="str">
        <f t="shared" si="3"/>
        <v>S09311 - Arbor Court Retirement Community at Salina</v>
      </c>
      <c r="D105" s="51"/>
      <c r="E105" s="2" t="str">
        <f xml:space="preserve"> _xll.EPMOlapMemberO("[ACCOUNT].[H1].[A_BEDS_TOTAL]","","A_BEDS_TOTAL - Total Available Beds","","000")</f>
        <v>A_BEDS_TOTAL - Total Available Beds</v>
      </c>
      <c r="F105" s="182">
        <v>57</v>
      </c>
      <c r="G105" s="182">
        <v>57</v>
      </c>
      <c r="H105" s="182">
        <v>57</v>
      </c>
      <c r="I105" s="182">
        <v>57</v>
      </c>
      <c r="J105" s="182">
        <v>57</v>
      </c>
      <c r="K105">
        <v>57</v>
      </c>
      <c r="L105">
        <v>57</v>
      </c>
      <c r="M105">
        <v>57</v>
      </c>
      <c r="N105">
        <v>57</v>
      </c>
      <c r="O105">
        <v>57</v>
      </c>
      <c r="P105">
        <v>57</v>
      </c>
      <c r="Q105">
        <v>57</v>
      </c>
    </row>
    <row r="106" spans="1:17">
      <c r="A106" s="24" t="str">
        <f>_xll.EVPRO("Finance",$C106,"Inv_Type")</f>
        <v>Inv_Equity</v>
      </c>
      <c r="B106" s="24" t="str">
        <f t="shared" si="2"/>
        <v>Arbor Court Retirement Community at Salina</v>
      </c>
      <c r="C106" s="24" t="str">
        <f t="shared" si="3"/>
        <v>S09311 - Arbor Court Retirement Community at Salina</v>
      </c>
      <c r="D106" s="51"/>
      <c r="E106" s="10" t="str">
        <f xml:space="preserve"> _xll.EPMOlapMemberO("[ACCOUNT].[H1].[T_REVENUES]","","T_REVENUES - Total Tenant Revenues","","000")</f>
        <v>T_REVENUES - Total Tenant Revenues</v>
      </c>
      <c r="F106" s="182">
        <v>71492</v>
      </c>
      <c r="G106" s="182">
        <v>76300</v>
      </c>
      <c r="H106" s="182">
        <v>76800</v>
      </c>
      <c r="I106" s="182">
        <v>76375</v>
      </c>
      <c r="J106" s="182">
        <v>74356</v>
      </c>
      <c r="K106">
        <v>74450</v>
      </c>
      <c r="L106">
        <v>74775</v>
      </c>
      <c r="M106">
        <v>78185</v>
      </c>
      <c r="N106">
        <v>74110</v>
      </c>
      <c r="O106">
        <v>80835</v>
      </c>
      <c r="P106">
        <v>81860</v>
      </c>
      <c r="Q106">
        <v>76335</v>
      </c>
    </row>
    <row r="107" spans="1:17">
      <c r="A107" s="24" t="str">
        <f>_xll.EVPRO("Finance",$C107,"Inv_Type")</f>
        <v>Inv_Equity</v>
      </c>
      <c r="B107" s="24" t="str">
        <f t="shared" si="2"/>
        <v>Arbor Court Retirement Community at Salina</v>
      </c>
      <c r="C107" s="24" t="str">
        <f t="shared" si="3"/>
        <v>S09311 - Arbor Court Retirement Community at Salina</v>
      </c>
      <c r="D107" s="51"/>
      <c r="E107" s="10" t="str">
        <f xml:space="preserve"> _xll.EPMOlapMemberO("[ACCOUNT].[H1].[T_OPEX]","","T_OPEX - Tenant Operating Expenses","","000")</f>
        <v>T_OPEX - Tenant Operating Expenses</v>
      </c>
      <c r="F107" s="182">
        <v>51892</v>
      </c>
      <c r="G107" s="182">
        <v>51135</v>
      </c>
      <c r="H107" s="182">
        <v>58407</v>
      </c>
      <c r="I107" s="182">
        <v>52706</v>
      </c>
      <c r="J107" s="182">
        <v>46699</v>
      </c>
      <c r="K107">
        <v>52238</v>
      </c>
      <c r="L107">
        <v>44052</v>
      </c>
      <c r="M107">
        <v>55145</v>
      </c>
      <c r="N107">
        <v>55379</v>
      </c>
      <c r="O107">
        <v>59198</v>
      </c>
      <c r="P107">
        <v>52143</v>
      </c>
      <c r="Q107">
        <v>53347</v>
      </c>
    </row>
    <row r="108" spans="1:17">
      <c r="A108" s="24" t="str">
        <f>_xll.EVPRO("Finance",$C108,"Inv_Type")</f>
        <v>Inv_Equity</v>
      </c>
      <c r="B108" s="24" t="str">
        <f t="shared" si="2"/>
        <v>Arbor Court Retirement Community at Salina</v>
      </c>
      <c r="C108" s="24" t="str">
        <f t="shared" si="3"/>
        <v>S09311 - Arbor Court Retirement Community at Salina</v>
      </c>
      <c r="D108" s="51"/>
      <c r="E108" s="2" t="str">
        <f xml:space="preserve"> _xll.EPMOlapMemberO("[ACCOUNT].[H1].[T_NON_OP_EXP]","","T_NON_OP_EXP - Tenant Non-Operating Expense","","000")</f>
        <v>T_NON_OP_EXP - Tenant Non-Operating Expense</v>
      </c>
      <c r="F108" s="182">
        <v>-56</v>
      </c>
      <c r="G108" s="182">
        <v>1480</v>
      </c>
      <c r="H108" s="182">
        <v>2949</v>
      </c>
      <c r="I108" s="182">
        <v>-152</v>
      </c>
      <c r="J108" s="182">
        <v>3580</v>
      </c>
      <c r="K108">
        <v>-1559</v>
      </c>
      <c r="L108">
        <v>1773</v>
      </c>
      <c r="M108">
        <v>849</v>
      </c>
      <c r="N108">
        <v>-3672</v>
      </c>
      <c r="O108">
        <v>-752</v>
      </c>
      <c r="P108">
        <v>209</v>
      </c>
      <c r="Q108">
        <v>2451</v>
      </c>
    </row>
    <row r="109" spans="1:17">
      <c r="A109" s="24" t="str">
        <f>_xll.EVPRO("Finance",$C109,"Inv_Type")</f>
        <v>Inv_Equity</v>
      </c>
      <c r="B109" s="24" t="str">
        <f t="shared" si="2"/>
        <v>Arbor Court Retirement Community at Salina</v>
      </c>
      <c r="C109" s="24" t="str">
        <f t="shared" si="3"/>
        <v>S09311 - Arbor Court Retirement Community at Salina</v>
      </c>
      <c r="D109" s="51"/>
      <c r="E109" s="11" t="str">
        <f xml:space="preserve"> _xll.EPMOlapMemberO("[ACCOUNT].[H1].[T_BAD_DEBT]","","T_BAD_DEBT - Tenant Bad Debt Expense","","000")</f>
        <v>T_BAD_DEBT - Tenant Bad Debt Expense</v>
      </c>
      <c r="F109" s="182"/>
      <c r="G109" s="182"/>
      <c r="H109" s="182">
        <v>6541</v>
      </c>
      <c r="I109" s="182"/>
      <c r="J109" s="182"/>
    </row>
    <row r="110" spans="1:17">
      <c r="A110" s="24" t="str">
        <f>_xll.EVPRO("Finance",$C110,"Inv_Type")</f>
        <v>Inv_Equity</v>
      </c>
      <c r="B110" s="24" t="str">
        <f t="shared" si="2"/>
        <v>Arbor Court Retirement Community at Salina</v>
      </c>
      <c r="C110" s="24" t="str">
        <f t="shared" si="3"/>
        <v>S09311 - Arbor Court Retirement Community at Salina</v>
      </c>
      <c r="D110" s="51"/>
      <c r="E110" s="3" t="str">
        <f xml:space="preserve"> _xll.EPMOlapMemberO("[ACCOUNT].[H1].[T_EBITDARM]","","T_EBITDARM - EBITDARM","","000")</f>
        <v>T_EBITDARM - EBITDARM</v>
      </c>
      <c r="F110" s="182">
        <v>19600</v>
      </c>
      <c r="G110" s="182">
        <v>25165</v>
      </c>
      <c r="H110" s="182">
        <v>18393</v>
      </c>
      <c r="I110" s="182">
        <v>23669</v>
      </c>
      <c r="J110" s="182">
        <v>27657</v>
      </c>
      <c r="K110">
        <v>22212</v>
      </c>
      <c r="L110">
        <v>30723</v>
      </c>
      <c r="M110">
        <v>23040</v>
      </c>
      <c r="N110">
        <v>18731</v>
      </c>
      <c r="O110">
        <v>21637</v>
      </c>
      <c r="P110">
        <v>29717</v>
      </c>
      <c r="Q110">
        <v>22988</v>
      </c>
    </row>
    <row r="111" spans="1:17">
      <c r="A111" s="24" t="str">
        <f>_xll.EVPRO("Finance",$C111,"Inv_Type")</f>
        <v>Inv_Equity</v>
      </c>
      <c r="B111" s="24" t="str">
        <f t="shared" si="2"/>
        <v>Arbor Court Retirement Community at Salina</v>
      </c>
      <c r="C111" s="24" t="str">
        <f t="shared" si="3"/>
        <v>S09311 - Arbor Court Retirement Community at Salina</v>
      </c>
      <c r="D111" s="51"/>
      <c r="E111" s="3" t="str">
        <f xml:space="preserve"> _xll.EPMOlapMemberO("[ACCOUNT].[H1].[T_MGMT_FEE]","","T_MGMT_FEE - Tenant Management Fee - Actual","","000")</f>
        <v>T_MGMT_FEE - Tenant Management Fee - Actual</v>
      </c>
      <c r="F111" s="182">
        <v>3725</v>
      </c>
      <c r="G111" s="182">
        <v>3890</v>
      </c>
      <c r="H111" s="182">
        <v>3840</v>
      </c>
      <c r="I111" s="182">
        <v>3977</v>
      </c>
      <c r="J111" s="182">
        <v>3719</v>
      </c>
      <c r="K111">
        <v>3948</v>
      </c>
      <c r="L111">
        <v>3784</v>
      </c>
      <c r="M111">
        <v>4024</v>
      </c>
      <c r="N111">
        <v>4037</v>
      </c>
      <c r="O111">
        <v>4227</v>
      </c>
      <c r="P111">
        <v>4230</v>
      </c>
      <c r="Q111">
        <v>3841</v>
      </c>
    </row>
    <row r="112" spans="1:17">
      <c r="A112" s="24" t="str">
        <f>_xll.EVPRO("Finance",$C112,"Inv_Type")</f>
        <v>Inv_Equity</v>
      </c>
      <c r="B112" s="24" t="str">
        <f t="shared" si="2"/>
        <v>Arbor Court Retirement Community at Salina</v>
      </c>
      <c r="C112" s="24" t="str">
        <f t="shared" si="3"/>
        <v>S09311 - Arbor Court Retirement Community at Salina</v>
      </c>
      <c r="D112" s="51"/>
      <c r="E112" s="2" t="str">
        <f xml:space="preserve"> _xll.EPMOlapMemberO("[ACCOUNT].[H1].[T_EBITDAR]","","T_EBITDAR - EBITDAR","","000")</f>
        <v>T_EBITDAR - EBITDAR</v>
      </c>
      <c r="F112" s="182">
        <v>15875</v>
      </c>
      <c r="G112" s="182">
        <v>21275</v>
      </c>
      <c r="H112" s="182">
        <v>14553</v>
      </c>
      <c r="I112" s="182">
        <v>19692</v>
      </c>
      <c r="J112" s="182">
        <v>23938</v>
      </c>
      <c r="K112">
        <v>18264</v>
      </c>
      <c r="L112">
        <v>26939</v>
      </c>
      <c r="M112">
        <v>19016</v>
      </c>
      <c r="N112">
        <v>14694</v>
      </c>
      <c r="O112">
        <v>17410</v>
      </c>
      <c r="P112">
        <v>25487</v>
      </c>
      <c r="Q112">
        <v>19147</v>
      </c>
    </row>
    <row r="113" spans="1:17">
      <c r="A113" s="24" t="str">
        <f>_xll.EVPRO("Finance",$C113,"Inv_Type")</f>
        <v>Inv_Equity</v>
      </c>
      <c r="B113" s="24" t="str">
        <f t="shared" si="2"/>
        <v>Arbor Court Retirement Community at Salina</v>
      </c>
      <c r="C113" s="24" t="str">
        <f t="shared" si="3"/>
        <v>S09311 - Arbor Court Retirement Community at Salina</v>
      </c>
      <c r="D113" s="51"/>
      <c r="E113" s="2" t="str">
        <f xml:space="preserve"> _xll.EPMOlapMemberO("[ACCOUNT].[H1].[T_RENT_EXP]","","T_RENT_EXP - Tenant Rent Expense","","000")</f>
        <v>T_RENT_EXP - Tenant Rent Expense</v>
      </c>
      <c r="F113" s="182">
        <v>30329</v>
      </c>
      <c r="G113" s="182">
        <v>31147</v>
      </c>
      <c r="H113" s="182">
        <v>31147</v>
      </c>
      <c r="I113" s="182">
        <v>31147</v>
      </c>
      <c r="J113" s="182">
        <v>31147</v>
      </c>
      <c r="K113">
        <v>31147</v>
      </c>
      <c r="L113">
        <v>31147</v>
      </c>
      <c r="M113">
        <v>31147</v>
      </c>
      <c r="N113">
        <v>31147</v>
      </c>
      <c r="O113">
        <v>31147</v>
      </c>
      <c r="P113">
        <v>31147</v>
      </c>
      <c r="Q113">
        <v>33861</v>
      </c>
    </row>
    <row r="114" spans="1:17">
      <c r="A114" s="24" t="str">
        <f>_xll.EVPRO("Finance",$C114,"Inv_Type")</f>
        <v>Inv_Equity</v>
      </c>
      <c r="B114" s="24" t="str">
        <f t="shared" si="2"/>
        <v>Arbor Court Retirement Community at Topeka</v>
      </c>
      <c r="C114" s="24" t="str">
        <f t="shared" si="3"/>
        <v>S09312 - Arbor Court Retirement Community at Topeka</v>
      </c>
      <c r="D114" s="51" t="str">
        <f xml:space="preserve"> _xll.EPMOlapMemberO("[ENTITY].[H1].[S09312]","","S09312 - Arbor Court Retirement Community at Topeka","","000")</f>
        <v>S09312 - Arbor Court Retirement Community at Topeka</v>
      </c>
      <c r="E114" s="51" t="str">
        <f xml:space="preserve"> _xll.EPMOlapMemberO("[ACCOUNT].[H1].[PAY_PAT_DAYS]","","PAY_PAT_DAYS - Total Payor Patient Days","","000")</f>
        <v>PAY_PAT_DAYS - Total Payor Patient Days</v>
      </c>
      <c r="F114" s="182">
        <v>1499</v>
      </c>
      <c r="G114" s="182">
        <v>1380</v>
      </c>
      <c r="H114" s="182">
        <v>1519</v>
      </c>
      <c r="I114" s="182">
        <v>1530</v>
      </c>
      <c r="J114" s="182">
        <v>1612</v>
      </c>
      <c r="K114">
        <v>1659</v>
      </c>
      <c r="L114">
        <v>1458</v>
      </c>
      <c r="M114">
        <v>1674</v>
      </c>
      <c r="N114">
        <v>1590</v>
      </c>
      <c r="O114">
        <v>1674</v>
      </c>
      <c r="P114">
        <v>1650</v>
      </c>
      <c r="Q114">
        <v>1705</v>
      </c>
    </row>
    <row r="115" spans="1:17">
      <c r="A115" s="24" t="str">
        <f>_xll.EVPRO("Finance",$C115,"Inv_Type")</f>
        <v>Inv_Equity</v>
      </c>
      <c r="B115" s="24" t="str">
        <f t="shared" si="2"/>
        <v>Arbor Court Retirement Community at Topeka</v>
      </c>
      <c r="C115" s="24" t="str">
        <f t="shared" si="3"/>
        <v>S09312 - Arbor Court Retirement Community at Topeka</v>
      </c>
      <c r="D115" s="51"/>
      <c r="E115" s="2" t="str">
        <f xml:space="preserve"> _xll.EPMOlapMemberO("[ACCOUNT].[H1].[A_BEDS_TOTAL]","","A_BEDS_TOTAL - Total Available Beds","","000")</f>
        <v>A_BEDS_TOTAL - Total Available Beds</v>
      </c>
      <c r="F115" s="182">
        <v>61</v>
      </c>
      <c r="G115" s="182">
        <v>61</v>
      </c>
      <c r="H115" s="182">
        <v>61</v>
      </c>
      <c r="I115" s="182">
        <v>61</v>
      </c>
      <c r="J115" s="182">
        <v>61</v>
      </c>
      <c r="K115">
        <v>61</v>
      </c>
      <c r="L115">
        <v>61</v>
      </c>
      <c r="M115">
        <v>61</v>
      </c>
      <c r="N115">
        <v>61</v>
      </c>
      <c r="O115">
        <v>61</v>
      </c>
      <c r="P115">
        <v>61</v>
      </c>
      <c r="Q115">
        <v>61</v>
      </c>
    </row>
    <row r="116" spans="1:17">
      <c r="A116" s="24" t="str">
        <f>_xll.EVPRO("Finance",$C116,"Inv_Type")</f>
        <v>Inv_Equity</v>
      </c>
      <c r="B116" s="24" t="str">
        <f t="shared" si="2"/>
        <v>Arbor Court Retirement Community at Topeka</v>
      </c>
      <c r="C116" s="24" t="str">
        <f t="shared" si="3"/>
        <v>S09312 - Arbor Court Retirement Community at Topeka</v>
      </c>
      <c r="D116" s="51"/>
      <c r="E116" s="10" t="str">
        <f xml:space="preserve"> _xll.EPMOlapMemberO("[ACCOUNT].[H1].[T_REVENUES]","","T_REVENUES - Total Tenant Revenues","","000")</f>
        <v>T_REVENUES - Total Tenant Revenues</v>
      </c>
      <c r="F116" s="182">
        <v>88213</v>
      </c>
      <c r="G116" s="182">
        <v>88714</v>
      </c>
      <c r="H116" s="182">
        <v>95079</v>
      </c>
      <c r="I116" s="182">
        <v>97331</v>
      </c>
      <c r="J116" s="182">
        <v>100785</v>
      </c>
      <c r="K116">
        <v>102711</v>
      </c>
      <c r="L116">
        <v>100100</v>
      </c>
      <c r="M116">
        <v>105905</v>
      </c>
      <c r="N116">
        <v>102295</v>
      </c>
      <c r="O116">
        <v>104395</v>
      </c>
      <c r="P116">
        <v>106595</v>
      </c>
      <c r="Q116">
        <v>104526</v>
      </c>
    </row>
    <row r="117" spans="1:17">
      <c r="A117" s="24" t="str">
        <f>_xll.EVPRO("Finance",$C117,"Inv_Type")</f>
        <v>Inv_Equity</v>
      </c>
      <c r="B117" s="24" t="str">
        <f t="shared" si="2"/>
        <v>Arbor Court Retirement Community at Topeka</v>
      </c>
      <c r="C117" s="24" t="str">
        <f t="shared" si="3"/>
        <v>S09312 - Arbor Court Retirement Community at Topeka</v>
      </c>
      <c r="D117" s="51"/>
      <c r="E117" s="10" t="str">
        <f xml:space="preserve"> _xll.EPMOlapMemberO("[ACCOUNT].[H1].[T_OPEX]","","T_OPEX - Tenant Operating Expenses","","000")</f>
        <v>T_OPEX - Tenant Operating Expenses</v>
      </c>
      <c r="F117" s="182">
        <v>63070</v>
      </c>
      <c r="G117" s="182">
        <v>59652</v>
      </c>
      <c r="H117" s="182">
        <v>58817</v>
      </c>
      <c r="I117" s="182">
        <v>57959</v>
      </c>
      <c r="J117" s="182">
        <v>64889</v>
      </c>
      <c r="K117">
        <v>60674</v>
      </c>
      <c r="L117">
        <v>55149</v>
      </c>
      <c r="M117">
        <v>56583</v>
      </c>
      <c r="N117">
        <v>68035</v>
      </c>
      <c r="O117">
        <v>65341</v>
      </c>
      <c r="P117">
        <v>69422</v>
      </c>
      <c r="Q117">
        <v>72057</v>
      </c>
    </row>
    <row r="118" spans="1:17">
      <c r="A118" s="24" t="str">
        <f>_xll.EVPRO("Finance",$C118,"Inv_Type")</f>
        <v>Inv_Equity</v>
      </c>
      <c r="B118" s="24" t="str">
        <f t="shared" si="2"/>
        <v>Arbor Court Retirement Community at Topeka</v>
      </c>
      <c r="C118" s="24" t="str">
        <f t="shared" si="3"/>
        <v>S09312 - Arbor Court Retirement Community at Topeka</v>
      </c>
      <c r="D118" s="51"/>
      <c r="E118" s="2" t="str">
        <f xml:space="preserve"> _xll.EPMOlapMemberO("[ACCOUNT].[H1].[T_NON_OP_EXP]","","T_NON_OP_EXP - Tenant Non-Operating Expense","","000")</f>
        <v>T_NON_OP_EXP - Tenant Non-Operating Expense</v>
      </c>
      <c r="F118" s="182">
        <v>4514</v>
      </c>
      <c r="G118" s="182">
        <v>811</v>
      </c>
      <c r="H118" s="182">
        <v>99</v>
      </c>
      <c r="I118" s="182">
        <v>2445</v>
      </c>
      <c r="J118" s="182">
        <v>6422</v>
      </c>
      <c r="K118">
        <v>950</v>
      </c>
      <c r="L118">
        <v>-7384</v>
      </c>
      <c r="M118">
        <v>-1343</v>
      </c>
      <c r="N118">
        <v>-785</v>
      </c>
      <c r="O118">
        <v>1953</v>
      </c>
      <c r="P118">
        <v>-891</v>
      </c>
      <c r="Q118">
        <v>620</v>
      </c>
    </row>
    <row r="119" spans="1:17">
      <c r="A119" s="24" t="str">
        <f>_xll.EVPRO("Finance",$C119,"Inv_Type")</f>
        <v>Inv_Equity</v>
      </c>
      <c r="B119" s="24" t="str">
        <f t="shared" si="2"/>
        <v>Arbor Court Retirement Community at Topeka</v>
      </c>
      <c r="C119" s="24" t="str">
        <f t="shared" si="3"/>
        <v>S09312 - Arbor Court Retirement Community at Topeka</v>
      </c>
      <c r="D119" s="51"/>
      <c r="E119" s="3" t="str">
        <f xml:space="preserve"> _xll.EPMOlapMemberO("[ACCOUNT].[H1].[T_EBITDARM]","","T_EBITDARM - EBITDARM","","000")</f>
        <v>T_EBITDARM - EBITDARM</v>
      </c>
      <c r="F119" s="182">
        <v>25143</v>
      </c>
      <c r="G119" s="182">
        <v>29062</v>
      </c>
      <c r="H119" s="182">
        <v>36262</v>
      </c>
      <c r="I119" s="182">
        <v>39372</v>
      </c>
      <c r="J119" s="182">
        <v>35896</v>
      </c>
      <c r="K119">
        <v>42037</v>
      </c>
      <c r="L119">
        <v>44951</v>
      </c>
      <c r="M119">
        <v>49322</v>
      </c>
      <c r="N119">
        <v>34260</v>
      </c>
      <c r="O119">
        <v>39054</v>
      </c>
      <c r="P119">
        <v>37173</v>
      </c>
      <c r="Q119">
        <v>32469</v>
      </c>
    </row>
    <row r="120" spans="1:17">
      <c r="A120" s="24" t="str">
        <f>_xll.EVPRO("Finance",$C120,"Inv_Type")</f>
        <v>Inv_Equity</v>
      </c>
      <c r="B120" s="24" t="str">
        <f t="shared" si="2"/>
        <v>Arbor Court Retirement Community at Topeka</v>
      </c>
      <c r="C120" s="24" t="str">
        <f t="shared" si="3"/>
        <v>S09312 - Arbor Court Retirement Community at Topeka</v>
      </c>
      <c r="D120" s="51"/>
      <c r="E120" s="3" t="str">
        <f xml:space="preserve"> _xll.EPMOlapMemberO("[ACCOUNT].[H1].[T_MGMT_FEE]","","T_MGMT_FEE - Tenant Management Fee - Actual","","000")</f>
        <v>T_MGMT_FEE - Tenant Management Fee - Actual</v>
      </c>
      <c r="F120" s="182">
        <v>4431</v>
      </c>
      <c r="G120" s="182">
        <v>4617</v>
      </c>
      <c r="H120" s="182">
        <v>4970</v>
      </c>
      <c r="I120" s="182">
        <v>4963</v>
      </c>
      <c r="J120" s="182">
        <v>5129</v>
      </c>
      <c r="K120">
        <v>5227</v>
      </c>
      <c r="L120">
        <v>5513</v>
      </c>
      <c r="M120">
        <v>5503</v>
      </c>
      <c r="N120">
        <v>5313</v>
      </c>
      <c r="O120">
        <v>5265</v>
      </c>
      <c r="P120">
        <v>5521</v>
      </c>
      <c r="Q120">
        <v>5336</v>
      </c>
    </row>
    <row r="121" spans="1:17">
      <c r="A121" s="24" t="str">
        <f>_xll.EVPRO("Finance",$C121,"Inv_Type")</f>
        <v>Inv_Equity</v>
      </c>
      <c r="B121" s="24" t="str">
        <f t="shared" si="2"/>
        <v>Arbor Court Retirement Community at Topeka</v>
      </c>
      <c r="C121" s="24" t="str">
        <f t="shared" si="3"/>
        <v>S09312 - Arbor Court Retirement Community at Topeka</v>
      </c>
      <c r="D121" s="51"/>
      <c r="E121" s="2" t="str">
        <f xml:space="preserve"> _xll.EPMOlapMemberO("[ACCOUNT].[H1].[T_EBITDAR]","","T_EBITDAR - EBITDAR","","000")</f>
        <v>T_EBITDAR - EBITDAR</v>
      </c>
      <c r="F121" s="182">
        <v>20712</v>
      </c>
      <c r="G121" s="182">
        <v>24445</v>
      </c>
      <c r="H121" s="182">
        <v>31292</v>
      </c>
      <c r="I121" s="182">
        <v>34409</v>
      </c>
      <c r="J121" s="182">
        <v>30767</v>
      </c>
      <c r="K121">
        <v>36810</v>
      </c>
      <c r="L121">
        <v>39438</v>
      </c>
      <c r="M121">
        <v>43819</v>
      </c>
      <c r="N121">
        <v>28947</v>
      </c>
      <c r="O121">
        <v>33789</v>
      </c>
      <c r="P121">
        <v>31652</v>
      </c>
      <c r="Q121">
        <v>27133</v>
      </c>
    </row>
    <row r="122" spans="1:17">
      <c r="A122" s="24" t="str">
        <f>_xll.EVPRO("Finance",$C122,"Inv_Type")</f>
        <v>Inv_Equity</v>
      </c>
      <c r="B122" s="24" t="str">
        <f t="shared" si="2"/>
        <v>Arbor Court Retirement Community at Topeka</v>
      </c>
      <c r="C122" s="24" t="str">
        <f t="shared" si="3"/>
        <v>S09312 - Arbor Court Retirement Community at Topeka</v>
      </c>
      <c r="D122" s="56"/>
      <c r="E122" s="2" t="str">
        <f xml:space="preserve"> _xll.EPMOlapMemberO("[ACCOUNT].[H1].[T_RENT_EXP]","","T_RENT_EXP - Tenant Rent Expense","","000")</f>
        <v>T_RENT_EXP - Tenant Rent Expense</v>
      </c>
      <c r="F122" s="182">
        <v>33429</v>
      </c>
      <c r="G122" s="182">
        <v>34309</v>
      </c>
      <c r="H122" s="182">
        <v>34309</v>
      </c>
      <c r="I122" s="182">
        <v>34309</v>
      </c>
      <c r="J122" s="182">
        <v>34309</v>
      </c>
      <c r="K122">
        <v>34309</v>
      </c>
      <c r="L122">
        <v>34309</v>
      </c>
      <c r="M122">
        <v>34309</v>
      </c>
      <c r="N122">
        <v>34309</v>
      </c>
      <c r="O122">
        <v>34309</v>
      </c>
      <c r="P122">
        <v>34309</v>
      </c>
      <c r="Q122">
        <v>37395</v>
      </c>
    </row>
    <row r="123" spans="1:17">
      <c r="A123" s="24" t="str">
        <f>_xll.EVPRO("Finance",$C123,"Inv_Type")</f>
        <v>Inv_PE</v>
      </c>
      <c r="B123" s="24" t="str">
        <f t="shared" si="2"/>
        <v>Bedford Preferred Equity (HMG)</v>
      </c>
      <c r="C123" s="24" t="str">
        <f t="shared" si="3"/>
        <v>S04039 - Bedford Preferred Equity (HMG)</v>
      </c>
      <c r="D123" s="3" t="str">
        <f xml:space="preserve"> _xll.EPMOlapMemberO("[ENTITY].[H1].[S04039]","","S04039 - Bedford Preferred Equity (HMG)","","000")</f>
        <v>S04039 - Bedford Preferred Equity (HMG)</v>
      </c>
      <c r="E123" s="51" t="str">
        <f xml:space="preserve"> _xll.EPMOlapMemberO("[ACCOUNT].[H1].[PAY_PAT_DAYS]","","PAY_PAT_DAYS - Total Payor Patient Days","","000")</f>
        <v>PAY_PAT_DAYS - Total Payor Patient Days</v>
      </c>
      <c r="F123" s="182">
        <v>2523</v>
      </c>
      <c r="G123" s="182">
        <v>2386</v>
      </c>
      <c r="H123" s="182">
        <v>2691</v>
      </c>
      <c r="I123" s="182">
        <v>2691</v>
      </c>
      <c r="J123" s="182">
        <v>2829</v>
      </c>
      <c r="K123">
        <v>2704</v>
      </c>
      <c r="L123">
        <v>2484</v>
      </c>
      <c r="M123">
        <v>2716</v>
      </c>
      <c r="N123">
        <v>2610</v>
      </c>
      <c r="O123">
        <v>2623</v>
      </c>
      <c r="P123">
        <v>2688</v>
      </c>
      <c r="Q123">
        <v>2932</v>
      </c>
    </row>
    <row r="124" spans="1:17">
      <c r="A124" s="24" t="str">
        <f>_xll.EVPRO("Finance",$C124,"Inv_Type")</f>
        <v>Inv_PE</v>
      </c>
      <c r="B124" s="24" t="str">
        <f t="shared" si="2"/>
        <v>Bedford Preferred Equity (HMG)</v>
      </c>
      <c r="C124" s="24" t="str">
        <f t="shared" si="3"/>
        <v>S04039 - Bedford Preferred Equity (HMG)</v>
      </c>
      <c r="D124" s="3"/>
      <c r="E124" s="2" t="str">
        <f xml:space="preserve"> _xll.EPMOlapMemberO("[ACCOUNT].[H1].[A_BEDS_TOTAL]","","A_BEDS_TOTAL - Total Available Beds","","000")</f>
        <v>A_BEDS_TOTAL - Total Available Beds</v>
      </c>
      <c r="F124" s="182">
        <v>140</v>
      </c>
      <c r="G124" s="182">
        <v>140</v>
      </c>
      <c r="H124" s="182">
        <v>140</v>
      </c>
      <c r="I124" s="182">
        <v>140</v>
      </c>
      <c r="J124" s="182">
        <v>140</v>
      </c>
      <c r="K124">
        <v>140</v>
      </c>
      <c r="L124">
        <v>140</v>
      </c>
      <c r="M124">
        <v>140</v>
      </c>
      <c r="N124">
        <v>140</v>
      </c>
      <c r="O124">
        <v>140</v>
      </c>
      <c r="P124">
        <v>140</v>
      </c>
      <c r="Q124">
        <v>140</v>
      </c>
    </row>
    <row r="125" spans="1:17">
      <c r="A125" s="24" t="str">
        <f>_xll.EVPRO("Finance",$C125,"Inv_Type")</f>
        <v>Inv_PE</v>
      </c>
      <c r="B125" s="24" t="str">
        <f t="shared" si="2"/>
        <v>Bedford Preferred Equity (HMG)</v>
      </c>
      <c r="C125" s="24" t="str">
        <f t="shared" si="3"/>
        <v>S04039 - Bedford Preferred Equity (HMG)</v>
      </c>
      <c r="D125" s="3"/>
      <c r="E125" s="10" t="str">
        <f xml:space="preserve"> _xll.EPMOlapMemberO("[ACCOUNT].[H1].[T_REVENUES]","","T_REVENUES - Total Tenant Revenues","","000")</f>
        <v>T_REVENUES - Total Tenant Revenues</v>
      </c>
      <c r="F125" s="182">
        <v>819623</v>
      </c>
      <c r="G125" s="182">
        <v>782005</v>
      </c>
      <c r="H125" s="182">
        <v>801619</v>
      </c>
      <c r="I125" s="182">
        <v>759812</v>
      </c>
      <c r="J125" s="182">
        <v>831918</v>
      </c>
      <c r="K125">
        <v>914458</v>
      </c>
      <c r="L125">
        <v>876372</v>
      </c>
      <c r="M125">
        <v>943566</v>
      </c>
      <c r="N125">
        <v>909783</v>
      </c>
      <c r="O125">
        <v>1002585</v>
      </c>
      <c r="P125">
        <v>929277</v>
      </c>
      <c r="Q125">
        <v>944102</v>
      </c>
    </row>
    <row r="126" spans="1:17">
      <c r="A126" s="24" t="str">
        <f>_xll.EVPRO("Finance",$C126,"Inv_Type")</f>
        <v>Inv_PE</v>
      </c>
      <c r="B126" s="24" t="str">
        <f t="shared" si="2"/>
        <v>Bedford Preferred Equity (HMG)</v>
      </c>
      <c r="C126" s="24" t="str">
        <f t="shared" si="3"/>
        <v>S04039 - Bedford Preferred Equity (HMG)</v>
      </c>
      <c r="D126" s="3"/>
      <c r="E126" s="10" t="str">
        <f xml:space="preserve"> _xll.EPMOlapMemberO("[ACCOUNT].[H1].[T_OPEX]","","T_OPEX - Tenant Operating Expenses","","000")</f>
        <v>T_OPEX - Tenant Operating Expenses</v>
      </c>
      <c r="F126" s="182">
        <v>730518</v>
      </c>
      <c r="G126" s="182">
        <v>699004</v>
      </c>
      <c r="H126" s="182">
        <v>750086</v>
      </c>
      <c r="I126" s="182">
        <v>663370</v>
      </c>
      <c r="J126" s="182">
        <v>708665</v>
      </c>
      <c r="K126">
        <v>762408</v>
      </c>
      <c r="L126">
        <v>756131</v>
      </c>
      <c r="M126">
        <v>787066</v>
      </c>
      <c r="N126">
        <v>753980</v>
      </c>
      <c r="O126">
        <v>766786</v>
      </c>
      <c r="P126">
        <v>804104</v>
      </c>
      <c r="Q126">
        <v>805109</v>
      </c>
    </row>
    <row r="127" spans="1:17">
      <c r="A127" s="24" t="str">
        <f>_xll.EVPRO("Finance",$C127,"Inv_Type")</f>
        <v>Inv_PE</v>
      </c>
      <c r="B127" s="24" t="str">
        <f t="shared" si="2"/>
        <v>Bedford Preferred Equity (HMG)</v>
      </c>
      <c r="C127" s="24" t="str">
        <f t="shared" si="3"/>
        <v>S04039 - Bedford Preferred Equity (HMG)</v>
      </c>
      <c r="D127" s="3"/>
      <c r="E127" s="2" t="str">
        <f xml:space="preserve"> _xll.EPMOlapMemberO("[ACCOUNT].[H1].[T_NON_OP_EXP]","","T_NON_OP_EXP - Tenant Non-Operating Expense","","000")</f>
        <v>T_NON_OP_EXP - Tenant Non-Operating Expense</v>
      </c>
      <c r="F127" s="182">
        <v>14735</v>
      </c>
      <c r="G127" s="182">
        <v>5314</v>
      </c>
      <c r="H127" s="182">
        <v>14827</v>
      </c>
      <c r="I127" s="182">
        <v>7974</v>
      </c>
      <c r="J127" s="182">
        <v>14695</v>
      </c>
      <c r="K127">
        <v>39333</v>
      </c>
      <c r="L127">
        <v>52505</v>
      </c>
      <c r="M127">
        <v>7676</v>
      </c>
      <c r="N127">
        <v>16009</v>
      </c>
      <c r="O127">
        <v>3300</v>
      </c>
      <c r="P127">
        <v>2513</v>
      </c>
      <c r="Q127">
        <v>4632</v>
      </c>
    </row>
    <row r="128" spans="1:17">
      <c r="A128" s="24" t="str">
        <f>_xll.EVPRO("Finance",$C128,"Inv_Type")</f>
        <v>Inv_PE</v>
      </c>
      <c r="B128" s="24" t="str">
        <f t="shared" si="2"/>
        <v>Bedford Preferred Equity (HMG)</v>
      </c>
      <c r="C128" s="24" t="str">
        <f t="shared" si="3"/>
        <v>S04039 - Bedford Preferred Equity (HMG)</v>
      </c>
      <c r="D128" s="3"/>
      <c r="E128" s="11" t="str">
        <f xml:space="preserve"> _xll.EPMOlapMemberO("[ACCOUNT].[H1].[T_BAD_DEBT]","","T_BAD_DEBT - Tenant Bad Debt Expense","","000")</f>
        <v>T_BAD_DEBT - Tenant Bad Debt Expense</v>
      </c>
      <c r="F128" s="182">
        <v>8193</v>
      </c>
      <c r="G128" s="182">
        <v>7451</v>
      </c>
      <c r="H128" s="182">
        <v>8170</v>
      </c>
      <c r="I128" s="182">
        <v>7566</v>
      </c>
      <c r="J128" s="182">
        <v>8454</v>
      </c>
      <c r="K128">
        <v>8620</v>
      </c>
      <c r="L128">
        <v>21378</v>
      </c>
      <c r="M128">
        <v>9092</v>
      </c>
      <c r="N128">
        <v>8995</v>
      </c>
      <c r="O128">
        <v>12187</v>
      </c>
      <c r="P128">
        <v>34254</v>
      </c>
      <c r="Q128">
        <v>34129</v>
      </c>
    </row>
    <row r="129" spans="1:17">
      <c r="A129" s="24" t="str">
        <f>_xll.EVPRO("Finance",$C129,"Inv_Type")</f>
        <v>Inv_PE</v>
      </c>
      <c r="B129" s="24" t="str">
        <f t="shared" si="2"/>
        <v>Bedford Preferred Equity (HMG)</v>
      </c>
      <c r="C129" s="24" t="str">
        <f t="shared" si="3"/>
        <v>S04039 - Bedford Preferred Equity (HMG)</v>
      </c>
      <c r="D129" s="3"/>
      <c r="E129" s="3" t="str">
        <f xml:space="preserve"> _xll.EPMOlapMemberO("[ACCOUNT].[H1].[T_EBITDARM]","","T_EBITDARM - EBITDARM","","000")</f>
        <v>T_EBITDARM - EBITDARM</v>
      </c>
      <c r="F129" s="182">
        <v>89105</v>
      </c>
      <c r="G129" s="182">
        <v>83001</v>
      </c>
      <c r="H129" s="182">
        <v>51533</v>
      </c>
      <c r="I129" s="182">
        <v>96442</v>
      </c>
      <c r="J129" s="182">
        <v>123253</v>
      </c>
      <c r="K129">
        <v>152050</v>
      </c>
      <c r="L129">
        <v>120241</v>
      </c>
      <c r="M129">
        <v>156500</v>
      </c>
      <c r="N129">
        <v>155803</v>
      </c>
      <c r="O129">
        <v>235799</v>
      </c>
      <c r="P129">
        <v>125173</v>
      </c>
      <c r="Q129">
        <v>138993</v>
      </c>
    </row>
    <row r="130" spans="1:17">
      <c r="A130" s="24" t="str">
        <f>_xll.EVPRO("Finance",$C130,"Inv_Type")</f>
        <v>Inv_PE</v>
      </c>
      <c r="B130" s="24" t="str">
        <f t="shared" si="2"/>
        <v>Bedford Preferred Equity (HMG)</v>
      </c>
      <c r="C130" s="24" t="str">
        <f t="shared" si="3"/>
        <v>S04039 - Bedford Preferred Equity (HMG)</v>
      </c>
      <c r="D130" s="3"/>
      <c r="E130" s="3" t="str">
        <f xml:space="preserve"> _xll.EPMOlapMemberO("[ACCOUNT].[H1].[T_MGMT_FEE]","","T_MGMT_FEE - Tenant Management Fee - Actual","","000")</f>
        <v>T_MGMT_FEE - Tenant Management Fee - Actual</v>
      </c>
      <c r="F130" s="182">
        <v>40963</v>
      </c>
      <c r="G130" s="182">
        <v>37256</v>
      </c>
      <c r="H130" s="182">
        <v>40848</v>
      </c>
      <c r="I130" s="182">
        <v>37831</v>
      </c>
      <c r="J130" s="182">
        <v>42269</v>
      </c>
      <c r="K130">
        <v>43099</v>
      </c>
      <c r="L130">
        <v>34690</v>
      </c>
      <c r="M130">
        <v>45459</v>
      </c>
      <c r="N130">
        <v>45244</v>
      </c>
      <c r="O130">
        <v>47799</v>
      </c>
      <c r="P130">
        <v>46268</v>
      </c>
      <c r="Q130">
        <v>45645</v>
      </c>
    </row>
    <row r="131" spans="1:17">
      <c r="A131" s="24" t="str">
        <f>_xll.EVPRO("Finance",$C131,"Inv_Type")</f>
        <v>Inv_PE</v>
      </c>
      <c r="B131" s="24" t="str">
        <f t="shared" si="2"/>
        <v>Bedford Preferred Equity (HMG)</v>
      </c>
      <c r="C131" s="24" t="str">
        <f t="shared" si="3"/>
        <v>S04039 - Bedford Preferred Equity (HMG)</v>
      </c>
      <c r="D131" s="3"/>
      <c r="E131" s="2" t="str">
        <f xml:space="preserve"> _xll.EPMOlapMemberO("[ACCOUNT].[H1].[T_EBITDAR]","","T_EBITDAR - EBITDAR","","000")</f>
        <v>T_EBITDAR - EBITDAR</v>
      </c>
      <c r="F131" s="182">
        <v>48142</v>
      </c>
      <c r="G131" s="182">
        <v>45745</v>
      </c>
      <c r="H131" s="182">
        <v>10685</v>
      </c>
      <c r="I131" s="182">
        <v>58611</v>
      </c>
      <c r="J131" s="182">
        <v>80984</v>
      </c>
      <c r="K131">
        <v>108951</v>
      </c>
      <c r="L131">
        <v>85551</v>
      </c>
      <c r="M131">
        <v>111041</v>
      </c>
      <c r="N131">
        <v>110559</v>
      </c>
      <c r="O131">
        <v>188000</v>
      </c>
      <c r="P131">
        <v>78905</v>
      </c>
      <c r="Q131">
        <v>93348</v>
      </c>
    </row>
    <row r="132" spans="1:17">
      <c r="A132" s="24" t="str">
        <f>_xll.EVPRO("Finance",$C132,"Inv_Type")</f>
        <v>Inv_PE</v>
      </c>
      <c r="B132" s="24" t="str">
        <f t="shared" si="2"/>
        <v>Bedford Preferred Equity (HMG)</v>
      </c>
      <c r="C132" s="24" t="str">
        <f t="shared" si="3"/>
        <v>S04039 - Bedford Preferred Equity (HMG)</v>
      </c>
      <c r="D132" s="3"/>
      <c r="E132" s="2" t="str">
        <f xml:space="preserve"> _xll.EPMOlapMemberO("[ACCOUNT].[H1].[T_RENT_EXP]","","T_RENT_EXP - Tenant Rent Expense","","000")</f>
        <v>T_RENT_EXP - Tenant Rent Expense</v>
      </c>
      <c r="F132" s="182">
        <v>90000</v>
      </c>
      <c r="G132" s="182">
        <v>90000</v>
      </c>
      <c r="H132" s="182">
        <v>90000</v>
      </c>
      <c r="I132" s="182">
        <v>90000</v>
      </c>
      <c r="J132" s="182">
        <v>90000</v>
      </c>
      <c r="K132">
        <v>90000</v>
      </c>
      <c r="L132">
        <v>90000</v>
      </c>
      <c r="M132">
        <v>90000</v>
      </c>
      <c r="N132">
        <v>90000</v>
      </c>
      <c r="O132">
        <v>90000</v>
      </c>
      <c r="P132">
        <v>90000</v>
      </c>
      <c r="Q132">
        <v>90000</v>
      </c>
    </row>
    <row r="133" spans="1:17">
      <c r="A133" s="24" t="str">
        <f>_xll.EVPRO("Finance",$C133,"Inv_Type")</f>
        <v>Inv_Equity</v>
      </c>
      <c r="B133" s="24" t="str">
        <f t="shared" ref="B133:B196" si="4">MID($C133,FIND("- ",$C133)+2,10000)</f>
        <v>Arbrook Plaza (HMG)</v>
      </c>
      <c r="C133" s="24" t="str">
        <f t="shared" si="3"/>
        <v>S04096 - Arbrook Plaza (HMG)</v>
      </c>
      <c r="D133" s="3" t="str">
        <f xml:space="preserve"> _xll.EPMOlapMemberO("[ENTITY].[H1].[S04096]","","S04096 - Arbrook Plaza (HMG)","","000")</f>
        <v>S04096 - Arbrook Plaza (HMG)</v>
      </c>
      <c r="E133" s="51" t="str">
        <f xml:space="preserve"> _xll.EPMOlapMemberO("[ACCOUNT].[H1].[PAY_PAT_DAYS]","","PAY_PAT_DAYS - Total Payor Patient Days","","000")</f>
        <v>PAY_PAT_DAYS - Total Payor Patient Days</v>
      </c>
      <c r="F133" s="182">
        <v>2410</v>
      </c>
      <c r="G133" s="182">
        <v>2175</v>
      </c>
      <c r="H133" s="182">
        <v>2380</v>
      </c>
      <c r="I133" s="182">
        <v>2361</v>
      </c>
      <c r="J133" s="182">
        <v>2518</v>
      </c>
      <c r="K133">
        <v>2553</v>
      </c>
      <c r="L133">
        <v>2402</v>
      </c>
      <c r="M133">
        <v>2744</v>
      </c>
      <c r="N133">
        <v>2551</v>
      </c>
      <c r="O133">
        <v>2607</v>
      </c>
      <c r="P133">
        <v>2580</v>
      </c>
      <c r="Q133">
        <v>2749</v>
      </c>
    </row>
    <row r="134" spans="1:17">
      <c r="A134" s="24" t="str">
        <f>_xll.EVPRO("Finance",$C134,"Inv_Type")</f>
        <v>Inv_Equity</v>
      </c>
      <c r="B134" s="24" t="str">
        <f t="shared" si="4"/>
        <v>Arbrook Plaza (HMG)</v>
      </c>
      <c r="C134" s="24" t="str">
        <f t="shared" ref="C134:C197" si="5">IF(D134&lt;&gt;"",D134,C133)</f>
        <v>S04096 - Arbrook Plaza (HMG)</v>
      </c>
      <c r="D134" s="3"/>
      <c r="E134" s="2" t="str">
        <f xml:space="preserve"> _xll.EPMOlapMemberO("[ACCOUNT].[H1].[A_BEDS_TOTAL]","","A_BEDS_TOTAL - Total Available Beds","","000")</f>
        <v>A_BEDS_TOTAL - Total Available Beds</v>
      </c>
      <c r="F134" s="182">
        <v>120</v>
      </c>
      <c r="G134" s="182">
        <v>120</v>
      </c>
      <c r="H134" s="182">
        <v>120</v>
      </c>
      <c r="I134" s="182">
        <v>120</v>
      </c>
      <c r="J134" s="182">
        <v>120</v>
      </c>
      <c r="K134">
        <v>120</v>
      </c>
      <c r="L134">
        <v>120</v>
      </c>
      <c r="M134">
        <v>120</v>
      </c>
      <c r="N134">
        <v>120</v>
      </c>
      <c r="O134">
        <v>120</v>
      </c>
      <c r="P134">
        <v>120</v>
      </c>
      <c r="Q134">
        <v>120</v>
      </c>
    </row>
    <row r="135" spans="1:17">
      <c r="A135" s="24" t="str">
        <f>_xll.EVPRO("Finance",$C135,"Inv_Type")</f>
        <v>Inv_Equity</v>
      </c>
      <c r="B135" s="24" t="str">
        <f t="shared" si="4"/>
        <v>Arbrook Plaza (HMG)</v>
      </c>
      <c r="C135" s="24" t="str">
        <f t="shared" si="5"/>
        <v>S04096 - Arbrook Plaza (HMG)</v>
      </c>
      <c r="D135" s="3"/>
      <c r="E135" s="10" t="str">
        <f xml:space="preserve"> _xll.EPMOlapMemberO("[ACCOUNT].[H1].[T_REVENUES]","","T_REVENUES - Total Tenant Revenues","","000")</f>
        <v>T_REVENUES - Total Tenant Revenues</v>
      </c>
      <c r="F135" s="182">
        <v>788277</v>
      </c>
      <c r="G135" s="182">
        <v>707328</v>
      </c>
      <c r="H135" s="182">
        <v>791930</v>
      </c>
      <c r="I135" s="182">
        <v>757280</v>
      </c>
      <c r="J135" s="182">
        <v>929946</v>
      </c>
      <c r="K135">
        <v>804961</v>
      </c>
      <c r="L135">
        <v>802834</v>
      </c>
      <c r="M135">
        <v>1023346</v>
      </c>
      <c r="N135">
        <v>855956</v>
      </c>
      <c r="O135">
        <v>811881</v>
      </c>
      <c r="P135">
        <v>818145</v>
      </c>
      <c r="Q135">
        <v>868952</v>
      </c>
    </row>
    <row r="136" spans="1:17">
      <c r="A136" s="24" t="str">
        <f>_xll.EVPRO("Finance",$C136,"Inv_Type")</f>
        <v>Inv_Equity</v>
      </c>
      <c r="B136" s="24" t="str">
        <f t="shared" si="4"/>
        <v>Arbrook Plaza (HMG)</v>
      </c>
      <c r="C136" s="24" t="str">
        <f t="shared" si="5"/>
        <v>S04096 - Arbrook Plaza (HMG)</v>
      </c>
      <c r="D136" s="3"/>
      <c r="E136" s="10" t="str">
        <f xml:space="preserve"> _xll.EPMOlapMemberO("[ACCOUNT].[H1].[T_OPEX]","","T_OPEX - Tenant Operating Expenses","","000")</f>
        <v>T_OPEX - Tenant Operating Expenses</v>
      </c>
      <c r="F136" s="182">
        <v>613495</v>
      </c>
      <c r="G136" s="182">
        <v>609161</v>
      </c>
      <c r="H136" s="182">
        <v>619796</v>
      </c>
      <c r="I136" s="182">
        <v>602065</v>
      </c>
      <c r="J136" s="182">
        <v>438297</v>
      </c>
      <c r="K136">
        <v>606583</v>
      </c>
      <c r="L136">
        <v>602948</v>
      </c>
      <c r="M136">
        <v>742595</v>
      </c>
      <c r="N136">
        <v>628928</v>
      </c>
      <c r="O136">
        <v>724479</v>
      </c>
      <c r="P136">
        <v>559910</v>
      </c>
      <c r="Q136">
        <v>635187</v>
      </c>
    </row>
    <row r="137" spans="1:17">
      <c r="A137" s="24" t="str">
        <f>_xll.EVPRO("Finance",$C137,"Inv_Type")</f>
        <v>Inv_Equity</v>
      </c>
      <c r="B137" s="24" t="str">
        <f t="shared" si="4"/>
        <v>Arbrook Plaza (HMG)</v>
      </c>
      <c r="C137" s="24" t="str">
        <f t="shared" si="5"/>
        <v>S04096 - Arbrook Plaza (HMG)</v>
      </c>
      <c r="D137" s="3"/>
      <c r="E137" s="2" t="str">
        <f xml:space="preserve"> _xll.EPMOlapMemberO("[ACCOUNT].[H1].[T_NON_OP_EXP]","","T_NON_OP_EXP - Tenant Non-Operating Expense","","000")</f>
        <v>T_NON_OP_EXP - Tenant Non-Operating Expense</v>
      </c>
      <c r="F137" s="182">
        <v>-6275</v>
      </c>
      <c r="G137" s="182">
        <v>24812</v>
      </c>
      <c r="H137" s="182">
        <v>-1485</v>
      </c>
      <c r="I137" s="182">
        <v>5622</v>
      </c>
      <c r="J137" s="182">
        <v>150996</v>
      </c>
      <c r="K137">
        <v>5506</v>
      </c>
      <c r="L137">
        <v>8370</v>
      </c>
      <c r="M137">
        <v>25129</v>
      </c>
      <c r="N137">
        <v>25785</v>
      </c>
      <c r="O137">
        <v>16798</v>
      </c>
      <c r="P137">
        <v>-724</v>
      </c>
      <c r="Q137">
        <v>3664</v>
      </c>
    </row>
    <row r="138" spans="1:17">
      <c r="A138" s="24" t="str">
        <f>_xll.EVPRO("Finance",$C138,"Inv_Type")</f>
        <v>Inv_Equity</v>
      </c>
      <c r="B138" s="24" t="str">
        <f t="shared" si="4"/>
        <v>Arbrook Plaza (HMG)</v>
      </c>
      <c r="C138" s="24" t="str">
        <f t="shared" si="5"/>
        <v>S04096 - Arbrook Plaza (HMG)</v>
      </c>
      <c r="D138" s="3"/>
      <c r="E138" s="11" t="str">
        <f xml:space="preserve"> _xll.EPMOlapMemberO("[ACCOUNT].[H1].[T_BAD_DEBT]","","T_BAD_DEBT - Tenant Bad Debt Expense","","000")</f>
        <v>T_BAD_DEBT - Tenant Bad Debt Expense</v>
      </c>
      <c r="F138" s="182">
        <v>23927</v>
      </c>
      <c r="G138" s="182">
        <v>19095</v>
      </c>
      <c r="H138" s="182">
        <v>22204</v>
      </c>
      <c r="I138" s="182">
        <v>21168</v>
      </c>
      <c r="J138" s="182">
        <v>24715</v>
      </c>
      <c r="K138">
        <v>22894</v>
      </c>
      <c r="L138">
        <v>38712</v>
      </c>
      <c r="M138">
        <v>46029</v>
      </c>
      <c r="N138">
        <v>24245</v>
      </c>
      <c r="O138">
        <v>23142</v>
      </c>
      <c r="P138">
        <v>-76202</v>
      </c>
      <c r="Q138">
        <v>36</v>
      </c>
    </row>
    <row r="139" spans="1:17">
      <c r="A139" s="24" t="str">
        <f>_xll.EVPRO("Finance",$C139,"Inv_Type")</f>
        <v>Inv_Equity</v>
      </c>
      <c r="B139" s="24" t="str">
        <f t="shared" si="4"/>
        <v>Arbrook Plaza (HMG)</v>
      </c>
      <c r="C139" s="24" t="str">
        <f t="shared" si="5"/>
        <v>S04096 - Arbrook Plaza (HMG)</v>
      </c>
      <c r="D139" s="3"/>
      <c r="E139" s="3" t="str">
        <f xml:space="preserve"> _xll.EPMOlapMemberO("[ACCOUNT].[H1].[T_EBITDARM]","","T_EBITDARM - EBITDARM","","000")</f>
        <v>T_EBITDARM - EBITDARM</v>
      </c>
      <c r="F139" s="182">
        <v>174782</v>
      </c>
      <c r="G139" s="182">
        <v>98167</v>
      </c>
      <c r="H139" s="182">
        <v>172134</v>
      </c>
      <c r="I139" s="182">
        <v>155215</v>
      </c>
      <c r="J139" s="182">
        <v>491649</v>
      </c>
      <c r="K139">
        <v>198378</v>
      </c>
      <c r="L139">
        <v>199886</v>
      </c>
      <c r="M139">
        <v>280751</v>
      </c>
      <c r="N139">
        <v>227028</v>
      </c>
      <c r="O139">
        <v>87402</v>
      </c>
      <c r="P139">
        <v>258235</v>
      </c>
      <c r="Q139">
        <v>233765</v>
      </c>
    </row>
    <row r="140" spans="1:17">
      <c r="A140" s="24" t="str">
        <f>_xll.EVPRO("Finance",$C140,"Inv_Type")</f>
        <v>Inv_Equity</v>
      </c>
      <c r="B140" s="24" t="str">
        <f t="shared" si="4"/>
        <v>Arbrook Plaza (HMG)</v>
      </c>
      <c r="C140" s="24" t="str">
        <f t="shared" si="5"/>
        <v>S04096 - Arbrook Plaza (HMG)</v>
      </c>
      <c r="D140" s="3"/>
      <c r="E140" s="3" t="str">
        <f xml:space="preserve"> _xll.EPMOlapMemberO("[ACCOUNT].[H1].[T_MGMT_FEE]","","T_MGMT_FEE - Tenant Management Fee - Actual","","000")</f>
        <v>T_MGMT_FEE - Tenant Management Fee - Actual</v>
      </c>
      <c r="F140" s="182">
        <v>40963</v>
      </c>
      <c r="G140" s="182">
        <v>30741</v>
      </c>
      <c r="H140" s="182">
        <v>37007</v>
      </c>
      <c r="I140" s="182">
        <v>35279</v>
      </c>
      <c r="J140" s="182">
        <v>41192</v>
      </c>
      <c r="K140">
        <v>38665</v>
      </c>
      <c r="L140">
        <v>37778</v>
      </c>
      <c r="M140">
        <v>48671</v>
      </c>
      <c r="N140">
        <v>40408</v>
      </c>
      <c r="O140">
        <v>38570</v>
      </c>
      <c r="P140">
        <v>39664</v>
      </c>
      <c r="Q140">
        <v>41726</v>
      </c>
    </row>
    <row r="141" spans="1:17">
      <c r="A141" s="24" t="str">
        <f>_xll.EVPRO("Finance",$C141,"Inv_Type")</f>
        <v>Inv_Equity</v>
      </c>
      <c r="B141" s="24" t="str">
        <f t="shared" si="4"/>
        <v>Arbrook Plaza (HMG)</v>
      </c>
      <c r="C141" s="24" t="str">
        <f t="shared" si="5"/>
        <v>S04096 - Arbrook Plaza (HMG)</v>
      </c>
      <c r="D141" s="3"/>
      <c r="E141" s="2" t="str">
        <f xml:space="preserve"> _xll.EPMOlapMemberO("[ACCOUNT].[H1].[T_EBITDAR]","","T_EBITDAR - EBITDAR","","000")</f>
        <v>T_EBITDAR - EBITDAR</v>
      </c>
      <c r="F141" s="182">
        <v>133819</v>
      </c>
      <c r="G141" s="182">
        <v>67426</v>
      </c>
      <c r="H141" s="182">
        <v>135127</v>
      </c>
      <c r="I141" s="182">
        <v>119936</v>
      </c>
      <c r="J141" s="182">
        <v>450457</v>
      </c>
      <c r="K141">
        <v>159713</v>
      </c>
      <c r="L141">
        <v>162108</v>
      </c>
      <c r="M141">
        <v>232080</v>
      </c>
      <c r="N141">
        <v>186620</v>
      </c>
      <c r="O141">
        <v>48832</v>
      </c>
      <c r="P141">
        <v>218571</v>
      </c>
      <c r="Q141">
        <v>192039</v>
      </c>
    </row>
    <row r="142" spans="1:17">
      <c r="A142" s="24" t="str">
        <f>_xll.EVPRO("Finance",$C142,"Inv_Type")</f>
        <v>Inv_Equity</v>
      </c>
      <c r="B142" s="24" t="str">
        <f t="shared" si="4"/>
        <v>Arbrook Plaza (HMG)</v>
      </c>
      <c r="C142" s="24" t="str">
        <f t="shared" si="5"/>
        <v>S04096 - Arbrook Plaza (HMG)</v>
      </c>
      <c r="D142" s="3"/>
      <c r="E142" s="2" t="str">
        <f xml:space="preserve"> _xll.EPMOlapMemberO("[ACCOUNT].[H1].[T_RENT_EXP]","","T_RENT_EXP - Tenant Rent Expense","","000")</f>
        <v>T_RENT_EXP - Tenant Rent Expense</v>
      </c>
      <c r="F142" s="182">
        <v>99129</v>
      </c>
      <c r="G142" s="182">
        <v>101323</v>
      </c>
      <c r="H142" s="182">
        <v>101323</v>
      </c>
      <c r="I142" s="182">
        <v>101323</v>
      </c>
      <c r="J142" s="182">
        <v>101323</v>
      </c>
      <c r="K142">
        <v>101323</v>
      </c>
      <c r="L142">
        <v>101323</v>
      </c>
      <c r="M142">
        <v>101323</v>
      </c>
      <c r="N142">
        <v>101323</v>
      </c>
      <c r="O142">
        <v>101323</v>
      </c>
      <c r="P142">
        <v>101323</v>
      </c>
      <c r="Q142">
        <v>110499</v>
      </c>
    </row>
    <row r="143" spans="1:17">
      <c r="A143" s="24" t="str">
        <f>_xll.EVPRO("Finance",$C143,"Inv_Type")</f>
        <v>Inv_Equity</v>
      </c>
      <c r="B143" s="24" t="str">
        <f t="shared" si="4"/>
        <v>Northgate Plaza (HMG)</v>
      </c>
      <c r="C143" s="24" t="str">
        <f t="shared" si="5"/>
        <v>S04097 - Northgate Plaza (HMG)</v>
      </c>
      <c r="D143" s="3" t="str">
        <f xml:space="preserve"> _xll.EPMOlapMemberO("[ENTITY].[H1].[S04097]","","S04097 - Northgate Plaza (HMG)","","000")</f>
        <v>S04097 - Northgate Plaza (HMG)</v>
      </c>
      <c r="E143" s="51" t="str">
        <f xml:space="preserve"> _xll.EPMOlapMemberO("[ACCOUNT].[H1].[PAY_PAT_DAYS]","","PAY_PAT_DAYS - Total Payor Patient Days","","000")</f>
        <v>PAY_PAT_DAYS - Total Payor Patient Days</v>
      </c>
      <c r="F143" s="182">
        <v>2147</v>
      </c>
      <c r="G143" s="182">
        <v>1906</v>
      </c>
      <c r="H143" s="182">
        <v>1931</v>
      </c>
      <c r="I143" s="182">
        <v>2057</v>
      </c>
      <c r="J143" s="182">
        <v>2144</v>
      </c>
      <c r="K143">
        <v>2029</v>
      </c>
      <c r="L143">
        <v>2070</v>
      </c>
      <c r="M143">
        <v>1966</v>
      </c>
      <c r="N143">
        <v>1805</v>
      </c>
      <c r="O143">
        <v>1995</v>
      </c>
      <c r="P143">
        <v>1900</v>
      </c>
    </row>
    <row r="144" spans="1:17">
      <c r="A144" s="24" t="str">
        <f>_xll.EVPRO("Finance",$C144,"Inv_Type")</f>
        <v>Inv_Equity</v>
      </c>
      <c r="B144" s="24" t="str">
        <f t="shared" si="4"/>
        <v>Northgate Plaza (HMG)</v>
      </c>
      <c r="C144" s="24" t="str">
        <f t="shared" si="5"/>
        <v>S04097 - Northgate Plaza (HMG)</v>
      </c>
      <c r="D144" s="3"/>
      <c r="E144" s="2" t="str">
        <f xml:space="preserve"> _xll.EPMOlapMemberO("[ACCOUNT].[H1].[A_BEDS_TOTAL]","","A_BEDS_TOTAL - Total Available Beds","","000")</f>
        <v>A_BEDS_TOTAL - Total Available Beds</v>
      </c>
      <c r="F144" s="182">
        <v>120</v>
      </c>
      <c r="G144" s="182">
        <v>120</v>
      </c>
      <c r="H144" s="182">
        <v>120</v>
      </c>
      <c r="I144" s="182">
        <v>120</v>
      </c>
      <c r="J144" s="182">
        <v>120</v>
      </c>
      <c r="K144">
        <v>120</v>
      </c>
      <c r="L144">
        <v>120</v>
      </c>
      <c r="M144">
        <v>120</v>
      </c>
      <c r="N144">
        <v>120</v>
      </c>
      <c r="O144">
        <v>120</v>
      </c>
      <c r="P144">
        <v>120</v>
      </c>
      <c r="Q144">
        <v>120</v>
      </c>
    </row>
    <row r="145" spans="1:17">
      <c r="A145" s="24" t="str">
        <f>_xll.EVPRO("Finance",$C145,"Inv_Type")</f>
        <v>Inv_Equity</v>
      </c>
      <c r="B145" s="24" t="str">
        <f t="shared" si="4"/>
        <v>Northgate Plaza (HMG)</v>
      </c>
      <c r="C145" s="24" t="str">
        <f t="shared" si="5"/>
        <v>S04097 - Northgate Plaza (HMG)</v>
      </c>
      <c r="D145" s="3"/>
      <c r="E145" s="10" t="str">
        <f xml:space="preserve"> _xll.EPMOlapMemberO("[ACCOUNT].[H1].[T_REVENUES]","","T_REVENUES - Total Tenant Revenues","","000")</f>
        <v>T_REVENUES - Total Tenant Revenues</v>
      </c>
      <c r="F145" s="182">
        <v>573410</v>
      </c>
      <c r="G145" s="182">
        <v>592060</v>
      </c>
      <c r="H145" s="182">
        <v>522118</v>
      </c>
      <c r="I145" s="182">
        <v>738810</v>
      </c>
      <c r="J145" s="182">
        <v>679147</v>
      </c>
      <c r="K145">
        <v>721033</v>
      </c>
      <c r="L145">
        <v>687177</v>
      </c>
      <c r="M145">
        <v>562621</v>
      </c>
      <c r="N145">
        <v>494709</v>
      </c>
      <c r="O145">
        <v>535437</v>
      </c>
      <c r="P145">
        <v>452757</v>
      </c>
      <c r="Q145">
        <v>-116721</v>
      </c>
    </row>
    <row r="146" spans="1:17">
      <c r="A146" s="24" t="str">
        <f>_xll.EVPRO("Finance",$C146,"Inv_Type")</f>
        <v>Inv_Equity</v>
      </c>
      <c r="B146" s="24" t="str">
        <f t="shared" si="4"/>
        <v>Northgate Plaza (HMG)</v>
      </c>
      <c r="C146" s="24" t="str">
        <f t="shared" si="5"/>
        <v>S04097 - Northgate Plaza (HMG)</v>
      </c>
      <c r="D146" s="3"/>
      <c r="E146" s="10" t="str">
        <f xml:space="preserve"> _xll.EPMOlapMemberO("[ACCOUNT].[H1].[T_OPEX]","","T_OPEX - Tenant Operating Expenses","","000")</f>
        <v>T_OPEX - Tenant Operating Expenses</v>
      </c>
      <c r="F146" s="182">
        <v>547974</v>
      </c>
      <c r="G146" s="182">
        <v>529649</v>
      </c>
      <c r="H146" s="182">
        <v>520004</v>
      </c>
      <c r="I146" s="182">
        <v>543356</v>
      </c>
      <c r="J146" s="182">
        <v>299643</v>
      </c>
      <c r="K146">
        <v>478506</v>
      </c>
      <c r="L146">
        <v>639616</v>
      </c>
      <c r="M146">
        <v>696363</v>
      </c>
      <c r="N146">
        <v>470662</v>
      </c>
      <c r="O146">
        <v>504040</v>
      </c>
      <c r="P146">
        <v>542221</v>
      </c>
    </row>
    <row r="147" spans="1:17">
      <c r="A147" s="24" t="str">
        <f>_xll.EVPRO("Finance",$C147,"Inv_Type")</f>
        <v>Inv_Equity</v>
      </c>
      <c r="B147" s="24" t="str">
        <f t="shared" si="4"/>
        <v>Northgate Plaza (HMG)</v>
      </c>
      <c r="C147" s="24" t="str">
        <f t="shared" si="5"/>
        <v>S04097 - Northgate Plaza (HMG)</v>
      </c>
      <c r="D147" s="3"/>
      <c r="E147" s="2" t="str">
        <f xml:space="preserve"> _xll.EPMOlapMemberO("[ACCOUNT].[H1].[T_NON_OP_EXP]","","T_NON_OP_EXP - Tenant Non-Operating Expense","","000")</f>
        <v>T_NON_OP_EXP - Tenant Non-Operating Expense</v>
      </c>
      <c r="F147" s="182">
        <v>13846</v>
      </c>
      <c r="G147" s="182">
        <v>53352</v>
      </c>
      <c r="H147" s="182">
        <v>14431</v>
      </c>
      <c r="I147" s="182">
        <v>31364</v>
      </c>
      <c r="J147" s="182">
        <v>168619</v>
      </c>
      <c r="K147">
        <v>49200</v>
      </c>
      <c r="L147">
        <v>68164</v>
      </c>
      <c r="M147">
        <v>87861</v>
      </c>
      <c r="N147">
        <v>106030</v>
      </c>
      <c r="O147">
        <v>38243</v>
      </c>
      <c r="P147">
        <v>128597</v>
      </c>
    </row>
    <row r="148" spans="1:17">
      <c r="A148" s="24" t="str">
        <f>_xll.EVPRO("Finance",$C148,"Inv_Type")</f>
        <v>Inv_Equity</v>
      </c>
      <c r="B148" s="24" t="str">
        <f t="shared" si="4"/>
        <v>Northgate Plaza (HMG)</v>
      </c>
      <c r="C148" s="24" t="str">
        <f t="shared" si="5"/>
        <v>S04097 - Northgate Plaza (HMG)</v>
      </c>
      <c r="D148" s="3"/>
      <c r="E148" s="11" t="str">
        <f xml:space="preserve"> _xll.EPMOlapMemberO("[ACCOUNT].[H1].[T_BAD_DEBT]","","T_BAD_DEBT - Tenant Bad Debt Expense","","000")</f>
        <v>T_BAD_DEBT - Tenant Bad Debt Expense</v>
      </c>
      <c r="F148" s="182">
        <v>17029</v>
      </c>
      <c r="G148" s="182">
        <v>16422</v>
      </c>
      <c r="H148" s="182">
        <v>15561</v>
      </c>
      <c r="I148" s="182">
        <v>23578</v>
      </c>
      <c r="J148" s="182">
        <v>-30073</v>
      </c>
      <c r="K148">
        <v>20495</v>
      </c>
      <c r="L148">
        <v>148455</v>
      </c>
      <c r="M148">
        <v>13601</v>
      </c>
      <c r="N148">
        <v>14665</v>
      </c>
      <c r="O148">
        <v>15399</v>
      </c>
      <c r="P148">
        <v>13092</v>
      </c>
    </row>
    <row r="149" spans="1:17">
      <c r="A149" s="24" t="str">
        <f>_xll.EVPRO("Finance",$C149,"Inv_Type")</f>
        <v>Inv_Equity</v>
      </c>
      <c r="B149" s="24" t="str">
        <f t="shared" si="4"/>
        <v>Northgate Plaza (HMG)</v>
      </c>
      <c r="C149" s="24" t="str">
        <f t="shared" si="5"/>
        <v>S04097 - Northgate Plaza (HMG)</v>
      </c>
      <c r="D149" s="3"/>
      <c r="E149" s="3" t="str">
        <f xml:space="preserve"> _xll.EPMOlapMemberO("[ACCOUNT].[H1].[T_EBITDARM]","","T_EBITDARM - EBITDARM","","000")</f>
        <v>T_EBITDARM - EBITDARM</v>
      </c>
      <c r="F149" s="182">
        <v>25436</v>
      </c>
      <c r="G149" s="182">
        <v>62411</v>
      </c>
      <c r="H149" s="182">
        <v>2114</v>
      </c>
      <c r="I149" s="182">
        <v>195454</v>
      </c>
      <c r="J149" s="182">
        <v>379504</v>
      </c>
      <c r="K149">
        <v>242527</v>
      </c>
      <c r="L149">
        <v>47561</v>
      </c>
      <c r="M149">
        <v>-133742</v>
      </c>
      <c r="N149">
        <v>24047</v>
      </c>
      <c r="O149">
        <v>31397</v>
      </c>
      <c r="P149">
        <v>-89464</v>
      </c>
      <c r="Q149">
        <v>-116721</v>
      </c>
    </row>
    <row r="150" spans="1:17">
      <c r="A150" s="24" t="str">
        <f>_xll.EVPRO("Finance",$C150,"Inv_Type")</f>
        <v>Inv_Equity</v>
      </c>
      <c r="B150" s="24" t="str">
        <f t="shared" si="4"/>
        <v>Northgate Plaza (HMG)</v>
      </c>
      <c r="C150" s="24" t="str">
        <f t="shared" si="5"/>
        <v>S04097 - Northgate Plaza (HMG)</v>
      </c>
      <c r="D150" s="3"/>
      <c r="E150" s="3" t="str">
        <f xml:space="preserve"> _xll.EPMOlapMemberO("[ACCOUNT].[H1].[T_MGMT_FEE]","","T_MGMT_FEE - Tenant Management Fee - Actual","","000")</f>
        <v>T_MGMT_FEE - Tenant Management Fee - Actual</v>
      </c>
      <c r="F150" s="182">
        <v>28381</v>
      </c>
      <c r="G150" s="182">
        <v>25184</v>
      </c>
      <c r="H150" s="182">
        <v>24312</v>
      </c>
      <c r="I150" s="182">
        <v>35190</v>
      </c>
      <c r="J150" s="182">
        <v>32185</v>
      </c>
      <c r="K150">
        <v>34158</v>
      </c>
      <c r="L150">
        <v>26162</v>
      </c>
      <c r="M150">
        <v>22990</v>
      </c>
      <c r="N150">
        <v>24441</v>
      </c>
      <c r="O150">
        <v>25665</v>
      </c>
      <c r="P150">
        <v>21820</v>
      </c>
    </row>
    <row r="151" spans="1:17">
      <c r="A151" s="24" t="str">
        <f>_xll.EVPRO("Finance",$C151,"Inv_Type")</f>
        <v>Inv_Equity</v>
      </c>
      <c r="B151" s="24" t="str">
        <f t="shared" si="4"/>
        <v>Northgate Plaza (HMG)</v>
      </c>
      <c r="C151" s="24" t="str">
        <f t="shared" si="5"/>
        <v>S04097 - Northgate Plaza (HMG)</v>
      </c>
      <c r="D151" s="3"/>
      <c r="E151" s="2" t="str">
        <f xml:space="preserve"> _xll.EPMOlapMemberO("[ACCOUNT].[H1].[T_EBITDAR]","","T_EBITDAR - EBITDAR","","000")</f>
        <v>T_EBITDAR - EBITDAR</v>
      </c>
      <c r="F151" s="182">
        <v>-2945</v>
      </c>
      <c r="G151" s="182">
        <v>37227</v>
      </c>
      <c r="H151" s="182">
        <v>-22198</v>
      </c>
      <c r="I151" s="182">
        <v>160264</v>
      </c>
      <c r="J151" s="182">
        <v>347319</v>
      </c>
      <c r="K151">
        <v>208369</v>
      </c>
      <c r="L151">
        <v>21399</v>
      </c>
      <c r="M151">
        <v>-156732</v>
      </c>
      <c r="N151">
        <v>-394</v>
      </c>
      <c r="O151">
        <v>5732</v>
      </c>
      <c r="P151">
        <v>-111284</v>
      </c>
      <c r="Q151">
        <v>-116721</v>
      </c>
    </row>
    <row r="152" spans="1:17">
      <c r="A152" s="24" t="str">
        <f>_xll.EVPRO("Finance",$C152,"Inv_Type")</f>
        <v>Inv_Equity</v>
      </c>
      <c r="B152" s="24" t="str">
        <f t="shared" si="4"/>
        <v>Northgate Plaza (HMG)</v>
      </c>
      <c r="C152" s="24" t="str">
        <f t="shared" si="5"/>
        <v>S04097 - Northgate Plaza (HMG)</v>
      </c>
      <c r="D152" s="3"/>
      <c r="E152" s="2" t="str">
        <f xml:space="preserve"> _xll.EPMOlapMemberO("[ACCOUNT].[H1].[T_RENT_EXP]","","T_RENT_EXP - Tenant Rent Expense","","000")</f>
        <v>T_RENT_EXP - Tenant Rent Expense</v>
      </c>
      <c r="F152" s="182">
        <v>99129</v>
      </c>
      <c r="G152" s="182">
        <v>101323</v>
      </c>
      <c r="H152" s="182">
        <v>101323</v>
      </c>
      <c r="I152" s="182">
        <v>101323</v>
      </c>
      <c r="J152" s="182">
        <v>101323</v>
      </c>
      <c r="K152">
        <v>101323</v>
      </c>
      <c r="L152">
        <v>101323</v>
      </c>
      <c r="M152">
        <v>101323</v>
      </c>
      <c r="N152">
        <v>101323</v>
      </c>
      <c r="O152">
        <v>101323</v>
      </c>
      <c r="P152">
        <v>101323</v>
      </c>
    </row>
    <row r="153" spans="1:17">
      <c r="A153" s="24" t="str">
        <f>_xll.EVPRO("Finance",$C153,"Inv_Type")</f>
        <v>Inv_Equity</v>
      </c>
      <c r="B153" s="24" t="str">
        <f t="shared" si="4"/>
        <v>Gulf Pointe Plaza (HMG)</v>
      </c>
      <c r="C153" s="24" t="str">
        <f t="shared" si="5"/>
        <v>S04098 - Gulf Pointe Plaza (HMG)</v>
      </c>
      <c r="D153" s="3" t="str">
        <f xml:space="preserve"> _xll.EPMOlapMemberO("[ENTITY].[H1].[S04098]","","S04098 - Gulf Pointe Plaza (HMG)","","000")</f>
        <v>S04098 - Gulf Pointe Plaza (HMG)</v>
      </c>
      <c r="E153" s="51" t="str">
        <f xml:space="preserve"> _xll.EPMOlapMemberO("[ACCOUNT].[H1].[PAY_PAT_DAYS]","","PAY_PAT_DAYS - Total Payor Patient Days","","000")</f>
        <v>PAY_PAT_DAYS - Total Payor Patient Days</v>
      </c>
      <c r="F153" s="182">
        <v>2084</v>
      </c>
      <c r="G153" s="182">
        <v>2144</v>
      </c>
      <c r="H153" s="182">
        <v>2173</v>
      </c>
      <c r="I153" s="182">
        <v>2032</v>
      </c>
      <c r="J153" s="182">
        <v>2097</v>
      </c>
      <c r="K153">
        <v>2086</v>
      </c>
      <c r="L153">
        <v>1846</v>
      </c>
      <c r="M153">
        <v>2040</v>
      </c>
      <c r="N153">
        <v>2104</v>
      </c>
      <c r="O153">
        <v>2145</v>
      </c>
      <c r="P153">
        <v>2097</v>
      </c>
      <c r="Q153">
        <v>2240</v>
      </c>
    </row>
    <row r="154" spans="1:17">
      <c r="A154" s="24" t="str">
        <f>_xll.EVPRO("Finance",$C154,"Inv_Type")</f>
        <v>Inv_Equity</v>
      </c>
      <c r="B154" s="24" t="str">
        <f t="shared" si="4"/>
        <v>Gulf Pointe Plaza (HMG)</v>
      </c>
      <c r="C154" s="24" t="str">
        <f t="shared" si="5"/>
        <v>S04098 - Gulf Pointe Plaza (HMG)</v>
      </c>
      <c r="D154" s="3"/>
      <c r="E154" s="2" t="str">
        <f xml:space="preserve"> _xll.EPMOlapMemberO("[ACCOUNT].[H1].[A_BEDS_TOTAL]","","A_BEDS_TOTAL - Total Available Beds","","000")</f>
        <v>A_BEDS_TOTAL - Total Available Beds</v>
      </c>
      <c r="F154" s="182">
        <v>120</v>
      </c>
      <c r="G154" s="182">
        <v>120</v>
      </c>
      <c r="H154" s="182">
        <v>120</v>
      </c>
      <c r="I154" s="182">
        <v>120</v>
      </c>
      <c r="J154" s="182">
        <v>120</v>
      </c>
      <c r="K154">
        <v>120</v>
      </c>
      <c r="L154">
        <v>120</v>
      </c>
      <c r="M154">
        <v>120</v>
      </c>
      <c r="N154">
        <v>120</v>
      </c>
      <c r="O154">
        <v>120</v>
      </c>
      <c r="P154">
        <v>120</v>
      </c>
      <c r="Q154">
        <v>120</v>
      </c>
    </row>
    <row r="155" spans="1:17">
      <c r="A155" s="24" t="str">
        <f>_xll.EVPRO("Finance",$C155,"Inv_Type")</f>
        <v>Inv_Equity</v>
      </c>
      <c r="B155" s="24" t="str">
        <f t="shared" si="4"/>
        <v>Gulf Pointe Plaza (HMG)</v>
      </c>
      <c r="C155" s="24" t="str">
        <f t="shared" si="5"/>
        <v>S04098 - Gulf Pointe Plaza (HMG)</v>
      </c>
      <c r="D155" s="3"/>
      <c r="E155" s="10" t="str">
        <f xml:space="preserve"> _xll.EPMOlapMemberO("[ACCOUNT].[H1].[T_REVENUES]","","T_REVENUES - Total Tenant Revenues","","000")</f>
        <v>T_REVENUES - Total Tenant Revenues</v>
      </c>
      <c r="F155" s="182">
        <v>529116</v>
      </c>
      <c r="G155" s="182">
        <v>582737</v>
      </c>
      <c r="H155" s="182">
        <v>573414</v>
      </c>
      <c r="I155" s="182">
        <v>516282</v>
      </c>
      <c r="J155" s="182">
        <v>523284</v>
      </c>
      <c r="K155">
        <v>630457</v>
      </c>
      <c r="L155">
        <v>536151</v>
      </c>
      <c r="M155">
        <v>533216</v>
      </c>
      <c r="N155">
        <v>530431</v>
      </c>
      <c r="O155">
        <v>690867</v>
      </c>
      <c r="P155">
        <v>528700</v>
      </c>
      <c r="Q155">
        <v>567300</v>
      </c>
    </row>
    <row r="156" spans="1:17">
      <c r="A156" s="24" t="str">
        <f>_xll.EVPRO("Finance",$C156,"Inv_Type")</f>
        <v>Inv_Equity</v>
      </c>
      <c r="B156" s="24" t="str">
        <f t="shared" si="4"/>
        <v>Gulf Pointe Plaza (HMG)</v>
      </c>
      <c r="C156" s="24" t="str">
        <f t="shared" si="5"/>
        <v>S04098 - Gulf Pointe Plaza (HMG)</v>
      </c>
      <c r="D156" s="3"/>
      <c r="E156" s="10" t="str">
        <f xml:space="preserve"> _xll.EPMOlapMemberO("[ACCOUNT].[H1].[T_OPEX]","","T_OPEX - Tenant Operating Expenses","","000")</f>
        <v>T_OPEX - Tenant Operating Expenses</v>
      </c>
      <c r="F156" s="182">
        <v>414206</v>
      </c>
      <c r="G156" s="182">
        <v>447113</v>
      </c>
      <c r="H156" s="182">
        <v>400883</v>
      </c>
      <c r="I156" s="182">
        <v>401530</v>
      </c>
      <c r="J156" s="182">
        <v>369530</v>
      </c>
      <c r="K156">
        <v>398717</v>
      </c>
      <c r="L156">
        <v>378117</v>
      </c>
      <c r="M156">
        <v>416061</v>
      </c>
      <c r="N156">
        <v>398298</v>
      </c>
      <c r="O156">
        <v>370594</v>
      </c>
      <c r="P156">
        <v>364479</v>
      </c>
      <c r="Q156">
        <v>398436</v>
      </c>
    </row>
    <row r="157" spans="1:17">
      <c r="A157" s="24" t="str">
        <f>_xll.EVPRO("Finance",$C157,"Inv_Type")</f>
        <v>Inv_Equity</v>
      </c>
      <c r="B157" s="24" t="str">
        <f t="shared" si="4"/>
        <v>Gulf Pointe Plaza (HMG)</v>
      </c>
      <c r="C157" s="24" t="str">
        <f t="shared" si="5"/>
        <v>S04098 - Gulf Pointe Plaza (HMG)</v>
      </c>
      <c r="D157" s="3"/>
      <c r="E157" s="2" t="str">
        <f xml:space="preserve"> _xll.EPMOlapMemberO("[ACCOUNT].[H1].[T_NON_OP_EXP]","","T_NON_OP_EXP - Tenant Non-Operating Expense","","000")</f>
        <v>T_NON_OP_EXP - Tenant Non-Operating Expense</v>
      </c>
      <c r="F157" s="182">
        <v>20762</v>
      </c>
      <c r="G157" s="182">
        <v>20991</v>
      </c>
      <c r="H157" s="182">
        <v>20301</v>
      </c>
      <c r="I157" s="182">
        <v>19520</v>
      </c>
      <c r="J157" s="182">
        <v>13510</v>
      </c>
      <c r="K157">
        <v>22565</v>
      </c>
      <c r="L157">
        <v>23127</v>
      </c>
      <c r="M157">
        <v>21923</v>
      </c>
      <c r="N157">
        <v>22494</v>
      </c>
      <c r="O157">
        <v>26544</v>
      </c>
      <c r="P157">
        <v>20914</v>
      </c>
      <c r="Q157">
        <v>18930</v>
      </c>
    </row>
    <row r="158" spans="1:17">
      <c r="A158" s="24" t="str">
        <f>_xll.EVPRO("Finance",$C158,"Inv_Type")</f>
        <v>Inv_Equity</v>
      </c>
      <c r="B158" s="24" t="str">
        <f t="shared" si="4"/>
        <v>Gulf Pointe Plaza (HMG)</v>
      </c>
      <c r="C158" s="24" t="str">
        <f t="shared" si="5"/>
        <v>S04098 - Gulf Pointe Plaza (HMG)</v>
      </c>
      <c r="D158" s="3"/>
      <c r="E158" s="11" t="str">
        <f xml:space="preserve"> _xll.EPMOlapMemberO("[ACCOUNT].[H1].[T_BAD_DEBT]","","T_BAD_DEBT - Tenant Bad Debt Expense","","000")</f>
        <v>T_BAD_DEBT - Tenant Bad Debt Expense</v>
      </c>
      <c r="F158" s="182">
        <v>9932</v>
      </c>
      <c r="G158" s="182">
        <v>10950</v>
      </c>
      <c r="H158" s="182">
        <v>10646</v>
      </c>
      <c r="I158" s="182">
        <v>9181</v>
      </c>
      <c r="J158" s="182">
        <v>9428</v>
      </c>
      <c r="K158">
        <v>11904</v>
      </c>
      <c r="L158">
        <v>11589</v>
      </c>
      <c r="M158">
        <v>9892</v>
      </c>
      <c r="N158">
        <v>9522</v>
      </c>
      <c r="O158">
        <v>-40209</v>
      </c>
      <c r="P158">
        <v>-40033</v>
      </c>
      <c r="Q158">
        <v>-13982</v>
      </c>
    </row>
    <row r="159" spans="1:17">
      <c r="A159" s="24" t="str">
        <f>_xll.EVPRO("Finance",$C159,"Inv_Type")</f>
        <v>Inv_Equity</v>
      </c>
      <c r="B159" s="24" t="str">
        <f t="shared" si="4"/>
        <v>Gulf Pointe Plaza (HMG)</v>
      </c>
      <c r="C159" s="24" t="str">
        <f t="shared" si="5"/>
        <v>S04098 - Gulf Pointe Plaza (HMG)</v>
      </c>
      <c r="D159" s="3"/>
      <c r="E159" s="3" t="str">
        <f xml:space="preserve"> _xll.EPMOlapMemberO("[ACCOUNT].[H1].[T_EBITDARM]","","T_EBITDARM - EBITDARM","","000")</f>
        <v>T_EBITDARM - EBITDARM</v>
      </c>
      <c r="F159" s="182">
        <v>114910</v>
      </c>
      <c r="G159" s="182">
        <v>135624</v>
      </c>
      <c r="H159" s="182">
        <v>172531</v>
      </c>
      <c r="I159" s="182">
        <v>114752</v>
      </c>
      <c r="J159" s="182">
        <v>153754</v>
      </c>
      <c r="K159">
        <v>231740</v>
      </c>
      <c r="L159">
        <v>158034</v>
      </c>
      <c r="M159">
        <v>117155</v>
      </c>
      <c r="N159">
        <v>132133</v>
      </c>
      <c r="O159">
        <v>320273</v>
      </c>
      <c r="P159">
        <v>164221</v>
      </c>
      <c r="Q159">
        <v>168864</v>
      </c>
    </row>
    <row r="160" spans="1:17">
      <c r="A160" s="24" t="str">
        <f>_xll.EVPRO("Finance",$C160,"Inv_Type")</f>
        <v>Inv_Equity</v>
      </c>
      <c r="B160" s="24" t="str">
        <f t="shared" si="4"/>
        <v>Gulf Pointe Plaza (HMG)</v>
      </c>
      <c r="C160" s="24" t="str">
        <f t="shared" si="5"/>
        <v>S04098 - Gulf Pointe Plaza (HMG)</v>
      </c>
      <c r="D160" s="3"/>
      <c r="E160" s="3" t="str">
        <f xml:space="preserve"> _xll.EPMOlapMemberO("[ACCOUNT].[H1].[T_MGMT_FEE]","","T_MGMT_FEE - Tenant Management Fee - Actual","","000")</f>
        <v>T_MGMT_FEE - Tenant Management Fee - Actual</v>
      </c>
      <c r="F160" s="182">
        <v>24830</v>
      </c>
      <c r="G160" s="182">
        <v>27374</v>
      </c>
      <c r="H160" s="182">
        <v>26615</v>
      </c>
      <c r="I160" s="182">
        <v>22953</v>
      </c>
      <c r="J160" s="182">
        <v>23569</v>
      </c>
      <c r="K160">
        <v>29760</v>
      </c>
      <c r="L160">
        <v>26015</v>
      </c>
      <c r="M160">
        <v>24730</v>
      </c>
      <c r="N160">
        <v>23805</v>
      </c>
      <c r="O160">
        <v>24476</v>
      </c>
      <c r="P160">
        <v>24917</v>
      </c>
      <c r="Q160">
        <v>26516</v>
      </c>
    </row>
    <row r="161" spans="1:17">
      <c r="A161" s="24" t="str">
        <f>_xll.EVPRO("Finance",$C161,"Inv_Type")</f>
        <v>Inv_Equity</v>
      </c>
      <c r="B161" s="24" t="str">
        <f t="shared" si="4"/>
        <v>Gulf Pointe Plaza (HMG)</v>
      </c>
      <c r="C161" s="24" t="str">
        <f t="shared" si="5"/>
        <v>S04098 - Gulf Pointe Plaza (HMG)</v>
      </c>
      <c r="D161" s="3"/>
      <c r="E161" s="2" t="str">
        <f xml:space="preserve"> _xll.EPMOlapMemberO("[ACCOUNT].[H1].[T_EBITDAR]","","T_EBITDAR - EBITDAR","","000")</f>
        <v>T_EBITDAR - EBITDAR</v>
      </c>
      <c r="F161" s="182">
        <v>90080</v>
      </c>
      <c r="G161" s="182">
        <v>108250</v>
      </c>
      <c r="H161" s="182">
        <v>145916</v>
      </c>
      <c r="I161" s="182">
        <v>91799</v>
      </c>
      <c r="J161" s="182">
        <v>130185</v>
      </c>
      <c r="K161">
        <v>201980</v>
      </c>
      <c r="L161">
        <v>132019</v>
      </c>
      <c r="M161">
        <v>92425</v>
      </c>
      <c r="N161">
        <v>108328</v>
      </c>
      <c r="O161">
        <v>295797</v>
      </c>
      <c r="P161">
        <v>139304</v>
      </c>
      <c r="Q161">
        <v>142348</v>
      </c>
    </row>
    <row r="162" spans="1:17">
      <c r="A162" s="24" t="str">
        <f>_xll.EVPRO("Finance",$C162,"Inv_Type")</f>
        <v>Inv_Equity</v>
      </c>
      <c r="B162" s="24" t="str">
        <f t="shared" si="4"/>
        <v>Gulf Pointe Plaza (HMG)</v>
      </c>
      <c r="C162" s="24" t="str">
        <f t="shared" si="5"/>
        <v>S04098 - Gulf Pointe Plaza (HMG)</v>
      </c>
      <c r="D162" s="3"/>
      <c r="E162" s="2" t="str">
        <f xml:space="preserve"> _xll.EPMOlapMemberO("[ACCOUNT].[H1].[T_RENT_EXP]","","T_RENT_EXP - Tenant Rent Expense","","000")</f>
        <v>T_RENT_EXP - Tenant Rent Expense</v>
      </c>
      <c r="F162" s="182">
        <v>76129</v>
      </c>
      <c r="G162" s="182">
        <v>77863</v>
      </c>
      <c r="H162" s="182">
        <v>77863</v>
      </c>
      <c r="I162" s="182">
        <v>77863</v>
      </c>
      <c r="J162" s="182">
        <v>77863</v>
      </c>
      <c r="K162">
        <v>77863</v>
      </c>
      <c r="L162">
        <v>77863</v>
      </c>
      <c r="M162">
        <v>77863</v>
      </c>
      <c r="N162">
        <v>77863</v>
      </c>
      <c r="O162">
        <v>77863</v>
      </c>
      <c r="P162">
        <v>77863</v>
      </c>
      <c r="Q162">
        <v>84432</v>
      </c>
    </row>
    <row r="163" spans="1:17">
      <c r="A163" s="24" t="str">
        <f>_xll.EVPRO("Finance",$C163,"Inv_Type")</f>
        <v>Inv_Equity</v>
      </c>
      <c r="B163" s="24" t="str">
        <f t="shared" si="4"/>
        <v>Gulf Pointe Village (ALF) (HMG)</v>
      </c>
      <c r="C163" s="24" t="str">
        <f t="shared" si="5"/>
        <v>S04099 - Gulf Pointe Village (ALF) (HMG)</v>
      </c>
      <c r="D163" s="3" t="str">
        <f xml:space="preserve"> _xll.EPMOlapMemberO("[ENTITY].[H1].[S04099]","","S04099 - Gulf Pointe Village (ALF) (HMG)","","000")</f>
        <v>S04099 - Gulf Pointe Village (ALF) (HMG)</v>
      </c>
      <c r="E163" s="51" t="str">
        <f xml:space="preserve"> _xll.EPMOlapMemberO("[ACCOUNT].[H1].[PAY_PAT_DAYS]","","PAY_PAT_DAYS - Total Payor Patient Days","","000")</f>
        <v>PAY_PAT_DAYS - Total Payor Patient Days</v>
      </c>
      <c r="F163" s="182">
        <v>989</v>
      </c>
      <c r="G163" s="182">
        <v>907</v>
      </c>
      <c r="H163" s="182">
        <v>988</v>
      </c>
      <c r="I163" s="182">
        <v>985</v>
      </c>
      <c r="J163" s="182">
        <v>1040</v>
      </c>
      <c r="K163">
        <v>991</v>
      </c>
      <c r="L163">
        <v>811</v>
      </c>
      <c r="M163">
        <v>970</v>
      </c>
      <c r="N163">
        <v>960</v>
      </c>
      <c r="O163">
        <v>1004</v>
      </c>
      <c r="P163">
        <v>938</v>
      </c>
      <c r="Q163">
        <v>931</v>
      </c>
    </row>
    <row r="164" spans="1:17">
      <c r="A164" s="24" t="str">
        <f>_xll.EVPRO("Finance",$C164,"Inv_Type")</f>
        <v>Inv_Equity</v>
      </c>
      <c r="B164" s="24" t="str">
        <f t="shared" si="4"/>
        <v>Gulf Pointe Village (ALF) (HMG)</v>
      </c>
      <c r="C164" s="24" t="str">
        <f t="shared" si="5"/>
        <v>S04099 - Gulf Pointe Village (ALF) (HMG)</v>
      </c>
      <c r="D164" s="3"/>
      <c r="E164" s="2" t="str">
        <f xml:space="preserve"> _xll.EPMOlapMemberO("[ACCOUNT].[H1].[A_BEDS_TOTAL]","","A_BEDS_TOTAL - Total Available Beds","","000")</f>
        <v>A_BEDS_TOTAL - Total Available Beds</v>
      </c>
      <c r="F164" s="182">
        <v>34</v>
      </c>
      <c r="G164" s="182">
        <v>34</v>
      </c>
      <c r="H164" s="182">
        <v>34</v>
      </c>
      <c r="I164" s="182">
        <v>34</v>
      </c>
      <c r="J164" s="182">
        <v>34</v>
      </c>
      <c r="K164">
        <v>34</v>
      </c>
      <c r="L164">
        <v>34</v>
      </c>
      <c r="M164">
        <v>34</v>
      </c>
      <c r="N164">
        <v>34</v>
      </c>
      <c r="O164">
        <v>34</v>
      </c>
      <c r="P164">
        <v>34</v>
      </c>
      <c r="Q164">
        <v>34</v>
      </c>
    </row>
    <row r="165" spans="1:17">
      <c r="A165" s="24" t="str">
        <f>_xll.EVPRO("Finance",$C165,"Inv_Type")</f>
        <v>Inv_Equity</v>
      </c>
      <c r="B165" s="24" t="str">
        <f t="shared" si="4"/>
        <v>Gulf Pointe Village (ALF) (HMG)</v>
      </c>
      <c r="C165" s="24" t="str">
        <f t="shared" si="5"/>
        <v>S04099 - Gulf Pointe Village (ALF) (HMG)</v>
      </c>
      <c r="D165" s="3"/>
      <c r="E165" s="10" t="str">
        <f xml:space="preserve"> _xll.EPMOlapMemberO("[ACCOUNT].[H1].[T_REVENUES]","","T_REVENUES - Total Tenant Revenues","","000")</f>
        <v>T_REVENUES - Total Tenant Revenues</v>
      </c>
      <c r="F165" s="182">
        <v>91475</v>
      </c>
      <c r="G165" s="182">
        <v>86509</v>
      </c>
      <c r="H165" s="182">
        <v>90206</v>
      </c>
      <c r="I165" s="182">
        <v>92421</v>
      </c>
      <c r="J165" s="182">
        <v>95663</v>
      </c>
      <c r="K165">
        <v>89118</v>
      </c>
      <c r="L165">
        <v>86627</v>
      </c>
      <c r="M165">
        <v>93841</v>
      </c>
      <c r="N165">
        <v>95649</v>
      </c>
      <c r="O165">
        <v>102697</v>
      </c>
      <c r="P165">
        <v>86477</v>
      </c>
      <c r="Q165">
        <v>88208</v>
      </c>
    </row>
    <row r="166" spans="1:17">
      <c r="A166" s="24" t="str">
        <f>_xll.EVPRO("Finance",$C166,"Inv_Type")</f>
        <v>Inv_Equity</v>
      </c>
      <c r="B166" s="24" t="str">
        <f t="shared" si="4"/>
        <v>Gulf Pointe Village (ALF) (HMG)</v>
      </c>
      <c r="C166" s="24" t="str">
        <f t="shared" si="5"/>
        <v>S04099 - Gulf Pointe Village (ALF) (HMG)</v>
      </c>
      <c r="D166" s="3"/>
      <c r="E166" s="10" t="str">
        <f xml:space="preserve"> _xll.EPMOlapMemberO("[ACCOUNT].[H1].[T_OPEX]","","T_OPEX - Tenant Operating Expenses","","000")</f>
        <v>T_OPEX - Tenant Operating Expenses</v>
      </c>
      <c r="F166" s="182">
        <v>55279</v>
      </c>
      <c r="G166" s="182">
        <v>59742</v>
      </c>
      <c r="H166" s="182">
        <v>57349</v>
      </c>
      <c r="I166" s="182">
        <v>60147</v>
      </c>
      <c r="J166" s="182">
        <v>60275</v>
      </c>
      <c r="K166">
        <v>54409</v>
      </c>
      <c r="L166">
        <v>60706</v>
      </c>
      <c r="M166">
        <v>61199</v>
      </c>
      <c r="N166">
        <v>59517</v>
      </c>
      <c r="O166">
        <v>66179</v>
      </c>
      <c r="P166">
        <v>58472</v>
      </c>
      <c r="Q166">
        <v>58502</v>
      </c>
    </row>
    <row r="167" spans="1:17">
      <c r="A167" s="24" t="str">
        <f>_xll.EVPRO("Finance",$C167,"Inv_Type")</f>
        <v>Inv_Equity</v>
      </c>
      <c r="B167" s="24" t="str">
        <f t="shared" si="4"/>
        <v>Gulf Pointe Village (ALF) (HMG)</v>
      </c>
      <c r="C167" s="24" t="str">
        <f t="shared" si="5"/>
        <v>S04099 - Gulf Pointe Village (ALF) (HMG)</v>
      </c>
      <c r="D167" s="3"/>
      <c r="E167" s="2" t="str">
        <f xml:space="preserve"> _xll.EPMOlapMemberO("[ACCOUNT].[H1].[T_NON_OP_EXP]","","T_NON_OP_EXP - Tenant Non-Operating Expense","","000")</f>
        <v>T_NON_OP_EXP - Tenant Non-Operating Expense</v>
      </c>
      <c r="F167" s="182">
        <v>7694</v>
      </c>
      <c r="G167" s="182">
        <v>8227</v>
      </c>
      <c r="H167" s="182">
        <v>8712</v>
      </c>
      <c r="I167" s="182">
        <v>8790</v>
      </c>
      <c r="J167" s="182">
        <v>10234</v>
      </c>
      <c r="K167">
        <v>9935</v>
      </c>
      <c r="L167">
        <v>4961</v>
      </c>
      <c r="M167">
        <v>6649</v>
      </c>
      <c r="N167">
        <v>7607</v>
      </c>
      <c r="O167">
        <v>7306</v>
      </c>
      <c r="P167">
        <v>6140</v>
      </c>
      <c r="Q167">
        <v>8068</v>
      </c>
    </row>
    <row r="168" spans="1:17">
      <c r="A168" s="24" t="str">
        <f>_xll.EVPRO("Finance",$C168,"Inv_Type")</f>
        <v>Inv_Equity</v>
      </c>
      <c r="B168" s="24" t="str">
        <f t="shared" si="4"/>
        <v>Gulf Pointe Village (ALF) (HMG)</v>
      </c>
      <c r="C168" s="24" t="str">
        <f t="shared" si="5"/>
        <v>S04099 - Gulf Pointe Village (ALF) (HMG)</v>
      </c>
      <c r="D168" s="3"/>
      <c r="E168" s="3" t="str">
        <f xml:space="preserve"> _xll.EPMOlapMemberO("[ACCOUNT].[H1].[T_EBITDARM]","","T_EBITDARM - EBITDARM","","000")</f>
        <v>T_EBITDARM - EBITDARM</v>
      </c>
      <c r="F168" s="182">
        <v>36196</v>
      </c>
      <c r="G168" s="182">
        <v>26767</v>
      </c>
      <c r="H168" s="182">
        <v>32857</v>
      </c>
      <c r="I168" s="182">
        <v>32274</v>
      </c>
      <c r="J168" s="182">
        <v>35388</v>
      </c>
      <c r="K168">
        <v>34709</v>
      </c>
      <c r="L168">
        <v>25921</v>
      </c>
      <c r="M168">
        <v>32642</v>
      </c>
      <c r="N168">
        <v>36132</v>
      </c>
      <c r="O168">
        <v>36518</v>
      </c>
      <c r="P168">
        <v>28005</v>
      </c>
      <c r="Q168">
        <v>29706</v>
      </c>
    </row>
    <row r="169" spans="1:17">
      <c r="A169" s="24" t="str">
        <f>_xll.EVPRO("Finance",$C169,"Inv_Type")</f>
        <v>Inv_Equity</v>
      </c>
      <c r="B169" s="24" t="str">
        <f t="shared" si="4"/>
        <v>Gulf Pointe Village (ALF) (HMG)</v>
      </c>
      <c r="C169" s="24" t="str">
        <f t="shared" si="5"/>
        <v>S04099 - Gulf Pointe Village (ALF) (HMG)</v>
      </c>
      <c r="D169" s="3"/>
      <c r="E169" s="3" t="str">
        <f xml:space="preserve"> _xll.EPMOlapMemberO("[ACCOUNT].[H1].[T_MGMT_FEE]","","T_MGMT_FEE - Tenant Management Fee - Actual","","000")</f>
        <v>T_MGMT_FEE - Tenant Management Fee - Actual</v>
      </c>
      <c r="F169" s="182">
        <v>4599</v>
      </c>
      <c r="G169" s="182">
        <v>4599</v>
      </c>
      <c r="H169" s="182">
        <v>4236</v>
      </c>
      <c r="I169" s="182">
        <v>4510</v>
      </c>
      <c r="J169" s="182">
        <v>4783</v>
      </c>
      <c r="K169">
        <v>4567</v>
      </c>
      <c r="L169">
        <v>4331</v>
      </c>
      <c r="M169">
        <v>4693</v>
      </c>
      <c r="N169">
        <v>4810</v>
      </c>
      <c r="O169">
        <v>5161</v>
      </c>
      <c r="P169">
        <v>4379</v>
      </c>
      <c r="Q169">
        <v>4410</v>
      </c>
    </row>
    <row r="170" spans="1:17">
      <c r="A170" s="24" t="str">
        <f>_xll.EVPRO("Finance",$C170,"Inv_Type")</f>
        <v>Inv_Equity</v>
      </c>
      <c r="B170" s="24" t="str">
        <f t="shared" si="4"/>
        <v>Gulf Pointe Village (ALF) (HMG)</v>
      </c>
      <c r="C170" s="24" t="str">
        <f t="shared" si="5"/>
        <v>S04099 - Gulf Pointe Village (ALF) (HMG)</v>
      </c>
      <c r="D170" s="3"/>
      <c r="E170" s="2" t="str">
        <f xml:space="preserve"> _xll.EPMOlapMemberO("[ACCOUNT].[H1].[T_EBITDAR]","","T_EBITDAR - EBITDAR","","000")</f>
        <v>T_EBITDAR - EBITDAR</v>
      </c>
      <c r="F170" s="182">
        <v>31597</v>
      </c>
      <c r="G170" s="182">
        <v>22168</v>
      </c>
      <c r="H170" s="182">
        <v>28621</v>
      </c>
      <c r="I170" s="182">
        <v>27764</v>
      </c>
      <c r="J170" s="182">
        <v>30605</v>
      </c>
      <c r="K170">
        <v>30142</v>
      </c>
      <c r="L170">
        <v>21590</v>
      </c>
      <c r="M170">
        <v>27949</v>
      </c>
      <c r="N170">
        <v>31322</v>
      </c>
      <c r="O170">
        <v>31357</v>
      </c>
      <c r="P170">
        <v>23626</v>
      </c>
      <c r="Q170">
        <v>25296</v>
      </c>
    </row>
    <row r="171" spans="1:17">
      <c r="A171" s="24" t="str">
        <f>_xll.EVPRO("Finance",$C171,"Inv_Type")</f>
        <v>Inv_Equity</v>
      </c>
      <c r="B171" s="24" t="str">
        <f t="shared" si="4"/>
        <v>Gulf Pointe Village (ALF) (HMG)</v>
      </c>
      <c r="C171" s="24" t="str">
        <f t="shared" si="5"/>
        <v>S04099 - Gulf Pointe Village (ALF) (HMG)</v>
      </c>
      <c r="D171" s="3"/>
      <c r="E171" s="2" t="str">
        <f xml:space="preserve"> _xll.EPMOlapMemberO("[ACCOUNT].[H1].[T_RENT_EXP]","","T_RENT_EXP - Tenant Rent Expense","","000")</f>
        <v>T_RENT_EXP - Tenant Rent Expense</v>
      </c>
      <c r="F171" s="182">
        <v>8929</v>
      </c>
      <c r="G171" s="182">
        <v>9319</v>
      </c>
      <c r="H171" s="182">
        <v>9319</v>
      </c>
      <c r="I171" s="182">
        <v>9319</v>
      </c>
      <c r="J171" s="182">
        <v>9319</v>
      </c>
      <c r="K171">
        <v>9319</v>
      </c>
      <c r="L171">
        <v>9319</v>
      </c>
      <c r="M171">
        <v>9319</v>
      </c>
      <c r="N171">
        <v>9319</v>
      </c>
      <c r="O171">
        <v>9319</v>
      </c>
      <c r="P171">
        <v>9319</v>
      </c>
      <c r="Q171">
        <v>10166</v>
      </c>
    </row>
    <row r="172" spans="1:17">
      <c r="A172" s="24" t="str">
        <f>_xll.EVPRO("Finance",$C172,"Inv_Type")</f>
        <v>Inv_Equity</v>
      </c>
      <c r="B172" s="24" t="str">
        <f t="shared" si="4"/>
        <v>Park Manor at Bee Cave (HMG)</v>
      </c>
      <c r="C172" s="24" t="str">
        <f t="shared" si="5"/>
        <v>S04095 - Park Manor at Bee Cave (HMG)</v>
      </c>
      <c r="D172" s="10" t="str">
        <f xml:space="preserve"> _xll.EPMOlapMemberO("[ENTITY].[H1].[S04095]","","S04095 - Park Manor at Bee Cave (HMG)","","000")</f>
        <v>S04095 - Park Manor at Bee Cave (HMG)</v>
      </c>
      <c r="E172" s="51" t="str">
        <f xml:space="preserve"> _xll.EPMOlapMemberO("[ACCOUNT].[H1].[PAY_PAT_DAYS]","","PAY_PAT_DAYS - Total Payor Patient Days","","000")</f>
        <v>PAY_PAT_DAYS - Total Payor Patient Days</v>
      </c>
      <c r="F172" s="182">
        <v>2585</v>
      </c>
      <c r="G172" s="182">
        <v>2643</v>
      </c>
      <c r="H172" s="182">
        <v>2639</v>
      </c>
      <c r="I172" s="182">
        <v>2586</v>
      </c>
      <c r="J172" s="182">
        <v>2493</v>
      </c>
      <c r="K172">
        <v>2622</v>
      </c>
      <c r="L172">
        <v>2316</v>
      </c>
      <c r="M172">
        <v>2484</v>
      </c>
      <c r="N172">
        <v>2404</v>
      </c>
      <c r="O172">
        <v>2570</v>
      </c>
      <c r="P172">
        <v>2431</v>
      </c>
    </row>
    <row r="173" spans="1:17">
      <c r="A173" s="24" t="str">
        <f>_xll.EVPRO("Finance",$C173,"Inv_Type")</f>
        <v>Inv_Equity</v>
      </c>
      <c r="B173" s="24" t="str">
        <f t="shared" si="4"/>
        <v>Park Manor at Bee Cave (HMG)</v>
      </c>
      <c r="C173" s="24" t="str">
        <f t="shared" si="5"/>
        <v>S04095 - Park Manor at Bee Cave (HMG)</v>
      </c>
      <c r="D173" s="10"/>
      <c r="E173" s="2" t="str">
        <f xml:space="preserve"> _xll.EPMOlapMemberO("[ACCOUNT].[H1].[A_BEDS_TOTAL]","","A_BEDS_TOTAL - Total Available Beds","","000")</f>
        <v>A_BEDS_TOTAL - Total Available Beds</v>
      </c>
      <c r="F173" s="182">
        <v>140</v>
      </c>
      <c r="G173" s="182">
        <v>140</v>
      </c>
      <c r="H173" s="182">
        <v>140</v>
      </c>
      <c r="I173" s="182">
        <v>140</v>
      </c>
      <c r="J173" s="182">
        <v>140</v>
      </c>
      <c r="K173">
        <v>140</v>
      </c>
      <c r="L173">
        <v>140</v>
      </c>
      <c r="M173">
        <v>140</v>
      </c>
      <c r="N173">
        <v>140</v>
      </c>
      <c r="O173">
        <v>140</v>
      </c>
      <c r="P173">
        <v>140</v>
      </c>
      <c r="Q173">
        <v>140</v>
      </c>
    </row>
    <row r="174" spans="1:17">
      <c r="A174" s="24" t="str">
        <f>_xll.EVPRO("Finance",$C174,"Inv_Type")</f>
        <v>Inv_Equity</v>
      </c>
      <c r="B174" s="24" t="str">
        <f t="shared" si="4"/>
        <v>Park Manor at Bee Cave (HMG)</v>
      </c>
      <c r="C174" s="24" t="str">
        <f t="shared" si="5"/>
        <v>S04095 - Park Manor at Bee Cave (HMG)</v>
      </c>
      <c r="D174" s="10"/>
      <c r="E174" s="10" t="str">
        <f xml:space="preserve"> _xll.EPMOlapMemberO("[ACCOUNT].[H1].[T_REVENUES]","","T_REVENUES - Total Tenant Revenues","","000")</f>
        <v>T_REVENUES - Total Tenant Revenues</v>
      </c>
      <c r="F174" s="182">
        <v>770298</v>
      </c>
      <c r="G174" s="182">
        <v>765614</v>
      </c>
      <c r="H174" s="182">
        <v>685769</v>
      </c>
      <c r="I174" s="182">
        <v>667575</v>
      </c>
      <c r="J174" s="182">
        <v>656524</v>
      </c>
      <c r="K174">
        <v>814640</v>
      </c>
      <c r="L174">
        <v>746944</v>
      </c>
      <c r="M174">
        <v>666031</v>
      </c>
      <c r="N174">
        <v>659696</v>
      </c>
      <c r="O174">
        <v>752460</v>
      </c>
      <c r="P174">
        <v>673434</v>
      </c>
      <c r="Q174">
        <v>-107424</v>
      </c>
    </row>
    <row r="175" spans="1:17">
      <c r="A175" s="24" t="str">
        <f>_xll.EVPRO("Finance",$C175,"Inv_Type")</f>
        <v>Inv_Equity</v>
      </c>
      <c r="B175" s="24" t="str">
        <f t="shared" si="4"/>
        <v>Park Manor at Bee Cave (HMG)</v>
      </c>
      <c r="C175" s="24" t="str">
        <f t="shared" si="5"/>
        <v>S04095 - Park Manor at Bee Cave (HMG)</v>
      </c>
      <c r="D175" s="10"/>
      <c r="E175" s="10" t="str">
        <f xml:space="preserve"> _xll.EPMOlapMemberO("[ACCOUNT].[H1].[T_OPEX]","","T_OPEX - Tenant Operating Expenses","","000")</f>
        <v>T_OPEX - Tenant Operating Expenses</v>
      </c>
      <c r="F175" s="182">
        <v>730422</v>
      </c>
      <c r="G175" s="182">
        <v>669740</v>
      </c>
      <c r="H175" s="182">
        <v>629628</v>
      </c>
      <c r="I175" s="182">
        <v>605535</v>
      </c>
      <c r="J175" s="182">
        <v>256249</v>
      </c>
      <c r="K175">
        <v>633436</v>
      </c>
      <c r="L175">
        <v>621506</v>
      </c>
      <c r="M175">
        <v>595503</v>
      </c>
      <c r="N175">
        <v>546205</v>
      </c>
      <c r="O175">
        <v>469975</v>
      </c>
      <c r="P175">
        <v>470856</v>
      </c>
    </row>
    <row r="176" spans="1:17">
      <c r="A176" s="24" t="str">
        <f>_xll.EVPRO("Finance",$C176,"Inv_Type")</f>
        <v>Inv_Equity</v>
      </c>
      <c r="B176" s="24" t="str">
        <f t="shared" si="4"/>
        <v>Park Manor at Bee Cave (HMG)</v>
      </c>
      <c r="C176" s="24" t="str">
        <f t="shared" si="5"/>
        <v>S04095 - Park Manor at Bee Cave (HMG)</v>
      </c>
      <c r="D176" s="10"/>
      <c r="E176" s="2" t="str">
        <f xml:space="preserve"> _xll.EPMOlapMemberO("[ACCOUNT].[H1].[T_NON_OP_EXP]","","T_NON_OP_EXP - Tenant Non-Operating Expense","","000")</f>
        <v>T_NON_OP_EXP - Tenant Non-Operating Expense</v>
      </c>
      <c r="F176" s="182">
        <v>17996</v>
      </c>
      <c r="G176" s="182">
        <v>11104</v>
      </c>
      <c r="H176" s="182">
        <v>13049</v>
      </c>
      <c r="I176" s="182">
        <v>13148</v>
      </c>
      <c r="J176" s="182">
        <v>242888</v>
      </c>
      <c r="K176">
        <v>19949</v>
      </c>
      <c r="L176">
        <v>19813</v>
      </c>
      <c r="M176">
        <v>26234</v>
      </c>
      <c r="N176">
        <v>17797</v>
      </c>
      <c r="O176">
        <v>86372</v>
      </c>
      <c r="P176">
        <v>56052</v>
      </c>
    </row>
    <row r="177" spans="1:17">
      <c r="A177" s="24" t="str">
        <f>_xll.EVPRO("Finance",$C177,"Inv_Type")</f>
        <v>Inv_Equity</v>
      </c>
      <c r="B177" s="24" t="str">
        <f t="shared" si="4"/>
        <v>Park Manor at Bee Cave (HMG)</v>
      </c>
      <c r="C177" s="24" t="str">
        <f t="shared" si="5"/>
        <v>S04095 - Park Manor at Bee Cave (HMG)</v>
      </c>
      <c r="D177" s="10"/>
      <c r="E177" s="11" t="str">
        <f xml:space="preserve"> _xll.EPMOlapMemberO("[ACCOUNT].[H1].[T_BAD_DEBT]","","T_BAD_DEBT - Tenant Bad Debt Expense","","000")</f>
        <v>T_BAD_DEBT - Tenant Bad Debt Expense</v>
      </c>
      <c r="F177" s="182">
        <v>15058</v>
      </c>
      <c r="G177" s="182">
        <v>14283</v>
      </c>
      <c r="H177" s="182">
        <v>12426</v>
      </c>
      <c r="I177" s="182">
        <v>12301</v>
      </c>
      <c r="J177" s="182">
        <v>11858</v>
      </c>
      <c r="K177">
        <v>22531</v>
      </c>
      <c r="L177">
        <v>85122</v>
      </c>
      <c r="M177">
        <v>12505</v>
      </c>
      <c r="N177">
        <v>12792</v>
      </c>
      <c r="O177">
        <v>-37166</v>
      </c>
      <c r="P177">
        <v>36207</v>
      </c>
    </row>
    <row r="178" spans="1:17">
      <c r="A178" s="24" t="str">
        <f>_xll.EVPRO("Finance",$C178,"Inv_Type")</f>
        <v>Inv_Equity</v>
      </c>
      <c r="B178" s="24" t="str">
        <f t="shared" si="4"/>
        <v>Park Manor at Bee Cave (HMG)</v>
      </c>
      <c r="C178" s="24" t="str">
        <f t="shared" si="5"/>
        <v>S04095 - Park Manor at Bee Cave (HMG)</v>
      </c>
      <c r="D178" s="10"/>
      <c r="E178" s="3" t="str">
        <f xml:space="preserve"> _xll.EPMOlapMemberO("[ACCOUNT].[H1].[T_EBITDARM]","","T_EBITDARM - EBITDARM","","000")</f>
        <v>T_EBITDARM - EBITDARM</v>
      </c>
      <c r="F178" s="182">
        <v>39876</v>
      </c>
      <c r="G178" s="182">
        <v>95874</v>
      </c>
      <c r="H178" s="182">
        <v>56141</v>
      </c>
      <c r="I178" s="182">
        <v>62040</v>
      </c>
      <c r="J178" s="182">
        <v>400275</v>
      </c>
      <c r="K178">
        <v>181204</v>
      </c>
      <c r="L178">
        <v>125438</v>
      </c>
      <c r="M178">
        <v>70528</v>
      </c>
      <c r="N178">
        <v>113491</v>
      </c>
      <c r="O178">
        <v>282485</v>
      </c>
      <c r="P178">
        <v>202578</v>
      </c>
      <c r="Q178">
        <v>-107424</v>
      </c>
    </row>
    <row r="179" spans="1:17">
      <c r="A179" s="24" t="str">
        <f>_xll.EVPRO("Finance",$C179,"Inv_Type")</f>
        <v>Inv_Equity</v>
      </c>
      <c r="B179" s="24" t="str">
        <f t="shared" si="4"/>
        <v>Park Manor at Bee Cave (HMG)</v>
      </c>
      <c r="C179" s="24" t="str">
        <f t="shared" si="5"/>
        <v>S04095 - Park Manor at Bee Cave (HMG)</v>
      </c>
      <c r="D179" s="10"/>
      <c r="E179" s="3" t="str">
        <f xml:space="preserve"> _xll.EPMOlapMemberO("[ACCOUNT].[H1].[T_MGMT_FEE]","","T_MGMT_FEE - Tenant Management Fee - Actual","","000")</f>
        <v>T_MGMT_FEE - Tenant Management Fee - Actual</v>
      </c>
      <c r="F179" s="182">
        <v>37645</v>
      </c>
      <c r="G179" s="182">
        <v>35707</v>
      </c>
      <c r="H179" s="182">
        <v>31064</v>
      </c>
      <c r="I179" s="182">
        <v>30753</v>
      </c>
      <c r="J179" s="182">
        <v>29646</v>
      </c>
      <c r="K179">
        <v>38070</v>
      </c>
      <c r="L179">
        <v>31437</v>
      </c>
      <c r="M179">
        <v>30450</v>
      </c>
      <c r="N179">
        <v>31168</v>
      </c>
      <c r="O179">
        <v>32086</v>
      </c>
      <c r="P179">
        <v>32046</v>
      </c>
    </row>
    <row r="180" spans="1:17">
      <c r="A180" s="24" t="str">
        <f>_xll.EVPRO("Finance",$C180,"Inv_Type")</f>
        <v>Inv_Equity</v>
      </c>
      <c r="B180" s="24" t="str">
        <f t="shared" si="4"/>
        <v>Park Manor at Bee Cave (HMG)</v>
      </c>
      <c r="C180" s="24" t="str">
        <f t="shared" si="5"/>
        <v>S04095 - Park Manor at Bee Cave (HMG)</v>
      </c>
      <c r="D180" s="10"/>
      <c r="E180" s="2" t="str">
        <f xml:space="preserve"> _xll.EPMOlapMemberO("[ACCOUNT].[H1].[T_EBITDAR]","","T_EBITDAR - EBITDAR","","000")</f>
        <v>T_EBITDAR - EBITDAR</v>
      </c>
      <c r="F180" s="182">
        <v>2231</v>
      </c>
      <c r="G180" s="182">
        <v>60167</v>
      </c>
      <c r="H180" s="182">
        <v>25077</v>
      </c>
      <c r="I180" s="182">
        <v>31287</v>
      </c>
      <c r="J180" s="182">
        <v>370629</v>
      </c>
      <c r="K180">
        <v>143134</v>
      </c>
      <c r="L180">
        <v>94001</v>
      </c>
      <c r="M180">
        <v>40078</v>
      </c>
      <c r="N180">
        <v>82323</v>
      </c>
      <c r="O180">
        <v>250399</v>
      </c>
      <c r="P180">
        <v>170532</v>
      </c>
      <c r="Q180">
        <v>-107424</v>
      </c>
    </row>
    <row r="181" spans="1:17">
      <c r="A181" s="24" t="str">
        <f>_xll.EVPRO("Finance",$C181,"Inv_Type")</f>
        <v>Inv_Equity</v>
      </c>
      <c r="B181" s="24" t="str">
        <f t="shared" si="4"/>
        <v>Park Manor at Bee Cave (HMG)</v>
      </c>
      <c r="C181" s="24" t="str">
        <f t="shared" si="5"/>
        <v>S04095 - Park Manor at Bee Cave (HMG)</v>
      </c>
      <c r="D181" s="10"/>
      <c r="E181" s="2" t="str">
        <f xml:space="preserve"> _xll.EPMOlapMemberO("[ACCOUNT].[H1].[T_RENT_EXP]","","T_RENT_EXP - Tenant Rent Expense","","000")</f>
        <v>T_RENT_EXP - Tenant Rent Expense</v>
      </c>
      <c r="F181" s="182">
        <v>106067</v>
      </c>
      <c r="G181" s="182">
        <v>108399</v>
      </c>
      <c r="H181" s="182">
        <v>108399</v>
      </c>
      <c r="I181" s="182">
        <v>108399</v>
      </c>
      <c r="J181" s="182">
        <v>108399</v>
      </c>
      <c r="K181">
        <v>108399</v>
      </c>
      <c r="L181">
        <v>108399</v>
      </c>
      <c r="M181">
        <v>108399</v>
      </c>
      <c r="N181">
        <v>108399</v>
      </c>
      <c r="O181">
        <v>108399</v>
      </c>
      <c r="P181">
        <v>108399</v>
      </c>
    </row>
    <row r="182" spans="1:17">
      <c r="A182" s="24" t="str">
        <f>_xll.EVPRO("Finance",$C182,"Inv_Type")</f>
        <v>Inv_Equity</v>
      </c>
      <c r="B182" s="24" t="str">
        <f t="shared" si="4"/>
        <v>Park Manor at Bee Cave (HMG)</v>
      </c>
      <c r="C182" s="24" t="str">
        <f t="shared" si="5"/>
        <v>S04095 - Park Manor at Bee Cave (HMG)</v>
      </c>
    </row>
    <row r="183" spans="1:17">
      <c r="A183" s="24" t="str">
        <f>_xll.EVPRO("Finance",$C183,"Inv_Type")</f>
        <v>Inv_Equity</v>
      </c>
      <c r="B183" s="24" t="str">
        <f t="shared" si="4"/>
        <v>Park Manor at Bee Cave (HMG)</v>
      </c>
      <c r="C183" s="24" t="str">
        <f t="shared" si="5"/>
        <v>S04095 - Park Manor at Bee Cave (HMG)</v>
      </c>
    </row>
    <row r="184" spans="1:17">
      <c r="A184" s="24" t="str">
        <f>_xll.EVPRO("Finance",$C184,"Inv_Type")</f>
        <v>Inv_Equity</v>
      </c>
      <c r="B184" s="24" t="str">
        <f t="shared" si="4"/>
        <v>Park Manor at Bee Cave (HMG)</v>
      </c>
      <c r="C184" s="24" t="str">
        <f t="shared" si="5"/>
        <v>S04095 - Park Manor at Bee Cave (HMG)</v>
      </c>
    </row>
    <row r="185" spans="1:17">
      <c r="A185" s="24" t="str">
        <f>_xll.EVPRO("Finance",$C185,"Inv_Type")</f>
        <v>Inv_Equity</v>
      </c>
      <c r="B185" s="24" t="str">
        <f t="shared" si="4"/>
        <v>Park Manor at Bee Cave (HMG)</v>
      </c>
      <c r="C185" s="24" t="str">
        <f t="shared" si="5"/>
        <v>S04095 - Park Manor at Bee Cave (HMG)</v>
      </c>
    </row>
    <row r="186" spans="1:17">
      <c r="A186" s="24" t="str">
        <f>_xll.EVPRO("Finance",$C186,"Inv_Type")</f>
        <v>Inv_Equity</v>
      </c>
      <c r="B186" s="24" t="str">
        <f t="shared" si="4"/>
        <v>Park Manor at Bee Cave (HMG)</v>
      </c>
      <c r="C186" s="24" t="str">
        <f t="shared" si="5"/>
        <v>S04095 - Park Manor at Bee Cave (HMG)</v>
      </c>
    </row>
    <row r="187" spans="1:17">
      <c r="A187" s="24" t="str">
        <f>_xll.EVPRO("Finance",$C187,"Inv_Type")</f>
        <v>Inv_Equity</v>
      </c>
      <c r="B187" s="24" t="str">
        <f t="shared" si="4"/>
        <v>Park Manor at Bee Cave (HMG)</v>
      </c>
      <c r="C187" s="24" t="str">
        <f t="shared" si="5"/>
        <v>S04095 - Park Manor at Bee Cave (HMG)</v>
      </c>
    </row>
    <row r="188" spans="1:17">
      <c r="A188" s="24" t="str">
        <f>_xll.EVPRO("Finance",$C188,"Inv_Type")</f>
        <v>Inv_Equity</v>
      </c>
      <c r="B188" s="24" t="str">
        <f t="shared" si="4"/>
        <v>Park Manor at Bee Cave (HMG)</v>
      </c>
      <c r="C188" s="24" t="str">
        <f t="shared" si="5"/>
        <v>S04095 - Park Manor at Bee Cave (HMG)</v>
      </c>
    </row>
    <row r="189" spans="1:17">
      <c r="A189" s="24" t="str">
        <f>_xll.EVPRO("Finance",$C189,"Inv_Type")</f>
        <v>Inv_Equity</v>
      </c>
      <c r="B189" s="24" t="str">
        <f t="shared" si="4"/>
        <v>Park Manor at Bee Cave (HMG)</v>
      </c>
      <c r="C189" s="24" t="str">
        <f t="shared" si="5"/>
        <v>S04095 - Park Manor at Bee Cave (HMG)</v>
      </c>
    </row>
    <row r="190" spans="1:17">
      <c r="A190" s="24" t="str">
        <f>_xll.EVPRO("Finance",$C190,"Inv_Type")</f>
        <v>Inv_Equity</v>
      </c>
      <c r="B190" s="24" t="str">
        <f t="shared" si="4"/>
        <v>Park Manor at Bee Cave (HMG)</v>
      </c>
      <c r="C190" s="24" t="str">
        <f t="shared" si="5"/>
        <v>S04095 - Park Manor at Bee Cave (HMG)</v>
      </c>
    </row>
    <row r="191" spans="1:17">
      <c r="A191" s="24" t="str">
        <f>_xll.EVPRO("Finance",$C191,"Inv_Type")</f>
        <v>Inv_Equity</v>
      </c>
      <c r="B191" s="24" t="str">
        <f t="shared" si="4"/>
        <v>Park Manor at Bee Cave (HMG)</v>
      </c>
      <c r="C191" s="24" t="str">
        <f t="shared" si="5"/>
        <v>S04095 - Park Manor at Bee Cave (HMG)</v>
      </c>
    </row>
    <row r="192" spans="1:17">
      <c r="A192" s="24" t="str">
        <f>_xll.EVPRO("Finance",$C192,"Inv_Type")</f>
        <v>Inv_Equity</v>
      </c>
      <c r="B192" s="24" t="str">
        <f t="shared" si="4"/>
        <v>Park Manor at Bee Cave (HMG)</v>
      </c>
      <c r="C192" s="24" t="str">
        <f t="shared" si="5"/>
        <v>S04095 - Park Manor at Bee Cave (HMG)</v>
      </c>
    </row>
    <row r="193" spans="1:3">
      <c r="A193" s="24" t="str">
        <f>_xll.EVPRO("Finance",$C193,"Inv_Type")</f>
        <v>Inv_Equity</v>
      </c>
      <c r="B193" s="24" t="str">
        <f t="shared" si="4"/>
        <v>Park Manor at Bee Cave (HMG)</v>
      </c>
      <c r="C193" s="24" t="str">
        <f t="shared" si="5"/>
        <v>S04095 - Park Manor at Bee Cave (HMG)</v>
      </c>
    </row>
    <row r="194" spans="1:3">
      <c r="A194" s="24" t="str">
        <f>_xll.EVPRO("Finance",$C194,"Inv_Type")</f>
        <v>Inv_Equity</v>
      </c>
      <c r="B194" s="24" t="str">
        <f t="shared" si="4"/>
        <v>Park Manor at Bee Cave (HMG)</v>
      </c>
      <c r="C194" s="24" t="str">
        <f t="shared" si="5"/>
        <v>S04095 - Park Manor at Bee Cave (HMG)</v>
      </c>
    </row>
    <row r="195" spans="1:3">
      <c r="A195" s="24" t="str">
        <f>_xll.EVPRO("Finance",$C195,"Inv_Type")</f>
        <v>Inv_Equity</v>
      </c>
      <c r="B195" s="24" t="str">
        <f t="shared" si="4"/>
        <v>Park Manor at Bee Cave (HMG)</v>
      </c>
      <c r="C195" s="24" t="str">
        <f t="shared" si="5"/>
        <v>S04095 - Park Manor at Bee Cave (HMG)</v>
      </c>
    </row>
    <row r="196" spans="1:3">
      <c r="A196" s="24" t="str">
        <f>_xll.EVPRO("Finance",$C196,"Inv_Type")</f>
        <v>Inv_Equity</v>
      </c>
      <c r="B196" s="24" t="str">
        <f t="shared" si="4"/>
        <v>Park Manor at Bee Cave (HMG)</v>
      </c>
      <c r="C196" s="24" t="str">
        <f t="shared" si="5"/>
        <v>S04095 - Park Manor at Bee Cave (HMG)</v>
      </c>
    </row>
    <row r="197" spans="1:3">
      <c r="A197" s="24" t="str">
        <f>_xll.EVPRO("Finance",$C197,"Inv_Type")</f>
        <v>Inv_Equity</v>
      </c>
      <c r="B197" s="24" t="str">
        <f t="shared" ref="B197:B260" si="6">MID($C197,FIND("- ",$C197)+2,10000)</f>
        <v>Park Manor at Bee Cave (HMG)</v>
      </c>
      <c r="C197" s="24" t="str">
        <f t="shared" si="5"/>
        <v>S04095 - Park Manor at Bee Cave (HMG)</v>
      </c>
    </row>
    <row r="198" spans="1:3">
      <c r="A198" s="24" t="str">
        <f>_xll.EVPRO("Finance",$C198,"Inv_Type")</f>
        <v>Inv_Equity</v>
      </c>
      <c r="B198" s="24" t="str">
        <f t="shared" si="6"/>
        <v>Park Manor at Bee Cave (HMG)</v>
      </c>
      <c r="C198" s="24" t="str">
        <f t="shared" ref="C198:C261" si="7">IF(D198&lt;&gt;"",D198,C197)</f>
        <v>S04095 - Park Manor at Bee Cave (HMG)</v>
      </c>
    </row>
    <row r="199" spans="1:3">
      <c r="A199" s="24" t="str">
        <f>_xll.EVPRO("Finance",$C199,"Inv_Type")</f>
        <v>Inv_Equity</v>
      </c>
      <c r="B199" s="24" t="str">
        <f t="shared" si="6"/>
        <v>Park Manor at Bee Cave (HMG)</v>
      </c>
      <c r="C199" s="24" t="str">
        <f t="shared" si="7"/>
        <v>S04095 - Park Manor at Bee Cave (HMG)</v>
      </c>
    </row>
    <row r="200" spans="1:3">
      <c r="A200" s="24" t="str">
        <f>_xll.EVPRO("Finance",$C200,"Inv_Type")</f>
        <v>Inv_Equity</v>
      </c>
      <c r="B200" s="24" t="str">
        <f t="shared" si="6"/>
        <v>Park Manor at Bee Cave (HMG)</v>
      </c>
      <c r="C200" s="24" t="str">
        <f t="shared" si="7"/>
        <v>S04095 - Park Manor at Bee Cave (HMG)</v>
      </c>
    </row>
    <row r="201" spans="1:3">
      <c r="A201" s="24" t="str">
        <f>_xll.EVPRO("Finance",$C201,"Inv_Type")</f>
        <v>Inv_Equity</v>
      </c>
      <c r="B201" s="24" t="str">
        <f t="shared" si="6"/>
        <v>Park Manor at Bee Cave (HMG)</v>
      </c>
      <c r="C201" s="24" t="str">
        <f t="shared" si="7"/>
        <v>S04095 - Park Manor at Bee Cave (HMG)</v>
      </c>
    </row>
    <row r="202" spans="1:3">
      <c r="A202" s="24" t="str">
        <f>_xll.EVPRO("Finance",$C202,"Inv_Type")</f>
        <v>Inv_Equity</v>
      </c>
      <c r="B202" s="24" t="str">
        <f t="shared" si="6"/>
        <v>Park Manor at Bee Cave (HMG)</v>
      </c>
      <c r="C202" s="24" t="str">
        <f t="shared" si="7"/>
        <v>S04095 - Park Manor at Bee Cave (HMG)</v>
      </c>
    </row>
    <row r="203" spans="1:3">
      <c r="A203" s="24" t="str">
        <f>_xll.EVPRO("Finance",$C203,"Inv_Type")</f>
        <v>Inv_Equity</v>
      </c>
      <c r="B203" s="24" t="str">
        <f t="shared" si="6"/>
        <v>Park Manor at Bee Cave (HMG)</v>
      </c>
      <c r="C203" s="24" t="str">
        <f t="shared" si="7"/>
        <v>S04095 - Park Manor at Bee Cave (HMG)</v>
      </c>
    </row>
    <row r="204" spans="1:3">
      <c r="A204" s="24" t="str">
        <f>_xll.EVPRO("Finance",$C204,"Inv_Type")</f>
        <v>Inv_Equity</v>
      </c>
      <c r="B204" s="24" t="str">
        <f t="shared" si="6"/>
        <v>Park Manor at Bee Cave (HMG)</v>
      </c>
      <c r="C204" s="24" t="str">
        <f t="shared" si="7"/>
        <v>S04095 - Park Manor at Bee Cave (HMG)</v>
      </c>
    </row>
    <row r="205" spans="1:3">
      <c r="A205" s="24" t="str">
        <f>_xll.EVPRO("Finance",$C205,"Inv_Type")</f>
        <v>Inv_Equity</v>
      </c>
      <c r="B205" s="24" t="str">
        <f t="shared" si="6"/>
        <v>Park Manor at Bee Cave (HMG)</v>
      </c>
      <c r="C205" s="24" t="str">
        <f t="shared" si="7"/>
        <v>S04095 - Park Manor at Bee Cave (HMG)</v>
      </c>
    </row>
    <row r="206" spans="1:3">
      <c r="A206" s="24" t="str">
        <f>_xll.EVPRO("Finance",$C206,"Inv_Type")</f>
        <v>Inv_Equity</v>
      </c>
      <c r="B206" s="24" t="str">
        <f t="shared" si="6"/>
        <v>Park Manor at Bee Cave (HMG)</v>
      </c>
      <c r="C206" s="24" t="str">
        <f t="shared" si="7"/>
        <v>S04095 - Park Manor at Bee Cave (HMG)</v>
      </c>
    </row>
    <row r="207" spans="1:3">
      <c r="A207" s="24" t="str">
        <f>_xll.EVPRO("Finance",$C207,"Inv_Type")</f>
        <v>Inv_Equity</v>
      </c>
      <c r="B207" s="24" t="str">
        <f t="shared" si="6"/>
        <v>Park Manor at Bee Cave (HMG)</v>
      </c>
      <c r="C207" s="24" t="str">
        <f t="shared" si="7"/>
        <v>S04095 - Park Manor at Bee Cave (HMG)</v>
      </c>
    </row>
    <row r="208" spans="1:3">
      <c r="A208" s="24" t="str">
        <f>_xll.EVPRO("Finance",$C208,"Inv_Type")</f>
        <v>Inv_Equity</v>
      </c>
      <c r="B208" s="24" t="str">
        <f t="shared" si="6"/>
        <v>Park Manor at Bee Cave (HMG)</v>
      </c>
      <c r="C208" s="24" t="str">
        <f t="shared" si="7"/>
        <v>S04095 - Park Manor at Bee Cave (HMG)</v>
      </c>
    </row>
    <row r="209" spans="1:3">
      <c r="A209" s="24" t="str">
        <f>_xll.EVPRO("Finance",$C209,"Inv_Type")</f>
        <v>Inv_Equity</v>
      </c>
      <c r="B209" s="24" t="str">
        <f t="shared" si="6"/>
        <v>Park Manor at Bee Cave (HMG)</v>
      </c>
      <c r="C209" s="24" t="str">
        <f t="shared" si="7"/>
        <v>S04095 - Park Manor at Bee Cave (HMG)</v>
      </c>
    </row>
    <row r="210" spans="1:3">
      <c r="A210" s="24" t="str">
        <f>_xll.EVPRO("Finance",$C210,"Inv_Type")</f>
        <v>Inv_Equity</v>
      </c>
      <c r="B210" s="24" t="str">
        <f t="shared" si="6"/>
        <v>Park Manor at Bee Cave (HMG)</v>
      </c>
      <c r="C210" s="24" t="str">
        <f t="shared" si="7"/>
        <v>S04095 - Park Manor at Bee Cave (HMG)</v>
      </c>
    </row>
    <row r="211" spans="1:3">
      <c r="A211" s="24" t="str">
        <f>_xll.EVPRO("Finance",$C211,"Inv_Type")</f>
        <v>Inv_Equity</v>
      </c>
      <c r="B211" s="24" t="str">
        <f t="shared" si="6"/>
        <v>Park Manor at Bee Cave (HMG)</v>
      </c>
      <c r="C211" s="24" t="str">
        <f t="shared" si="7"/>
        <v>S04095 - Park Manor at Bee Cave (HMG)</v>
      </c>
    </row>
    <row r="212" spans="1:3">
      <c r="A212" s="24" t="str">
        <f>_xll.EVPRO("Finance",$C212,"Inv_Type")</f>
        <v>Inv_Equity</v>
      </c>
      <c r="B212" s="24" t="str">
        <f t="shared" si="6"/>
        <v>Park Manor at Bee Cave (HMG)</v>
      </c>
      <c r="C212" s="24" t="str">
        <f t="shared" si="7"/>
        <v>S04095 - Park Manor at Bee Cave (HMG)</v>
      </c>
    </row>
    <row r="213" spans="1:3">
      <c r="A213" s="24" t="str">
        <f>_xll.EVPRO("Finance",$C213,"Inv_Type")</f>
        <v>Inv_Equity</v>
      </c>
      <c r="B213" s="24" t="str">
        <f t="shared" si="6"/>
        <v>Park Manor at Bee Cave (HMG)</v>
      </c>
      <c r="C213" s="24" t="str">
        <f t="shared" si="7"/>
        <v>S04095 - Park Manor at Bee Cave (HMG)</v>
      </c>
    </row>
    <row r="214" spans="1:3">
      <c r="A214" s="24" t="str">
        <f>_xll.EVPRO("Finance",$C214,"Inv_Type")</f>
        <v>Inv_Equity</v>
      </c>
      <c r="B214" s="24" t="str">
        <f t="shared" si="6"/>
        <v>Park Manor at Bee Cave (HMG)</v>
      </c>
      <c r="C214" s="24" t="str">
        <f t="shared" si="7"/>
        <v>S04095 - Park Manor at Bee Cave (HMG)</v>
      </c>
    </row>
    <row r="215" spans="1:3">
      <c r="A215" s="24" t="str">
        <f>_xll.EVPRO("Finance",$C215,"Inv_Type")</f>
        <v>Inv_Equity</v>
      </c>
      <c r="B215" s="24" t="str">
        <f t="shared" si="6"/>
        <v>Park Manor at Bee Cave (HMG)</v>
      </c>
      <c r="C215" s="24" t="str">
        <f t="shared" si="7"/>
        <v>S04095 - Park Manor at Bee Cave (HMG)</v>
      </c>
    </row>
    <row r="216" spans="1:3">
      <c r="A216" s="24" t="str">
        <f>_xll.EVPRO("Finance",$C216,"Inv_Type")</f>
        <v>Inv_Equity</v>
      </c>
      <c r="B216" s="24" t="str">
        <f t="shared" si="6"/>
        <v>Park Manor at Bee Cave (HMG)</v>
      </c>
      <c r="C216" s="24" t="str">
        <f t="shared" si="7"/>
        <v>S04095 - Park Manor at Bee Cave (HMG)</v>
      </c>
    </row>
    <row r="217" spans="1:3">
      <c r="A217" s="24" t="str">
        <f>_xll.EVPRO("Finance",$C217,"Inv_Type")</f>
        <v>Inv_Equity</v>
      </c>
      <c r="B217" s="24" t="str">
        <f t="shared" si="6"/>
        <v>Park Manor at Bee Cave (HMG)</v>
      </c>
      <c r="C217" s="24" t="str">
        <f t="shared" si="7"/>
        <v>S04095 - Park Manor at Bee Cave (HMG)</v>
      </c>
    </row>
    <row r="218" spans="1:3">
      <c r="A218" s="24" t="str">
        <f>_xll.EVPRO("Finance",$C218,"Inv_Type")</f>
        <v>Inv_Equity</v>
      </c>
      <c r="B218" s="24" t="str">
        <f t="shared" si="6"/>
        <v>Park Manor at Bee Cave (HMG)</v>
      </c>
      <c r="C218" s="24" t="str">
        <f t="shared" si="7"/>
        <v>S04095 - Park Manor at Bee Cave (HMG)</v>
      </c>
    </row>
    <row r="219" spans="1:3">
      <c r="A219" s="24" t="str">
        <f>_xll.EVPRO("Finance",$C219,"Inv_Type")</f>
        <v>Inv_Equity</v>
      </c>
      <c r="B219" s="24" t="str">
        <f t="shared" si="6"/>
        <v>Park Manor at Bee Cave (HMG)</v>
      </c>
      <c r="C219" s="24" t="str">
        <f t="shared" si="7"/>
        <v>S04095 - Park Manor at Bee Cave (HMG)</v>
      </c>
    </row>
    <row r="220" spans="1:3">
      <c r="A220" s="24" t="str">
        <f>_xll.EVPRO("Finance",$C220,"Inv_Type")</f>
        <v>Inv_Equity</v>
      </c>
      <c r="B220" s="24" t="str">
        <f t="shared" si="6"/>
        <v>Park Manor at Bee Cave (HMG)</v>
      </c>
      <c r="C220" s="24" t="str">
        <f t="shared" si="7"/>
        <v>S04095 - Park Manor at Bee Cave (HMG)</v>
      </c>
    </row>
    <row r="221" spans="1:3">
      <c r="A221" s="24" t="str">
        <f>_xll.EVPRO("Finance",$C221,"Inv_Type")</f>
        <v>Inv_Equity</v>
      </c>
      <c r="B221" s="24" t="str">
        <f t="shared" si="6"/>
        <v>Park Manor at Bee Cave (HMG)</v>
      </c>
      <c r="C221" s="24" t="str">
        <f t="shared" si="7"/>
        <v>S04095 - Park Manor at Bee Cave (HMG)</v>
      </c>
    </row>
    <row r="222" spans="1:3">
      <c r="A222" s="24" t="str">
        <f>_xll.EVPRO("Finance",$C222,"Inv_Type")</f>
        <v>Inv_Equity</v>
      </c>
      <c r="B222" s="24" t="str">
        <f t="shared" si="6"/>
        <v>Park Manor at Bee Cave (HMG)</v>
      </c>
      <c r="C222" s="24" t="str">
        <f t="shared" si="7"/>
        <v>S04095 - Park Manor at Bee Cave (HMG)</v>
      </c>
    </row>
    <row r="223" spans="1:3">
      <c r="A223" s="24" t="str">
        <f>_xll.EVPRO("Finance",$C223,"Inv_Type")</f>
        <v>Inv_Equity</v>
      </c>
      <c r="B223" s="24" t="str">
        <f t="shared" si="6"/>
        <v>Park Manor at Bee Cave (HMG)</v>
      </c>
      <c r="C223" s="24" t="str">
        <f t="shared" si="7"/>
        <v>S04095 - Park Manor at Bee Cave (HMG)</v>
      </c>
    </row>
    <row r="224" spans="1:3">
      <c r="A224" s="24" t="str">
        <f>_xll.EVPRO("Finance",$C224,"Inv_Type")</f>
        <v>Inv_Equity</v>
      </c>
      <c r="B224" s="24" t="str">
        <f t="shared" si="6"/>
        <v>Park Manor at Bee Cave (HMG)</v>
      </c>
      <c r="C224" s="24" t="str">
        <f t="shared" si="7"/>
        <v>S04095 - Park Manor at Bee Cave (HMG)</v>
      </c>
    </row>
    <row r="225" spans="1:3">
      <c r="A225" s="24" t="str">
        <f>_xll.EVPRO("Finance",$C225,"Inv_Type")</f>
        <v>Inv_Equity</v>
      </c>
      <c r="B225" s="24" t="str">
        <f t="shared" si="6"/>
        <v>Park Manor at Bee Cave (HMG)</v>
      </c>
      <c r="C225" s="24" t="str">
        <f t="shared" si="7"/>
        <v>S04095 - Park Manor at Bee Cave (HMG)</v>
      </c>
    </row>
    <row r="226" spans="1:3">
      <c r="A226" s="24" t="str">
        <f>_xll.EVPRO("Finance",$C226,"Inv_Type")</f>
        <v>Inv_Equity</v>
      </c>
      <c r="B226" s="24" t="str">
        <f t="shared" si="6"/>
        <v>Park Manor at Bee Cave (HMG)</v>
      </c>
      <c r="C226" s="24" t="str">
        <f t="shared" si="7"/>
        <v>S04095 - Park Manor at Bee Cave (HMG)</v>
      </c>
    </row>
    <row r="227" spans="1:3">
      <c r="A227" s="24" t="str">
        <f>_xll.EVPRO("Finance",$C227,"Inv_Type")</f>
        <v>Inv_Equity</v>
      </c>
      <c r="B227" s="24" t="str">
        <f t="shared" si="6"/>
        <v>Park Manor at Bee Cave (HMG)</v>
      </c>
      <c r="C227" s="24" t="str">
        <f t="shared" si="7"/>
        <v>S04095 - Park Manor at Bee Cave (HMG)</v>
      </c>
    </row>
    <row r="228" spans="1:3">
      <c r="A228" s="24" t="str">
        <f>_xll.EVPRO("Finance",$C228,"Inv_Type")</f>
        <v>Inv_Equity</v>
      </c>
      <c r="B228" s="24" t="str">
        <f t="shared" si="6"/>
        <v>Park Manor at Bee Cave (HMG)</v>
      </c>
      <c r="C228" s="24" t="str">
        <f t="shared" si="7"/>
        <v>S04095 - Park Manor at Bee Cave (HMG)</v>
      </c>
    </row>
    <row r="229" spans="1:3">
      <c r="A229" s="24" t="str">
        <f>_xll.EVPRO("Finance",$C229,"Inv_Type")</f>
        <v>Inv_Equity</v>
      </c>
      <c r="B229" s="24" t="str">
        <f t="shared" si="6"/>
        <v>Park Manor at Bee Cave (HMG)</v>
      </c>
      <c r="C229" s="24" t="str">
        <f t="shared" si="7"/>
        <v>S04095 - Park Manor at Bee Cave (HMG)</v>
      </c>
    </row>
    <row r="230" spans="1:3">
      <c r="A230" s="24" t="str">
        <f>_xll.EVPRO("Finance",$C230,"Inv_Type")</f>
        <v>Inv_Equity</v>
      </c>
      <c r="B230" s="24" t="str">
        <f t="shared" si="6"/>
        <v>Park Manor at Bee Cave (HMG)</v>
      </c>
      <c r="C230" s="24" t="str">
        <f t="shared" si="7"/>
        <v>S04095 - Park Manor at Bee Cave (HMG)</v>
      </c>
    </row>
    <row r="231" spans="1:3">
      <c r="A231" s="24" t="str">
        <f>_xll.EVPRO("Finance",$C231,"Inv_Type")</f>
        <v>Inv_Equity</v>
      </c>
      <c r="B231" s="24" t="str">
        <f t="shared" si="6"/>
        <v>Park Manor at Bee Cave (HMG)</v>
      </c>
      <c r="C231" s="24" t="str">
        <f t="shared" si="7"/>
        <v>S04095 - Park Manor at Bee Cave (HMG)</v>
      </c>
    </row>
    <row r="232" spans="1:3">
      <c r="A232" s="24" t="str">
        <f>_xll.EVPRO("Finance",$C232,"Inv_Type")</f>
        <v>Inv_Equity</v>
      </c>
      <c r="B232" s="24" t="str">
        <f t="shared" si="6"/>
        <v>Park Manor at Bee Cave (HMG)</v>
      </c>
      <c r="C232" s="24" t="str">
        <f t="shared" si="7"/>
        <v>S04095 - Park Manor at Bee Cave (HMG)</v>
      </c>
    </row>
    <row r="233" spans="1:3">
      <c r="A233" s="24" t="str">
        <f>_xll.EVPRO("Finance",$C233,"Inv_Type")</f>
        <v>Inv_Equity</v>
      </c>
      <c r="B233" s="24" t="str">
        <f t="shared" si="6"/>
        <v>Park Manor at Bee Cave (HMG)</v>
      </c>
      <c r="C233" s="24" t="str">
        <f t="shared" si="7"/>
        <v>S04095 - Park Manor at Bee Cave (HMG)</v>
      </c>
    </row>
    <row r="234" spans="1:3">
      <c r="A234" s="24" t="str">
        <f>_xll.EVPRO("Finance",$C234,"Inv_Type")</f>
        <v>Inv_Equity</v>
      </c>
      <c r="B234" s="24" t="str">
        <f t="shared" si="6"/>
        <v>Park Manor at Bee Cave (HMG)</v>
      </c>
      <c r="C234" s="24" t="str">
        <f t="shared" si="7"/>
        <v>S04095 - Park Manor at Bee Cave (HMG)</v>
      </c>
    </row>
    <row r="235" spans="1:3">
      <c r="A235" s="24" t="str">
        <f>_xll.EVPRO("Finance",$C235,"Inv_Type")</f>
        <v>Inv_Equity</v>
      </c>
      <c r="B235" s="24" t="str">
        <f t="shared" si="6"/>
        <v>Park Manor at Bee Cave (HMG)</v>
      </c>
      <c r="C235" s="24" t="str">
        <f t="shared" si="7"/>
        <v>S04095 - Park Manor at Bee Cave (HMG)</v>
      </c>
    </row>
    <row r="236" spans="1:3">
      <c r="A236" s="24" t="str">
        <f>_xll.EVPRO("Finance",$C236,"Inv_Type")</f>
        <v>Inv_Equity</v>
      </c>
      <c r="B236" s="24" t="str">
        <f t="shared" si="6"/>
        <v>Park Manor at Bee Cave (HMG)</v>
      </c>
      <c r="C236" s="24" t="str">
        <f t="shared" si="7"/>
        <v>S04095 - Park Manor at Bee Cave (HMG)</v>
      </c>
    </row>
    <row r="237" spans="1:3">
      <c r="A237" s="24" t="str">
        <f>_xll.EVPRO("Finance",$C237,"Inv_Type")</f>
        <v>Inv_Equity</v>
      </c>
      <c r="B237" s="24" t="str">
        <f t="shared" si="6"/>
        <v>Park Manor at Bee Cave (HMG)</v>
      </c>
      <c r="C237" s="24" t="str">
        <f t="shared" si="7"/>
        <v>S04095 - Park Manor at Bee Cave (HMG)</v>
      </c>
    </row>
    <row r="238" spans="1:3">
      <c r="A238" s="24" t="str">
        <f>_xll.EVPRO("Finance",$C238,"Inv_Type")</f>
        <v>Inv_Equity</v>
      </c>
      <c r="B238" s="24" t="str">
        <f t="shared" si="6"/>
        <v>Park Manor at Bee Cave (HMG)</v>
      </c>
      <c r="C238" s="24" t="str">
        <f t="shared" si="7"/>
        <v>S04095 - Park Manor at Bee Cave (HMG)</v>
      </c>
    </row>
    <row r="239" spans="1:3">
      <c r="A239" s="24" t="str">
        <f>_xll.EVPRO("Finance",$C239,"Inv_Type")</f>
        <v>Inv_Equity</v>
      </c>
      <c r="B239" s="24" t="str">
        <f t="shared" si="6"/>
        <v>Park Manor at Bee Cave (HMG)</v>
      </c>
      <c r="C239" s="24" t="str">
        <f t="shared" si="7"/>
        <v>S04095 - Park Manor at Bee Cave (HMG)</v>
      </c>
    </row>
    <row r="240" spans="1:3">
      <c r="A240" s="24" t="str">
        <f>_xll.EVPRO("Finance",$C240,"Inv_Type")</f>
        <v>Inv_Equity</v>
      </c>
      <c r="B240" s="24" t="str">
        <f t="shared" si="6"/>
        <v>Park Manor at Bee Cave (HMG)</v>
      </c>
      <c r="C240" s="24" t="str">
        <f t="shared" si="7"/>
        <v>S04095 - Park Manor at Bee Cave (HMG)</v>
      </c>
    </row>
    <row r="241" spans="1:3">
      <c r="A241" s="24" t="str">
        <f>_xll.EVPRO("Finance",$C241,"Inv_Type")</f>
        <v>Inv_Equity</v>
      </c>
      <c r="B241" s="24" t="str">
        <f t="shared" si="6"/>
        <v>Park Manor at Bee Cave (HMG)</v>
      </c>
      <c r="C241" s="24" t="str">
        <f t="shared" si="7"/>
        <v>S04095 - Park Manor at Bee Cave (HMG)</v>
      </c>
    </row>
    <row r="242" spans="1:3">
      <c r="A242" s="24" t="str">
        <f>_xll.EVPRO("Finance",$C242,"Inv_Type")</f>
        <v>Inv_Equity</v>
      </c>
      <c r="B242" s="24" t="str">
        <f t="shared" si="6"/>
        <v>Park Manor at Bee Cave (HMG)</v>
      </c>
      <c r="C242" s="24" t="str">
        <f t="shared" si="7"/>
        <v>S04095 - Park Manor at Bee Cave (HMG)</v>
      </c>
    </row>
    <row r="243" spans="1:3">
      <c r="A243" s="24" t="str">
        <f>_xll.EVPRO("Finance",$C243,"Inv_Type")</f>
        <v>Inv_Equity</v>
      </c>
      <c r="B243" s="24" t="str">
        <f t="shared" si="6"/>
        <v>Park Manor at Bee Cave (HMG)</v>
      </c>
      <c r="C243" s="24" t="str">
        <f t="shared" si="7"/>
        <v>S04095 - Park Manor at Bee Cave (HMG)</v>
      </c>
    </row>
    <row r="244" spans="1:3">
      <c r="A244" s="24" t="str">
        <f>_xll.EVPRO("Finance",$C244,"Inv_Type")</f>
        <v>Inv_Equity</v>
      </c>
      <c r="B244" s="24" t="str">
        <f t="shared" si="6"/>
        <v>Park Manor at Bee Cave (HMG)</v>
      </c>
      <c r="C244" s="24" t="str">
        <f t="shared" si="7"/>
        <v>S04095 - Park Manor at Bee Cave (HMG)</v>
      </c>
    </row>
    <row r="245" spans="1:3">
      <c r="A245" s="24" t="str">
        <f>_xll.EVPRO("Finance",$C245,"Inv_Type")</f>
        <v>Inv_Equity</v>
      </c>
      <c r="B245" s="24" t="str">
        <f t="shared" si="6"/>
        <v>Park Manor at Bee Cave (HMG)</v>
      </c>
      <c r="C245" s="24" t="str">
        <f t="shared" si="7"/>
        <v>S04095 - Park Manor at Bee Cave (HMG)</v>
      </c>
    </row>
    <row r="246" spans="1:3">
      <c r="A246" s="24" t="str">
        <f>_xll.EVPRO("Finance",$C246,"Inv_Type")</f>
        <v>Inv_Equity</v>
      </c>
      <c r="B246" s="24" t="str">
        <f t="shared" si="6"/>
        <v>Park Manor at Bee Cave (HMG)</v>
      </c>
      <c r="C246" s="24" t="str">
        <f t="shared" si="7"/>
        <v>S04095 - Park Manor at Bee Cave (HMG)</v>
      </c>
    </row>
    <row r="247" spans="1:3">
      <c r="A247" s="24" t="str">
        <f>_xll.EVPRO("Finance",$C247,"Inv_Type")</f>
        <v>Inv_Equity</v>
      </c>
      <c r="B247" s="24" t="str">
        <f t="shared" si="6"/>
        <v>Park Manor at Bee Cave (HMG)</v>
      </c>
      <c r="C247" s="24" t="str">
        <f t="shared" si="7"/>
        <v>S04095 - Park Manor at Bee Cave (HMG)</v>
      </c>
    </row>
    <row r="248" spans="1:3">
      <c r="A248" s="24" t="str">
        <f>_xll.EVPRO("Finance",$C248,"Inv_Type")</f>
        <v>Inv_Equity</v>
      </c>
      <c r="B248" s="24" t="str">
        <f t="shared" si="6"/>
        <v>Park Manor at Bee Cave (HMG)</v>
      </c>
      <c r="C248" s="24" t="str">
        <f t="shared" si="7"/>
        <v>S04095 - Park Manor at Bee Cave (HMG)</v>
      </c>
    </row>
    <row r="249" spans="1:3">
      <c r="A249" s="24" t="str">
        <f>_xll.EVPRO("Finance",$C249,"Inv_Type")</f>
        <v>Inv_Equity</v>
      </c>
      <c r="B249" s="24" t="str">
        <f t="shared" si="6"/>
        <v>Park Manor at Bee Cave (HMG)</v>
      </c>
      <c r="C249" s="24" t="str">
        <f t="shared" si="7"/>
        <v>S04095 - Park Manor at Bee Cave (HMG)</v>
      </c>
    </row>
    <row r="250" spans="1:3">
      <c r="A250" s="24" t="str">
        <f>_xll.EVPRO("Finance",$C250,"Inv_Type")</f>
        <v>Inv_Equity</v>
      </c>
      <c r="B250" s="24" t="str">
        <f t="shared" si="6"/>
        <v>Park Manor at Bee Cave (HMG)</v>
      </c>
      <c r="C250" s="24" t="str">
        <f t="shared" si="7"/>
        <v>S04095 - Park Manor at Bee Cave (HMG)</v>
      </c>
    </row>
    <row r="251" spans="1:3">
      <c r="A251" s="24" t="str">
        <f>_xll.EVPRO("Finance",$C251,"Inv_Type")</f>
        <v>Inv_Equity</v>
      </c>
      <c r="B251" s="24" t="str">
        <f t="shared" si="6"/>
        <v>Park Manor at Bee Cave (HMG)</v>
      </c>
      <c r="C251" s="24" t="str">
        <f t="shared" si="7"/>
        <v>S04095 - Park Manor at Bee Cave (HMG)</v>
      </c>
    </row>
    <row r="252" spans="1:3">
      <c r="A252" s="24" t="str">
        <f>_xll.EVPRO("Finance",$C252,"Inv_Type")</f>
        <v>Inv_Equity</v>
      </c>
      <c r="B252" s="24" t="str">
        <f t="shared" si="6"/>
        <v>Park Manor at Bee Cave (HMG)</v>
      </c>
      <c r="C252" s="24" t="str">
        <f t="shared" si="7"/>
        <v>S04095 - Park Manor at Bee Cave (HMG)</v>
      </c>
    </row>
    <row r="253" spans="1:3">
      <c r="A253" s="24" t="str">
        <f>_xll.EVPRO("Finance",$C253,"Inv_Type")</f>
        <v>Inv_Equity</v>
      </c>
      <c r="B253" s="24" t="str">
        <f t="shared" si="6"/>
        <v>Park Manor at Bee Cave (HMG)</v>
      </c>
      <c r="C253" s="24" t="str">
        <f t="shared" si="7"/>
        <v>S04095 - Park Manor at Bee Cave (HMG)</v>
      </c>
    </row>
    <row r="254" spans="1:3">
      <c r="A254" s="24" t="str">
        <f>_xll.EVPRO("Finance",$C254,"Inv_Type")</f>
        <v>Inv_Equity</v>
      </c>
      <c r="B254" s="24" t="str">
        <f t="shared" si="6"/>
        <v>Park Manor at Bee Cave (HMG)</v>
      </c>
      <c r="C254" s="24" t="str">
        <f t="shared" si="7"/>
        <v>S04095 - Park Manor at Bee Cave (HMG)</v>
      </c>
    </row>
    <row r="255" spans="1:3">
      <c r="A255" s="24" t="str">
        <f>_xll.EVPRO("Finance",$C255,"Inv_Type")</f>
        <v>Inv_Equity</v>
      </c>
      <c r="B255" s="24" t="str">
        <f t="shared" si="6"/>
        <v>Park Manor at Bee Cave (HMG)</v>
      </c>
      <c r="C255" s="24" t="str">
        <f t="shared" si="7"/>
        <v>S04095 - Park Manor at Bee Cave (HMG)</v>
      </c>
    </row>
    <row r="256" spans="1:3">
      <c r="A256" s="24" t="str">
        <f>_xll.EVPRO("Finance",$C256,"Inv_Type")</f>
        <v>Inv_Equity</v>
      </c>
      <c r="B256" s="24" t="str">
        <f t="shared" si="6"/>
        <v>Park Manor at Bee Cave (HMG)</v>
      </c>
      <c r="C256" s="24" t="str">
        <f t="shared" si="7"/>
        <v>S04095 - Park Manor at Bee Cave (HMG)</v>
      </c>
    </row>
    <row r="257" spans="1:3">
      <c r="A257" s="24" t="str">
        <f>_xll.EVPRO("Finance",$C257,"Inv_Type")</f>
        <v>Inv_Equity</v>
      </c>
      <c r="B257" s="24" t="str">
        <f t="shared" si="6"/>
        <v>Park Manor at Bee Cave (HMG)</v>
      </c>
      <c r="C257" s="24" t="str">
        <f t="shared" si="7"/>
        <v>S04095 - Park Manor at Bee Cave (HMG)</v>
      </c>
    </row>
    <row r="258" spans="1:3">
      <c r="A258" s="24" t="str">
        <f>_xll.EVPRO("Finance",$C258,"Inv_Type")</f>
        <v>Inv_Equity</v>
      </c>
      <c r="B258" s="24" t="str">
        <f t="shared" si="6"/>
        <v>Park Manor at Bee Cave (HMG)</v>
      </c>
      <c r="C258" s="24" t="str">
        <f t="shared" si="7"/>
        <v>S04095 - Park Manor at Bee Cave (HMG)</v>
      </c>
    </row>
    <row r="259" spans="1:3">
      <c r="A259" s="24" t="str">
        <f>_xll.EVPRO("Finance",$C259,"Inv_Type")</f>
        <v>Inv_Equity</v>
      </c>
      <c r="B259" s="24" t="str">
        <f t="shared" si="6"/>
        <v>Park Manor at Bee Cave (HMG)</v>
      </c>
      <c r="C259" s="24" t="str">
        <f t="shared" si="7"/>
        <v>S04095 - Park Manor at Bee Cave (HMG)</v>
      </c>
    </row>
    <row r="260" spans="1:3">
      <c r="A260" s="24" t="str">
        <f>_xll.EVPRO("Finance",$C260,"Inv_Type")</f>
        <v>Inv_Equity</v>
      </c>
      <c r="B260" s="24" t="str">
        <f t="shared" si="6"/>
        <v>Park Manor at Bee Cave (HMG)</v>
      </c>
      <c r="C260" s="24" t="str">
        <f t="shared" si="7"/>
        <v>S04095 - Park Manor at Bee Cave (HMG)</v>
      </c>
    </row>
    <row r="261" spans="1:3">
      <c r="A261" s="24" t="str">
        <f>_xll.EVPRO("Finance",$C261,"Inv_Type")</f>
        <v>Inv_Equity</v>
      </c>
      <c r="B261" s="24" t="str">
        <f t="shared" ref="B261:B324" si="8">MID($C261,FIND("- ",$C261)+2,10000)</f>
        <v>Park Manor at Bee Cave (HMG)</v>
      </c>
      <c r="C261" s="24" t="str">
        <f t="shared" si="7"/>
        <v>S04095 - Park Manor at Bee Cave (HMG)</v>
      </c>
    </row>
    <row r="262" spans="1:3">
      <c r="A262" s="24" t="str">
        <f>_xll.EVPRO("Finance",$C262,"Inv_Type")</f>
        <v>Inv_Equity</v>
      </c>
      <c r="B262" s="24" t="str">
        <f t="shared" si="8"/>
        <v>Park Manor at Bee Cave (HMG)</v>
      </c>
      <c r="C262" s="24" t="str">
        <f t="shared" ref="C262:C325" si="9">IF(D262&lt;&gt;"",D262,C261)</f>
        <v>S04095 - Park Manor at Bee Cave (HMG)</v>
      </c>
    </row>
    <row r="263" spans="1:3">
      <c r="A263" s="24" t="str">
        <f>_xll.EVPRO("Finance",$C263,"Inv_Type")</f>
        <v>Inv_Equity</v>
      </c>
      <c r="B263" s="24" t="str">
        <f t="shared" si="8"/>
        <v>Park Manor at Bee Cave (HMG)</v>
      </c>
      <c r="C263" s="24" t="str">
        <f t="shared" si="9"/>
        <v>S04095 - Park Manor at Bee Cave (HMG)</v>
      </c>
    </row>
    <row r="264" spans="1:3">
      <c r="A264" s="24" t="str">
        <f>_xll.EVPRO("Finance",$C264,"Inv_Type")</f>
        <v>Inv_Equity</v>
      </c>
      <c r="B264" s="24" t="str">
        <f t="shared" si="8"/>
        <v>Park Manor at Bee Cave (HMG)</v>
      </c>
      <c r="C264" s="24" t="str">
        <f t="shared" si="9"/>
        <v>S04095 - Park Manor at Bee Cave (HMG)</v>
      </c>
    </row>
    <row r="265" spans="1:3">
      <c r="A265" s="24" t="str">
        <f>_xll.EVPRO("Finance",$C265,"Inv_Type")</f>
        <v>Inv_Equity</v>
      </c>
      <c r="B265" s="24" t="str">
        <f t="shared" si="8"/>
        <v>Park Manor at Bee Cave (HMG)</v>
      </c>
      <c r="C265" s="24" t="str">
        <f t="shared" si="9"/>
        <v>S04095 - Park Manor at Bee Cave (HMG)</v>
      </c>
    </row>
    <row r="266" spans="1:3">
      <c r="A266" s="24" t="str">
        <f>_xll.EVPRO("Finance",$C266,"Inv_Type")</f>
        <v>Inv_Equity</v>
      </c>
      <c r="B266" s="24" t="str">
        <f t="shared" si="8"/>
        <v>Park Manor at Bee Cave (HMG)</v>
      </c>
      <c r="C266" s="24" t="str">
        <f t="shared" si="9"/>
        <v>S04095 - Park Manor at Bee Cave (HMG)</v>
      </c>
    </row>
    <row r="267" spans="1:3">
      <c r="A267" s="24" t="str">
        <f>_xll.EVPRO("Finance",$C267,"Inv_Type")</f>
        <v>Inv_Equity</v>
      </c>
      <c r="B267" s="24" t="str">
        <f t="shared" si="8"/>
        <v>Park Manor at Bee Cave (HMG)</v>
      </c>
      <c r="C267" s="24" t="str">
        <f t="shared" si="9"/>
        <v>S04095 - Park Manor at Bee Cave (HMG)</v>
      </c>
    </row>
    <row r="268" spans="1:3">
      <c r="A268" s="24" t="str">
        <f>_xll.EVPRO("Finance",$C268,"Inv_Type")</f>
        <v>Inv_Equity</v>
      </c>
      <c r="B268" s="24" t="str">
        <f t="shared" si="8"/>
        <v>Park Manor at Bee Cave (HMG)</v>
      </c>
      <c r="C268" s="24" t="str">
        <f t="shared" si="9"/>
        <v>S04095 - Park Manor at Bee Cave (HMG)</v>
      </c>
    </row>
    <row r="269" spans="1:3">
      <c r="A269" s="24" t="str">
        <f>_xll.EVPRO("Finance",$C269,"Inv_Type")</f>
        <v>Inv_Equity</v>
      </c>
      <c r="B269" s="24" t="str">
        <f t="shared" si="8"/>
        <v>Park Manor at Bee Cave (HMG)</v>
      </c>
      <c r="C269" s="24" t="str">
        <f t="shared" si="9"/>
        <v>S04095 - Park Manor at Bee Cave (HMG)</v>
      </c>
    </row>
    <row r="270" spans="1:3">
      <c r="A270" s="24" t="str">
        <f>_xll.EVPRO("Finance",$C270,"Inv_Type")</f>
        <v>Inv_Equity</v>
      </c>
      <c r="B270" s="24" t="str">
        <f t="shared" si="8"/>
        <v>Park Manor at Bee Cave (HMG)</v>
      </c>
      <c r="C270" s="24" t="str">
        <f t="shared" si="9"/>
        <v>S04095 - Park Manor at Bee Cave (HMG)</v>
      </c>
    </row>
    <row r="271" spans="1:3">
      <c r="A271" s="24" t="str">
        <f>_xll.EVPRO("Finance",$C271,"Inv_Type")</f>
        <v>Inv_Equity</v>
      </c>
      <c r="B271" s="24" t="str">
        <f t="shared" si="8"/>
        <v>Park Manor at Bee Cave (HMG)</v>
      </c>
      <c r="C271" s="24" t="str">
        <f t="shared" si="9"/>
        <v>S04095 - Park Manor at Bee Cave (HMG)</v>
      </c>
    </row>
    <row r="272" spans="1:3">
      <c r="A272" s="24" t="str">
        <f>_xll.EVPRO("Finance",$C272,"Inv_Type")</f>
        <v>Inv_Equity</v>
      </c>
      <c r="B272" s="24" t="str">
        <f t="shared" si="8"/>
        <v>Park Manor at Bee Cave (HMG)</v>
      </c>
      <c r="C272" s="24" t="str">
        <f t="shared" si="9"/>
        <v>S04095 - Park Manor at Bee Cave (HMG)</v>
      </c>
    </row>
    <row r="273" spans="1:3">
      <c r="A273" s="24" t="str">
        <f>_xll.EVPRO("Finance",$C273,"Inv_Type")</f>
        <v>Inv_Equity</v>
      </c>
      <c r="B273" s="24" t="str">
        <f t="shared" si="8"/>
        <v>Park Manor at Bee Cave (HMG)</v>
      </c>
      <c r="C273" s="24" t="str">
        <f t="shared" si="9"/>
        <v>S04095 - Park Manor at Bee Cave (HMG)</v>
      </c>
    </row>
    <row r="274" spans="1:3">
      <c r="A274" s="24" t="str">
        <f>_xll.EVPRO("Finance",$C274,"Inv_Type")</f>
        <v>Inv_Equity</v>
      </c>
      <c r="B274" s="24" t="str">
        <f t="shared" si="8"/>
        <v>Park Manor at Bee Cave (HMG)</v>
      </c>
      <c r="C274" s="24" t="str">
        <f t="shared" si="9"/>
        <v>S04095 - Park Manor at Bee Cave (HMG)</v>
      </c>
    </row>
    <row r="275" spans="1:3">
      <c r="A275" s="24" t="str">
        <f>_xll.EVPRO("Finance",$C275,"Inv_Type")</f>
        <v>Inv_Equity</v>
      </c>
      <c r="B275" s="24" t="str">
        <f t="shared" si="8"/>
        <v>Park Manor at Bee Cave (HMG)</v>
      </c>
      <c r="C275" s="24" t="str">
        <f t="shared" si="9"/>
        <v>S04095 - Park Manor at Bee Cave (HMG)</v>
      </c>
    </row>
    <row r="276" spans="1:3">
      <c r="A276" s="24" t="str">
        <f>_xll.EVPRO("Finance",$C276,"Inv_Type")</f>
        <v>Inv_Equity</v>
      </c>
      <c r="B276" s="24" t="str">
        <f t="shared" si="8"/>
        <v>Park Manor at Bee Cave (HMG)</v>
      </c>
      <c r="C276" s="24" t="str">
        <f t="shared" si="9"/>
        <v>S04095 - Park Manor at Bee Cave (HMG)</v>
      </c>
    </row>
    <row r="277" spans="1:3">
      <c r="A277" s="24" t="str">
        <f>_xll.EVPRO("Finance",$C277,"Inv_Type")</f>
        <v>Inv_Equity</v>
      </c>
      <c r="B277" s="24" t="str">
        <f t="shared" si="8"/>
        <v>Park Manor at Bee Cave (HMG)</v>
      </c>
      <c r="C277" s="24" t="str">
        <f t="shared" si="9"/>
        <v>S04095 - Park Manor at Bee Cave (HMG)</v>
      </c>
    </row>
    <row r="278" spans="1:3">
      <c r="A278" s="24" t="str">
        <f>_xll.EVPRO("Finance",$C278,"Inv_Type")</f>
        <v>Inv_Equity</v>
      </c>
      <c r="B278" s="24" t="str">
        <f t="shared" si="8"/>
        <v>Park Manor at Bee Cave (HMG)</v>
      </c>
      <c r="C278" s="24" t="str">
        <f t="shared" si="9"/>
        <v>S04095 - Park Manor at Bee Cave (HMG)</v>
      </c>
    </row>
    <row r="279" spans="1:3">
      <c r="A279" s="24" t="str">
        <f>_xll.EVPRO("Finance",$C279,"Inv_Type")</f>
        <v>Inv_Equity</v>
      </c>
      <c r="B279" s="24" t="str">
        <f t="shared" si="8"/>
        <v>Park Manor at Bee Cave (HMG)</v>
      </c>
      <c r="C279" s="24" t="str">
        <f t="shared" si="9"/>
        <v>S04095 - Park Manor at Bee Cave (HMG)</v>
      </c>
    </row>
    <row r="280" spans="1:3">
      <c r="A280" s="24" t="str">
        <f>_xll.EVPRO("Finance",$C280,"Inv_Type")</f>
        <v>Inv_Equity</v>
      </c>
      <c r="B280" s="24" t="str">
        <f t="shared" si="8"/>
        <v>Park Manor at Bee Cave (HMG)</v>
      </c>
      <c r="C280" s="24" t="str">
        <f t="shared" si="9"/>
        <v>S04095 - Park Manor at Bee Cave (HMG)</v>
      </c>
    </row>
    <row r="281" spans="1:3">
      <c r="A281" s="24" t="str">
        <f>_xll.EVPRO("Finance",$C281,"Inv_Type")</f>
        <v>Inv_Equity</v>
      </c>
      <c r="B281" s="24" t="str">
        <f t="shared" si="8"/>
        <v>Park Manor at Bee Cave (HMG)</v>
      </c>
      <c r="C281" s="24" t="str">
        <f t="shared" si="9"/>
        <v>S04095 - Park Manor at Bee Cave (HMG)</v>
      </c>
    </row>
    <row r="282" spans="1:3">
      <c r="A282" s="24" t="str">
        <f>_xll.EVPRO("Finance",$C282,"Inv_Type")</f>
        <v>Inv_Equity</v>
      </c>
      <c r="B282" s="24" t="str">
        <f t="shared" si="8"/>
        <v>Park Manor at Bee Cave (HMG)</v>
      </c>
      <c r="C282" s="24" t="str">
        <f t="shared" si="9"/>
        <v>S04095 - Park Manor at Bee Cave (HMG)</v>
      </c>
    </row>
    <row r="283" spans="1:3">
      <c r="A283" s="24" t="str">
        <f>_xll.EVPRO("Finance",$C283,"Inv_Type")</f>
        <v>Inv_Equity</v>
      </c>
      <c r="B283" s="24" t="str">
        <f t="shared" si="8"/>
        <v>Park Manor at Bee Cave (HMG)</v>
      </c>
      <c r="C283" s="24" t="str">
        <f t="shared" si="9"/>
        <v>S04095 - Park Manor at Bee Cave (HMG)</v>
      </c>
    </row>
    <row r="284" spans="1:3">
      <c r="A284" s="24" t="str">
        <f>_xll.EVPRO("Finance",$C284,"Inv_Type")</f>
        <v>Inv_Equity</v>
      </c>
      <c r="B284" s="24" t="str">
        <f t="shared" si="8"/>
        <v>Park Manor at Bee Cave (HMG)</v>
      </c>
      <c r="C284" s="24" t="str">
        <f t="shared" si="9"/>
        <v>S04095 - Park Manor at Bee Cave (HMG)</v>
      </c>
    </row>
    <row r="285" spans="1:3">
      <c r="A285" s="24" t="str">
        <f>_xll.EVPRO("Finance",$C285,"Inv_Type")</f>
        <v>Inv_Equity</v>
      </c>
      <c r="B285" s="24" t="str">
        <f t="shared" si="8"/>
        <v>Park Manor at Bee Cave (HMG)</v>
      </c>
      <c r="C285" s="24" t="str">
        <f t="shared" si="9"/>
        <v>S04095 - Park Manor at Bee Cave (HMG)</v>
      </c>
    </row>
    <row r="286" spans="1:3">
      <c r="A286" s="24" t="str">
        <f>_xll.EVPRO("Finance",$C286,"Inv_Type")</f>
        <v>Inv_Equity</v>
      </c>
      <c r="B286" s="24" t="str">
        <f t="shared" si="8"/>
        <v>Park Manor at Bee Cave (HMG)</v>
      </c>
      <c r="C286" s="24" t="str">
        <f t="shared" si="9"/>
        <v>S04095 - Park Manor at Bee Cave (HMG)</v>
      </c>
    </row>
    <row r="287" spans="1:3">
      <c r="A287" s="24" t="str">
        <f>_xll.EVPRO("Finance",$C287,"Inv_Type")</f>
        <v>Inv_Equity</v>
      </c>
      <c r="B287" s="24" t="str">
        <f t="shared" si="8"/>
        <v>Park Manor at Bee Cave (HMG)</v>
      </c>
      <c r="C287" s="24" t="str">
        <f t="shared" si="9"/>
        <v>S04095 - Park Manor at Bee Cave (HMG)</v>
      </c>
    </row>
    <row r="288" spans="1:3">
      <c r="A288" s="24" t="str">
        <f>_xll.EVPRO("Finance",$C288,"Inv_Type")</f>
        <v>Inv_Equity</v>
      </c>
      <c r="B288" s="24" t="str">
        <f t="shared" si="8"/>
        <v>Park Manor at Bee Cave (HMG)</v>
      </c>
      <c r="C288" s="24" t="str">
        <f t="shared" si="9"/>
        <v>S04095 - Park Manor at Bee Cave (HMG)</v>
      </c>
    </row>
    <row r="289" spans="1:3">
      <c r="A289" s="24" t="str">
        <f>_xll.EVPRO("Finance",$C289,"Inv_Type")</f>
        <v>Inv_Equity</v>
      </c>
      <c r="B289" s="24" t="str">
        <f t="shared" si="8"/>
        <v>Park Manor at Bee Cave (HMG)</v>
      </c>
      <c r="C289" s="24" t="str">
        <f t="shared" si="9"/>
        <v>S04095 - Park Manor at Bee Cave (HMG)</v>
      </c>
    </row>
    <row r="290" spans="1:3">
      <c r="A290" s="24" t="str">
        <f>_xll.EVPRO("Finance",$C290,"Inv_Type")</f>
        <v>Inv_Equity</v>
      </c>
      <c r="B290" s="24" t="str">
        <f t="shared" si="8"/>
        <v>Park Manor at Bee Cave (HMG)</v>
      </c>
      <c r="C290" s="24" t="str">
        <f t="shared" si="9"/>
        <v>S04095 - Park Manor at Bee Cave (HMG)</v>
      </c>
    </row>
    <row r="291" spans="1:3">
      <c r="A291" s="24" t="str">
        <f>_xll.EVPRO("Finance",$C291,"Inv_Type")</f>
        <v>Inv_Equity</v>
      </c>
      <c r="B291" s="24" t="str">
        <f t="shared" si="8"/>
        <v>Park Manor at Bee Cave (HMG)</v>
      </c>
      <c r="C291" s="24" t="str">
        <f t="shared" si="9"/>
        <v>S04095 - Park Manor at Bee Cave (HMG)</v>
      </c>
    </row>
    <row r="292" spans="1:3">
      <c r="A292" s="24" t="str">
        <f>_xll.EVPRO("Finance",$C292,"Inv_Type")</f>
        <v>Inv_Equity</v>
      </c>
      <c r="B292" s="24" t="str">
        <f t="shared" si="8"/>
        <v>Park Manor at Bee Cave (HMG)</v>
      </c>
      <c r="C292" s="24" t="str">
        <f t="shared" si="9"/>
        <v>S04095 - Park Manor at Bee Cave (HMG)</v>
      </c>
    </row>
    <row r="293" spans="1:3">
      <c r="A293" s="24" t="str">
        <f>_xll.EVPRO("Finance",$C293,"Inv_Type")</f>
        <v>Inv_Equity</v>
      </c>
      <c r="B293" s="24" t="str">
        <f t="shared" si="8"/>
        <v>Park Manor at Bee Cave (HMG)</v>
      </c>
      <c r="C293" s="24" t="str">
        <f t="shared" si="9"/>
        <v>S04095 - Park Manor at Bee Cave (HMG)</v>
      </c>
    </row>
    <row r="294" spans="1:3">
      <c r="A294" s="24" t="str">
        <f>_xll.EVPRO("Finance",$C294,"Inv_Type")</f>
        <v>Inv_Equity</v>
      </c>
      <c r="B294" s="24" t="str">
        <f t="shared" si="8"/>
        <v>Park Manor at Bee Cave (HMG)</v>
      </c>
      <c r="C294" s="24" t="str">
        <f t="shared" si="9"/>
        <v>S04095 - Park Manor at Bee Cave (HMG)</v>
      </c>
    </row>
    <row r="295" spans="1:3">
      <c r="A295" s="24" t="str">
        <f>_xll.EVPRO("Finance",$C295,"Inv_Type")</f>
        <v>Inv_Equity</v>
      </c>
      <c r="B295" s="24" t="str">
        <f t="shared" si="8"/>
        <v>Park Manor at Bee Cave (HMG)</v>
      </c>
      <c r="C295" s="24" t="str">
        <f t="shared" si="9"/>
        <v>S04095 - Park Manor at Bee Cave (HMG)</v>
      </c>
    </row>
    <row r="296" spans="1:3">
      <c r="A296" s="24" t="str">
        <f>_xll.EVPRO("Finance",$C296,"Inv_Type")</f>
        <v>Inv_Equity</v>
      </c>
      <c r="B296" s="24" t="str">
        <f t="shared" si="8"/>
        <v>Park Manor at Bee Cave (HMG)</v>
      </c>
      <c r="C296" s="24" t="str">
        <f t="shared" si="9"/>
        <v>S04095 - Park Manor at Bee Cave (HMG)</v>
      </c>
    </row>
    <row r="297" spans="1:3">
      <c r="A297" s="24" t="str">
        <f>_xll.EVPRO("Finance",$C297,"Inv_Type")</f>
        <v>Inv_Equity</v>
      </c>
      <c r="B297" s="24" t="str">
        <f t="shared" si="8"/>
        <v>Park Manor at Bee Cave (HMG)</v>
      </c>
      <c r="C297" s="24" t="str">
        <f t="shared" si="9"/>
        <v>S04095 - Park Manor at Bee Cave (HMG)</v>
      </c>
    </row>
    <row r="298" spans="1:3">
      <c r="A298" s="24" t="str">
        <f>_xll.EVPRO("Finance",$C298,"Inv_Type")</f>
        <v>Inv_Equity</v>
      </c>
      <c r="B298" s="24" t="str">
        <f t="shared" si="8"/>
        <v>Park Manor at Bee Cave (HMG)</v>
      </c>
      <c r="C298" s="24" t="str">
        <f t="shared" si="9"/>
        <v>S04095 - Park Manor at Bee Cave (HMG)</v>
      </c>
    </row>
    <row r="299" spans="1:3">
      <c r="A299" s="24" t="str">
        <f>_xll.EVPRO("Finance",$C299,"Inv_Type")</f>
        <v>Inv_Equity</v>
      </c>
      <c r="B299" s="24" t="str">
        <f t="shared" si="8"/>
        <v>Park Manor at Bee Cave (HMG)</v>
      </c>
      <c r="C299" s="24" t="str">
        <f t="shared" si="9"/>
        <v>S04095 - Park Manor at Bee Cave (HMG)</v>
      </c>
    </row>
    <row r="300" spans="1:3">
      <c r="A300" s="24" t="str">
        <f>_xll.EVPRO("Finance",$C300,"Inv_Type")</f>
        <v>Inv_Equity</v>
      </c>
      <c r="B300" s="24" t="str">
        <f t="shared" si="8"/>
        <v>Park Manor at Bee Cave (HMG)</v>
      </c>
      <c r="C300" s="24" t="str">
        <f t="shared" si="9"/>
        <v>S04095 - Park Manor at Bee Cave (HMG)</v>
      </c>
    </row>
    <row r="301" spans="1:3">
      <c r="A301" s="24" t="str">
        <f>_xll.EVPRO("Finance",$C301,"Inv_Type")</f>
        <v>Inv_Equity</v>
      </c>
      <c r="B301" s="24" t="str">
        <f t="shared" si="8"/>
        <v>Park Manor at Bee Cave (HMG)</v>
      </c>
      <c r="C301" s="24" t="str">
        <f t="shared" si="9"/>
        <v>S04095 - Park Manor at Bee Cave (HMG)</v>
      </c>
    </row>
    <row r="302" spans="1:3">
      <c r="A302" s="24" t="str">
        <f>_xll.EVPRO("Finance",$C302,"Inv_Type")</f>
        <v>Inv_Equity</v>
      </c>
      <c r="B302" s="24" t="str">
        <f t="shared" si="8"/>
        <v>Park Manor at Bee Cave (HMG)</v>
      </c>
      <c r="C302" s="24" t="str">
        <f t="shared" si="9"/>
        <v>S04095 - Park Manor at Bee Cave (HMG)</v>
      </c>
    </row>
    <row r="303" spans="1:3">
      <c r="A303" s="24" t="str">
        <f>_xll.EVPRO("Finance",$C303,"Inv_Type")</f>
        <v>Inv_Equity</v>
      </c>
      <c r="B303" s="24" t="str">
        <f t="shared" si="8"/>
        <v>Park Manor at Bee Cave (HMG)</v>
      </c>
      <c r="C303" s="24" t="str">
        <f t="shared" si="9"/>
        <v>S04095 - Park Manor at Bee Cave (HMG)</v>
      </c>
    </row>
    <row r="304" spans="1:3">
      <c r="A304" s="24" t="str">
        <f>_xll.EVPRO("Finance",$C304,"Inv_Type")</f>
        <v>Inv_Equity</v>
      </c>
      <c r="B304" s="24" t="str">
        <f t="shared" si="8"/>
        <v>Park Manor at Bee Cave (HMG)</v>
      </c>
      <c r="C304" s="24" t="str">
        <f t="shared" si="9"/>
        <v>S04095 - Park Manor at Bee Cave (HMG)</v>
      </c>
    </row>
    <row r="305" spans="1:3">
      <c r="A305" s="24" t="str">
        <f>_xll.EVPRO("Finance",$C305,"Inv_Type")</f>
        <v>Inv_Equity</v>
      </c>
      <c r="B305" s="24" t="str">
        <f t="shared" si="8"/>
        <v>Park Manor at Bee Cave (HMG)</v>
      </c>
      <c r="C305" s="24" t="str">
        <f t="shared" si="9"/>
        <v>S04095 - Park Manor at Bee Cave (HMG)</v>
      </c>
    </row>
    <row r="306" spans="1:3">
      <c r="A306" s="24" t="str">
        <f>_xll.EVPRO("Finance",$C306,"Inv_Type")</f>
        <v>Inv_Equity</v>
      </c>
      <c r="B306" s="24" t="str">
        <f t="shared" si="8"/>
        <v>Park Manor at Bee Cave (HMG)</v>
      </c>
      <c r="C306" s="24" t="str">
        <f t="shared" si="9"/>
        <v>S04095 - Park Manor at Bee Cave (HMG)</v>
      </c>
    </row>
    <row r="307" spans="1:3">
      <c r="A307" s="24" t="str">
        <f>_xll.EVPRO("Finance",$C307,"Inv_Type")</f>
        <v>Inv_Equity</v>
      </c>
      <c r="B307" s="24" t="str">
        <f t="shared" si="8"/>
        <v>Park Manor at Bee Cave (HMG)</v>
      </c>
      <c r="C307" s="24" t="str">
        <f t="shared" si="9"/>
        <v>S04095 - Park Manor at Bee Cave (HMG)</v>
      </c>
    </row>
    <row r="308" spans="1:3">
      <c r="A308" s="24" t="str">
        <f>_xll.EVPRO("Finance",$C308,"Inv_Type")</f>
        <v>Inv_Equity</v>
      </c>
      <c r="B308" s="24" t="str">
        <f t="shared" si="8"/>
        <v>Park Manor at Bee Cave (HMG)</v>
      </c>
      <c r="C308" s="24" t="str">
        <f t="shared" si="9"/>
        <v>S04095 - Park Manor at Bee Cave (HMG)</v>
      </c>
    </row>
    <row r="309" spans="1:3">
      <c r="A309" s="24" t="str">
        <f>_xll.EVPRO("Finance",$C309,"Inv_Type")</f>
        <v>Inv_Equity</v>
      </c>
      <c r="B309" s="24" t="str">
        <f t="shared" si="8"/>
        <v>Park Manor at Bee Cave (HMG)</v>
      </c>
      <c r="C309" s="24" t="str">
        <f t="shared" si="9"/>
        <v>S04095 - Park Manor at Bee Cave (HMG)</v>
      </c>
    </row>
    <row r="310" spans="1:3">
      <c r="A310" s="24" t="str">
        <f>_xll.EVPRO("Finance",$C310,"Inv_Type")</f>
        <v>Inv_Equity</v>
      </c>
      <c r="B310" s="24" t="str">
        <f t="shared" si="8"/>
        <v>Park Manor at Bee Cave (HMG)</v>
      </c>
      <c r="C310" s="24" t="str">
        <f t="shared" si="9"/>
        <v>S04095 - Park Manor at Bee Cave (HMG)</v>
      </c>
    </row>
    <row r="311" spans="1:3">
      <c r="A311" s="24" t="str">
        <f>_xll.EVPRO("Finance",$C311,"Inv_Type")</f>
        <v>Inv_Equity</v>
      </c>
      <c r="B311" s="24" t="str">
        <f t="shared" si="8"/>
        <v>Park Manor at Bee Cave (HMG)</v>
      </c>
      <c r="C311" s="24" t="str">
        <f t="shared" si="9"/>
        <v>S04095 - Park Manor at Bee Cave (HMG)</v>
      </c>
    </row>
    <row r="312" spans="1:3">
      <c r="A312" s="24" t="str">
        <f>_xll.EVPRO("Finance",$C312,"Inv_Type")</f>
        <v>Inv_Equity</v>
      </c>
      <c r="B312" s="24" t="str">
        <f t="shared" si="8"/>
        <v>Park Manor at Bee Cave (HMG)</v>
      </c>
      <c r="C312" s="24" t="str">
        <f t="shared" si="9"/>
        <v>S04095 - Park Manor at Bee Cave (HMG)</v>
      </c>
    </row>
    <row r="313" spans="1:3">
      <c r="A313" s="24" t="str">
        <f>_xll.EVPRO("Finance",$C313,"Inv_Type")</f>
        <v>Inv_Equity</v>
      </c>
      <c r="B313" s="24" t="str">
        <f t="shared" si="8"/>
        <v>Park Manor at Bee Cave (HMG)</v>
      </c>
      <c r="C313" s="24" t="str">
        <f t="shared" si="9"/>
        <v>S04095 - Park Manor at Bee Cave (HMG)</v>
      </c>
    </row>
    <row r="314" spans="1:3">
      <c r="A314" s="24" t="str">
        <f>_xll.EVPRO("Finance",$C314,"Inv_Type")</f>
        <v>Inv_Equity</v>
      </c>
      <c r="B314" s="24" t="str">
        <f t="shared" si="8"/>
        <v>Park Manor at Bee Cave (HMG)</v>
      </c>
      <c r="C314" s="24" t="str">
        <f t="shared" si="9"/>
        <v>S04095 - Park Manor at Bee Cave (HMG)</v>
      </c>
    </row>
    <row r="315" spans="1:3">
      <c r="A315" s="24" t="str">
        <f>_xll.EVPRO("Finance",$C315,"Inv_Type")</f>
        <v>Inv_Equity</v>
      </c>
      <c r="B315" s="24" t="str">
        <f t="shared" si="8"/>
        <v>Park Manor at Bee Cave (HMG)</v>
      </c>
      <c r="C315" s="24" t="str">
        <f t="shared" si="9"/>
        <v>S04095 - Park Manor at Bee Cave (HMG)</v>
      </c>
    </row>
    <row r="316" spans="1:3">
      <c r="A316" s="24" t="str">
        <f>_xll.EVPRO("Finance",$C316,"Inv_Type")</f>
        <v>Inv_Equity</v>
      </c>
      <c r="B316" s="24" t="str">
        <f t="shared" si="8"/>
        <v>Park Manor at Bee Cave (HMG)</v>
      </c>
      <c r="C316" s="24" t="str">
        <f t="shared" si="9"/>
        <v>S04095 - Park Manor at Bee Cave (HMG)</v>
      </c>
    </row>
    <row r="317" spans="1:3">
      <c r="A317" s="24" t="str">
        <f>_xll.EVPRO("Finance",$C317,"Inv_Type")</f>
        <v>Inv_Equity</v>
      </c>
      <c r="B317" s="24" t="str">
        <f t="shared" si="8"/>
        <v>Park Manor at Bee Cave (HMG)</v>
      </c>
      <c r="C317" s="24" t="str">
        <f t="shared" si="9"/>
        <v>S04095 - Park Manor at Bee Cave (HMG)</v>
      </c>
    </row>
    <row r="318" spans="1:3">
      <c r="A318" s="24" t="str">
        <f>_xll.EVPRO("Finance",$C318,"Inv_Type")</f>
        <v>Inv_Equity</v>
      </c>
      <c r="B318" s="24" t="str">
        <f t="shared" si="8"/>
        <v>Park Manor at Bee Cave (HMG)</v>
      </c>
      <c r="C318" s="24" t="str">
        <f t="shared" si="9"/>
        <v>S04095 - Park Manor at Bee Cave (HMG)</v>
      </c>
    </row>
    <row r="319" spans="1:3">
      <c r="A319" s="24" t="str">
        <f>_xll.EVPRO("Finance",$C319,"Inv_Type")</f>
        <v>Inv_Equity</v>
      </c>
      <c r="B319" s="24" t="str">
        <f t="shared" si="8"/>
        <v>Park Manor at Bee Cave (HMG)</v>
      </c>
      <c r="C319" s="24" t="str">
        <f t="shared" si="9"/>
        <v>S04095 - Park Manor at Bee Cave (HMG)</v>
      </c>
    </row>
    <row r="320" spans="1:3">
      <c r="A320" s="24" t="str">
        <f>_xll.EVPRO("Finance",$C320,"Inv_Type")</f>
        <v>Inv_Equity</v>
      </c>
      <c r="B320" s="24" t="str">
        <f t="shared" si="8"/>
        <v>Park Manor at Bee Cave (HMG)</v>
      </c>
      <c r="C320" s="24" t="str">
        <f t="shared" si="9"/>
        <v>S04095 - Park Manor at Bee Cave (HMG)</v>
      </c>
    </row>
    <row r="321" spans="1:3">
      <c r="A321" s="24" t="str">
        <f>_xll.EVPRO("Finance",$C321,"Inv_Type")</f>
        <v>Inv_Equity</v>
      </c>
      <c r="B321" s="24" t="str">
        <f t="shared" si="8"/>
        <v>Park Manor at Bee Cave (HMG)</v>
      </c>
      <c r="C321" s="24" t="str">
        <f t="shared" si="9"/>
        <v>S04095 - Park Manor at Bee Cave (HMG)</v>
      </c>
    </row>
    <row r="322" spans="1:3">
      <c r="A322" s="24" t="str">
        <f>_xll.EVPRO("Finance",$C322,"Inv_Type")</f>
        <v>Inv_Equity</v>
      </c>
      <c r="B322" s="24" t="str">
        <f t="shared" si="8"/>
        <v>Park Manor at Bee Cave (HMG)</v>
      </c>
      <c r="C322" s="24" t="str">
        <f t="shared" si="9"/>
        <v>S04095 - Park Manor at Bee Cave (HMG)</v>
      </c>
    </row>
    <row r="323" spans="1:3">
      <c r="A323" s="24" t="str">
        <f>_xll.EVPRO("Finance",$C323,"Inv_Type")</f>
        <v>Inv_Equity</v>
      </c>
      <c r="B323" s="24" t="str">
        <f t="shared" si="8"/>
        <v>Park Manor at Bee Cave (HMG)</v>
      </c>
      <c r="C323" s="24" t="str">
        <f t="shared" si="9"/>
        <v>S04095 - Park Manor at Bee Cave (HMG)</v>
      </c>
    </row>
    <row r="324" spans="1:3">
      <c r="A324" s="24" t="str">
        <f>_xll.EVPRO("Finance",$C324,"Inv_Type")</f>
        <v>Inv_Equity</v>
      </c>
      <c r="B324" s="24" t="str">
        <f t="shared" si="8"/>
        <v>Park Manor at Bee Cave (HMG)</v>
      </c>
      <c r="C324" s="24" t="str">
        <f t="shared" si="9"/>
        <v>S04095 - Park Manor at Bee Cave (HMG)</v>
      </c>
    </row>
    <row r="325" spans="1:3">
      <c r="A325" s="24" t="str">
        <f>_xll.EVPRO("Finance",$C325,"Inv_Type")</f>
        <v>Inv_Equity</v>
      </c>
      <c r="B325" s="24" t="str">
        <f t="shared" ref="B325:B336" si="10">MID($C325,FIND("- ",$C325)+2,10000)</f>
        <v>Park Manor at Bee Cave (HMG)</v>
      </c>
      <c r="C325" s="24" t="str">
        <f t="shared" si="9"/>
        <v>S04095 - Park Manor at Bee Cave (HMG)</v>
      </c>
    </row>
    <row r="326" spans="1:3">
      <c r="A326" s="24" t="str">
        <f>_xll.EVPRO("Finance",$C326,"Inv_Type")</f>
        <v>Inv_Equity</v>
      </c>
      <c r="B326" s="24" t="str">
        <f t="shared" si="10"/>
        <v>Park Manor at Bee Cave (HMG)</v>
      </c>
      <c r="C326" s="24" t="str">
        <f t="shared" ref="C326:C336" si="11">IF(D326&lt;&gt;"",D326,C325)</f>
        <v>S04095 - Park Manor at Bee Cave (HMG)</v>
      </c>
    </row>
    <row r="327" spans="1:3">
      <c r="A327" s="24" t="str">
        <f>_xll.EVPRO("Finance",$C327,"Inv_Type")</f>
        <v>Inv_Equity</v>
      </c>
      <c r="B327" s="24" t="str">
        <f t="shared" si="10"/>
        <v>Park Manor at Bee Cave (HMG)</v>
      </c>
      <c r="C327" s="24" t="str">
        <f t="shared" si="11"/>
        <v>S04095 - Park Manor at Bee Cave (HMG)</v>
      </c>
    </row>
    <row r="328" spans="1:3">
      <c r="A328" s="24" t="str">
        <f>_xll.EVPRO("Finance",$C328,"Inv_Type")</f>
        <v>Inv_Equity</v>
      </c>
      <c r="B328" s="24" t="str">
        <f t="shared" si="10"/>
        <v>Park Manor at Bee Cave (HMG)</v>
      </c>
      <c r="C328" s="24" t="str">
        <f t="shared" si="11"/>
        <v>S04095 - Park Manor at Bee Cave (HMG)</v>
      </c>
    </row>
    <row r="329" spans="1:3">
      <c r="A329" s="24" t="str">
        <f>_xll.EVPRO("Finance",$C329,"Inv_Type")</f>
        <v>Inv_Equity</v>
      </c>
      <c r="B329" s="24" t="str">
        <f t="shared" si="10"/>
        <v>Park Manor at Bee Cave (HMG)</v>
      </c>
      <c r="C329" s="24" t="str">
        <f t="shared" si="11"/>
        <v>S04095 - Park Manor at Bee Cave (HMG)</v>
      </c>
    </row>
    <row r="330" spans="1:3">
      <c r="A330" s="24" t="str">
        <f>_xll.EVPRO("Finance",$C330,"Inv_Type")</f>
        <v>Inv_Equity</v>
      </c>
      <c r="B330" s="24" t="str">
        <f t="shared" si="10"/>
        <v>Park Manor at Bee Cave (HMG)</v>
      </c>
      <c r="C330" s="24" t="str">
        <f t="shared" si="11"/>
        <v>S04095 - Park Manor at Bee Cave (HMG)</v>
      </c>
    </row>
    <row r="331" spans="1:3">
      <c r="A331" s="24" t="str">
        <f>_xll.EVPRO("Finance",$C331,"Inv_Type")</f>
        <v>Inv_Equity</v>
      </c>
      <c r="B331" s="24" t="str">
        <f t="shared" si="10"/>
        <v>Park Manor at Bee Cave (HMG)</v>
      </c>
      <c r="C331" s="24" t="str">
        <f t="shared" si="11"/>
        <v>S04095 - Park Manor at Bee Cave (HMG)</v>
      </c>
    </row>
    <row r="332" spans="1:3">
      <c r="A332" s="24" t="str">
        <f>_xll.EVPRO("Finance",$C332,"Inv_Type")</f>
        <v>Inv_Equity</v>
      </c>
      <c r="B332" s="24" t="str">
        <f t="shared" si="10"/>
        <v>Park Manor at Bee Cave (HMG)</v>
      </c>
      <c r="C332" s="24" t="str">
        <f t="shared" si="11"/>
        <v>S04095 - Park Manor at Bee Cave (HMG)</v>
      </c>
    </row>
    <row r="333" spans="1:3">
      <c r="A333" s="24" t="str">
        <f>_xll.EVPRO("Finance",$C333,"Inv_Type")</f>
        <v>Inv_Equity</v>
      </c>
      <c r="B333" s="24" t="str">
        <f t="shared" si="10"/>
        <v>Park Manor at Bee Cave (HMG)</v>
      </c>
      <c r="C333" s="24" t="str">
        <f t="shared" si="11"/>
        <v>S04095 - Park Manor at Bee Cave (HMG)</v>
      </c>
    </row>
    <row r="334" spans="1:3">
      <c r="A334" s="24" t="str">
        <f>_xll.EVPRO("Finance",$C334,"Inv_Type")</f>
        <v>Inv_Equity</v>
      </c>
      <c r="B334" s="24" t="str">
        <f t="shared" si="10"/>
        <v>Park Manor at Bee Cave (HMG)</v>
      </c>
      <c r="C334" s="24" t="str">
        <f t="shared" si="11"/>
        <v>S04095 - Park Manor at Bee Cave (HMG)</v>
      </c>
    </row>
    <row r="335" spans="1:3">
      <c r="A335" s="24" t="str">
        <f>_xll.EVPRO("Finance",$C335,"Inv_Type")</f>
        <v>Inv_Equity</v>
      </c>
      <c r="B335" s="24" t="str">
        <f t="shared" si="10"/>
        <v>Park Manor at Bee Cave (HMG)</v>
      </c>
      <c r="C335" s="24" t="str">
        <f t="shared" si="11"/>
        <v>S04095 - Park Manor at Bee Cave (HMG)</v>
      </c>
    </row>
    <row r="336" spans="1:3">
      <c r="A336" s="24" t="str">
        <f>_xll.EVPRO("Finance",$C336,"Inv_Type")</f>
        <v>Inv_Equity</v>
      </c>
      <c r="B336" s="24" t="str">
        <f t="shared" si="10"/>
        <v>Park Manor at Bee Cave (HMG)</v>
      </c>
      <c r="C336" s="24" t="str">
        <f t="shared" si="11"/>
        <v>S04095 - Park Manor at Bee Cave (HMG)</v>
      </c>
    </row>
    <row r="337" spans="1:3">
      <c r="A337" s="24" t="str">
        <f>_xll.EVPRO("Finance",$C337,"Inv_Type")</f>
        <v/>
      </c>
      <c r="B337" s="24"/>
      <c r="C337" s="24"/>
    </row>
    <row r="338" spans="1:3">
      <c r="A338" s="24" t="str">
        <f>_xll.EVPRO("Finance",$C338,"Inv_Type")</f>
        <v/>
      </c>
      <c r="B338" s="24"/>
      <c r="C338" s="24"/>
    </row>
    <row r="339" spans="1:3">
      <c r="A339" s="24" t="str">
        <f>_xll.EVPRO("Finance",$C339,"Inv_Type")</f>
        <v/>
      </c>
      <c r="B339" s="24"/>
      <c r="C339" s="24"/>
    </row>
    <row r="340" spans="1:3">
      <c r="A340" s="24" t="str">
        <f>_xll.EVPRO("Finance",$C340,"Inv_Type")</f>
        <v/>
      </c>
      <c r="B340" s="24"/>
      <c r="C340" s="24"/>
    </row>
    <row r="341" spans="1:3">
      <c r="A341" s="24" t="str">
        <f>_xll.EVPRO("Finance",$C341,"Inv_Type")</f>
        <v/>
      </c>
      <c r="B341" s="24"/>
      <c r="C341" s="24"/>
    </row>
    <row r="342" spans="1:3">
      <c r="A342" s="24" t="str">
        <f>_xll.EVPRO("Finance",$C342,"Inv_Type")</f>
        <v/>
      </c>
      <c r="B342" s="24"/>
      <c r="C342" s="24"/>
    </row>
    <row r="343" spans="1:3">
      <c r="A343" s="24" t="str">
        <f>_xll.EVPRO("Finance",$C343,"Inv_Type")</f>
        <v/>
      </c>
      <c r="B343" s="24"/>
      <c r="C343" s="24"/>
    </row>
    <row r="344" spans="1:3">
      <c r="A344" s="24" t="str">
        <f>_xll.EVPRO("Finance",$C344,"Inv_Type")</f>
        <v/>
      </c>
      <c r="B344" s="24"/>
      <c r="C344" s="24"/>
    </row>
    <row r="345" spans="1:3">
      <c r="A345" s="24" t="str">
        <f>_xll.EVPRO("Finance",$C345,"Inv_Type")</f>
        <v/>
      </c>
      <c r="B345" s="24"/>
      <c r="C345" s="24"/>
    </row>
    <row r="346" spans="1:3">
      <c r="A346" s="24" t="str">
        <f>_xll.EVPRO("Finance",$C346,"Inv_Type")</f>
        <v/>
      </c>
      <c r="B346" s="24"/>
      <c r="C346" s="24"/>
    </row>
    <row r="347" spans="1:3">
      <c r="A347" s="24" t="str">
        <f>_xll.EVPRO("Finance",$C347,"Inv_Type")</f>
        <v/>
      </c>
      <c r="B347" s="24"/>
      <c r="C347" s="24"/>
    </row>
    <row r="348" spans="1:3">
      <c r="A348" s="24" t="str">
        <f>_xll.EVPRO("Finance",$C348,"Inv_Type")</f>
        <v/>
      </c>
      <c r="B348" s="24"/>
      <c r="C348" s="24"/>
    </row>
    <row r="349" spans="1:3">
      <c r="A349" s="24" t="str">
        <f>_xll.EVPRO("Finance",$C349,"Inv_Type")</f>
        <v/>
      </c>
      <c r="B349" s="24"/>
      <c r="C349" s="24"/>
    </row>
    <row r="350" spans="1:3">
      <c r="A350" s="24" t="str">
        <f>_xll.EVPRO("Finance",$C350,"Inv_Type")</f>
        <v/>
      </c>
      <c r="B350" s="24"/>
      <c r="C350" s="24"/>
    </row>
    <row r="351" spans="1:3">
      <c r="A351" s="24" t="str">
        <f>_xll.EVPRO("Finance",$C351,"Inv_Type")</f>
        <v/>
      </c>
      <c r="B351" s="24"/>
      <c r="C351" s="24"/>
    </row>
    <row r="352" spans="1:3">
      <c r="A352" s="24" t="str">
        <f>_xll.EVPRO("Finance",$C352,"Inv_Type")</f>
        <v/>
      </c>
      <c r="B352" s="24"/>
      <c r="C352" s="24"/>
    </row>
    <row r="353" spans="1:3">
      <c r="A353" s="24" t="str">
        <f>_xll.EVPRO("Finance",$C353,"Inv_Type")</f>
        <v/>
      </c>
      <c r="B353" s="24"/>
      <c r="C353" s="24"/>
    </row>
    <row r="354" spans="1:3">
      <c r="A354" s="24" t="str">
        <f>_xll.EVPRO("Finance",$C354,"Inv_Type")</f>
        <v/>
      </c>
      <c r="B354" s="24"/>
      <c r="C354" s="24"/>
    </row>
    <row r="355" spans="1:3">
      <c r="A355" s="24" t="str">
        <f>_xll.EVPRO("Finance",$C355,"Inv_Type")</f>
        <v/>
      </c>
      <c r="B355" s="24"/>
      <c r="C355" s="24"/>
    </row>
    <row r="356" spans="1:3">
      <c r="A356" s="24" t="str">
        <f>_xll.EVPRO("Finance",$C356,"Inv_Type")</f>
        <v/>
      </c>
      <c r="B356" s="24"/>
      <c r="C356" s="24"/>
    </row>
    <row r="357" spans="1:3">
      <c r="A357" s="24" t="str">
        <f>_xll.EVPRO("Finance",$C357,"Inv_Type")</f>
        <v/>
      </c>
      <c r="B357" s="24"/>
      <c r="C357" s="24"/>
    </row>
    <row r="358" spans="1:3">
      <c r="A358" s="24" t="str">
        <f>_xll.EVPRO("Finance",$C358,"Inv_Type")</f>
        <v/>
      </c>
      <c r="B358" s="24"/>
      <c r="C358" s="24"/>
    </row>
    <row r="359" spans="1:3">
      <c r="A359" s="24" t="str">
        <f>_xll.EVPRO("Finance",$C359,"Inv_Type")</f>
        <v/>
      </c>
      <c r="B359" s="24"/>
      <c r="C359" s="24"/>
    </row>
    <row r="360" spans="1:3">
      <c r="A360" s="24" t="str">
        <f>_xll.EVPRO("Finance",$C360,"Inv_Type")</f>
        <v/>
      </c>
      <c r="B360" s="24"/>
      <c r="C360" s="24"/>
    </row>
    <row r="361" spans="1:3">
      <c r="A361" s="24" t="str">
        <f>_xll.EVPRO("Finance",$C361,"Inv_Type")</f>
        <v/>
      </c>
      <c r="B361" s="24"/>
      <c r="C361" s="24"/>
    </row>
    <row r="362" spans="1:3">
      <c r="A362" s="24" t="str">
        <f>_xll.EVPRO("Finance",$C362,"Inv_Type")</f>
        <v/>
      </c>
      <c r="B362" s="24"/>
      <c r="C362" s="24"/>
    </row>
    <row r="363" spans="1:3">
      <c r="A363" s="24" t="str">
        <f>_xll.EVPRO("Finance",$C363,"Inv_Type")</f>
        <v/>
      </c>
      <c r="B363" s="24"/>
      <c r="C363" s="24"/>
    </row>
    <row r="364" spans="1:3">
      <c r="A364" s="24" t="str">
        <f>_xll.EVPRO("Finance",$C364,"Inv_Type")</f>
        <v/>
      </c>
      <c r="B364" s="24"/>
      <c r="C364" s="24"/>
    </row>
    <row r="365" spans="1:3">
      <c r="A365" s="24" t="str">
        <f>_xll.EVPRO("Finance",$C365,"Inv_Type")</f>
        <v/>
      </c>
      <c r="B365" s="24"/>
      <c r="C365" s="24"/>
    </row>
    <row r="366" spans="1:3">
      <c r="A366" s="24" t="str">
        <f>_xll.EVPRO("Finance",$C366,"Inv_Type")</f>
        <v/>
      </c>
      <c r="B366" s="24"/>
      <c r="C366" s="24"/>
    </row>
    <row r="367" spans="1:3">
      <c r="A367" s="24" t="str">
        <f>_xll.EVPRO("Finance",$C367,"Inv_Type")</f>
        <v/>
      </c>
      <c r="B367" s="24"/>
      <c r="C367" s="24"/>
    </row>
    <row r="368" spans="1:3">
      <c r="A368" s="24" t="str">
        <f>_xll.EVPRO("Finance",$C368,"Inv_Type")</f>
        <v/>
      </c>
      <c r="B368" s="24"/>
      <c r="C368" s="24"/>
    </row>
    <row r="369" spans="1:3">
      <c r="A369" s="24" t="str">
        <f>_xll.EVPRO("Finance",$C369,"Inv_Type")</f>
        <v/>
      </c>
      <c r="B369" s="24"/>
      <c r="C369" s="24"/>
    </row>
    <row r="370" spans="1:3">
      <c r="A370" s="24" t="str">
        <f>_xll.EVPRO("Finance",$C370,"Inv_Type")</f>
        <v/>
      </c>
      <c r="B370" s="24"/>
      <c r="C370" s="24"/>
    </row>
    <row r="371" spans="1:3">
      <c r="A371" s="24" t="str">
        <f>_xll.EVPRO("Finance",$C371,"Inv_Type")</f>
        <v/>
      </c>
      <c r="B371" s="24"/>
      <c r="C371" s="24"/>
    </row>
    <row r="372" spans="1:3">
      <c r="A372" s="24" t="str">
        <f>_xll.EVPRO("Finance",$C372,"Inv_Type")</f>
        <v/>
      </c>
      <c r="B372" s="24"/>
      <c r="C372" s="24"/>
    </row>
    <row r="373" spans="1:3">
      <c r="A373" s="24" t="str">
        <f>_xll.EVPRO("Finance",$C373,"Inv_Type")</f>
        <v/>
      </c>
      <c r="B373" s="24"/>
      <c r="C373" s="24"/>
    </row>
    <row r="374" spans="1:3">
      <c r="A374" s="24" t="str">
        <f>_xll.EVPRO("Finance",$C374,"Inv_Type")</f>
        <v/>
      </c>
      <c r="B374" s="24"/>
      <c r="C374" s="24"/>
    </row>
    <row r="375" spans="1:3">
      <c r="A375" s="24" t="str">
        <f>_xll.EVPRO("Finance",$C375,"Inv_Type")</f>
        <v/>
      </c>
      <c r="B375" s="24"/>
      <c r="C375" s="24"/>
    </row>
    <row r="376" spans="1:3">
      <c r="A376" s="24" t="str">
        <f>_xll.EVPRO("Finance",$C376,"Inv_Type")</f>
        <v/>
      </c>
      <c r="B376" s="24"/>
      <c r="C376" s="24"/>
    </row>
    <row r="377" spans="1:3">
      <c r="A377" s="24" t="str">
        <f>_xll.EVPRO("Finance",$C377,"Inv_Type")</f>
        <v/>
      </c>
      <c r="B377" s="24"/>
      <c r="C377" s="24"/>
    </row>
    <row r="378" spans="1:3">
      <c r="A378" s="24" t="str">
        <f>_xll.EVPRO("Finance",$C378,"Inv_Type")</f>
        <v/>
      </c>
      <c r="B378" s="24"/>
      <c r="C378" s="24"/>
    </row>
    <row r="379" spans="1:3">
      <c r="A379" s="24" t="str">
        <f>_xll.EVPRO("Finance",$C379,"Inv_Type")</f>
        <v/>
      </c>
      <c r="B379" s="24"/>
      <c r="C379" s="24"/>
    </row>
    <row r="380" spans="1:3">
      <c r="A380" s="24" t="str">
        <f>_xll.EVPRO("Finance",$C380,"Inv_Type")</f>
        <v/>
      </c>
      <c r="B380" s="24"/>
      <c r="C380" s="24"/>
    </row>
    <row r="381" spans="1:3">
      <c r="A381" s="24" t="str">
        <f>_xll.EVPRO("Finance",$C381,"Inv_Type")</f>
        <v/>
      </c>
      <c r="B381" s="24"/>
      <c r="C381" s="24"/>
    </row>
    <row r="382" spans="1:3">
      <c r="A382" s="24" t="str">
        <f>_xll.EVPRO("Finance",$C382,"Inv_Type")</f>
        <v/>
      </c>
      <c r="B382" s="24"/>
      <c r="C382" s="24"/>
    </row>
    <row r="383" spans="1:3">
      <c r="A383" s="24" t="str">
        <f>_xll.EVPRO("Finance",$C383,"Inv_Type")</f>
        <v/>
      </c>
      <c r="B383" s="24"/>
      <c r="C383" s="24"/>
    </row>
    <row r="384" spans="1:3">
      <c r="A384" s="24" t="str">
        <f>_xll.EVPRO("Finance",$C384,"Inv_Type")</f>
        <v/>
      </c>
      <c r="B384" s="24"/>
      <c r="C384" s="24"/>
    </row>
    <row r="385" spans="1:3">
      <c r="A385" s="24"/>
      <c r="B385" s="24"/>
      <c r="C385" s="24"/>
    </row>
  </sheetData>
  <pageMargins left="0.7" right="0.7" top="0.75" bottom="0.75" header="0.3" footer="0.3"/>
  <pageSetup orientation="portrait" r:id="rId1"/>
  <customProperties>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1025" r:id="rId7" name="FPMExcelClientSheetOptionstb1">
          <controlPr defaultSize="0" autoLine="0" autoPict="0" r:id="rId8">
            <anchor moveWithCells="1" sizeWithCells="1">
              <from>
                <xdr:col>0</xdr:col>
                <xdr:colOff>0</xdr:colOff>
                <xdr:row>0</xdr:row>
                <xdr:rowOff>0</xdr:rowOff>
              </from>
              <to>
                <xdr:col>1</xdr:col>
                <xdr:colOff>1190625</xdr:colOff>
                <xdr:row>0</xdr:row>
                <xdr:rowOff>0</xdr:rowOff>
              </to>
            </anchor>
          </controlPr>
        </control>
      </mc:Choice>
      <mc:Fallback>
        <control shapeId="1025" r:id="rId7" name="FPMExcelClientSheetOptionstb1"/>
      </mc:Fallback>
    </mc:AlternateContent>
    <mc:AlternateContent xmlns:mc="http://schemas.openxmlformats.org/markup-compatibility/2006">
      <mc:Choice Requires="x14">
        <control shapeId="1026" r:id="rId9" name="ConnectionDescriptorsInfotb1">
          <controlPr defaultSize="0" autoLine="0" autoPict="0" r:id="rId10">
            <anchor moveWithCells="1" sizeWithCells="1">
              <from>
                <xdr:col>0</xdr:col>
                <xdr:colOff>0</xdr:colOff>
                <xdr:row>0</xdr:row>
                <xdr:rowOff>0</xdr:rowOff>
              </from>
              <to>
                <xdr:col>1</xdr:col>
                <xdr:colOff>1190625</xdr:colOff>
                <xdr:row>0</xdr:row>
                <xdr:rowOff>0</xdr:rowOff>
              </to>
            </anchor>
          </controlPr>
        </control>
      </mc:Choice>
      <mc:Fallback>
        <control shapeId="1026" r:id="rId9" name="ConnectionDescriptorsInfotb1"/>
      </mc:Fallback>
    </mc:AlternateContent>
    <mc:AlternateContent xmlns:mc="http://schemas.openxmlformats.org/markup-compatibility/2006">
      <mc:Choice Requires="x14">
        <control shapeId="1027" r:id="rId11" name="MultipleReportManagerInfotb1">
          <controlPr defaultSize="0" autoLine="0" autoPict="0" r:id="rId12">
            <anchor moveWithCells="1" sizeWithCells="1">
              <from>
                <xdr:col>0</xdr:col>
                <xdr:colOff>0</xdr:colOff>
                <xdr:row>0</xdr:row>
                <xdr:rowOff>0</xdr:rowOff>
              </from>
              <to>
                <xdr:col>1</xdr:col>
                <xdr:colOff>1190625</xdr:colOff>
                <xdr:row>0</xdr:row>
                <xdr:rowOff>0</xdr:rowOff>
              </to>
            </anchor>
          </controlPr>
        </control>
      </mc:Choice>
      <mc:Fallback>
        <control shapeId="1027" r:id="rId11" name="MultipleReportManagerInfotb1"/>
      </mc:Fallback>
    </mc:AlternateContent>
    <mc:AlternateContent xmlns:mc="http://schemas.openxmlformats.org/markup-compatibility/2006">
      <mc:Choice Requires="x14">
        <control shapeId="1028" r:id="rId13" name="AnalyzerDynReport000tb1">
          <controlPr defaultSize="0" autoLine="0" autoPict="0" r:id="rId14">
            <anchor moveWithCells="1" sizeWithCells="1">
              <from>
                <xdr:col>0</xdr:col>
                <xdr:colOff>0</xdr:colOff>
                <xdr:row>0</xdr:row>
                <xdr:rowOff>0</xdr:rowOff>
              </from>
              <to>
                <xdr:col>1</xdr:col>
                <xdr:colOff>1190625</xdr:colOff>
                <xdr:row>0</xdr:row>
                <xdr:rowOff>0</xdr:rowOff>
              </to>
            </anchor>
          </controlPr>
        </control>
      </mc:Choice>
      <mc:Fallback>
        <control shapeId="1028" r:id="rId13" name="AnalyzerDynReport000tb1"/>
      </mc:Fallback>
    </mc:AlternateContent>
  </control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W569"/>
  <sheetViews>
    <sheetView showGridLines="0" view="pageBreakPreview" topLeftCell="E1" zoomScale="90" zoomScaleNormal="100" zoomScaleSheetLayoutView="90" workbookViewId="0">
      <pane xSplit="2" topLeftCell="G1" activePane="topRight" state="frozen"/>
      <selection activeCell="E1" sqref="E1"/>
      <selection pane="topRight" activeCell="G1" sqref="G1"/>
    </sheetView>
  </sheetViews>
  <sheetFormatPr defaultRowHeight="15" outlineLevelRow="1" outlineLevelCol="1"/>
  <cols>
    <col min="1" max="2" width="9.140625" hidden="1" customWidth="1" outlineLevel="1"/>
    <col min="3" max="3" width="37.42578125" hidden="1" customWidth="1" outlineLevel="1"/>
    <col min="4" max="4" width="45.85546875" hidden="1" customWidth="1" outlineLevel="1"/>
    <col min="5" max="5" width="2.5703125" customWidth="1" collapsed="1"/>
    <col min="6" max="6" width="46.7109375" customWidth="1"/>
    <col min="7" max="19" width="14.28515625" customWidth="1"/>
    <col min="20" max="20" width="16.140625" style="72" bestFit="1" customWidth="1"/>
    <col min="21" max="21" width="15.7109375" bestFit="1" customWidth="1"/>
    <col min="22" max="22" width="25" customWidth="1"/>
    <col min="23" max="32" width="20.5703125" customWidth="1"/>
    <col min="33" max="33" width="15.28515625" customWidth="1"/>
    <col min="34" max="34" width="15.42578125" customWidth="1"/>
    <col min="36" max="36" width="9.5703125" style="14" bestFit="1" customWidth="1"/>
    <col min="37" max="37" width="10.5703125" style="14" bestFit="1" customWidth="1"/>
    <col min="38" max="38" width="10.42578125" style="14" bestFit="1" customWidth="1"/>
    <col min="39" max="39" width="10.28515625" style="14" bestFit="1" customWidth="1"/>
    <col min="40" max="42" width="11.7109375" style="14" bestFit="1" customWidth="1"/>
    <col min="43" max="43" width="10.42578125" style="14" bestFit="1" customWidth="1"/>
    <col min="44" max="44" width="10.7109375" style="14" bestFit="1" customWidth="1"/>
    <col min="45" max="45" width="10.42578125" style="14" bestFit="1" customWidth="1"/>
    <col min="46" max="46" width="12.85546875" style="14" bestFit="1" customWidth="1"/>
    <col min="47" max="47" width="10.140625" style="14" bestFit="1" customWidth="1"/>
    <col min="48" max="48" width="11.28515625" bestFit="1" customWidth="1"/>
  </cols>
  <sheetData>
    <row r="1" spans="1:49">
      <c r="F1" s="22" t="s">
        <v>10</v>
      </c>
      <c r="G1" s="21">
        <v>31</v>
      </c>
      <c r="H1" s="21">
        <f t="shared" ref="H1:R1" si="0">EDATE(H$3,1)-H$3</f>
        <v>30</v>
      </c>
      <c r="I1" s="21">
        <f t="shared" si="0"/>
        <v>31</v>
      </c>
      <c r="J1" s="21">
        <f t="shared" si="0"/>
        <v>30</v>
      </c>
      <c r="K1" s="21">
        <f t="shared" si="0"/>
        <v>31</v>
      </c>
      <c r="L1" s="21">
        <f t="shared" si="0"/>
        <v>31</v>
      </c>
      <c r="M1" s="21">
        <f t="shared" si="0"/>
        <v>28</v>
      </c>
      <c r="N1" s="21">
        <f t="shared" si="0"/>
        <v>31</v>
      </c>
      <c r="O1" s="21">
        <f t="shared" si="0"/>
        <v>30</v>
      </c>
      <c r="P1" s="21">
        <f t="shared" si="0"/>
        <v>31</v>
      </c>
      <c r="Q1" s="21">
        <f t="shared" si="0"/>
        <v>30</v>
      </c>
      <c r="R1" s="21">
        <f t="shared" si="0"/>
        <v>31</v>
      </c>
      <c r="V1" t="s">
        <v>13</v>
      </c>
    </row>
    <row r="2" spans="1:49" hidden="1" outlineLevel="1">
      <c r="G2">
        <v>0</v>
      </c>
      <c r="H2">
        <f t="shared" ref="H2:I2" si="1">G2+1</f>
        <v>1</v>
      </c>
      <c r="I2">
        <f t="shared" si="1"/>
        <v>2</v>
      </c>
      <c r="J2">
        <f t="shared" ref="J2" si="2">I2+1</f>
        <v>3</v>
      </c>
      <c r="K2">
        <f t="shared" ref="K2" si="3">J2+1</f>
        <v>4</v>
      </c>
      <c r="L2">
        <f t="shared" ref="L2" si="4">K2+1</f>
        <v>5</v>
      </c>
      <c r="M2">
        <f t="shared" ref="M2" si="5">L2+1</f>
        <v>6</v>
      </c>
      <c r="N2">
        <f t="shared" ref="N2" si="6">M2+1</f>
        <v>7</v>
      </c>
      <c r="O2">
        <f t="shared" ref="O2" si="7">N2+1</f>
        <v>8</v>
      </c>
      <c r="P2">
        <f t="shared" ref="P2:R2" si="8">O2+1</f>
        <v>9</v>
      </c>
      <c r="Q2">
        <f t="shared" ref="Q2" si="9">P2+1</f>
        <v>10</v>
      </c>
      <c r="R2">
        <f t="shared" si="8"/>
        <v>11</v>
      </c>
      <c r="V2" s="64" t="s">
        <v>134</v>
      </c>
      <c r="W2" s="52" t="s">
        <v>39</v>
      </c>
      <c r="X2" s="52"/>
      <c r="Y2" s="52"/>
      <c r="Z2" s="52"/>
      <c r="AA2" s="52"/>
      <c r="AB2" s="52"/>
      <c r="AC2" s="52"/>
      <c r="AD2" s="52"/>
      <c r="AE2" s="52"/>
      <c r="AF2" s="52"/>
    </row>
    <row r="3" spans="1:49" hidden="1" outlineLevel="1">
      <c r="G3" s="6">
        <v>44409</v>
      </c>
      <c r="H3" s="6">
        <f t="shared" ref="H3:I3" si="10">EDATE(G3,1)</f>
        <v>44440</v>
      </c>
      <c r="I3" s="6">
        <f t="shared" si="10"/>
        <v>44470</v>
      </c>
      <c r="J3" s="6">
        <f t="shared" ref="J3" si="11">EDATE(I3,1)</f>
        <v>44501</v>
      </c>
      <c r="K3" s="6">
        <f t="shared" ref="K3" si="12">EDATE(J3,1)</f>
        <v>44531</v>
      </c>
      <c r="L3" s="6">
        <f t="shared" ref="L3" si="13">EDATE(K3,1)</f>
        <v>44562</v>
      </c>
      <c r="M3" s="6">
        <f t="shared" ref="M3" si="14">EDATE(L3,1)</f>
        <v>44593</v>
      </c>
      <c r="N3" s="6">
        <f t="shared" ref="N3" si="15">EDATE(M3,1)</f>
        <v>44621</v>
      </c>
      <c r="O3" s="6">
        <f t="shared" ref="O3" si="16">EDATE(N3,1)</f>
        <v>44652</v>
      </c>
      <c r="P3" s="6">
        <f t="shared" ref="P3:R3" si="17">EDATE(O3,1)</f>
        <v>44682</v>
      </c>
      <c r="Q3" s="6">
        <f t="shared" ref="Q3" si="18">EDATE(P3,1)</f>
        <v>44713</v>
      </c>
      <c r="R3" s="6">
        <f t="shared" si="17"/>
        <v>44743</v>
      </c>
      <c r="V3" s="57" t="s">
        <v>132</v>
      </c>
      <c r="W3" t="s">
        <v>252</v>
      </c>
      <c r="X3" s="64" t="s">
        <v>282</v>
      </c>
    </row>
    <row r="4" spans="1:49" collapsed="1">
      <c r="F4" s="7" t="str">
        <f>MID('BPC Data'!$D$1,FIND("-",'BPC Data'!$D$1)+2,1000)</f>
        <v>Healthmark Group</v>
      </c>
      <c r="G4" s="6"/>
      <c r="H4" s="6"/>
      <c r="I4" s="6"/>
      <c r="J4" s="6"/>
      <c r="K4" s="6"/>
      <c r="L4" s="6"/>
      <c r="M4" s="6"/>
      <c r="N4" s="6"/>
      <c r="O4" s="6"/>
      <c r="P4" s="6"/>
      <c r="Q4" s="6"/>
      <c r="R4" s="6"/>
      <c r="V4" t="s">
        <v>62</v>
      </c>
      <c r="W4" t="s">
        <v>388</v>
      </c>
      <c r="X4" s="64" t="s">
        <v>327</v>
      </c>
    </row>
    <row r="5" spans="1:49">
      <c r="F5" s="7" t="str">
        <f>"Trailing "&amp;COUNT(G3:R3)&amp;" Month Financial Summary"</f>
        <v>Trailing 12 Month Financial Summary</v>
      </c>
      <c r="G5" s="6"/>
      <c r="H5" s="6"/>
      <c r="I5" s="6"/>
      <c r="J5" s="6"/>
      <c r="K5" s="6"/>
      <c r="L5" s="6"/>
      <c r="M5" s="6"/>
      <c r="N5" s="6"/>
      <c r="O5" s="6"/>
      <c r="P5" s="6"/>
      <c r="Q5" s="6"/>
      <c r="R5" s="6"/>
      <c r="V5" s="7" t="s">
        <v>253</v>
      </c>
      <c r="X5" s="64"/>
    </row>
    <row r="6" spans="1:49">
      <c r="F6" s="7" t="str">
        <f>"As of "&amp;TEXT(EOMONTH(MAX($G$3:$R$3),0),"MMM DD, YYYY")</f>
        <v>As of Jul 31, 2022</v>
      </c>
      <c r="G6" s="6"/>
      <c r="H6" s="6"/>
      <c r="I6" s="6"/>
      <c r="J6" s="6"/>
      <c r="K6" s="6"/>
      <c r="L6" s="6"/>
      <c r="M6" s="6"/>
      <c r="N6" s="6"/>
      <c r="O6" s="6"/>
      <c r="P6" s="6"/>
      <c r="Q6" s="6"/>
      <c r="R6" s="6"/>
      <c r="V6" s="7" t="s">
        <v>250</v>
      </c>
      <c r="W6" s="64" t="s">
        <v>321</v>
      </c>
    </row>
    <row r="7" spans="1:49">
      <c r="V7" t="s">
        <v>204</v>
      </c>
      <c r="W7" s="64" t="s">
        <v>328</v>
      </c>
      <c r="AJ7" s="173" t="s">
        <v>295</v>
      </c>
    </row>
    <row r="8" spans="1:49">
      <c r="F8" s="17"/>
      <c r="G8" s="59" t="str">
        <f t="shared" ref="G8:R8" si="19">TEXT(G$3,"MMM YYYY")</f>
        <v>Aug 2021</v>
      </c>
      <c r="H8" s="16" t="str">
        <f t="shared" si="19"/>
        <v>Sep 2021</v>
      </c>
      <c r="I8" s="59" t="str">
        <f t="shared" si="19"/>
        <v>Oct 2021</v>
      </c>
      <c r="J8" s="16" t="str">
        <f t="shared" si="19"/>
        <v>Nov 2021</v>
      </c>
      <c r="K8" s="59" t="str">
        <f t="shared" si="19"/>
        <v>Dec 2021</v>
      </c>
      <c r="L8" s="16" t="str">
        <f t="shared" si="19"/>
        <v>Jan 2022</v>
      </c>
      <c r="M8" s="59" t="str">
        <f t="shared" si="19"/>
        <v>Feb 2022</v>
      </c>
      <c r="N8" s="16" t="str">
        <f t="shared" si="19"/>
        <v>Mar 2022</v>
      </c>
      <c r="O8" s="59" t="str">
        <f t="shared" si="19"/>
        <v>Apr 2022</v>
      </c>
      <c r="P8" s="16" t="str">
        <f t="shared" si="19"/>
        <v>May 2022</v>
      </c>
      <c r="Q8" s="59" t="str">
        <f t="shared" si="19"/>
        <v>Jun 2022</v>
      </c>
      <c r="R8" s="16" t="str">
        <f t="shared" si="19"/>
        <v>Jul 2022</v>
      </c>
      <c r="S8" s="71" t="s">
        <v>28</v>
      </c>
      <c r="T8" s="71" t="s">
        <v>325</v>
      </c>
      <c r="U8" s="71" t="s">
        <v>295</v>
      </c>
      <c r="W8" t="s">
        <v>294</v>
      </c>
    </row>
    <row r="9" spans="1:49" s="5" customFormat="1">
      <c r="A9" s="5">
        <v>1</v>
      </c>
      <c r="F9" s="18" t="str">
        <f>INDEX(PropertyList!$D:$D,MATCH(Summary!$A9,PropertyList!$C:$C,0))</f>
        <v>Park Manor of Conroe</v>
      </c>
      <c r="G9" s="60"/>
      <c r="I9" s="60"/>
      <c r="K9" s="60"/>
      <c r="M9" s="60"/>
      <c r="O9" s="60"/>
      <c r="Q9" s="60"/>
      <c r="T9" s="73"/>
      <c r="W9" s="5" t="str">
        <f t="shared" ref="W9:AH9" si="20">+G$8</f>
        <v>Aug 2021</v>
      </c>
      <c r="X9" s="5" t="str">
        <f t="shared" si="20"/>
        <v>Sep 2021</v>
      </c>
      <c r="Y9" s="5" t="str">
        <f t="shared" si="20"/>
        <v>Oct 2021</v>
      </c>
      <c r="Z9" s="5" t="str">
        <f t="shared" si="20"/>
        <v>Nov 2021</v>
      </c>
      <c r="AA9" s="5" t="str">
        <f t="shared" si="20"/>
        <v>Dec 2021</v>
      </c>
      <c r="AB9" s="5" t="str">
        <f t="shared" si="20"/>
        <v>Jan 2022</v>
      </c>
      <c r="AC9" s="5" t="str">
        <f t="shared" si="20"/>
        <v>Feb 2022</v>
      </c>
      <c r="AD9" s="5" t="str">
        <f t="shared" si="20"/>
        <v>Mar 2022</v>
      </c>
      <c r="AE9" s="5" t="str">
        <f t="shared" si="20"/>
        <v>Apr 2022</v>
      </c>
      <c r="AF9" s="5" t="str">
        <f t="shared" si="20"/>
        <v>May 2022</v>
      </c>
      <c r="AG9" s="5" t="str">
        <f t="shared" si="20"/>
        <v>Jun 2022</v>
      </c>
      <c r="AH9" s="5" t="str">
        <f t="shared" si="20"/>
        <v>Jul 2022</v>
      </c>
      <c r="AJ9" s="174" t="str">
        <f>W$9</f>
        <v>Aug 2021</v>
      </c>
      <c r="AK9" s="174" t="str">
        <f t="shared" ref="AK9:AU9" si="21">X$9</f>
        <v>Sep 2021</v>
      </c>
      <c r="AL9" s="174" t="str">
        <f t="shared" si="21"/>
        <v>Oct 2021</v>
      </c>
      <c r="AM9" s="174" t="str">
        <f t="shared" si="21"/>
        <v>Nov 2021</v>
      </c>
      <c r="AN9" s="174" t="str">
        <f t="shared" si="21"/>
        <v>Dec 2021</v>
      </c>
      <c r="AO9" s="174" t="str">
        <f t="shared" si="21"/>
        <v>Jan 2022</v>
      </c>
      <c r="AP9" s="174" t="str">
        <f t="shared" si="21"/>
        <v>Feb 2022</v>
      </c>
      <c r="AQ9" s="174" t="str">
        <f t="shared" si="21"/>
        <v>Mar 2022</v>
      </c>
      <c r="AR9" s="174" t="str">
        <f t="shared" si="21"/>
        <v>Apr 2022</v>
      </c>
      <c r="AS9" s="174" t="str">
        <f t="shared" si="21"/>
        <v>May 2022</v>
      </c>
      <c r="AT9" s="174" t="str">
        <f t="shared" si="21"/>
        <v>Jun 2022</v>
      </c>
      <c r="AU9" s="174" t="str">
        <f t="shared" si="21"/>
        <v>Jul 2022</v>
      </c>
    </row>
    <row r="10" spans="1:49" s="12" customFormat="1">
      <c r="A10" s="12">
        <f>IF(AND(F10&lt;&gt;"",D10=""),A9+1,A9)</f>
        <v>1</v>
      </c>
      <c r="C10" t="str">
        <f>$F9</f>
        <v>Park Manor of Conroe</v>
      </c>
      <c r="D10" s="3" t="s">
        <v>1</v>
      </c>
      <c r="F10" s="19" t="str">
        <f>_xll.EVDES(D10)</f>
        <v>Total Payor Patient Days</v>
      </c>
      <c r="G10" s="61">
        <f ca="1">SUMIFS(OFFSET('BPC Data'!$F:$F,0,Summary!G$2),'BPC Data'!$E:$E,Summary!$D10,'BPC Data'!$B:$B,Summary!$C10)</f>
        <v>2547</v>
      </c>
      <c r="H10" s="65">
        <f ca="1">SUMIFS(OFFSET('BPC Data'!$F:$F,0,Summary!H$2),'BPC Data'!$E:$E,Summary!$D10,'BPC Data'!$B:$B,Summary!$C10)</f>
        <v>2720</v>
      </c>
      <c r="I10" s="61">
        <f ca="1">SUMIFS(OFFSET('BPC Data'!$F:$F,0,Summary!I$2),'BPC Data'!$E:$E,Summary!$D10,'BPC Data'!$B:$B,Summary!$C10)</f>
        <v>2883</v>
      </c>
      <c r="J10" s="65">
        <f ca="1">SUMIFS(OFFSET('BPC Data'!$F:$F,0,Summary!J$2),'BPC Data'!$E:$E,Summary!$D10,'BPC Data'!$B:$B,Summary!$C10)</f>
        <v>2744</v>
      </c>
      <c r="K10" s="61">
        <f ca="1">SUMIFS(OFFSET('BPC Data'!$F:$F,0,Summary!K$2),'BPC Data'!$E:$E,Summary!$D10,'BPC Data'!$B:$B,Summary!$C10)</f>
        <v>2864</v>
      </c>
      <c r="L10" s="65">
        <f ca="1">SUMIFS(OFFSET('BPC Data'!$F:$F,0,Summary!L$2),'BPC Data'!$E:$E,Summary!$D10,'BPC Data'!$B:$B,Summary!$C10)</f>
        <v>2921</v>
      </c>
      <c r="M10" s="61">
        <f ca="1">SUMIFS(OFFSET('BPC Data'!$F:$F,0,Summary!M$2),'BPC Data'!$E:$E,Summary!$D10,'BPC Data'!$B:$B,Summary!$C10)</f>
        <v>2748</v>
      </c>
      <c r="N10" s="65">
        <f ca="1">SUMIFS(OFFSET('BPC Data'!$F:$F,0,Summary!N$2),'BPC Data'!$E:$E,Summary!$D10,'BPC Data'!$B:$B,Summary!$C10)</f>
        <v>2672</v>
      </c>
      <c r="O10" s="61">
        <f ca="1">SUMIFS(OFFSET('BPC Data'!$F:$F,0,Summary!O$2),'BPC Data'!$E:$E,Summary!$D10,'BPC Data'!$B:$B,Summary!$C10)</f>
        <v>2602</v>
      </c>
      <c r="P10" s="65">
        <f ca="1">SUMIFS(OFFSET('BPC Data'!$F:$F,0,Summary!P$2),'BPC Data'!$E:$E,Summary!$D10,'BPC Data'!$B:$B,Summary!$C10)</f>
        <v>2948</v>
      </c>
      <c r="Q10" s="61">
        <f ca="1">SUMIFS(OFFSET('BPC Data'!$F:$F,0,Summary!Q$2),'BPC Data'!$E:$E,Summary!$D10,'BPC Data'!$B:$B,Summary!$C10)</f>
        <v>2953</v>
      </c>
      <c r="R10" s="65">
        <f ca="1">SUMIFS(OFFSET('BPC Data'!$F:$F,0,Summary!R$2),'BPC Data'!$E:$E,Summary!$D10,'BPC Data'!$B:$B,Summary!$C10)</f>
        <v>3011</v>
      </c>
      <c r="S10" s="23">
        <f ca="1">SUM(G10:R10)</f>
        <v>33613</v>
      </c>
      <c r="T10" s="74">
        <f ca="1">SUM(W10:AH10)</f>
        <v>33613</v>
      </c>
      <c r="U10" s="54">
        <f ca="1">T10-S10</f>
        <v>0</v>
      </c>
      <c r="W10" s="4">
        <f ca="1">SUMIFS(INDIRECT("'"&amp;$W$8&amp;"'"&amp;"!$B$1:$B$5000"),INDIRECT("'"&amp;$W$8&amp;"'"&amp;"!$A$1:$A$5000"),$W$2)</f>
        <v>2547</v>
      </c>
      <c r="X10" s="4">
        <f ca="1">SUMIFS(INDIRECT("'"&amp;$W$8&amp;"'"&amp;"!$c$1:$c$5000"),INDIRECT("'"&amp;$W$8&amp;"'"&amp;"!$A$1:$A$5000"),$W$2)</f>
        <v>2720</v>
      </c>
      <c r="Y10" s="4">
        <f ca="1">SUMIFS(INDIRECT("'"&amp;$W$8&amp;"'"&amp;"!$d$1:$d$5000"),INDIRECT("'"&amp;$W$8&amp;"'"&amp;"!$A$1:$A$5000"),$W$2)</f>
        <v>2883</v>
      </c>
      <c r="Z10" s="4">
        <f ca="1">SUMIFS(INDIRECT("'"&amp;$W$8&amp;"'"&amp;"!$e$1:$e$5000"),INDIRECT("'"&amp;$W$8&amp;"'"&amp;"!$A$1:$A$5000"),$W$2)</f>
        <v>2744</v>
      </c>
      <c r="AA10" s="4">
        <f ca="1">SUMIFS(INDIRECT("'"&amp;$W$8&amp;"'"&amp;"!$f$1:$f$5000"),INDIRECT("'"&amp;$W$8&amp;"'"&amp;"!$A$1:$A$5000"),$W$2)</f>
        <v>2864</v>
      </c>
      <c r="AB10" s="4">
        <f ca="1">SUMIFS(INDIRECT("'"&amp;$W$8&amp;"'"&amp;"!$g$1:$g$5000"),INDIRECT("'"&amp;$W$8&amp;"'"&amp;"!$A$1:$A$5000"),$W$2)</f>
        <v>2921</v>
      </c>
      <c r="AC10" s="4">
        <f ca="1">SUMIFS(INDIRECT("'"&amp;$W$8&amp;"'"&amp;"!$h$1:$h$5000"),INDIRECT("'"&amp;$W$8&amp;"'"&amp;"!$A$1:$A$5000"),$W$2)</f>
        <v>2748</v>
      </c>
      <c r="AD10" s="4">
        <f ca="1">SUMIFS(INDIRECT("'"&amp;$W$8&amp;"'"&amp;"!$i$1:$i$5000"),INDIRECT("'"&amp;$W$8&amp;"'"&amp;"!$A$1:$A$5000"),$W$2)</f>
        <v>2672</v>
      </c>
      <c r="AE10" s="4">
        <f ca="1">SUMIFS(INDIRECT("'"&amp;$W$8&amp;"'"&amp;"!$j$1:$j$5000"),INDIRECT("'"&amp;$W$8&amp;"'"&amp;"!$A$1:$A$5000"),$W$2)</f>
        <v>2602</v>
      </c>
      <c r="AF10" s="4">
        <f ca="1">SUMIFS(INDIRECT("'"&amp;$W$8&amp;"'"&amp;"!$k$1:$k$5000"),INDIRECT("'"&amp;$W$8&amp;"'"&amp;"!$A$1:$A$5000"),$W$2)</f>
        <v>2948</v>
      </c>
      <c r="AG10" s="4">
        <f ca="1">SUMIFS(INDIRECT("'"&amp;$W$8&amp;"'"&amp;"!$l$1:$l$5000"),INDIRECT("'"&amp;$W$8&amp;"'"&amp;"!$A$1:$A$5000"),$W$2)</f>
        <v>2953</v>
      </c>
      <c r="AH10" s="4">
        <f ca="1">SUMIFS(INDIRECT("'"&amp;$W$8&amp;"'"&amp;"!$m$1:$m$5000"),INDIRECT("'"&amp;$W$8&amp;"'"&amp;"!$A$1:$A$5000"),$W$2)</f>
        <v>3011</v>
      </c>
      <c r="AJ10" s="14">
        <f t="shared" ref="AJ10:AU10" ca="1" si="22">W10-G10</f>
        <v>0</v>
      </c>
      <c r="AK10" s="14">
        <f t="shared" ca="1" si="22"/>
        <v>0</v>
      </c>
      <c r="AL10" s="14">
        <f t="shared" ca="1" si="22"/>
        <v>0</v>
      </c>
      <c r="AM10" s="14">
        <f t="shared" ca="1" si="22"/>
        <v>0</v>
      </c>
      <c r="AN10" s="14">
        <f t="shared" ca="1" si="22"/>
        <v>0</v>
      </c>
      <c r="AO10" s="14">
        <f t="shared" ca="1" si="22"/>
        <v>0</v>
      </c>
      <c r="AP10" s="14">
        <f t="shared" ca="1" si="22"/>
        <v>0</v>
      </c>
      <c r="AQ10" s="14">
        <f t="shared" ca="1" si="22"/>
        <v>0</v>
      </c>
      <c r="AR10" s="14">
        <f t="shared" ca="1" si="22"/>
        <v>0</v>
      </c>
      <c r="AS10" s="14">
        <f t="shared" ca="1" si="22"/>
        <v>0</v>
      </c>
      <c r="AT10" s="14">
        <f t="shared" ca="1" si="22"/>
        <v>0</v>
      </c>
      <c r="AU10" s="14">
        <f t="shared" ca="1" si="22"/>
        <v>0</v>
      </c>
    </row>
    <row r="11" spans="1:49" s="12" customFormat="1">
      <c r="A11" s="12">
        <f t="shared" ref="A11:A19" si="23">IF(AND(F11&lt;&gt;"",D11=""),A10+1,A10)</f>
        <v>1</v>
      </c>
      <c r="C11" t="str">
        <f>$F9</f>
        <v>Park Manor of Conroe</v>
      </c>
      <c r="D11" s="3" t="s">
        <v>9</v>
      </c>
      <c r="F11" s="19" t="str">
        <f>_xll.EVDES(D11)</f>
        <v>Total Available Beds</v>
      </c>
      <c r="G11" s="61">
        <f ca="1">SUMIFS(OFFSET('BPC Data'!$F:$F,0,Summary!G$2),'BPC Data'!$E:$E,Summary!$D11,'BPC Data'!$B:$B,Summary!$C11)</f>
        <v>125</v>
      </c>
      <c r="H11" s="65">
        <f ca="1">SUMIFS(OFFSET('BPC Data'!$F:$F,0,Summary!H$2),'BPC Data'!$E:$E,Summary!$D11,'BPC Data'!$B:$B,Summary!$C11)</f>
        <v>125</v>
      </c>
      <c r="I11" s="61">
        <f ca="1">SUMIFS(OFFSET('BPC Data'!$F:$F,0,Summary!I$2),'BPC Data'!$E:$E,Summary!$D11,'BPC Data'!$B:$B,Summary!$C11)</f>
        <v>125</v>
      </c>
      <c r="J11" s="65">
        <f ca="1">SUMIFS(OFFSET('BPC Data'!$F:$F,0,Summary!J$2),'BPC Data'!$E:$E,Summary!$D11,'BPC Data'!$B:$B,Summary!$C11)</f>
        <v>125</v>
      </c>
      <c r="K11" s="61">
        <f ca="1">SUMIFS(OFFSET('BPC Data'!$F:$F,0,Summary!K$2),'BPC Data'!$E:$E,Summary!$D11,'BPC Data'!$B:$B,Summary!$C11)</f>
        <v>125</v>
      </c>
      <c r="L11" s="65">
        <f ca="1">SUMIFS(OFFSET('BPC Data'!$F:$F,0,Summary!L$2),'BPC Data'!$E:$E,Summary!$D11,'BPC Data'!$B:$B,Summary!$C11)</f>
        <v>125</v>
      </c>
      <c r="M11" s="61">
        <f ca="1">SUMIFS(OFFSET('BPC Data'!$F:$F,0,Summary!M$2),'BPC Data'!$E:$E,Summary!$D11,'BPC Data'!$B:$B,Summary!$C11)</f>
        <v>125</v>
      </c>
      <c r="N11" s="65">
        <f ca="1">SUMIFS(OFFSET('BPC Data'!$F:$F,0,Summary!N$2),'BPC Data'!$E:$E,Summary!$D11,'BPC Data'!$B:$B,Summary!$C11)</f>
        <v>125</v>
      </c>
      <c r="O11" s="61">
        <f ca="1">SUMIFS(OFFSET('BPC Data'!$F:$F,0,Summary!O$2),'BPC Data'!$E:$E,Summary!$D11,'BPC Data'!$B:$B,Summary!$C11)</f>
        <v>125</v>
      </c>
      <c r="P11" s="65">
        <f ca="1">SUMIFS(OFFSET('BPC Data'!$F:$F,0,Summary!P$2),'BPC Data'!$E:$E,Summary!$D11,'BPC Data'!$B:$B,Summary!$C11)</f>
        <v>125</v>
      </c>
      <c r="Q11" s="61">
        <f ca="1">SUMIFS(OFFSET('BPC Data'!$F:$F,0,Summary!Q$2),'BPC Data'!$E:$E,Summary!$D11,'BPC Data'!$B:$B,Summary!$C11)</f>
        <v>125</v>
      </c>
      <c r="R11" s="65">
        <f ca="1">SUMIFS(OFFSET('BPC Data'!$F:$F,0,Summary!R$2),'BPC Data'!$E:$E,Summary!$D11,'BPC Data'!$B:$B,Summary!$C11)</f>
        <v>125</v>
      </c>
      <c r="S11" s="23">
        <f ca="1">+R11</f>
        <v>125</v>
      </c>
      <c r="T11" s="74"/>
      <c r="U11" s="54"/>
      <c r="AJ11" s="49"/>
      <c r="AK11" s="14"/>
      <c r="AL11" s="49"/>
      <c r="AM11" s="49"/>
      <c r="AN11" s="49"/>
      <c r="AO11" s="49"/>
      <c r="AP11" s="49"/>
      <c r="AQ11" s="49"/>
      <c r="AR11" s="49"/>
      <c r="AS11" s="49"/>
      <c r="AT11" s="49"/>
      <c r="AU11" s="49"/>
    </row>
    <row r="12" spans="1:49">
      <c r="A12" s="12">
        <f t="shared" si="23"/>
        <v>1</v>
      </c>
      <c r="C12" t="str">
        <f>$F9</f>
        <v>Park Manor of Conroe</v>
      </c>
      <c r="D12" s="3" t="s">
        <v>4</v>
      </c>
      <c r="F12" s="19" t="str">
        <f>_xll.EVDES(D12)</f>
        <v>Total Tenant Revenues</v>
      </c>
      <c r="G12" s="61">
        <f ca="1">SUMIFS(OFFSET('BPC Data'!$F:$F,0,Summary!G$2),'BPC Data'!$E:$E,Summary!$D12,'BPC Data'!$B:$B,Summary!$C12)</f>
        <v>816389</v>
      </c>
      <c r="H12" s="65">
        <f ca="1">SUMIFS(OFFSET('BPC Data'!$F:$F,0,Summary!H$2),'BPC Data'!$E:$E,Summary!$D12,'BPC Data'!$B:$B,Summary!$C12)</f>
        <v>949754</v>
      </c>
      <c r="I12" s="61">
        <f ca="1">SUMIFS(OFFSET('BPC Data'!$F:$F,0,Summary!I$2),'BPC Data'!$E:$E,Summary!$D12,'BPC Data'!$B:$B,Summary!$C12)</f>
        <v>967002</v>
      </c>
      <c r="J12" s="65">
        <f ca="1">SUMIFS(OFFSET('BPC Data'!$F:$F,0,Summary!J$2),'BPC Data'!$E:$E,Summary!$D12,'BPC Data'!$B:$B,Summary!$C12)</f>
        <v>853047</v>
      </c>
      <c r="K12" s="61">
        <f ca="1">SUMIFS(OFFSET('BPC Data'!$F:$F,0,Summary!K$2),'BPC Data'!$E:$E,Summary!$D12,'BPC Data'!$B:$B,Summary!$C12)</f>
        <v>856268</v>
      </c>
      <c r="L12" s="65">
        <f ca="1">SUMIFS(OFFSET('BPC Data'!$F:$F,0,Summary!L$2),'BPC Data'!$E:$E,Summary!$D12,'BPC Data'!$B:$B,Summary!$C12)</f>
        <v>1052511</v>
      </c>
      <c r="M12" s="61">
        <f ca="1">SUMIFS(OFFSET('BPC Data'!$F:$F,0,Summary!M$2),'BPC Data'!$E:$E,Summary!$D12,'BPC Data'!$B:$B,Summary!$C12)</f>
        <v>951522</v>
      </c>
      <c r="N12" s="65">
        <f ca="1">SUMIFS(OFFSET('BPC Data'!$F:$F,0,Summary!N$2),'BPC Data'!$E:$E,Summary!$D12,'BPC Data'!$B:$B,Summary!$C12)</f>
        <v>841091</v>
      </c>
      <c r="O12" s="61">
        <f ca="1">SUMIFS(OFFSET('BPC Data'!$F:$F,0,Summary!O$2),'BPC Data'!$E:$E,Summary!$D12,'BPC Data'!$B:$B,Summary!$C12)</f>
        <v>780252</v>
      </c>
      <c r="P12" s="65">
        <f ca="1">SUMIFS(OFFSET('BPC Data'!$F:$F,0,Summary!P$2),'BPC Data'!$E:$E,Summary!$D12,'BPC Data'!$B:$B,Summary!$C12)</f>
        <v>930618</v>
      </c>
      <c r="Q12" s="61">
        <f ca="1">SUMIFS(OFFSET('BPC Data'!$F:$F,0,Summary!Q$2),'BPC Data'!$E:$E,Summary!$D12,'BPC Data'!$B:$B,Summary!$C12)</f>
        <v>993091</v>
      </c>
      <c r="R12" s="65">
        <f ca="1">SUMIFS(OFFSET('BPC Data'!$F:$F,0,Summary!R$2),'BPC Data'!$E:$E,Summary!$D12,'BPC Data'!$B:$B,Summary!$C12)</f>
        <v>1075571</v>
      </c>
      <c r="S12" s="23">
        <f t="shared" ref="S12:S18" ca="1" si="24">SUM(G12:R12)</f>
        <v>11067116</v>
      </c>
      <c r="T12" s="74">
        <f ca="1">SUM(W12:AH12)</f>
        <v>11190824.059999997</v>
      </c>
      <c r="U12" s="54">
        <f ca="1">T12-S12</f>
        <v>123708.0599999968</v>
      </c>
      <c r="W12" s="4">
        <f ca="1">SUMIFS(INDIRECT("'"&amp;$W$8&amp;"'"&amp;"!$B$64:$B$5000"),INDIRECT("'"&amp;$W$8&amp;"'"&amp;"!$A$64:$A$5000"),$V$1)-SUMIFS(INDIRECT("'"&amp;$W$8&amp;"'"&amp;"!$B$64:$B$5000"),INDIRECT("'"&amp;$W$8&amp;"'"&amp;"!$A$64:$A$5000"),$V$2)-SUMIFS(INDIRECT("'"&amp;$W$8&amp;"'"&amp;"!$B$64:$B$5000"),INDIRECT("'"&amp;$W$8&amp;"'"&amp;"!$A$64:$A$5000"),$V$3)-SUMIFS(INDIRECT("'"&amp;$W$8&amp;"'"&amp;"!$B$64:$B$5000"),INDIRECT("'"&amp;$W$8&amp;"'"&amp;"!$A$64:$A$5000"),$X$4)-SUMIFS(INDIRECT("'"&amp;$W$8&amp;"'"&amp;"!$B$64:$B$5000"),INDIRECT("'"&amp;$W$8&amp;"'"&amp;"!$A$64:$A$5000"),$X$3)</f>
        <v>816389.7099999995</v>
      </c>
      <c r="X12" s="4">
        <f ca="1">SUMIFS(INDIRECT("'"&amp;$W$8&amp;"'"&amp;"!$c$64:$c$5000"),INDIRECT("'"&amp;$W$8&amp;"'"&amp;"!$A$64:$A$5000"),$V$1)-SUMIFS(INDIRECT("'"&amp;$W$8&amp;"'"&amp;"!$c$64:$c$5000"),INDIRECT("'"&amp;$W$8&amp;"'"&amp;"!$A$64:$A$5000"),$V$2)-SUMIFS(INDIRECT("'"&amp;$W$8&amp;"'"&amp;"!$c$64:$c$5000"),INDIRECT("'"&amp;$W$8&amp;"'"&amp;"!$A$64:$A$5000"),$V$3)-SUMIFS(INDIRECT("'"&amp;$W$8&amp;"'"&amp;"!$c$64:$c$5000"),INDIRECT("'"&amp;$W$8&amp;"'"&amp;"!$A$64:$A$5000"),$X$4)-SUMIFS(INDIRECT("'"&amp;$W$8&amp;"'"&amp;"!$c$64:$c$5000"),INDIRECT("'"&amp;$W$8&amp;"'"&amp;"!$A$64:$A$5000"),$X$3)</f>
        <v>949754.46000000101</v>
      </c>
      <c r="Y12" s="4">
        <f ca="1">SUMIFS(INDIRECT("'"&amp;$W$8&amp;"'"&amp;"!$d$64:$d$5000"),INDIRECT("'"&amp;$W$8&amp;"'"&amp;"!$A$64:$A$5000"),$V$1)-SUMIFS(INDIRECT("'"&amp;$W$8&amp;"'"&amp;"!$d$64:$d$5000"),INDIRECT("'"&amp;$W$8&amp;"'"&amp;"!$A$64:$A$5000"),$V$2)-SUMIFS(INDIRECT("'"&amp;$W$8&amp;"'"&amp;"!$d$64:$d$5000"),INDIRECT("'"&amp;$W$8&amp;"'"&amp;"!$A$64:$A$5000"),$V$3)-SUMIFS(INDIRECT("'"&amp;$W$8&amp;"'"&amp;"!$d$64:$d$5000"),INDIRECT("'"&amp;$W$8&amp;"'"&amp;"!$A$64:$A$5000"),$X$4)-SUMIFS(INDIRECT("'"&amp;$W$8&amp;"'"&amp;"!$d$64:$d$5000"),INDIRECT("'"&amp;$W$8&amp;"'"&amp;"!$A$64:$A$5000"),$X$3)</f>
        <v>967001.57000000053</v>
      </c>
      <c r="Z12" s="4">
        <f ca="1">SUMIFS(INDIRECT("'"&amp;$W$8&amp;"'"&amp;"!$e$64:$e$5000"),INDIRECT("'"&amp;$W$8&amp;"'"&amp;"!$A$64:$A$5000"),$V$1)-SUMIFS(INDIRECT("'"&amp;$W$8&amp;"'"&amp;"!$e$64:$e$5000"),INDIRECT("'"&amp;$W$8&amp;"'"&amp;"!$A$64:$A$5000"),$V$2)-SUMIFS(INDIRECT("'"&amp;$W$8&amp;"'"&amp;"!$e$64:$e$5000"),INDIRECT("'"&amp;$W$8&amp;"'"&amp;"!$A$64:$A$5000"),$V$3)-SUMIFS(INDIRECT("'"&amp;$W$8&amp;"'"&amp;"!$e$64:$e$5000"),INDIRECT("'"&amp;$W$8&amp;"'"&amp;"!$A$64:$A$5000"),$X$4)-SUMIFS(INDIRECT("'"&amp;$W$8&amp;"'"&amp;"!$e$64:$e$5000"),INDIRECT("'"&amp;$W$8&amp;"'"&amp;"!$A$64:$A$5000"),$X$3)</f>
        <v>853046.16999999946</v>
      </c>
      <c r="AA12" s="4">
        <f ca="1">SUMIFS(INDIRECT("'"&amp;$W$8&amp;"'"&amp;"!$f$64:$f$5000"),INDIRECT("'"&amp;$W$8&amp;"'"&amp;"!$A$64:$A$5000"),$V$1)-SUMIFS(INDIRECT("'"&amp;$W$8&amp;"'"&amp;"!$f$64:$f$5000"),INDIRECT("'"&amp;$W$8&amp;"'"&amp;"!$A$64:$A$5000"),$V$2)-SUMIFS(INDIRECT("'"&amp;$W$8&amp;"'"&amp;"!$f$64:$f$5000"),INDIRECT("'"&amp;$W$8&amp;"'"&amp;"!$A$64:$A$5000"),$V$3)-SUMIFS(INDIRECT("'"&amp;$W$8&amp;"'"&amp;"!$f$64:$f$5000"),INDIRECT("'"&amp;$W$8&amp;"'"&amp;"!$A$64:$A$5000"),$X$4)-SUMIFS(INDIRECT("'"&amp;$W$8&amp;"'"&amp;"!$f$64:$f$5000"),INDIRECT("'"&amp;$W$8&amp;"'"&amp;"!$A$64:$A$5000"),$X$3)</f>
        <v>979975.57999999926</v>
      </c>
      <c r="AB12" s="4">
        <f ca="1">SUMIFS(INDIRECT("'"&amp;$W$8&amp;"'"&amp;"!$g$64:$g$5000"),INDIRECT("'"&amp;$W$8&amp;"'"&amp;"!$A$64:$A$5000"),$V$1)-SUMIFS(INDIRECT("'"&amp;$W$8&amp;"'"&amp;"!$g$64:$g$5000"),INDIRECT("'"&amp;$W$8&amp;"'"&amp;"!$A$64:$A$5000"),$V$2)-SUMIFS(INDIRECT("'"&amp;$W$8&amp;"'"&amp;"!$g$64:$g$5000"),INDIRECT("'"&amp;$W$8&amp;"'"&amp;"!$A$64:$A$5000"),$V$3)-SUMIFS(INDIRECT("'"&amp;$W$8&amp;"'"&amp;"!$g$64:$g$5000"),INDIRECT("'"&amp;$W$8&amp;"'"&amp;"!$A$64:$A$5000"),$X$4)-SUMIFS(INDIRECT("'"&amp;$W$8&amp;"'"&amp;"!$g$64:$g$5000"),INDIRECT("'"&amp;$W$8&amp;"'"&amp;"!$A$64:$A$5000"),$X$3)</f>
        <v>1052511.3399999992</v>
      </c>
      <c r="AC12" s="4">
        <f ca="1">SUMIFS(INDIRECT("'"&amp;$W$8&amp;"'"&amp;"!$h$64:$h$5000"),INDIRECT("'"&amp;$W$8&amp;"'"&amp;"!$A$64:$A$5000"),$V$1)-SUMIFS(INDIRECT("'"&amp;$W$8&amp;"'"&amp;"!$h$64:$h$5000"),INDIRECT("'"&amp;$W$8&amp;"'"&amp;"!$A$64:$A$5000"),$V$2)-SUMIFS(INDIRECT("'"&amp;$W$8&amp;"'"&amp;"!$h$64:$h$5000"),INDIRECT("'"&amp;$W$8&amp;"'"&amp;"!$A$64:$A$5000"),$V$3)-SUMIFS(INDIRECT("'"&amp;$W$8&amp;"'"&amp;"!$h$64:$h$5000"),INDIRECT("'"&amp;$W$8&amp;"'"&amp;"!$A$64:$A$5000"),$X$4)-SUMIFS(INDIRECT("'"&amp;$W$8&amp;"'"&amp;"!$h$64:$h$5000"),INDIRECT("'"&amp;$W$8&amp;"'"&amp;"!$A$64:$A$5000"),$X$3)</f>
        <v>951522.18</v>
      </c>
      <c r="AD12" s="4">
        <f ca="1">SUMIFS(INDIRECT("'"&amp;$W$8&amp;"'"&amp;"!$i$64:$i$5000"),INDIRECT("'"&amp;$W$8&amp;"'"&amp;"!$A$64:$A$5000"),$V$1)-SUMIFS(INDIRECT("'"&amp;$W$8&amp;"'"&amp;"!$i$64:$i$5000"),INDIRECT("'"&amp;$W$8&amp;"'"&amp;"!$A$64:$A$5000"),$V$2)-SUMIFS(INDIRECT("'"&amp;$W$8&amp;"'"&amp;"!$i$64:$i$5000"),INDIRECT("'"&amp;$W$8&amp;"'"&amp;"!$A$64:$A$5000"),$V$3)-SUMIFS(INDIRECT("'"&amp;$W$8&amp;"'"&amp;"!$i$64:$i$5000"),INDIRECT("'"&amp;$W$8&amp;"'"&amp;"!$A$64:$A$5000"),$X$4)-SUMIFS(INDIRECT("'"&amp;$W$8&amp;"'"&amp;"!$i$64:$i$5000"),INDIRECT("'"&amp;$W$8&amp;"'"&amp;"!$A$64:$A$5000"),$X$3)</f>
        <v>841090.68999999866</v>
      </c>
      <c r="AE12" s="4">
        <f ca="1">SUMIFS(INDIRECT("'"&amp;$W$8&amp;"'"&amp;"!$j$64:$j$5000"),INDIRECT("'"&amp;$W$8&amp;"'"&amp;"!$A$64:$A$5000"),$V$1)-SUMIFS(INDIRECT("'"&amp;$W$8&amp;"'"&amp;"!$j$64:$j$5000"),INDIRECT("'"&amp;$W$8&amp;"'"&amp;"!$A$64:$A$5000"),$V$2)-SUMIFS(INDIRECT("'"&amp;$W$8&amp;"'"&amp;"!$j$64:$j$5000"),INDIRECT("'"&amp;$W$8&amp;"'"&amp;"!$A$64:$A$5000"),$V$3)-SUMIFS(INDIRECT("'"&amp;$W$8&amp;"'"&amp;"!$j$64:$j$5000"),INDIRECT("'"&amp;$W$8&amp;"'"&amp;"!$A$64:$A$5000"),$X$4)-SUMIFS(INDIRECT("'"&amp;$W$8&amp;"'"&amp;"!$j$64:$j$5000"),INDIRECT("'"&amp;$W$8&amp;"'"&amp;"!$A$64:$A$5000"),$X$3)</f>
        <v>780252.36000000057</v>
      </c>
      <c r="AF12" s="4">
        <f ca="1">SUMIFS(INDIRECT("'"&amp;$W$8&amp;"'"&amp;"!$k$64:$k$5000"),INDIRECT("'"&amp;$W$8&amp;"'"&amp;"!$A$64:$A$5000"),$V$1)-SUMIFS(INDIRECT("'"&amp;$W$8&amp;"'"&amp;"!$k$64:$k$5000"),INDIRECT("'"&amp;$W$8&amp;"'"&amp;"!$A$64:$A$5000"),$V$2)-SUMIFS(INDIRECT("'"&amp;$W$8&amp;"'"&amp;"!$k$64:$k$5000"),INDIRECT("'"&amp;$W$8&amp;"'"&amp;"!$A$64:$A$5000"),$V$3)-SUMIFS(INDIRECT("'"&amp;$W$8&amp;"'"&amp;"!$k$64:$k$5000"),INDIRECT("'"&amp;$W$8&amp;"'"&amp;"!$A$64:$A$5000"),$X$4)-SUMIFS(INDIRECT("'"&amp;$W$8&amp;"'"&amp;"!$k$64:$k$5000"),INDIRECT("'"&amp;$W$8&amp;"'"&amp;"!$A$64:$A$5000"),$X$3)</f>
        <v>930617.87999999966</v>
      </c>
      <c r="AG12" s="4">
        <f ca="1">SUMIFS(INDIRECT("'"&amp;$W$8&amp;"'"&amp;"!$l$64:$l$5000"),INDIRECT("'"&amp;$W$8&amp;"'"&amp;"!$A$64:$A$5000"),$V$1)-SUMIFS(INDIRECT("'"&amp;$W$8&amp;"'"&amp;"!$l$64:$l$5000"),INDIRECT("'"&amp;$W$8&amp;"'"&amp;"!$A$64:$A$5000"),$V$2)-SUMIFS(INDIRECT("'"&amp;$W$8&amp;"'"&amp;"!$l$64:$l$5000"),INDIRECT("'"&amp;$W$8&amp;"'"&amp;"!$A$64:$A$5000"),$V$3)-SUMIFS(INDIRECT("'"&amp;$W$8&amp;"'"&amp;"!$l$64:$l$5000"),INDIRECT("'"&amp;$W$8&amp;"'"&amp;"!$A$64:$A$5000"),$X$4)-SUMIFS(INDIRECT("'"&amp;$W$8&amp;"'"&amp;"!$l$64:$l$5000"),INDIRECT("'"&amp;$W$8&amp;"'"&amp;"!$A$64:$A$5000"),$X$3)</f>
        <v>993091.27</v>
      </c>
      <c r="AH12" s="4">
        <f ca="1">SUMIFS(INDIRECT("'"&amp;$W$8&amp;"'"&amp;"!$m$64:$m$5000"),INDIRECT("'"&amp;$W$8&amp;"'"&amp;"!$A$64:$A$5000"),$V$1)-SUMIFS(INDIRECT("'"&amp;$W$8&amp;"'"&amp;"!$m$64:$m$5000"),INDIRECT("'"&amp;$W$8&amp;"'"&amp;"!$A$64:$A$5000"),$V$2)-SUMIFS(INDIRECT("'"&amp;$W$8&amp;"'"&amp;"!$m$64:$m$5000"),INDIRECT("'"&amp;$W$8&amp;"'"&amp;"!$A$64:$A$5000"),$V$3)-SUMIFS(INDIRECT("'"&amp;$W$8&amp;"'"&amp;"!$m$64:$m$5000"),INDIRECT("'"&amp;$W$8&amp;"'"&amp;"!$A$64:$A$5000"),$X$4)-SUMIFS(INDIRECT("'"&amp;$W$8&amp;"'"&amp;"!$m$64:$m$5000"),INDIRECT("'"&amp;$W$8&amp;"'"&amp;"!$A$64:$A$5000"),$X$3)</f>
        <v>1075570.8499999999</v>
      </c>
      <c r="AJ12" s="14">
        <f t="shared" ref="AJ12:AU13" ca="1" si="25">W12-G12</f>
        <v>0.70999999949708581</v>
      </c>
      <c r="AK12" s="14">
        <f t="shared" ca="1" si="25"/>
        <v>0.46000000101048499</v>
      </c>
      <c r="AL12" s="14">
        <f t="shared" ca="1" si="25"/>
        <v>-0.42999999946914613</v>
      </c>
      <c r="AM12" s="14">
        <f t="shared" ca="1" si="25"/>
        <v>-0.83000000054016709</v>
      </c>
      <c r="AN12" s="14">
        <f t="shared" ca="1" si="25"/>
        <v>123707.57999999926</v>
      </c>
      <c r="AO12" s="14">
        <f t="shared" ca="1" si="25"/>
        <v>0.33999999915249646</v>
      </c>
      <c r="AP12" s="14">
        <f t="shared" ca="1" si="25"/>
        <v>0.18000000005122274</v>
      </c>
      <c r="AQ12" s="14">
        <f t="shared" ca="1" si="25"/>
        <v>-0.31000000133644789</v>
      </c>
      <c r="AR12" s="14">
        <f t="shared" ca="1" si="25"/>
        <v>0.36000000056810677</v>
      </c>
      <c r="AS12" s="14">
        <f t="shared" ca="1" si="25"/>
        <v>-0.12000000034458935</v>
      </c>
      <c r="AT12" s="14">
        <f t="shared" ca="1" si="25"/>
        <v>0.27000000001862645</v>
      </c>
      <c r="AU12" s="14">
        <f t="shared" ca="1" si="25"/>
        <v>-0.15000000013969839</v>
      </c>
      <c r="AW12" t="s">
        <v>322</v>
      </c>
    </row>
    <row r="13" spans="1:49">
      <c r="A13" s="12">
        <f t="shared" si="23"/>
        <v>1</v>
      </c>
      <c r="C13" t="str">
        <f>$F9</f>
        <v>Park Manor of Conroe</v>
      </c>
      <c r="D13" s="3" t="s">
        <v>5</v>
      </c>
      <c r="F13" s="19" t="str">
        <f>_xll.EVDES(D13)</f>
        <v>Tenant Operating Expenses</v>
      </c>
      <c r="G13" s="61">
        <f ca="1">SUMIFS(OFFSET('BPC Data'!$F:$F,0,Summary!G$2),'BPC Data'!$E:$E,Summary!$D13,'BPC Data'!$B:$B,Summary!$C13)</f>
        <v>696090</v>
      </c>
      <c r="H13" s="65">
        <f ca="1">SUMIFS(OFFSET('BPC Data'!$F:$F,0,Summary!H$2),'BPC Data'!$E:$E,Summary!$D13,'BPC Data'!$B:$B,Summary!$C13)</f>
        <v>696955</v>
      </c>
      <c r="I13" s="61">
        <f ca="1">SUMIFS(OFFSET('BPC Data'!$F:$F,0,Summary!I$2),'BPC Data'!$E:$E,Summary!$D13,'BPC Data'!$B:$B,Summary!$C13)</f>
        <v>694274</v>
      </c>
      <c r="J13" s="65">
        <f ca="1">SUMIFS(OFFSET('BPC Data'!$F:$F,0,Summary!J$2),'BPC Data'!$E:$E,Summary!$D13,'BPC Data'!$B:$B,Summary!$C13)</f>
        <v>665927</v>
      </c>
      <c r="K13" s="61">
        <f ca="1">SUMIFS(OFFSET('BPC Data'!$F:$F,0,Summary!K$2),'BPC Data'!$E:$E,Summary!$D13,'BPC Data'!$B:$B,Summary!$C13)</f>
        <v>513462</v>
      </c>
      <c r="L13" s="65">
        <f ca="1">SUMIFS(OFFSET('BPC Data'!$F:$F,0,Summary!L$2),'BPC Data'!$E:$E,Summary!$D13,'BPC Data'!$B:$B,Summary!$C13)</f>
        <v>667080</v>
      </c>
      <c r="M13" s="61">
        <f ca="1">SUMIFS(OFFSET('BPC Data'!$F:$F,0,Summary!M$2),'BPC Data'!$E:$E,Summary!$D13,'BPC Data'!$B:$B,Summary!$C13)</f>
        <v>639281</v>
      </c>
      <c r="N13" s="65">
        <f ca="1">SUMIFS(OFFSET('BPC Data'!$F:$F,0,Summary!N$2),'BPC Data'!$E:$E,Summary!$D13,'BPC Data'!$B:$B,Summary!$C13)</f>
        <v>652532</v>
      </c>
      <c r="O13" s="61">
        <f ca="1">SUMIFS(OFFSET('BPC Data'!$F:$F,0,Summary!O$2),'BPC Data'!$E:$E,Summary!$D13,'BPC Data'!$B:$B,Summary!$C13)</f>
        <v>601407</v>
      </c>
      <c r="P13" s="65">
        <f ca="1">SUMIFS(OFFSET('BPC Data'!$F:$F,0,Summary!P$2),'BPC Data'!$E:$E,Summary!$D13,'BPC Data'!$B:$B,Summary!$C13)</f>
        <v>657065</v>
      </c>
      <c r="Q13" s="61">
        <f ca="1">SUMIFS(OFFSET('BPC Data'!$F:$F,0,Summary!Q$2),'BPC Data'!$E:$E,Summary!$D13,'BPC Data'!$B:$B,Summary!$C13)</f>
        <v>710807</v>
      </c>
      <c r="R13" s="65">
        <f ca="1">SUMIFS(OFFSET('BPC Data'!$F:$F,0,Summary!R$2),'BPC Data'!$E:$E,Summary!$D13,'BPC Data'!$B:$B,Summary!$C13)</f>
        <v>713187</v>
      </c>
      <c r="S13" s="23">
        <f t="shared" ca="1" si="24"/>
        <v>7908067</v>
      </c>
      <c r="T13" s="74">
        <f ca="1">SUM(W13:AH13)</f>
        <v>7909073.0599999987</v>
      </c>
      <c r="U13" s="54">
        <f ca="1">T13-S13</f>
        <v>1006.0599999986589</v>
      </c>
      <c r="W13" s="4">
        <f ca="1">SUMIFS(INDIRECT("'"&amp;$W$8&amp;"'"&amp;"!$B$64:$B$5000"),INDIRECT("'"&amp;$W$8&amp;"'"&amp;"!$A$64:$A$5000"),$V$4)-SUMIFS(INDIRECT("'"&amp;$W$8&amp;"'"&amp;"!$B$64:$B$5000"),INDIRECT("'"&amp;$W$8&amp;"'"&amp;"!$A$64:$A$5000"),$V$5)-SUMIFS(INDIRECT("'"&amp;$W$8&amp;"'"&amp;"!$B$64:$B$5000"),INDIRECT("'"&amp;$W$8&amp;"'"&amp;"!$A$64:$A$5000"),$V$6)-SUMIFS(INDIRECT("'"&amp;$W$8&amp;"'"&amp;"!$B$64:$B$5000"),INDIRECT("'"&amp;$W$8&amp;"'"&amp;"!$A$64:$A$5000"),$W$6)-SUMIFS(INDIRECT("'"&amp;$W$8&amp;"'"&amp;"!$B$64:$B$5000"),INDIRECT("'"&amp;$W$8&amp;"'"&amp;"!$A$64:$A$5000"),$W$7)-SUMIFS(INDIRECT("'"&amp;$W$8&amp;"'"&amp;"!$B$64:$B$5000"),INDIRECT("'"&amp;$W$8&amp;"'"&amp;"!$A$64:$A$5000"),$X$3)-W18-W16</f>
        <v>696090.99000000011</v>
      </c>
      <c r="X13" s="4">
        <f ca="1">SUMIFS(INDIRECT("'"&amp;$W$8&amp;"'"&amp;"!$c$64:$c$5000"),INDIRECT("'"&amp;$W$8&amp;"'"&amp;"!$A$64:$A$5000"),$V$4)-SUMIFS(INDIRECT("'"&amp;$W$8&amp;"'"&amp;"!$c$64:$c$5000"),INDIRECT("'"&amp;$W$8&amp;"'"&amp;"!$A$64:$A$5000"),$V$5)-SUMIFS(INDIRECT("'"&amp;$W$8&amp;"'"&amp;"!$c$64:$c$5000"),INDIRECT("'"&amp;$W$8&amp;"'"&amp;"!$A$64:$A$5000"),$V$6)-SUMIFS(INDIRECT("'"&amp;$W$8&amp;"'"&amp;"!$c$64:$c$5000"),INDIRECT("'"&amp;$W$8&amp;"'"&amp;"!$A$64:$A$5000"),$W$6)-SUMIFS(INDIRECT("'"&amp;$W$8&amp;"'"&amp;"!$c$64:$c$5000"),INDIRECT("'"&amp;$W$8&amp;"'"&amp;"!$A$64:$A$5000"),$W$7)-SUMIFS(INDIRECT("'"&amp;$W$8&amp;"'"&amp;"!$c$64:$c$5000"),INDIRECT("'"&amp;$W$8&amp;"'"&amp;"!$A$64:$A$5000"),$X$3)-X18-X16</f>
        <v>696955.4499999996</v>
      </c>
      <c r="Y13" s="4">
        <f ca="1">SUMIFS(INDIRECT("'"&amp;$W$8&amp;"'"&amp;"!$d$64:$d$5000"),INDIRECT("'"&amp;$W$8&amp;"'"&amp;"!$A$64:$A$5000"),$V$4)-SUMIFS(INDIRECT("'"&amp;$W$8&amp;"'"&amp;"!$d$64:$d$5000"),INDIRECT("'"&amp;$W$8&amp;"'"&amp;"!$A$64:$A$5000"),$V$5)-SUMIFS(INDIRECT("'"&amp;$W$8&amp;"'"&amp;"!$d$64:$d$5000"),INDIRECT("'"&amp;$W$8&amp;"'"&amp;"!$A$64:$A$5000"),$V$6)-SUMIFS(INDIRECT("'"&amp;$W$8&amp;"'"&amp;"!$d$64:$d$5000"),INDIRECT("'"&amp;$W$8&amp;"'"&amp;"!$A$64:$A$5000"),$W$6)-SUMIFS(INDIRECT("'"&amp;$W$8&amp;"'"&amp;"!$d$64:$d$5000"),INDIRECT("'"&amp;$W$8&amp;"'"&amp;"!$A$64:$A$5000"),$W$7)-SUMIFS(INDIRECT("'"&amp;$W$8&amp;"'"&amp;"!$d$64:$d$5000"),INDIRECT("'"&amp;$W$8&amp;"'"&amp;"!$A$64:$A$5000"),$X$3)-Y18-Y16</f>
        <v>694273.80000000016</v>
      </c>
      <c r="Z13" s="4">
        <f ca="1">SUMIFS(INDIRECT("'"&amp;$W$8&amp;"'"&amp;"!$e$64:$e$5000"),INDIRECT("'"&amp;$W$8&amp;"'"&amp;"!$A$64:$A$5000"),$V$4)-SUMIFS(INDIRECT("'"&amp;$W$8&amp;"'"&amp;"!$e$64:$e$5000"),INDIRECT("'"&amp;$W$8&amp;"'"&amp;"!$A$64:$A$5000"),$V$5)-SUMIFS(INDIRECT("'"&amp;$W$8&amp;"'"&amp;"!$e$64:$e$5000"),INDIRECT("'"&amp;$W$8&amp;"'"&amp;"!$A$64:$A$5000"),$V$6)-SUMIFS(INDIRECT("'"&amp;$W$8&amp;"'"&amp;"!$e$64:$e$5000"),INDIRECT("'"&amp;$W$8&amp;"'"&amp;"!$A$64:$A$5000"),$W$6)-SUMIFS(INDIRECT("'"&amp;$W$8&amp;"'"&amp;"!$e$64:$e$5000"),INDIRECT("'"&amp;$W$8&amp;"'"&amp;"!$A$64:$A$5000"),$W$7)-SUMIFS(INDIRECT("'"&amp;$W$8&amp;"'"&amp;"!$e$64:$e$5000"),INDIRECT("'"&amp;$W$8&amp;"'"&amp;"!$A$64:$A$5000"),$X$3)-Z18-Z16</f>
        <v>665927.01999999944</v>
      </c>
      <c r="AA13" s="4">
        <f ca="1">SUMIFS(INDIRECT("'"&amp;$W$8&amp;"'"&amp;"!$f$64:$f$5000"),INDIRECT("'"&amp;$W$8&amp;"'"&amp;"!$A$64:$A$5000"),$V$4)-SUMIFS(INDIRECT("'"&amp;$W$8&amp;"'"&amp;"!$f$64:$f$5000"),INDIRECT("'"&amp;$W$8&amp;"'"&amp;"!$A$64:$A$5000"),$V$5)-SUMIFS(INDIRECT("'"&amp;$W$8&amp;"'"&amp;"!$f$64:$f$5000"),INDIRECT("'"&amp;$W$8&amp;"'"&amp;"!$A$64:$A$5000"),$V$6)-SUMIFS(INDIRECT("'"&amp;$W$8&amp;"'"&amp;"!$f$64:$f$5000"),INDIRECT("'"&amp;$W$8&amp;"'"&amp;"!$A$64:$A$5000"),$W$6)-SUMIFS(INDIRECT("'"&amp;$W$8&amp;"'"&amp;"!$f$64:$f$5000"),INDIRECT("'"&amp;$W$8&amp;"'"&amp;"!$A$64:$A$5000"),$W$7)-SUMIFS(INDIRECT("'"&amp;$W$8&amp;"'"&amp;"!$f$64:$f$5000"),INDIRECT("'"&amp;$W$8&amp;"'"&amp;"!$A$64:$A$5000"),$X$3)-AA18-AA16</f>
        <v>514471.96000000066</v>
      </c>
      <c r="AB13" s="4">
        <f ca="1">SUMIFS(INDIRECT("'"&amp;$W$8&amp;"'"&amp;"!$g$64:$g$5000"),INDIRECT("'"&amp;$W$8&amp;"'"&amp;"!$A$64:$A$5000"),$V$4)-SUMIFS(INDIRECT("'"&amp;$W$8&amp;"'"&amp;"!$g$64:$g$5000"),INDIRECT("'"&amp;$W$8&amp;"'"&amp;"!$A$64:$A$5000"),$V$5)-SUMIFS(INDIRECT("'"&amp;$W$8&amp;"'"&amp;"!$g$64:$g$5000"),INDIRECT("'"&amp;$W$8&amp;"'"&amp;"!$A$64:$A$5000"),$V$6)-SUMIFS(INDIRECT("'"&amp;$W$8&amp;"'"&amp;"!$g$64:$g$5000"),INDIRECT("'"&amp;$W$8&amp;"'"&amp;"!$A$64:$A$5000"),$W$6)-SUMIFS(INDIRECT("'"&amp;$W$8&amp;"'"&amp;"!$g$64:$g$5000"),INDIRECT("'"&amp;$W$8&amp;"'"&amp;"!$A$64:$A$5000"),$W$7)-SUMIFS(INDIRECT("'"&amp;$W$8&amp;"'"&amp;"!$g$64:$g$5000"),INDIRECT("'"&amp;$W$8&amp;"'"&amp;"!$A$64:$A$5000"),$X$3)-AB18-AB16</f>
        <v>667080.32000000053</v>
      </c>
      <c r="AC13" s="4">
        <f ca="1">SUMIFS(INDIRECT("'"&amp;$W$8&amp;"'"&amp;"!$h$64:$h$5000"),INDIRECT("'"&amp;$W$8&amp;"'"&amp;"!$A$64:$A$5000"),$V$4)-SUMIFS(INDIRECT("'"&amp;$W$8&amp;"'"&amp;"!$h$64:$h$5000"),INDIRECT("'"&amp;$W$8&amp;"'"&amp;"!$A$64:$A$5000"),$V$5)-SUMIFS(INDIRECT("'"&amp;$W$8&amp;"'"&amp;"!$h$64:$h$5000"),INDIRECT("'"&amp;$W$8&amp;"'"&amp;"!$A$64:$A$5000"),$V$6)-SUMIFS(INDIRECT("'"&amp;$W$8&amp;"'"&amp;"!$h$64:$h$5000"),INDIRECT("'"&amp;$W$8&amp;"'"&amp;"!$A$64:$A$5000"),$W$6)-SUMIFS(INDIRECT("'"&amp;$W$8&amp;"'"&amp;"!$h$64:$h$5000"),INDIRECT("'"&amp;$W$8&amp;"'"&amp;"!$A$64:$A$5000"),$W$7)-SUMIFS(INDIRECT("'"&amp;$W$8&amp;"'"&amp;"!$h$64:$h$5000"),INDIRECT("'"&amp;$W$8&amp;"'"&amp;"!$A$64:$A$5000"),$X$3)-AC18-AC16</f>
        <v>639275.5900000002</v>
      </c>
      <c r="AD13" s="4">
        <f ca="1">SUMIFS(INDIRECT("'"&amp;$W$8&amp;"'"&amp;"!$i$64:$i$5000"),INDIRECT("'"&amp;$W$8&amp;"'"&amp;"!$A$64:$A$5000"),$V$4)-SUMIFS(INDIRECT("'"&amp;$W$8&amp;"'"&amp;"!$i$64:$i$5000"),INDIRECT("'"&amp;$W$8&amp;"'"&amp;"!$A$64:$A$5000"),$V$5)-SUMIFS(INDIRECT("'"&amp;$W$8&amp;"'"&amp;"!$i$64:$i$5000"),INDIRECT("'"&amp;$W$8&amp;"'"&amp;"!$A$64:$A$5000"),$V$6)-SUMIFS(INDIRECT("'"&amp;$W$8&amp;"'"&amp;"!$i$64:$i$5000"),INDIRECT("'"&amp;$W$8&amp;"'"&amp;"!$A$64:$A$5000"),$W$6)-SUMIFS(INDIRECT("'"&amp;$W$8&amp;"'"&amp;"!$i$64:$i$5000"),INDIRECT("'"&amp;$W$8&amp;"'"&amp;"!$A$64:$A$5000"),$W$7)-SUMIFS(INDIRECT("'"&amp;$W$8&amp;"'"&amp;"!$i$64:$i$5000"),INDIRECT("'"&amp;$W$8&amp;"'"&amp;"!$A$64:$A$5000"),$X$3)-AD18-AD16</f>
        <v>652531.47</v>
      </c>
      <c r="AE13" s="4">
        <f ca="1">SUMIFS(INDIRECT("'"&amp;$W$8&amp;"'"&amp;"!$j$64:$j$5000"),INDIRECT("'"&amp;$W$8&amp;"'"&amp;"!$A$64:$A$5000"),$V$4)-SUMIFS(INDIRECT("'"&amp;$W$8&amp;"'"&amp;"!$j$64:$j$5000"),INDIRECT("'"&amp;$W$8&amp;"'"&amp;"!$A$64:$A$5000"),$V$5)-SUMIFS(INDIRECT("'"&amp;$W$8&amp;"'"&amp;"!$j$64:$j$5000"),INDIRECT("'"&amp;$W$8&amp;"'"&amp;"!$A$64:$A$5000"),$V$6)-SUMIFS(INDIRECT("'"&amp;$W$8&amp;"'"&amp;"!$j$64:$j$5000"),INDIRECT("'"&amp;$W$8&amp;"'"&amp;"!$A$64:$A$5000"),$W$6)-SUMIFS(INDIRECT("'"&amp;$W$8&amp;"'"&amp;"!$j$64:$j$5000"),INDIRECT("'"&amp;$W$8&amp;"'"&amp;"!$A$64:$A$5000"),$W$7)-SUMIFS(INDIRECT("'"&amp;$W$8&amp;"'"&amp;"!$j$64:$j$5000"),INDIRECT("'"&amp;$W$8&amp;"'"&amp;"!$A$64:$A$5000"),$X$3)-AE18-AE16</f>
        <v>601408.29</v>
      </c>
      <c r="AF13" s="4">
        <f ca="1">SUMIFS(INDIRECT("'"&amp;$W$8&amp;"'"&amp;"!$k$64:$k$5000"),INDIRECT("'"&amp;$W$8&amp;"'"&amp;"!$A$64:$A$5000"),$V$4)-SUMIFS(INDIRECT("'"&amp;$W$8&amp;"'"&amp;"!$k$64:$k$5000"),INDIRECT("'"&amp;$W$8&amp;"'"&amp;"!$A$64:$A$5000"),$V$5)-SUMIFS(INDIRECT("'"&amp;$W$8&amp;"'"&amp;"!$k$64:$k$5000"),INDIRECT("'"&amp;$W$8&amp;"'"&amp;"!$A$64:$A$5000"),$V$6)-SUMIFS(INDIRECT("'"&amp;$W$8&amp;"'"&amp;"!$k$64:$k$5000"),INDIRECT("'"&amp;$W$8&amp;"'"&amp;"!$A$64:$A$5000"),$W$6)-SUMIFS(INDIRECT("'"&amp;$W$8&amp;"'"&amp;"!$k$64:$k$5000"),INDIRECT("'"&amp;$W$8&amp;"'"&amp;"!$A$64:$A$5000"),$W$7)-SUMIFS(INDIRECT("'"&amp;$W$8&amp;"'"&amp;"!$k$64:$k$5000"),INDIRECT("'"&amp;$W$8&amp;"'"&amp;"!$A$64:$A$5000"),$X$3)-AF18-AF16</f>
        <v>657064.16999999934</v>
      </c>
      <c r="AG13" s="4">
        <f ca="1">SUMIFS(INDIRECT("'"&amp;$W$8&amp;"'"&amp;"!$l$64:$l$5000"),INDIRECT("'"&amp;$W$8&amp;"'"&amp;"!$A$64:$A$5000"),$V$4)-SUMIFS(INDIRECT("'"&amp;$W$8&amp;"'"&amp;"!$l$64:$l$5000"),INDIRECT("'"&amp;$W$8&amp;"'"&amp;"!$A$64:$A$5000"),$V$5)-SUMIFS(INDIRECT("'"&amp;$W$8&amp;"'"&amp;"!$l$64:$l$5000"),INDIRECT("'"&amp;$W$8&amp;"'"&amp;"!$A$64:$A$5000"),$V$6)-SUMIFS(INDIRECT("'"&amp;$W$8&amp;"'"&amp;"!$l$64:$l$5000"),INDIRECT("'"&amp;$W$8&amp;"'"&amp;"!$A$64:$A$5000"),$W$6)-SUMIFS(INDIRECT("'"&amp;$W$8&amp;"'"&amp;"!$l$64:$l$5000"),INDIRECT("'"&amp;$W$8&amp;"'"&amp;"!$A$64:$A$5000"),$W$7)-SUMIFS(INDIRECT("'"&amp;$W$8&amp;"'"&amp;"!$l$64:$l$5000"),INDIRECT("'"&amp;$W$8&amp;"'"&amp;"!$A$64:$A$5000"),$X$3)-AG18-AG16</f>
        <v>710808.28999999946</v>
      </c>
      <c r="AH13" s="4">
        <f ca="1">SUMIFS(INDIRECT("'"&amp;$W$8&amp;"'"&amp;"!$m$64:$m$5000"),INDIRECT("'"&amp;$W$8&amp;"'"&amp;"!$A$64:$A$5000"),$V$4)-SUMIFS(INDIRECT("'"&amp;$W$8&amp;"'"&amp;"!$m$64:$m$5000"),INDIRECT("'"&amp;$W$8&amp;"'"&amp;"!$A$64:$A$5000"),$V$5)-SUMIFS(INDIRECT("'"&amp;$W$8&amp;"'"&amp;"!$m$64:$m$5000"),INDIRECT("'"&amp;$W$8&amp;"'"&amp;"!$A$64:$A$5000"),$V$6)-SUMIFS(INDIRECT("'"&amp;$W$8&amp;"'"&amp;"!$m$64:$m$5000"),INDIRECT("'"&amp;$W$8&amp;"'"&amp;"!$A$64:$A$5000"),$W$6)-SUMIFS(INDIRECT("'"&amp;$W$8&amp;"'"&amp;"!$m$64:$m$5000"),INDIRECT("'"&amp;$W$8&amp;"'"&amp;"!$A$64:$A$5000"),$W$7)-SUMIFS(INDIRECT("'"&amp;$W$8&amp;"'"&amp;"!$m$64:$m$5000"),INDIRECT("'"&amp;$W$8&amp;"'"&amp;"!$A$64:$A$5000"),$X$3)-AH18-AH16</f>
        <v>713185.71000000043</v>
      </c>
      <c r="AJ13" s="14">
        <f t="shared" ca="1" si="25"/>
        <v>0.9900000001071021</v>
      </c>
      <c r="AK13" s="14">
        <f t="shared" ca="1" si="25"/>
        <v>0.44999999960418791</v>
      </c>
      <c r="AL13" s="14">
        <f t="shared" ca="1" si="25"/>
        <v>-0.19999999983701855</v>
      </c>
      <c r="AM13" s="14">
        <f t="shared" ca="1" si="25"/>
        <v>1.9999999436549842E-2</v>
      </c>
      <c r="AN13" s="14">
        <f t="shared" ca="1" si="25"/>
        <v>1009.9600000006612</v>
      </c>
      <c r="AO13" s="14">
        <f t="shared" ca="1" si="25"/>
        <v>0.32000000053085387</v>
      </c>
      <c r="AP13" s="14">
        <f t="shared" ca="1" si="25"/>
        <v>-5.4099999997997656</v>
      </c>
      <c r="AQ13" s="14">
        <f t="shared" ca="1" si="25"/>
        <v>-0.53000000002793968</v>
      </c>
      <c r="AR13" s="14">
        <f t="shared" ca="1" si="25"/>
        <v>1.2900000000372529</v>
      </c>
      <c r="AS13" s="14">
        <f t="shared" ca="1" si="25"/>
        <v>-0.83000000065658242</v>
      </c>
      <c r="AT13" s="14">
        <f t="shared" ca="1" si="25"/>
        <v>1.2899999994551763</v>
      </c>
      <c r="AU13" s="14">
        <f t="shared" ca="1" si="25"/>
        <v>-1.2899999995715916</v>
      </c>
      <c r="AW13" t="s">
        <v>323</v>
      </c>
    </row>
    <row r="14" spans="1:49">
      <c r="A14" s="12">
        <f t="shared" si="23"/>
        <v>1</v>
      </c>
      <c r="C14" t="str">
        <f>$F9</f>
        <v>Park Manor of Conroe</v>
      </c>
      <c r="D14" s="3" t="s">
        <v>2</v>
      </c>
      <c r="F14" s="19" t="str">
        <f>_xll.EVDES(D14)</f>
        <v>Tenant Bad Debt Expense</v>
      </c>
      <c r="G14" s="61">
        <f ca="1">SUMIFS(OFFSET('BPC Data'!$F:$F,0,Summary!G$2),'BPC Data'!$E:$E,Summary!$D14,'BPC Data'!$B:$B,Summary!$C14)</f>
        <v>27222</v>
      </c>
      <c r="H14" s="65">
        <f ca="1">SUMIFS(OFFSET('BPC Data'!$F:$F,0,Summary!H$2),'BPC Data'!$E:$E,Summary!$D14,'BPC Data'!$B:$B,Summary!$C14)</f>
        <v>25630</v>
      </c>
      <c r="I14" s="61">
        <f ca="1">SUMIFS(OFFSET('BPC Data'!$F:$F,0,Summary!I$2),'BPC Data'!$E:$E,Summary!$D14,'BPC Data'!$B:$B,Summary!$C14)</f>
        <v>27066</v>
      </c>
      <c r="J14" s="65">
        <f ca="1">SUMIFS(OFFSET('BPC Data'!$F:$F,0,Summary!J$2),'BPC Data'!$E:$E,Summary!$D14,'BPC Data'!$B:$B,Summary!$C14)</f>
        <v>24728</v>
      </c>
      <c r="K14" s="61">
        <f ca="1">SUMIFS(OFFSET('BPC Data'!$F:$F,0,Summary!K$2),'BPC Data'!$E:$E,Summary!$D14,'BPC Data'!$B:$B,Summary!$C14)</f>
        <v>36922</v>
      </c>
      <c r="L14" s="65">
        <f ca="1">SUMIFS(OFFSET('BPC Data'!$F:$F,0,Summary!L$2),'BPC Data'!$E:$E,Summary!$D14,'BPC Data'!$B:$B,Summary!$C14)</f>
        <v>32614</v>
      </c>
      <c r="M14" s="61">
        <f ca="1">SUMIFS(OFFSET('BPC Data'!$F:$F,0,Summary!M$2),'BPC Data'!$E:$E,Summary!$D14,'BPC Data'!$B:$B,Summary!$C14)</f>
        <v>48913</v>
      </c>
      <c r="N14" s="65">
        <f ca="1">SUMIFS(OFFSET('BPC Data'!$F:$F,0,Summary!N$2),'BPC Data'!$E:$E,Summary!$D14,'BPC Data'!$B:$B,Summary!$C14)</f>
        <v>26766</v>
      </c>
      <c r="O14" s="61">
        <f ca="1">SUMIFS(OFFSET('BPC Data'!$F:$F,0,Summary!O$2),'BPC Data'!$E:$E,Summary!$D14,'BPC Data'!$B:$B,Summary!$C14)</f>
        <v>25870</v>
      </c>
      <c r="P14" s="65">
        <f ca="1">SUMIFS(OFFSET('BPC Data'!$F:$F,0,Summary!P$2),'BPC Data'!$E:$E,Summary!$D14,'BPC Data'!$B:$B,Summary!$C14)</f>
        <v>28935</v>
      </c>
      <c r="Q14" s="61">
        <f ca="1">SUMIFS(OFFSET('BPC Data'!$F:$F,0,Summary!Q$2),'BPC Data'!$E:$E,Summary!$D14,'BPC Data'!$B:$B,Summary!$C14)</f>
        <v>29897</v>
      </c>
      <c r="R14" s="65">
        <f ca="1">SUMIFS(OFFSET('BPC Data'!$F:$F,0,Summary!R$2),'BPC Data'!$E:$E,Summary!$D14,'BPC Data'!$B:$B,Summary!$C14)</f>
        <v>28920</v>
      </c>
      <c r="S14" s="23">
        <f t="shared" ca="1" si="24"/>
        <v>363483</v>
      </c>
      <c r="T14" s="75"/>
      <c r="U14" s="4"/>
    </row>
    <row r="15" spans="1:49">
      <c r="A15" s="12">
        <f t="shared" si="23"/>
        <v>1</v>
      </c>
      <c r="C15" t="str">
        <f>$F9</f>
        <v>Park Manor of Conroe</v>
      </c>
      <c r="D15" s="2" t="s">
        <v>6</v>
      </c>
      <c r="F15" s="19" t="str">
        <f>_xll.EVDES(D15)</f>
        <v>EBITDARM</v>
      </c>
      <c r="G15" s="61">
        <f ca="1">SUMIFS(OFFSET('BPC Data'!$F:$F,0,Summary!G$2),'BPC Data'!$E:$E,Summary!$D15,'BPC Data'!$B:$B,Summary!$C15)</f>
        <v>120299</v>
      </c>
      <c r="H15" s="65">
        <f ca="1">SUMIFS(OFFSET('BPC Data'!$F:$F,0,Summary!H$2),'BPC Data'!$E:$E,Summary!$D15,'BPC Data'!$B:$B,Summary!$C15)</f>
        <v>252799</v>
      </c>
      <c r="I15" s="61">
        <f ca="1">SUMIFS(OFFSET('BPC Data'!$F:$F,0,Summary!I$2),'BPC Data'!$E:$E,Summary!$D15,'BPC Data'!$B:$B,Summary!$C15)</f>
        <v>272728</v>
      </c>
      <c r="J15" s="65">
        <f ca="1">SUMIFS(OFFSET('BPC Data'!$F:$F,0,Summary!J$2),'BPC Data'!$E:$E,Summary!$D15,'BPC Data'!$B:$B,Summary!$C15)</f>
        <v>187120</v>
      </c>
      <c r="K15" s="61">
        <f ca="1">SUMIFS(OFFSET('BPC Data'!$F:$F,0,Summary!K$2),'BPC Data'!$E:$E,Summary!$D15,'BPC Data'!$B:$B,Summary!$C15)</f>
        <v>342806</v>
      </c>
      <c r="L15" s="65">
        <f ca="1">SUMIFS(OFFSET('BPC Data'!$F:$F,0,Summary!L$2),'BPC Data'!$E:$E,Summary!$D15,'BPC Data'!$B:$B,Summary!$C15)</f>
        <v>385431</v>
      </c>
      <c r="M15" s="61">
        <f ca="1">SUMIFS(OFFSET('BPC Data'!$F:$F,0,Summary!M$2),'BPC Data'!$E:$E,Summary!$D15,'BPC Data'!$B:$B,Summary!$C15)</f>
        <v>312241</v>
      </c>
      <c r="N15" s="65">
        <f ca="1">SUMIFS(OFFSET('BPC Data'!$F:$F,0,Summary!N$2),'BPC Data'!$E:$E,Summary!$D15,'BPC Data'!$B:$B,Summary!$C15)</f>
        <v>188559</v>
      </c>
      <c r="O15" s="61">
        <f ca="1">SUMIFS(OFFSET('BPC Data'!$F:$F,0,Summary!O$2),'BPC Data'!$E:$E,Summary!$D15,'BPC Data'!$B:$B,Summary!$C15)</f>
        <v>178845</v>
      </c>
      <c r="P15" s="65">
        <f ca="1">SUMIFS(OFFSET('BPC Data'!$F:$F,0,Summary!P$2),'BPC Data'!$E:$E,Summary!$D15,'BPC Data'!$B:$B,Summary!$C15)</f>
        <v>273553</v>
      </c>
      <c r="Q15" s="61">
        <f ca="1">SUMIFS(OFFSET('BPC Data'!$F:$F,0,Summary!Q$2),'BPC Data'!$E:$E,Summary!$D15,'BPC Data'!$B:$B,Summary!$C15)</f>
        <v>282284</v>
      </c>
      <c r="R15" s="65">
        <f ca="1">SUMIFS(OFFSET('BPC Data'!$F:$F,0,Summary!R$2),'BPC Data'!$E:$E,Summary!$D15,'BPC Data'!$B:$B,Summary!$C15)</f>
        <v>362384</v>
      </c>
      <c r="S15" s="23">
        <f t="shared" ca="1" si="24"/>
        <v>3159049</v>
      </c>
      <c r="T15" s="74">
        <f ca="1">SUM(W15:AH15)</f>
        <v>3281750.9999999972</v>
      </c>
      <c r="U15" s="54">
        <f ca="1">T15-S15</f>
        <v>122701.99999999721</v>
      </c>
      <c r="W15" s="50">
        <f t="shared" ref="W15:AH15" ca="1" si="26">W12-W13</f>
        <v>120298.71999999939</v>
      </c>
      <c r="X15" s="50">
        <f t="shared" ref="X15:AB15" ca="1" si="27">X12-X13</f>
        <v>252799.01000000141</v>
      </c>
      <c r="Y15" s="50">
        <f t="shared" ca="1" si="27"/>
        <v>272727.77000000037</v>
      </c>
      <c r="Z15" s="50">
        <f t="shared" ca="1" si="27"/>
        <v>187119.15000000002</v>
      </c>
      <c r="AA15" s="50">
        <f t="shared" ca="1" si="27"/>
        <v>465503.6199999986</v>
      </c>
      <c r="AB15" s="50">
        <f t="shared" ca="1" si="27"/>
        <v>385431.01999999862</v>
      </c>
      <c r="AC15" s="50">
        <f t="shared" ca="1" si="26"/>
        <v>312246.58999999985</v>
      </c>
      <c r="AD15" s="50">
        <f t="shared" ca="1" si="26"/>
        <v>188559.21999999869</v>
      </c>
      <c r="AE15" s="50">
        <f t="shared" ca="1" si="26"/>
        <v>178844.07000000053</v>
      </c>
      <c r="AF15" s="50">
        <f t="shared" ca="1" si="26"/>
        <v>273553.71000000031</v>
      </c>
      <c r="AG15" s="50">
        <f t="shared" ca="1" si="26"/>
        <v>282282.98000000056</v>
      </c>
      <c r="AH15" s="50">
        <f t="shared" ca="1" si="26"/>
        <v>362385.13999999943</v>
      </c>
      <c r="AJ15" s="14">
        <f t="shared" ref="AJ15:AU18" ca="1" si="28">W15-G15</f>
        <v>-0.28000000061001629</v>
      </c>
      <c r="AK15" s="14">
        <f t="shared" ca="1" si="28"/>
        <v>1.0000001406297088E-2</v>
      </c>
      <c r="AL15" s="14">
        <f t="shared" ca="1" si="28"/>
        <v>-0.22999999963212758</v>
      </c>
      <c r="AM15" s="14">
        <f t="shared" ca="1" si="28"/>
        <v>-0.84999999997671694</v>
      </c>
      <c r="AN15" s="14">
        <f t="shared" ca="1" si="28"/>
        <v>122697.6199999986</v>
      </c>
      <c r="AO15" s="14">
        <f t="shared" ca="1" si="28"/>
        <v>1.999999862164259E-2</v>
      </c>
      <c r="AP15" s="14">
        <f t="shared" ca="1" si="28"/>
        <v>5.5899999998509884</v>
      </c>
      <c r="AQ15" s="14">
        <f t="shared" ca="1" si="28"/>
        <v>0.21999999869149178</v>
      </c>
      <c r="AR15" s="14">
        <f t="shared" ca="1" si="28"/>
        <v>-0.92999999946914613</v>
      </c>
      <c r="AS15" s="14">
        <f t="shared" ca="1" si="28"/>
        <v>0.71000000031199306</v>
      </c>
      <c r="AT15" s="14">
        <f t="shared" ca="1" si="28"/>
        <v>-1.0199999994365498</v>
      </c>
      <c r="AU15" s="14">
        <f t="shared" ca="1" si="28"/>
        <v>1.1399999994318932</v>
      </c>
    </row>
    <row r="16" spans="1:49">
      <c r="A16" s="12">
        <f t="shared" si="23"/>
        <v>1</v>
      </c>
      <c r="C16" t="str">
        <f>$F9</f>
        <v>Park Manor of Conroe</v>
      </c>
      <c r="D16" s="2" t="s">
        <v>7</v>
      </c>
      <c r="F16" s="19" t="str">
        <f>_xll.EVDES(D16)</f>
        <v>Tenant Management Fee - Actual</v>
      </c>
      <c r="G16" s="61">
        <f ca="1">SUMIFS(OFFSET('BPC Data'!$F:$F,0,Summary!G$2),'BPC Data'!$E:$E,Summary!$D16,'BPC Data'!$B:$B,Summary!$C16)</f>
        <v>38193</v>
      </c>
      <c r="H16" s="65">
        <f ca="1">SUMIFS(OFFSET('BPC Data'!$F:$F,0,Summary!H$2),'BPC Data'!$E:$E,Summary!$D16,'BPC Data'!$B:$B,Summary!$C16)</f>
        <v>42717</v>
      </c>
      <c r="I16" s="61">
        <f ca="1">SUMIFS(OFFSET('BPC Data'!$F:$F,0,Summary!I$2),'BPC Data'!$E:$E,Summary!$D16,'BPC Data'!$B:$B,Summary!$C16)</f>
        <v>45109</v>
      </c>
      <c r="J16" s="65">
        <f ca="1">SUMIFS(OFFSET('BPC Data'!$F:$F,0,Summary!J$2),'BPC Data'!$E:$E,Summary!$D16,'BPC Data'!$B:$B,Summary!$C16)</f>
        <v>41214</v>
      </c>
      <c r="K16" s="61">
        <f ca="1">SUMIFS(OFFSET('BPC Data'!$F:$F,0,Summary!K$2),'BPC Data'!$E:$E,Summary!$D16,'BPC Data'!$B:$B,Summary!$C16)</f>
        <v>40561</v>
      </c>
      <c r="L16" s="65">
        <f ca="1">SUMIFS(OFFSET('BPC Data'!$F:$F,0,Summary!L$2),'BPC Data'!$E:$E,Summary!$D16,'BPC Data'!$B:$B,Summary!$C16)</f>
        <v>54357</v>
      </c>
      <c r="M16" s="61">
        <f ca="1">SUMIFS(OFFSET('BPC Data'!$F:$F,0,Summary!M$2),'BPC Data'!$E:$E,Summary!$D16,'BPC Data'!$B:$B,Summary!$C16)</f>
        <v>45715</v>
      </c>
      <c r="N16" s="65">
        <f ca="1">SUMIFS(OFFSET('BPC Data'!$F:$F,0,Summary!N$2),'BPC Data'!$E:$E,Summary!$D16,'BPC Data'!$B:$B,Summary!$C16)</f>
        <v>40932</v>
      </c>
      <c r="O16" s="61">
        <f ca="1">SUMIFS(OFFSET('BPC Data'!$F:$F,0,Summary!O$2),'BPC Data'!$E:$E,Summary!$D16,'BPC Data'!$B:$B,Summary!$C16)</f>
        <v>38680</v>
      </c>
      <c r="P16" s="65">
        <f ca="1">SUMIFS(OFFSET('BPC Data'!$F:$F,0,Summary!P$2),'BPC Data'!$E:$E,Summary!$D16,'BPC Data'!$B:$B,Summary!$C16)</f>
        <v>46119</v>
      </c>
      <c r="Q16" s="61">
        <f ca="1">SUMIFS(OFFSET('BPC Data'!$F:$F,0,Summary!Q$2),'BPC Data'!$E:$E,Summary!$D16,'BPC Data'!$B:$B,Summary!$C16)</f>
        <v>49828</v>
      </c>
      <c r="R16" s="65">
        <f ca="1">SUMIFS(OFFSET('BPC Data'!$F:$F,0,Summary!R$2),'BPC Data'!$E:$E,Summary!$D16,'BPC Data'!$B:$B,Summary!$C16)</f>
        <v>48087</v>
      </c>
      <c r="S16" s="23">
        <f t="shared" ca="1" si="24"/>
        <v>531512</v>
      </c>
      <c r="T16" s="74">
        <f ca="1">SUM(W16:AH16)</f>
        <v>591488</v>
      </c>
      <c r="U16" s="54">
        <f ca="1">T16-S16</f>
        <v>59976</v>
      </c>
      <c r="W16" s="4">
        <f ca="1">SUMIFS(INDIRECT("'"&amp;$W$8&amp;"'"&amp;"!$B$64:$B$5000"),INDIRECT("'"&amp;$W$8&amp;"'"&amp;"!$A$64:$A$5000"),$V$7)</f>
        <v>38193</v>
      </c>
      <c r="X16" s="4">
        <f ca="1">SUMIFS(INDIRECT("'"&amp;$W$8&amp;"'"&amp;"!$c$64:$c$5000"),INDIRECT("'"&amp;$W$8&amp;"'"&amp;"!$A$64:$A$5000"),$V$7)</f>
        <v>42717</v>
      </c>
      <c r="Y16" s="4">
        <f ca="1">SUMIFS(INDIRECT("'"&amp;$W$8&amp;"'"&amp;"!$d$64:$d$5000"),INDIRECT("'"&amp;$W$8&amp;"'"&amp;"!$A$64:$A$5000"),$V$7)</f>
        <v>45109</v>
      </c>
      <c r="Z16" s="4">
        <f ca="1">SUMIFS(INDIRECT("'"&amp;$W$8&amp;"'"&amp;"!$e$64:$e$5000"),INDIRECT("'"&amp;$W$8&amp;"'"&amp;"!$A$64:$A$5000"),$V$7)</f>
        <v>41214</v>
      </c>
      <c r="AA16" s="4">
        <f ca="1">SUMIFS(INDIRECT("'"&amp;$W$8&amp;"'"&amp;"!$f$64:$f$5000"),INDIRECT("'"&amp;$W$8&amp;"'"&amp;"!$A$64:$A$5000"),$V$7)</f>
        <v>100537</v>
      </c>
      <c r="AB16" s="4">
        <f ca="1">SUMIFS(INDIRECT("'"&amp;$W$8&amp;"'"&amp;"!$g$64:$g$5000"),INDIRECT("'"&amp;$W$8&amp;"'"&amp;"!$A$64:$A$5000"),$V$7)</f>
        <v>54357</v>
      </c>
      <c r="AC16" s="4">
        <f ca="1">SUMIFS(INDIRECT("'"&amp;$W$8&amp;"'"&amp;"!$h$64:$h$5000"),INDIRECT("'"&amp;$W$8&amp;"'"&amp;"!$A$64:$A$5000"),$V$7)</f>
        <v>45715</v>
      </c>
      <c r="AD16" s="4">
        <f ca="1">SUMIFS(INDIRECT("'"&amp;$W$8&amp;"'"&amp;"!$i$64:$i$5000"),INDIRECT("'"&amp;$W$8&amp;"'"&amp;"!$A$64:$A$5000"),$V$7)</f>
        <v>40932</v>
      </c>
      <c r="AE16" s="4">
        <f ca="1">SUMIFS(INDIRECT("'"&amp;$W$8&amp;"'"&amp;"!$j$64:$j$5000"),INDIRECT("'"&amp;$W$8&amp;"'"&amp;"!$A$64:$A$5000"),$V$7)</f>
        <v>38680</v>
      </c>
      <c r="AF16" s="4">
        <f ca="1">SUMIFS(INDIRECT("'"&amp;$W$8&amp;"'"&amp;"!$k$64:$k$5000"),INDIRECT("'"&amp;$W$8&amp;"'"&amp;"!$A$64:$A$5000"),$V$7)</f>
        <v>46119</v>
      </c>
      <c r="AG16" s="4">
        <f ca="1">SUMIFS(INDIRECT("'"&amp;$W$8&amp;"'"&amp;"!$l$64:$l$5000"),INDIRECT("'"&amp;$W$8&amp;"'"&amp;"!$A$64:$A$5000"),$V$7)</f>
        <v>49828</v>
      </c>
      <c r="AH16" s="4">
        <f ca="1">SUMIFS(INDIRECT("'"&amp;$W$8&amp;"'"&amp;"!$m$64:$m$5000"),INDIRECT("'"&amp;$W$8&amp;"'"&amp;"!$A$64:$A$5000"),$V$7)</f>
        <v>48087</v>
      </c>
      <c r="AJ16" s="14">
        <f t="shared" ca="1" si="28"/>
        <v>0</v>
      </c>
      <c r="AK16" s="14">
        <f t="shared" ca="1" si="28"/>
        <v>0</v>
      </c>
      <c r="AL16" s="14">
        <f t="shared" ca="1" si="28"/>
        <v>0</v>
      </c>
      <c r="AM16" s="14">
        <f t="shared" ca="1" si="28"/>
        <v>0</v>
      </c>
      <c r="AN16" s="14">
        <f t="shared" ca="1" si="28"/>
        <v>59976</v>
      </c>
      <c r="AO16" s="14">
        <f t="shared" ca="1" si="28"/>
        <v>0</v>
      </c>
      <c r="AP16" s="14">
        <f t="shared" ca="1" si="28"/>
        <v>0</v>
      </c>
      <c r="AQ16" s="14">
        <f t="shared" ca="1" si="28"/>
        <v>0</v>
      </c>
      <c r="AR16" s="14">
        <f t="shared" ca="1" si="28"/>
        <v>0</v>
      </c>
      <c r="AS16" s="14">
        <f t="shared" ca="1" si="28"/>
        <v>0</v>
      </c>
      <c r="AT16" s="14">
        <f t="shared" ca="1" si="28"/>
        <v>0</v>
      </c>
      <c r="AU16" s="14">
        <f t="shared" ca="1" si="28"/>
        <v>0</v>
      </c>
    </row>
    <row r="17" spans="1:47">
      <c r="A17" s="12">
        <f t="shared" si="23"/>
        <v>1</v>
      </c>
      <c r="C17" t="str">
        <f>$F9</f>
        <v>Park Manor of Conroe</v>
      </c>
      <c r="D17" s="1" t="s">
        <v>8</v>
      </c>
      <c r="F17" s="19" t="str">
        <f>_xll.EVDES(D17)</f>
        <v>EBITDAR</v>
      </c>
      <c r="G17" s="61">
        <f ca="1">SUMIFS(OFFSET('BPC Data'!$F:$F,0,Summary!G$2),'BPC Data'!$E:$E,Summary!$D17,'BPC Data'!$B:$B,Summary!$C17)</f>
        <v>82106</v>
      </c>
      <c r="H17" s="65">
        <f ca="1">SUMIFS(OFFSET('BPC Data'!$F:$F,0,Summary!H$2),'BPC Data'!$E:$E,Summary!$D17,'BPC Data'!$B:$B,Summary!$C17)</f>
        <v>210082</v>
      </c>
      <c r="I17" s="61">
        <f ca="1">SUMIFS(OFFSET('BPC Data'!$F:$F,0,Summary!I$2),'BPC Data'!$E:$E,Summary!$D17,'BPC Data'!$B:$B,Summary!$C17)</f>
        <v>227619</v>
      </c>
      <c r="J17" s="65">
        <f ca="1">SUMIFS(OFFSET('BPC Data'!$F:$F,0,Summary!J$2),'BPC Data'!$E:$E,Summary!$D17,'BPC Data'!$B:$B,Summary!$C17)</f>
        <v>145906</v>
      </c>
      <c r="K17" s="61">
        <f ca="1">SUMIFS(OFFSET('BPC Data'!$F:$F,0,Summary!K$2),'BPC Data'!$E:$E,Summary!$D17,'BPC Data'!$B:$B,Summary!$C17)</f>
        <v>302245</v>
      </c>
      <c r="L17" s="65">
        <f ca="1">SUMIFS(OFFSET('BPC Data'!$F:$F,0,Summary!L$2),'BPC Data'!$E:$E,Summary!$D17,'BPC Data'!$B:$B,Summary!$C17)</f>
        <v>331074</v>
      </c>
      <c r="M17" s="61">
        <f ca="1">SUMIFS(OFFSET('BPC Data'!$F:$F,0,Summary!M$2),'BPC Data'!$E:$E,Summary!$D17,'BPC Data'!$B:$B,Summary!$C17)</f>
        <v>266526</v>
      </c>
      <c r="N17" s="65">
        <f ca="1">SUMIFS(OFFSET('BPC Data'!$F:$F,0,Summary!N$2),'BPC Data'!$E:$E,Summary!$D17,'BPC Data'!$B:$B,Summary!$C17)</f>
        <v>147627</v>
      </c>
      <c r="O17" s="61">
        <f ca="1">SUMIFS(OFFSET('BPC Data'!$F:$F,0,Summary!O$2),'BPC Data'!$E:$E,Summary!$D17,'BPC Data'!$B:$B,Summary!$C17)</f>
        <v>140165</v>
      </c>
      <c r="P17" s="65">
        <f ca="1">SUMIFS(OFFSET('BPC Data'!$F:$F,0,Summary!P$2),'BPC Data'!$E:$E,Summary!$D17,'BPC Data'!$B:$B,Summary!$C17)</f>
        <v>227434</v>
      </c>
      <c r="Q17" s="61">
        <f ca="1">SUMIFS(OFFSET('BPC Data'!$F:$F,0,Summary!Q$2),'BPC Data'!$E:$E,Summary!$D17,'BPC Data'!$B:$B,Summary!$C17)</f>
        <v>232456</v>
      </c>
      <c r="R17" s="65">
        <f ca="1">SUMIFS(OFFSET('BPC Data'!$F:$F,0,Summary!R$2),'BPC Data'!$E:$E,Summary!$D17,'BPC Data'!$B:$B,Summary!$C17)</f>
        <v>314297</v>
      </c>
      <c r="S17" s="23">
        <f t="shared" ca="1" si="24"/>
        <v>2627537</v>
      </c>
      <c r="T17" s="74">
        <f ca="1">SUM(W17:AH17)</f>
        <v>2690262.9999999972</v>
      </c>
      <c r="U17" s="54">
        <f ca="1">T17-S17</f>
        <v>62725.999999997206</v>
      </c>
      <c r="W17" s="50">
        <f t="shared" ref="W17:AH17" ca="1" si="29">W15-W16</f>
        <v>82105.71999999939</v>
      </c>
      <c r="X17" s="50">
        <f t="shared" ref="X17:AB17" ca="1" si="30">X15-X16</f>
        <v>210082.01000000141</v>
      </c>
      <c r="Y17" s="50">
        <f t="shared" ca="1" si="30"/>
        <v>227618.77000000037</v>
      </c>
      <c r="Z17" s="50">
        <f t="shared" ca="1" si="30"/>
        <v>145905.15000000002</v>
      </c>
      <c r="AA17" s="50">
        <f t="shared" ca="1" si="30"/>
        <v>364966.6199999986</v>
      </c>
      <c r="AB17" s="50">
        <f t="shared" ca="1" si="30"/>
        <v>331074.01999999862</v>
      </c>
      <c r="AC17" s="50">
        <f t="shared" ca="1" si="29"/>
        <v>266531.58999999985</v>
      </c>
      <c r="AD17" s="50">
        <f t="shared" ca="1" si="29"/>
        <v>147627.21999999869</v>
      </c>
      <c r="AE17" s="50">
        <f t="shared" ca="1" si="29"/>
        <v>140164.07000000053</v>
      </c>
      <c r="AF17" s="50">
        <f t="shared" ca="1" si="29"/>
        <v>227434.71000000031</v>
      </c>
      <c r="AG17" s="50">
        <f t="shared" ca="1" si="29"/>
        <v>232454.98000000056</v>
      </c>
      <c r="AH17" s="50">
        <f t="shared" ca="1" si="29"/>
        <v>314298.13999999943</v>
      </c>
      <c r="AJ17" s="14">
        <f t="shared" ca="1" si="28"/>
        <v>-0.28000000061001629</v>
      </c>
      <c r="AK17" s="14">
        <f t="shared" ca="1" si="28"/>
        <v>1.0000001406297088E-2</v>
      </c>
      <c r="AL17" s="14">
        <f t="shared" ca="1" si="28"/>
        <v>-0.22999999963212758</v>
      </c>
      <c r="AM17" s="14">
        <f t="shared" ca="1" si="28"/>
        <v>-0.84999999997671694</v>
      </c>
      <c r="AN17" s="14">
        <f t="shared" ca="1" si="28"/>
        <v>62721.619999998598</v>
      </c>
      <c r="AO17" s="14">
        <f t="shared" ca="1" si="28"/>
        <v>1.999999862164259E-2</v>
      </c>
      <c r="AP17" s="14">
        <f t="shared" ca="1" si="28"/>
        <v>5.5899999998509884</v>
      </c>
      <c r="AQ17" s="14">
        <f t="shared" ca="1" si="28"/>
        <v>0.21999999869149178</v>
      </c>
      <c r="AR17" s="14">
        <f t="shared" ca="1" si="28"/>
        <v>-0.92999999946914613</v>
      </c>
      <c r="AS17" s="14">
        <f t="shared" ca="1" si="28"/>
        <v>0.71000000031199306</v>
      </c>
      <c r="AT17" s="14">
        <f t="shared" ca="1" si="28"/>
        <v>-1.0199999994365498</v>
      </c>
      <c r="AU17" s="14">
        <f t="shared" ca="1" si="28"/>
        <v>1.1399999994318932</v>
      </c>
    </row>
    <row r="18" spans="1:47">
      <c r="A18" s="12">
        <f t="shared" si="23"/>
        <v>1</v>
      </c>
      <c r="C18" t="str">
        <f>$F9</f>
        <v>Park Manor of Conroe</v>
      </c>
      <c r="D18" s="2" t="str">
        <f xml:space="preserve"> _xll.EPMOlapMemberO("[ACCOUNT].[H1].[T_RENT_EXP]","","T_RENT_EXP - Tenant Rent Expense","","000")</f>
        <v>T_RENT_EXP - Tenant Rent Expense</v>
      </c>
      <c r="F18" s="19" t="str">
        <f>_xll.EVDES(D18)</f>
        <v>Tenant Rent Expense</v>
      </c>
      <c r="G18" s="61">
        <f ca="1">SUMIFS(OFFSET('BPC Data'!$F:$F,0,Summary!G$2),'BPC Data'!$E:$E,Summary!$D18,'BPC Data'!$B:$B,Summary!$C18)</f>
        <v>118129</v>
      </c>
      <c r="H18" s="65">
        <f ca="1">SUMIFS(OFFSET('BPC Data'!$F:$F,0,Summary!H$2),'BPC Data'!$E:$E,Summary!$D18,'BPC Data'!$B:$B,Summary!$C18)</f>
        <v>121023</v>
      </c>
      <c r="I18" s="61">
        <f ca="1">SUMIFS(OFFSET('BPC Data'!$F:$F,0,Summary!I$2),'BPC Data'!$E:$E,Summary!$D18,'BPC Data'!$B:$B,Summary!$C18)</f>
        <v>121023</v>
      </c>
      <c r="J18" s="65">
        <f ca="1">SUMIFS(OFFSET('BPC Data'!$F:$F,0,Summary!J$2),'BPC Data'!$E:$E,Summary!$D18,'BPC Data'!$B:$B,Summary!$C18)</f>
        <v>121023</v>
      </c>
      <c r="K18" s="61">
        <f ca="1">SUMIFS(OFFSET('BPC Data'!$F:$F,0,Summary!K$2),'BPC Data'!$E:$E,Summary!$D18,'BPC Data'!$B:$B,Summary!$C18)</f>
        <v>121023</v>
      </c>
      <c r="L18" s="65">
        <f ca="1">SUMIFS(OFFSET('BPC Data'!$F:$F,0,Summary!L$2),'BPC Data'!$E:$E,Summary!$D18,'BPC Data'!$B:$B,Summary!$C18)</f>
        <v>121023</v>
      </c>
      <c r="M18" s="61">
        <f ca="1">SUMIFS(OFFSET('BPC Data'!$F:$F,0,Summary!M$2),'BPC Data'!$E:$E,Summary!$D18,'BPC Data'!$B:$B,Summary!$C18)</f>
        <v>121023</v>
      </c>
      <c r="N18" s="65">
        <f ca="1">SUMIFS(OFFSET('BPC Data'!$F:$F,0,Summary!N$2),'BPC Data'!$E:$E,Summary!$D18,'BPC Data'!$B:$B,Summary!$C18)</f>
        <v>121023</v>
      </c>
      <c r="O18" s="61">
        <f ca="1">SUMIFS(OFFSET('BPC Data'!$F:$F,0,Summary!O$2),'BPC Data'!$E:$E,Summary!$D18,'BPC Data'!$B:$B,Summary!$C18)</f>
        <v>121023</v>
      </c>
      <c r="P18" s="65">
        <f ca="1">SUMIFS(OFFSET('BPC Data'!$F:$F,0,Summary!P$2),'BPC Data'!$E:$E,Summary!$D18,'BPC Data'!$B:$B,Summary!$C18)</f>
        <v>121023</v>
      </c>
      <c r="Q18" s="61">
        <f ca="1">SUMIFS(OFFSET('BPC Data'!$F:$F,0,Summary!Q$2),'BPC Data'!$E:$E,Summary!$D18,'BPC Data'!$B:$B,Summary!$C18)</f>
        <v>121023</v>
      </c>
      <c r="R18" s="65">
        <f ca="1">SUMIFS(OFFSET('BPC Data'!$F:$F,0,Summary!R$2),'BPC Data'!$E:$E,Summary!$D18,'BPC Data'!$B:$B,Summary!$C18)</f>
        <v>132696</v>
      </c>
      <c r="S18" s="23">
        <f t="shared" ca="1" si="24"/>
        <v>1461055</v>
      </c>
      <c r="T18" s="74">
        <f ca="1">SUM(W18:AH18)</f>
        <v>1461050.74</v>
      </c>
      <c r="U18" s="54">
        <f ca="1">T18-S18</f>
        <v>-4.2600000000093132</v>
      </c>
      <c r="W18" s="4">
        <f ca="1">SUMIFS(INDIRECT("'"&amp;$W$8&amp;"'"&amp;"!$B$64:$B$5000"),INDIRECT("'"&amp;$W$8&amp;"'"&amp;"!$A$64:$A$5000"),$W$3)+SUMIFS(INDIRECT("'"&amp;$W$8&amp;"'"&amp;"!$B$64:$B$5000"),INDIRECT("'"&amp;$W$8&amp;"'"&amp;"!$A$64:$A$5000"),$W$4)</f>
        <v>118129</v>
      </c>
      <c r="X18" s="4">
        <f ca="1">SUMIFS(INDIRECT("'"&amp;$W$8&amp;"'"&amp;"!$c$64:$c$5000"),INDIRECT("'"&amp;$W$8&amp;"'"&amp;"!$A$64:$A$5000"),$W$3)+SUMIFS(INDIRECT("'"&amp;$W$8&amp;"'"&amp;"!$c$64:$c$5000"),INDIRECT("'"&amp;$W$8&amp;"'"&amp;"!$A$64:$A$5000"),$W$4)</f>
        <v>121022.57999999999</v>
      </c>
      <c r="Y18" s="4">
        <f ca="1">SUMIFS(INDIRECT("'"&amp;$W$8&amp;"'"&amp;"!$d$64:$d$5000"),INDIRECT("'"&amp;$W$8&amp;"'"&amp;"!$A$64:$A$5000"),$W$3)+SUMIFS(INDIRECT("'"&amp;$W$8&amp;"'"&amp;"!$d$64:$d$5000"),INDIRECT("'"&amp;$W$8&amp;"'"&amp;"!$A$64:$A$5000"),$W$4)</f>
        <v>121022.57999999999</v>
      </c>
      <c r="Z18" s="4">
        <f ca="1">SUMIFS(INDIRECT("'"&amp;$W$8&amp;"'"&amp;"!$e$64:$e$5000"),INDIRECT("'"&amp;$W$8&amp;"'"&amp;"!$A$64:$A$5000"),$W$3)+SUMIFS(INDIRECT("'"&amp;$W$8&amp;"'"&amp;"!$e$64:$e$5000"),INDIRECT("'"&amp;$W$8&amp;"'"&amp;"!$A$64:$A$5000"),$W$4)</f>
        <v>121022.57999999999</v>
      </c>
      <c r="AA18" s="4">
        <f ca="1">SUMIFS(INDIRECT("'"&amp;$W$8&amp;"'"&amp;"!$f$64:$f$5000"),INDIRECT("'"&amp;$W$8&amp;"'"&amp;"!$A$64:$A$5000"),$W$3)+SUMIFS(INDIRECT("'"&amp;$W$8&amp;"'"&amp;"!$f$64:$f$5000"),INDIRECT("'"&amp;$W$8&amp;"'"&amp;"!$A$64:$A$5000"),$W$4)</f>
        <v>121022.57999999999</v>
      </c>
      <c r="AB18" s="4">
        <f ca="1">SUMIFS(INDIRECT("'"&amp;$W$8&amp;"'"&amp;"!$g$64:$g$5000"),INDIRECT("'"&amp;$W$8&amp;"'"&amp;"!$A$64:$A$5000"),$W$3)+SUMIFS(INDIRECT("'"&amp;$W$8&amp;"'"&amp;"!$g$64:$g$5000"),INDIRECT("'"&amp;$W$8&amp;"'"&amp;"!$A$64:$A$5000"),$W$4)</f>
        <v>121022.57999999999</v>
      </c>
      <c r="AC18" s="4">
        <f ca="1">SUMIFS(INDIRECT("'"&amp;$W$8&amp;"'"&amp;"!$h$64:$h$5000"),INDIRECT("'"&amp;$W$8&amp;"'"&amp;"!$A$64:$A$5000"),$W$3)+SUMIFS(INDIRECT("'"&amp;$W$8&amp;"'"&amp;"!$h$64:$h$5000"),INDIRECT("'"&amp;$W$8&amp;"'"&amp;"!$A$64:$A$5000"),$W$4)</f>
        <v>121022.57999999999</v>
      </c>
      <c r="AD18" s="4">
        <f ca="1">SUMIFS(INDIRECT("'"&amp;$W$8&amp;"'"&amp;"!$i$64:$i$5000"),INDIRECT("'"&amp;$W$8&amp;"'"&amp;"!$A$64:$A$5000"),$W$3)+SUMIFS(INDIRECT("'"&amp;$W$8&amp;"'"&amp;"!$i$64:$i$5000"),INDIRECT("'"&amp;$W$8&amp;"'"&amp;"!$A$64:$A$5000"),$W$4)</f>
        <v>121022.57999999999</v>
      </c>
      <c r="AE18" s="4">
        <f ca="1">SUMIFS(INDIRECT("'"&amp;$W$8&amp;"'"&amp;"!$j$64:$j$5000"),INDIRECT("'"&amp;$W$8&amp;"'"&amp;"!$A$64:$A$5000"),$W$3)+SUMIFS(INDIRECT("'"&amp;$W$8&amp;"'"&amp;"!$j$64:$j$5000"),INDIRECT("'"&amp;$W$8&amp;"'"&amp;"!$A$64:$A$5000"),$W$4)</f>
        <v>121022.57999999999</v>
      </c>
      <c r="AF18" s="4">
        <f ca="1">SUMIFS(INDIRECT("'"&amp;$W$8&amp;"'"&amp;"!$k$64:$k$5000"),INDIRECT("'"&amp;$W$8&amp;"'"&amp;"!$A$64:$A$5000"),$W$3)+SUMIFS(INDIRECT("'"&amp;$W$8&amp;"'"&amp;"!$k$64:$k$5000"),INDIRECT("'"&amp;$W$8&amp;"'"&amp;"!$A$64:$A$5000"),$W$4)</f>
        <v>121022.57999999999</v>
      </c>
      <c r="AG18" s="4">
        <f ca="1">SUMIFS(INDIRECT("'"&amp;$W$8&amp;"'"&amp;"!$l$64:$l$5000"),INDIRECT("'"&amp;$W$8&amp;"'"&amp;"!$A$64:$A$5000"),$W$3)+SUMIFS(INDIRECT("'"&amp;$W$8&amp;"'"&amp;"!$l$64:$l$5000"),INDIRECT("'"&amp;$W$8&amp;"'"&amp;"!$A$64:$A$5000"),$W$4)</f>
        <v>121022.57999999999</v>
      </c>
      <c r="AH18" s="4">
        <f ca="1">SUMIFS(INDIRECT("'"&amp;$W$8&amp;"'"&amp;"!$m$64:$m$5000"),INDIRECT("'"&amp;$W$8&amp;"'"&amp;"!$A$64:$A$5000"),$W$3)+SUMIFS(INDIRECT("'"&amp;$W$8&amp;"'"&amp;"!$m$64:$m$5000"),INDIRECT("'"&amp;$W$8&amp;"'"&amp;"!$A$64:$A$5000"),$W$4)</f>
        <v>132695.94</v>
      </c>
      <c r="AJ18" s="14">
        <f t="shared" ca="1" si="28"/>
        <v>0</v>
      </c>
      <c r="AK18" s="14">
        <f t="shared" ca="1" si="28"/>
        <v>-0.42000000001280569</v>
      </c>
      <c r="AL18" s="14">
        <f t="shared" ca="1" si="28"/>
        <v>-0.42000000001280569</v>
      </c>
      <c r="AM18" s="14">
        <f t="shared" ca="1" si="28"/>
        <v>-0.42000000001280569</v>
      </c>
      <c r="AN18" s="14">
        <f t="shared" ca="1" si="28"/>
        <v>-0.42000000001280569</v>
      </c>
      <c r="AO18" s="14">
        <f t="shared" ca="1" si="28"/>
        <v>-0.42000000001280569</v>
      </c>
      <c r="AP18" s="14">
        <f t="shared" ca="1" si="28"/>
        <v>-0.42000000001280569</v>
      </c>
      <c r="AQ18" s="14">
        <f t="shared" ca="1" si="28"/>
        <v>-0.42000000001280569</v>
      </c>
      <c r="AR18" s="14">
        <f t="shared" ca="1" si="28"/>
        <v>-0.42000000001280569</v>
      </c>
      <c r="AS18" s="14">
        <f t="shared" ca="1" si="28"/>
        <v>-0.42000000001280569</v>
      </c>
      <c r="AT18" s="14">
        <f t="shared" ca="1" si="28"/>
        <v>-0.42000000001280569</v>
      </c>
      <c r="AU18" s="14">
        <f t="shared" ca="1" si="28"/>
        <v>-5.9999999997671694E-2</v>
      </c>
    </row>
    <row r="19" spans="1:47">
      <c r="A19" s="12">
        <f t="shared" si="23"/>
        <v>1</v>
      </c>
      <c r="D19" s="1" t="s">
        <v>3</v>
      </c>
      <c r="F19" s="19" t="s">
        <v>0</v>
      </c>
      <c r="G19" s="61">
        <f ca="1">SUMIFS(OFFSET('BPC Data'!$F:$F,0,Summary!G$2),'BPC Data'!$E:$E,Summary!$D19,'BPC Data'!$B:$B,Summary!$C19)</f>
        <v>0</v>
      </c>
      <c r="H19" s="65">
        <f ca="1">SUMIFS(OFFSET('BPC Data'!$F:$F,0,Summary!H$2),'BPC Data'!$E:$E,Summary!$D19,'BPC Data'!$B:$B,Summary!$C19)</f>
        <v>0</v>
      </c>
      <c r="I19" s="61">
        <f ca="1">SUMIFS(OFFSET('BPC Data'!$F:$F,0,Summary!I$2),'BPC Data'!$E:$E,Summary!$D19,'BPC Data'!$B:$B,Summary!$C19)</f>
        <v>0</v>
      </c>
      <c r="J19" s="65">
        <f ca="1">SUMIFS(OFFSET('BPC Data'!$F:$F,0,Summary!J$2),'BPC Data'!$E:$E,Summary!$D19,'BPC Data'!$B:$B,Summary!$C19)</f>
        <v>0</v>
      </c>
      <c r="K19" s="61">
        <f ca="1">SUMIFS(OFFSET('BPC Data'!$F:$F,0,Summary!K$2),'BPC Data'!$E:$E,Summary!$D19,'BPC Data'!$B:$B,Summary!$C19)</f>
        <v>0</v>
      </c>
      <c r="L19" s="65">
        <f ca="1">SUMIFS(OFFSET('BPC Data'!$F:$F,0,Summary!L$2),'BPC Data'!$E:$E,Summary!$D19,'BPC Data'!$B:$B,Summary!$C19)</f>
        <v>0</v>
      </c>
      <c r="M19" s="61">
        <f ca="1">SUMIFS(OFFSET('BPC Data'!$F:$F,0,Summary!M$2),'BPC Data'!$E:$E,Summary!$D19,'BPC Data'!$B:$B,Summary!$C19)</f>
        <v>0</v>
      </c>
      <c r="N19" s="65">
        <f ca="1">SUMIFS(OFFSET('BPC Data'!$F:$F,0,Summary!N$2),'BPC Data'!$E:$E,Summary!$D19,'BPC Data'!$B:$B,Summary!$C19)</f>
        <v>0</v>
      </c>
      <c r="O19" s="61">
        <f ca="1">SUMIFS(OFFSET('BPC Data'!$F:$F,0,Summary!O$2),'BPC Data'!$E:$E,Summary!$D19,'BPC Data'!$B:$B,Summary!$C19)</f>
        <v>0</v>
      </c>
      <c r="P19" s="65">
        <f ca="1">SUMIFS(OFFSET('BPC Data'!$F:$F,0,Summary!P$2),'BPC Data'!$E:$E,Summary!$D19,'BPC Data'!$B:$B,Summary!$C19)</f>
        <v>0</v>
      </c>
      <c r="Q19" s="61">
        <f ca="1">SUMIFS(OFFSET('BPC Data'!$F:$F,0,Summary!Q$2),'BPC Data'!$E:$E,Summary!$D19,'BPC Data'!$B:$B,Summary!$C19)</f>
        <v>0</v>
      </c>
      <c r="R19" s="65">
        <f ca="1">SUMIFS(OFFSET('BPC Data'!$F:$F,0,Summary!R$2),'BPC Data'!$E:$E,Summary!$D19,'BPC Data'!$B:$B,Summary!$C19)</f>
        <v>0</v>
      </c>
      <c r="S19" s="23"/>
      <c r="W19" t="s">
        <v>296</v>
      </c>
    </row>
    <row r="20" spans="1:47" s="5" customFormat="1">
      <c r="A20" s="12">
        <f>IF(AND(D20&lt;&gt;"",C20=""),A19+1,A19)</f>
        <v>2</v>
      </c>
      <c r="D20" s="5" t="s">
        <v>3</v>
      </c>
      <c r="F20" s="18" t="str">
        <f>INDEX(PropertyList!$D:$D,MATCH(Summary!$A20,PropertyList!$C:$C,0))</f>
        <v>Park Manor of Cypress Station</v>
      </c>
      <c r="G20" s="61">
        <f ca="1">SUMIFS(OFFSET('BPC Data'!$F:$F,0,Summary!G$2),'BPC Data'!$E:$E,Summary!$D20,'BPC Data'!$B:$B,Summary!$C20)</f>
        <v>0</v>
      </c>
      <c r="H20" s="65">
        <f ca="1">SUMIFS(OFFSET('BPC Data'!$F:$F,0,Summary!H$2),'BPC Data'!$E:$E,Summary!$D20,'BPC Data'!$B:$B,Summary!$C20)</f>
        <v>0</v>
      </c>
      <c r="I20" s="61">
        <f ca="1">SUMIFS(OFFSET('BPC Data'!$F:$F,0,Summary!I$2),'BPC Data'!$E:$E,Summary!$D20,'BPC Data'!$B:$B,Summary!$C20)</f>
        <v>0</v>
      </c>
      <c r="J20" s="65">
        <f ca="1">SUMIFS(OFFSET('BPC Data'!$F:$F,0,Summary!J$2),'BPC Data'!$E:$E,Summary!$D20,'BPC Data'!$B:$B,Summary!$C20)</f>
        <v>0</v>
      </c>
      <c r="K20" s="61">
        <f ca="1">SUMIFS(OFFSET('BPC Data'!$F:$F,0,Summary!K$2),'BPC Data'!$E:$E,Summary!$D20,'BPC Data'!$B:$B,Summary!$C20)</f>
        <v>0</v>
      </c>
      <c r="L20" s="65">
        <f ca="1">SUMIFS(OFFSET('BPC Data'!$F:$F,0,Summary!L$2),'BPC Data'!$E:$E,Summary!$D20,'BPC Data'!$B:$B,Summary!$C20)</f>
        <v>0</v>
      </c>
      <c r="M20" s="61">
        <f ca="1">SUMIFS(OFFSET('BPC Data'!$F:$F,0,Summary!M$2),'BPC Data'!$E:$E,Summary!$D20,'BPC Data'!$B:$B,Summary!$C20)</f>
        <v>0</v>
      </c>
      <c r="N20" s="65">
        <f ca="1">SUMIFS(OFFSET('BPC Data'!$F:$F,0,Summary!N$2),'BPC Data'!$E:$E,Summary!$D20,'BPC Data'!$B:$B,Summary!$C20)</f>
        <v>0</v>
      </c>
      <c r="O20" s="61">
        <f ca="1">SUMIFS(OFFSET('BPC Data'!$F:$F,0,Summary!O$2),'BPC Data'!$E:$E,Summary!$D20,'BPC Data'!$B:$B,Summary!$C20)</f>
        <v>0</v>
      </c>
      <c r="P20" s="65">
        <f ca="1">SUMIFS(OFFSET('BPC Data'!$F:$F,0,Summary!P$2),'BPC Data'!$E:$E,Summary!$D20,'BPC Data'!$B:$B,Summary!$C20)</f>
        <v>0</v>
      </c>
      <c r="Q20" s="61">
        <f ca="1">SUMIFS(OFFSET('BPC Data'!$F:$F,0,Summary!Q$2),'BPC Data'!$E:$E,Summary!$D20,'BPC Data'!$B:$B,Summary!$C20)</f>
        <v>0</v>
      </c>
      <c r="R20" s="65">
        <f ca="1">SUMIFS(OFFSET('BPC Data'!$F:$F,0,Summary!R$2),'BPC Data'!$E:$E,Summary!$D20,'BPC Data'!$B:$B,Summary!$C20)</f>
        <v>0</v>
      </c>
      <c r="S20" s="23"/>
      <c r="T20" s="73"/>
      <c r="W20" s="5" t="str">
        <f t="shared" ref="W20:AH20" si="31">+G$8</f>
        <v>Aug 2021</v>
      </c>
      <c r="X20" s="5" t="str">
        <f t="shared" si="31"/>
        <v>Sep 2021</v>
      </c>
      <c r="Y20" s="5" t="str">
        <f t="shared" si="31"/>
        <v>Oct 2021</v>
      </c>
      <c r="Z20" s="5" t="str">
        <f t="shared" si="31"/>
        <v>Nov 2021</v>
      </c>
      <c r="AA20" s="5" t="str">
        <f t="shared" si="31"/>
        <v>Dec 2021</v>
      </c>
      <c r="AB20" s="5" t="str">
        <f t="shared" si="31"/>
        <v>Jan 2022</v>
      </c>
      <c r="AC20" s="5" t="str">
        <f t="shared" si="31"/>
        <v>Feb 2022</v>
      </c>
      <c r="AD20" s="5" t="str">
        <f t="shared" si="31"/>
        <v>Mar 2022</v>
      </c>
      <c r="AE20" s="5" t="str">
        <f t="shared" si="31"/>
        <v>Apr 2022</v>
      </c>
      <c r="AF20" s="5" t="str">
        <f t="shared" si="31"/>
        <v>May 2022</v>
      </c>
      <c r="AG20" s="5" t="str">
        <f t="shared" si="31"/>
        <v>Jun 2022</v>
      </c>
      <c r="AH20" s="5" t="str">
        <f t="shared" si="31"/>
        <v>Jul 2022</v>
      </c>
      <c r="AJ20" s="174" t="str">
        <f>W$9</f>
        <v>Aug 2021</v>
      </c>
      <c r="AK20" s="174" t="str">
        <f t="shared" ref="AK20" si="32">X$9</f>
        <v>Sep 2021</v>
      </c>
      <c r="AL20" s="174" t="str">
        <f t="shared" ref="AL20" si="33">Y$9</f>
        <v>Oct 2021</v>
      </c>
      <c r="AM20" s="174" t="str">
        <f t="shared" ref="AM20" si="34">Z$9</f>
        <v>Nov 2021</v>
      </c>
      <c r="AN20" s="174" t="str">
        <f t="shared" ref="AN20:AO20" si="35">AA$9</f>
        <v>Dec 2021</v>
      </c>
      <c r="AO20" s="174" t="str">
        <f t="shared" si="35"/>
        <v>Jan 2022</v>
      </c>
      <c r="AP20" s="174" t="str">
        <f t="shared" ref="AP20" si="36">AC$9</f>
        <v>Feb 2022</v>
      </c>
      <c r="AQ20" s="174" t="str">
        <f t="shared" ref="AQ20" si="37">AD$9</f>
        <v>Mar 2022</v>
      </c>
      <c r="AR20" s="174" t="str">
        <f t="shared" ref="AR20" si="38">AE$9</f>
        <v>Apr 2022</v>
      </c>
      <c r="AS20" s="174" t="str">
        <f t="shared" ref="AS20" si="39">AF$9</f>
        <v>May 2022</v>
      </c>
      <c r="AT20" s="174" t="str">
        <f t="shared" ref="AT20" si="40">AG$9</f>
        <v>Jun 2022</v>
      </c>
      <c r="AU20" s="174" t="str">
        <f t="shared" ref="AU20" si="41">AH$9</f>
        <v>Jul 2022</v>
      </c>
    </row>
    <row r="21" spans="1:47" s="12" customFormat="1">
      <c r="A21" s="12">
        <f>IF(AND(F21&lt;&gt;"",D21=""),A20+1,A20)</f>
        <v>2</v>
      </c>
      <c r="C21" t="str">
        <f>$F20</f>
        <v>Park Manor of Cypress Station</v>
      </c>
      <c r="D21" s="3" t="str">
        <f>$D10</f>
        <v>PAY_PAT_DAYS - Total Payor Patient Days</v>
      </c>
      <c r="F21" s="19" t="str">
        <f>_xll.EVDES(D21)</f>
        <v>Total Payor Patient Days</v>
      </c>
      <c r="G21" s="61">
        <f ca="1">SUMIFS(OFFSET('BPC Data'!$F:$F,0,Summary!G$2),'BPC Data'!$E:$E,Summary!$D21,'BPC Data'!$B:$B,Summary!$C21)</f>
        <v>2529</v>
      </c>
      <c r="H21" s="65">
        <f ca="1">SUMIFS(OFFSET('BPC Data'!$F:$F,0,Summary!H$2),'BPC Data'!$E:$E,Summary!$D21,'BPC Data'!$B:$B,Summary!$C21)</f>
        <v>2416</v>
      </c>
      <c r="I21" s="61">
        <f ca="1">SUMIFS(OFFSET('BPC Data'!$F:$F,0,Summary!I$2),'BPC Data'!$E:$E,Summary!$D21,'BPC Data'!$B:$B,Summary!$C21)</f>
        <v>2418</v>
      </c>
      <c r="J21" s="65">
        <f ca="1">SUMIFS(OFFSET('BPC Data'!$F:$F,0,Summary!J$2),'BPC Data'!$E:$E,Summary!$D21,'BPC Data'!$B:$B,Summary!$C21)</f>
        <v>2319</v>
      </c>
      <c r="K21" s="61">
        <f ca="1">SUMIFS(OFFSET('BPC Data'!$F:$F,0,Summary!K$2),'BPC Data'!$E:$E,Summary!$D21,'BPC Data'!$B:$B,Summary!$C21)</f>
        <v>2458</v>
      </c>
      <c r="L21" s="65">
        <f ca="1">SUMIFS(OFFSET('BPC Data'!$F:$F,0,Summary!L$2),'BPC Data'!$E:$E,Summary!$D21,'BPC Data'!$B:$B,Summary!$C21)</f>
        <v>2666</v>
      </c>
      <c r="M21" s="61">
        <f ca="1">SUMIFS(OFFSET('BPC Data'!$F:$F,0,Summary!M$2),'BPC Data'!$E:$E,Summary!$D21,'BPC Data'!$B:$B,Summary!$C21)</f>
        <v>2231</v>
      </c>
      <c r="N21" s="65">
        <f ca="1">SUMIFS(OFFSET('BPC Data'!$F:$F,0,Summary!N$2),'BPC Data'!$E:$E,Summary!$D21,'BPC Data'!$B:$B,Summary!$C21)</f>
        <v>2192</v>
      </c>
      <c r="O21" s="61">
        <f ca="1">SUMIFS(OFFSET('BPC Data'!$F:$F,0,Summary!O$2),'BPC Data'!$E:$E,Summary!$D21,'BPC Data'!$B:$B,Summary!$C21)</f>
        <v>2116</v>
      </c>
      <c r="P21" s="65">
        <f ca="1">SUMIFS(OFFSET('BPC Data'!$F:$F,0,Summary!P$2),'BPC Data'!$E:$E,Summary!$D21,'BPC Data'!$B:$B,Summary!$C21)</f>
        <v>2090</v>
      </c>
      <c r="Q21" s="61">
        <f ca="1">SUMIFS(OFFSET('BPC Data'!$F:$F,0,Summary!Q$2),'BPC Data'!$E:$E,Summary!$D21,'BPC Data'!$B:$B,Summary!$C21)</f>
        <v>2204</v>
      </c>
      <c r="R21" s="65">
        <f ca="1">SUMIFS(OFFSET('BPC Data'!$F:$F,0,Summary!R$2),'BPC Data'!$E:$E,Summary!$D21,'BPC Data'!$B:$B,Summary!$C21)</f>
        <v>2609</v>
      </c>
      <c r="S21" s="23">
        <f ca="1">SUM(G21:R21)</f>
        <v>28248</v>
      </c>
      <c r="T21" s="74">
        <f ca="1">SUM(W21:AH21)</f>
        <v>28248</v>
      </c>
      <c r="U21" s="54">
        <f ca="1">T21-S21</f>
        <v>0</v>
      </c>
      <c r="W21" s="4">
        <f ca="1">SUMIFS(INDIRECT("'"&amp;$W$19&amp;"'"&amp;"!$B$1:$B$5000"),INDIRECT("'"&amp;$W$19&amp;"'"&amp;"!$A$1:$A$5000"),$W$2)</f>
        <v>2529</v>
      </c>
      <c r="X21" s="4">
        <f ca="1">SUMIFS(INDIRECT("'"&amp;$W$19&amp;"'"&amp;"!$c$1:$c$5000"),INDIRECT("'"&amp;$W$19&amp;"'"&amp;"!$A$1:$A$5000"),$W$2)</f>
        <v>2416</v>
      </c>
      <c r="Y21" s="4">
        <f ca="1">SUMIFS(INDIRECT("'"&amp;$W$19&amp;"'"&amp;"!$d$1:$d$5000"),INDIRECT("'"&amp;$W$19&amp;"'"&amp;"!$A$1:$A$5000"),$W$2)</f>
        <v>2418</v>
      </c>
      <c r="Z21" s="4">
        <f ca="1">SUMIFS(INDIRECT("'"&amp;$W$19&amp;"'"&amp;"!$e$1:$e$5000"),INDIRECT("'"&amp;$W$19&amp;"'"&amp;"!$A$1:$A$5000"),$W$2)</f>
        <v>2319</v>
      </c>
      <c r="AA21" s="4">
        <f ca="1">SUMIFS(INDIRECT("'"&amp;$W$19&amp;"'"&amp;"!$f$1:$f$5000"),INDIRECT("'"&amp;$W$19&amp;"'"&amp;"!$A$1:$A$5000"),$W$2)</f>
        <v>2458</v>
      </c>
      <c r="AB21" s="4">
        <f ca="1">SUMIFS(INDIRECT("'"&amp;$W$19&amp;"'"&amp;"!$g$1:$g$5000"),INDIRECT("'"&amp;$W$19&amp;"'"&amp;"!$A$1:$A$5000"),$W$2)</f>
        <v>2666</v>
      </c>
      <c r="AC21" s="4">
        <f ca="1">SUMIFS(INDIRECT("'"&amp;$W$19&amp;"'"&amp;"!$h$1:$h$5000"),INDIRECT("'"&amp;$W$19&amp;"'"&amp;"!$A$1:$A$5000"),$W$2)</f>
        <v>2231</v>
      </c>
      <c r="AD21" s="4">
        <f ca="1">SUMIFS(INDIRECT("'"&amp;$W$19&amp;"'"&amp;"!$i$1:$i$5000"),INDIRECT("'"&amp;$W$19&amp;"'"&amp;"!$A$1:$A$5000"),$W$2)</f>
        <v>2192</v>
      </c>
      <c r="AE21" s="4">
        <f ca="1">SUMIFS(INDIRECT("'"&amp;$W$19&amp;"'"&amp;"!$j$1:$j$5000"),INDIRECT("'"&amp;$W$19&amp;"'"&amp;"!$A$1:$A$5000"),$W$2)</f>
        <v>2116</v>
      </c>
      <c r="AF21" s="4">
        <f ca="1">SUMIFS(INDIRECT("'"&amp;$W$19&amp;"'"&amp;"!$k$1:$k$5000"),INDIRECT("'"&amp;$W$19&amp;"'"&amp;"!$A$1:$A$5000"),$W$2)</f>
        <v>2090</v>
      </c>
      <c r="AG21" s="4">
        <f ca="1">SUMIFS(INDIRECT("'"&amp;$W$19&amp;"'"&amp;"!$l$1:$l$5000"),INDIRECT("'"&amp;$W$19&amp;"'"&amp;"!$A$1:$A$5000"),$W$2)</f>
        <v>2204</v>
      </c>
      <c r="AH21" s="4">
        <f ca="1">SUMIFS(INDIRECT("'"&amp;$W$19&amp;"'"&amp;"!$m$1:$m$5000"),INDIRECT("'"&amp;$W$19&amp;"'"&amp;"!$A$1:$A$5000"),$W$2)</f>
        <v>2609</v>
      </c>
      <c r="AJ21" s="14">
        <f t="shared" ref="AJ21:AU21" ca="1" si="42">W21-G21</f>
        <v>0</v>
      </c>
      <c r="AK21" s="14">
        <f t="shared" ca="1" si="42"/>
        <v>0</v>
      </c>
      <c r="AL21" s="14">
        <f t="shared" ca="1" si="42"/>
        <v>0</v>
      </c>
      <c r="AM21" s="14">
        <f t="shared" ca="1" si="42"/>
        <v>0</v>
      </c>
      <c r="AN21" s="14">
        <f t="shared" ca="1" si="42"/>
        <v>0</v>
      </c>
      <c r="AO21" s="14">
        <f t="shared" ca="1" si="42"/>
        <v>0</v>
      </c>
      <c r="AP21" s="14">
        <f t="shared" ca="1" si="42"/>
        <v>0</v>
      </c>
      <c r="AQ21" s="14">
        <f t="shared" ca="1" si="42"/>
        <v>0</v>
      </c>
      <c r="AR21" s="14">
        <f t="shared" ca="1" si="42"/>
        <v>0</v>
      </c>
      <c r="AS21" s="14">
        <f t="shared" ca="1" si="42"/>
        <v>0</v>
      </c>
      <c r="AT21" s="14">
        <f t="shared" ca="1" si="42"/>
        <v>0</v>
      </c>
      <c r="AU21" s="14">
        <f t="shared" ca="1" si="42"/>
        <v>0</v>
      </c>
    </row>
    <row r="22" spans="1:47" s="12" customFormat="1">
      <c r="A22" s="12">
        <f t="shared" ref="A22:A30" si="43">IF(AND(F22&lt;&gt;"",D22=""),A21+1,A21)</f>
        <v>2</v>
      </c>
      <c r="C22" t="str">
        <f>$F20</f>
        <v>Park Manor of Cypress Station</v>
      </c>
      <c r="D22" s="3" t="str">
        <f t="shared" ref="D22:D84" si="44">$D11</f>
        <v>A_BEDS_TOTAL - Total Available Beds</v>
      </c>
      <c r="F22" s="19" t="str">
        <f>_xll.EVDES(D22)</f>
        <v>Total Available Beds</v>
      </c>
      <c r="G22" s="61">
        <f ca="1">SUMIFS(OFFSET('BPC Data'!$F:$F,0,Summary!G$2),'BPC Data'!$E:$E,Summary!$D22,'BPC Data'!$B:$B,Summary!$C22)</f>
        <v>125</v>
      </c>
      <c r="H22" s="65">
        <f ca="1">SUMIFS(OFFSET('BPC Data'!$F:$F,0,Summary!H$2),'BPC Data'!$E:$E,Summary!$D22,'BPC Data'!$B:$B,Summary!$C22)</f>
        <v>125</v>
      </c>
      <c r="I22" s="61">
        <f ca="1">SUMIFS(OFFSET('BPC Data'!$F:$F,0,Summary!I$2),'BPC Data'!$E:$E,Summary!$D22,'BPC Data'!$B:$B,Summary!$C22)</f>
        <v>125</v>
      </c>
      <c r="J22" s="65">
        <f ca="1">SUMIFS(OFFSET('BPC Data'!$F:$F,0,Summary!J$2),'BPC Data'!$E:$E,Summary!$D22,'BPC Data'!$B:$B,Summary!$C22)</f>
        <v>125</v>
      </c>
      <c r="K22" s="61">
        <f ca="1">SUMIFS(OFFSET('BPC Data'!$F:$F,0,Summary!K$2),'BPC Data'!$E:$E,Summary!$D22,'BPC Data'!$B:$B,Summary!$C22)</f>
        <v>125</v>
      </c>
      <c r="L22" s="65">
        <f ca="1">SUMIFS(OFFSET('BPC Data'!$F:$F,0,Summary!L$2),'BPC Data'!$E:$E,Summary!$D22,'BPC Data'!$B:$B,Summary!$C22)</f>
        <v>125</v>
      </c>
      <c r="M22" s="61">
        <f ca="1">SUMIFS(OFFSET('BPC Data'!$F:$F,0,Summary!M$2),'BPC Data'!$E:$E,Summary!$D22,'BPC Data'!$B:$B,Summary!$C22)</f>
        <v>125</v>
      </c>
      <c r="N22" s="65">
        <f ca="1">SUMIFS(OFFSET('BPC Data'!$F:$F,0,Summary!N$2),'BPC Data'!$E:$E,Summary!$D22,'BPC Data'!$B:$B,Summary!$C22)</f>
        <v>125</v>
      </c>
      <c r="O22" s="61">
        <f ca="1">SUMIFS(OFFSET('BPC Data'!$F:$F,0,Summary!O$2),'BPC Data'!$E:$E,Summary!$D22,'BPC Data'!$B:$B,Summary!$C22)</f>
        <v>125</v>
      </c>
      <c r="P22" s="65">
        <f ca="1">SUMIFS(OFFSET('BPC Data'!$F:$F,0,Summary!P$2),'BPC Data'!$E:$E,Summary!$D22,'BPC Data'!$B:$B,Summary!$C22)</f>
        <v>125</v>
      </c>
      <c r="Q22" s="61">
        <f ca="1">SUMIFS(OFFSET('BPC Data'!$F:$F,0,Summary!Q$2),'BPC Data'!$E:$E,Summary!$D22,'BPC Data'!$B:$B,Summary!$C22)</f>
        <v>125</v>
      </c>
      <c r="R22" s="65">
        <f ca="1">SUMIFS(OFFSET('BPC Data'!$F:$F,0,Summary!R$2),'BPC Data'!$E:$E,Summary!$D22,'BPC Data'!$B:$B,Summary!$C22)</f>
        <v>125</v>
      </c>
      <c r="S22" s="23">
        <f ca="1">+R22</f>
        <v>125</v>
      </c>
      <c r="T22" s="74"/>
      <c r="U22" s="54"/>
      <c r="AJ22" s="14"/>
      <c r="AK22" s="49"/>
      <c r="AL22" s="49"/>
      <c r="AM22" s="49"/>
      <c r="AN22" s="49"/>
      <c r="AO22" s="49"/>
      <c r="AP22" s="49"/>
      <c r="AQ22" s="49"/>
      <c r="AR22" s="49"/>
      <c r="AS22" s="49"/>
      <c r="AT22" s="49"/>
      <c r="AU22" s="49"/>
    </row>
    <row r="23" spans="1:47" s="12" customFormat="1">
      <c r="A23" s="12">
        <f t="shared" si="43"/>
        <v>2</v>
      </c>
      <c r="B23"/>
      <c r="C23" t="str">
        <f>$F20</f>
        <v>Park Manor of Cypress Station</v>
      </c>
      <c r="D23" s="3" t="str">
        <f t="shared" si="44"/>
        <v>T_REVENUES - Total Tenant Revenues</v>
      </c>
      <c r="E23"/>
      <c r="F23" s="19" t="str">
        <f>_xll.EVDES(D23)</f>
        <v>Total Tenant Revenues</v>
      </c>
      <c r="G23" s="61">
        <f ca="1">SUMIFS(OFFSET('BPC Data'!$F:$F,0,Summary!G$2),'BPC Data'!$E:$E,Summary!$D23,'BPC Data'!$B:$B,Summary!$C23)</f>
        <v>802309</v>
      </c>
      <c r="H23" s="65">
        <f ca="1">SUMIFS(OFFSET('BPC Data'!$F:$F,0,Summary!H$2),'BPC Data'!$E:$E,Summary!$D23,'BPC Data'!$B:$B,Summary!$C23)</f>
        <v>756080</v>
      </c>
      <c r="I23" s="61">
        <f ca="1">SUMIFS(OFFSET('BPC Data'!$F:$F,0,Summary!I$2),'BPC Data'!$E:$E,Summary!$D23,'BPC Data'!$B:$B,Summary!$C23)</f>
        <v>699051</v>
      </c>
      <c r="J23" s="65">
        <f ca="1">SUMIFS(OFFSET('BPC Data'!$F:$F,0,Summary!J$2),'BPC Data'!$E:$E,Summary!$D23,'BPC Data'!$B:$B,Summary!$C23)</f>
        <v>667121</v>
      </c>
      <c r="K23" s="61">
        <f ca="1">SUMIFS(OFFSET('BPC Data'!$F:$F,0,Summary!K$2),'BPC Data'!$E:$E,Summary!$D23,'BPC Data'!$B:$B,Summary!$C23)</f>
        <v>838785</v>
      </c>
      <c r="L23" s="65">
        <f ca="1">SUMIFS(OFFSET('BPC Data'!$F:$F,0,Summary!L$2),'BPC Data'!$E:$E,Summary!$D23,'BPC Data'!$B:$B,Summary!$C23)</f>
        <v>855427</v>
      </c>
      <c r="M23" s="61">
        <f ca="1">SUMIFS(OFFSET('BPC Data'!$F:$F,0,Summary!M$2),'BPC Data'!$E:$E,Summary!$D23,'BPC Data'!$B:$B,Summary!$C23)</f>
        <v>639260</v>
      </c>
      <c r="N23" s="65">
        <f ca="1">SUMIFS(OFFSET('BPC Data'!$F:$F,0,Summary!N$2),'BPC Data'!$E:$E,Summary!$D23,'BPC Data'!$B:$B,Summary!$C23)</f>
        <v>620682</v>
      </c>
      <c r="O23" s="61">
        <f ca="1">SUMIFS(OFFSET('BPC Data'!$F:$F,0,Summary!O$2),'BPC Data'!$E:$E,Summary!$D23,'BPC Data'!$B:$B,Summary!$C23)</f>
        <v>561881</v>
      </c>
      <c r="P23" s="65">
        <f ca="1">SUMIFS(OFFSET('BPC Data'!$F:$F,0,Summary!P$2),'BPC Data'!$E:$E,Summary!$D23,'BPC Data'!$B:$B,Summary!$C23)</f>
        <v>587078</v>
      </c>
      <c r="Q23" s="61">
        <f ca="1">SUMIFS(OFFSET('BPC Data'!$F:$F,0,Summary!Q$2),'BPC Data'!$E:$E,Summary!$D23,'BPC Data'!$B:$B,Summary!$C23)</f>
        <v>676364</v>
      </c>
      <c r="R23" s="65">
        <f ca="1">SUMIFS(OFFSET('BPC Data'!$F:$F,0,Summary!R$2),'BPC Data'!$E:$E,Summary!$D23,'BPC Data'!$B:$B,Summary!$C23)</f>
        <v>770625</v>
      </c>
      <c r="S23" s="23">
        <f t="shared" ref="S23:S29" ca="1" si="45">SUM(G23:R23)</f>
        <v>8474663</v>
      </c>
      <c r="T23" s="74">
        <f ca="1">SUM(W23:AH23)</f>
        <v>7884812.8799999999</v>
      </c>
      <c r="U23" s="54">
        <f ca="1">T23-S23</f>
        <v>-589850.12000000011</v>
      </c>
      <c r="W23" s="4">
        <f ca="1">SUMIFS(INDIRECT("'"&amp;$W$19&amp;"'"&amp;"!$B$64:$B$5000"),INDIRECT("'"&amp;$W$19&amp;"'"&amp;"!$A$64:$A$5000"),$V$1)-SUMIFS(INDIRECT("'"&amp;$W$19&amp;"'"&amp;"!$B$64:$B$5000"),INDIRECT("'"&amp;$W$19&amp;"'"&amp;"!$A$64:$A$5000"),$V$2)-SUMIFS(INDIRECT("'"&amp;$W$19&amp;"'"&amp;"!$B$64:$B$5000"),INDIRECT("'"&amp;$W$19&amp;"'"&amp;"!$A$64:$A$5000"),$V$3)-SUMIFS(INDIRECT("'"&amp;$W$19&amp;"'"&amp;"!$B$64:$B$5000"),INDIRECT("'"&amp;$W$19&amp;"'"&amp;"!$A$64:$A$5000"),$X$4)-SUMIFS(INDIRECT("'"&amp;$W$19&amp;"'"&amp;"!$B$64:$B$5000"),INDIRECT("'"&amp;$W$19&amp;"'"&amp;"!$A$64:$A$5000"),$X$3)</f>
        <v>802310.04000000132</v>
      </c>
      <c r="X23" s="4">
        <f ca="1">SUMIFS(INDIRECT("'"&amp;$W$19&amp;"'"&amp;"!$c$64:$c$5000"),INDIRECT("'"&amp;$W$19&amp;"'"&amp;"!$A$64:$A$5000"),$V$1)-SUMIFS(INDIRECT("'"&amp;$W$19&amp;"'"&amp;"!$c$64:$c$5000"),INDIRECT("'"&amp;$W$19&amp;"'"&amp;"!$A$64:$A$5000"),$V$2)-SUMIFS(INDIRECT("'"&amp;$W$19&amp;"'"&amp;"!$c$64:$c$5000"),INDIRECT("'"&amp;$W$19&amp;"'"&amp;"!$A$64:$A$5000"),$V$3)-SUMIFS(INDIRECT("'"&amp;$W$19&amp;"'"&amp;"!$c$64:$c$5000"),INDIRECT("'"&amp;$W$19&amp;"'"&amp;"!$A$64:$A$5000"),$X$4)-SUMIFS(INDIRECT("'"&amp;$W$19&amp;"'"&amp;"!$c$64:$c$5000"),INDIRECT("'"&amp;$W$19&amp;"'"&amp;"!$A$64:$A$5000"),$X$3)</f>
        <v>756080.65000000072</v>
      </c>
      <c r="Y23" s="4">
        <f ca="1">SUMIFS(INDIRECT("'"&amp;$W$19&amp;"'"&amp;"!$d$64:$d$5000"),INDIRECT("'"&amp;$W$19&amp;"'"&amp;"!$A$64:$A$5000"),$V$1)-SUMIFS(INDIRECT("'"&amp;$W$19&amp;"'"&amp;"!$d$64:$d$5000"),INDIRECT("'"&amp;$W$19&amp;"'"&amp;"!$A$64:$A$5000"),$V$2)-SUMIFS(INDIRECT("'"&amp;$W$19&amp;"'"&amp;"!$d$64:$d$5000"),INDIRECT("'"&amp;$W$19&amp;"'"&amp;"!$A$64:$A$5000"),$V$3)-SUMIFS(INDIRECT("'"&amp;$W$19&amp;"'"&amp;"!$d$64:$d$5000"),INDIRECT("'"&amp;$W$19&amp;"'"&amp;"!$A$64:$A$5000"),$X$4)-SUMIFS(INDIRECT("'"&amp;$W$19&amp;"'"&amp;"!$d$64:$d$5000"),INDIRECT("'"&amp;$W$19&amp;"'"&amp;"!$A$64:$A$5000"),$X$3)</f>
        <v>699051.26999999967</v>
      </c>
      <c r="Z23" s="4">
        <f ca="1">SUMIFS(INDIRECT("'"&amp;$W$19&amp;"'"&amp;"!$e$64:$e$5000"),INDIRECT("'"&amp;$W$19&amp;"'"&amp;"!$A$64:$A$5000"),$V$1)-SUMIFS(INDIRECT("'"&amp;$W$19&amp;"'"&amp;"!$e$64:$e$5000"),INDIRECT("'"&amp;$W$19&amp;"'"&amp;"!$A$64:$A$5000"),$V$2)-SUMIFS(INDIRECT("'"&amp;$W$19&amp;"'"&amp;"!$e$64:$e$5000"),INDIRECT("'"&amp;$W$19&amp;"'"&amp;"!$A$64:$A$5000"),$V$3)-SUMIFS(INDIRECT("'"&amp;$W$19&amp;"'"&amp;"!$e$64:$e$5000"),INDIRECT("'"&amp;$W$19&amp;"'"&amp;"!$A$64:$A$5000"),$X$4)-SUMIFS(INDIRECT("'"&amp;$W$19&amp;"'"&amp;"!$e$64:$e$5000"),INDIRECT("'"&amp;$W$19&amp;"'"&amp;"!$A$64:$A$5000"),$X$3)</f>
        <v>667120.36999999941</v>
      </c>
      <c r="AA23" s="4">
        <f ca="1">SUMIFS(INDIRECT("'"&amp;$W$19&amp;"'"&amp;"!$f$64:$f$5000"),INDIRECT("'"&amp;$W$19&amp;"'"&amp;"!$A$64:$A$5000"),$V$1)-SUMIFS(INDIRECT("'"&amp;$W$19&amp;"'"&amp;"!$f$64:$f$5000"),INDIRECT("'"&amp;$W$19&amp;"'"&amp;"!$A$64:$A$5000"),$V$2)-SUMIFS(INDIRECT("'"&amp;$W$19&amp;"'"&amp;"!$f$64:$f$5000"),INDIRECT("'"&amp;$W$19&amp;"'"&amp;"!$A$64:$A$5000"),$V$3)-SUMIFS(INDIRECT("'"&amp;$W$19&amp;"'"&amp;"!$f$64:$f$5000"),INDIRECT("'"&amp;$W$19&amp;"'"&amp;"!$A$64:$A$5000"),$X$4)-SUMIFS(INDIRECT("'"&amp;$W$19&amp;"'"&amp;"!$f$64:$f$5000"),INDIRECT("'"&amp;$W$19&amp;"'"&amp;"!$A$64:$A$5000"),$X$3)</f>
        <v>248932.57000000059</v>
      </c>
      <c r="AB23" s="4">
        <f ca="1">SUMIFS(INDIRECT("'"&amp;$W$19&amp;"'"&amp;"!$g$64:$g$5000"),INDIRECT("'"&amp;$W$19&amp;"'"&amp;"!$A$64:$A$5000"),$V$1)-SUMIFS(INDIRECT("'"&amp;$W$19&amp;"'"&amp;"!$g$64:$g$5000"),INDIRECT("'"&amp;$W$19&amp;"'"&amp;"!$A$64:$A$5000"),$V$2)-SUMIFS(INDIRECT("'"&amp;$W$19&amp;"'"&amp;"!$g$64:$g$5000"),INDIRECT("'"&amp;$W$19&amp;"'"&amp;"!$A$64:$A$5000"),$V$3)-SUMIFS(INDIRECT("'"&amp;$W$19&amp;"'"&amp;"!$g$64:$g$5000"),INDIRECT("'"&amp;$W$19&amp;"'"&amp;"!$A$64:$A$5000"),$X$4)-SUMIFS(INDIRECT("'"&amp;$W$19&amp;"'"&amp;"!$g$64:$g$5000"),INDIRECT("'"&amp;$W$19&amp;"'"&amp;"!$A$64:$A$5000"),$X$3)</f>
        <v>855426.83000000101</v>
      </c>
      <c r="AC23" s="4">
        <f ca="1">SUMIFS(INDIRECT("'"&amp;$W$19&amp;"'"&amp;"!$h$64:$h$5000"),INDIRECT("'"&amp;$W$19&amp;"'"&amp;"!$A$64:$A$5000"),$V$1)-SUMIFS(INDIRECT("'"&amp;$W$19&amp;"'"&amp;"!$h$64:$h$5000"),INDIRECT("'"&amp;$W$19&amp;"'"&amp;"!$A$64:$A$5000"),$V$2)-SUMIFS(INDIRECT("'"&amp;$W$19&amp;"'"&amp;"!$h$64:$h$5000"),INDIRECT("'"&amp;$W$19&amp;"'"&amp;"!$A$64:$A$5000"),$V$3)-SUMIFS(INDIRECT("'"&amp;$W$19&amp;"'"&amp;"!$h$64:$h$5000"),INDIRECT("'"&amp;$W$19&amp;"'"&amp;"!$A$64:$A$5000"),$X$4)-SUMIFS(INDIRECT("'"&amp;$W$19&amp;"'"&amp;"!$h$64:$h$5000"),INDIRECT("'"&amp;$W$19&amp;"'"&amp;"!$A$64:$A$5000"),$X$3)</f>
        <v>639259.17999999947</v>
      </c>
      <c r="AD23" s="4">
        <f ca="1">SUMIFS(INDIRECT("'"&amp;$W$19&amp;"'"&amp;"!$i$64:$i$5000"),INDIRECT("'"&amp;$W$19&amp;"'"&amp;"!$A$64:$A$5000"),$V$1)-SUMIFS(INDIRECT("'"&amp;$W$19&amp;"'"&amp;"!$i$64:$i$5000"),INDIRECT("'"&amp;$W$19&amp;"'"&amp;"!$A$64:$A$5000"),$V$2)-SUMIFS(INDIRECT("'"&amp;$W$19&amp;"'"&amp;"!$i$64:$i$5000"),INDIRECT("'"&amp;$W$19&amp;"'"&amp;"!$A$64:$A$5000"),$V$3)-SUMIFS(INDIRECT("'"&amp;$W$19&amp;"'"&amp;"!$i$64:$i$5000"),INDIRECT("'"&amp;$W$19&amp;"'"&amp;"!$A$64:$A$5000"),$X$4)-SUMIFS(INDIRECT("'"&amp;$W$19&amp;"'"&amp;"!$i$64:$i$5000"),INDIRECT("'"&amp;$W$19&amp;"'"&amp;"!$A$64:$A$5000"),$X$3)</f>
        <v>620682.39999999979</v>
      </c>
      <c r="AE23" s="4">
        <f ca="1">SUMIFS(INDIRECT("'"&amp;$W$19&amp;"'"&amp;"!$j$64:$j$5000"),INDIRECT("'"&amp;$W$19&amp;"'"&amp;"!$A$64:$A$5000"),$V$1)-SUMIFS(INDIRECT("'"&amp;$W$19&amp;"'"&amp;"!$j$64:$j$5000"),INDIRECT("'"&amp;$W$19&amp;"'"&amp;"!$A$64:$A$5000"),$V$2)-SUMIFS(INDIRECT("'"&amp;$W$19&amp;"'"&amp;"!$j$64:$j$5000"),INDIRECT("'"&amp;$W$19&amp;"'"&amp;"!$A$64:$A$5000"),$V$3)-SUMIFS(INDIRECT("'"&amp;$W$19&amp;"'"&amp;"!$j$64:$j$5000"),INDIRECT("'"&amp;$W$19&amp;"'"&amp;"!$A$64:$A$5000"),$X$4)-SUMIFS(INDIRECT("'"&amp;$W$19&amp;"'"&amp;"!$j$64:$j$5000"),INDIRECT("'"&amp;$W$19&amp;"'"&amp;"!$A$64:$A$5000"),$X$3)</f>
        <v>561881.44000000018</v>
      </c>
      <c r="AF23" s="4">
        <f ca="1">SUMIFS(INDIRECT("'"&amp;$W$19&amp;"'"&amp;"!$k$64:$k$5000"),INDIRECT("'"&amp;$W$19&amp;"'"&amp;"!$A$64:$A$5000"),$V$1)-SUMIFS(INDIRECT("'"&amp;$W$19&amp;"'"&amp;"!$k$64:$k$5000"),INDIRECT("'"&amp;$W$19&amp;"'"&amp;"!$A$64:$A$5000"),$V$2)-SUMIFS(INDIRECT("'"&amp;$W$19&amp;"'"&amp;"!$k$64:$k$5000"),INDIRECT("'"&amp;$W$19&amp;"'"&amp;"!$A$64:$A$5000"),$V$3)-SUMIFS(INDIRECT("'"&amp;$W$19&amp;"'"&amp;"!$k$64:$k$5000"),INDIRECT("'"&amp;$W$19&amp;"'"&amp;"!$A$64:$A$5000"),$X$4)-SUMIFS(INDIRECT("'"&amp;$W$19&amp;"'"&amp;"!$k$64:$k$5000"),INDIRECT("'"&amp;$W$19&amp;"'"&amp;"!$A$64:$A$5000"),$X$3)</f>
        <v>587078.83999999915</v>
      </c>
      <c r="AG23" s="4">
        <f ca="1">SUMIFS(INDIRECT("'"&amp;$W$19&amp;"'"&amp;"!$l$64:$l$5000"),INDIRECT("'"&amp;$W$19&amp;"'"&amp;"!$A$64:$A$5000"),$V$1)-SUMIFS(INDIRECT("'"&amp;$W$19&amp;"'"&amp;"!$l$64:$l$5000"),INDIRECT("'"&amp;$W$19&amp;"'"&amp;"!$A$64:$A$5000"),$V$2)-SUMIFS(INDIRECT("'"&amp;$W$19&amp;"'"&amp;"!$l$64:$l$5000"),INDIRECT("'"&amp;$W$19&amp;"'"&amp;"!$A$64:$A$5000"),$V$3)-SUMIFS(INDIRECT("'"&amp;$W$19&amp;"'"&amp;"!$l$64:$l$5000"),INDIRECT("'"&amp;$W$19&amp;"'"&amp;"!$A$64:$A$5000"),$X$4)-SUMIFS(INDIRECT("'"&amp;$W$19&amp;"'"&amp;"!$l$64:$l$5000"),INDIRECT("'"&amp;$W$19&amp;"'"&amp;"!$A$64:$A$5000"),$X$3)</f>
        <v>676363.96999999951</v>
      </c>
      <c r="AH23" s="4">
        <f ca="1">SUMIFS(INDIRECT("'"&amp;$W$19&amp;"'"&amp;"!$m$64:$m$5000"),INDIRECT("'"&amp;$W$19&amp;"'"&amp;"!$A$64:$A$5000"),$V$1)-SUMIFS(INDIRECT("'"&amp;$W$19&amp;"'"&amp;"!$m$64:$m$5000"),INDIRECT("'"&amp;$W$19&amp;"'"&amp;"!$A$64:$A$5000"),$V$2)-SUMIFS(INDIRECT("'"&amp;$W$19&amp;"'"&amp;"!$m$64:$m$5000"),INDIRECT("'"&amp;$W$19&amp;"'"&amp;"!$A$64:$A$5000"),$V$3)-SUMIFS(INDIRECT("'"&amp;$W$19&amp;"'"&amp;"!$m$64:$m$5000"),INDIRECT("'"&amp;$W$19&amp;"'"&amp;"!$A$64:$A$5000"),$X$4)-SUMIFS(INDIRECT("'"&amp;$W$19&amp;"'"&amp;"!$m$64:$m$5000"),INDIRECT("'"&amp;$W$19&amp;"'"&amp;"!$A$64:$A$5000"),$X$3)</f>
        <v>770625.3199999996</v>
      </c>
      <c r="AJ23" s="14">
        <f t="shared" ref="AJ23:AU24" ca="1" si="46">W23-G23</f>
        <v>1.0400000013178214</v>
      </c>
      <c r="AK23" s="14">
        <f t="shared" ca="1" si="46"/>
        <v>0.650000000721775</v>
      </c>
      <c r="AL23" s="14">
        <f t="shared" ca="1" si="46"/>
        <v>0.26999999966938049</v>
      </c>
      <c r="AM23" s="14">
        <f t="shared" ca="1" si="46"/>
        <v>-0.63000000058673322</v>
      </c>
      <c r="AN23" s="14">
        <f t="shared" ca="1" si="46"/>
        <v>-589852.42999999947</v>
      </c>
      <c r="AO23" s="14">
        <f t="shared" ca="1" si="46"/>
        <v>-0.16999999899417162</v>
      </c>
      <c r="AP23" s="14">
        <f t="shared" ca="1" si="46"/>
        <v>-0.82000000053085387</v>
      </c>
      <c r="AQ23" s="14">
        <f t="shared" ca="1" si="46"/>
        <v>0.39999999979045242</v>
      </c>
      <c r="AR23" s="14">
        <f t="shared" ca="1" si="46"/>
        <v>0.44000000017695129</v>
      </c>
      <c r="AS23" s="14">
        <f t="shared" ca="1" si="46"/>
        <v>0.83999999915249646</v>
      </c>
      <c r="AT23" s="14">
        <f t="shared" ca="1" si="46"/>
        <v>-3.0000000493600965E-2</v>
      </c>
      <c r="AU23" s="14">
        <f t="shared" ca="1" si="46"/>
        <v>0.31999999959953129</v>
      </c>
    </row>
    <row r="24" spans="1:47" s="12" customFormat="1">
      <c r="A24" s="12">
        <f t="shared" si="43"/>
        <v>2</v>
      </c>
      <c r="B24"/>
      <c r="C24" t="str">
        <f>$F20</f>
        <v>Park Manor of Cypress Station</v>
      </c>
      <c r="D24" s="3" t="str">
        <f t="shared" si="44"/>
        <v>T_OPEX - Tenant Operating Expenses</v>
      </c>
      <c r="E24"/>
      <c r="F24" s="19" t="str">
        <f>_xll.EVDES(D24)</f>
        <v>Tenant Operating Expenses</v>
      </c>
      <c r="G24" s="61">
        <f ca="1">SUMIFS(OFFSET('BPC Data'!$F:$F,0,Summary!G$2),'BPC Data'!$E:$E,Summary!$D24,'BPC Data'!$B:$B,Summary!$C24)</f>
        <v>575092</v>
      </c>
      <c r="H24" s="65">
        <f ca="1">SUMIFS(OFFSET('BPC Data'!$F:$F,0,Summary!H$2),'BPC Data'!$E:$E,Summary!$D24,'BPC Data'!$B:$B,Summary!$C24)</f>
        <v>575860</v>
      </c>
      <c r="I24" s="61">
        <f ca="1">SUMIFS(OFFSET('BPC Data'!$F:$F,0,Summary!I$2),'BPC Data'!$E:$E,Summary!$D24,'BPC Data'!$B:$B,Summary!$C24)</f>
        <v>562751</v>
      </c>
      <c r="J24" s="65">
        <f ca="1">SUMIFS(OFFSET('BPC Data'!$F:$F,0,Summary!J$2),'BPC Data'!$E:$E,Summary!$D24,'BPC Data'!$B:$B,Summary!$C24)</f>
        <v>543948</v>
      </c>
      <c r="K24" s="61">
        <f ca="1">SUMIFS(OFFSET('BPC Data'!$F:$F,0,Summary!K$2),'BPC Data'!$E:$E,Summary!$D24,'BPC Data'!$B:$B,Summary!$C24)</f>
        <v>564967</v>
      </c>
      <c r="L24" s="65">
        <f ca="1">SUMIFS(OFFSET('BPC Data'!$F:$F,0,Summary!L$2),'BPC Data'!$E:$E,Summary!$D24,'BPC Data'!$B:$B,Summary!$C24)</f>
        <v>561916</v>
      </c>
      <c r="M24" s="61">
        <f ca="1">SUMIFS(OFFSET('BPC Data'!$F:$F,0,Summary!M$2),'BPC Data'!$E:$E,Summary!$D24,'BPC Data'!$B:$B,Summary!$C24)</f>
        <v>572286</v>
      </c>
      <c r="N24" s="65">
        <f ca="1">SUMIFS(OFFSET('BPC Data'!$F:$F,0,Summary!N$2),'BPC Data'!$E:$E,Summary!$D24,'BPC Data'!$B:$B,Summary!$C24)</f>
        <v>523254</v>
      </c>
      <c r="O24" s="61">
        <f ca="1">SUMIFS(OFFSET('BPC Data'!$F:$F,0,Summary!O$2),'BPC Data'!$E:$E,Summary!$D24,'BPC Data'!$B:$B,Summary!$C24)</f>
        <v>529768</v>
      </c>
      <c r="P24" s="65">
        <f ca="1">SUMIFS(OFFSET('BPC Data'!$F:$F,0,Summary!P$2),'BPC Data'!$E:$E,Summary!$D24,'BPC Data'!$B:$B,Summary!$C24)</f>
        <v>531913</v>
      </c>
      <c r="Q24" s="61">
        <f ca="1">SUMIFS(OFFSET('BPC Data'!$F:$F,0,Summary!Q$2),'BPC Data'!$E:$E,Summary!$D24,'BPC Data'!$B:$B,Summary!$C24)</f>
        <v>526564</v>
      </c>
      <c r="R24" s="65">
        <f ca="1">SUMIFS(OFFSET('BPC Data'!$F:$F,0,Summary!R$2),'BPC Data'!$E:$E,Summary!$D24,'BPC Data'!$B:$B,Summary!$C24)</f>
        <v>585610</v>
      </c>
      <c r="S24" s="23">
        <f t="shared" ca="1" si="45"/>
        <v>6653929</v>
      </c>
      <c r="T24" s="74">
        <f ca="1">SUM(W24:AH24)</f>
        <v>6656281.049999998</v>
      </c>
      <c r="U24" s="54">
        <f ca="1">T24-S24</f>
        <v>2352.0499999979511</v>
      </c>
      <c r="W24" s="4">
        <f ca="1">SUMIFS(INDIRECT("'"&amp;$W$19&amp;"'"&amp;"!$B$64:$B$5000"),INDIRECT("'"&amp;$W$19&amp;"'"&amp;"!$A$64:$A$5000"),$V$4)-SUMIFS(INDIRECT("'"&amp;$W$19&amp;"'"&amp;"!$B$64:$B$5000"),INDIRECT("'"&amp;$W$19&amp;"'"&amp;"!$A$64:$A$5000"),$V$5)-SUMIFS(INDIRECT("'"&amp;$W$19&amp;"'"&amp;"!$B$64:$B$5000"),INDIRECT("'"&amp;$W$19&amp;"'"&amp;"!$A$64:$A$5000"),$V$6)-SUMIFS(INDIRECT("'"&amp;$W$19&amp;"'"&amp;"!$B$64:$B$5000"),INDIRECT("'"&amp;$W$19&amp;"'"&amp;"!$A$64:$A$5000"),$W$6)-SUMIFS(INDIRECT("'"&amp;$W$19&amp;"'"&amp;"!$B$64:$B$5000"),INDIRECT("'"&amp;$W$19&amp;"'"&amp;"!$A$64:$A$5000"),$W$7)-SUMIFS(INDIRECT("'"&amp;$W$19&amp;"'"&amp;"!$B$64:$B$5000"),INDIRECT("'"&amp;$W$19&amp;"'"&amp;"!$A$64:$A$5000"),$X$3)-W29-W27</f>
        <v>575092.79999999981</v>
      </c>
      <c r="X24" s="4">
        <f ca="1">SUMIFS(INDIRECT("'"&amp;$W$19&amp;"'"&amp;"!$c$64:$c$5000"),INDIRECT("'"&amp;$W$19&amp;"'"&amp;"!$A$64:$A$5000"),$V$4)-SUMIFS(INDIRECT("'"&amp;$W$19&amp;"'"&amp;"!$c$64:$c$5000"),INDIRECT("'"&amp;$W$19&amp;"'"&amp;"!$A$64:$A$5000"),$V$5)-SUMIFS(INDIRECT("'"&amp;$W$19&amp;"'"&amp;"!$c$64:$c$5000"),INDIRECT("'"&amp;$W$19&amp;"'"&amp;"!$A$64:$A$5000"),$V$6)-SUMIFS(INDIRECT("'"&amp;$W$19&amp;"'"&amp;"!$c$64:$c$5000"),INDIRECT("'"&amp;$W$19&amp;"'"&amp;"!$A$64:$A$5000"),$W$6)-SUMIFS(INDIRECT("'"&amp;$W$19&amp;"'"&amp;"!$c$64:$c$5000"),INDIRECT("'"&amp;$W$19&amp;"'"&amp;"!$A$64:$A$5000"),$W$7)-SUMIFS(INDIRECT("'"&amp;$W$19&amp;"'"&amp;"!$c$64:$c$5000"),INDIRECT("'"&amp;$W$19&amp;"'"&amp;"!$A$64:$A$5000"),$X$3)-X29-X27</f>
        <v>575860.13000000059</v>
      </c>
      <c r="Y24" s="4">
        <f ca="1">SUMIFS(INDIRECT("'"&amp;$W$19&amp;"'"&amp;"!$d$64:$d$5000"),INDIRECT("'"&amp;$W$19&amp;"'"&amp;"!$A$64:$A$5000"),$V$4)-SUMIFS(INDIRECT("'"&amp;$W$19&amp;"'"&amp;"!$d$64:$d$5000"),INDIRECT("'"&amp;$W$19&amp;"'"&amp;"!$A$64:$A$5000"),$V$5)-SUMIFS(INDIRECT("'"&amp;$W$19&amp;"'"&amp;"!$d$64:$d$5000"),INDIRECT("'"&amp;$W$19&amp;"'"&amp;"!$A$64:$A$5000"),$V$6)-SUMIFS(INDIRECT("'"&amp;$W$19&amp;"'"&amp;"!$d$64:$d$5000"),INDIRECT("'"&amp;$W$19&amp;"'"&amp;"!$A$64:$A$5000"),$W$6)-SUMIFS(INDIRECT("'"&amp;$W$19&amp;"'"&amp;"!$d$64:$d$5000"),INDIRECT("'"&amp;$W$19&amp;"'"&amp;"!$A$64:$A$5000"),$W$7)-SUMIFS(INDIRECT("'"&amp;$W$19&amp;"'"&amp;"!$d$64:$d$5000"),INDIRECT("'"&amp;$W$19&amp;"'"&amp;"!$A$64:$A$5000"),$X$3)-Y29-Y27</f>
        <v>562751.07999999973</v>
      </c>
      <c r="Z24" s="4">
        <f ca="1">SUMIFS(INDIRECT("'"&amp;$W$19&amp;"'"&amp;"!$e$64:$e$5000"),INDIRECT("'"&amp;$W$19&amp;"'"&amp;"!$A$64:$A$5000"),$V$4)-SUMIFS(INDIRECT("'"&amp;$W$19&amp;"'"&amp;"!$e$64:$e$5000"),INDIRECT("'"&amp;$W$19&amp;"'"&amp;"!$A$64:$A$5000"),$V$5)-SUMIFS(INDIRECT("'"&amp;$W$19&amp;"'"&amp;"!$e$64:$e$5000"),INDIRECT("'"&amp;$W$19&amp;"'"&amp;"!$A$64:$A$5000"),$V$6)-SUMIFS(INDIRECT("'"&amp;$W$19&amp;"'"&amp;"!$e$64:$e$5000"),INDIRECT("'"&amp;$W$19&amp;"'"&amp;"!$A$64:$A$5000"),$W$6)-SUMIFS(INDIRECT("'"&amp;$W$19&amp;"'"&amp;"!$e$64:$e$5000"),INDIRECT("'"&amp;$W$19&amp;"'"&amp;"!$A$64:$A$5000"),$W$7)-SUMIFS(INDIRECT("'"&amp;$W$19&amp;"'"&amp;"!$e$64:$e$5000"),INDIRECT("'"&amp;$W$19&amp;"'"&amp;"!$A$64:$A$5000"),$X$3)-Z29-Z27</f>
        <v>543948.7000000003</v>
      </c>
      <c r="AA24" s="4">
        <f ca="1">SUMIFS(INDIRECT("'"&amp;$W$19&amp;"'"&amp;"!$f$64:$f$5000"),INDIRECT("'"&amp;$W$19&amp;"'"&amp;"!$A$64:$A$5000"),$V$4)-SUMIFS(INDIRECT("'"&amp;$W$19&amp;"'"&amp;"!$f$64:$f$5000"),INDIRECT("'"&amp;$W$19&amp;"'"&amp;"!$A$64:$A$5000"),$V$5)-SUMIFS(INDIRECT("'"&amp;$W$19&amp;"'"&amp;"!$f$64:$f$5000"),INDIRECT("'"&amp;$W$19&amp;"'"&amp;"!$A$64:$A$5000"),$V$6)-SUMIFS(INDIRECT("'"&amp;$W$19&amp;"'"&amp;"!$f$64:$f$5000"),INDIRECT("'"&amp;$W$19&amp;"'"&amp;"!$A$64:$A$5000"),$W$6)-SUMIFS(INDIRECT("'"&amp;$W$19&amp;"'"&amp;"!$f$64:$f$5000"),INDIRECT("'"&amp;$W$19&amp;"'"&amp;"!$A$64:$A$5000"),$W$7)-SUMIFS(INDIRECT("'"&amp;$W$19&amp;"'"&amp;"!$f$64:$f$5000"),INDIRECT("'"&amp;$W$19&amp;"'"&amp;"!$A$64:$A$5000"),$X$3)-AA29-AA27</f>
        <v>567310.58999999985</v>
      </c>
      <c r="AB24" s="4">
        <f ca="1">SUMIFS(INDIRECT("'"&amp;$W$19&amp;"'"&amp;"!$g$64:$g$5000"),INDIRECT("'"&amp;$W$19&amp;"'"&amp;"!$A$64:$A$5000"),$V$4)-SUMIFS(INDIRECT("'"&amp;$W$19&amp;"'"&amp;"!$g$64:$g$5000"),INDIRECT("'"&amp;$W$19&amp;"'"&amp;"!$A$64:$A$5000"),$V$5)-SUMIFS(INDIRECT("'"&amp;$W$19&amp;"'"&amp;"!$g$64:$g$5000"),INDIRECT("'"&amp;$W$19&amp;"'"&amp;"!$A$64:$A$5000"),$V$6)-SUMIFS(INDIRECT("'"&amp;$W$19&amp;"'"&amp;"!$g$64:$g$5000"),INDIRECT("'"&amp;$W$19&amp;"'"&amp;"!$A$64:$A$5000"),$W$6)-SUMIFS(INDIRECT("'"&amp;$W$19&amp;"'"&amp;"!$g$64:$g$5000"),INDIRECT("'"&amp;$W$19&amp;"'"&amp;"!$A$64:$A$5000"),$W$7)-SUMIFS(INDIRECT("'"&amp;$W$19&amp;"'"&amp;"!$g$64:$g$5000"),INDIRECT("'"&amp;$W$19&amp;"'"&amp;"!$A$64:$A$5000"),$X$3)-AB29-AB27</f>
        <v>561920.70999999915</v>
      </c>
      <c r="AC24" s="4">
        <f ca="1">SUMIFS(INDIRECT("'"&amp;$W$19&amp;"'"&amp;"!$h$64:$h$5000"),INDIRECT("'"&amp;$W$19&amp;"'"&amp;"!$A$64:$A$5000"),$V$4)-SUMIFS(INDIRECT("'"&amp;$W$19&amp;"'"&amp;"!$h$64:$h$5000"),INDIRECT("'"&amp;$W$19&amp;"'"&amp;"!$A$64:$A$5000"),$V$5)-SUMIFS(INDIRECT("'"&amp;$W$19&amp;"'"&amp;"!$h$64:$h$5000"),INDIRECT("'"&amp;$W$19&amp;"'"&amp;"!$A$64:$A$5000"),$V$6)-SUMIFS(INDIRECT("'"&amp;$W$19&amp;"'"&amp;"!$h$64:$h$5000"),INDIRECT("'"&amp;$W$19&amp;"'"&amp;"!$A$64:$A$5000"),$W$6)-SUMIFS(INDIRECT("'"&amp;$W$19&amp;"'"&amp;"!$h$64:$h$5000"),INDIRECT("'"&amp;$W$19&amp;"'"&amp;"!$A$64:$A$5000"),$W$7)-SUMIFS(INDIRECT("'"&amp;$W$19&amp;"'"&amp;"!$h$64:$h$5000"),INDIRECT("'"&amp;$W$19&amp;"'"&amp;"!$A$64:$A$5000"),$X$3)-AC29-AC27</f>
        <v>572285.68000000017</v>
      </c>
      <c r="AD24" s="4">
        <f ca="1">SUMIFS(INDIRECT("'"&amp;$W$19&amp;"'"&amp;"!$i$64:$i$5000"),INDIRECT("'"&amp;$W$19&amp;"'"&amp;"!$A$64:$A$5000"),$V$4)-SUMIFS(INDIRECT("'"&amp;$W$19&amp;"'"&amp;"!$i$64:$i$5000"),INDIRECT("'"&amp;$W$19&amp;"'"&amp;"!$A$64:$A$5000"),$V$5)-SUMIFS(INDIRECT("'"&amp;$W$19&amp;"'"&amp;"!$i$64:$i$5000"),INDIRECT("'"&amp;$W$19&amp;"'"&amp;"!$A$64:$A$5000"),$V$6)-SUMIFS(INDIRECT("'"&amp;$W$19&amp;"'"&amp;"!$i$64:$i$5000"),INDIRECT("'"&amp;$W$19&amp;"'"&amp;"!$A$64:$A$5000"),$W$6)-SUMIFS(INDIRECT("'"&amp;$W$19&amp;"'"&amp;"!$i$64:$i$5000"),INDIRECT("'"&amp;$W$19&amp;"'"&amp;"!$A$64:$A$5000"),$W$7)-SUMIFS(INDIRECT("'"&amp;$W$19&amp;"'"&amp;"!$i$64:$i$5000"),INDIRECT("'"&amp;$W$19&amp;"'"&amp;"!$A$64:$A$5000"),$X$3)-AD29-AD27</f>
        <v>523254.39999999944</v>
      </c>
      <c r="AE24" s="4">
        <f ca="1">SUMIFS(INDIRECT("'"&amp;$W$19&amp;"'"&amp;"!$j$64:$j$5000"),INDIRECT("'"&amp;$W$19&amp;"'"&amp;"!$A$64:$A$5000"),$V$4)-SUMIFS(INDIRECT("'"&amp;$W$19&amp;"'"&amp;"!$j$64:$j$5000"),INDIRECT("'"&amp;$W$19&amp;"'"&amp;"!$A$64:$A$5000"),$V$5)-SUMIFS(INDIRECT("'"&amp;$W$19&amp;"'"&amp;"!$j$64:$j$5000"),INDIRECT("'"&amp;$W$19&amp;"'"&amp;"!$A$64:$A$5000"),$V$6)-SUMIFS(INDIRECT("'"&amp;$W$19&amp;"'"&amp;"!$j$64:$j$5000"),INDIRECT("'"&amp;$W$19&amp;"'"&amp;"!$A$64:$A$5000"),$W$6)-SUMIFS(INDIRECT("'"&amp;$W$19&amp;"'"&amp;"!$j$64:$j$5000"),INDIRECT("'"&amp;$W$19&amp;"'"&amp;"!$A$64:$A$5000"),$W$7)-SUMIFS(INDIRECT("'"&amp;$W$19&amp;"'"&amp;"!$j$64:$j$5000"),INDIRECT("'"&amp;$W$19&amp;"'"&amp;"!$A$64:$A$5000"),$X$3)-AE29-AE27</f>
        <v>529768.96999999986</v>
      </c>
      <c r="AF24" s="4">
        <f ca="1">SUMIFS(INDIRECT("'"&amp;$W$19&amp;"'"&amp;"!$k$64:$k$5000"),INDIRECT("'"&amp;$W$19&amp;"'"&amp;"!$A$64:$A$5000"),$V$4)-SUMIFS(INDIRECT("'"&amp;$W$19&amp;"'"&amp;"!$k$64:$k$5000"),INDIRECT("'"&amp;$W$19&amp;"'"&amp;"!$A$64:$A$5000"),$V$5)-SUMIFS(INDIRECT("'"&amp;$W$19&amp;"'"&amp;"!$k$64:$k$5000"),INDIRECT("'"&amp;$W$19&amp;"'"&amp;"!$A$64:$A$5000"),$V$6)-SUMIFS(INDIRECT("'"&amp;$W$19&amp;"'"&amp;"!$k$64:$k$5000"),INDIRECT("'"&amp;$W$19&amp;"'"&amp;"!$A$64:$A$5000"),$W$6)-SUMIFS(INDIRECT("'"&amp;$W$19&amp;"'"&amp;"!$k$64:$k$5000"),INDIRECT("'"&amp;$W$19&amp;"'"&amp;"!$A$64:$A$5000"),$W$7)-SUMIFS(INDIRECT("'"&amp;$W$19&amp;"'"&amp;"!$k$64:$k$5000"),INDIRECT("'"&amp;$W$19&amp;"'"&amp;"!$A$64:$A$5000"),$X$3)-AF29-AF27</f>
        <v>531914.43000000017</v>
      </c>
      <c r="AG24" s="4">
        <f ca="1">SUMIFS(INDIRECT("'"&amp;$W$19&amp;"'"&amp;"!$l$64:$l$5000"),INDIRECT("'"&amp;$W$19&amp;"'"&amp;"!$A$64:$A$5000"),$V$4)-SUMIFS(INDIRECT("'"&amp;$W$19&amp;"'"&amp;"!$l$64:$l$5000"),INDIRECT("'"&amp;$W$19&amp;"'"&amp;"!$A$64:$A$5000"),$V$5)-SUMIFS(INDIRECT("'"&amp;$W$19&amp;"'"&amp;"!$l$64:$l$5000"),INDIRECT("'"&amp;$W$19&amp;"'"&amp;"!$A$64:$A$5000"),$V$6)-SUMIFS(INDIRECT("'"&amp;$W$19&amp;"'"&amp;"!$l$64:$l$5000"),INDIRECT("'"&amp;$W$19&amp;"'"&amp;"!$A$64:$A$5000"),$W$6)-SUMIFS(INDIRECT("'"&amp;$W$19&amp;"'"&amp;"!$l$64:$l$5000"),INDIRECT("'"&amp;$W$19&amp;"'"&amp;"!$A$64:$A$5000"),$W$7)-SUMIFS(INDIRECT("'"&amp;$W$19&amp;"'"&amp;"!$l$64:$l$5000"),INDIRECT("'"&amp;$W$19&amp;"'"&amp;"!$A$64:$A$5000"),$X$3)-AG29-AG27</f>
        <v>526563.95999999985</v>
      </c>
      <c r="AH24" s="4">
        <f ca="1">SUMIFS(INDIRECT("'"&amp;$W$19&amp;"'"&amp;"!$m$64:$m$5000"),INDIRECT("'"&amp;$W$19&amp;"'"&amp;"!$A$64:$A$5000"),$V$4)-SUMIFS(INDIRECT("'"&amp;$W$19&amp;"'"&amp;"!$m$64:$m$5000"),INDIRECT("'"&amp;$W$19&amp;"'"&amp;"!$A$64:$A$5000"),$V$5)-SUMIFS(INDIRECT("'"&amp;$W$19&amp;"'"&amp;"!$m$64:$m$5000"),INDIRECT("'"&amp;$W$19&amp;"'"&amp;"!$A$64:$A$5000"),$V$6)-SUMIFS(INDIRECT("'"&amp;$W$19&amp;"'"&amp;"!$m$64:$m$5000"),INDIRECT("'"&amp;$W$19&amp;"'"&amp;"!$A$64:$A$5000"),$W$6)-SUMIFS(INDIRECT("'"&amp;$W$19&amp;"'"&amp;"!$m$64:$m$5000"),INDIRECT("'"&amp;$W$19&amp;"'"&amp;"!$A$64:$A$5000"),$W$7)-SUMIFS(INDIRECT("'"&amp;$W$19&amp;"'"&amp;"!$m$64:$m$5000"),INDIRECT("'"&amp;$W$19&amp;"'"&amp;"!$A$64:$A$5000"),$X$3)-AH29-AH27</f>
        <v>585609.59999999963</v>
      </c>
      <c r="AJ24" s="14">
        <f t="shared" ca="1" si="46"/>
        <v>0.79999999981373549</v>
      </c>
      <c r="AK24" s="14">
        <f t="shared" ca="1" si="46"/>
        <v>0.13000000058673322</v>
      </c>
      <c r="AL24" s="14">
        <f t="shared" ca="1" si="46"/>
        <v>7.999999972525984E-2</v>
      </c>
      <c r="AM24" s="14">
        <f t="shared" ca="1" si="46"/>
        <v>0.70000000030267984</v>
      </c>
      <c r="AN24" s="14">
        <f t="shared" ca="1" si="46"/>
        <v>2343.589999999851</v>
      </c>
      <c r="AO24" s="14">
        <f t="shared" ca="1" si="46"/>
        <v>4.7099999991478398</v>
      </c>
      <c r="AP24" s="14">
        <f t="shared" ca="1" si="46"/>
        <v>-0.31999999983236194</v>
      </c>
      <c r="AQ24" s="14">
        <f t="shared" ca="1" si="46"/>
        <v>0.39999999944120646</v>
      </c>
      <c r="AR24" s="14">
        <f t="shared" ca="1" si="46"/>
        <v>0.969999999855645</v>
      </c>
      <c r="AS24" s="14">
        <f t="shared" ca="1" si="46"/>
        <v>1.4300000001676381</v>
      </c>
      <c r="AT24" s="14">
        <f t="shared" ca="1" si="46"/>
        <v>-4.0000000153668225E-2</v>
      </c>
      <c r="AU24" s="14">
        <f t="shared" ca="1" si="46"/>
        <v>-0.40000000037252903</v>
      </c>
    </row>
    <row r="25" spans="1:47" s="12" customFormat="1">
      <c r="A25" s="12">
        <f t="shared" si="43"/>
        <v>2</v>
      </c>
      <c r="B25"/>
      <c r="C25" t="str">
        <f>$F20</f>
        <v>Park Manor of Cypress Station</v>
      </c>
      <c r="D25" s="3" t="str">
        <f t="shared" si="44"/>
        <v>T_BAD_DEBT - Tenant Bad Debt Expense</v>
      </c>
      <c r="E25"/>
      <c r="F25" s="19" t="str">
        <f>_xll.EVDES(D25)</f>
        <v>Tenant Bad Debt Expense</v>
      </c>
      <c r="G25" s="61">
        <f ca="1">SUMIFS(OFFSET('BPC Data'!$F:$F,0,Summary!G$2),'BPC Data'!$E:$E,Summary!$D25,'BPC Data'!$B:$B,Summary!$C25)</f>
        <v>22833</v>
      </c>
      <c r="H25" s="65">
        <f ca="1">SUMIFS(OFFSET('BPC Data'!$F:$F,0,Summary!H$2),'BPC Data'!$E:$E,Summary!$D25,'BPC Data'!$B:$B,Summary!$C25)</f>
        <v>21339</v>
      </c>
      <c r="I25" s="61">
        <f ca="1">SUMIFS(OFFSET('BPC Data'!$F:$F,0,Summary!I$2),'BPC Data'!$E:$E,Summary!$D25,'BPC Data'!$B:$B,Summary!$C25)</f>
        <v>19538</v>
      </c>
      <c r="J25" s="65">
        <f ca="1">SUMIFS(OFFSET('BPC Data'!$F:$F,0,Summary!J$2),'BPC Data'!$E:$E,Summary!$D25,'BPC Data'!$B:$B,Summary!$C25)</f>
        <v>19044</v>
      </c>
      <c r="K25" s="61">
        <f ca="1">SUMIFS(OFFSET('BPC Data'!$F:$F,0,Summary!K$2),'BPC Data'!$E:$E,Summary!$D25,'BPC Data'!$B:$B,Summary!$C25)</f>
        <v>23910</v>
      </c>
      <c r="L25" s="65">
        <f ca="1">SUMIFS(OFFSET('BPC Data'!$F:$F,0,Summary!L$2),'BPC Data'!$E:$E,Summary!$D25,'BPC Data'!$B:$B,Summary!$C25)</f>
        <v>31471</v>
      </c>
      <c r="M25" s="61">
        <f ca="1">SUMIFS(OFFSET('BPC Data'!$F:$F,0,Summary!M$2),'BPC Data'!$E:$E,Summary!$D25,'BPC Data'!$B:$B,Summary!$C25)</f>
        <v>68981</v>
      </c>
      <c r="N25" s="65">
        <f ca="1">SUMIFS(OFFSET('BPC Data'!$F:$F,0,Summary!N$2),'BPC Data'!$E:$E,Summary!$D25,'BPC Data'!$B:$B,Summary!$C25)</f>
        <v>23108</v>
      </c>
      <c r="O25" s="61">
        <f ca="1">SUMIFS(OFFSET('BPC Data'!$F:$F,0,Summary!O$2),'BPC Data'!$E:$E,Summary!$D25,'BPC Data'!$B:$B,Summary!$C25)</f>
        <v>18445</v>
      </c>
      <c r="P25" s="65">
        <f ca="1">SUMIFS(OFFSET('BPC Data'!$F:$F,0,Summary!P$2),'BPC Data'!$E:$E,Summary!$D25,'BPC Data'!$B:$B,Summary!$C25)</f>
        <v>18516</v>
      </c>
      <c r="Q25" s="61">
        <f ca="1">SUMIFS(OFFSET('BPC Data'!$F:$F,0,Summary!Q$2),'BPC Data'!$E:$E,Summary!$D25,'BPC Data'!$B:$B,Summary!$C25)</f>
        <v>37836</v>
      </c>
      <c r="R25" s="65">
        <f ca="1">SUMIFS(OFFSET('BPC Data'!$F:$F,0,Summary!R$2),'BPC Data'!$E:$E,Summary!$D25,'BPC Data'!$B:$B,Summary!$C25)</f>
        <v>35956</v>
      </c>
      <c r="S25" s="23">
        <f t="shared" ca="1" si="45"/>
        <v>340977</v>
      </c>
      <c r="T25" s="75"/>
      <c r="U25" s="4"/>
      <c r="W25"/>
      <c r="X25"/>
      <c r="Y25"/>
      <c r="Z25"/>
      <c r="AA25"/>
      <c r="AB25"/>
      <c r="AC25"/>
      <c r="AD25"/>
      <c r="AE25"/>
      <c r="AF25"/>
      <c r="AG25"/>
      <c r="AH25"/>
      <c r="AJ25" s="14"/>
      <c r="AK25" s="49"/>
      <c r="AL25" s="49"/>
      <c r="AM25" s="49"/>
      <c r="AN25" s="49"/>
      <c r="AO25" s="49"/>
      <c r="AP25" s="49"/>
      <c r="AQ25" s="49"/>
      <c r="AR25" s="49"/>
      <c r="AS25" s="49"/>
      <c r="AT25" s="49"/>
      <c r="AU25" s="49"/>
    </row>
    <row r="26" spans="1:47" s="12" customFormat="1">
      <c r="A26" s="12">
        <f t="shared" si="43"/>
        <v>2</v>
      </c>
      <c r="B26"/>
      <c r="C26" t="str">
        <f>$F20</f>
        <v>Park Manor of Cypress Station</v>
      </c>
      <c r="D26" s="2" t="str">
        <f t="shared" si="44"/>
        <v>T_EBITDARM - EBITDARM</v>
      </c>
      <c r="E26"/>
      <c r="F26" s="19" t="str">
        <f>_xll.EVDES(D26)</f>
        <v>EBITDARM</v>
      </c>
      <c r="G26" s="61">
        <f ca="1">SUMIFS(OFFSET('BPC Data'!$F:$F,0,Summary!G$2),'BPC Data'!$E:$E,Summary!$D26,'BPC Data'!$B:$B,Summary!$C26)</f>
        <v>227217</v>
      </c>
      <c r="H26" s="65">
        <f ca="1">SUMIFS(OFFSET('BPC Data'!$F:$F,0,Summary!H$2),'BPC Data'!$E:$E,Summary!$D26,'BPC Data'!$B:$B,Summary!$C26)</f>
        <v>180220</v>
      </c>
      <c r="I26" s="61">
        <f ca="1">SUMIFS(OFFSET('BPC Data'!$F:$F,0,Summary!I$2),'BPC Data'!$E:$E,Summary!$D26,'BPC Data'!$B:$B,Summary!$C26)</f>
        <v>136300</v>
      </c>
      <c r="J26" s="65">
        <f ca="1">SUMIFS(OFFSET('BPC Data'!$F:$F,0,Summary!J$2),'BPC Data'!$E:$E,Summary!$D26,'BPC Data'!$B:$B,Summary!$C26)</f>
        <v>123173</v>
      </c>
      <c r="K26" s="61">
        <f ca="1">SUMIFS(OFFSET('BPC Data'!$F:$F,0,Summary!K$2),'BPC Data'!$E:$E,Summary!$D26,'BPC Data'!$B:$B,Summary!$C26)</f>
        <v>273818</v>
      </c>
      <c r="L26" s="65">
        <f ca="1">SUMIFS(OFFSET('BPC Data'!$F:$F,0,Summary!L$2),'BPC Data'!$E:$E,Summary!$D26,'BPC Data'!$B:$B,Summary!$C26)</f>
        <v>293511</v>
      </c>
      <c r="M26" s="61">
        <f ca="1">SUMIFS(OFFSET('BPC Data'!$F:$F,0,Summary!M$2),'BPC Data'!$E:$E,Summary!$D26,'BPC Data'!$B:$B,Summary!$C26)</f>
        <v>66974</v>
      </c>
      <c r="N26" s="65">
        <f ca="1">SUMIFS(OFFSET('BPC Data'!$F:$F,0,Summary!N$2),'BPC Data'!$E:$E,Summary!$D26,'BPC Data'!$B:$B,Summary!$C26)</f>
        <v>97428</v>
      </c>
      <c r="O26" s="61">
        <f ca="1">SUMIFS(OFFSET('BPC Data'!$F:$F,0,Summary!O$2),'BPC Data'!$E:$E,Summary!$D26,'BPC Data'!$B:$B,Summary!$C26)</f>
        <v>32113</v>
      </c>
      <c r="P26" s="65">
        <f ca="1">SUMIFS(OFFSET('BPC Data'!$F:$F,0,Summary!P$2),'BPC Data'!$E:$E,Summary!$D26,'BPC Data'!$B:$B,Summary!$C26)</f>
        <v>55165</v>
      </c>
      <c r="Q26" s="61">
        <f ca="1">SUMIFS(OFFSET('BPC Data'!$F:$F,0,Summary!Q$2),'BPC Data'!$E:$E,Summary!$D26,'BPC Data'!$B:$B,Summary!$C26)</f>
        <v>149800</v>
      </c>
      <c r="R26" s="65">
        <f ca="1">SUMIFS(OFFSET('BPC Data'!$F:$F,0,Summary!R$2),'BPC Data'!$E:$E,Summary!$D26,'BPC Data'!$B:$B,Summary!$C26)</f>
        <v>185015</v>
      </c>
      <c r="S26" s="23">
        <f t="shared" ca="1" si="45"/>
        <v>1820734</v>
      </c>
      <c r="T26" s="74">
        <f ca="1">SUM(W26:AH26)</f>
        <v>1228531.8300000019</v>
      </c>
      <c r="U26" s="54">
        <f ca="1">T26-S26</f>
        <v>-592202.16999999806</v>
      </c>
      <c r="W26" s="50">
        <f t="shared" ref="W26:AH26" ca="1" si="47">W23-W24</f>
        <v>227217.2400000015</v>
      </c>
      <c r="X26" s="50">
        <f t="shared" ref="X26:AB26" ca="1" si="48">X23-X24</f>
        <v>180220.52000000014</v>
      </c>
      <c r="Y26" s="50">
        <f t="shared" ca="1" si="48"/>
        <v>136300.18999999994</v>
      </c>
      <c r="Z26" s="50">
        <f t="shared" ca="1" si="48"/>
        <v>123171.66999999911</v>
      </c>
      <c r="AA26" s="50">
        <f t="shared" ca="1" si="48"/>
        <v>-318378.01999999926</v>
      </c>
      <c r="AB26" s="50">
        <f t="shared" ca="1" si="48"/>
        <v>293506.12000000186</v>
      </c>
      <c r="AC26" s="50">
        <f t="shared" ca="1" si="47"/>
        <v>66973.499999999302</v>
      </c>
      <c r="AD26" s="50">
        <f t="shared" ca="1" si="47"/>
        <v>97428.000000000349</v>
      </c>
      <c r="AE26" s="50">
        <f t="shared" ca="1" si="47"/>
        <v>32112.470000000321</v>
      </c>
      <c r="AF26" s="50">
        <f t="shared" ca="1" si="47"/>
        <v>55164.409999998985</v>
      </c>
      <c r="AG26" s="50">
        <f t="shared" ca="1" si="47"/>
        <v>149800.00999999966</v>
      </c>
      <c r="AH26" s="50">
        <f t="shared" ca="1" si="47"/>
        <v>185015.71999999997</v>
      </c>
      <c r="AJ26" s="14">
        <f t="shared" ref="AJ26:AU29" ca="1" si="49">W26-G26</f>
        <v>0.24000000150408596</v>
      </c>
      <c r="AK26" s="14">
        <f t="shared" ca="1" si="49"/>
        <v>0.52000000013504177</v>
      </c>
      <c r="AL26" s="14">
        <f t="shared" ca="1" si="49"/>
        <v>0.18999999994412065</v>
      </c>
      <c r="AM26" s="14">
        <f t="shared" ca="1" si="49"/>
        <v>-1.3300000008894131</v>
      </c>
      <c r="AN26" s="14">
        <f t="shared" ca="1" si="49"/>
        <v>-592196.01999999932</v>
      </c>
      <c r="AO26" s="14">
        <f t="shared" ca="1" si="49"/>
        <v>-4.8799999981420115</v>
      </c>
      <c r="AP26" s="14">
        <f t="shared" ca="1" si="49"/>
        <v>-0.50000000069849193</v>
      </c>
      <c r="AQ26" s="14">
        <f t="shared" ca="1" si="49"/>
        <v>3.4924596548080444E-10</v>
      </c>
      <c r="AR26" s="14">
        <f t="shared" ca="1" si="49"/>
        <v>-0.52999999967869371</v>
      </c>
      <c r="AS26" s="14">
        <f t="shared" ca="1" si="49"/>
        <v>-0.59000000101514161</v>
      </c>
      <c r="AT26" s="14">
        <f t="shared" ca="1" si="49"/>
        <v>9.9999996600672603E-3</v>
      </c>
      <c r="AU26" s="14">
        <f t="shared" ca="1" si="49"/>
        <v>0.71999999997206032</v>
      </c>
    </row>
    <row r="27" spans="1:47" s="12" customFormat="1">
      <c r="A27" s="12">
        <f t="shared" si="43"/>
        <v>2</v>
      </c>
      <c r="B27"/>
      <c r="C27" t="str">
        <f>$F20</f>
        <v>Park Manor of Cypress Station</v>
      </c>
      <c r="D27" s="2" t="str">
        <f t="shared" si="44"/>
        <v>T_MGMT_FEE - Tenant Management Fee - Actual</v>
      </c>
      <c r="E27"/>
      <c r="F27" s="19" t="str">
        <f>_xll.EVDES(D27)</f>
        <v>Tenant Management Fee - Actual</v>
      </c>
      <c r="G27" s="61">
        <f ca="1">SUMIFS(OFFSET('BPC Data'!$F:$F,0,Summary!G$2),'BPC Data'!$E:$E,Summary!$D27,'BPC Data'!$B:$B,Summary!$C27)</f>
        <v>36937</v>
      </c>
      <c r="H27" s="65">
        <f ca="1">SUMIFS(OFFSET('BPC Data'!$F:$F,0,Summary!H$2),'BPC Data'!$E:$E,Summary!$D27,'BPC Data'!$B:$B,Summary!$C27)</f>
        <v>35565</v>
      </c>
      <c r="I27" s="61">
        <f ca="1">SUMIFS(OFFSET('BPC Data'!$F:$F,0,Summary!I$2),'BPC Data'!$E:$E,Summary!$D27,'BPC Data'!$B:$B,Summary!$C27)</f>
        <v>32564</v>
      </c>
      <c r="J27" s="65">
        <f ca="1">SUMIFS(OFFSET('BPC Data'!$F:$F,0,Summary!J$2),'BPC Data'!$E:$E,Summary!$D27,'BPC Data'!$B:$B,Summary!$C27)</f>
        <v>31741</v>
      </c>
      <c r="K27" s="61">
        <f ca="1">SUMIFS(OFFSET('BPC Data'!$F:$F,0,Summary!K$2),'BPC Data'!$E:$E,Summary!$D27,'BPC Data'!$B:$B,Summary!$C27)</f>
        <v>39849</v>
      </c>
      <c r="L27" s="65">
        <f ca="1">SUMIFS(OFFSET('BPC Data'!$F:$F,0,Summary!L$2),'BPC Data'!$E:$E,Summary!$D27,'BPC Data'!$B:$B,Summary!$C27)</f>
        <v>44084</v>
      </c>
      <c r="M27" s="61">
        <f ca="1">SUMIFS(OFFSET('BPC Data'!$F:$F,0,Summary!M$2),'BPC Data'!$E:$E,Summary!$D27,'BPC Data'!$B:$B,Summary!$C27)</f>
        <v>27788</v>
      </c>
      <c r="N27" s="65">
        <f ca="1">SUMIFS(OFFSET('BPC Data'!$F:$F,0,Summary!N$2),'BPC Data'!$E:$E,Summary!$D27,'BPC Data'!$B:$B,Summary!$C27)</f>
        <v>30737</v>
      </c>
      <c r="O27" s="61">
        <f ca="1">SUMIFS(OFFSET('BPC Data'!$F:$F,0,Summary!O$2),'BPC Data'!$E:$E,Summary!$D27,'BPC Data'!$B:$B,Summary!$C27)</f>
        <v>27929</v>
      </c>
      <c r="P27" s="65">
        <f ca="1">SUMIFS(OFFSET('BPC Data'!$F:$F,0,Summary!P$2),'BPC Data'!$E:$E,Summary!$D27,'BPC Data'!$B:$B,Summary!$C27)</f>
        <v>28912</v>
      </c>
      <c r="Q27" s="61">
        <f ca="1">SUMIFS(OFFSET('BPC Data'!$F:$F,0,Summary!Q$2),'BPC Data'!$E:$E,Summary!$D27,'BPC Data'!$B:$B,Summary!$C27)</f>
        <v>31018</v>
      </c>
      <c r="R27" s="65">
        <f ca="1">SUMIFS(OFFSET('BPC Data'!$F:$F,0,Summary!R$2),'BPC Data'!$E:$E,Summary!$D27,'BPC Data'!$B:$B,Summary!$C27)</f>
        <v>36637</v>
      </c>
      <c r="S27" s="23">
        <f t="shared" ca="1" si="45"/>
        <v>403761</v>
      </c>
      <c r="T27" s="74">
        <f ca="1">SUM(W27:AH27)</f>
        <v>-223294</v>
      </c>
      <c r="U27" s="54">
        <f ca="1">T27-S27</f>
        <v>-627055</v>
      </c>
      <c r="W27" s="4">
        <f ca="1">SUMIFS(INDIRECT("'"&amp;$W$19&amp;"'"&amp;"!$B$64:$B$5000"),INDIRECT("'"&amp;$W$19&amp;"'"&amp;"!$A$64:$A$5000"),$V$7)</f>
        <v>36937</v>
      </c>
      <c r="X27" s="4">
        <f ca="1">SUMIFS(INDIRECT("'"&amp;$W$19&amp;"'"&amp;"!$c$64:$c$5000"),INDIRECT("'"&amp;$W$19&amp;"'"&amp;"!$A$64:$A$5000"),$V$7)</f>
        <v>35565</v>
      </c>
      <c r="Y27" s="4">
        <f ca="1">SUMIFS(INDIRECT("'"&amp;$W$19&amp;"'"&amp;"!$d$64:$d$5000"),INDIRECT("'"&amp;$W$19&amp;"'"&amp;"!$A$64:$A$5000"),$V$7)</f>
        <v>32564</v>
      </c>
      <c r="Z27" s="4">
        <f ca="1">SUMIFS(INDIRECT("'"&amp;$W$19&amp;"'"&amp;"!$e$64:$e$5000"),INDIRECT("'"&amp;$W$19&amp;"'"&amp;"!$A$64:$A$5000"),$V$7)</f>
        <v>31741</v>
      </c>
      <c r="AA27" s="4">
        <f ca="1">SUMIFS(INDIRECT("'"&amp;$W$19&amp;"'"&amp;"!$f$64:$f$5000"),INDIRECT("'"&amp;$W$19&amp;"'"&amp;"!$A$64:$A$5000"),$V$7)</f>
        <v>-587206</v>
      </c>
      <c r="AB27" s="4">
        <f ca="1">SUMIFS(INDIRECT("'"&amp;$W$19&amp;"'"&amp;"!$g$64:$g$5000"),INDIRECT("'"&amp;$W$19&amp;"'"&amp;"!$A$64:$A$5000"),$V$7)</f>
        <v>44084</v>
      </c>
      <c r="AC27" s="4">
        <f ca="1">SUMIFS(INDIRECT("'"&amp;$W$19&amp;"'"&amp;"!$h$64:$h$5000"),INDIRECT("'"&amp;$W$19&amp;"'"&amp;"!$A$64:$A$5000"),$V$7)</f>
        <v>27788</v>
      </c>
      <c r="AD27" s="4">
        <f ca="1">SUMIFS(INDIRECT("'"&amp;$W$19&amp;"'"&amp;"!$i$64:$i$5000"),INDIRECT("'"&amp;$W$19&amp;"'"&amp;"!$A$64:$A$5000"),$V$7)</f>
        <v>30737</v>
      </c>
      <c r="AE27" s="4">
        <f ca="1">SUMIFS(INDIRECT("'"&amp;$W$19&amp;"'"&amp;"!$j$64:$j$5000"),INDIRECT("'"&amp;$W$19&amp;"'"&amp;"!$A$64:$A$5000"),$V$7)</f>
        <v>27929</v>
      </c>
      <c r="AF27" s="4">
        <f ca="1">SUMIFS(INDIRECT("'"&amp;$W$19&amp;"'"&amp;"!$k$64:$k$5000"),INDIRECT("'"&amp;$W$19&amp;"'"&amp;"!$A$64:$A$5000"),$V$7)</f>
        <v>28912</v>
      </c>
      <c r="AG27" s="4">
        <f ca="1">SUMIFS(INDIRECT("'"&amp;$W$19&amp;"'"&amp;"!$l$64:$l$5000"),INDIRECT("'"&amp;$W$19&amp;"'"&amp;"!$A$64:$A$5000"),$V$7)</f>
        <v>31018</v>
      </c>
      <c r="AH27" s="4">
        <f ca="1">SUMIFS(INDIRECT("'"&amp;$W$19&amp;"'"&amp;"!$m$64:$m$5000"),INDIRECT("'"&amp;$W$19&amp;"'"&amp;"!$A$64:$A$5000"),$V$7)</f>
        <v>36637</v>
      </c>
      <c r="AJ27" s="14">
        <f t="shared" ca="1" si="49"/>
        <v>0</v>
      </c>
      <c r="AK27" s="14">
        <f t="shared" ca="1" si="49"/>
        <v>0</v>
      </c>
      <c r="AL27" s="14">
        <f t="shared" ca="1" si="49"/>
        <v>0</v>
      </c>
      <c r="AM27" s="14">
        <f t="shared" ca="1" si="49"/>
        <v>0</v>
      </c>
      <c r="AN27" s="14">
        <f t="shared" ca="1" si="49"/>
        <v>-627055</v>
      </c>
      <c r="AO27" s="14">
        <f t="shared" ca="1" si="49"/>
        <v>0</v>
      </c>
      <c r="AP27" s="14">
        <f t="shared" ca="1" si="49"/>
        <v>0</v>
      </c>
      <c r="AQ27" s="14">
        <f t="shared" ca="1" si="49"/>
        <v>0</v>
      </c>
      <c r="AR27" s="14">
        <f t="shared" ca="1" si="49"/>
        <v>0</v>
      </c>
      <c r="AS27" s="14">
        <f t="shared" ca="1" si="49"/>
        <v>0</v>
      </c>
      <c r="AT27" s="14">
        <f t="shared" ca="1" si="49"/>
        <v>0</v>
      </c>
      <c r="AU27" s="14">
        <f t="shared" ca="1" si="49"/>
        <v>0</v>
      </c>
    </row>
    <row r="28" spans="1:47" s="12" customFormat="1">
      <c r="A28" s="12">
        <f t="shared" si="43"/>
        <v>2</v>
      </c>
      <c r="B28"/>
      <c r="C28" t="str">
        <f>$F20</f>
        <v>Park Manor of Cypress Station</v>
      </c>
      <c r="D28" s="1" t="str">
        <f t="shared" si="44"/>
        <v>T_EBITDAR - EBITDAR</v>
      </c>
      <c r="E28"/>
      <c r="F28" s="19" t="str">
        <f>_xll.EVDES(D28)</f>
        <v>EBITDAR</v>
      </c>
      <c r="G28" s="61">
        <f ca="1">SUMIFS(OFFSET('BPC Data'!$F:$F,0,Summary!G$2),'BPC Data'!$E:$E,Summary!$D28,'BPC Data'!$B:$B,Summary!$C28)</f>
        <v>190280</v>
      </c>
      <c r="H28" s="65">
        <f ca="1">SUMIFS(OFFSET('BPC Data'!$F:$F,0,Summary!H$2),'BPC Data'!$E:$E,Summary!$D28,'BPC Data'!$B:$B,Summary!$C28)</f>
        <v>144655</v>
      </c>
      <c r="I28" s="61">
        <f ca="1">SUMIFS(OFFSET('BPC Data'!$F:$F,0,Summary!I$2),'BPC Data'!$E:$E,Summary!$D28,'BPC Data'!$B:$B,Summary!$C28)</f>
        <v>103736</v>
      </c>
      <c r="J28" s="65">
        <f ca="1">SUMIFS(OFFSET('BPC Data'!$F:$F,0,Summary!J$2),'BPC Data'!$E:$E,Summary!$D28,'BPC Data'!$B:$B,Summary!$C28)</f>
        <v>91432</v>
      </c>
      <c r="K28" s="61">
        <f ca="1">SUMIFS(OFFSET('BPC Data'!$F:$F,0,Summary!K$2),'BPC Data'!$E:$E,Summary!$D28,'BPC Data'!$B:$B,Summary!$C28)</f>
        <v>233969</v>
      </c>
      <c r="L28" s="65">
        <f ca="1">SUMIFS(OFFSET('BPC Data'!$F:$F,0,Summary!L$2),'BPC Data'!$E:$E,Summary!$D28,'BPC Data'!$B:$B,Summary!$C28)</f>
        <v>249427</v>
      </c>
      <c r="M28" s="61">
        <f ca="1">SUMIFS(OFFSET('BPC Data'!$F:$F,0,Summary!M$2),'BPC Data'!$E:$E,Summary!$D28,'BPC Data'!$B:$B,Summary!$C28)</f>
        <v>39186</v>
      </c>
      <c r="N28" s="65">
        <f ca="1">SUMIFS(OFFSET('BPC Data'!$F:$F,0,Summary!N$2),'BPC Data'!$E:$E,Summary!$D28,'BPC Data'!$B:$B,Summary!$C28)</f>
        <v>66691</v>
      </c>
      <c r="O28" s="61">
        <f ca="1">SUMIFS(OFFSET('BPC Data'!$F:$F,0,Summary!O$2),'BPC Data'!$E:$E,Summary!$D28,'BPC Data'!$B:$B,Summary!$C28)</f>
        <v>4184</v>
      </c>
      <c r="P28" s="65">
        <f ca="1">SUMIFS(OFFSET('BPC Data'!$F:$F,0,Summary!P$2),'BPC Data'!$E:$E,Summary!$D28,'BPC Data'!$B:$B,Summary!$C28)</f>
        <v>26253</v>
      </c>
      <c r="Q28" s="61">
        <f ca="1">SUMIFS(OFFSET('BPC Data'!$F:$F,0,Summary!Q$2),'BPC Data'!$E:$E,Summary!$D28,'BPC Data'!$B:$B,Summary!$C28)</f>
        <v>118782</v>
      </c>
      <c r="R28" s="65">
        <f ca="1">SUMIFS(OFFSET('BPC Data'!$F:$F,0,Summary!R$2),'BPC Data'!$E:$E,Summary!$D28,'BPC Data'!$B:$B,Summary!$C28)</f>
        <v>148378</v>
      </c>
      <c r="S28" s="23">
        <f t="shared" ca="1" si="45"/>
        <v>1416973</v>
      </c>
      <c r="T28" s="74">
        <f ca="1">SUM(W28:AH28)</f>
        <v>1451825.8300000017</v>
      </c>
      <c r="U28" s="54">
        <f ca="1">T28-S28</f>
        <v>34852.830000001704</v>
      </c>
      <c r="W28" s="50">
        <f t="shared" ref="W28:AH28" ca="1" si="50">W26-W27</f>
        <v>190280.2400000015</v>
      </c>
      <c r="X28" s="50">
        <f t="shared" ref="X28:AB28" ca="1" si="51">X26-X27</f>
        <v>144655.52000000014</v>
      </c>
      <c r="Y28" s="50">
        <f t="shared" ca="1" si="51"/>
        <v>103736.18999999994</v>
      </c>
      <c r="Z28" s="50">
        <f t="shared" ca="1" si="51"/>
        <v>91430.669999999111</v>
      </c>
      <c r="AA28" s="50">
        <f t="shared" ca="1" si="51"/>
        <v>268827.98000000074</v>
      </c>
      <c r="AB28" s="50">
        <f t="shared" ca="1" si="51"/>
        <v>249422.12000000186</v>
      </c>
      <c r="AC28" s="50">
        <f t="shared" ca="1" si="50"/>
        <v>39185.499999999302</v>
      </c>
      <c r="AD28" s="50">
        <f t="shared" ca="1" si="50"/>
        <v>66691.000000000349</v>
      </c>
      <c r="AE28" s="50">
        <f t="shared" ca="1" si="50"/>
        <v>4183.4700000003213</v>
      </c>
      <c r="AF28" s="50">
        <f t="shared" ca="1" si="50"/>
        <v>26252.409999998985</v>
      </c>
      <c r="AG28" s="50">
        <f t="shared" ca="1" si="50"/>
        <v>118782.00999999966</v>
      </c>
      <c r="AH28" s="50">
        <f t="shared" ca="1" si="50"/>
        <v>148378.71999999997</v>
      </c>
      <c r="AJ28" s="14">
        <f t="shared" ca="1" si="49"/>
        <v>0.24000000150408596</v>
      </c>
      <c r="AK28" s="14">
        <f t="shared" ca="1" si="49"/>
        <v>0.52000000013504177</v>
      </c>
      <c r="AL28" s="14">
        <f t="shared" ca="1" si="49"/>
        <v>0.18999999994412065</v>
      </c>
      <c r="AM28" s="14">
        <f t="shared" ca="1" si="49"/>
        <v>-1.3300000008894131</v>
      </c>
      <c r="AN28" s="14">
        <f t="shared" ca="1" si="49"/>
        <v>34858.980000000738</v>
      </c>
      <c r="AO28" s="14">
        <f t="shared" ca="1" si="49"/>
        <v>-4.8799999981420115</v>
      </c>
      <c r="AP28" s="14">
        <f t="shared" ca="1" si="49"/>
        <v>-0.50000000069849193</v>
      </c>
      <c r="AQ28" s="14">
        <f t="shared" ca="1" si="49"/>
        <v>3.4924596548080444E-10</v>
      </c>
      <c r="AR28" s="14">
        <f t="shared" ca="1" si="49"/>
        <v>-0.52999999967869371</v>
      </c>
      <c r="AS28" s="14">
        <f t="shared" ca="1" si="49"/>
        <v>-0.59000000101514161</v>
      </c>
      <c r="AT28" s="14">
        <f t="shared" ca="1" si="49"/>
        <v>9.9999996600672603E-3</v>
      </c>
      <c r="AU28" s="14">
        <f t="shared" ca="1" si="49"/>
        <v>0.71999999997206032</v>
      </c>
    </row>
    <row r="29" spans="1:47" s="12" customFormat="1">
      <c r="A29" s="12">
        <f t="shared" si="43"/>
        <v>2</v>
      </c>
      <c r="B29"/>
      <c r="C29" t="str">
        <f>$F20</f>
        <v>Park Manor of Cypress Station</v>
      </c>
      <c r="D29" s="1" t="str">
        <f t="shared" si="44"/>
        <v>T_RENT_EXP - Tenant Rent Expense</v>
      </c>
      <c r="E29"/>
      <c r="F29" s="19" t="str">
        <f>_xll.EVDES(D29)</f>
        <v>Tenant Rent Expense</v>
      </c>
      <c r="G29" s="61">
        <f ca="1">SUMIFS(OFFSET('BPC Data'!$F:$F,0,Summary!G$2),'BPC Data'!$E:$E,Summary!$D29,'BPC Data'!$B:$B,Summary!$C29)</f>
        <v>114129</v>
      </c>
      <c r="H29" s="65">
        <f ca="1">SUMIFS(OFFSET('BPC Data'!$F:$F,0,Summary!H$2),'BPC Data'!$E:$E,Summary!$D29,'BPC Data'!$B:$B,Summary!$C29)</f>
        <v>117023</v>
      </c>
      <c r="I29" s="61">
        <f ca="1">SUMIFS(OFFSET('BPC Data'!$F:$F,0,Summary!I$2),'BPC Data'!$E:$E,Summary!$D29,'BPC Data'!$B:$B,Summary!$C29)</f>
        <v>117023</v>
      </c>
      <c r="J29" s="65">
        <f ca="1">SUMIFS(OFFSET('BPC Data'!$F:$F,0,Summary!J$2),'BPC Data'!$E:$E,Summary!$D29,'BPC Data'!$B:$B,Summary!$C29)</f>
        <v>117023</v>
      </c>
      <c r="K29" s="61">
        <f ca="1">SUMIFS(OFFSET('BPC Data'!$F:$F,0,Summary!K$2),'BPC Data'!$E:$E,Summary!$D29,'BPC Data'!$B:$B,Summary!$C29)</f>
        <v>117023</v>
      </c>
      <c r="L29" s="65">
        <f ca="1">SUMIFS(OFFSET('BPC Data'!$F:$F,0,Summary!L$2),'BPC Data'!$E:$E,Summary!$D29,'BPC Data'!$B:$B,Summary!$C29)</f>
        <v>117023</v>
      </c>
      <c r="M29" s="61">
        <f ca="1">SUMIFS(OFFSET('BPC Data'!$F:$F,0,Summary!M$2),'BPC Data'!$E:$E,Summary!$D29,'BPC Data'!$B:$B,Summary!$C29)</f>
        <v>117023</v>
      </c>
      <c r="N29" s="65">
        <f ca="1">SUMIFS(OFFSET('BPC Data'!$F:$F,0,Summary!N$2),'BPC Data'!$E:$E,Summary!$D29,'BPC Data'!$B:$B,Summary!$C29)</f>
        <v>117023</v>
      </c>
      <c r="O29" s="61">
        <f ca="1">SUMIFS(OFFSET('BPC Data'!$F:$F,0,Summary!O$2),'BPC Data'!$E:$E,Summary!$D29,'BPC Data'!$B:$B,Summary!$C29)</f>
        <v>117023</v>
      </c>
      <c r="P29" s="65">
        <f ca="1">SUMIFS(OFFSET('BPC Data'!$F:$F,0,Summary!P$2),'BPC Data'!$E:$E,Summary!$D29,'BPC Data'!$B:$B,Summary!$C29)</f>
        <v>117023</v>
      </c>
      <c r="Q29" s="61">
        <f ca="1">SUMIFS(OFFSET('BPC Data'!$F:$F,0,Summary!Q$2),'BPC Data'!$E:$E,Summary!$D29,'BPC Data'!$B:$B,Summary!$C29)</f>
        <v>117023</v>
      </c>
      <c r="R29" s="65">
        <f ca="1">SUMIFS(OFFSET('BPC Data'!$F:$F,0,Summary!R$2),'BPC Data'!$E:$E,Summary!$D29,'BPC Data'!$B:$B,Summary!$C29)</f>
        <v>128973</v>
      </c>
      <c r="S29" s="23">
        <f t="shared" ca="1" si="45"/>
        <v>1413332</v>
      </c>
      <c r="T29" s="74">
        <f ca="1">SUM(W29:AH29)</f>
        <v>1413328.24</v>
      </c>
      <c r="U29" s="54">
        <f ca="1">T29-S29</f>
        <v>-3.7600000000093132</v>
      </c>
      <c r="W29" s="4">
        <f ca="1">SUMIFS(INDIRECT("'"&amp;$W$19&amp;"'"&amp;"!$B$64:$B$5000"),INDIRECT("'"&amp;$W$19&amp;"'"&amp;"!$A$64:$A$5000"),$W$3)+SUMIFS(INDIRECT("'"&amp;$W$19&amp;"'"&amp;"!$B$64:$B$5000"),INDIRECT("'"&amp;$W$19&amp;"'"&amp;"!$A$64:$A$5000"),$W$4)</f>
        <v>114129</v>
      </c>
      <c r="X29" s="4">
        <f ca="1">SUMIFS(INDIRECT("'"&amp;$W$19&amp;"'"&amp;"!$c$64:$c$5000"),INDIRECT("'"&amp;$W$19&amp;"'"&amp;"!$A$64:$A$5000"),$W$3)+SUMIFS(INDIRECT("'"&amp;$W$19&amp;"'"&amp;"!$c$64:$c$5000"),INDIRECT("'"&amp;$W$19&amp;"'"&amp;"!$A$64:$A$5000"),$W$4)</f>
        <v>117022.57999999999</v>
      </c>
      <c r="Y29" s="4">
        <f ca="1">SUMIFS(INDIRECT("'"&amp;$W$19&amp;"'"&amp;"!$d$64:$d$5000"),INDIRECT("'"&amp;$W$19&amp;"'"&amp;"!$A$64:$A$5000"),$W$3)+SUMIFS(INDIRECT("'"&amp;$W$19&amp;"'"&amp;"!$d$64:$d$5000"),INDIRECT("'"&amp;$W$19&amp;"'"&amp;"!$A$64:$A$5000"),$W$4)</f>
        <v>117022.57999999999</v>
      </c>
      <c r="Z29" s="4">
        <f ca="1">SUMIFS(INDIRECT("'"&amp;$W$19&amp;"'"&amp;"!$e$64:$e$5000"),INDIRECT("'"&amp;$W$19&amp;"'"&amp;"!$A$64:$A$5000"),$W$3)+SUMIFS(INDIRECT("'"&amp;$W$19&amp;"'"&amp;"!$e$64:$e$5000"),INDIRECT("'"&amp;$W$19&amp;"'"&amp;"!$A$64:$A$5000"),$W$4)</f>
        <v>117022.57999999999</v>
      </c>
      <c r="AA29" s="4">
        <f ca="1">SUMIFS(INDIRECT("'"&amp;$W$19&amp;"'"&amp;"!$f$64:$f$5000"),INDIRECT("'"&amp;$W$19&amp;"'"&amp;"!$A$64:$A$5000"),$W$3)+SUMIFS(INDIRECT("'"&amp;$W$19&amp;"'"&amp;"!$f$64:$f$5000"),INDIRECT("'"&amp;$W$19&amp;"'"&amp;"!$A$64:$A$5000"),$W$4)</f>
        <v>117022.57999999999</v>
      </c>
      <c r="AB29" s="4">
        <f ca="1">SUMIFS(INDIRECT("'"&amp;$W$19&amp;"'"&amp;"!$g$64:$g$5000"),INDIRECT("'"&amp;$W$19&amp;"'"&amp;"!$A$64:$A$5000"),$W$3)+SUMIFS(INDIRECT("'"&amp;$W$19&amp;"'"&amp;"!$g$64:$g$5000"),INDIRECT("'"&amp;$W$19&amp;"'"&amp;"!$A$64:$A$5000"),$W$4)</f>
        <v>117022.57999999999</v>
      </c>
      <c r="AC29" s="4">
        <f ca="1">SUMIFS(INDIRECT("'"&amp;$W$19&amp;"'"&amp;"!$h$64:$h$5000"),INDIRECT("'"&amp;$W$19&amp;"'"&amp;"!$A$64:$A$5000"),$W$3)+SUMIFS(INDIRECT("'"&amp;$W$19&amp;"'"&amp;"!$h$64:$h$5000"),INDIRECT("'"&amp;$W$19&amp;"'"&amp;"!$A$64:$A$5000"),$W$4)</f>
        <v>117022.57999999999</v>
      </c>
      <c r="AD29" s="4">
        <f ca="1">SUMIFS(INDIRECT("'"&amp;$W$19&amp;"'"&amp;"!$i$64:$i$5000"),INDIRECT("'"&amp;$W$19&amp;"'"&amp;"!$A$64:$A$5000"),$W$3)+SUMIFS(INDIRECT("'"&amp;$W$19&amp;"'"&amp;"!$i$64:$i$5000"),INDIRECT("'"&amp;$W$19&amp;"'"&amp;"!$A$64:$A$5000"),$W$4)</f>
        <v>117022.57999999999</v>
      </c>
      <c r="AE29" s="4">
        <f ca="1">SUMIFS(INDIRECT("'"&amp;$W$19&amp;"'"&amp;"!$j$64:$j$5000"),INDIRECT("'"&amp;$W$19&amp;"'"&amp;"!$A$64:$A$5000"),$W$3)+SUMIFS(INDIRECT("'"&amp;$W$19&amp;"'"&amp;"!$j$64:$j$5000"),INDIRECT("'"&amp;$W$19&amp;"'"&amp;"!$A$64:$A$5000"),$W$4)</f>
        <v>117022.57999999999</v>
      </c>
      <c r="AF29" s="4">
        <f ca="1">SUMIFS(INDIRECT("'"&amp;$W$19&amp;"'"&amp;"!$k$64:$k$5000"),INDIRECT("'"&amp;$W$19&amp;"'"&amp;"!$A$64:$A$5000"),$W$3)+SUMIFS(INDIRECT("'"&amp;$W$19&amp;"'"&amp;"!$k$64:$k$5000"),INDIRECT("'"&amp;$W$19&amp;"'"&amp;"!$A$64:$A$5000"),$W$4)</f>
        <v>117022.57999999999</v>
      </c>
      <c r="AG29" s="4">
        <f ca="1">SUMIFS(INDIRECT("'"&amp;$W$19&amp;"'"&amp;"!$l$64:$l$5000"),INDIRECT("'"&amp;$W$19&amp;"'"&amp;"!$A$64:$A$5000"),$W$3)+SUMIFS(INDIRECT("'"&amp;$W$19&amp;"'"&amp;"!$l$64:$l$5000"),INDIRECT("'"&amp;$W$19&amp;"'"&amp;"!$A$64:$A$5000"),$W$4)</f>
        <v>117022.57999999999</v>
      </c>
      <c r="AH29" s="4">
        <f ca="1">SUMIFS(INDIRECT("'"&amp;$W$19&amp;"'"&amp;"!$m$64:$m$5000"),INDIRECT("'"&amp;$W$19&amp;"'"&amp;"!$A$64:$A$5000"),$W$3)+SUMIFS(INDIRECT("'"&amp;$W$19&amp;"'"&amp;"!$m$64:$m$5000"),INDIRECT("'"&amp;$W$19&amp;"'"&amp;"!$A$64:$A$5000"),$W$4)</f>
        <v>128973.44</v>
      </c>
      <c r="AJ29" s="14">
        <f t="shared" ca="1" si="49"/>
        <v>0</v>
      </c>
      <c r="AK29" s="14">
        <f t="shared" ca="1" si="49"/>
        <v>-0.42000000001280569</v>
      </c>
      <c r="AL29" s="14">
        <f t="shared" ca="1" si="49"/>
        <v>-0.42000000001280569</v>
      </c>
      <c r="AM29" s="14">
        <f t="shared" ca="1" si="49"/>
        <v>-0.42000000001280569</v>
      </c>
      <c r="AN29" s="14">
        <f t="shared" ca="1" si="49"/>
        <v>-0.42000000001280569</v>
      </c>
      <c r="AO29" s="14">
        <f t="shared" ca="1" si="49"/>
        <v>-0.42000000001280569</v>
      </c>
      <c r="AP29" s="14">
        <f t="shared" ca="1" si="49"/>
        <v>-0.42000000001280569</v>
      </c>
      <c r="AQ29" s="14">
        <f t="shared" ca="1" si="49"/>
        <v>-0.42000000001280569</v>
      </c>
      <c r="AR29" s="14">
        <f t="shared" ca="1" si="49"/>
        <v>-0.42000000001280569</v>
      </c>
      <c r="AS29" s="14">
        <f t="shared" ca="1" si="49"/>
        <v>-0.42000000001280569</v>
      </c>
      <c r="AT29" s="14">
        <f t="shared" ca="1" si="49"/>
        <v>-0.42000000001280569</v>
      </c>
      <c r="AU29" s="14">
        <f t="shared" ca="1" si="49"/>
        <v>0.44000000000232831</v>
      </c>
    </row>
    <row r="30" spans="1:47" s="12" customFormat="1">
      <c r="A30" s="12">
        <f t="shared" si="43"/>
        <v>2</v>
      </c>
      <c r="B30"/>
      <c r="C30"/>
      <c r="D30" s="1" t="str">
        <f t="shared" si="44"/>
        <v>x</v>
      </c>
      <c r="E30"/>
      <c r="F30" s="19" t="s">
        <v>0</v>
      </c>
      <c r="G30" s="61">
        <f ca="1">SUMIFS(OFFSET('BPC Data'!$F:$F,0,Summary!G$2),'BPC Data'!$E:$E,Summary!$D30,'BPC Data'!$B:$B,Summary!$C30)</f>
        <v>0</v>
      </c>
      <c r="H30" s="65">
        <f ca="1">SUMIFS(OFFSET('BPC Data'!$F:$F,0,Summary!H$2),'BPC Data'!$E:$E,Summary!$D30,'BPC Data'!$B:$B,Summary!$C30)</f>
        <v>0</v>
      </c>
      <c r="I30" s="61">
        <f ca="1">SUMIFS(OFFSET('BPC Data'!$F:$F,0,Summary!I$2),'BPC Data'!$E:$E,Summary!$D30,'BPC Data'!$B:$B,Summary!$C30)</f>
        <v>0</v>
      </c>
      <c r="J30" s="65">
        <f ca="1">SUMIFS(OFFSET('BPC Data'!$F:$F,0,Summary!J$2),'BPC Data'!$E:$E,Summary!$D30,'BPC Data'!$B:$B,Summary!$C30)</f>
        <v>0</v>
      </c>
      <c r="K30" s="61">
        <f ca="1">SUMIFS(OFFSET('BPC Data'!$F:$F,0,Summary!K$2),'BPC Data'!$E:$E,Summary!$D30,'BPC Data'!$B:$B,Summary!$C30)</f>
        <v>0</v>
      </c>
      <c r="L30" s="65">
        <f ca="1">SUMIFS(OFFSET('BPC Data'!$F:$F,0,Summary!L$2),'BPC Data'!$E:$E,Summary!$D30,'BPC Data'!$B:$B,Summary!$C30)</f>
        <v>0</v>
      </c>
      <c r="M30" s="61">
        <f ca="1">SUMIFS(OFFSET('BPC Data'!$F:$F,0,Summary!M$2),'BPC Data'!$E:$E,Summary!$D30,'BPC Data'!$B:$B,Summary!$C30)</f>
        <v>0</v>
      </c>
      <c r="N30" s="65">
        <f ca="1">SUMIFS(OFFSET('BPC Data'!$F:$F,0,Summary!N$2),'BPC Data'!$E:$E,Summary!$D30,'BPC Data'!$B:$B,Summary!$C30)</f>
        <v>0</v>
      </c>
      <c r="O30" s="61">
        <f ca="1">SUMIFS(OFFSET('BPC Data'!$F:$F,0,Summary!O$2),'BPC Data'!$E:$E,Summary!$D30,'BPC Data'!$B:$B,Summary!$C30)</f>
        <v>0</v>
      </c>
      <c r="P30" s="65">
        <f ca="1">SUMIFS(OFFSET('BPC Data'!$F:$F,0,Summary!P$2),'BPC Data'!$E:$E,Summary!$D30,'BPC Data'!$B:$B,Summary!$C30)</f>
        <v>0</v>
      </c>
      <c r="Q30" s="61">
        <f ca="1">SUMIFS(OFFSET('BPC Data'!$F:$F,0,Summary!Q$2),'BPC Data'!$E:$E,Summary!$D30,'BPC Data'!$B:$B,Summary!$C30)</f>
        <v>0</v>
      </c>
      <c r="R30" s="65">
        <f ca="1">SUMIFS(OFFSET('BPC Data'!$F:$F,0,Summary!R$2),'BPC Data'!$E:$E,Summary!$D30,'BPC Data'!$B:$B,Summary!$C30)</f>
        <v>0</v>
      </c>
      <c r="S30" s="23"/>
      <c r="T30" s="76"/>
      <c r="W30" t="s">
        <v>297</v>
      </c>
      <c r="X30"/>
      <c r="Y30"/>
      <c r="Z30"/>
      <c r="AA30"/>
      <c r="AB30"/>
      <c r="AC30"/>
      <c r="AD30"/>
      <c r="AE30"/>
      <c r="AF30"/>
      <c r="AG30"/>
      <c r="AH30"/>
      <c r="AI30"/>
      <c r="AJ30" s="14"/>
      <c r="AK30" s="49"/>
      <c r="AL30" s="49"/>
      <c r="AM30" s="49"/>
      <c r="AN30" s="49"/>
      <c r="AO30" s="49"/>
      <c r="AP30" s="49"/>
      <c r="AQ30" s="49"/>
      <c r="AR30" s="49"/>
      <c r="AS30" s="49"/>
      <c r="AT30" s="49"/>
      <c r="AU30" s="49"/>
    </row>
    <row r="31" spans="1:47" s="12" customFormat="1">
      <c r="A31" s="12">
        <f>IF(AND(D31&lt;&gt;"",C31=""),A30+1,A30)</f>
        <v>3</v>
      </c>
      <c r="B31" s="5"/>
      <c r="C31" s="5"/>
      <c r="D31" s="5" t="str">
        <f t="shared" si="44"/>
        <v>x</v>
      </c>
      <c r="E31" s="5"/>
      <c r="F31" s="18" t="str">
        <f>INDEX(PropertyList!$D:$D,MATCH(Summary!$A31,PropertyList!$C:$C,0))</f>
        <v>Park Manor of Humble</v>
      </c>
      <c r="G31" s="61">
        <f ca="1">SUMIFS(OFFSET('BPC Data'!$F:$F,0,Summary!G$2),'BPC Data'!$E:$E,Summary!$D31,'BPC Data'!$B:$B,Summary!$C31)</f>
        <v>0</v>
      </c>
      <c r="H31" s="65">
        <f ca="1">SUMIFS(OFFSET('BPC Data'!$F:$F,0,Summary!H$2),'BPC Data'!$E:$E,Summary!$D31,'BPC Data'!$B:$B,Summary!$C31)</f>
        <v>0</v>
      </c>
      <c r="I31" s="61">
        <f ca="1">SUMIFS(OFFSET('BPC Data'!$F:$F,0,Summary!I$2),'BPC Data'!$E:$E,Summary!$D31,'BPC Data'!$B:$B,Summary!$C31)</f>
        <v>0</v>
      </c>
      <c r="J31" s="65">
        <f ca="1">SUMIFS(OFFSET('BPC Data'!$F:$F,0,Summary!J$2),'BPC Data'!$E:$E,Summary!$D31,'BPC Data'!$B:$B,Summary!$C31)</f>
        <v>0</v>
      </c>
      <c r="K31" s="61">
        <f ca="1">SUMIFS(OFFSET('BPC Data'!$F:$F,0,Summary!K$2),'BPC Data'!$E:$E,Summary!$D31,'BPC Data'!$B:$B,Summary!$C31)</f>
        <v>0</v>
      </c>
      <c r="L31" s="65">
        <f ca="1">SUMIFS(OFFSET('BPC Data'!$F:$F,0,Summary!L$2),'BPC Data'!$E:$E,Summary!$D31,'BPC Data'!$B:$B,Summary!$C31)</f>
        <v>0</v>
      </c>
      <c r="M31" s="61">
        <f ca="1">SUMIFS(OFFSET('BPC Data'!$F:$F,0,Summary!M$2),'BPC Data'!$E:$E,Summary!$D31,'BPC Data'!$B:$B,Summary!$C31)</f>
        <v>0</v>
      </c>
      <c r="N31" s="65">
        <f ca="1">SUMIFS(OFFSET('BPC Data'!$F:$F,0,Summary!N$2),'BPC Data'!$E:$E,Summary!$D31,'BPC Data'!$B:$B,Summary!$C31)</f>
        <v>0</v>
      </c>
      <c r="O31" s="61">
        <f ca="1">SUMIFS(OFFSET('BPC Data'!$F:$F,0,Summary!O$2),'BPC Data'!$E:$E,Summary!$D31,'BPC Data'!$B:$B,Summary!$C31)</f>
        <v>0</v>
      </c>
      <c r="P31" s="65">
        <f ca="1">SUMIFS(OFFSET('BPC Data'!$F:$F,0,Summary!P$2),'BPC Data'!$E:$E,Summary!$D31,'BPC Data'!$B:$B,Summary!$C31)</f>
        <v>0</v>
      </c>
      <c r="Q31" s="61">
        <f ca="1">SUMIFS(OFFSET('BPC Data'!$F:$F,0,Summary!Q$2),'BPC Data'!$E:$E,Summary!$D31,'BPC Data'!$B:$B,Summary!$C31)</f>
        <v>0</v>
      </c>
      <c r="R31" s="65">
        <f ca="1">SUMIFS(OFFSET('BPC Data'!$F:$F,0,Summary!R$2),'BPC Data'!$E:$E,Summary!$D31,'BPC Data'!$B:$B,Summary!$C31)</f>
        <v>0</v>
      </c>
      <c r="S31" s="23"/>
      <c r="T31" s="76"/>
      <c r="W31" s="5" t="str">
        <f t="shared" ref="W31:AH31" si="52">+G$8</f>
        <v>Aug 2021</v>
      </c>
      <c r="X31" s="5" t="str">
        <f t="shared" si="52"/>
        <v>Sep 2021</v>
      </c>
      <c r="Y31" s="5" t="str">
        <f t="shared" si="52"/>
        <v>Oct 2021</v>
      </c>
      <c r="Z31" s="5" t="str">
        <f t="shared" si="52"/>
        <v>Nov 2021</v>
      </c>
      <c r="AA31" s="5" t="str">
        <f t="shared" si="52"/>
        <v>Dec 2021</v>
      </c>
      <c r="AB31" s="5" t="str">
        <f t="shared" si="52"/>
        <v>Jan 2022</v>
      </c>
      <c r="AC31" s="5" t="str">
        <f t="shared" si="52"/>
        <v>Feb 2022</v>
      </c>
      <c r="AD31" s="5" t="str">
        <f t="shared" si="52"/>
        <v>Mar 2022</v>
      </c>
      <c r="AE31" s="5" t="str">
        <f t="shared" si="52"/>
        <v>Apr 2022</v>
      </c>
      <c r="AF31" s="5" t="str">
        <f t="shared" si="52"/>
        <v>May 2022</v>
      </c>
      <c r="AG31" s="5" t="str">
        <f t="shared" si="52"/>
        <v>Jun 2022</v>
      </c>
      <c r="AH31" s="5" t="str">
        <f t="shared" si="52"/>
        <v>Jul 2022</v>
      </c>
      <c r="AI31" s="5"/>
      <c r="AJ31" s="174" t="str">
        <f>W$9</f>
        <v>Aug 2021</v>
      </c>
      <c r="AK31" s="174" t="str">
        <f t="shared" ref="AK31" si="53">X$9</f>
        <v>Sep 2021</v>
      </c>
      <c r="AL31" s="174" t="str">
        <f t="shared" ref="AL31" si="54">Y$9</f>
        <v>Oct 2021</v>
      </c>
      <c r="AM31" s="174" t="str">
        <f t="shared" ref="AM31" si="55">Z$9</f>
        <v>Nov 2021</v>
      </c>
      <c r="AN31" s="174" t="str">
        <f t="shared" ref="AN31:AO31" si="56">AA$9</f>
        <v>Dec 2021</v>
      </c>
      <c r="AO31" s="174" t="str">
        <f t="shared" si="56"/>
        <v>Jan 2022</v>
      </c>
      <c r="AP31" s="174" t="str">
        <f t="shared" ref="AP31" si="57">AC$9</f>
        <v>Feb 2022</v>
      </c>
      <c r="AQ31" s="174" t="str">
        <f t="shared" ref="AQ31" si="58">AD$9</f>
        <v>Mar 2022</v>
      </c>
      <c r="AR31" s="174" t="str">
        <f t="shared" ref="AR31" si="59">AE$9</f>
        <v>Apr 2022</v>
      </c>
      <c r="AS31" s="174" t="str">
        <f t="shared" ref="AS31" si="60">AF$9</f>
        <v>May 2022</v>
      </c>
      <c r="AT31" s="174" t="str">
        <f t="shared" ref="AT31" si="61">AG$9</f>
        <v>Jun 2022</v>
      </c>
      <c r="AU31" s="174" t="str">
        <f t="shared" ref="AU31" si="62">AH$9</f>
        <v>Jul 2022</v>
      </c>
    </row>
    <row r="32" spans="1:47" s="12" customFormat="1">
      <c r="A32" s="12">
        <f>IF(AND(F32&lt;&gt;"",D32=""),A31+1,A31)</f>
        <v>3</v>
      </c>
      <c r="C32" t="str">
        <f>$F31</f>
        <v>Park Manor of Humble</v>
      </c>
      <c r="D32" s="3" t="str">
        <f t="shared" si="44"/>
        <v>PAY_PAT_DAYS - Total Payor Patient Days</v>
      </c>
      <c r="F32" s="19" t="str">
        <f>_xll.EVDES(D32)</f>
        <v>Total Payor Patient Days</v>
      </c>
      <c r="G32" s="61">
        <f ca="1">SUMIFS(OFFSET('BPC Data'!$F:$F,0,Summary!G$2),'BPC Data'!$E:$E,Summary!$D32,'BPC Data'!$B:$B,Summary!$C32)</f>
        <v>2182</v>
      </c>
      <c r="H32" s="65">
        <f ca="1">SUMIFS(OFFSET('BPC Data'!$F:$F,0,Summary!H$2),'BPC Data'!$E:$E,Summary!$D32,'BPC Data'!$B:$B,Summary!$C32)</f>
        <v>2387</v>
      </c>
      <c r="I32" s="61">
        <f ca="1">SUMIFS(OFFSET('BPC Data'!$F:$F,0,Summary!I$2),'BPC Data'!$E:$E,Summary!$D32,'BPC Data'!$B:$B,Summary!$C32)</f>
        <v>2597</v>
      </c>
      <c r="J32" s="65">
        <f ca="1">SUMIFS(OFFSET('BPC Data'!$F:$F,0,Summary!J$2),'BPC Data'!$E:$E,Summary!$D32,'BPC Data'!$B:$B,Summary!$C32)</f>
        <v>2295</v>
      </c>
      <c r="K32" s="61">
        <f ca="1">SUMIFS(OFFSET('BPC Data'!$F:$F,0,Summary!K$2),'BPC Data'!$E:$E,Summary!$D32,'BPC Data'!$B:$B,Summary!$C32)</f>
        <v>2513</v>
      </c>
      <c r="L32" s="65">
        <f ca="1">SUMIFS(OFFSET('BPC Data'!$F:$F,0,Summary!L$2),'BPC Data'!$E:$E,Summary!$D32,'BPC Data'!$B:$B,Summary!$C32)</f>
        <v>2194</v>
      </c>
      <c r="M32" s="61">
        <f ca="1">SUMIFS(OFFSET('BPC Data'!$F:$F,0,Summary!M$2),'BPC Data'!$E:$E,Summary!$D32,'BPC Data'!$B:$B,Summary!$C32)</f>
        <v>2146</v>
      </c>
      <c r="N32" s="65">
        <f ca="1">SUMIFS(OFFSET('BPC Data'!$F:$F,0,Summary!N$2),'BPC Data'!$E:$E,Summary!$D32,'BPC Data'!$B:$B,Summary!$C32)</f>
        <v>2405</v>
      </c>
      <c r="O32" s="61">
        <f ca="1">SUMIFS(OFFSET('BPC Data'!$F:$F,0,Summary!O$2),'BPC Data'!$E:$E,Summary!$D32,'BPC Data'!$B:$B,Summary!$C32)</f>
        <v>2348</v>
      </c>
      <c r="P32" s="65">
        <f ca="1">SUMIFS(OFFSET('BPC Data'!$F:$F,0,Summary!P$2),'BPC Data'!$E:$E,Summary!$D32,'BPC Data'!$B:$B,Summary!$C32)</f>
        <v>2350</v>
      </c>
      <c r="Q32" s="61">
        <f ca="1">SUMIFS(OFFSET('BPC Data'!$F:$F,0,Summary!Q$2),'BPC Data'!$E:$E,Summary!$D32,'BPC Data'!$B:$B,Summary!$C32)</f>
        <v>2450</v>
      </c>
      <c r="R32" s="65">
        <f ca="1">SUMIFS(OFFSET('BPC Data'!$F:$F,0,Summary!R$2),'BPC Data'!$E:$E,Summary!$D32,'BPC Data'!$B:$B,Summary!$C32)</f>
        <v>2664</v>
      </c>
      <c r="S32" s="23">
        <f ca="1">SUM(G32:R32)</f>
        <v>28531</v>
      </c>
      <c r="T32" s="74">
        <f ca="1">SUM(W32:AH32)</f>
        <v>28531</v>
      </c>
      <c r="U32" s="54">
        <f ca="1">T32-S32</f>
        <v>0</v>
      </c>
      <c r="W32" s="4">
        <f ca="1">SUMIFS(INDIRECT("'"&amp;$W$30&amp;"'"&amp;"!$B$1:$B$5000"),INDIRECT("'"&amp;$W$30&amp;"'"&amp;"!$A$1:$A$5000"),$W$2)</f>
        <v>2182</v>
      </c>
      <c r="X32" s="4">
        <f ca="1">SUMIFS(INDIRECT("'"&amp;$W$30&amp;"'"&amp;"!$c$1:$c$5000"),INDIRECT("'"&amp;$W$30&amp;"'"&amp;"!$A$1:$A$5000"),$W$2)</f>
        <v>2387</v>
      </c>
      <c r="Y32" s="4">
        <f ca="1">SUMIFS(INDIRECT("'"&amp;$W$30&amp;"'"&amp;"!$d$1:$d$5000"),INDIRECT("'"&amp;$W$30&amp;"'"&amp;"!$A$1:$A$5000"),$W$2)</f>
        <v>2597</v>
      </c>
      <c r="Z32" s="4">
        <f ca="1">SUMIFS(INDIRECT("'"&amp;$W$30&amp;"'"&amp;"!$e$1:$e$5000"),INDIRECT("'"&amp;$W$30&amp;"'"&amp;"!$A$1:$A$5000"),$W$2)</f>
        <v>2295</v>
      </c>
      <c r="AA32" s="4">
        <f ca="1">SUMIFS(INDIRECT("'"&amp;$W$30&amp;"'"&amp;"!$f$1:$f$5000"),INDIRECT("'"&amp;$W$30&amp;"'"&amp;"!$A$1:$A$5000"),$W$2)</f>
        <v>2513</v>
      </c>
      <c r="AB32" s="4">
        <f ca="1">SUMIFS(INDIRECT("'"&amp;$W$30&amp;"'"&amp;"!$g$1:$g$5000"),INDIRECT("'"&amp;$W$30&amp;"'"&amp;"!$A$1:$A$5000"),$W$2)</f>
        <v>2194</v>
      </c>
      <c r="AC32" s="4">
        <f ca="1">SUMIFS(INDIRECT("'"&amp;$W$30&amp;"'"&amp;"!$h$1:$h$5000"),INDIRECT("'"&amp;$W$30&amp;"'"&amp;"!$A$1:$A$5000"),$W$2)</f>
        <v>2146</v>
      </c>
      <c r="AD32" s="4">
        <f ca="1">SUMIFS(INDIRECT("'"&amp;$W$30&amp;"'"&amp;"!$i$1:$i$5000"),INDIRECT("'"&amp;$W$30&amp;"'"&amp;"!$A$1:$A$5000"),$W$2)</f>
        <v>2405</v>
      </c>
      <c r="AE32" s="4">
        <f ca="1">SUMIFS(INDIRECT("'"&amp;$W$30&amp;"'"&amp;"!$j$1:$j$5000"),INDIRECT("'"&amp;$W$30&amp;"'"&amp;"!$A$1:$A$5000"),$W$2)</f>
        <v>2348</v>
      </c>
      <c r="AF32" s="4">
        <f ca="1">SUMIFS(INDIRECT("'"&amp;$W$30&amp;"'"&amp;"!$k$1:$k$5000"),INDIRECT("'"&amp;$W$30&amp;"'"&amp;"!$A$1:$A$5000"),$W$2)</f>
        <v>2350</v>
      </c>
      <c r="AG32" s="4">
        <f ca="1">SUMIFS(INDIRECT("'"&amp;$W$30&amp;"'"&amp;"!$l$1:$l$5000"),INDIRECT("'"&amp;$W$30&amp;"'"&amp;"!$A$1:$A$5000"),$W$2)</f>
        <v>2450</v>
      </c>
      <c r="AH32" s="4">
        <f ca="1">SUMIFS(INDIRECT("'"&amp;$W$30&amp;"'"&amp;"!$m$1:$m$5000"),INDIRECT("'"&amp;$W$30&amp;"'"&amp;"!$A$1:$A$5000"),$W$2)</f>
        <v>2664</v>
      </c>
      <c r="AJ32" s="14">
        <f t="shared" ref="AJ32:AU32" ca="1" si="63">W32-G32</f>
        <v>0</v>
      </c>
      <c r="AK32" s="14">
        <f t="shared" ca="1" si="63"/>
        <v>0</v>
      </c>
      <c r="AL32" s="14">
        <f t="shared" ca="1" si="63"/>
        <v>0</v>
      </c>
      <c r="AM32" s="14">
        <f t="shared" ca="1" si="63"/>
        <v>0</v>
      </c>
      <c r="AN32" s="14">
        <f t="shared" ca="1" si="63"/>
        <v>0</v>
      </c>
      <c r="AO32" s="14">
        <f t="shared" ca="1" si="63"/>
        <v>0</v>
      </c>
      <c r="AP32" s="14">
        <f t="shared" ca="1" si="63"/>
        <v>0</v>
      </c>
      <c r="AQ32" s="14">
        <f t="shared" ca="1" si="63"/>
        <v>0</v>
      </c>
      <c r="AR32" s="14">
        <f t="shared" ca="1" si="63"/>
        <v>0</v>
      </c>
      <c r="AS32" s="14">
        <f t="shared" ca="1" si="63"/>
        <v>0</v>
      </c>
      <c r="AT32" s="14">
        <f t="shared" ca="1" si="63"/>
        <v>0</v>
      </c>
      <c r="AU32" s="14">
        <f t="shared" ca="1" si="63"/>
        <v>0</v>
      </c>
    </row>
    <row r="33" spans="1:47" s="12" customFormat="1">
      <c r="A33" s="12">
        <f t="shared" ref="A33:A41" si="64">IF(AND(F33&lt;&gt;"",D33=""),A32+1,A32)</f>
        <v>3</v>
      </c>
      <c r="C33" t="str">
        <f>$F31</f>
        <v>Park Manor of Humble</v>
      </c>
      <c r="D33" s="3" t="str">
        <f t="shared" si="44"/>
        <v>A_BEDS_TOTAL - Total Available Beds</v>
      </c>
      <c r="F33" s="19" t="str">
        <f>_xll.EVDES(D33)</f>
        <v>Total Available Beds</v>
      </c>
      <c r="G33" s="61">
        <f ca="1">SUMIFS(OFFSET('BPC Data'!$F:$F,0,Summary!G$2),'BPC Data'!$E:$E,Summary!$D33,'BPC Data'!$B:$B,Summary!$C33)</f>
        <v>125</v>
      </c>
      <c r="H33" s="65">
        <f ca="1">SUMIFS(OFFSET('BPC Data'!$F:$F,0,Summary!H$2),'BPC Data'!$E:$E,Summary!$D33,'BPC Data'!$B:$B,Summary!$C33)</f>
        <v>125</v>
      </c>
      <c r="I33" s="61">
        <f ca="1">SUMIFS(OFFSET('BPC Data'!$F:$F,0,Summary!I$2),'BPC Data'!$E:$E,Summary!$D33,'BPC Data'!$B:$B,Summary!$C33)</f>
        <v>125</v>
      </c>
      <c r="J33" s="65">
        <f ca="1">SUMIFS(OFFSET('BPC Data'!$F:$F,0,Summary!J$2),'BPC Data'!$E:$E,Summary!$D33,'BPC Data'!$B:$B,Summary!$C33)</f>
        <v>125</v>
      </c>
      <c r="K33" s="61">
        <f ca="1">SUMIFS(OFFSET('BPC Data'!$F:$F,0,Summary!K$2),'BPC Data'!$E:$E,Summary!$D33,'BPC Data'!$B:$B,Summary!$C33)</f>
        <v>125</v>
      </c>
      <c r="L33" s="65">
        <f ca="1">SUMIFS(OFFSET('BPC Data'!$F:$F,0,Summary!L$2),'BPC Data'!$E:$E,Summary!$D33,'BPC Data'!$B:$B,Summary!$C33)</f>
        <v>125</v>
      </c>
      <c r="M33" s="61">
        <f ca="1">SUMIFS(OFFSET('BPC Data'!$F:$F,0,Summary!M$2),'BPC Data'!$E:$E,Summary!$D33,'BPC Data'!$B:$B,Summary!$C33)</f>
        <v>125</v>
      </c>
      <c r="N33" s="65">
        <f ca="1">SUMIFS(OFFSET('BPC Data'!$F:$F,0,Summary!N$2),'BPC Data'!$E:$E,Summary!$D33,'BPC Data'!$B:$B,Summary!$C33)</f>
        <v>125</v>
      </c>
      <c r="O33" s="61">
        <f ca="1">SUMIFS(OFFSET('BPC Data'!$F:$F,0,Summary!O$2),'BPC Data'!$E:$E,Summary!$D33,'BPC Data'!$B:$B,Summary!$C33)</f>
        <v>125</v>
      </c>
      <c r="P33" s="65">
        <f ca="1">SUMIFS(OFFSET('BPC Data'!$F:$F,0,Summary!P$2),'BPC Data'!$E:$E,Summary!$D33,'BPC Data'!$B:$B,Summary!$C33)</f>
        <v>125</v>
      </c>
      <c r="Q33" s="61">
        <f ca="1">SUMIFS(OFFSET('BPC Data'!$F:$F,0,Summary!Q$2),'BPC Data'!$E:$E,Summary!$D33,'BPC Data'!$B:$B,Summary!$C33)</f>
        <v>125</v>
      </c>
      <c r="R33" s="65">
        <f ca="1">SUMIFS(OFFSET('BPC Data'!$F:$F,0,Summary!R$2),'BPC Data'!$E:$E,Summary!$D33,'BPC Data'!$B:$B,Summary!$C33)</f>
        <v>125</v>
      </c>
      <c r="S33" s="23">
        <f ca="1">+R33</f>
        <v>125</v>
      </c>
      <c r="T33" s="74"/>
      <c r="U33" s="54"/>
      <c r="AJ33" s="49"/>
      <c r="AK33" s="49"/>
      <c r="AL33" s="49"/>
      <c r="AM33" s="49"/>
      <c r="AN33" s="49"/>
      <c r="AO33" s="49"/>
      <c r="AP33" s="49"/>
      <c r="AQ33" s="49"/>
      <c r="AR33" s="49"/>
      <c r="AS33" s="49"/>
      <c r="AT33" s="49"/>
      <c r="AU33" s="49"/>
    </row>
    <row r="34" spans="1:47" s="12" customFormat="1">
      <c r="A34" s="12">
        <f t="shared" si="64"/>
        <v>3</v>
      </c>
      <c r="B34"/>
      <c r="C34" t="str">
        <f>$F31</f>
        <v>Park Manor of Humble</v>
      </c>
      <c r="D34" s="3" t="str">
        <f t="shared" si="44"/>
        <v>T_REVENUES - Total Tenant Revenues</v>
      </c>
      <c r="E34"/>
      <c r="F34" s="19" t="str">
        <f>_xll.EVDES(D34)</f>
        <v>Total Tenant Revenues</v>
      </c>
      <c r="G34" s="61">
        <f ca="1">SUMIFS(OFFSET('BPC Data'!$F:$F,0,Summary!G$2),'BPC Data'!$E:$E,Summary!$D34,'BPC Data'!$B:$B,Summary!$C34)</f>
        <v>677980</v>
      </c>
      <c r="H34" s="65">
        <f ca="1">SUMIFS(OFFSET('BPC Data'!$F:$F,0,Summary!H$2),'BPC Data'!$E:$E,Summary!$D34,'BPC Data'!$B:$B,Summary!$C34)</f>
        <v>806419</v>
      </c>
      <c r="I34" s="61">
        <f ca="1">SUMIFS(OFFSET('BPC Data'!$F:$F,0,Summary!I$2),'BPC Data'!$E:$E,Summary!$D34,'BPC Data'!$B:$B,Summary!$C34)</f>
        <v>873873</v>
      </c>
      <c r="J34" s="65">
        <f ca="1">SUMIFS(OFFSET('BPC Data'!$F:$F,0,Summary!J$2),'BPC Data'!$E:$E,Summary!$D34,'BPC Data'!$B:$B,Summary!$C34)</f>
        <v>743870</v>
      </c>
      <c r="K34" s="61">
        <f ca="1">SUMIFS(OFFSET('BPC Data'!$F:$F,0,Summary!K$2),'BPC Data'!$E:$E,Summary!$D34,'BPC Data'!$B:$B,Summary!$C34)</f>
        <v>847488</v>
      </c>
      <c r="L34" s="65">
        <f ca="1">SUMIFS(OFFSET('BPC Data'!$F:$F,0,Summary!L$2),'BPC Data'!$E:$E,Summary!$D34,'BPC Data'!$B:$B,Summary!$C34)</f>
        <v>683220</v>
      </c>
      <c r="M34" s="61">
        <f ca="1">SUMIFS(OFFSET('BPC Data'!$F:$F,0,Summary!M$2),'BPC Data'!$E:$E,Summary!$D34,'BPC Data'!$B:$B,Summary!$C34)</f>
        <v>620345</v>
      </c>
      <c r="N34" s="65">
        <f ca="1">SUMIFS(OFFSET('BPC Data'!$F:$F,0,Summary!N$2),'BPC Data'!$E:$E,Summary!$D34,'BPC Data'!$B:$B,Summary!$C34)</f>
        <v>761977</v>
      </c>
      <c r="O34" s="61">
        <f ca="1">SUMIFS(OFFSET('BPC Data'!$F:$F,0,Summary!O$2),'BPC Data'!$E:$E,Summary!$D34,'BPC Data'!$B:$B,Summary!$C34)</f>
        <v>758817</v>
      </c>
      <c r="P34" s="65">
        <f ca="1">SUMIFS(OFFSET('BPC Data'!$F:$F,0,Summary!P$2),'BPC Data'!$E:$E,Summary!$D34,'BPC Data'!$B:$B,Summary!$C34)</f>
        <v>756952</v>
      </c>
      <c r="Q34" s="61">
        <f ca="1">SUMIFS(OFFSET('BPC Data'!$F:$F,0,Summary!Q$2),'BPC Data'!$E:$E,Summary!$D34,'BPC Data'!$B:$B,Summary!$C34)</f>
        <v>795160</v>
      </c>
      <c r="R34" s="65">
        <f ca="1">SUMIFS(OFFSET('BPC Data'!$F:$F,0,Summary!R$2),'BPC Data'!$E:$E,Summary!$D34,'BPC Data'!$B:$B,Summary!$C34)</f>
        <v>867402</v>
      </c>
      <c r="S34" s="23">
        <f t="shared" ref="S34:S40" ca="1" si="65">SUM(G34:R34)</f>
        <v>9193503</v>
      </c>
      <c r="T34" s="74">
        <f ca="1">SUM(W34:AH34)</f>
        <v>7974980.4299999997</v>
      </c>
      <c r="U34" s="54">
        <f ca="1">T34-S34</f>
        <v>-1218522.5700000003</v>
      </c>
      <c r="W34" s="4">
        <f ca="1">SUMIFS(INDIRECT("'"&amp;$W$30&amp;"'"&amp;"!$B$64:$B$5000"),INDIRECT("'"&amp;$W$30&amp;"'"&amp;"!$A$64:$A$5000"),$V$1)-SUMIFS(INDIRECT("'"&amp;$W$30&amp;"'"&amp;"!$B$64:$B$5000"),INDIRECT("'"&amp;$W$30&amp;"'"&amp;"!$A$64:$A$5000"),$V$2)-SUMIFS(INDIRECT("'"&amp;$W$30&amp;"'"&amp;"!$B$64:$B$5000"),INDIRECT("'"&amp;$W$30&amp;"'"&amp;"!$A$64:$A$5000"),$V$3)-SUMIFS(INDIRECT("'"&amp;$W$30&amp;"'"&amp;"!$B$64:$B$5000"),INDIRECT("'"&amp;$W$30&amp;"'"&amp;"!$A$64:$A$5000"),$X$4)-SUMIFS(INDIRECT("'"&amp;$W$30&amp;"'"&amp;"!$B$64:$B$5000"),INDIRECT("'"&amp;$W$30&amp;"'"&amp;"!$A$64:$A$5000"),$X$3)</f>
        <v>677980.29000000015</v>
      </c>
      <c r="X34" s="4">
        <f ca="1">SUMIFS(INDIRECT("'"&amp;$W$30&amp;"'"&amp;"!$c$64:$c$5000"),INDIRECT("'"&amp;$W$30&amp;"'"&amp;"!$A$64:$A$5000"),$V$1)-SUMIFS(INDIRECT("'"&amp;$W$30&amp;"'"&amp;"!$c$64:$c$5000"),INDIRECT("'"&amp;$W$30&amp;"'"&amp;"!$A$64:$A$5000"),$V$2)-SUMIFS(INDIRECT("'"&amp;$W$30&amp;"'"&amp;"!$c$64:$c$5000"),INDIRECT("'"&amp;$W$30&amp;"'"&amp;"!$A$64:$A$5000"),$V$3)-SUMIFS(INDIRECT("'"&amp;$W$30&amp;"'"&amp;"!$c$64:$c$5000"),INDIRECT("'"&amp;$W$30&amp;"'"&amp;"!$A$64:$A$5000"),$X$4)-SUMIFS(INDIRECT("'"&amp;$W$30&amp;"'"&amp;"!$c$64:$c$5000"),INDIRECT("'"&amp;$W$30&amp;"'"&amp;"!$A$64:$A$5000"),$X$3)</f>
        <v>806417.83999999822</v>
      </c>
      <c r="Y34" s="4">
        <f ca="1">SUMIFS(INDIRECT("'"&amp;$W$30&amp;"'"&amp;"!$d$64:$d$5000"),INDIRECT("'"&amp;$W$30&amp;"'"&amp;"!$A$64:$A$5000"),$V$1)-SUMIFS(INDIRECT("'"&amp;$W$30&amp;"'"&amp;"!$d$64:$d$5000"),INDIRECT("'"&amp;$W$30&amp;"'"&amp;"!$A$64:$A$5000"),$V$2)-SUMIFS(INDIRECT("'"&amp;$W$30&amp;"'"&amp;"!$d$64:$d$5000"),INDIRECT("'"&amp;$W$30&amp;"'"&amp;"!$A$64:$A$5000"),$V$3)-SUMIFS(INDIRECT("'"&amp;$W$30&amp;"'"&amp;"!$d$64:$d$5000"),INDIRECT("'"&amp;$W$30&amp;"'"&amp;"!$A$64:$A$5000"),$X$4)-SUMIFS(INDIRECT("'"&amp;$W$30&amp;"'"&amp;"!$d$64:$d$5000"),INDIRECT("'"&amp;$W$30&amp;"'"&amp;"!$A$64:$A$5000"),$X$3)</f>
        <v>873874.11999999941</v>
      </c>
      <c r="Z34" s="4">
        <f ca="1">SUMIFS(INDIRECT("'"&amp;$W$30&amp;"'"&amp;"!$e$64:$e$5000"),INDIRECT("'"&amp;$W$30&amp;"'"&amp;"!$A$64:$A$5000"),$V$1)-SUMIFS(INDIRECT("'"&amp;$W$30&amp;"'"&amp;"!$e$64:$e$5000"),INDIRECT("'"&amp;$W$30&amp;"'"&amp;"!$A$64:$A$5000"),$V$2)-SUMIFS(INDIRECT("'"&amp;$W$30&amp;"'"&amp;"!$e$64:$e$5000"),INDIRECT("'"&amp;$W$30&amp;"'"&amp;"!$A$64:$A$5000"),$V$3)-SUMIFS(INDIRECT("'"&amp;$W$30&amp;"'"&amp;"!$e$64:$e$5000"),INDIRECT("'"&amp;$W$30&amp;"'"&amp;"!$A$64:$A$5000"),$X$4)-SUMIFS(INDIRECT("'"&amp;$W$30&amp;"'"&amp;"!$e$64:$e$5000"),INDIRECT("'"&amp;$W$30&amp;"'"&amp;"!$A$64:$A$5000"),$X$3)</f>
        <v>743870.10999999975</v>
      </c>
      <c r="AA34" s="4">
        <f ca="1">SUMIFS(INDIRECT("'"&amp;$W$30&amp;"'"&amp;"!$f$64:$f$5000"),INDIRECT("'"&amp;$W$30&amp;"'"&amp;"!$A$64:$A$5000"),$V$1)-SUMIFS(INDIRECT("'"&amp;$W$30&amp;"'"&amp;"!$f$64:$f$5000"),INDIRECT("'"&amp;$W$30&amp;"'"&amp;"!$A$64:$A$5000"),$V$2)-SUMIFS(INDIRECT("'"&amp;$W$30&amp;"'"&amp;"!$f$64:$f$5000"),INDIRECT("'"&amp;$W$30&amp;"'"&amp;"!$A$64:$A$5000"),$V$3)-SUMIFS(INDIRECT("'"&amp;$W$30&amp;"'"&amp;"!$f$64:$f$5000"),INDIRECT("'"&amp;$W$30&amp;"'"&amp;"!$A$64:$A$5000"),$X$4)-SUMIFS(INDIRECT("'"&amp;$W$30&amp;"'"&amp;"!$f$64:$f$5000"),INDIRECT("'"&amp;$W$30&amp;"'"&amp;"!$A$64:$A$5000"),$X$3)</f>
        <v>-371036.9599999995</v>
      </c>
      <c r="AB34" s="4">
        <f ca="1">SUMIFS(INDIRECT("'"&amp;$W$30&amp;"'"&amp;"!$g$64:$g$5000"),INDIRECT("'"&amp;$W$30&amp;"'"&amp;"!$A$64:$A$5000"),$V$1)-SUMIFS(INDIRECT("'"&amp;$W$30&amp;"'"&amp;"!$g$64:$g$5000"),INDIRECT("'"&amp;$W$30&amp;"'"&amp;"!$A$64:$A$5000"),$V$2)-SUMIFS(INDIRECT("'"&amp;$W$30&amp;"'"&amp;"!$g$64:$g$5000"),INDIRECT("'"&amp;$W$30&amp;"'"&amp;"!$A$64:$A$5000"),$V$3)-SUMIFS(INDIRECT("'"&amp;$W$30&amp;"'"&amp;"!$g$64:$g$5000"),INDIRECT("'"&amp;$W$30&amp;"'"&amp;"!$A$64:$A$5000"),$X$4)-SUMIFS(INDIRECT("'"&amp;$W$30&amp;"'"&amp;"!$g$64:$g$5000"),INDIRECT("'"&amp;$W$30&amp;"'"&amp;"!$A$64:$A$5000"),$X$3)</f>
        <v>683219.75000000023</v>
      </c>
      <c r="AC34" s="4">
        <f ca="1">SUMIFS(INDIRECT("'"&amp;$W$30&amp;"'"&amp;"!$h$64:$h$5000"),INDIRECT("'"&amp;$W$30&amp;"'"&amp;"!$A$64:$A$5000"),$V$1)-SUMIFS(INDIRECT("'"&amp;$W$30&amp;"'"&amp;"!$h$64:$h$5000"),INDIRECT("'"&amp;$W$30&amp;"'"&amp;"!$A$64:$A$5000"),$V$2)-SUMIFS(INDIRECT("'"&amp;$W$30&amp;"'"&amp;"!$h$64:$h$5000"),INDIRECT("'"&amp;$W$30&amp;"'"&amp;"!$A$64:$A$5000"),$V$3)-SUMIFS(INDIRECT("'"&amp;$W$30&amp;"'"&amp;"!$h$64:$h$5000"),INDIRECT("'"&amp;$W$30&amp;"'"&amp;"!$A$64:$A$5000"),$X$4)-SUMIFS(INDIRECT("'"&amp;$W$30&amp;"'"&amp;"!$h$64:$h$5000"),INDIRECT("'"&amp;$W$30&amp;"'"&amp;"!$A$64:$A$5000"),$X$3)</f>
        <v>620346.08000000019</v>
      </c>
      <c r="AD34" s="4">
        <f ca="1">SUMIFS(INDIRECT("'"&amp;$W$30&amp;"'"&amp;"!$i$64:$i$5000"),INDIRECT("'"&amp;$W$30&amp;"'"&amp;"!$A$64:$A$5000"),$V$1)-SUMIFS(INDIRECT("'"&amp;$W$30&amp;"'"&amp;"!$i$64:$i$5000"),INDIRECT("'"&amp;$W$30&amp;"'"&amp;"!$A$64:$A$5000"),$V$2)-SUMIFS(INDIRECT("'"&amp;$W$30&amp;"'"&amp;"!$i$64:$i$5000"),INDIRECT("'"&amp;$W$30&amp;"'"&amp;"!$A$64:$A$5000"),$V$3)-SUMIFS(INDIRECT("'"&amp;$W$30&amp;"'"&amp;"!$i$64:$i$5000"),INDIRECT("'"&amp;$W$30&amp;"'"&amp;"!$A$64:$A$5000"),$X$4)-SUMIFS(INDIRECT("'"&amp;$W$30&amp;"'"&amp;"!$i$64:$i$5000"),INDIRECT("'"&amp;$W$30&amp;"'"&amp;"!$A$64:$A$5000"),$X$3)</f>
        <v>761976.60000000033</v>
      </c>
      <c r="AE34" s="4">
        <f ca="1">SUMIFS(INDIRECT("'"&amp;$W$30&amp;"'"&amp;"!$j$64:$j$5000"),INDIRECT("'"&amp;$W$30&amp;"'"&amp;"!$A$64:$A$5000"),$V$1)-SUMIFS(INDIRECT("'"&amp;$W$30&amp;"'"&amp;"!$j$64:$j$5000"),INDIRECT("'"&amp;$W$30&amp;"'"&amp;"!$A$64:$A$5000"),$V$2)-SUMIFS(INDIRECT("'"&amp;$W$30&amp;"'"&amp;"!$j$64:$j$5000"),INDIRECT("'"&amp;$W$30&amp;"'"&amp;"!$A$64:$A$5000"),$V$3)-SUMIFS(INDIRECT("'"&amp;$W$30&amp;"'"&amp;"!$j$64:$j$5000"),INDIRECT("'"&amp;$W$30&amp;"'"&amp;"!$A$64:$A$5000"),$X$4)-SUMIFS(INDIRECT("'"&amp;$W$30&amp;"'"&amp;"!$j$64:$j$5000"),INDIRECT("'"&amp;$W$30&amp;"'"&amp;"!$A$64:$A$5000"),$X$3)</f>
        <v>758817.71000000194</v>
      </c>
      <c r="AF34" s="4">
        <f ca="1">SUMIFS(INDIRECT("'"&amp;$W$30&amp;"'"&amp;"!$k$64:$k$5000"),INDIRECT("'"&amp;$W$30&amp;"'"&amp;"!$A$64:$A$5000"),$V$1)-SUMIFS(INDIRECT("'"&amp;$W$30&amp;"'"&amp;"!$k$64:$k$5000"),INDIRECT("'"&amp;$W$30&amp;"'"&amp;"!$A$64:$A$5000"),$V$2)-SUMIFS(INDIRECT("'"&amp;$W$30&amp;"'"&amp;"!$k$64:$k$5000"),INDIRECT("'"&amp;$W$30&amp;"'"&amp;"!$A$64:$A$5000"),$V$3)-SUMIFS(INDIRECT("'"&amp;$W$30&amp;"'"&amp;"!$k$64:$k$5000"),INDIRECT("'"&amp;$W$30&amp;"'"&amp;"!$A$64:$A$5000"),$X$4)-SUMIFS(INDIRECT("'"&amp;$W$30&amp;"'"&amp;"!$k$64:$k$5000"),INDIRECT("'"&amp;$W$30&amp;"'"&amp;"!$A$64:$A$5000"),$X$3)</f>
        <v>756952.33000000054</v>
      </c>
      <c r="AG34" s="4">
        <f ca="1">SUMIFS(INDIRECT("'"&amp;$W$30&amp;"'"&amp;"!$l$64:$l$5000"),INDIRECT("'"&amp;$W$30&amp;"'"&amp;"!$A$64:$A$5000"),$V$1)-SUMIFS(INDIRECT("'"&amp;$W$30&amp;"'"&amp;"!$l$64:$l$5000"),INDIRECT("'"&amp;$W$30&amp;"'"&amp;"!$A$64:$A$5000"),$V$2)-SUMIFS(INDIRECT("'"&amp;$W$30&amp;"'"&amp;"!$l$64:$l$5000"),INDIRECT("'"&amp;$W$30&amp;"'"&amp;"!$A$64:$A$5000"),$V$3)-SUMIFS(INDIRECT("'"&amp;$W$30&amp;"'"&amp;"!$l$64:$l$5000"),INDIRECT("'"&amp;$W$30&amp;"'"&amp;"!$A$64:$A$5000"),$X$4)-SUMIFS(INDIRECT("'"&amp;$W$30&amp;"'"&amp;"!$l$64:$l$5000"),INDIRECT("'"&amp;$W$30&amp;"'"&amp;"!$A$64:$A$5000"),$X$3)</f>
        <v>795159.95999999926</v>
      </c>
      <c r="AH34" s="4">
        <f ca="1">SUMIFS(INDIRECT("'"&amp;$W$30&amp;"'"&amp;"!$m$64:$m$5000"),INDIRECT("'"&amp;$W$30&amp;"'"&amp;"!$A$64:$A$5000"),$V$1)-SUMIFS(INDIRECT("'"&amp;$W$30&amp;"'"&amp;"!$m$64:$m$5000"),INDIRECT("'"&amp;$W$30&amp;"'"&amp;"!$A$64:$A$5000"),$V$2)-SUMIFS(INDIRECT("'"&amp;$W$30&amp;"'"&amp;"!$m$64:$m$5000"),INDIRECT("'"&amp;$W$30&amp;"'"&amp;"!$A$64:$A$5000"),$V$3)-SUMIFS(INDIRECT("'"&amp;$W$30&amp;"'"&amp;"!$m$64:$m$5000"),INDIRECT("'"&amp;$W$30&amp;"'"&amp;"!$A$64:$A$5000"),$X$4)-SUMIFS(INDIRECT("'"&amp;$W$30&amp;"'"&amp;"!$m$64:$m$5000"),INDIRECT("'"&amp;$W$30&amp;"'"&amp;"!$A$64:$A$5000"),$X$3)</f>
        <v>867402.59999999974</v>
      </c>
      <c r="AJ34" s="14">
        <f t="shared" ref="AJ34:AU35" ca="1" si="66">W34-G34</f>
        <v>0.29000000015366822</v>
      </c>
      <c r="AK34" s="14">
        <f t="shared" ca="1" si="66"/>
        <v>-1.1600000017788261</v>
      </c>
      <c r="AL34" s="14">
        <f t="shared" ca="1" si="66"/>
        <v>1.1199999994132668</v>
      </c>
      <c r="AM34" s="14">
        <f t="shared" ca="1" si="66"/>
        <v>0.10999999975319952</v>
      </c>
      <c r="AN34" s="14">
        <f t="shared" ca="1" si="66"/>
        <v>-1218524.9599999995</v>
      </c>
      <c r="AO34" s="14">
        <f t="shared" ca="1" si="66"/>
        <v>-0.24999999976716936</v>
      </c>
      <c r="AP34" s="14">
        <f t="shared" ca="1" si="66"/>
        <v>1.0800000001909211</v>
      </c>
      <c r="AQ34" s="14">
        <f t="shared" ca="1" si="66"/>
        <v>-0.3999999996740371</v>
      </c>
      <c r="AR34" s="14">
        <f t="shared" ca="1" si="66"/>
        <v>0.71000000194180757</v>
      </c>
      <c r="AS34" s="14">
        <f t="shared" ca="1" si="66"/>
        <v>0.33000000054016709</v>
      </c>
      <c r="AT34" s="14">
        <f t="shared" ca="1" si="66"/>
        <v>-4.0000000735744834E-2</v>
      </c>
      <c r="AU34" s="14">
        <f t="shared" ca="1" si="66"/>
        <v>0.59999999974388629</v>
      </c>
    </row>
    <row r="35" spans="1:47" s="12" customFormat="1">
      <c r="A35" s="12">
        <f t="shared" si="64"/>
        <v>3</v>
      </c>
      <c r="B35"/>
      <c r="C35" t="str">
        <f>$F31</f>
        <v>Park Manor of Humble</v>
      </c>
      <c r="D35" s="3" t="str">
        <f t="shared" si="44"/>
        <v>T_OPEX - Tenant Operating Expenses</v>
      </c>
      <c r="E35"/>
      <c r="F35" s="19" t="str">
        <f>_xll.EVDES(D35)</f>
        <v>Tenant Operating Expenses</v>
      </c>
      <c r="G35" s="61">
        <f ca="1">SUMIFS(OFFSET('BPC Data'!$F:$F,0,Summary!G$2),'BPC Data'!$E:$E,Summary!$D35,'BPC Data'!$B:$B,Summary!$C35)</f>
        <v>654691</v>
      </c>
      <c r="H35" s="65">
        <f ca="1">SUMIFS(OFFSET('BPC Data'!$F:$F,0,Summary!H$2),'BPC Data'!$E:$E,Summary!$D35,'BPC Data'!$B:$B,Summary!$C35)</f>
        <v>600598</v>
      </c>
      <c r="I35" s="61">
        <f ca="1">SUMIFS(OFFSET('BPC Data'!$F:$F,0,Summary!I$2),'BPC Data'!$E:$E,Summary!$D35,'BPC Data'!$B:$B,Summary!$C35)</f>
        <v>605663</v>
      </c>
      <c r="J35" s="65">
        <f ca="1">SUMIFS(OFFSET('BPC Data'!$F:$F,0,Summary!J$2),'BPC Data'!$E:$E,Summary!$D35,'BPC Data'!$B:$B,Summary!$C35)</f>
        <v>547580</v>
      </c>
      <c r="K35" s="61">
        <f ca="1">SUMIFS(OFFSET('BPC Data'!$F:$F,0,Summary!K$2),'BPC Data'!$E:$E,Summary!$D35,'BPC Data'!$B:$B,Summary!$C35)</f>
        <v>470013</v>
      </c>
      <c r="L35" s="65">
        <f ca="1">SUMIFS(OFFSET('BPC Data'!$F:$F,0,Summary!L$2),'BPC Data'!$E:$E,Summary!$D35,'BPC Data'!$B:$B,Summary!$C35)</f>
        <v>604961</v>
      </c>
      <c r="M35" s="61">
        <f ca="1">SUMIFS(OFFSET('BPC Data'!$F:$F,0,Summary!M$2),'BPC Data'!$E:$E,Summary!$D35,'BPC Data'!$B:$B,Summary!$C35)</f>
        <v>601823</v>
      </c>
      <c r="N35" s="65">
        <f ca="1">SUMIFS(OFFSET('BPC Data'!$F:$F,0,Summary!N$2),'BPC Data'!$E:$E,Summary!$D35,'BPC Data'!$B:$B,Summary!$C35)</f>
        <v>611279</v>
      </c>
      <c r="O35" s="61">
        <f ca="1">SUMIFS(OFFSET('BPC Data'!$F:$F,0,Summary!O$2),'BPC Data'!$E:$E,Summary!$D35,'BPC Data'!$B:$B,Summary!$C35)</f>
        <v>677037</v>
      </c>
      <c r="P35" s="65">
        <f ca="1">SUMIFS(OFFSET('BPC Data'!$F:$F,0,Summary!P$2),'BPC Data'!$E:$E,Summary!$D35,'BPC Data'!$B:$B,Summary!$C35)</f>
        <v>598947</v>
      </c>
      <c r="Q35" s="61">
        <f ca="1">SUMIFS(OFFSET('BPC Data'!$F:$F,0,Summary!Q$2),'BPC Data'!$E:$E,Summary!$D35,'BPC Data'!$B:$B,Summary!$C35)</f>
        <v>667283</v>
      </c>
      <c r="R35" s="65">
        <f ca="1">SUMIFS(OFFSET('BPC Data'!$F:$F,0,Summary!R$2),'BPC Data'!$E:$E,Summary!$D35,'BPC Data'!$B:$B,Summary!$C35)</f>
        <v>714324</v>
      </c>
      <c r="S35" s="23">
        <f t="shared" ca="1" si="65"/>
        <v>7354199</v>
      </c>
      <c r="T35" s="74">
        <f ca="1">SUM(W35:AH35)</f>
        <v>7414425.9899999993</v>
      </c>
      <c r="U35" s="54">
        <f ca="1">T35-S35</f>
        <v>60226.989999999292</v>
      </c>
      <c r="W35" s="4">
        <f ca="1">SUMIFS(INDIRECT("'"&amp;$W$30&amp;"'"&amp;"!$B$64:$B$5000"),INDIRECT("'"&amp;$W$30&amp;"'"&amp;"!$A$64:$A$5000"),$V$4)-SUMIFS(INDIRECT("'"&amp;$W$30&amp;"'"&amp;"!$B$64:$B$5000"),INDIRECT("'"&amp;$W$30&amp;"'"&amp;"!$A$64:$A$5000"),$V$5)-SUMIFS(INDIRECT("'"&amp;$W$30&amp;"'"&amp;"!$B$64:$B$5000"),INDIRECT("'"&amp;$W$30&amp;"'"&amp;"!$A$64:$A$5000"),$V$6)-SUMIFS(INDIRECT("'"&amp;$W$30&amp;"'"&amp;"!$B$64:$B$5000"),INDIRECT("'"&amp;$W$30&amp;"'"&amp;"!$A$64:$A$5000"),$W$6)-SUMIFS(INDIRECT("'"&amp;$W$30&amp;"'"&amp;"!$B$64:$B$5000"),INDIRECT("'"&amp;$W$30&amp;"'"&amp;"!$A$64:$A$5000"),$W$7)-SUMIFS(INDIRECT("'"&amp;$W$30&amp;"'"&amp;"!$B$64:$B$5000"),INDIRECT("'"&amp;$W$30&amp;"'"&amp;"!$A$64:$A$5000"),$X$3)-W40-W38</f>
        <v>654690.65000000014</v>
      </c>
      <c r="X35" s="4">
        <f ca="1">SUMIFS(INDIRECT("'"&amp;$W$30&amp;"'"&amp;"!$c$64:$c$5000"),INDIRECT("'"&amp;$W$30&amp;"'"&amp;"!$A$64:$A$5000"),$V$4)-SUMIFS(INDIRECT("'"&amp;$W$30&amp;"'"&amp;"!$c$64:$c$5000"),INDIRECT("'"&amp;$W$30&amp;"'"&amp;"!$A$64:$A$5000"),$V$5)-SUMIFS(INDIRECT("'"&amp;$W$30&amp;"'"&amp;"!$c$64:$c$5000"),INDIRECT("'"&amp;$W$30&amp;"'"&amp;"!$A$64:$A$5000"),$V$6)-SUMIFS(INDIRECT("'"&amp;$W$30&amp;"'"&amp;"!$c$64:$c$5000"),INDIRECT("'"&amp;$W$30&amp;"'"&amp;"!$A$64:$A$5000"),$W$6)-SUMIFS(INDIRECT("'"&amp;$W$30&amp;"'"&amp;"!$c$64:$c$5000"),INDIRECT("'"&amp;$W$30&amp;"'"&amp;"!$A$64:$A$5000"),$W$7)-SUMIFS(INDIRECT("'"&amp;$W$30&amp;"'"&amp;"!$c$64:$c$5000"),INDIRECT("'"&amp;$W$30&amp;"'"&amp;"!$A$64:$A$5000"),$X$3)-X40-X38</f>
        <v>600598.69999999995</v>
      </c>
      <c r="Y35" s="4">
        <f ca="1">SUMIFS(INDIRECT("'"&amp;$W$30&amp;"'"&amp;"!$d$64:$d$5000"),INDIRECT("'"&amp;$W$30&amp;"'"&amp;"!$A$64:$A$5000"),$V$4)-SUMIFS(INDIRECT("'"&amp;$W$30&amp;"'"&amp;"!$d$64:$d$5000"),INDIRECT("'"&amp;$W$30&amp;"'"&amp;"!$A$64:$A$5000"),$V$5)-SUMIFS(INDIRECT("'"&amp;$W$30&amp;"'"&amp;"!$d$64:$d$5000"),INDIRECT("'"&amp;$W$30&amp;"'"&amp;"!$A$64:$A$5000"),$V$6)-SUMIFS(INDIRECT("'"&amp;$W$30&amp;"'"&amp;"!$d$64:$d$5000"),INDIRECT("'"&amp;$W$30&amp;"'"&amp;"!$A$64:$A$5000"),$W$6)-SUMIFS(INDIRECT("'"&amp;$W$30&amp;"'"&amp;"!$d$64:$d$5000"),INDIRECT("'"&amp;$W$30&amp;"'"&amp;"!$A$64:$A$5000"),$W$7)-SUMIFS(INDIRECT("'"&amp;$W$30&amp;"'"&amp;"!$d$64:$d$5000"),INDIRECT("'"&amp;$W$30&amp;"'"&amp;"!$A$64:$A$5000"),$X$3)-Y40-Y38</f>
        <v>605664.3800000007</v>
      </c>
      <c r="Z35" s="4">
        <f ca="1">SUMIFS(INDIRECT("'"&amp;$W$30&amp;"'"&amp;"!$e$64:$e$5000"),INDIRECT("'"&amp;$W$30&amp;"'"&amp;"!$A$64:$A$5000"),$V$4)-SUMIFS(INDIRECT("'"&amp;$W$30&amp;"'"&amp;"!$e$64:$e$5000"),INDIRECT("'"&amp;$W$30&amp;"'"&amp;"!$A$64:$A$5000"),$V$5)-SUMIFS(INDIRECT("'"&amp;$W$30&amp;"'"&amp;"!$e$64:$e$5000"),INDIRECT("'"&amp;$W$30&amp;"'"&amp;"!$A$64:$A$5000"),$V$6)-SUMIFS(INDIRECT("'"&amp;$W$30&amp;"'"&amp;"!$e$64:$e$5000"),INDIRECT("'"&amp;$W$30&amp;"'"&amp;"!$A$64:$A$5000"),$W$6)-SUMIFS(INDIRECT("'"&amp;$W$30&amp;"'"&amp;"!$e$64:$e$5000"),INDIRECT("'"&amp;$W$30&amp;"'"&amp;"!$A$64:$A$5000"),$W$7)-SUMIFS(INDIRECT("'"&amp;$W$30&amp;"'"&amp;"!$e$64:$e$5000"),INDIRECT("'"&amp;$W$30&amp;"'"&amp;"!$A$64:$A$5000"),$X$3)-Z40-Z38</f>
        <v>547580.68999999994</v>
      </c>
      <c r="AA35" s="4">
        <f ca="1">SUMIFS(INDIRECT("'"&amp;$W$30&amp;"'"&amp;"!$f$64:$f$5000"),INDIRECT("'"&amp;$W$30&amp;"'"&amp;"!$A$64:$A$5000"),$V$4)-SUMIFS(INDIRECT("'"&amp;$W$30&amp;"'"&amp;"!$f$64:$f$5000"),INDIRECT("'"&amp;$W$30&amp;"'"&amp;"!$A$64:$A$5000"),$V$5)-SUMIFS(INDIRECT("'"&amp;$W$30&amp;"'"&amp;"!$f$64:$f$5000"),INDIRECT("'"&amp;$W$30&amp;"'"&amp;"!$A$64:$A$5000"),$V$6)-SUMIFS(INDIRECT("'"&amp;$W$30&amp;"'"&amp;"!$f$64:$f$5000"),INDIRECT("'"&amp;$W$30&amp;"'"&amp;"!$A$64:$A$5000"),$W$6)-SUMIFS(INDIRECT("'"&amp;$W$30&amp;"'"&amp;"!$f$64:$f$5000"),INDIRECT("'"&amp;$W$30&amp;"'"&amp;"!$A$64:$A$5000"),$W$7)-SUMIFS(INDIRECT("'"&amp;$W$30&amp;"'"&amp;"!$f$64:$f$5000"),INDIRECT("'"&amp;$W$30&amp;"'"&amp;"!$A$64:$A$5000"),$X$3)-AA40-AA38</f>
        <v>530240.96000000008</v>
      </c>
      <c r="AB35" s="4">
        <f ca="1">SUMIFS(INDIRECT("'"&amp;$W$30&amp;"'"&amp;"!$g$64:$g$5000"),INDIRECT("'"&amp;$W$30&amp;"'"&amp;"!$A$64:$A$5000"),$V$4)-SUMIFS(INDIRECT("'"&amp;$W$30&amp;"'"&amp;"!$g$64:$g$5000"),INDIRECT("'"&amp;$W$30&amp;"'"&amp;"!$A$64:$A$5000"),$V$5)-SUMIFS(INDIRECT("'"&amp;$W$30&amp;"'"&amp;"!$g$64:$g$5000"),INDIRECT("'"&amp;$W$30&amp;"'"&amp;"!$A$64:$A$5000"),$V$6)-SUMIFS(INDIRECT("'"&amp;$W$30&amp;"'"&amp;"!$g$64:$g$5000"),INDIRECT("'"&amp;$W$30&amp;"'"&amp;"!$A$64:$A$5000"),$W$6)-SUMIFS(INDIRECT("'"&amp;$W$30&amp;"'"&amp;"!$g$64:$g$5000"),INDIRECT("'"&amp;$W$30&amp;"'"&amp;"!$A$64:$A$5000"),$W$7)-SUMIFS(INDIRECT("'"&amp;$W$30&amp;"'"&amp;"!$g$64:$g$5000"),INDIRECT("'"&amp;$W$30&amp;"'"&amp;"!$A$64:$A$5000"),$X$3)-AB40-AB38</f>
        <v>604959.37999999966</v>
      </c>
      <c r="AC35" s="4">
        <f ca="1">SUMIFS(INDIRECT("'"&amp;$W$30&amp;"'"&amp;"!$h$64:$h$5000"),INDIRECT("'"&amp;$W$30&amp;"'"&amp;"!$A$64:$A$5000"),$V$4)-SUMIFS(INDIRECT("'"&amp;$W$30&amp;"'"&amp;"!$h$64:$h$5000"),INDIRECT("'"&amp;$W$30&amp;"'"&amp;"!$A$64:$A$5000"),$V$5)-SUMIFS(INDIRECT("'"&amp;$W$30&amp;"'"&amp;"!$h$64:$h$5000"),INDIRECT("'"&amp;$W$30&amp;"'"&amp;"!$A$64:$A$5000"),$V$6)-SUMIFS(INDIRECT("'"&amp;$W$30&amp;"'"&amp;"!$h$64:$h$5000"),INDIRECT("'"&amp;$W$30&amp;"'"&amp;"!$A$64:$A$5000"),$W$6)-SUMIFS(INDIRECT("'"&amp;$W$30&amp;"'"&amp;"!$h$64:$h$5000"),INDIRECT("'"&amp;$W$30&amp;"'"&amp;"!$A$64:$A$5000"),$W$7)-SUMIFS(INDIRECT("'"&amp;$W$30&amp;"'"&amp;"!$h$64:$h$5000"),INDIRECT("'"&amp;$W$30&amp;"'"&amp;"!$A$64:$A$5000"),$X$3)-AC40-AC38</f>
        <v>601823.15000000014</v>
      </c>
      <c r="AD35" s="4">
        <f ca="1">SUMIFS(INDIRECT("'"&amp;$W$30&amp;"'"&amp;"!$i$64:$i$5000"),INDIRECT("'"&amp;$W$30&amp;"'"&amp;"!$A$64:$A$5000"),$V$4)-SUMIFS(INDIRECT("'"&amp;$W$30&amp;"'"&amp;"!$i$64:$i$5000"),INDIRECT("'"&amp;$W$30&amp;"'"&amp;"!$A$64:$A$5000"),$V$5)-SUMIFS(INDIRECT("'"&amp;$W$30&amp;"'"&amp;"!$i$64:$i$5000"),INDIRECT("'"&amp;$W$30&amp;"'"&amp;"!$A$64:$A$5000"),$V$6)-SUMIFS(INDIRECT("'"&amp;$W$30&amp;"'"&amp;"!$i$64:$i$5000"),INDIRECT("'"&amp;$W$30&amp;"'"&amp;"!$A$64:$A$5000"),$W$6)-SUMIFS(INDIRECT("'"&amp;$W$30&amp;"'"&amp;"!$i$64:$i$5000"),INDIRECT("'"&amp;$W$30&amp;"'"&amp;"!$A$64:$A$5000"),$W$7)-SUMIFS(INDIRECT("'"&amp;$W$30&amp;"'"&amp;"!$i$64:$i$5000"),INDIRECT("'"&amp;$W$30&amp;"'"&amp;"!$A$64:$A$5000"),$X$3)-AD40-AD38</f>
        <v>611277.55999999924</v>
      </c>
      <c r="AE35" s="4">
        <f ca="1">SUMIFS(INDIRECT("'"&amp;$W$30&amp;"'"&amp;"!$j$64:$j$5000"),INDIRECT("'"&amp;$W$30&amp;"'"&amp;"!$A$64:$A$5000"),$V$4)-SUMIFS(INDIRECT("'"&amp;$W$30&amp;"'"&amp;"!$j$64:$j$5000"),INDIRECT("'"&amp;$W$30&amp;"'"&amp;"!$A$64:$A$5000"),$V$5)-SUMIFS(INDIRECT("'"&amp;$W$30&amp;"'"&amp;"!$j$64:$j$5000"),INDIRECT("'"&amp;$W$30&amp;"'"&amp;"!$A$64:$A$5000"),$V$6)-SUMIFS(INDIRECT("'"&amp;$W$30&amp;"'"&amp;"!$j$64:$j$5000"),INDIRECT("'"&amp;$W$30&amp;"'"&amp;"!$A$64:$A$5000"),$W$6)-SUMIFS(INDIRECT("'"&amp;$W$30&amp;"'"&amp;"!$j$64:$j$5000"),INDIRECT("'"&amp;$W$30&amp;"'"&amp;"!$A$64:$A$5000"),$W$7)-SUMIFS(INDIRECT("'"&amp;$W$30&amp;"'"&amp;"!$j$64:$j$5000"),INDIRECT("'"&amp;$W$30&amp;"'"&amp;"!$A$64:$A$5000"),$X$3)-AE40-AE38</f>
        <v>677036.41999999981</v>
      </c>
      <c r="AF35" s="4">
        <f ca="1">SUMIFS(INDIRECT("'"&amp;$W$30&amp;"'"&amp;"!$k$64:$k$5000"),INDIRECT("'"&amp;$W$30&amp;"'"&amp;"!$A$64:$A$5000"),$V$4)-SUMIFS(INDIRECT("'"&amp;$W$30&amp;"'"&amp;"!$k$64:$k$5000"),INDIRECT("'"&amp;$W$30&amp;"'"&amp;"!$A$64:$A$5000"),$V$5)-SUMIFS(INDIRECT("'"&amp;$W$30&amp;"'"&amp;"!$k$64:$k$5000"),INDIRECT("'"&amp;$W$30&amp;"'"&amp;"!$A$64:$A$5000"),$V$6)-SUMIFS(INDIRECT("'"&amp;$W$30&amp;"'"&amp;"!$k$64:$k$5000"),INDIRECT("'"&amp;$W$30&amp;"'"&amp;"!$A$64:$A$5000"),$W$6)-SUMIFS(INDIRECT("'"&amp;$W$30&amp;"'"&amp;"!$k$64:$k$5000"),INDIRECT("'"&amp;$W$30&amp;"'"&amp;"!$A$64:$A$5000"),$W$7)-SUMIFS(INDIRECT("'"&amp;$W$30&amp;"'"&amp;"!$k$64:$k$5000"),INDIRECT("'"&amp;$W$30&amp;"'"&amp;"!$A$64:$A$5000"),$X$3)-AF40-AF38</f>
        <v>598947.15999999957</v>
      </c>
      <c r="AG35" s="4">
        <f ca="1">SUMIFS(INDIRECT("'"&amp;$W$30&amp;"'"&amp;"!$l$64:$l$5000"),INDIRECT("'"&amp;$W$30&amp;"'"&amp;"!$A$64:$A$5000"),$V$4)-SUMIFS(INDIRECT("'"&amp;$W$30&amp;"'"&amp;"!$l$64:$l$5000"),INDIRECT("'"&amp;$W$30&amp;"'"&amp;"!$A$64:$A$5000"),$V$5)-SUMIFS(INDIRECT("'"&amp;$W$30&amp;"'"&amp;"!$l$64:$l$5000"),INDIRECT("'"&amp;$W$30&amp;"'"&amp;"!$A$64:$A$5000"),$V$6)-SUMIFS(INDIRECT("'"&amp;$W$30&amp;"'"&amp;"!$l$64:$l$5000"),INDIRECT("'"&amp;$W$30&amp;"'"&amp;"!$A$64:$A$5000"),$W$6)-SUMIFS(INDIRECT("'"&amp;$W$30&amp;"'"&amp;"!$l$64:$l$5000"),INDIRECT("'"&amp;$W$30&amp;"'"&amp;"!$A$64:$A$5000"),$W$7)-SUMIFS(INDIRECT("'"&amp;$W$30&amp;"'"&amp;"!$l$64:$l$5000"),INDIRECT("'"&amp;$W$30&amp;"'"&amp;"!$A$64:$A$5000"),$X$3)-AG40-AG38</f>
        <v>667283.01999999944</v>
      </c>
      <c r="AH35" s="4">
        <f ca="1">SUMIFS(INDIRECT("'"&amp;$W$30&amp;"'"&amp;"!$m$64:$m$5000"),INDIRECT("'"&amp;$W$30&amp;"'"&amp;"!$A$64:$A$5000"),$V$4)-SUMIFS(INDIRECT("'"&amp;$W$30&amp;"'"&amp;"!$m$64:$m$5000"),INDIRECT("'"&amp;$W$30&amp;"'"&amp;"!$A$64:$A$5000"),$V$5)-SUMIFS(INDIRECT("'"&amp;$W$30&amp;"'"&amp;"!$m$64:$m$5000"),INDIRECT("'"&amp;$W$30&amp;"'"&amp;"!$A$64:$A$5000"),$V$6)-SUMIFS(INDIRECT("'"&amp;$W$30&amp;"'"&amp;"!$m$64:$m$5000"),INDIRECT("'"&amp;$W$30&amp;"'"&amp;"!$A$64:$A$5000"),$W$6)-SUMIFS(INDIRECT("'"&amp;$W$30&amp;"'"&amp;"!$m$64:$m$5000"),INDIRECT("'"&amp;$W$30&amp;"'"&amp;"!$A$64:$A$5000"),$W$7)-SUMIFS(INDIRECT("'"&amp;$W$30&amp;"'"&amp;"!$m$64:$m$5000"),INDIRECT("'"&amp;$W$30&amp;"'"&amp;"!$A$64:$A$5000"),$X$3)-AH40-AH38</f>
        <v>714323.91999999993</v>
      </c>
      <c r="AJ35" s="14">
        <f t="shared" ca="1" si="66"/>
        <v>-0.34999999986030161</v>
      </c>
      <c r="AK35" s="14">
        <f t="shared" ca="1" si="66"/>
        <v>0.69999999995343387</v>
      </c>
      <c r="AL35" s="14">
        <f t="shared" ca="1" si="66"/>
        <v>1.3800000007031485</v>
      </c>
      <c r="AM35" s="14">
        <f t="shared" ca="1" si="66"/>
        <v>0.68999999994412065</v>
      </c>
      <c r="AN35" s="14">
        <f t="shared" ca="1" si="66"/>
        <v>60227.960000000079</v>
      </c>
      <c r="AO35" s="14">
        <f t="shared" ca="1" si="66"/>
        <v>-1.6200000003445894</v>
      </c>
      <c r="AP35" s="14">
        <f t="shared" ca="1" si="66"/>
        <v>0.15000000013969839</v>
      </c>
      <c r="AQ35" s="14">
        <f t="shared" ca="1" si="66"/>
        <v>-1.4400000007590279</v>
      </c>
      <c r="AR35" s="14">
        <f t="shared" ca="1" si="66"/>
        <v>-0.58000000019092113</v>
      </c>
      <c r="AS35" s="14">
        <f t="shared" ca="1" si="66"/>
        <v>0.159999999566935</v>
      </c>
      <c r="AT35" s="14">
        <f t="shared" ca="1" si="66"/>
        <v>1.9999999436549842E-2</v>
      </c>
      <c r="AU35" s="14">
        <f t="shared" ca="1" si="66"/>
        <v>-8.0000000074505806E-2</v>
      </c>
    </row>
    <row r="36" spans="1:47" s="12" customFormat="1">
      <c r="A36" s="12">
        <f t="shared" si="64"/>
        <v>3</v>
      </c>
      <c r="B36"/>
      <c r="C36" t="str">
        <f>$F31</f>
        <v>Park Manor of Humble</v>
      </c>
      <c r="D36" s="3" t="str">
        <f t="shared" si="44"/>
        <v>T_BAD_DEBT - Tenant Bad Debt Expense</v>
      </c>
      <c r="E36"/>
      <c r="F36" s="19" t="str">
        <f>_xll.EVDES(D36)</f>
        <v>Tenant Bad Debt Expense</v>
      </c>
      <c r="G36" s="61">
        <f ca="1">SUMIFS(OFFSET('BPC Data'!$F:$F,0,Summary!G$2),'BPC Data'!$E:$E,Summary!$D36,'BPC Data'!$B:$B,Summary!$C36)</f>
        <v>24196</v>
      </c>
      <c r="H36" s="65">
        <f ca="1">SUMIFS(OFFSET('BPC Data'!$F:$F,0,Summary!H$2),'BPC Data'!$E:$E,Summary!$D36,'BPC Data'!$B:$B,Summary!$C36)</f>
        <v>21691</v>
      </c>
      <c r="I36" s="61">
        <f ca="1">SUMIFS(OFFSET('BPC Data'!$F:$F,0,Summary!I$2),'BPC Data'!$E:$E,Summary!$D36,'BPC Data'!$B:$B,Summary!$C36)</f>
        <v>29963</v>
      </c>
      <c r="J36" s="65">
        <f ca="1">SUMIFS(OFFSET('BPC Data'!$F:$F,0,Summary!J$2),'BPC Data'!$E:$E,Summary!$D36,'BPC Data'!$B:$B,Summary!$C36)</f>
        <v>19139</v>
      </c>
      <c r="K36" s="61">
        <f ca="1">SUMIFS(OFFSET('BPC Data'!$F:$F,0,Summary!K$2),'BPC Data'!$E:$E,Summary!$D36,'BPC Data'!$B:$B,Summary!$C36)</f>
        <v>79323</v>
      </c>
      <c r="L36" s="65">
        <f ca="1">SUMIFS(OFFSET('BPC Data'!$F:$F,0,Summary!L$2),'BPC Data'!$E:$E,Summary!$D36,'BPC Data'!$B:$B,Summary!$C36)</f>
        <v>57209</v>
      </c>
      <c r="M36" s="61">
        <f ca="1">SUMIFS(OFFSET('BPC Data'!$F:$F,0,Summary!M$2),'BPC Data'!$E:$E,Summary!$D36,'BPC Data'!$B:$B,Summary!$C36)</f>
        <v>61459</v>
      </c>
      <c r="N36" s="65">
        <f ca="1">SUMIFS(OFFSET('BPC Data'!$F:$F,0,Summary!N$2),'BPC Data'!$E:$E,Summary!$D36,'BPC Data'!$B:$B,Summary!$C36)</f>
        <v>28553</v>
      </c>
      <c r="O36" s="61">
        <f ca="1">SUMIFS(OFFSET('BPC Data'!$F:$F,0,Summary!O$2),'BPC Data'!$E:$E,Summary!$D36,'BPC Data'!$B:$B,Summary!$C36)</f>
        <v>25652</v>
      </c>
      <c r="P36" s="65">
        <f ca="1">SUMIFS(OFFSET('BPC Data'!$F:$F,0,Summary!P$2),'BPC Data'!$E:$E,Summary!$D36,'BPC Data'!$B:$B,Summary!$C36)</f>
        <v>24215</v>
      </c>
      <c r="Q36" s="61">
        <f ca="1">SUMIFS(OFFSET('BPC Data'!$F:$F,0,Summary!Q$2),'BPC Data'!$E:$E,Summary!$D36,'BPC Data'!$B:$B,Summary!$C36)</f>
        <v>33753</v>
      </c>
      <c r="R36" s="65">
        <f ca="1">SUMIFS(OFFSET('BPC Data'!$F:$F,0,Summary!R$2),'BPC Data'!$E:$E,Summary!$D36,'BPC Data'!$B:$B,Summary!$C36)</f>
        <v>53498</v>
      </c>
      <c r="S36" s="23">
        <f t="shared" ca="1" si="65"/>
        <v>458651</v>
      </c>
      <c r="T36" s="75"/>
      <c r="U36" s="4"/>
      <c r="W36"/>
      <c r="X36"/>
      <c r="Y36"/>
      <c r="Z36"/>
      <c r="AA36"/>
      <c r="AB36"/>
      <c r="AC36"/>
      <c r="AD36"/>
      <c r="AE36"/>
      <c r="AF36"/>
      <c r="AG36"/>
      <c r="AH36"/>
      <c r="AJ36" s="14"/>
      <c r="AK36" s="49"/>
      <c r="AL36" s="49"/>
      <c r="AM36" s="49"/>
      <c r="AN36" s="49"/>
      <c r="AO36" s="49"/>
      <c r="AP36" s="49"/>
      <c r="AQ36" s="49"/>
      <c r="AR36" s="49"/>
      <c r="AS36" s="49"/>
      <c r="AT36" s="49"/>
      <c r="AU36" s="49"/>
    </row>
    <row r="37" spans="1:47" s="12" customFormat="1">
      <c r="A37" s="12">
        <f t="shared" si="64"/>
        <v>3</v>
      </c>
      <c r="B37"/>
      <c r="C37" t="str">
        <f>$F31</f>
        <v>Park Manor of Humble</v>
      </c>
      <c r="D37" s="2" t="str">
        <f t="shared" si="44"/>
        <v>T_EBITDARM - EBITDARM</v>
      </c>
      <c r="E37"/>
      <c r="F37" s="19" t="str">
        <f>_xll.EVDES(D37)</f>
        <v>EBITDARM</v>
      </c>
      <c r="G37" s="61">
        <f ca="1">SUMIFS(OFFSET('BPC Data'!$F:$F,0,Summary!G$2),'BPC Data'!$E:$E,Summary!$D37,'BPC Data'!$B:$B,Summary!$C37)</f>
        <v>23289</v>
      </c>
      <c r="H37" s="65">
        <f ca="1">SUMIFS(OFFSET('BPC Data'!$F:$F,0,Summary!H$2),'BPC Data'!$E:$E,Summary!$D37,'BPC Data'!$B:$B,Summary!$C37)</f>
        <v>205821</v>
      </c>
      <c r="I37" s="61">
        <f ca="1">SUMIFS(OFFSET('BPC Data'!$F:$F,0,Summary!I$2),'BPC Data'!$E:$E,Summary!$D37,'BPC Data'!$B:$B,Summary!$C37)</f>
        <v>268210</v>
      </c>
      <c r="J37" s="65">
        <f ca="1">SUMIFS(OFFSET('BPC Data'!$F:$F,0,Summary!J$2),'BPC Data'!$E:$E,Summary!$D37,'BPC Data'!$B:$B,Summary!$C37)</f>
        <v>196290</v>
      </c>
      <c r="K37" s="61">
        <f ca="1">SUMIFS(OFFSET('BPC Data'!$F:$F,0,Summary!K$2),'BPC Data'!$E:$E,Summary!$D37,'BPC Data'!$B:$B,Summary!$C37)</f>
        <v>377475</v>
      </c>
      <c r="L37" s="65">
        <f ca="1">SUMIFS(OFFSET('BPC Data'!$F:$F,0,Summary!L$2),'BPC Data'!$E:$E,Summary!$D37,'BPC Data'!$B:$B,Summary!$C37)</f>
        <v>78259</v>
      </c>
      <c r="M37" s="61">
        <f ca="1">SUMIFS(OFFSET('BPC Data'!$F:$F,0,Summary!M$2),'BPC Data'!$E:$E,Summary!$D37,'BPC Data'!$B:$B,Summary!$C37)</f>
        <v>18522</v>
      </c>
      <c r="N37" s="65">
        <f ca="1">SUMIFS(OFFSET('BPC Data'!$F:$F,0,Summary!N$2),'BPC Data'!$E:$E,Summary!$D37,'BPC Data'!$B:$B,Summary!$C37)</f>
        <v>150698</v>
      </c>
      <c r="O37" s="61">
        <f ca="1">SUMIFS(OFFSET('BPC Data'!$F:$F,0,Summary!O$2),'BPC Data'!$E:$E,Summary!$D37,'BPC Data'!$B:$B,Summary!$C37)</f>
        <v>81780</v>
      </c>
      <c r="P37" s="65">
        <f ca="1">SUMIFS(OFFSET('BPC Data'!$F:$F,0,Summary!P$2),'BPC Data'!$E:$E,Summary!$D37,'BPC Data'!$B:$B,Summary!$C37)</f>
        <v>158005</v>
      </c>
      <c r="Q37" s="61">
        <f ca="1">SUMIFS(OFFSET('BPC Data'!$F:$F,0,Summary!Q$2),'BPC Data'!$E:$E,Summary!$D37,'BPC Data'!$B:$B,Summary!$C37)</f>
        <v>127877</v>
      </c>
      <c r="R37" s="65">
        <f ca="1">SUMIFS(OFFSET('BPC Data'!$F:$F,0,Summary!R$2),'BPC Data'!$E:$E,Summary!$D37,'BPC Data'!$B:$B,Summary!$C37)</f>
        <v>153078</v>
      </c>
      <c r="S37" s="23">
        <f t="shared" ca="1" si="65"/>
        <v>1839304</v>
      </c>
      <c r="T37" s="74">
        <f ca="1">SUM(W37:AH37)</f>
        <v>560554.44000000169</v>
      </c>
      <c r="U37" s="54">
        <f ca="1">T37-S37</f>
        <v>-1278749.5599999982</v>
      </c>
      <c r="W37" s="50">
        <f t="shared" ref="W37" ca="1" si="67">W34-W35</f>
        <v>23289.640000000014</v>
      </c>
      <c r="X37" s="50">
        <f t="shared" ref="X37:AB37" ca="1" si="68">X34-X35</f>
        <v>205819.13999999827</v>
      </c>
      <c r="Y37" s="50">
        <f t="shared" ca="1" si="68"/>
        <v>268209.73999999871</v>
      </c>
      <c r="Z37" s="50">
        <f t="shared" ca="1" si="68"/>
        <v>196289.41999999981</v>
      </c>
      <c r="AA37" s="50">
        <f t="shared" ca="1" si="68"/>
        <v>-901277.91999999958</v>
      </c>
      <c r="AB37" s="50">
        <f t="shared" ca="1" si="68"/>
        <v>78260.370000000577</v>
      </c>
      <c r="AC37" s="50">
        <f t="shared" ref="AC37:AH37" ca="1" si="69">AC34-AC35</f>
        <v>18522.930000000051</v>
      </c>
      <c r="AD37" s="50">
        <f t="shared" ca="1" si="69"/>
        <v>150699.04000000108</v>
      </c>
      <c r="AE37" s="50">
        <f t="shared" ca="1" si="69"/>
        <v>81781.290000002133</v>
      </c>
      <c r="AF37" s="50">
        <f t="shared" ca="1" si="69"/>
        <v>158005.17000000097</v>
      </c>
      <c r="AG37" s="50">
        <f t="shared" ca="1" si="69"/>
        <v>127876.93999999983</v>
      </c>
      <c r="AH37" s="50">
        <f t="shared" ca="1" si="69"/>
        <v>153078.67999999982</v>
      </c>
      <c r="AJ37" s="14">
        <f t="shared" ref="AJ37:AU40" ca="1" si="70">W37-G37</f>
        <v>0.64000000001396984</v>
      </c>
      <c r="AK37" s="14">
        <f t="shared" ca="1" si="70"/>
        <v>-1.86000000173226</v>
      </c>
      <c r="AL37" s="14">
        <f t="shared" ca="1" si="70"/>
        <v>-0.26000000128988177</v>
      </c>
      <c r="AM37" s="14">
        <f t="shared" ca="1" si="70"/>
        <v>-0.58000000019092113</v>
      </c>
      <c r="AN37" s="14">
        <f t="shared" ca="1" si="70"/>
        <v>-1278752.9199999995</v>
      </c>
      <c r="AO37" s="14">
        <f t="shared" ca="1" si="70"/>
        <v>1.37000000057742</v>
      </c>
      <c r="AP37" s="14">
        <f t="shared" ca="1" si="70"/>
        <v>0.93000000005122274</v>
      </c>
      <c r="AQ37" s="14">
        <f t="shared" ca="1" si="70"/>
        <v>1.0400000010849908</v>
      </c>
      <c r="AR37" s="14">
        <f t="shared" ca="1" si="70"/>
        <v>1.2900000021327287</v>
      </c>
      <c r="AS37" s="14">
        <f t="shared" ca="1" si="70"/>
        <v>0.17000000097323209</v>
      </c>
      <c r="AT37" s="14">
        <f t="shared" ca="1" si="70"/>
        <v>-6.0000000172294676E-2</v>
      </c>
      <c r="AU37" s="14">
        <f t="shared" ca="1" si="70"/>
        <v>0.6799999998183921</v>
      </c>
    </row>
    <row r="38" spans="1:47" s="12" customFormat="1">
      <c r="A38" s="12">
        <f t="shared" si="64"/>
        <v>3</v>
      </c>
      <c r="B38"/>
      <c r="C38" t="str">
        <f>$F31</f>
        <v>Park Manor of Humble</v>
      </c>
      <c r="D38" s="2" t="str">
        <f t="shared" si="44"/>
        <v>T_MGMT_FEE - Tenant Management Fee - Actual</v>
      </c>
      <c r="E38"/>
      <c r="F38" s="19" t="str">
        <f>_xll.EVDES(D38)</f>
        <v>Tenant Management Fee - Actual</v>
      </c>
      <c r="G38" s="61">
        <f ca="1">SUMIFS(OFFSET('BPC Data'!$F:$F,0,Summary!G$2),'BPC Data'!$E:$E,Summary!$D38,'BPC Data'!$B:$B,Summary!$C38)</f>
        <v>30697</v>
      </c>
      <c r="H38" s="65">
        <f ca="1">SUMIFS(OFFSET('BPC Data'!$F:$F,0,Summary!H$2),'BPC Data'!$E:$E,Summary!$D38,'BPC Data'!$B:$B,Summary!$C38)</f>
        <v>36152</v>
      </c>
      <c r="I38" s="61">
        <f ca="1">SUMIFS(OFFSET('BPC Data'!$F:$F,0,Summary!I$2),'BPC Data'!$E:$E,Summary!$D38,'BPC Data'!$B:$B,Summary!$C38)</f>
        <v>38143</v>
      </c>
      <c r="J38" s="65">
        <f ca="1">SUMIFS(OFFSET('BPC Data'!$F:$F,0,Summary!J$2),'BPC Data'!$E:$E,Summary!$D38,'BPC Data'!$B:$B,Summary!$C38)</f>
        <v>31899</v>
      </c>
      <c r="K38" s="61">
        <f ca="1">SUMIFS(OFFSET('BPC Data'!$F:$F,0,Summary!K$2),'BPC Data'!$E:$E,Summary!$D38,'BPC Data'!$B:$B,Summary!$C38)</f>
        <v>37509</v>
      </c>
      <c r="L38" s="65">
        <f ca="1">SUMIFS(OFFSET('BPC Data'!$F:$F,0,Summary!L$2),'BPC Data'!$E:$E,Summary!$D38,'BPC Data'!$B:$B,Summary!$C38)</f>
        <v>35394</v>
      </c>
      <c r="M38" s="61">
        <f ca="1">SUMIFS(OFFSET('BPC Data'!$F:$F,0,Summary!M$2),'BPC Data'!$E:$E,Summary!$D38,'BPC Data'!$B:$B,Summary!$C38)</f>
        <v>27158</v>
      </c>
      <c r="N38" s="65">
        <f ca="1">SUMIFS(OFFSET('BPC Data'!$F:$F,0,Summary!N$2),'BPC Data'!$E:$E,Summary!$D38,'BPC Data'!$B:$B,Summary!$C38)</f>
        <v>37741</v>
      </c>
      <c r="O38" s="61">
        <f ca="1">SUMIFS(OFFSET('BPC Data'!$F:$F,0,Summary!O$2),'BPC Data'!$E:$E,Summary!$D38,'BPC Data'!$B:$B,Summary!$C38)</f>
        <v>37668</v>
      </c>
      <c r="P38" s="65">
        <f ca="1">SUMIFS(OFFSET('BPC Data'!$F:$F,0,Summary!P$2),'BPC Data'!$E:$E,Summary!$D38,'BPC Data'!$B:$B,Summary!$C38)</f>
        <v>37437</v>
      </c>
      <c r="Q38" s="61">
        <f ca="1">SUMIFS(OFFSET('BPC Data'!$F:$F,0,Summary!Q$2),'BPC Data'!$E:$E,Summary!$D38,'BPC Data'!$B:$B,Summary!$C38)</f>
        <v>39727</v>
      </c>
      <c r="R38" s="65">
        <f ca="1">SUMIFS(OFFSET('BPC Data'!$F:$F,0,Summary!R$2),'BPC Data'!$E:$E,Summary!$D38,'BPC Data'!$B:$B,Summary!$C38)</f>
        <v>39163</v>
      </c>
      <c r="S38" s="23">
        <f t="shared" ca="1" si="65"/>
        <v>428688</v>
      </c>
      <c r="T38" s="74">
        <f ca="1">SUM(W38:AH38)</f>
        <v>-898789</v>
      </c>
      <c r="U38" s="54">
        <f ca="1">T38-S38</f>
        <v>-1327477</v>
      </c>
      <c r="W38" s="4">
        <f ca="1">SUMIFS(INDIRECT("'"&amp;$W$30&amp;"'"&amp;"!$B$64:$B$5000"),INDIRECT("'"&amp;$W$30&amp;"'"&amp;"!$A$64:$A$5000"),$V$7)</f>
        <v>30697</v>
      </c>
      <c r="X38" s="4">
        <f ca="1">SUMIFS(INDIRECT("'"&amp;$W$30&amp;"'"&amp;"!$c$64:$c$5000"),INDIRECT("'"&amp;$W$30&amp;"'"&amp;"!$A$64:$A$5000"),$V$7)</f>
        <v>36152</v>
      </c>
      <c r="Y38" s="4">
        <f ca="1">SUMIFS(INDIRECT("'"&amp;$W$30&amp;"'"&amp;"!$d$64:$d$5000"),INDIRECT("'"&amp;$W$30&amp;"'"&amp;"!$A$64:$A$5000"),$V$7)</f>
        <v>38143</v>
      </c>
      <c r="Z38" s="4">
        <f ca="1">SUMIFS(INDIRECT("'"&amp;$W$30&amp;"'"&amp;"!$e$64:$e$5000"),INDIRECT("'"&amp;$W$30&amp;"'"&amp;"!$A$64:$A$5000"),$V$7)</f>
        <v>31899</v>
      </c>
      <c r="AA38" s="4">
        <f ca="1">SUMIFS(INDIRECT("'"&amp;$W$30&amp;"'"&amp;"!$f$64:$f$5000"),INDIRECT("'"&amp;$W$30&amp;"'"&amp;"!$A$64:$A$5000"),$V$7)</f>
        <v>-1289968</v>
      </c>
      <c r="AB38" s="4">
        <f ca="1">SUMIFS(INDIRECT("'"&amp;$W$30&amp;"'"&amp;"!$g$64:$g$5000"),INDIRECT("'"&amp;$W$30&amp;"'"&amp;"!$A$64:$A$5000"),$V$7)</f>
        <v>35394</v>
      </c>
      <c r="AC38" s="4">
        <f ca="1">SUMIFS(INDIRECT("'"&amp;$W$30&amp;"'"&amp;"!$h$64:$h$5000"),INDIRECT("'"&amp;$W$30&amp;"'"&amp;"!$A$64:$A$5000"),$V$7)</f>
        <v>27158</v>
      </c>
      <c r="AD38" s="4">
        <f ca="1">SUMIFS(INDIRECT("'"&amp;$W$30&amp;"'"&amp;"!$i$64:$i$5000"),INDIRECT("'"&amp;$W$30&amp;"'"&amp;"!$A$64:$A$5000"),$V$7)</f>
        <v>37741</v>
      </c>
      <c r="AE38" s="4">
        <f ca="1">SUMIFS(INDIRECT("'"&amp;$W$30&amp;"'"&amp;"!$j$64:$j$5000"),INDIRECT("'"&amp;$W$30&amp;"'"&amp;"!$A$64:$A$5000"),$V$7)</f>
        <v>37668</v>
      </c>
      <c r="AF38" s="4">
        <f ca="1">SUMIFS(INDIRECT("'"&amp;$W$30&amp;"'"&amp;"!$k$64:$k$5000"),INDIRECT("'"&amp;$W$30&amp;"'"&amp;"!$A$64:$A$5000"),$V$7)</f>
        <v>37437</v>
      </c>
      <c r="AG38" s="4">
        <f ca="1">SUMIFS(INDIRECT("'"&amp;$W$30&amp;"'"&amp;"!$l$64:$l$5000"),INDIRECT("'"&amp;$W$30&amp;"'"&amp;"!$A$64:$A$5000"),$V$7)</f>
        <v>39727</v>
      </c>
      <c r="AH38" s="4">
        <f ca="1">SUMIFS(INDIRECT("'"&amp;$W$30&amp;"'"&amp;"!$m$64:$m$5000"),INDIRECT("'"&amp;$W$30&amp;"'"&amp;"!$A$64:$A$5000"),$V$7)</f>
        <v>39163</v>
      </c>
      <c r="AJ38" s="14">
        <f t="shared" ca="1" si="70"/>
        <v>0</v>
      </c>
      <c r="AK38" s="14">
        <f t="shared" ca="1" si="70"/>
        <v>0</v>
      </c>
      <c r="AL38" s="14">
        <f t="shared" ca="1" si="70"/>
        <v>0</v>
      </c>
      <c r="AM38" s="14">
        <f t="shared" ca="1" si="70"/>
        <v>0</v>
      </c>
      <c r="AN38" s="14">
        <f t="shared" ca="1" si="70"/>
        <v>-1327477</v>
      </c>
      <c r="AO38" s="14">
        <f t="shared" ca="1" si="70"/>
        <v>0</v>
      </c>
      <c r="AP38" s="14">
        <f t="shared" ca="1" si="70"/>
        <v>0</v>
      </c>
      <c r="AQ38" s="14">
        <f t="shared" ca="1" si="70"/>
        <v>0</v>
      </c>
      <c r="AR38" s="14">
        <f t="shared" ca="1" si="70"/>
        <v>0</v>
      </c>
      <c r="AS38" s="14">
        <f t="shared" ca="1" si="70"/>
        <v>0</v>
      </c>
      <c r="AT38" s="14">
        <f t="shared" ca="1" si="70"/>
        <v>0</v>
      </c>
      <c r="AU38" s="14">
        <f t="shared" ca="1" si="70"/>
        <v>0</v>
      </c>
    </row>
    <row r="39" spans="1:47" s="12" customFormat="1">
      <c r="A39" s="12">
        <f t="shared" si="64"/>
        <v>3</v>
      </c>
      <c r="B39"/>
      <c r="C39" t="str">
        <f>$F31</f>
        <v>Park Manor of Humble</v>
      </c>
      <c r="D39" s="1" t="str">
        <f t="shared" si="44"/>
        <v>T_EBITDAR - EBITDAR</v>
      </c>
      <c r="E39"/>
      <c r="F39" s="19" t="str">
        <f>_xll.EVDES(D39)</f>
        <v>EBITDAR</v>
      </c>
      <c r="G39" s="61">
        <f ca="1">SUMIFS(OFFSET('BPC Data'!$F:$F,0,Summary!G$2),'BPC Data'!$E:$E,Summary!$D39,'BPC Data'!$B:$B,Summary!$C39)</f>
        <v>-7408</v>
      </c>
      <c r="H39" s="65">
        <f ca="1">SUMIFS(OFFSET('BPC Data'!$F:$F,0,Summary!H$2),'BPC Data'!$E:$E,Summary!$D39,'BPC Data'!$B:$B,Summary!$C39)</f>
        <v>169669</v>
      </c>
      <c r="I39" s="61">
        <f ca="1">SUMIFS(OFFSET('BPC Data'!$F:$F,0,Summary!I$2),'BPC Data'!$E:$E,Summary!$D39,'BPC Data'!$B:$B,Summary!$C39)</f>
        <v>230067</v>
      </c>
      <c r="J39" s="65">
        <f ca="1">SUMIFS(OFFSET('BPC Data'!$F:$F,0,Summary!J$2),'BPC Data'!$E:$E,Summary!$D39,'BPC Data'!$B:$B,Summary!$C39)</f>
        <v>164391</v>
      </c>
      <c r="K39" s="61">
        <f ca="1">SUMIFS(OFFSET('BPC Data'!$F:$F,0,Summary!K$2),'BPC Data'!$E:$E,Summary!$D39,'BPC Data'!$B:$B,Summary!$C39)</f>
        <v>339966</v>
      </c>
      <c r="L39" s="65">
        <f ca="1">SUMIFS(OFFSET('BPC Data'!$F:$F,0,Summary!L$2),'BPC Data'!$E:$E,Summary!$D39,'BPC Data'!$B:$B,Summary!$C39)</f>
        <v>42865</v>
      </c>
      <c r="M39" s="61">
        <f ca="1">SUMIFS(OFFSET('BPC Data'!$F:$F,0,Summary!M$2),'BPC Data'!$E:$E,Summary!$D39,'BPC Data'!$B:$B,Summary!$C39)</f>
        <v>-8636</v>
      </c>
      <c r="N39" s="65">
        <f ca="1">SUMIFS(OFFSET('BPC Data'!$F:$F,0,Summary!N$2),'BPC Data'!$E:$E,Summary!$D39,'BPC Data'!$B:$B,Summary!$C39)</f>
        <v>112957</v>
      </c>
      <c r="O39" s="61">
        <f ca="1">SUMIFS(OFFSET('BPC Data'!$F:$F,0,Summary!O$2),'BPC Data'!$E:$E,Summary!$D39,'BPC Data'!$B:$B,Summary!$C39)</f>
        <v>44112</v>
      </c>
      <c r="P39" s="65">
        <f ca="1">SUMIFS(OFFSET('BPC Data'!$F:$F,0,Summary!P$2),'BPC Data'!$E:$E,Summary!$D39,'BPC Data'!$B:$B,Summary!$C39)</f>
        <v>120568</v>
      </c>
      <c r="Q39" s="61">
        <f ca="1">SUMIFS(OFFSET('BPC Data'!$F:$F,0,Summary!Q$2),'BPC Data'!$E:$E,Summary!$D39,'BPC Data'!$B:$B,Summary!$C39)</f>
        <v>88150</v>
      </c>
      <c r="R39" s="65">
        <f ca="1">SUMIFS(OFFSET('BPC Data'!$F:$F,0,Summary!R$2),'BPC Data'!$E:$E,Summary!$D39,'BPC Data'!$B:$B,Summary!$C39)</f>
        <v>113915</v>
      </c>
      <c r="S39" s="23">
        <f t="shared" ca="1" si="65"/>
        <v>1410616</v>
      </c>
      <c r="T39" s="74">
        <f ca="1">SUM(W39:AH39)</f>
        <v>1459343.4400000018</v>
      </c>
      <c r="U39" s="54">
        <f ca="1">T39-S39</f>
        <v>48727.440000001807</v>
      </c>
      <c r="W39" s="50">
        <f t="shared" ref="W39" ca="1" si="71">W37-W38</f>
        <v>-7407.359999999986</v>
      </c>
      <c r="X39" s="50">
        <f t="shared" ref="X39:AB39" ca="1" si="72">X37-X38</f>
        <v>169667.13999999827</v>
      </c>
      <c r="Y39" s="50">
        <f t="shared" ca="1" si="72"/>
        <v>230066.73999999871</v>
      </c>
      <c r="Z39" s="50">
        <f t="shared" ca="1" si="72"/>
        <v>164390.41999999981</v>
      </c>
      <c r="AA39" s="50">
        <f t="shared" ca="1" si="72"/>
        <v>388690.08000000042</v>
      </c>
      <c r="AB39" s="50">
        <f t="shared" ca="1" si="72"/>
        <v>42866.370000000577</v>
      </c>
      <c r="AC39" s="50">
        <f t="shared" ref="AC39:AH39" ca="1" si="73">AC37-AC38</f>
        <v>-8635.0699999999488</v>
      </c>
      <c r="AD39" s="50">
        <f t="shared" ca="1" si="73"/>
        <v>112958.04000000108</v>
      </c>
      <c r="AE39" s="50">
        <f t="shared" ca="1" si="73"/>
        <v>44113.290000002133</v>
      </c>
      <c r="AF39" s="50">
        <f t="shared" ca="1" si="73"/>
        <v>120568.17000000097</v>
      </c>
      <c r="AG39" s="50">
        <f t="shared" ca="1" si="73"/>
        <v>88149.939999999828</v>
      </c>
      <c r="AH39" s="50">
        <f t="shared" ca="1" si="73"/>
        <v>113915.67999999982</v>
      </c>
      <c r="AJ39" s="14">
        <f t="shared" ca="1" si="70"/>
        <v>0.64000000001396984</v>
      </c>
      <c r="AK39" s="14">
        <f t="shared" ca="1" si="70"/>
        <v>-1.86000000173226</v>
      </c>
      <c r="AL39" s="14">
        <f t="shared" ca="1" si="70"/>
        <v>-0.26000000128988177</v>
      </c>
      <c r="AM39" s="14">
        <f t="shared" ca="1" si="70"/>
        <v>-0.58000000019092113</v>
      </c>
      <c r="AN39" s="14">
        <f t="shared" ca="1" si="70"/>
        <v>48724.080000000424</v>
      </c>
      <c r="AO39" s="14">
        <f t="shared" ca="1" si="70"/>
        <v>1.37000000057742</v>
      </c>
      <c r="AP39" s="14">
        <f t="shared" ca="1" si="70"/>
        <v>0.93000000005122274</v>
      </c>
      <c r="AQ39" s="14">
        <f t="shared" ca="1" si="70"/>
        <v>1.0400000010849908</v>
      </c>
      <c r="AR39" s="14">
        <f t="shared" ca="1" si="70"/>
        <v>1.2900000021327287</v>
      </c>
      <c r="AS39" s="14">
        <f t="shared" ca="1" si="70"/>
        <v>0.17000000097323209</v>
      </c>
      <c r="AT39" s="14">
        <f t="shared" ca="1" si="70"/>
        <v>-6.0000000172294676E-2</v>
      </c>
      <c r="AU39" s="14">
        <f t="shared" ca="1" si="70"/>
        <v>0.6799999998183921</v>
      </c>
    </row>
    <row r="40" spans="1:47" s="12" customFormat="1">
      <c r="A40" s="12">
        <f t="shared" si="64"/>
        <v>3</v>
      </c>
      <c r="B40"/>
      <c r="C40" t="str">
        <f>$F31</f>
        <v>Park Manor of Humble</v>
      </c>
      <c r="D40" s="1" t="str">
        <f t="shared" si="44"/>
        <v>T_RENT_EXP - Tenant Rent Expense</v>
      </c>
      <c r="E40"/>
      <c r="F40" s="19" t="str">
        <f>_xll.EVDES(D40)</f>
        <v>Tenant Rent Expense</v>
      </c>
      <c r="G40" s="61">
        <f ca="1">SUMIFS(OFFSET('BPC Data'!$F:$F,0,Summary!G$2),'BPC Data'!$E:$E,Summary!$D40,'BPC Data'!$B:$B,Summary!$C40)</f>
        <v>119676</v>
      </c>
      <c r="H40" s="65">
        <f ca="1">SUMIFS(OFFSET('BPC Data'!$F:$F,0,Summary!H$2),'BPC Data'!$E:$E,Summary!$D40,'BPC Data'!$B:$B,Summary!$C40)</f>
        <v>122608</v>
      </c>
      <c r="I40" s="61">
        <f ca="1">SUMIFS(OFFSET('BPC Data'!$F:$F,0,Summary!I$2),'BPC Data'!$E:$E,Summary!$D40,'BPC Data'!$B:$B,Summary!$C40)</f>
        <v>122608</v>
      </c>
      <c r="J40" s="65">
        <f ca="1">SUMIFS(OFFSET('BPC Data'!$F:$F,0,Summary!J$2),'BPC Data'!$E:$E,Summary!$D40,'BPC Data'!$B:$B,Summary!$C40)</f>
        <v>122608</v>
      </c>
      <c r="K40" s="61">
        <f ca="1">SUMIFS(OFFSET('BPC Data'!$F:$F,0,Summary!K$2),'BPC Data'!$E:$E,Summary!$D40,'BPC Data'!$B:$B,Summary!$C40)</f>
        <v>122608</v>
      </c>
      <c r="L40" s="65">
        <f ca="1">SUMIFS(OFFSET('BPC Data'!$F:$F,0,Summary!L$2),'BPC Data'!$E:$E,Summary!$D40,'BPC Data'!$B:$B,Summary!$C40)</f>
        <v>122608</v>
      </c>
      <c r="M40" s="61">
        <f ca="1">SUMIFS(OFFSET('BPC Data'!$F:$F,0,Summary!M$2),'BPC Data'!$E:$E,Summary!$D40,'BPC Data'!$B:$B,Summary!$C40)</f>
        <v>122608</v>
      </c>
      <c r="N40" s="65">
        <f ca="1">SUMIFS(OFFSET('BPC Data'!$F:$F,0,Summary!N$2),'BPC Data'!$E:$E,Summary!$D40,'BPC Data'!$B:$B,Summary!$C40)</f>
        <v>122608</v>
      </c>
      <c r="O40" s="61">
        <f ca="1">SUMIFS(OFFSET('BPC Data'!$F:$F,0,Summary!O$2),'BPC Data'!$E:$E,Summary!$D40,'BPC Data'!$B:$B,Summary!$C40)</f>
        <v>122608</v>
      </c>
      <c r="P40" s="65">
        <f ca="1">SUMIFS(OFFSET('BPC Data'!$F:$F,0,Summary!P$2),'BPC Data'!$E:$E,Summary!$D40,'BPC Data'!$B:$B,Summary!$C40)</f>
        <v>114550</v>
      </c>
      <c r="Q40" s="61">
        <f ca="1">SUMIFS(OFFSET('BPC Data'!$F:$F,0,Summary!Q$2),'BPC Data'!$E:$E,Summary!$D40,'BPC Data'!$B:$B,Summary!$C40)</f>
        <v>114550</v>
      </c>
      <c r="R40" s="65">
        <f ca="1">SUMIFS(OFFSET('BPC Data'!$F:$F,0,Summary!R$2),'BPC Data'!$E:$E,Summary!$D40,'BPC Data'!$B:$B,Summary!$C40)</f>
        <v>126587</v>
      </c>
      <c r="S40" s="23">
        <f t="shared" ca="1" si="65"/>
        <v>1456227</v>
      </c>
      <c r="T40" s="74">
        <f ca="1">SUM(W40:AH40)</f>
        <v>1327302.5399999998</v>
      </c>
      <c r="U40" s="54">
        <f ca="1">T40-S40</f>
        <v>-128924.4600000002</v>
      </c>
      <c r="W40" s="4">
        <f ca="1">SUMIFS(INDIRECT("'"&amp;$W$30&amp;"'"&amp;"!$B$64:$B$5000"),INDIRECT("'"&amp;$W$30&amp;"'"&amp;"!$A$64:$A$5000"),$W$3)+SUMIFS(INDIRECT("'"&amp;$W$30&amp;"'"&amp;"!$B$64:$B$5000"),INDIRECT("'"&amp;$W$30&amp;"'"&amp;"!$A$64:$A$5000"),$W$4)</f>
        <v>119676.34</v>
      </c>
      <c r="X40" s="4">
        <f ca="1">SUMIFS(INDIRECT("'"&amp;$W$30&amp;"'"&amp;"!$c$64:$c$5000"),INDIRECT("'"&amp;$W$30&amp;"'"&amp;"!$A$64:$A$5000"),$W$3)+SUMIFS(INDIRECT("'"&amp;$W$30&amp;"'"&amp;"!$c$64:$c$5000"),INDIRECT("'"&amp;$W$30&amp;"'"&amp;"!$A$64:$A$5000"),$W$4)</f>
        <v>122608.25</v>
      </c>
      <c r="Y40" s="4">
        <f ca="1">SUMIFS(INDIRECT("'"&amp;$W$30&amp;"'"&amp;"!$d$64:$d$5000"),INDIRECT("'"&amp;$W$30&amp;"'"&amp;"!$A$64:$A$5000"),$W$3)+SUMIFS(INDIRECT("'"&amp;$W$30&amp;"'"&amp;"!$d$64:$d$5000"),INDIRECT("'"&amp;$W$30&amp;"'"&amp;"!$A$64:$A$5000"),$W$4)</f>
        <v>122608.25</v>
      </c>
      <c r="Z40" s="4">
        <f ca="1">SUMIFS(INDIRECT("'"&amp;$W$30&amp;"'"&amp;"!$e$64:$e$5000"),INDIRECT("'"&amp;$W$30&amp;"'"&amp;"!$A$64:$A$5000"),$W$3)+SUMIFS(INDIRECT("'"&amp;$W$30&amp;"'"&amp;"!$e$64:$e$5000"),INDIRECT("'"&amp;$W$30&amp;"'"&amp;"!$A$64:$A$5000"),$W$4)</f>
        <v>122608.25</v>
      </c>
      <c r="AA40" s="4">
        <f ca="1">SUMIFS(INDIRECT("'"&amp;$W$30&amp;"'"&amp;"!$f$64:$f$5000"),INDIRECT("'"&amp;$W$30&amp;"'"&amp;"!$A$64:$A$5000"),$W$3)+SUMIFS(INDIRECT("'"&amp;$W$30&amp;"'"&amp;"!$f$64:$f$5000"),INDIRECT("'"&amp;$W$30&amp;"'"&amp;"!$A$64:$A$5000"),$W$4)</f>
        <v>-6318.75</v>
      </c>
      <c r="AB40" s="4">
        <f ca="1">SUMIFS(INDIRECT("'"&amp;$W$30&amp;"'"&amp;"!$g$64:$g$5000"),INDIRECT("'"&amp;$W$30&amp;"'"&amp;"!$A$64:$A$5000"),$W$3)+SUMIFS(INDIRECT("'"&amp;$W$30&amp;"'"&amp;"!$g$64:$g$5000"),INDIRECT("'"&amp;$W$30&amp;"'"&amp;"!$A$64:$A$5000"),$W$4)</f>
        <v>122608.25</v>
      </c>
      <c r="AC40" s="4">
        <f ca="1">SUMIFS(INDIRECT("'"&amp;$W$30&amp;"'"&amp;"!$h$64:$h$5000"),INDIRECT("'"&amp;$W$30&amp;"'"&amp;"!$A$64:$A$5000"),$W$3)+SUMIFS(INDIRECT("'"&amp;$W$30&amp;"'"&amp;"!$h$64:$h$5000"),INDIRECT("'"&amp;$W$30&amp;"'"&amp;"!$A$64:$A$5000"),$W$4)</f>
        <v>122608.25</v>
      </c>
      <c r="AD40" s="4">
        <f ca="1">SUMIFS(INDIRECT("'"&amp;$W$30&amp;"'"&amp;"!$i$64:$i$5000"),INDIRECT("'"&amp;$W$30&amp;"'"&amp;"!$A$64:$A$5000"),$W$3)+SUMIFS(INDIRECT("'"&amp;$W$30&amp;"'"&amp;"!$i$64:$i$5000"),INDIRECT("'"&amp;$W$30&amp;"'"&amp;"!$A$64:$A$5000"),$W$4)</f>
        <v>122608.25</v>
      </c>
      <c r="AE40" s="4">
        <f ca="1">SUMIFS(INDIRECT("'"&amp;$W$30&amp;"'"&amp;"!$j$64:$j$5000"),INDIRECT("'"&amp;$W$30&amp;"'"&amp;"!$A$64:$A$5000"),$W$3)+SUMIFS(INDIRECT("'"&amp;$W$30&amp;"'"&amp;"!$j$64:$j$5000"),INDIRECT("'"&amp;$W$30&amp;"'"&amp;"!$A$64:$A$5000"),$W$4)</f>
        <v>122608.25</v>
      </c>
      <c r="AF40" s="4">
        <f ca="1">SUMIFS(INDIRECT("'"&amp;$W$30&amp;"'"&amp;"!$k$64:$k$5000"),INDIRECT("'"&amp;$W$30&amp;"'"&amp;"!$A$64:$A$5000"),$W$3)+SUMIFS(INDIRECT("'"&amp;$W$30&amp;"'"&amp;"!$k$64:$k$5000"),INDIRECT("'"&amp;$W$30&amp;"'"&amp;"!$A$64:$A$5000"),$W$4)</f>
        <v>114550.25</v>
      </c>
      <c r="AG40" s="4">
        <f ca="1">SUMIFS(INDIRECT("'"&amp;$W$30&amp;"'"&amp;"!$l$64:$l$5000"),INDIRECT("'"&amp;$W$30&amp;"'"&amp;"!$A$64:$A$5000"),$W$3)+SUMIFS(INDIRECT("'"&amp;$W$30&amp;"'"&amp;"!$l$64:$l$5000"),INDIRECT("'"&amp;$W$30&amp;"'"&amp;"!$A$64:$A$5000"),$W$4)</f>
        <v>114550.25</v>
      </c>
      <c r="AH40" s="4">
        <f ca="1">SUMIFS(INDIRECT("'"&amp;$W$30&amp;"'"&amp;"!$m$64:$m$5000"),INDIRECT("'"&amp;$W$30&amp;"'"&amp;"!$A$64:$A$5000"),$W$3)+SUMIFS(INDIRECT("'"&amp;$W$30&amp;"'"&amp;"!$m$64:$m$5000"),INDIRECT("'"&amp;$W$30&amp;"'"&amp;"!$A$64:$A$5000"),$W$4)</f>
        <v>126586.70000000001</v>
      </c>
      <c r="AJ40" s="14">
        <f t="shared" ca="1" si="70"/>
        <v>0.33999999999650754</v>
      </c>
      <c r="AK40" s="14">
        <f t="shared" ca="1" si="70"/>
        <v>0.25</v>
      </c>
      <c r="AL40" s="14">
        <f t="shared" ca="1" si="70"/>
        <v>0.25</v>
      </c>
      <c r="AM40" s="14">
        <f t="shared" ca="1" si="70"/>
        <v>0.25</v>
      </c>
      <c r="AN40" s="14">
        <f t="shared" ca="1" si="70"/>
        <v>-128926.75</v>
      </c>
      <c r="AO40" s="14">
        <f t="shared" ca="1" si="70"/>
        <v>0.25</v>
      </c>
      <c r="AP40" s="14">
        <f t="shared" ca="1" si="70"/>
        <v>0.25</v>
      </c>
      <c r="AQ40" s="14">
        <f t="shared" ca="1" si="70"/>
        <v>0.25</v>
      </c>
      <c r="AR40" s="14">
        <f t="shared" ca="1" si="70"/>
        <v>0.25</v>
      </c>
      <c r="AS40" s="14">
        <f t="shared" ca="1" si="70"/>
        <v>0.25</v>
      </c>
      <c r="AT40" s="14">
        <f t="shared" ca="1" si="70"/>
        <v>0.25</v>
      </c>
      <c r="AU40" s="14">
        <f t="shared" ca="1" si="70"/>
        <v>-0.29999999998835847</v>
      </c>
    </row>
    <row r="41" spans="1:47" s="12" customFormat="1">
      <c r="A41" s="12">
        <f t="shared" si="64"/>
        <v>3</v>
      </c>
      <c r="B41"/>
      <c r="C41"/>
      <c r="D41" s="1" t="str">
        <f t="shared" si="44"/>
        <v>x</v>
      </c>
      <c r="E41"/>
      <c r="F41" s="19" t="s">
        <v>0</v>
      </c>
      <c r="G41" s="61">
        <f ca="1">SUMIFS(OFFSET('BPC Data'!$F:$F,0,Summary!G$2),'BPC Data'!$E:$E,Summary!$D41,'BPC Data'!$B:$B,Summary!$C41)</f>
        <v>0</v>
      </c>
      <c r="H41" s="65">
        <f ca="1">SUMIFS(OFFSET('BPC Data'!$F:$F,0,Summary!H$2),'BPC Data'!$E:$E,Summary!$D41,'BPC Data'!$B:$B,Summary!$C41)</f>
        <v>0</v>
      </c>
      <c r="I41" s="61">
        <f ca="1">SUMIFS(OFFSET('BPC Data'!$F:$F,0,Summary!I$2),'BPC Data'!$E:$E,Summary!$D41,'BPC Data'!$B:$B,Summary!$C41)</f>
        <v>0</v>
      </c>
      <c r="J41" s="65">
        <f ca="1">SUMIFS(OFFSET('BPC Data'!$F:$F,0,Summary!J$2),'BPC Data'!$E:$E,Summary!$D41,'BPC Data'!$B:$B,Summary!$C41)</f>
        <v>0</v>
      </c>
      <c r="K41" s="61">
        <f ca="1">SUMIFS(OFFSET('BPC Data'!$F:$F,0,Summary!K$2),'BPC Data'!$E:$E,Summary!$D41,'BPC Data'!$B:$B,Summary!$C41)</f>
        <v>0</v>
      </c>
      <c r="L41" s="65">
        <f ca="1">SUMIFS(OFFSET('BPC Data'!$F:$F,0,Summary!L$2),'BPC Data'!$E:$E,Summary!$D41,'BPC Data'!$B:$B,Summary!$C41)</f>
        <v>0</v>
      </c>
      <c r="M41" s="61">
        <f ca="1">SUMIFS(OFFSET('BPC Data'!$F:$F,0,Summary!M$2),'BPC Data'!$E:$E,Summary!$D41,'BPC Data'!$B:$B,Summary!$C41)</f>
        <v>0</v>
      </c>
      <c r="N41" s="65">
        <f ca="1">SUMIFS(OFFSET('BPC Data'!$F:$F,0,Summary!N$2),'BPC Data'!$E:$E,Summary!$D41,'BPC Data'!$B:$B,Summary!$C41)</f>
        <v>0</v>
      </c>
      <c r="O41" s="61">
        <f ca="1">SUMIFS(OFFSET('BPC Data'!$F:$F,0,Summary!O$2),'BPC Data'!$E:$E,Summary!$D41,'BPC Data'!$B:$B,Summary!$C41)</f>
        <v>0</v>
      </c>
      <c r="P41" s="65">
        <f ca="1">SUMIFS(OFFSET('BPC Data'!$F:$F,0,Summary!P$2),'BPC Data'!$E:$E,Summary!$D41,'BPC Data'!$B:$B,Summary!$C41)</f>
        <v>0</v>
      </c>
      <c r="Q41" s="61">
        <f ca="1">SUMIFS(OFFSET('BPC Data'!$F:$F,0,Summary!Q$2),'BPC Data'!$E:$E,Summary!$D41,'BPC Data'!$B:$B,Summary!$C41)</f>
        <v>0</v>
      </c>
      <c r="R41" s="65">
        <f ca="1">SUMIFS(OFFSET('BPC Data'!$F:$F,0,Summary!R$2),'BPC Data'!$E:$E,Summary!$D41,'BPC Data'!$B:$B,Summary!$C41)</f>
        <v>0</v>
      </c>
      <c r="S41" s="23">
        <f ca="1">SUM(G41:M41)</f>
        <v>0</v>
      </c>
      <c r="T41" s="76"/>
      <c r="W41" t="s">
        <v>298</v>
      </c>
      <c r="X41"/>
      <c r="Y41"/>
      <c r="Z41"/>
      <c r="AA41"/>
      <c r="AB41"/>
      <c r="AC41"/>
      <c r="AD41"/>
      <c r="AE41"/>
      <c r="AF41"/>
      <c r="AG41"/>
      <c r="AH41"/>
      <c r="AI41"/>
      <c r="AJ41" s="14"/>
      <c r="AK41" s="49"/>
      <c r="AL41" s="49"/>
      <c r="AM41" s="49"/>
      <c r="AN41" s="49"/>
      <c r="AO41" s="49"/>
      <c r="AP41" s="49"/>
      <c r="AQ41" s="49"/>
      <c r="AR41" s="49"/>
      <c r="AS41" s="49"/>
      <c r="AT41" s="49"/>
      <c r="AU41" s="49"/>
    </row>
    <row r="42" spans="1:47" s="12" customFormat="1">
      <c r="A42" s="12">
        <f>IF(AND(D42&lt;&gt;"",C42=""),A41+1,A41)</f>
        <v>4</v>
      </c>
      <c r="B42" s="5"/>
      <c r="C42" s="5"/>
      <c r="D42" s="5" t="str">
        <f t="shared" si="44"/>
        <v>x</v>
      </c>
      <c r="E42" s="5"/>
      <c r="F42" s="18" t="str">
        <f>INDEX(PropertyList!$D:$D,MATCH(Summary!$A42,PropertyList!$C:$C,0))</f>
        <v>Park Manor of Quail Valley</v>
      </c>
      <c r="G42" s="61">
        <f ca="1">SUMIFS(OFFSET('BPC Data'!$F:$F,0,Summary!G$2),'BPC Data'!$E:$E,Summary!$D42,'BPC Data'!$B:$B,Summary!$C42)</f>
        <v>0</v>
      </c>
      <c r="H42" s="65">
        <f ca="1">SUMIFS(OFFSET('BPC Data'!$F:$F,0,Summary!H$2),'BPC Data'!$E:$E,Summary!$D42,'BPC Data'!$B:$B,Summary!$C42)</f>
        <v>0</v>
      </c>
      <c r="I42" s="61">
        <f ca="1">SUMIFS(OFFSET('BPC Data'!$F:$F,0,Summary!I$2),'BPC Data'!$E:$E,Summary!$D42,'BPC Data'!$B:$B,Summary!$C42)</f>
        <v>0</v>
      </c>
      <c r="J42" s="65">
        <f ca="1">SUMIFS(OFFSET('BPC Data'!$F:$F,0,Summary!J$2),'BPC Data'!$E:$E,Summary!$D42,'BPC Data'!$B:$B,Summary!$C42)</f>
        <v>0</v>
      </c>
      <c r="K42" s="61">
        <f ca="1">SUMIFS(OFFSET('BPC Data'!$F:$F,0,Summary!K$2),'BPC Data'!$E:$E,Summary!$D42,'BPC Data'!$B:$B,Summary!$C42)</f>
        <v>0</v>
      </c>
      <c r="L42" s="65">
        <f ca="1">SUMIFS(OFFSET('BPC Data'!$F:$F,0,Summary!L$2),'BPC Data'!$E:$E,Summary!$D42,'BPC Data'!$B:$B,Summary!$C42)</f>
        <v>0</v>
      </c>
      <c r="M42" s="61">
        <f ca="1">SUMIFS(OFFSET('BPC Data'!$F:$F,0,Summary!M$2),'BPC Data'!$E:$E,Summary!$D42,'BPC Data'!$B:$B,Summary!$C42)</f>
        <v>0</v>
      </c>
      <c r="N42" s="65">
        <f ca="1">SUMIFS(OFFSET('BPC Data'!$F:$F,0,Summary!N$2),'BPC Data'!$E:$E,Summary!$D42,'BPC Data'!$B:$B,Summary!$C42)</f>
        <v>0</v>
      </c>
      <c r="O42" s="61">
        <f ca="1">SUMIFS(OFFSET('BPC Data'!$F:$F,0,Summary!O$2),'BPC Data'!$E:$E,Summary!$D42,'BPC Data'!$B:$B,Summary!$C42)</f>
        <v>0</v>
      </c>
      <c r="P42" s="65">
        <f ca="1">SUMIFS(OFFSET('BPC Data'!$F:$F,0,Summary!P$2),'BPC Data'!$E:$E,Summary!$D42,'BPC Data'!$B:$B,Summary!$C42)</f>
        <v>0</v>
      </c>
      <c r="Q42" s="61">
        <f ca="1">SUMIFS(OFFSET('BPC Data'!$F:$F,0,Summary!Q$2),'BPC Data'!$E:$E,Summary!$D42,'BPC Data'!$B:$B,Summary!$C42)</f>
        <v>0</v>
      </c>
      <c r="R42" s="65">
        <f ca="1">SUMIFS(OFFSET('BPC Data'!$F:$F,0,Summary!R$2),'BPC Data'!$E:$E,Summary!$D42,'BPC Data'!$B:$B,Summary!$C42)</f>
        <v>0</v>
      </c>
      <c r="S42" s="23">
        <f ca="1">SUM(G42:M42)</f>
        <v>0</v>
      </c>
      <c r="T42" s="76"/>
      <c r="W42" s="5" t="str">
        <f t="shared" ref="W42:AH42" si="74">+G$8</f>
        <v>Aug 2021</v>
      </c>
      <c r="X42" s="5" t="str">
        <f t="shared" si="74"/>
        <v>Sep 2021</v>
      </c>
      <c r="Y42" s="5" t="str">
        <f t="shared" si="74"/>
        <v>Oct 2021</v>
      </c>
      <c r="Z42" s="5" t="str">
        <f t="shared" si="74"/>
        <v>Nov 2021</v>
      </c>
      <c r="AA42" s="5" t="str">
        <f t="shared" si="74"/>
        <v>Dec 2021</v>
      </c>
      <c r="AB42" s="5" t="str">
        <f t="shared" si="74"/>
        <v>Jan 2022</v>
      </c>
      <c r="AC42" s="5" t="str">
        <f t="shared" si="74"/>
        <v>Feb 2022</v>
      </c>
      <c r="AD42" s="5" t="str">
        <f t="shared" si="74"/>
        <v>Mar 2022</v>
      </c>
      <c r="AE42" s="5" t="str">
        <f t="shared" si="74"/>
        <v>Apr 2022</v>
      </c>
      <c r="AF42" s="5" t="str">
        <f t="shared" si="74"/>
        <v>May 2022</v>
      </c>
      <c r="AG42" s="5" t="str">
        <f t="shared" si="74"/>
        <v>Jun 2022</v>
      </c>
      <c r="AH42" s="5" t="str">
        <f t="shared" si="74"/>
        <v>Jul 2022</v>
      </c>
      <c r="AI42" s="5"/>
      <c r="AJ42" s="174" t="str">
        <f>W$9</f>
        <v>Aug 2021</v>
      </c>
      <c r="AK42" s="174" t="str">
        <f t="shared" ref="AK42" si="75">X$9</f>
        <v>Sep 2021</v>
      </c>
      <c r="AL42" s="174" t="str">
        <f t="shared" ref="AL42" si="76">Y$9</f>
        <v>Oct 2021</v>
      </c>
      <c r="AM42" s="174" t="str">
        <f t="shared" ref="AM42" si="77">Z$9</f>
        <v>Nov 2021</v>
      </c>
      <c r="AN42" s="174" t="str">
        <f t="shared" ref="AN42:AO42" si="78">AA$9</f>
        <v>Dec 2021</v>
      </c>
      <c r="AO42" s="174" t="str">
        <f t="shared" si="78"/>
        <v>Jan 2022</v>
      </c>
      <c r="AP42" s="174" t="str">
        <f t="shared" ref="AP42" si="79">AC$9</f>
        <v>Feb 2022</v>
      </c>
      <c r="AQ42" s="174" t="str">
        <f t="shared" ref="AQ42" si="80">AD$9</f>
        <v>Mar 2022</v>
      </c>
      <c r="AR42" s="174" t="str">
        <f t="shared" ref="AR42" si="81">AE$9</f>
        <v>Apr 2022</v>
      </c>
      <c r="AS42" s="174" t="str">
        <f t="shared" ref="AS42" si="82">AF$9</f>
        <v>May 2022</v>
      </c>
      <c r="AT42" s="174" t="str">
        <f t="shared" ref="AT42" si="83">AG$9</f>
        <v>Jun 2022</v>
      </c>
      <c r="AU42" s="174" t="str">
        <f t="shared" ref="AU42" si="84">AH$9</f>
        <v>Jul 2022</v>
      </c>
    </row>
    <row r="43" spans="1:47" s="12" customFormat="1">
      <c r="A43" s="12">
        <f>IF(AND(F43&lt;&gt;"",D43=""),A42+1,A42)</f>
        <v>4</v>
      </c>
      <c r="C43" t="str">
        <f>$F42</f>
        <v>Park Manor of Quail Valley</v>
      </c>
      <c r="D43" s="3" t="str">
        <f t="shared" si="44"/>
        <v>PAY_PAT_DAYS - Total Payor Patient Days</v>
      </c>
      <c r="F43" s="19" t="str">
        <f>_xll.EVDES(D43)</f>
        <v>Total Payor Patient Days</v>
      </c>
      <c r="G43" s="61">
        <f ca="1">SUMIFS(OFFSET('BPC Data'!$F:$F,0,Summary!G$2),'BPC Data'!$E:$E,Summary!$D43,'BPC Data'!$B:$B,Summary!$C43)</f>
        <v>2439</v>
      </c>
      <c r="H43" s="65">
        <f ca="1">SUMIFS(OFFSET('BPC Data'!$F:$F,0,Summary!H$2),'BPC Data'!$E:$E,Summary!$D43,'BPC Data'!$B:$B,Summary!$C43)</f>
        <v>2189</v>
      </c>
      <c r="I43" s="61">
        <f ca="1">SUMIFS(OFFSET('BPC Data'!$F:$F,0,Summary!I$2),'BPC Data'!$E:$E,Summary!$D43,'BPC Data'!$B:$B,Summary!$C43)</f>
        <v>2248</v>
      </c>
      <c r="J43" s="65">
        <f ca="1">SUMIFS(OFFSET('BPC Data'!$F:$F,0,Summary!J$2),'BPC Data'!$E:$E,Summary!$D43,'BPC Data'!$B:$B,Summary!$C43)</f>
        <v>2226</v>
      </c>
      <c r="K43" s="61">
        <f ca="1">SUMIFS(OFFSET('BPC Data'!$F:$F,0,Summary!K$2),'BPC Data'!$E:$E,Summary!$D43,'BPC Data'!$B:$B,Summary!$C43)</f>
        <v>2095</v>
      </c>
      <c r="L43" s="65">
        <f ca="1">SUMIFS(OFFSET('BPC Data'!$F:$F,0,Summary!L$2),'BPC Data'!$E:$E,Summary!$D43,'BPC Data'!$B:$B,Summary!$C43)</f>
        <v>2254</v>
      </c>
      <c r="M43" s="61">
        <f ca="1">SUMIFS(OFFSET('BPC Data'!$F:$F,0,Summary!M$2),'BPC Data'!$E:$E,Summary!$D43,'BPC Data'!$B:$B,Summary!$C43)</f>
        <v>2273</v>
      </c>
      <c r="N43" s="65">
        <f ca="1">SUMIFS(OFFSET('BPC Data'!$F:$F,0,Summary!N$2),'BPC Data'!$E:$E,Summary!$D43,'BPC Data'!$B:$B,Summary!$C43)</f>
        <v>2245</v>
      </c>
      <c r="O43" s="61">
        <f ca="1">SUMIFS(OFFSET('BPC Data'!$F:$F,0,Summary!O$2),'BPC Data'!$E:$E,Summary!$D43,'BPC Data'!$B:$B,Summary!$C43)</f>
        <v>2205</v>
      </c>
      <c r="P43" s="65">
        <f ca="1">SUMIFS(OFFSET('BPC Data'!$F:$F,0,Summary!P$2),'BPC Data'!$E:$E,Summary!$D43,'BPC Data'!$B:$B,Summary!$C43)</f>
        <v>2211</v>
      </c>
      <c r="Q43" s="61">
        <f ca="1">SUMIFS(OFFSET('BPC Data'!$F:$F,0,Summary!Q$2),'BPC Data'!$E:$E,Summary!$D43,'BPC Data'!$B:$B,Summary!$C43)</f>
        <v>2565</v>
      </c>
      <c r="R43" s="65">
        <f ca="1">SUMIFS(OFFSET('BPC Data'!$F:$F,0,Summary!R$2),'BPC Data'!$E:$E,Summary!$D43,'BPC Data'!$B:$B,Summary!$C43)</f>
        <v>2682</v>
      </c>
      <c r="S43" s="23">
        <f ca="1">SUM(G43:R43)</f>
        <v>27632</v>
      </c>
      <c r="T43" s="74">
        <f ca="1">SUM(W43:AH43)</f>
        <v>27632</v>
      </c>
      <c r="U43" s="54">
        <f ca="1">T43-S43</f>
        <v>0</v>
      </c>
      <c r="W43" s="4">
        <f ca="1">SUMIFS(INDIRECT("'"&amp;$W$41&amp;"'"&amp;"!$B$1:$B$5000"),INDIRECT("'"&amp;$W$41&amp;"'"&amp;"!$A$1:$A$5000"),$W$2)</f>
        <v>2439</v>
      </c>
      <c r="X43" s="4">
        <f ca="1">SUMIFS(INDIRECT("'"&amp;$W$41&amp;"'"&amp;"!$c$1:$c$5000"),INDIRECT("'"&amp;$W$41&amp;"'"&amp;"!$A$1:$A$5000"),$W$2)</f>
        <v>2189</v>
      </c>
      <c r="Y43" s="4">
        <f ca="1">SUMIFS(INDIRECT("'"&amp;$W$41&amp;"'"&amp;"!$d$1:$d$5000"),INDIRECT("'"&amp;$W$41&amp;"'"&amp;"!$A$1:$A$5000"),$W$2)</f>
        <v>2248</v>
      </c>
      <c r="Z43" s="4">
        <f ca="1">SUMIFS(INDIRECT("'"&amp;$W$41&amp;"'"&amp;"!$e$1:$e$5000"),INDIRECT("'"&amp;$W$41&amp;"'"&amp;"!$A$1:$A$5000"),$W$2)</f>
        <v>2226</v>
      </c>
      <c r="AA43" s="4">
        <f ca="1">SUMIFS(INDIRECT("'"&amp;$W$41&amp;"'"&amp;"!$f$1:$f$5000"),INDIRECT("'"&amp;$W$41&amp;"'"&amp;"!$A$1:$A$5000"),$W$2)</f>
        <v>2095</v>
      </c>
      <c r="AB43" s="4">
        <f ca="1">SUMIFS(INDIRECT("'"&amp;$W$41&amp;"'"&amp;"!$g$1:$g$5000"),INDIRECT("'"&amp;$W$41&amp;"'"&amp;"!$A$1:$A$5000"),$W$2)</f>
        <v>2254</v>
      </c>
      <c r="AC43" s="4">
        <f ca="1">SUMIFS(INDIRECT("'"&amp;$W$41&amp;"'"&amp;"!$h$1:$h$5000"),INDIRECT("'"&amp;$W$41&amp;"'"&amp;"!$A$1:$A$5000"),$W$2)</f>
        <v>2273</v>
      </c>
      <c r="AD43" s="4">
        <f ca="1">SUMIFS(INDIRECT("'"&amp;$W$41&amp;"'"&amp;"!$i$1:$i$5000"),INDIRECT("'"&amp;$W$41&amp;"'"&amp;"!$A$1:$A$5000"),$W$2)</f>
        <v>2245</v>
      </c>
      <c r="AE43" s="4">
        <f ca="1">SUMIFS(INDIRECT("'"&amp;$W$41&amp;"'"&amp;"!$j$1:$j$5000"),INDIRECT("'"&amp;$W$41&amp;"'"&amp;"!$A$1:$A$5000"),$W$2)</f>
        <v>2205</v>
      </c>
      <c r="AF43" s="4">
        <f ca="1">SUMIFS(INDIRECT("'"&amp;$W$41&amp;"'"&amp;"!$k$1:$k$5000"),INDIRECT("'"&amp;$W$41&amp;"'"&amp;"!$A$1:$A$5000"),$W$2)</f>
        <v>2211</v>
      </c>
      <c r="AG43" s="4">
        <f ca="1">SUMIFS(INDIRECT("'"&amp;$W$41&amp;"'"&amp;"!$l$1:$l$5000"),INDIRECT("'"&amp;$W$41&amp;"'"&amp;"!$A$1:$A$5000"),$W$2)</f>
        <v>2565</v>
      </c>
      <c r="AH43" s="4">
        <f ca="1">SUMIFS(INDIRECT("'"&amp;$W$41&amp;"'"&amp;"!$m$1:$m$5000"),INDIRECT("'"&amp;$W$41&amp;"'"&amp;"!$A$1:$A$5000"),$W$2)</f>
        <v>2682</v>
      </c>
      <c r="AJ43" s="14">
        <f t="shared" ref="AJ43:AU43" ca="1" si="85">W43-G43</f>
        <v>0</v>
      </c>
      <c r="AK43" s="14">
        <f t="shared" ca="1" si="85"/>
        <v>0</v>
      </c>
      <c r="AL43" s="14">
        <f t="shared" ca="1" si="85"/>
        <v>0</v>
      </c>
      <c r="AM43" s="14">
        <f t="shared" ca="1" si="85"/>
        <v>0</v>
      </c>
      <c r="AN43" s="14">
        <f t="shared" ca="1" si="85"/>
        <v>0</v>
      </c>
      <c r="AO43" s="14">
        <f t="shared" ca="1" si="85"/>
        <v>0</v>
      </c>
      <c r="AP43" s="14">
        <f t="shared" ca="1" si="85"/>
        <v>0</v>
      </c>
      <c r="AQ43" s="14">
        <f t="shared" ca="1" si="85"/>
        <v>0</v>
      </c>
      <c r="AR43" s="14">
        <f t="shared" ca="1" si="85"/>
        <v>0</v>
      </c>
      <c r="AS43" s="14">
        <f t="shared" ca="1" si="85"/>
        <v>0</v>
      </c>
      <c r="AT43" s="14">
        <f t="shared" ca="1" si="85"/>
        <v>0</v>
      </c>
      <c r="AU43" s="14">
        <f t="shared" ca="1" si="85"/>
        <v>0</v>
      </c>
    </row>
    <row r="44" spans="1:47" s="12" customFormat="1">
      <c r="A44" s="12">
        <f t="shared" ref="A44:A52" si="86">IF(AND(F44&lt;&gt;"",D44=""),A43+1,A43)</f>
        <v>4</v>
      </c>
      <c r="C44" t="str">
        <f>$F42</f>
        <v>Park Manor of Quail Valley</v>
      </c>
      <c r="D44" s="3" t="str">
        <f t="shared" si="44"/>
        <v>A_BEDS_TOTAL - Total Available Beds</v>
      </c>
      <c r="F44" s="19" t="str">
        <f>_xll.EVDES(D44)</f>
        <v>Total Available Beds</v>
      </c>
      <c r="G44" s="61">
        <f ca="1">SUMIFS(OFFSET('BPC Data'!$F:$F,0,Summary!G$2),'BPC Data'!$E:$E,Summary!$D44,'BPC Data'!$B:$B,Summary!$C44)</f>
        <v>125</v>
      </c>
      <c r="H44" s="65">
        <f ca="1">SUMIFS(OFFSET('BPC Data'!$F:$F,0,Summary!H$2),'BPC Data'!$E:$E,Summary!$D44,'BPC Data'!$B:$B,Summary!$C44)</f>
        <v>125</v>
      </c>
      <c r="I44" s="61">
        <f ca="1">SUMIFS(OFFSET('BPC Data'!$F:$F,0,Summary!I$2),'BPC Data'!$E:$E,Summary!$D44,'BPC Data'!$B:$B,Summary!$C44)</f>
        <v>125</v>
      </c>
      <c r="J44" s="65">
        <f ca="1">SUMIFS(OFFSET('BPC Data'!$F:$F,0,Summary!J$2),'BPC Data'!$E:$E,Summary!$D44,'BPC Data'!$B:$B,Summary!$C44)</f>
        <v>125</v>
      </c>
      <c r="K44" s="61">
        <f ca="1">SUMIFS(OFFSET('BPC Data'!$F:$F,0,Summary!K$2),'BPC Data'!$E:$E,Summary!$D44,'BPC Data'!$B:$B,Summary!$C44)</f>
        <v>125</v>
      </c>
      <c r="L44" s="65">
        <f ca="1">SUMIFS(OFFSET('BPC Data'!$F:$F,0,Summary!L$2),'BPC Data'!$E:$E,Summary!$D44,'BPC Data'!$B:$B,Summary!$C44)</f>
        <v>125</v>
      </c>
      <c r="M44" s="61">
        <f ca="1">SUMIFS(OFFSET('BPC Data'!$F:$F,0,Summary!M$2),'BPC Data'!$E:$E,Summary!$D44,'BPC Data'!$B:$B,Summary!$C44)</f>
        <v>125</v>
      </c>
      <c r="N44" s="65">
        <f ca="1">SUMIFS(OFFSET('BPC Data'!$F:$F,0,Summary!N$2),'BPC Data'!$E:$E,Summary!$D44,'BPC Data'!$B:$B,Summary!$C44)</f>
        <v>125</v>
      </c>
      <c r="O44" s="61">
        <f ca="1">SUMIFS(OFFSET('BPC Data'!$F:$F,0,Summary!O$2),'BPC Data'!$E:$E,Summary!$D44,'BPC Data'!$B:$B,Summary!$C44)</f>
        <v>125</v>
      </c>
      <c r="P44" s="65">
        <f ca="1">SUMIFS(OFFSET('BPC Data'!$F:$F,0,Summary!P$2),'BPC Data'!$E:$E,Summary!$D44,'BPC Data'!$B:$B,Summary!$C44)</f>
        <v>125</v>
      </c>
      <c r="Q44" s="61">
        <f ca="1">SUMIFS(OFFSET('BPC Data'!$F:$F,0,Summary!Q$2),'BPC Data'!$E:$E,Summary!$D44,'BPC Data'!$B:$B,Summary!$C44)</f>
        <v>125</v>
      </c>
      <c r="R44" s="65">
        <f ca="1">SUMIFS(OFFSET('BPC Data'!$F:$F,0,Summary!R$2),'BPC Data'!$E:$E,Summary!$D44,'BPC Data'!$B:$B,Summary!$C44)</f>
        <v>125</v>
      </c>
      <c r="S44" s="23">
        <f ca="1">+R44</f>
        <v>125</v>
      </c>
      <c r="T44" s="74"/>
      <c r="U44" s="54"/>
      <c r="AJ44" s="49"/>
      <c r="AK44" s="49"/>
      <c r="AL44" s="49"/>
      <c r="AM44" s="49"/>
      <c r="AN44" s="49"/>
      <c r="AO44" s="49"/>
      <c r="AP44" s="49"/>
      <c r="AQ44" s="49"/>
      <c r="AR44" s="49"/>
      <c r="AS44" s="49"/>
      <c r="AT44" s="49"/>
      <c r="AU44" s="49"/>
    </row>
    <row r="45" spans="1:47" s="12" customFormat="1">
      <c r="A45" s="12">
        <f t="shared" si="86"/>
        <v>4</v>
      </c>
      <c r="B45"/>
      <c r="C45" t="str">
        <f>$F42</f>
        <v>Park Manor of Quail Valley</v>
      </c>
      <c r="D45" s="3" t="str">
        <f t="shared" si="44"/>
        <v>T_REVENUES - Total Tenant Revenues</v>
      </c>
      <c r="E45"/>
      <c r="F45" s="19" t="str">
        <f>_xll.EVDES(D45)</f>
        <v>Total Tenant Revenues</v>
      </c>
      <c r="G45" s="61">
        <f ca="1">SUMIFS(OFFSET('BPC Data'!$F:$F,0,Summary!G$2),'BPC Data'!$E:$E,Summary!$D45,'BPC Data'!$B:$B,Summary!$C45)</f>
        <v>763066</v>
      </c>
      <c r="H45" s="65">
        <f ca="1">SUMIFS(OFFSET('BPC Data'!$F:$F,0,Summary!H$2),'BPC Data'!$E:$E,Summary!$D45,'BPC Data'!$B:$B,Summary!$C45)</f>
        <v>716461</v>
      </c>
      <c r="I45" s="61">
        <f ca="1">SUMIFS(OFFSET('BPC Data'!$F:$F,0,Summary!I$2),'BPC Data'!$E:$E,Summary!$D45,'BPC Data'!$B:$B,Summary!$C45)</f>
        <v>737317</v>
      </c>
      <c r="J45" s="65">
        <f ca="1">SUMIFS(OFFSET('BPC Data'!$F:$F,0,Summary!J$2),'BPC Data'!$E:$E,Summary!$D45,'BPC Data'!$B:$B,Summary!$C45)</f>
        <v>772922</v>
      </c>
      <c r="K45" s="61">
        <f ca="1">SUMIFS(OFFSET('BPC Data'!$F:$F,0,Summary!K$2),'BPC Data'!$E:$E,Summary!$D45,'BPC Data'!$B:$B,Summary!$C45)</f>
        <v>654919</v>
      </c>
      <c r="L45" s="65">
        <f ca="1">SUMIFS(OFFSET('BPC Data'!$F:$F,0,Summary!L$2),'BPC Data'!$E:$E,Summary!$D45,'BPC Data'!$B:$B,Summary!$C45)</f>
        <v>819223</v>
      </c>
      <c r="M45" s="61">
        <f ca="1">SUMIFS(OFFSET('BPC Data'!$F:$F,0,Summary!M$2),'BPC Data'!$E:$E,Summary!$D45,'BPC Data'!$B:$B,Summary!$C45)</f>
        <v>796905</v>
      </c>
      <c r="N45" s="65">
        <f ca="1">SUMIFS(OFFSET('BPC Data'!$F:$F,0,Summary!N$2),'BPC Data'!$E:$E,Summary!$D45,'BPC Data'!$B:$B,Summary!$C45)</f>
        <v>737623</v>
      </c>
      <c r="O45" s="61">
        <f ca="1">SUMIFS(OFFSET('BPC Data'!$F:$F,0,Summary!O$2),'BPC Data'!$E:$E,Summary!$D45,'BPC Data'!$B:$B,Summary!$C45)</f>
        <v>695745</v>
      </c>
      <c r="P45" s="65">
        <f ca="1">SUMIFS(OFFSET('BPC Data'!$F:$F,0,Summary!P$2),'BPC Data'!$E:$E,Summary!$D45,'BPC Data'!$B:$B,Summary!$C45)</f>
        <v>694591</v>
      </c>
      <c r="Q45" s="61">
        <f ca="1">SUMIFS(OFFSET('BPC Data'!$F:$F,0,Summary!Q$2),'BPC Data'!$E:$E,Summary!$D45,'BPC Data'!$B:$B,Summary!$C45)</f>
        <v>872789</v>
      </c>
      <c r="R45" s="65">
        <f ca="1">SUMIFS(OFFSET('BPC Data'!$F:$F,0,Summary!R$2),'BPC Data'!$E:$E,Summary!$D45,'BPC Data'!$B:$B,Summary!$C45)</f>
        <v>922317</v>
      </c>
      <c r="S45" s="23">
        <f t="shared" ref="S45:S51" ca="1" si="87">SUM(G45:R45)</f>
        <v>9183878</v>
      </c>
      <c r="T45" s="74">
        <f ca="1">SUM(W45:AH45)</f>
        <v>8398968.129999999</v>
      </c>
      <c r="U45" s="54">
        <f ca="1">T45-S45</f>
        <v>-784909.87000000104</v>
      </c>
      <c r="W45" s="4">
        <f ca="1">SUMIFS(INDIRECT("'"&amp;$W$41&amp;"'"&amp;"!$B$64:$B$5000"),INDIRECT("'"&amp;$W$41&amp;"'"&amp;"!$A$64:$A$5000"),$V$1)-SUMIFS(INDIRECT("'"&amp;$W$41&amp;"'"&amp;"!$B$64:$B$5000"),INDIRECT("'"&amp;$W$41&amp;"'"&amp;"!$A$64:$A$5000"),$V$2)-SUMIFS(INDIRECT("'"&amp;$W$41&amp;"'"&amp;"!$B$64:$B$5000"),INDIRECT("'"&amp;$W$41&amp;"'"&amp;"!$A$64:$A$5000"),$V$3)-SUMIFS(INDIRECT("'"&amp;$W$41&amp;"'"&amp;"!$B$64:$B$5000"),INDIRECT("'"&amp;$W$41&amp;"'"&amp;"!$A$64:$A$5000"),$X$4)-SUMIFS(INDIRECT("'"&amp;$W$41&amp;"'"&amp;"!$B$64:$B$5000"),INDIRECT("'"&amp;$W$41&amp;"'"&amp;"!$A$64:$A$5000"),$X$3)</f>
        <v>763065.45999999926</v>
      </c>
      <c r="X45" s="4">
        <f ca="1">SUMIFS(INDIRECT("'"&amp;$W$41&amp;"'"&amp;"!$c$64:$c$5000"),INDIRECT("'"&amp;$W$41&amp;"'"&amp;"!$A$64:$A$5000"),$V$1)-SUMIFS(INDIRECT("'"&amp;$W$41&amp;"'"&amp;"!$c$64:$c$5000"),INDIRECT("'"&amp;$W$41&amp;"'"&amp;"!$A$64:$A$5000"),$V$2)-SUMIFS(INDIRECT("'"&amp;$W$41&amp;"'"&amp;"!$c$64:$c$5000"),INDIRECT("'"&amp;$W$41&amp;"'"&amp;"!$A$64:$A$5000"),$V$3)-SUMIFS(INDIRECT("'"&amp;$W$41&amp;"'"&amp;"!$c$64:$c$5000"),INDIRECT("'"&amp;$W$41&amp;"'"&amp;"!$A$64:$A$5000"),$X$4)-SUMIFS(INDIRECT("'"&amp;$W$41&amp;"'"&amp;"!$c$64:$c$5000"),INDIRECT("'"&amp;$W$41&amp;"'"&amp;"!$A$64:$A$5000"),$X$3)</f>
        <v>716461.35000000033</v>
      </c>
      <c r="Y45" s="4">
        <f ca="1">SUMIFS(INDIRECT("'"&amp;$W$41&amp;"'"&amp;"!$d$64:$d$5000"),INDIRECT("'"&amp;$W$41&amp;"'"&amp;"!$A$64:$A$5000"),$V$1)-SUMIFS(INDIRECT("'"&amp;$W$41&amp;"'"&amp;"!$d$64:$d$5000"),INDIRECT("'"&amp;$W$41&amp;"'"&amp;"!$A$64:$A$5000"),$V$2)-SUMIFS(INDIRECT("'"&amp;$W$41&amp;"'"&amp;"!$d$64:$d$5000"),INDIRECT("'"&amp;$W$41&amp;"'"&amp;"!$A$64:$A$5000"),$V$3)-SUMIFS(INDIRECT("'"&amp;$W$41&amp;"'"&amp;"!$d$64:$d$5000"),INDIRECT("'"&amp;$W$41&amp;"'"&amp;"!$A$64:$A$5000"),$X$4)-SUMIFS(INDIRECT("'"&amp;$W$41&amp;"'"&amp;"!$d$64:$d$5000"),INDIRECT("'"&amp;$W$41&amp;"'"&amp;"!$A$64:$A$5000"),$X$3)</f>
        <v>737317.16000000061</v>
      </c>
      <c r="Z45" s="4">
        <f ca="1">SUMIFS(INDIRECT("'"&amp;$W$41&amp;"'"&amp;"!$e$64:$e$5000"),INDIRECT("'"&amp;$W$41&amp;"'"&amp;"!$A$64:$A$5000"),$V$1)-SUMIFS(INDIRECT("'"&amp;$W$41&amp;"'"&amp;"!$e$64:$e$5000"),INDIRECT("'"&amp;$W$41&amp;"'"&amp;"!$A$64:$A$5000"),$V$2)-SUMIFS(INDIRECT("'"&amp;$W$41&amp;"'"&amp;"!$e$64:$e$5000"),INDIRECT("'"&amp;$W$41&amp;"'"&amp;"!$A$64:$A$5000"),$V$3)-SUMIFS(INDIRECT("'"&amp;$W$41&amp;"'"&amp;"!$e$64:$e$5000"),INDIRECT("'"&amp;$W$41&amp;"'"&amp;"!$A$64:$A$5000"),$X$4)-SUMIFS(INDIRECT("'"&amp;$W$41&amp;"'"&amp;"!$e$64:$e$5000"),INDIRECT("'"&amp;$W$41&amp;"'"&amp;"!$A$64:$A$5000"),$X$3)</f>
        <v>772922.85000000009</v>
      </c>
      <c r="AA45" s="4">
        <f ca="1">SUMIFS(INDIRECT("'"&amp;$W$41&amp;"'"&amp;"!$f$64:$f$5000"),INDIRECT("'"&amp;$W$41&amp;"'"&amp;"!$A$64:$A$5000"),$V$1)-SUMIFS(INDIRECT("'"&amp;$W$41&amp;"'"&amp;"!$f$64:$f$5000"),INDIRECT("'"&amp;$W$41&amp;"'"&amp;"!$A$64:$A$5000"),$V$2)-SUMIFS(INDIRECT("'"&amp;$W$41&amp;"'"&amp;"!$f$64:$f$5000"),INDIRECT("'"&amp;$W$41&amp;"'"&amp;"!$A$64:$A$5000"),$V$3)-SUMIFS(INDIRECT("'"&amp;$W$41&amp;"'"&amp;"!$f$64:$f$5000"),INDIRECT("'"&amp;$W$41&amp;"'"&amp;"!$A$64:$A$5000"),$X$4)-SUMIFS(INDIRECT("'"&amp;$W$41&amp;"'"&amp;"!$f$64:$f$5000"),INDIRECT("'"&amp;$W$41&amp;"'"&amp;"!$A$64:$A$5000"),$X$3)</f>
        <v>-129990.78000000014</v>
      </c>
      <c r="AB45" s="4">
        <f ca="1">SUMIFS(INDIRECT("'"&amp;$W$41&amp;"'"&amp;"!$g$64:$g$5000"),INDIRECT("'"&amp;$W$41&amp;"'"&amp;"!$A$64:$A$5000"),$V$1)-SUMIFS(INDIRECT("'"&amp;$W$41&amp;"'"&amp;"!$g$64:$g$5000"),INDIRECT("'"&amp;$W$41&amp;"'"&amp;"!$A$64:$A$5000"),$V$2)-SUMIFS(INDIRECT("'"&amp;$W$41&amp;"'"&amp;"!$g$64:$g$5000"),INDIRECT("'"&amp;$W$41&amp;"'"&amp;"!$A$64:$A$5000"),$V$3)-SUMIFS(INDIRECT("'"&amp;$W$41&amp;"'"&amp;"!$g$64:$g$5000"),INDIRECT("'"&amp;$W$41&amp;"'"&amp;"!$A$64:$A$5000"),$X$4)-SUMIFS(INDIRECT("'"&amp;$W$41&amp;"'"&amp;"!$g$64:$g$5000"),INDIRECT("'"&amp;$W$41&amp;"'"&amp;"!$A$64:$A$5000"),$X$3)</f>
        <v>819222.55</v>
      </c>
      <c r="AC45" s="4">
        <f ca="1">SUMIFS(INDIRECT("'"&amp;$W$41&amp;"'"&amp;"!$h$64:$h$5000"),INDIRECT("'"&amp;$W$41&amp;"'"&amp;"!$A$64:$A$5000"),$V$1)-SUMIFS(INDIRECT("'"&amp;$W$41&amp;"'"&amp;"!$h$64:$h$5000"),INDIRECT("'"&amp;$W$41&amp;"'"&amp;"!$A$64:$A$5000"),$V$2)-SUMIFS(INDIRECT("'"&amp;$W$41&amp;"'"&amp;"!$h$64:$h$5000"),INDIRECT("'"&amp;$W$41&amp;"'"&amp;"!$A$64:$A$5000"),$V$3)-SUMIFS(INDIRECT("'"&amp;$W$41&amp;"'"&amp;"!$h$64:$h$5000"),INDIRECT("'"&amp;$W$41&amp;"'"&amp;"!$A$64:$A$5000"),$X$4)-SUMIFS(INDIRECT("'"&amp;$W$41&amp;"'"&amp;"!$h$64:$h$5000"),INDIRECT("'"&amp;$W$41&amp;"'"&amp;"!$A$64:$A$5000"),$X$3)</f>
        <v>796905.43</v>
      </c>
      <c r="AD45" s="4">
        <f ca="1">SUMIFS(INDIRECT("'"&amp;$W$41&amp;"'"&amp;"!$i$64:$i$5000"),INDIRECT("'"&amp;$W$41&amp;"'"&amp;"!$A$64:$A$5000"),$V$1)-SUMIFS(INDIRECT("'"&amp;$W$41&amp;"'"&amp;"!$i$64:$i$5000"),INDIRECT("'"&amp;$W$41&amp;"'"&amp;"!$A$64:$A$5000"),$V$2)-SUMIFS(INDIRECT("'"&amp;$W$41&amp;"'"&amp;"!$i$64:$i$5000"),INDIRECT("'"&amp;$W$41&amp;"'"&amp;"!$A$64:$A$5000"),$V$3)-SUMIFS(INDIRECT("'"&amp;$W$41&amp;"'"&amp;"!$i$64:$i$5000"),INDIRECT("'"&amp;$W$41&amp;"'"&amp;"!$A$64:$A$5000"),$X$4)-SUMIFS(INDIRECT("'"&amp;$W$41&amp;"'"&amp;"!$i$64:$i$5000"),INDIRECT("'"&amp;$W$41&amp;"'"&amp;"!$A$64:$A$5000"),$X$3)</f>
        <v>737623.44000000076</v>
      </c>
      <c r="AE45" s="4">
        <f ca="1">SUMIFS(INDIRECT("'"&amp;$W$41&amp;"'"&amp;"!$j$64:$j$5000"),INDIRECT("'"&amp;$W$41&amp;"'"&amp;"!$A$64:$A$5000"),$V$1)-SUMIFS(INDIRECT("'"&amp;$W$41&amp;"'"&amp;"!$j$64:$j$5000"),INDIRECT("'"&amp;$W$41&amp;"'"&amp;"!$A$64:$A$5000"),$V$2)-SUMIFS(INDIRECT("'"&amp;$W$41&amp;"'"&amp;"!$j$64:$j$5000"),INDIRECT("'"&amp;$W$41&amp;"'"&amp;"!$A$64:$A$5000"),$V$3)-SUMIFS(INDIRECT("'"&amp;$W$41&amp;"'"&amp;"!$j$64:$j$5000"),INDIRECT("'"&amp;$W$41&amp;"'"&amp;"!$A$64:$A$5000"),$X$4)-SUMIFS(INDIRECT("'"&amp;$W$41&amp;"'"&amp;"!$j$64:$j$5000"),INDIRECT("'"&amp;$W$41&amp;"'"&amp;"!$A$64:$A$5000"),$X$3)</f>
        <v>695745.03999999957</v>
      </c>
      <c r="AF45" s="4">
        <f ca="1">SUMIFS(INDIRECT("'"&amp;$W$41&amp;"'"&amp;"!$k$64:$k$5000"),INDIRECT("'"&amp;$W$41&amp;"'"&amp;"!$A$64:$A$5000"),$V$1)-SUMIFS(INDIRECT("'"&amp;$W$41&amp;"'"&amp;"!$k$64:$k$5000"),INDIRECT("'"&amp;$W$41&amp;"'"&amp;"!$A$64:$A$5000"),$V$2)-SUMIFS(INDIRECT("'"&amp;$W$41&amp;"'"&amp;"!$k$64:$k$5000"),INDIRECT("'"&amp;$W$41&amp;"'"&amp;"!$A$64:$A$5000"),$V$3)-SUMIFS(INDIRECT("'"&amp;$W$41&amp;"'"&amp;"!$k$64:$k$5000"),INDIRECT("'"&amp;$W$41&amp;"'"&amp;"!$A$64:$A$5000"),$X$4)-SUMIFS(INDIRECT("'"&amp;$W$41&amp;"'"&amp;"!$k$64:$k$5000"),INDIRECT("'"&amp;$W$41&amp;"'"&amp;"!$A$64:$A$5000"),$X$3)</f>
        <v>694590.6399999999</v>
      </c>
      <c r="AG45" s="4">
        <f ca="1">SUMIFS(INDIRECT("'"&amp;$W$41&amp;"'"&amp;"!$l$64:$l$5000"),INDIRECT("'"&amp;$W$41&amp;"'"&amp;"!$A$64:$A$5000"),$V$1)-SUMIFS(INDIRECT("'"&amp;$W$41&amp;"'"&amp;"!$l$64:$l$5000"),INDIRECT("'"&amp;$W$41&amp;"'"&amp;"!$A$64:$A$5000"),$V$2)-SUMIFS(INDIRECT("'"&amp;$W$41&amp;"'"&amp;"!$l$64:$l$5000"),INDIRECT("'"&amp;$W$41&amp;"'"&amp;"!$A$64:$A$5000"),$V$3)-SUMIFS(INDIRECT("'"&amp;$W$41&amp;"'"&amp;"!$l$64:$l$5000"),INDIRECT("'"&amp;$W$41&amp;"'"&amp;"!$A$64:$A$5000"),$X$4)-SUMIFS(INDIRECT("'"&amp;$W$41&amp;"'"&amp;"!$l$64:$l$5000"),INDIRECT("'"&amp;$W$41&amp;"'"&amp;"!$A$64:$A$5000"),$X$3)</f>
        <v>872789.34999999846</v>
      </c>
      <c r="AH45" s="4">
        <f ca="1">SUMIFS(INDIRECT("'"&amp;$W$41&amp;"'"&amp;"!$m$64:$m$5000"),INDIRECT("'"&amp;$W$41&amp;"'"&amp;"!$A$64:$A$5000"),$V$1)-SUMIFS(INDIRECT("'"&amp;$W$41&amp;"'"&amp;"!$m$64:$m$5000"),INDIRECT("'"&amp;$W$41&amp;"'"&amp;"!$A$64:$A$5000"),$V$2)-SUMIFS(INDIRECT("'"&amp;$W$41&amp;"'"&amp;"!$m$64:$m$5000"),INDIRECT("'"&amp;$W$41&amp;"'"&amp;"!$A$64:$A$5000"),$V$3)-SUMIFS(INDIRECT("'"&amp;$W$41&amp;"'"&amp;"!$m$64:$m$5000"),INDIRECT("'"&amp;$W$41&amp;"'"&amp;"!$A$64:$A$5000"),$X$4)-SUMIFS(INDIRECT("'"&amp;$W$41&amp;"'"&amp;"!$m$64:$m$5000"),INDIRECT("'"&amp;$W$41&amp;"'"&amp;"!$A$64:$A$5000"),$X$3)</f>
        <v>922315.63999999966</v>
      </c>
      <c r="AJ45" s="14">
        <f t="shared" ref="AJ45:AU46" ca="1" si="88">W45-G45</f>
        <v>-0.54000000073574483</v>
      </c>
      <c r="AK45" s="14">
        <f t="shared" ca="1" si="88"/>
        <v>0.3500000003259629</v>
      </c>
      <c r="AL45" s="14">
        <f t="shared" ca="1" si="88"/>
        <v>0.1600000006146729</v>
      </c>
      <c r="AM45" s="14">
        <f t="shared" ca="1" si="88"/>
        <v>0.85000000009313226</v>
      </c>
      <c r="AN45" s="14">
        <f t="shared" ca="1" si="88"/>
        <v>-784909.78000000014</v>
      </c>
      <c r="AO45" s="14">
        <f t="shared" ca="1" si="88"/>
        <v>-0.44999999995343387</v>
      </c>
      <c r="AP45" s="14">
        <f t="shared" ca="1" si="88"/>
        <v>0.43000000005122274</v>
      </c>
      <c r="AQ45" s="14">
        <f t="shared" ca="1" si="88"/>
        <v>0.4400000007590279</v>
      </c>
      <c r="AR45" s="14">
        <f t="shared" ca="1" si="88"/>
        <v>3.9999999571591616E-2</v>
      </c>
      <c r="AS45" s="14">
        <f t="shared" ca="1" si="88"/>
        <v>-0.36000000010244548</v>
      </c>
      <c r="AT45" s="14">
        <f t="shared" ca="1" si="88"/>
        <v>0.34999999846331775</v>
      </c>
      <c r="AU45" s="14">
        <f t="shared" ca="1" si="88"/>
        <v>-1.3600000003352761</v>
      </c>
    </row>
    <row r="46" spans="1:47" s="12" customFormat="1">
      <c r="A46" s="12">
        <f t="shared" si="86"/>
        <v>4</v>
      </c>
      <c r="B46"/>
      <c r="C46" t="str">
        <f>$F42</f>
        <v>Park Manor of Quail Valley</v>
      </c>
      <c r="D46" s="3" t="str">
        <f t="shared" si="44"/>
        <v>T_OPEX - Tenant Operating Expenses</v>
      </c>
      <c r="E46"/>
      <c r="F46" s="19" t="str">
        <f>_xll.EVDES(D46)</f>
        <v>Tenant Operating Expenses</v>
      </c>
      <c r="G46" s="61">
        <f ca="1">SUMIFS(OFFSET('BPC Data'!$F:$F,0,Summary!G$2),'BPC Data'!$E:$E,Summary!$D46,'BPC Data'!$B:$B,Summary!$C46)</f>
        <v>587573</v>
      </c>
      <c r="H46" s="65">
        <f ca="1">SUMIFS(OFFSET('BPC Data'!$F:$F,0,Summary!H$2),'BPC Data'!$E:$E,Summary!$D46,'BPC Data'!$B:$B,Summary!$C46)</f>
        <v>601241</v>
      </c>
      <c r="I46" s="61">
        <f ca="1">SUMIFS(OFFSET('BPC Data'!$F:$F,0,Summary!I$2),'BPC Data'!$E:$E,Summary!$D46,'BPC Data'!$B:$B,Summary!$C46)</f>
        <v>602168</v>
      </c>
      <c r="J46" s="65">
        <f ca="1">SUMIFS(OFFSET('BPC Data'!$F:$F,0,Summary!J$2),'BPC Data'!$E:$E,Summary!$D46,'BPC Data'!$B:$B,Summary!$C46)</f>
        <v>579880</v>
      </c>
      <c r="K46" s="61">
        <f ca="1">SUMIFS(OFFSET('BPC Data'!$F:$F,0,Summary!K$2),'BPC Data'!$E:$E,Summary!$D46,'BPC Data'!$B:$B,Summary!$C46)</f>
        <v>315408</v>
      </c>
      <c r="L46" s="65">
        <f ca="1">SUMIFS(OFFSET('BPC Data'!$F:$F,0,Summary!L$2),'BPC Data'!$E:$E,Summary!$D46,'BPC Data'!$B:$B,Summary!$C46)</f>
        <v>602952</v>
      </c>
      <c r="M46" s="61">
        <f ca="1">SUMIFS(OFFSET('BPC Data'!$F:$F,0,Summary!M$2),'BPC Data'!$E:$E,Summary!$D46,'BPC Data'!$B:$B,Summary!$C46)</f>
        <v>593554</v>
      </c>
      <c r="N46" s="65">
        <f ca="1">SUMIFS(OFFSET('BPC Data'!$F:$F,0,Summary!N$2),'BPC Data'!$E:$E,Summary!$D46,'BPC Data'!$B:$B,Summary!$C46)</f>
        <v>581522</v>
      </c>
      <c r="O46" s="61">
        <f ca="1">SUMIFS(OFFSET('BPC Data'!$F:$F,0,Summary!O$2),'BPC Data'!$E:$E,Summary!$D46,'BPC Data'!$B:$B,Summary!$C46)</f>
        <v>602531</v>
      </c>
      <c r="P46" s="65">
        <f ca="1">SUMIFS(OFFSET('BPC Data'!$F:$F,0,Summary!P$2),'BPC Data'!$E:$E,Summary!$D46,'BPC Data'!$B:$B,Summary!$C46)</f>
        <v>563424</v>
      </c>
      <c r="Q46" s="61">
        <f ca="1">SUMIFS(OFFSET('BPC Data'!$F:$F,0,Summary!Q$2),'BPC Data'!$E:$E,Summary!$D46,'BPC Data'!$B:$B,Summary!$C46)</f>
        <v>562869</v>
      </c>
      <c r="R46" s="65">
        <f ca="1">SUMIFS(OFFSET('BPC Data'!$F:$F,0,Summary!R$2),'BPC Data'!$E:$E,Summary!$D46,'BPC Data'!$B:$B,Summary!$C46)</f>
        <v>670220</v>
      </c>
      <c r="S46" s="23">
        <f t="shared" ca="1" si="87"/>
        <v>6863342</v>
      </c>
      <c r="T46" s="74">
        <f ca="1">SUM(W46:AH46)</f>
        <v>6865756.5499999989</v>
      </c>
      <c r="U46" s="54">
        <f ca="1">T46-S46</f>
        <v>2414.5499999988824</v>
      </c>
      <c r="W46" s="4">
        <f ca="1">SUMIFS(INDIRECT("'"&amp;$W$41&amp;"'"&amp;"!$B$64:$B$5000"),INDIRECT("'"&amp;$W$41&amp;"'"&amp;"!$A$64:$A$5000"),$V$4)-SUMIFS(INDIRECT("'"&amp;$W$41&amp;"'"&amp;"!$B$64:$B$5000"),INDIRECT("'"&amp;$W$41&amp;"'"&amp;"!$A$64:$A$5000"),$V$5)-SUMIFS(INDIRECT("'"&amp;$W$41&amp;"'"&amp;"!$B$64:$B$5000"),INDIRECT("'"&amp;$W$41&amp;"'"&amp;"!$A$64:$A$5000"),$V$6)-SUMIFS(INDIRECT("'"&amp;$W$41&amp;"'"&amp;"!$B$64:$B$5000"),INDIRECT("'"&amp;$W$41&amp;"'"&amp;"!$A$64:$A$5000"),$W$6)-SUMIFS(INDIRECT("'"&amp;$W$41&amp;"'"&amp;"!$B$64:$B$5000"),INDIRECT("'"&amp;$W$41&amp;"'"&amp;"!$A$64:$A$5000"),$W$7)-SUMIFS(INDIRECT("'"&amp;$W$41&amp;"'"&amp;"!$B$64:$B$5000"),INDIRECT("'"&amp;$W$41&amp;"'"&amp;"!$A$64:$A$5000"),$X$3)-W51-W49</f>
        <v>587573.02999999933</v>
      </c>
      <c r="X46" s="4">
        <f ca="1">SUMIFS(INDIRECT("'"&amp;$W$41&amp;"'"&amp;"!$c$64:$c$5000"),INDIRECT("'"&amp;$W$41&amp;"'"&amp;"!$A$64:$A$5000"),$V$4)-SUMIFS(INDIRECT("'"&amp;$W$41&amp;"'"&amp;"!$c$64:$c$5000"),INDIRECT("'"&amp;$W$41&amp;"'"&amp;"!$A$64:$A$5000"),$V$5)-SUMIFS(INDIRECT("'"&amp;$W$41&amp;"'"&amp;"!$c$64:$c$5000"),INDIRECT("'"&amp;$W$41&amp;"'"&amp;"!$A$64:$A$5000"),$V$6)-SUMIFS(INDIRECT("'"&amp;$W$41&amp;"'"&amp;"!$c$64:$c$5000"),INDIRECT("'"&amp;$W$41&amp;"'"&amp;"!$A$64:$A$5000"),$W$6)-SUMIFS(INDIRECT("'"&amp;$W$41&amp;"'"&amp;"!$c$64:$c$5000"),INDIRECT("'"&amp;$W$41&amp;"'"&amp;"!$A$64:$A$5000"),$W$7)-SUMIFS(INDIRECT("'"&amp;$W$41&amp;"'"&amp;"!$c$64:$c$5000"),INDIRECT("'"&amp;$W$41&amp;"'"&amp;"!$A$64:$A$5000"),$X$3)-X51-X49</f>
        <v>601240.36999999988</v>
      </c>
      <c r="Y46" s="4">
        <f ca="1">SUMIFS(INDIRECT("'"&amp;$W$41&amp;"'"&amp;"!$d$64:$d$5000"),INDIRECT("'"&amp;$W$41&amp;"'"&amp;"!$A$64:$A$5000"),$V$4)-SUMIFS(INDIRECT("'"&amp;$W$41&amp;"'"&amp;"!$d$64:$d$5000"),INDIRECT("'"&amp;$W$41&amp;"'"&amp;"!$A$64:$A$5000"),$V$5)-SUMIFS(INDIRECT("'"&amp;$W$41&amp;"'"&amp;"!$d$64:$d$5000"),INDIRECT("'"&amp;$W$41&amp;"'"&amp;"!$A$64:$A$5000"),$V$6)-SUMIFS(INDIRECT("'"&amp;$W$41&amp;"'"&amp;"!$d$64:$d$5000"),INDIRECT("'"&amp;$W$41&amp;"'"&amp;"!$A$64:$A$5000"),$W$6)-SUMIFS(INDIRECT("'"&amp;$W$41&amp;"'"&amp;"!$d$64:$d$5000"),INDIRECT("'"&amp;$W$41&amp;"'"&amp;"!$A$64:$A$5000"),$W$7)-SUMIFS(INDIRECT("'"&amp;$W$41&amp;"'"&amp;"!$d$64:$d$5000"),INDIRECT("'"&amp;$W$41&amp;"'"&amp;"!$A$64:$A$5000"),$X$3)-Y51-Y49</f>
        <v>602169.00000000023</v>
      </c>
      <c r="Z46" s="4">
        <f ca="1">SUMIFS(INDIRECT("'"&amp;$W$41&amp;"'"&amp;"!$e$64:$e$5000"),INDIRECT("'"&amp;$W$41&amp;"'"&amp;"!$A$64:$A$5000"),$V$4)-SUMIFS(INDIRECT("'"&amp;$W$41&amp;"'"&amp;"!$e$64:$e$5000"),INDIRECT("'"&amp;$W$41&amp;"'"&amp;"!$A$64:$A$5000"),$V$5)-SUMIFS(INDIRECT("'"&amp;$W$41&amp;"'"&amp;"!$e$64:$e$5000"),INDIRECT("'"&amp;$W$41&amp;"'"&amp;"!$A$64:$A$5000"),$V$6)-SUMIFS(INDIRECT("'"&amp;$W$41&amp;"'"&amp;"!$e$64:$e$5000"),INDIRECT("'"&amp;$W$41&amp;"'"&amp;"!$A$64:$A$5000"),$W$6)-SUMIFS(INDIRECT("'"&amp;$W$41&amp;"'"&amp;"!$e$64:$e$5000"),INDIRECT("'"&amp;$W$41&amp;"'"&amp;"!$A$64:$A$5000"),$W$7)-SUMIFS(INDIRECT("'"&amp;$W$41&amp;"'"&amp;"!$e$64:$e$5000"),INDIRECT("'"&amp;$W$41&amp;"'"&amp;"!$A$64:$A$5000"),$X$3)-Z51-Z49</f>
        <v>579879.73000000033</v>
      </c>
      <c r="AA46" s="4">
        <f ca="1">SUMIFS(INDIRECT("'"&amp;$W$41&amp;"'"&amp;"!$f$64:$f$5000"),INDIRECT("'"&amp;$W$41&amp;"'"&amp;"!$A$64:$A$5000"),$V$4)-SUMIFS(INDIRECT("'"&amp;$W$41&amp;"'"&amp;"!$f$64:$f$5000"),INDIRECT("'"&amp;$W$41&amp;"'"&amp;"!$A$64:$A$5000"),$V$5)-SUMIFS(INDIRECT("'"&amp;$W$41&amp;"'"&amp;"!$f$64:$f$5000"),INDIRECT("'"&amp;$W$41&amp;"'"&amp;"!$A$64:$A$5000"),$V$6)-SUMIFS(INDIRECT("'"&amp;$W$41&amp;"'"&amp;"!$f$64:$f$5000"),INDIRECT("'"&amp;$W$41&amp;"'"&amp;"!$A$64:$A$5000"),$W$6)-SUMIFS(INDIRECT("'"&amp;$W$41&amp;"'"&amp;"!$f$64:$f$5000"),INDIRECT("'"&amp;$W$41&amp;"'"&amp;"!$A$64:$A$5000"),$W$7)-SUMIFS(INDIRECT("'"&amp;$W$41&amp;"'"&amp;"!$f$64:$f$5000"),INDIRECT("'"&amp;$W$41&amp;"'"&amp;"!$A$64:$A$5000"),$X$3)-AA51-AA49</f>
        <v>317820.76</v>
      </c>
      <c r="AB46" s="4">
        <f ca="1">SUMIFS(INDIRECT("'"&amp;$W$41&amp;"'"&amp;"!$g$64:$g$5000"),INDIRECT("'"&amp;$W$41&amp;"'"&amp;"!$A$64:$A$5000"),$V$4)-SUMIFS(INDIRECT("'"&amp;$W$41&amp;"'"&amp;"!$g$64:$g$5000"),INDIRECT("'"&amp;$W$41&amp;"'"&amp;"!$A$64:$A$5000"),$V$5)-SUMIFS(INDIRECT("'"&amp;$W$41&amp;"'"&amp;"!$g$64:$g$5000"),INDIRECT("'"&amp;$W$41&amp;"'"&amp;"!$A$64:$A$5000"),$V$6)-SUMIFS(INDIRECT("'"&amp;$W$41&amp;"'"&amp;"!$g$64:$g$5000"),INDIRECT("'"&amp;$W$41&amp;"'"&amp;"!$A$64:$A$5000"),$W$6)-SUMIFS(INDIRECT("'"&amp;$W$41&amp;"'"&amp;"!$g$64:$g$5000"),INDIRECT("'"&amp;$W$41&amp;"'"&amp;"!$A$64:$A$5000"),$W$7)-SUMIFS(INDIRECT("'"&amp;$W$41&amp;"'"&amp;"!$g$64:$g$5000"),INDIRECT("'"&amp;$W$41&amp;"'"&amp;"!$A$64:$A$5000"),$X$3)-AB51-AB49</f>
        <v>602949.6799999997</v>
      </c>
      <c r="AC46" s="4">
        <f ca="1">SUMIFS(INDIRECT("'"&amp;$W$41&amp;"'"&amp;"!$h$64:$h$5000"),INDIRECT("'"&amp;$W$41&amp;"'"&amp;"!$A$64:$A$5000"),$V$4)-SUMIFS(INDIRECT("'"&amp;$W$41&amp;"'"&amp;"!$h$64:$h$5000"),INDIRECT("'"&amp;$W$41&amp;"'"&amp;"!$A$64:$A$5000"),$V$5)-SUMIFS(INDIRECT("'"&amp;$W$41&amp;"'"&amp;"!$h$64:$h$5000"),INDIRECT("'"&amp;$W$41&amp;"'"&amp;"!$A$64:$A$5000"),$V$6)-SUMIFS(INDIRECT("'"&amp;$W$41&amp;"'"&amp;"!$h$64:$h$5000"),INDIRECT("'"&amp;$W$41&amp;"'"&amp;"!$A$64:$A$5000"),$W$6)-SUMIFS(INDIRECT("'"&amp;$W$41&amp;"'"&amp;"!$h$64:$h$5000"),INDIRECT("'"&amp;$W$41&amp;"'"&amp;"!$A$64:$A$5000"),$W$7)-SUMIFS(INDIRECT("'"&amp;$W$41&amp;"'"&amp;"!$h$64:$h$5000"),INDIRECT("'"&amp;$W$41&amp;"'"&amp;"!$A$64:$A$5000"),$X$3)-AC51-AC49</f>
        <v>593554.93999999959</v>
      </c>
      <c r="AD46" s="4">
        <f ca="1">SUMIFS(INDIRECT("'"&amp;$W$41&amp;"'"&amp;"!$i$64:$i$5000"),INDIRECT("'"&amp;$W$41&amp;"'"&amp;"!$A$64:$A$5000"),$V$4)-SUMIFS(INDIRECT("'"&amp;$W$41&amp;"'"&amp;"!$i$64:$i$5000"),INDIRECT("'"&amp;$W$41&amp;"'"&amp;"!$A$64:$A$5000"),$V$5)-SUMIFS(INDIRECT("'"&amp;$W$41&amp;"'"&amp;"!$i$64:$i$5000"),INDIRECT("'"&amp;$W$41&amp;"'"&amp;"!$A$64:$A$5000"),$V$6)-SUMIFS(INDIRECT("'"&amp;$W$41&amp;"'"&amp;"!$i$64:$i$5000"),INDIRECT("'"&amp;$W$41&amp;"'"&amp;"!$A$64:$A$5000"),$W$6)-SUMIFS(INDIRECT("'"&amp;$W$41&amp;"'"&amp;"!$i$64:$i$5000"),INDIRECT("'"&amp;$W$41&amp;"'"&amp;"!$A$64:$A$5000"),$W$7)-SUMIFS(INDIRECT("'"&amp;$W$41&amp;"'"&amp;"!$i$64:$i$5000"),INDIRECT("'"&amp;$W$41&amp;"'"&amp;"!$A$64:$A$5000"),$X$3)-AD51-AD49</f>
        <v>581523.11</v>
      </c>
      <c r="AE46" s="4">
        <f ca="1">SUMIFS(INDIRECT("'"&amp;$W$41&amp;"'"&amp;"!$j$64:$j$5000"),INDIRECT("'"&amp;$W$41&amp;"'"&amp;"!$A$64:$A$5000"),$V$4)-SUMIFS(INDIRECT("'"&amp;$W$41&amp;"'"&amp;"!$j$64:$j$5000"),INDIRECT("'"&amp;$W$41&amp;"'"&amp;"!$A$64:$A$5000"),$V$5)-SUMIFS(INDIRECT("'"&amp;$W$41&amp;"'"&amp;"!$j$64:$j$5000"),INDIRECT("'"&amp;$W$41&amp;"'"&amp;"!$A$64:$A$5000"),$V$6)-SUMIFS(INDIRECT("'"&amp;$W$41&amp;"'"&amp;"!$j$64:$j$5000"),INDIRECT("'"&amp;$W$41&amp;"'"&amp;"!$A$64:$A$5000"),$W$6)-SUMIFS(INDIRECT("'"&amp;$W$41&amp;"'"&amp;"!$j$64:$j$5000"),INDIRECT("'"&amp;$W$41&amp;"'"&amp;"!$A$64:$A$5000"),$W$7)-SUMIFS(INDIRECT("'"&amp;$W$41&amp;"'"&amp;"!$j$64:$j$5000"),INDIRECT("'"&amp;$W$41&amp;"'"&amp;"!$A$64:$A$5000"),$X$3)-AE51-AE49</f>
        <v>602530.86000000022</v>
      </c>
      <c r="AF46" s="4">
        <f ca="1">SUMIFS(INDIRECT("'"&amp;$W$41&amp;"'"&amp;"!$k$64:$k$5000"),INDIRECT("'"&amp;$W$41&amp;"'"&amp;"!$A$64:$A$5000"),$V$4)-SUMIFS(INDIRECT("'"&amp;$W$41&amp;"'"&amp;"!$k$64:$k$5000"),INDIRECT("'"&amp;$W$41&amp;"'"&amp;"!$A$64:$A$5000"),$V$5)-SUMIFS(INDIRECT("'"&amp;$W$41&amp;"'"&amp;"!$k$64:$k$5000"),INDIRECT("'"&amp;$W$41&amp;"'"&amp;"!$A$64:$A$5000"),$V$6)-SUMIFS(INDIRECT("'"&amp;$W$41&amp;"'"&amp;"!$k$64:$k$5000"),INDIRECT("'"&amp;$W$41&amp;"'"&amp;"!$A$64:$A$5000"),$W$6)-SUMIFS(INDIRECT("'"&amp;$W$41&amp;"'"&amp;"!$k$64:$k$5000"),INDIRECT("'"&amp;$W$41&amp;"'"&amp;"!$A$64:$A$5000"),$W$7)-SUMIFS(INDIRECT("'"&amp;$W$41&amp;"'"&amp;"!$k$64:$k$5000"),INDIRECT("'"&amp;$W$41&amp;"'"&amp;"!$A$64:$A$5000"),$X$3)-AF51-AF49</f>
        <v>563423.53000000061</v>
      </c>
      <c r="AG46" s="4">
        <f ca="1">SUMIFS(INDIRECT("'"&amp;$W$41&amp;"'"&amp;"!$l$64:$l$5000"),INDIRECT("'"&amp;$W$41&amp;"'"&amp;"!$A$64:$A$5000"),$V$4)-SUMIFS(INDIRECT("'"&amp;$W$41&amp;"'"&amp;"!$l$64:$l$5000"),INDIRECT("'"&amp;$W$41&amp;"'"&amp;"!$A$64:$A$5000"),$V$5)-SUMIFS(INDIRECT("'"&amp;$W$41&amp;"'"&amp;"!$l$64:$l$5000"),INDIRECT("'"&amp;$W$41&amp;"'"&amp;"!$A$64:$A$5000"),$V$6)-SUMIFS(INDIRECT("'"&amp;$W$41&amp;"'"&amp;"!$l$64:$l$5000"),INDIRECT("'"&amp;$W$41&amp;"'"&amp;"!$A$64:$A$5000"),$W$6)-SUMIFS(INDIRECT("'"&amp;$W$41&amp;"'"&amp;"!$l$64:$l$5000"),INDIRECT("'"&amp;$W$41&amp;"'"&amp;"!$A$64:$A$5000"),$W$7)-SUMIFS(INDIRECT("'"&amp;$W$41&amp;"'"&amp;"!$l$64:$l$5000"),INDIRECT("'"&amp;$W$41&amp;"'"&amp;"!$A$64:$A$5000"),$X$3)-AG51-AG49</f>
        <v>562871.88999999978</v>
      </c>
      <c r="AH46" s="4">
        <f ca="1">SUMIFS(INDIRECT("'"&amp;$W$41&amp;"'"&amp;"!$m$64:$m$5000"),INDIRECT("'"&amp;$W$41&amp;"'"&amp;"!$A$64:$A$5000"),$V$4)-SUMIFS(INDIRECT("'"&amp;$W$41&amp;"'"&amp;"!$m$64:$m$5000"),INDIRECT("'"&amp;$W$41&amp;"'"&amp;"!$A$64:$A$5000"),$V$5)-SUMIFS(INDIRECT("'"&amp;$W$41&amp;"'"&amp;"!$m$64:$m$5000"),INDIRECT("'"&amp;$W$41&amp;"'"&amp;"!$A$64:$A$5000"),$V$6)-SUMIFS(INDIRECT("'"&amp;$W$41&amp;"'"&amp;"!$m$64:$m$5000"),INDIRECT("'"&amp;$W$41&amp;"'"&amp;"!$A$64:$A$5000"),$W$6)-SUMIFS(INDIRECT("'"&amp;$W$41&amp;"'"&amp;"!$m$64:$m$5000"),INDIRECT("'"&amp;$W$41&amp;"'"&amp;"!$A$64:$A$5000"),$W$7)-SUMIFS(INDIRECT("'"&amp;$W$41&amp;"'"&amp;"!$m$64:$m$5000"),INDIRECT("'"&amp;$W$41&amp;"'"&amp;"!$A$64:$A$5000"),$X$3)-AH51-AH49</f>
        <v>670219.64999999921</v>
      </c>
      <c r="AJ46" s="14">
        <f t="shared" ca="1" si="88"/>
        <v>2.9999999329447746E-2</v>
      </c>
      <c r="AK46" s="14">
        <f t="shared" ca="1" si="88"/>
        <v>-0.63000000012107193</v>
      </c>
      <c r="AL46" s="14">
        <f t="shared" ca="1" si="88"/>
        <v>1.0000000002328306</v>
      </c>
      <c r="AM46" s="14">
        <f t="shared" ca="1" si="88"/>
        <v>-0.26999999966938049</v>
      </c>
      <c r="AN46" s="14">
        <f t="shared" ca="1" si="88"/>
        <v>2412.7600000000093</v>
      </c>
      <c r="AO46" s="14">
        <f t="shared" ca="1" si="88"/>
        <v>-2.3200000002980232</v>
      </c>
      <c r="AP46" s="14">
        <f t="shared" ca="1" si="88"/>
        <v>0.93999999959487468</v>
      </c>
      <c r="AQ46" s="14">
        <f t="shared" ca="1" si="88"/>
        <v>1.1099999999860302</v>
      </c>
      <c r="AR46" s="14">
        <f t="shared" ca="1" si="88"/>
        <v>-0.13999999978113919</v>
      </c>
      <c r="AS46" s="14">
        <f t="shared" ca="1" si="88"/>
        <v>-0.46999999938998371</v>
      </c>
      <c r="AT46" s="14">
        <f t="shared" ca="1" si="88"/>
        <v>2.8899999997811392</v>
      </c>
      <c r="AU46" s="14">
        <f t="shared" ca="1" si="88"/>
        <v>-0.35000000079162419</v>
      </c>
    </row>
    <row r="47" spans="1:47" s="12" customFormat="1">
      <c r="A47" s="12">
        <f t="shared" si="86"/>
        <v>4</v>
      </c>
      <c r="B47"/>
      <c r="C47" t="str">
        <f>$F42</f>
        <v>Park Manor of Quail Valley</v>
      </c>
      <c r="D47" s="3" t="str">
        <f t="shared" si="44"/>
        <v>T_BAD_DEBT - Tenant Bad Debt Expense</v>
      </c>
      <c r="E47"/>
      <c r="F47" s="19" t="str">
        <f>_xll.EVDES(D47)</f>
        <v>Tenant Bad Debt Expense</v>
      </c>
      <c r="G47" s="61">
        <f ca="1">SUMIFS(OFFSET('BPC Data'!$F:$F,0,Summary!G$2),'BPC Data'!$E:$E,Summary!$D47,'BPC Data'!$B:$B,Summary!$C47)</f>
        <v>21244</v>
      </c>
      <c r="H47" s="65">
        <f ca="1">SUMIFS(OFFSET('BPC Data'!$F:$F,0,Summary!H$2),'BPC Data'!$E:$E,Summary!$D47,'BPC Data'!$B:$B,Summary!$C47)</f>
        <v>19493</v>
      </c>
      <c r="I47" s="61">
        <f ca="1">SUMIFS(OFFSET('BPC Data'!$F:$F,0,Summary!I$2),'BPC Data'!$E:$E,Summary!$D47,'BPC Data'!$B:$B,Summary!$C47)</f>
        <v>20218</v>
      </c>
      <c r="J47" s="65">
        <f ca="1">SUMIFS(OFFSET('BPC Data'!$F:$F,0,Summary!J$2),'BPC Data'!$E:$E,Summary!$D47,'BPC Data'!$B:$B,Summary!$C47)</f>
        <v>26658</v>
      </c>
      <c r="K47" s="61">
        <f ca="1">SUMIFS(OFFSET('BPC Data'!$F:$F,0,Summary!K$2),'BPC Data'!$E:$E,Summary!$D47,'BPC Data'!$B:$B,Summary!$C47)</f>
        <v>66951</v>
      </c>
      <c r="L47" s="65">
        <f ca="1">SUMIFS(OFFSET('BPC Data'!$F:$F,0,Summary!L$2),'BPC Data'!$E:$E,Summary!$D47,'BPC Data'!$B:$B,Summary!$C47)</f>
        <v>58363</v>
      </c>
      <c r="M47" s="61">
        <f ca="1">SUMIFS(OFFSET('BPC Data'!$F:$F,0,Summary!M$2),'BPC Data'!$E:$E,Summary!$D47,'BPC Data'!$B:$B,Summary!$C47)</f>
        <v>29357</v>
      </c>
      <c r="N47" s="65">
        <f ca="1">SUMIFS(OFFSET('BPC Data'!$F:$F,0,Summary!N$2),'BPC Data'!$E:$E,Summary!$D47,'BPC Data'!$B:$B,Summary!$C47)</f>
        <v>22315</v>
      </c>
      <c r="O47" s="61">
        <f ca="1">SUMIFS(OFFSET('BPC Data'!$F:$F,0,Summary!O$2),'BPC Data'!$E:$E,Summary!$D47,'BPC Data'!$B:$B,Summary!$C47)</f>
        <v>25015</v>
      </c>
      <c r="P47" s="65">
        <f ca="1">SUMIFS(OFFSET('BPC Data'!$F:$F,0,Summary!P$2),'BPC Data'!$E:$E,Summary!$D47,'BPC Data'!$B:$B,Summary!$C47)</f>
        <v>21621</v>
      </c>
      <c r="Q47" s="61">
        <f ca="1">SUMIFS(OFFSET('BPC Data'!$F:$F,0,Summary!Q$2),'BPC Data'!$E:$E,Summary!$D47,'BPC Data'!$B:$B,Summary!$C47)</f>
        <v>26232</v>
      </c>
      <c r="R47" s="65">
        <f ca="1">SUMIFS(OFFSET('BPC Data'!$F:$F,0,Summary!R$2),'BPC Data'!$E:$E,Summary!$D47,'BPC Data'!$B:$B,Summary!$C47)</f>
        <v>28308</v>
      </c>
      <c r="S47" s="23">
        <f t="shared" ca="1" si="87"/>
        <v>365775</v>
      </c>
      <c r="T47" s="75"/>
      <c r="U47" s="4"/>
      <c r="W47"/>
      <c r="X47"/>
      <c r="Y47"/>
      <c r="Z47"/>
      <c r="AA47"/>
      <c r="AB47"/>
      <c r="AC47"/>
      <c r="AD47"/>
      <c r="AE47"/>
      <c r="AF47"/>
      <c r="AG47"/>
      <c r="AH47"/>
      <c r="AJ47" s="14"/>
      <c r="AK47" s="49"/>
      <c r="AL47" s="49"/>
      <c r="AM47" s="49"/>
      <c r="AN47" s="49"/>
      <c r="AO47" s="49"/>
      <c r="AP47" s="49"/>
      <c r="AQ47" s="49"/>
      <c r="AR47" s="49"/>
      <c r="AS47" s="49"/>
      <c r="AT47" s="49"/>
      <c r="AU47" s="49"/>
    </row>
    <row r="48" spans="1:47" s="12" customFormat="1">
      <c r="A48" s="12">
        <f t="shared" si="86"/>
        <v>4</v>
      </c>
      <c r="B48"/>
      <c r="C48" t="str">
        <f>$F42</f>
        <v>Park Manor of Quail Valley</v>
      </c>
      <c r="D48" s="2" t="str">
        <f t="shared" si="44"/>
        <v>T_EBITDARM - EBITDARM</v>
      </c>
      <c r="E48"/>
      <c r="F48" s="19" t="str">
        <f>_xll.EVDES(D48)</f>
        <v>EBITDARM</v>
      </c>
      <c r="G48" s="61">
        <f ca="1">SUMIFS(OFFSET('BPC Data'!$F:$F,0,Summary!G$2),'BPC Data'!$E:$E,Summary!$D48,'BPC Data'!$B:$B,Summary!$C48)</f>
        <v>175493</v>
      </c>
      <c r="H48" s="65">
        <f ca="1">SUMIFS(OFFSET('BPC Data'!$F:$F,0,Summary!H$2),'BPC Data'!$E:$E,Summary!$D48,'BPC Data'!$B:$B,Summary!$C48)</f>
        <v>115220</v>
      </c>
      <c r="I48" s="61">
        <f ca="1">SUMIFS(OFFSET('BPC Data'!$F:$F,0,Summary!I$2),'BPC Data'!$E:$E,Summary!$D48,'BPC Data'!$B:$B,Summary!$C48)</f>
        <v>135149</v>
      </c>
      <c r="J48" s="65">
        <f ca="1">SUMIFS(OFFSET('BPC Data'!$F:$F,0,Summary!J$2),'BPC Data'!$E:$E,Summary!$D48,'BPC Data'!$B:$B,Summary!$C48)</f>
        <v>193042</v>
      </c>
      <c r="K48" s="61">
        <f ca="1">SUMIFS(OFFSET('BPC Data'!$F:$F,0,Summary!K$2),'BPC Data'!$E:$E,Summary!$D48,'BPC Data'!$B:$B,Summary!$C48)</f>
        <v>339511</v>
      </c>
      <c r="L48" s="65">
        <f ca="1">SUMIFS(OFFSET('BPC Data'!$F:$F,0,Summary!L$2),'BPC Data'!$E:$E,Summary!$D48,'BPC Data'!$B:$B,Summary!$C48)</f>
        <v>216271</v>
      </c>
      <c r="M48" s="61">
        <f ca="1">SUMIFS(OFFSET('BPC Data'!$F:$F,0,Summary!M$2),'BPC Data'!$E:$E,Summary!$D48,'BPC Data'!$B:$B,Summary!$C48)</f>
        <v>203351</v>
      </c>
      <c r="N48" s="65">
        <f ca="1">SUMIFS(OFFSET('BPC Data'!$F:$F,0,Summary!N$2),'BPC Data'!$E:$E,Summary!$D48,'BPC Data'!$B:$B,Summary!$C48)</f>
        <v>156101</v>
      </c>
      <c r="O48" s="61">
        <f ca="1">SUMIFS(OFFSET('BPC Data'!$F:$F,0,Summary!O$2),'BPC Data'!$E:$E,Summary!$D48,'BPC Data'!$B:$B,Summary!$C48)</f>
        <v>93214</v>
      </c>
      <c r="P48" s="65">
        <f ca="1">SUMIFS(OFFSET('BPC Data'!$F:$F,0,Summary!P$2),'BPC Data'!$E:$E,Summary!$D48,'BPC Data'!$B:$B,Summary!$C48)</f>
        <v>131167</v>
      </c>
      <c r="Q48" s="61">
        <f ca="1">SUMIFS(OFFSET('BPC Data'!$F:$F,0,Summary!Q$2),'BPC Data'!$E:$E,Summary!$D48,'BPC Data'!$B:$B,Summary!$C48)</f>
        <v>309920</v>
      </c>
      <c r="R48" s="65">
        <f ca="1">SUMIFS(OFFSET('BPC Data'!$F:$F,0,Summary!R$2),'BPC Data'!$E:$E,Summary!$D48,'BPC Data'!$B:$B,Summary!$C48)</f>
        <v>252097</v>
      </c>
      <c r="S48" s="23">
        <f t="shared" ca="1" si="87"/>
        <v>2320536</v>
      </c>
      <c r="T48" s="74">
        <f ca="1">SUM(W48:AH48)</f>
        <v>1533211.5799999998</v>
      </c>
      <c r="U48" s="54">
        <f ca="1">T48-S48</f>
        <v>-787324.42000000016</v>
      </c>
      <c r="W48" s="50">
        <f t="shared" ref="W48:AB48" ca="1" si="89">W45-W46</f>
        <v>175492.42999999993</v>
      </c>
      <c r="X48" s="50">
        <f t="shared" ca="1" si="89"/>
        <v>115220.98000000045</v>
      </c>
      <c r="Y48" s="50">
        <f t="shared" ca="1" si="89"/>
        <v>135148.16000000038</v>
      </c>
      <c r="Z48" s="50">
        <f t="shared" ca="1" si="89"/>
        <v>193043.11999999976</v>
      </c>
      <c r="AA48" s="50">
        <f t="shared" ca="1" si="89"/>
        <v>-447811.54000000015</v>
      </c>
      <c r="AB48" s="50">
        <f t="shared" ca="1" si="89"/>
        <v>216272.87000000034</v>
      </c>
      <c r="AC48" s="50">
        <f t="shared" ref="AC48:AH48" ca="1" si="90">AC45-AC46</f>
        <v>203350.49000000046</v>
      </c>
      <c r="AD48" s="50">
        <f t="shared" ca="1" si="90"/>
        <v>156100.33000000077</v>
      </c>
      <c r="AE48" s="50">
        <f t="shared" ca="1" si="90"/>
        <v>93214.179999999353</v>
      </c>
      <c r="AF48" s="50">
        <f t="shared" ca="1" si="90"/>
        <v>131167.10999999929</v>
      </c>
      <c r="AG48" s="50">
        <f t="shared" ca="1" si="90"/>
        <v>309917.45999999868</v>
      </c>
      <c r="AH48" s="50">
        <f t="shared" ca="1" si="90"/>
        <v>252095.99000000046</v>
      </c>
      <c r="AJ48" s="14">
        <f t="shared" ref="AJ48:AU51" ca="1" si="91">W48-G48</f>
        <v>-0.57000000006519258</v>
      </c>
      <c r="AK48" s="14">
        <f t="shared" ca="1" si="91"/>
        <v>0.98000000044703484</v>
      </c>
      <c r="AL48" s="14">
        <f t="shared" ca="1" si="91"/>
        <v>-0.83999999961815774</v>
      </c>
      <c r="AM48" s="14">
        <f t="shared" ca="1" si="91"/>
        <v>1.1199999997625127</v>
      </c>
      <c r="AN48" s="14">
        <f t="shared" ca="1" si="91"/>
        <v>-787322.54000000015</v>
      </c>
      <c r="AO48" s="14">
        <f t="shared" ca="1" si="91"/>
        <v>1.8700000003445894</v>
      </c>
      <c r="AP48" s="14">
        <f t="shared" ca="1" si="91"/>
        <v>-0.50999999954365194</v>
      </c>
      <c r="AQ48" s="14">
        <f t="shared" ca="1" si="91"/>
        <v>-0.66999999922700226</v>
      </c>
      <c r="AR48" s="14">
        <f t="shared" ca="1" si="91"/>
        <v>0.17999999935273081</v>
      </c>
      <c r="AS48" s="14">
        <f t="shared" ca="1" si="91"/>
        <v>0.10999999928753823</v>
      </c>
      <c r="AT48" s="14">
        <f t="shared" ca="1" si="91"/>
        <v>-2.5400000013178214</v>
      </c>
      <c r="AU48" s="14">
        <f t="shared" ca="1" si="91"/>
        <v>-1.0099999995436519</v>
      </c>
    </row>
    <row r="49" spans="1:47" s="12" customFormat="1">
      <c r="A49" s="12">
        <f t="shared" si="86"/>
        <v>4</v>
      </c>
      <c r="B49"/>
      <c r="C49" t="str">
        <f>$F42</f>
        <v>Park Manor of Quail Valley</v>
      </c>
      <c r="D49" s="2" t="str">
        <f t="shared" si="44"/>
        <v>T_MGMT_FEE - Tenant Management Fee - Actual</v>
      </c>
      <c r="E49"/>
      <c r="F49" s="19" t="str">
        <f>_xll.EVDES(D49)</f>
        <v>Tenant Management Fee - Actual</v>
      </c>
      <c r="G49" s="61">
        <f ca="1">SUMIFS(OFFSET('BPC Data'!$F:$F,0,Summary!G$2),'BPC Data'!$E:$E,Summary!$D49,'BPC Data'!$B:$B,Summary!$C49)</f>
        <v>35406</v>
      </c>
      <c r="H49" s="65">
        <f ca="1">SUMIFS(OFFSET('BPC Data'!$F:$F,0,Summary!H$2),'BPC Data'!$E:$E,Summary!$D49,'BPC Data'!$B:$B,Summary!$C49)</f>
        <v>32489</v>
      </c>
      <c r="I49" s="61">
        <f ca="1">SUMIFS(OFFSET('BPC Data'!$F:$F,0,Summary!I$2),'BPC Data'!$E:$E,Summary!$D49,'BPC Data'!$B:$B,Summary!$C49)</f>
        <v>33696</v>
      </c>
      <c r="J49" s="65">
        <f ca="1">SUMIFS(OFFSET('BPC Data'!$F:$F,0,Summary!J$2),'BPC Data'!$E:$E,Summary!$D49,'BPC Data'!$B:$B,Summary!$C49)</f>
        <v>34182</v>
      </c>
      <c r="K49" s="61">
        <f ca="1">SUMIFS(OFFSET('BPC Data'!$F:$F,0,Summary!K$2),'BPC Data'!$E:$E,Summary!$D49,'BPC Data'!$B:$B,Summary!$C49)</f>
        <v>28252</v>
      </c>
      <c r="L49" s="65">
        <f ca="1">SUMIFS(OFFSET('BPC Data'!$F:$F,0,Summary!L$2),'BPC Data'!$E:$E,Summary!$D49,'BPC Data'!$B:$B,Summary!$C49)</f>
        <v>38391</v>
      </c>
      <c r="M49" s="61">
        <f ca="1">SUMIFS(OFFSET('BPC Data'!$F:$F,0,Summary!M$2),'BPC Data'!$E:$E,Summary!$D49,'BPC Data'!$B:$B,Summary!$C49)</f>
        <v>35888</v>
      </c>
      <c r="N49" s="65">
        <f ca="1">SUMIFS(OFFSET('BPC Data'!$F:$F,0,Summary!N$2),'BPC Data'!$E:$E,Summary!$D49,'BPC Data'!$B:$B,Summary!$C49)</f>
        <v>36002</v>
      </c>
      <c r="O49" s="61">
        <f ca="1">SUMIFS(OFFSET('BPC Data'!$F:$F,0,Summary!O$2),'BPC Data'!$E:$E,Summary!$D49,'BPC Data'!$B:$B,Summary!$C49)</f>
        <v>33770</v>
      </c>
      <c r="P49" s="65">
        <f ca="1">SUMIFS(OFFSET('BPC Data'!$F:$F,0,Summary!P$2),'BPC Data'!$E:$E,Summary!$D49,'BPC Data'!$B:$B,Summary!$C49)</f>
        <v>34628</v>
      </c>
      <c r="Q49" s="61">
        <f ca="1">SUMIFS(OFFSET('BPC Data'!$F:$F,0,Summary!Q$2),'BPC Data'!$E:$E,Summary!$D49,'BPC Data'!$B:$B,Summary!$C49)</f>
        <v>43720</v>
      </c>
      <c r="R49" s="65">
        <f ca="1">SUMIFS(OFFSET('BPC Data'!$F:$F,0,Summary!R$2),'BPC Data'!$E:$E,Summary!$D49,'BPC Data'!$B:$B,Summary!$C49)</f>
        <v>45824</v>
      </c>
      <c r="S49" s="23">
        <f t="shared" ca="1" si="87"/>
        <v>432248</v>
      </c>
      <c r="T49" s="74">
        <f ca="1">SUM(W49:AH49)</f>
        <v>-428089</v>
      </c>
      <c r="U49" s="54">
        <f ca="1">T49-S49</f>
        <v>-860337</v>
      </c>
      <c r="W49" s="4">
        <f ca="1">SUMIFS(INDIRECT("'"&amp;$W$41&amp;"'"&amp;"!$B$64:$B$5000"),INDIRECT("'"&amp;$W$41&amp;"'"&amp;"!$A$64:$A$5000"),$V$7)</f>
        <v>35406</v>
      </c>
      <c r="X49" s="4">
        <f ca="1">SUMIFS(INDIRECT("'"&amp;$W$41&amp;"'"&amp;"!$c$64:$c$5000"),INDIRECT("'"&amp;$W$41&amp;"'"&amp;"!$A$64:$A$5000"),$V$7)</f>
        <v>32489</v>
      </c>
      <c r="Y49" s="4">
        <f ca="1">SUMIFS(INDIRECT("'"&amp;$W$41&amp;"'"&amp;"!$d$64:$d$5000"),INDIRECT("'"&amp;$W$41&amp;"'"&amp;"!$A$64:$A$5000"),$V$7)</f>
        <v>33696</v>
      </c>
      <c r="Z49" s="4">
        <f ca="1">SUMIFS(INDIRECT("'"&amp;$W$41&amp;"'"&amp;"!$e$64:$e$5000"),INDIRECT("'"&amp;$W$41&amp;"'"&amp;"!$A$64:$A$5000"),$V$7)</f>
        <v>34182</v>
      </c>
      <c r="AA49" s="4">
        <f ca="1">SUMIFS(INDIRECT("'"&amp;$W$41&amp;"'"&amp;"!$f$64:$f$5000"),INDIRECT("'"&amp;$W$41&amp;"'"&amp;"!$A$64:$A$5000"),$V$7)</f>
        <v>-832085</v>
      </c>
      <c r="AB49" s="4">
        <f ca="1">SUMIFS(INDIRECT("'"&amp;$W$41&amp;"'"&amp;"!$g$64:$g$5000"),INDIRECT("'"&amp;$W$41&amp;"'"&amp;"!$A$64:$A$5000"),$V$7)</f>
        <v>38391</v>
      </c>
      <c r="AC49" s="4">
        <f ca="1">SUMIFS(INDIRECT("'"&amp;$W$41&amp;"'"&amp;"!$h$64:$h$5000"),INDIRECT("'"&amp;$W$41&amp;"'"&amp;"!$A$64:$A$5000"),$V$7)</f>
        <v>35888</v>
      </c>
      <c r="AD49" s="4">
        <f ca="1">SUMIFS(INDIRECT("'"&amp;$W$41&amp;"'"&amp;"!$i$64:$i$5000"),INDIRECT("'"&amp;$W$41&amp;"'"&amp;"!$A$64:$A$5000"),$V$7)</f>
        <v>36002</v>
      </c>
      <c r="AE49" s="4">
        <f ca="1">SUMIFS(INDIRECT("'"&amp;$W$41&amp;"'"&amp;"!$j$64:$j$5000"),INDIRECT("'"&amp;$W$41&amp;"'"&amp;"!$A$64:$A$5000"),$V$7)</f>
        <v>33770</v>
      </c>
      <c r="AF49" s="4">
        <f ca="1">SUMIFS(INDIRECT("'"&amp;$W$41&amp;"'"&amp;"!$k$64:$k$5000"),INDIRECT("'"&amp;$W$41&amp;"'"&amp;"!$A$64:$A$5000"),$V$7)</f>
        <v>34628</v>
      </c>
      <c r="AG49" s="4">
        <f ca="1">SUMIFS(INDIRECT("'"&amp;$W$41&amp;"'"&amp;"!$l$64:$l$5000"),INDIRECT("'"&amp;$W$41&amp;"'"&amp;"!$A$64:$A$5000"),$V$7)</f>
        <v>43720</v>
      </c>
      <c r="AH49" s="4">
        <f ca="1">SUMIFS(INDIRECT("'"&amp;$W$41&amp;"'"&amp;"!$m$64:$m$5000"),INDIRECT("'"&amp;$W$41&amp;"'"&amp;"!$A$64:$A$5000"),$V$7)</f>
        <v>45824</v>
      </c>
      <c r="AJ49" s="14">
        <f t="shared" ca="1" si="91"/>
        <v>0</v>
      </c>
      <c r="AK49" s="14">
        <f t="shared" ca="1" si="91"/>
        <v>0</v>
      </c>
      <c r="AL49" s="14">
        <f t="shared" ca="1" si="91"/>
        <v>0</v>
      </c>
      <c r="AM49" s="14">
        <f t="shared" ca="1" si="91"/>
        <v>0</v>
      </c>
      <c r="AN49" s="14">
        <f t="shared" ca="1" si="91"/>
        <v>-860337</v>
      </c>
      <c r="AO49" s="14">
        <f t="shared" ca="1" si="91"/>
        <v>0</v>
      </c>
      <c r="AP49" s="14">
        <f t="shared" ca="1" si="91"/>
        <v>0</v>
      </c>
      <c r="AQ49" s="14">
        <f t="shared" ca="1" si="91"/>
        <v>0</v>
      </c>
      <c r="AR49" s="14">
        <f t="shared" ca="1" si="91"/>
        <v>0</v>
      </c>
      <c r="AS49" s="14">
        <f t="shared" ca="1" si="91"/>
        <v>0</v>
      </c>
      <c r="AT49" s="14">
        <f t="shared" ca="1" si="91"/>
        <v>0</v>
      </c>
      <c r="AU49" s="14">
        <f t="shared" ca="1" si="91"/>
        <v>0</v>
      </c>
    </row>
    <row r="50" spans="1:47" s="12" customFormat="1">
      <c r="A50" s="12">
        <f t="shared" si="86"/>
        <v>4</v>
      </c>
      <c r="B50"/>
      <c r="C50" t="str">
        <f>$F42</f>
        <v>Park Manor of Quail Valley</v>
      </c>
      <c r="D50" s="1" t="str">
        <f t="shared" si="44"/>
        <v>T_EBITDAR - EBITDAR</v>
      </c>
      <c r="E50"/>
      <c r="F50" s="19" t="str">
        <f>_xll.EVDES(D50)</f>
        <v>EBITDAR</v>
      </c>
      <c r="G50" s="61">
        <f ca="1">SUMIFS(OFFSET('BPC Data'!$F:$F,0,Summary!G$2),'BPC Data'!$E:$E,Summary!$D50,'BPC Data'!$B:$B,Summary!$C50)</f>
        <v>140087</v>
      </c>
      <c r="H50" s="65">
        <f ca="1">SUMIFS(OFFSET('BPC Data'!$F:$F,0,Summary!H$2),'BPC Data'!$E:$E,Summary!$D50,'BPC Data'!$B:$B,Summary!$C50)</f>
        <v>82731</v>
      </c>
      <c r="I50" s="61">
        <f ca="1">SUMIFS(OFFSET('BPC Data'!$F:$F,0,Summary!I$2),'BPC Data'!$E:$E,Summary!$D50,'BPC Data'!$B:$B,Summary!$C50)</f>
        <v>101453</v>
      </c>
      <c r="J50" s="65">
        <f ca="1">SUMIFS(OFFSET('BPC Data'!$F:$F,0,Summary!J$2),'BPC Data'!$E:$E,Summary!$D50,'BPC Data'!$B:$B,Summary!$C50)</f>
        <v>158860</v>
      </c>
      <c r="K50" s="61">
        <f ca="1">SUMIFS(OFFSET('BPC Data'!$F:$F,0,Summary!K$2),'BPC Data'!$E:$E,Summary!$D50,'BPC Data'!$B:$B,Summary!$C50)</f>
        <v>311259</v>
      </c>
      <c r="L50" s="65">
        <f ca="1">SUMIFS(OFFSET('BPC Data'!$F:$F,0,Summary!L$2),'BPC Data'!$E:$E,Summary!$D50,'BPC Data'!$B:$B,Summary!$C50)</f>
        <v>177880</v>
      </c>
      <c r="M50" s="61">
        <f ca="1">SUMIFS(OFFSET('BPC Data'!$F:$F,0,Summary!M$2),'BPC Data'!$E:$E,Summary!$D50,'BPC Data'!$B:$B,Summary!$C50)</f>
        <v>167463</v>
      </c>
      <c r="N50" s="65">
        <f ca="1">SUMIFS(OFFSET('BPC Data'!$F:$F,0,Summary!N$2),'BPC Data'!$E:$E,Summary!$D50,'BPC Data'!$B:$B,Summary!$C50)</f>
        <v>120099</v>
      </c>
      <c r="O50" s="61">
        <f ca="1">SUMIFS(OFFSET('BPC Data'!$F:$F,0,Summary!O$2),'BPC Data'!$E:$E,Summary!$D50,'BPC Data'!$B:$B,Summary!$C50)</f>
        <v>59444</v>
      </c>
      <c r="P50" s="65">
        <f ca="1">SUMIFS(OFFSET('BPC Data'!$F:$F,0,Summary!P$2),'BPC Data'!$E:$E,Summary!$D50,'BPC Data'!$B:$B,Summary!$C50)</f>
        <v>96539</v>
      </c>
      <c r="Q50" s="61">
        <f ca="1">SUMIFS(OFFSET('BPC Data'!$F:$F,0,Summary!Q$2),'BPC Data'!$E:$E,Summary!$D50,'BPC Data'!$B:$B,Summary!$C50)</f>
        <v>266200</v>
      </c>
      <c r="R50" s="65">
        <f ca="1">SUMIFS(OFFSET('BPC Data'!$F:$F,0,Summary!R$2),'BPC Data'!$E:$E,Summary!$D50,'BPC Data'!$B:$B,Summary!$C50)</f>
        <v>206273</v>
      </c>
      <c r="S50" s="23">
        <f t="shared" ca="1" si="87"/>
        <v>1888288</v>
      </c>
      <c r="T50" s="74">
        <f ca="1">SUM(W50:AH50)</f>
        <v>1961300.5799999998</v>
      </c>
      <c r="U50" s="54">
        <f ca="1">T50-S50</f>
        <v>73012.579999999842</v>
      </c>
      <c r="W50" s="50">
        <f t="shared" ref="W50:AB50" ca="1" si="92">W48-W49</f>
        <v>140086.42999999993</v>
      </c>
      <c r="X50" s="50">
        <f t="shared" ca="1" si="92"/>
        <v>82731.980000000447</v>
      </c>
      <c r="Y50" s="50">
        <f t="shared" ca="1" si="92"/>
        <v>101452.16000000038</v>
      </c>
      <c r="Z50" s="50">
        <f t="shared" ca="1" si="92"/>
        <v>158861.11999999976</v>
      </c>
      <c r="AA50" s="50">
        <f t="shared" ca="1" si="92"/>
        <v>384273.45999999985</v>
      </c>
      <c r="AB50" s="50">
        <f t="shared" ca="1" si="92"/>
        <v>177881.87000000034</v>
      </c>
      <c r="AC50" s="50">
        <f t="shared" ref="AC50:AH50" ca="1" si="93">AC48-AC49</f>
        <v>167462.49000000046</v>
      </c>
      <c r="AD50" s="50">
        <f t="shared" ca="1" si="93"/>
        <v>120098.33000000077</v>
      </c>
      <c r="AE50" s="50">
        <f t="shared" ca="1" si="93"/>
        <v>59444.179999999353</v>
      </c>
      <c r="AF50" s="50">
        <f t="shared" ca="1" si="93"/>
        <v>96539.109999999288</v>
      </c>
      <c r="AG50" s="50">
        <f t="shared" ca="1" si="93"/>
        <v>266197.45999999868</v>
      </c>
      <c r="AH50" s="50">
        <f t="shared" ca="1" si="93"/>
        <v>206271.99000000046</v>
      </c>
      <c r="AJ50" s="14">
        <f t="shared" ca="1" si="91"/>
        <v>-0.57000000006519258</v>
      </c>
      <c r="AK50" s="14">
        <f t="shared" ca="1" si="91"/>
        <v>0.98000000044703484</v>
      </c>
      <c r="AL50" s="14">
        <f t="shared" ca="1" si="91"/>
        <v>-0.83999999961815774</v>
      </c>
      <c r="AM50" s="14">
        <f t="shared" ca="1" si="91"/>
        <v>1.1199999997625127</v>
      </c>
      <c r="AN50" s="14">
        <f t="shared" ca="1" si="91"/>
        <v>73014.459999999846</v>
      </c>
      <c r="AO50" s="14">
        <f t="shared" ca="1" si="91"/>
        <v>1.8700000003445894</v>
      </c>
      <c r="AP50" s="14">
        <f t="shared" ca="1" si="91"/>
        <v>-0.50999999954365194</v>
      </c>
      <c r="AQ50" s="14">
        <f t="shared" ca="1" si="91"/>
        <v>-0.66999999922700226</v>
      </c>
      <c r="AR50" s="14">
        <f t="shared" ca="1" si="91"/>
        <v>0.17999999935273081</v>
      </c>
      <c r="AS50" s="14">
        <f t="shared" ca="1" si="91"/>
        <v>0.10999999928753823</v>
      </c>
      <c r="AT50" s="14">
        <f t="shared" ca="1" si="91"/>
        <v>-2.5400000013178214</v>
      </c>
      <c r="AU50" s="14">
        <f t="shared" ca="1" si="91"/>
        <v>-1.0099999995436519</v>
      </c>
    </row>
    <row r="51" spans="1:47" s="12" customFormat="1">
      <c r="A51" s="12">
        <f t="shared" si="86"/>
        <v>4</v>
      </c>
      <c r="B51"/>
      <c r="C51" t="str">
        <f>$F42</f>
        <v>Park Manor of Quail Valley</v>
      </c>
      <c r="D51" s="1" t="str">
        <f t="shared" si="44"/>
        <v>T_RENT_EXP - Tenant Rent Expense</v>
      </c>
      <c r="E51"/>
      <c r="F51" s="19" t="str">
        <f>_xll.EVDES(D51)</f>
        <v>Tenant Rent Expense</v>
      </c>
      <c r="G51" s="61">
        <f ca="1">SUMIFS(OFFSET('BPC Data'!$F:$F,0,Summary!G$2),'BPC Data'!$E:$E,Summary!$D51,'BPC Data'!$B:$B,Summary!$C51)</f>
        <v>118129</v>
      </c>
      <c r="H51" s="65">
        <f ca="1">SUMIFS(OFFSET('BPC Data'!$F:$F,0,Summary!H$2),'BPC Data'!$E:$E,Summary!$D51,'BPC Data'!$B:$B,Summary!$C51)</f>
        <v>121023</v>
      </c>
      <c r="I51" s="61">
        <f ca="1">SUMIFS(OFFSET('BPC Data'!$F:$F,0,Summary!I$2),'BPC Data'!$E:$E,Summary!$D51,'BPC Data'!$B:$B,Summary!$C51)</f>
        <v>121023</v>
      </c>
      <c r="J51" s="65">
        <f ca="1">SUMIFS(OFFSET('BPC Data'!$F:$F,0,Summary!J$2),'BPC Data'!$E:$E,Summary!$D51,'BPC Data'!$B:$B,Summary!$C51)</f>
        <v>121023</v>
      </c>
      <c r="K51" s="61">
        <f ca="1">SUMIFS(OFFSET('BPC Data'!$F:$F,0,Summary!K$2),'BPC Data'!$E:$E,Summary!$D51,'BPC Data'!$B:$B,Summary!$C51)</f>
        <v>121023</v>
      </c>
      <c r="L51" s="65">
        <f ca="1">SUMIFS(OFFSET('BPC Data'!$F:$F,0,Summary!L$2),'BPC Data'!$E:$E,Summary!$D51,'BPC Data'!$B:$B,Summary!$C51)</f>
        <v>121023</v>
      </c>
      <c r="M51" s="61">
        <f ca="1">SUMIFS(OFFSET('BPC Data'!$F:$F,0,Summary!M$2),'BPC Data'!$E:$E,Summary!$D51,'BPC Data'!$B:$B,Summary!$C51)</f>
        <v>121023</v>
      </c>
      <c r="N51" s="65">
        <f ca="1">SUMIFS(OFFSET('BPC Data'!$F:$F,0,Summary!N$2),'BPC Data'!$E:$E,Summary!$D51,'BPC Data'!$B:$B,Summary!$C51)</f>
        <v>121023</v>
      </c>
      <c r="O51" s="61">
        <f ca="1">SUMIFS(OFFSET('BPC Data'!$F:$F,0,Summary!O$2),'BPC Data'!$E:$E,Summary!$D51,'BPC Data'!$B:$B,Summary!$C51)</f>
        <v>121023</v>
      </c>
      <c r="P51" s="65">
        <f ca="1">SUMIFS(OFFSET('BPC Data'!$F:$F,0,Summary!P$2),'BPC Data'!$E:$E,Summary!$D51,'BPC Data'!$B:$B,Summary!$C51)</f>
        <v>121023</v>
      </c>
      <c r="Q51" s="61">
        <f ca="1">SUMIFS(OFFSET('BPC Data'!$F:$F,0,Summary!Q$2),'BPC Data'!$E:$E,Summary!$D51,'BPC Data'!$B:$B,Summary!$C51)</f>
        <v>121023</v>
      </c>
      <c r="R51" s="65">
        <f ca="1">SUMIFS(OFFSET('BPC Data'!$F:$F,0,Summary!R$2),'BPC Data'!$E:$E,Summary!$D51,'BPC Data'!$B:$B,Summary!$C51)</f>
        <v>133218</v>
      </c>
      <c r="S51" s="23">
        <f t="shared" ca="1" si="87"/>
        <v>1461577</v>
      </c>
      <c r="T51" s="74">
        <f ca="1">SUM(W51:AH51)</f>
        <v>1461573.24</v>
      </c>
      <c r="U51" s="54">
        <f ca="1">T51-S51</f>
        <v>-3.7600000000093132</v>
      </c>
      <c r="W51" s="4">
        <f ca="1">SUMIFS(INDIRECT("'"&amp;$W$41&amp;"'"&amp;"!$B$64:$B$5000"),INDIRECT("'"&amp;$W$41&amp;"'"&amp;"!$A$64:$A$5000"),$W$3)+SUMIFS(INDIRECT("'"&amp;$W$41&amp;"'"&amp;"!$B$64:$B$5000"),INDIRECT("'"&amp;$W$41&amp;"'"&amp;"!$A$64:$A$5000"),$W$4)</f>
        <v>118129</v>
      </c>
      <c r="X51" s="4">
        <f ca="1">SUMIFS(INDIRECT("'"&amp;$W$41&amp;"'"&amp;"!$c$64:$c$5000"),INDIRECT("'"&amp;$W$41&amp;"'"&amp;"!$A$64:$A$5000"),$W$3)+SUMIFS(INDIRECT("'"&amp;$W$41&amp;"'"&amp;"!$c$64:$c$5000"),INDIRECT("'"&amp;$W$41&amp;"'"&amp;"!$A$64:$A$5000"),$W$4)</f>
        <v>121022.57999999999</v>
      </c>
      <c r="Y51" s="4">
        <f ca="1">SUMIFS(INDIRECT("'"&amp;$W$41&amp;"'"&amp;"!$d$64:$d$5000"),INDIRECT("'"&amp;$W$41&amp;"'"&amp;"!$A$64:$A$5000"),$W$3)+SUMIFS(INDIRECT("'"&amp;$W$41&amp;"'"&amp;"!$d$64:$d$5000"),INDIRECT("'"&amp;$W$41&amp;"'"&amp;"!$A$64:$A$5000"),$W$4)</f>
        <v>121022.57999999999</v>
      </c>
      <c r="Z51" s="4">
        <f ca="1">SUMIFS(INDIRECT("'"&amp;$W$41&amp;"'"&amp;"!$e$64:$e$5000"),INDIRECT("'"&amp;$W$41&amp;"'"&amp;"!$A$64:$A$5000"),$W$3)+SUMIFS(INDIRECT("'"&amp;$W$41&amp;"'"&amp;"!$e$64:$e$5000"),INDIRECT("'"&amp;$W$41&amp;"'"&amp;"!$A$64:$A$5000"),$W$4)</f>
        <v>121022.57999999999</v>
      </c>
      <c r="AA51" s="4">
        <f ca="1">SUMIFS(INDIRECT("'"&amp;$W$41&amp;"'"&amp;"!$f$64:$f$5000"),INDIRECT("'"&amp;$W$41&amp;"'"&amp;"!$A$64:$A$5000"),$W$3)+SUMIFS(INDIRECT("'"&amp;$W$41&amp;"'"&amp;"!$f$64:$f$5000"),INDIRECT("'"&amp;$W$41&amp;"'"&amp;"!$A$64:$A$5000"),$W$4)</f>
        <v>121022.57999999999</v>
      </c>
      <c r="AB51" s="4">
        <f ca="1">SUMIFS(INDIRECT("'"&amp;$W$41&amp;"'"&amp;"!$g$64:$g$5000"),INDIRECT("'"&amp;$W$41&amp;"'"&amp;"!$A$64:$A$5000"),$W$3)+SUMIFS(INDIRECT("'"&amp;$W$41&amp;"'"&amp;"!$g$64:$g$5000"),INDIRECT("'"&amp;$W$41&amp;"'"&amp;"!$A$64:$A$5000"),$W$4)</f>
        <v>121022.57999999999</v>
      </c>
      <c r="AC51" s="4">
        <f ca="1">SUMIFS(INDIRECT("'"&amp;$W$41&amp;"'"&amp;"!$h$64:$h$5000"),INDIRECT("'"&amp;$W$41&amp;"'"&amp;"!$A$64:$A$5000"),$W$3)+SUMIFS(INDIRECT("'"&amp;$W$41&amp;"'"&amp;"!$h$64:$h$5000"),INDIRECT("'"&amp;$W$41&amp;"'"&amp;"!$A$64:$A$5000"),$W$4)</f>
        <v>121022.57999999999</v>
      </c>
      <c r="AD51" s="4">
        <f ca="1">SUMIFS(INDIRECT("'"&amp;$W$41&amp;"'"&amp;"!$i$64:$i$5000"),INDIRECT("'"&amp;$W$41&amp;"'"&amp;"!$A$64:$A$5000"),$W$3)+SUMIFS(INDIRECT("'"&amp;$W$41&amp;"'"&amp;"!$i$64:$i$5000"),INDIRECT("'"&amp;$W$41&amp;"'"&amp;"!$A$64:$A$5000"),$W$4)</f>
        <v>121022.57999999999</v>
      </c>
      <c r="AE51" s="4">
        <f ca="1">SUMIFS(INDIRECT("'"&amp;$W$41&amp;"'"&amp;"!$j$64:$j$5000"),INDIRECT("'"&amp;$W$41&amp;"'"&amp;"!$A$64:$A$5000"),$W$3)+SUMIFS(INDIRECT("'"&amp;$W$41&amp;"'"&amp;"!$j$64:$j$5000"),INDIRECT("'"&amp;$W$41&amp;"'"&amp;"!$A$64:$A$5000"),$W$4)</f>
        <v>121022.57999999999</v>
      </c>
      <c r="AF51" s="4">
        <f ca="1">SUMIFS(INDIRECT("'"&amp;$W$41&amp;"'"&amp;"!$k$64:$k$5000"),INDIRECT("'"&amp;$W$41&amp;"'"&amp;"!$A$64:$A$5000"),$W$3)+SUMIFS(INDIRECT("'"&amp;$W$41&amp;"'"&amp;"!$k$64:$k$5000"),INDIRECT("'"&amp;$W$41&amp;"'"&amp;"!$A$64:$A$5000"),$W$4)</f>
        <v>121022.57999999999</v>
      </c>
      <c r="AG51" s="4">
        <f ca="1">SUMIFS(INDIRECT("'"&amp;$W$41&amp;"'"&amp;"!$l$64:$l$5000"),INDIRECT("'"&amp;$W$41&amp;"'"&amp;"!$A$64:$A$5000"),$W$3)+SUMIFS(INDIRECT("'"&amp;$W$41&amp;"'"&amp;"!$l$64:$l$5000"),INDIRECT("'"&amp;$W$41&amp;"'"&amp;"!$A$64:$A$5000"),$W$4)</f>
        <v>121022.57999999999</v>
      </c>
      <c r="AH51" s="4">
        <f ca="1">SUMIFS(INDIRECT("'"&amp;$W$41&amp;"'"&amp;"!$m$64:$m$5000"),INDIRECT("'"&amp;$W$41&amp;"'"&amp;"!$A$64:$A$5000"),$W$3)+SUMIFS(INDIRECT("'"&amp;$W$41&amp;"'"&amp;"!$m$64:$m$5000"),INDIRECT("'"&amp;$W$41&amp;"'"&amp;"!$A$64:$A$5000"),$W$4)</f>
        <v>133218.44</v>
      </c>
      <c r="AJ51" s="14">
        <f t="shared" ca="1" si="91"/>
        <v>0</v>
      </c>
      <c r="AK51" s="14">
        <f t="shared" ca="1" si="91"/>
        <v>-0.42000000001280569</v>
      </c>
      <c r="AL51" s="14">
        <f t="shared" ca="1" si="91"/>
        <v>-0.42000000001280569</v>
      </c>
      <c r="AM51" s="14">
        <f t="shared" ca="1" si="91"/>
        <v>-0.42000000001280569</v>
      </c>
      <c r="AN51" s="14">
        <f t="shared" ca="1" si="91"/>
        <v>-0.42000000001280569</v>
      </c>
      <c r="AO51" s="14">
        <f t="shared" ca="1" si="91"/>
        <v>-0.42000000001280569</v>
      </c>
      <c r="AP51" s="14">
        <f t="shared" ca="1" si="91"/>
        <v>-0.42000000001280569</v>
      </c>
      <c r="AQ51" s="14">
        <f t="shared" ca="1" si="91"/>
        <v>-0.42000000001280569</v>
      </c>
      <c r="AR51" s="14">
        <f t="shared" ca="1" si="91"/>
        <v>-0.42000000001280569</v>
      </c>
      <c r="AS51" s="14">
        <f t="shared" ca="1" si="91"/>
        <v>-0.42000000001280569</v>
      </c>
      <c r="AT51" s="14">
        <f t="shared" ca="1" si="91"/>
        <v>-0.42000000001280569</v>
      </c>
      <c r="AU51" s="14">
        <f t="shared" ca="1" si="91"/>
        <v>0.44000000000232831</v>
      </c>
    </row>
    <row r="52" spans="1:47" s="12" customFormat="1">
      <c r="A52" s="12">
        <f t="shared" si="86"/>
        <v>4</v>
      </c>
      <c r="B52"/>
      <c r="C52"/>
      <c r="D52" s="1" t="str">
        <f t="shared" si="44"/>
        <v>x</v>
      </c>
      <c r="E52"/>
      <c r="F52" s="19" t="s">
        <v>0</v>
      </c>
      <c r="G52" s="61">
        <f ca="1">SUMIFS(OFFSET('BPC Data'!$F:$F,0,Summary!G$2),'BPC Data'!$E:$E,Summary!$D52,'BPC Data'!$B:$B,Summary!$C52)</f>
        <v>0</v>
      </c>
      <c r="H52" s="65">
        <f ca="1">SUMIFS(OFFSET('BPC Data'!$F:$F,0,Summary!H$2),'BPC Data'!$E:$E,Summary!$D52,'BPC Data'!$B:$B,Summary!$C52)</f>
        <v>0</v>
      </c>
      <c r="I52" s="61">
        <f ca="1">SUMIFS(OFFSET('BPC Data'!$F:$F,0,Summary!I$2),'BPC Data'!$E:$E,Summary!$D52,'BPC Data'!$B:$B,Summary!$C52)</f>
        <v>0</v>
      </c>
      <c r="J52" s="65">
        <f ca="1">SUMIFS(OFFSET('BPC Data'!$F:$F,0,Summary!J$2),'BPC Data'!$E:$E,Summary!$D52,'BPC Data'!$B:$B,Summary!$C52)</f>
        <v>0</v>
      </c>
      <c r="K52" s="61">
        <f ca="1">SUMIFS(OFFSET('BPC Data'!$F:$F,0,Summary!K$2),'BPC Data'!$E:$E,Summary!$D52,'BPC Data'!$B:$B,Summary!$C52)</f>
        <v>0</v>
      </c>
      <c r="L52" s="65">
        <f ca="1">SUMIFS(OFFSET('BPC Data'!$F:$F,0,Summary!L$2),'BPC Data'!$E:$E,Summary!$D52,'BPC Data'!$B:$B,Summary!$C52)</f>
        <v>0</v>
      </c>
      <c r="M52" s="61">
        <f ca="1">SUMIFS(OFFSET('BPC Data'!$F:$F,0,Summary!M$2),'BPC Data'!$E:$E,Summary!$D52,'BPC Data'!$B:$B,Summary!$C52)</f>
        <v>0</v>
      </c>
      <c r="N52" s="65">
        <f ca="1">SUMIFS(OFFSET('BPC Data'!$F:$F,0,Summary!N$2),'BPC Data'!$E:$E,Summary!$D52,'BPC Data'!$B:$B,Summary!$C52)</f>
        <v>0</v>
      </c>
      <c r="O52" s="61">
        <f ca="1">SUMIFS(OFFSET('BPC Data'!$F:$F,0,Summary!O$2),'BPC Data'!$E:$E,Summary!$D52,'BPC Data'!$B:$B,Summary!$C52)</f>
        <v>0</v>
      </c>
      <c r="P52" s="65">
        <f ca="1">SUMIFS(OFFSET('BPC Data'!$F:$F,0,Summary!P$2),'BPC Data'!$E:$E,Summary!$D52,'BPC Data'!$B:$B,Summary!$C52)</f>
        <v>0</v>
      </c>
      <c r="Q52" s="61">
        <f ca="1">SUMIFS(OFFSET('BPC Data'!$F:$F,0,Summary!Q$2),'BPC Data'!$E:$E,Summary!$D52,'BPC Data'!$B:$B,Summary!$C52)</f>
        <v>0</v>
      </c>
      <c r="R52" s="65">
        <f ca="1">SUMIFS(OFFSET('BPC Data'!$F:$F,0,Summary!R$2),'BPC Data'!$E:$E,Summary!$D52,'BPC Data'!$B:$B,Summary!$C52)</f>
        <v>0</v>
      </c>
      <c r="S52" s="23">
        <f ca="1">SUM(G52:M52)</f>
        <v>0</v>
      </c>
      <c r="T52" s="76"/>
      <c r="W52" t="s">
        <v>299</v>
      </c>
      <c r="X52"/>
      <c r="Y52"/>
      <c r="Z52"/>
      <c r="AA52"/>
      <c r="AB52"/>
      <c r="AC52"/>
      <c r="AD52"/>
      <c r="AE52"/>
      <c r="AF52"/>
      <c r="AG52"/>
      <c r="AH52"/>
      <c r="AI52"/>
      <c r="AJ52" s="14"/>
      <c r="AK52" s="49"/>
      <c r="AL52" s="49"/>
      <c r="AM52" s="49"/>
      <c r="AN52" s="49"/>
      <c r="AO52" s="49"/>
      <c r="AP52" s="49"/>
      <c r="AQ52" s="49"/>
      <c r="AR52" s="49"/>
      <c r="AS52" s="49"/>
      <c r="AT52" s="49"/>
      <c r="AU52" s="49"/>
    </row>
    <row r="53" spans="1:47" s="12" customFormat="1">
      <c r="A53" s="12">
        <f>IF(AND(D53&lt;&gt;"",C53=""),A52+1,A52)</f>
        <v>5</v>
      </c>
      <c r="B53" s="5"/>
      <c r="C53" s="5"/>
      <c r="D53" s="5" t="str">
        <f t="shared" si="44"/>
        <v>x</v>
      </c>
      <c r="E53" s="5"/>
      <c r="F53" s="18" t="str">
        <f>INDEX(PropertyList!$D:$D,MATCH(Summary!$A53,PropertyList!$C:$C,0))</f>
        <v>Park Manor of Westchase</v>
      </c>
      <c r="G53" s="61">
        <f ca="1">SUMIFS(OFFSET('BPC Data'!$F:$F,0,Summary!G$2),'BPC Data'!$E:$E,Summary!$D53,'BPC Data'!$B:$B,Summary!$C53)</f>
        <v>0</v>
      </c>
      <c r="H53" s="65">
        <f ca="1">SUMIFS(OFFSET('BPC Data'!$F:$F,0,Summary!H$2),'BPC Data'!$E:$E,Summary!$D53,'BPC Data'!$B:$B,Summary!$C53)</f>
        <v>0</v>
      </c>
      <c r="I53" s="61">
        <f ca="1">SUMIFS(OFFSET('BPC Data'!$F:$F,0,Summary!I$2),'BPC Data'!$E:$E,Summary!$D53,'BPC Data'!$B:$B,Summary!$C53)</f>
        <v>0</v>
      </c>
      <c r="J53" s="65">
        <f ca="1">SUMIFS(OFFSET('BPC Data'!$F:$F,0,Summary!J$2),'BPC Data'!$E:$E,Summary!$D53,'BPC Data'!$B:$B,Summary!$C53)</f>
        <v>0</v>
      </c>
      <c r="K53" s="61">
        <f ca="1">SUMIFS(OFFSET('BPC Data'!$F:$F,0,Summary!K$2),'BPC Data'!$E:$E,Summary!$D53,'BPC Data'!$B:$B,Summary!$C53)</f>
        <v>0</v>
      </c>
      <c r="L53" s="65">
        <f ca="1">SUMIFS(OFFSET('BPC Data'!$F:$F,0,Summary!L$2),'BPC Data'!$E:$E,Summary!$D53,'BPC Data'!$B:$B,Summary!$C53)</f>
        <v>0</v>
      </c>
      <c r="M53" s="61">
        <f ca="1">SUMIFS(OFFSET('BPC Data'!$F:$F,0,Summary!M$2),'BPC Data'!$E:$E,Summary!$D53,'BPC Data'!$B:$B,Summary!$C53)</f>
        <v>0</v>
      </c>
      <c r="N53" s="65">
        <f ca="1">SUMIFS(OFFSET('BPC Data'!$F:$F,0,Summary!N$2),'BPC Data'!$E:$E,Summary!$D53,'BPC Data'!$B:$B,Summary!$C53)</f>
        <v>0</v>
      </c>
      <c r="O53" s="61">
        <f ca="1">SUMIFS(OFFSET('BPC Data'!$F:$F,0,Summary!O$2),'BPC Data'!$E:$E,Summary!$D53,'BPC Data'!$B:$B,Summary!$C53)</f>
        <v>0</v>
      </c>
      <c r="P53" s="65">
        <f ca="1">SUMIFS(OFFSET('BPC Data'!$F:$F,0,Summary!P$2),'BPC Data'!$E:$E,Summary!$D53,'BPC Data'!$B:$B,Summary!$C53)</f>
        <v>0</v>
      </c>
      <c r="Q53" s="61">
        <f ca="1">SUMIFS(OFFSET('BPC Data'!$F:$F,0,Summary!Q$2),'BPC Data'!$E:$E,Summary!$D53,'BPC Data'!$B:$B,Summary!$C53)</f>
        <v>0</v>
      </c>
      <c r="R53" s="65">
        <f ca="1">SUMIFS(OFFSET('BPC Data'!$F:$F,0,Summary!R$2),'BPC Data'!$E:$E,Summary!$D53,'BPC Data'!$B:$B,Summary!$C53)</f>
        <v>0</v>
      </c>
      <c r="S53" s="23">
        <f ca="1">SUM(G53:M53)</f>
        <v>0</v>
      </c>
      <c r="T53" s="76"/>
      <c r="W53" s="5" t="str">
        <f t="shared" ref="W53:AH53" si="94">+G$8</f>
        <v>Aug 2021</v>
      </c>
      <c r="X53" s="5" t="str">
        <f t="shared" si="94"/>
        <v>Sep 2021</v>
      </c>
      <c r="Y53" s="5" t="str">
        <f t="shared" si="94"/>
        <v>Oct 2021</v>
      </c>
      <c r="Z53" s="5" t="str">
        <f t="shared" si="94"/>
        <v>Nov 2021</v>
      </c>
      <c r="AA53" s="5" t="str">
        <f t="shared" si="94"/>
        <v>Dec 2021</v>
      </c>
      <c r="AB53" s="5" t="str">
        <f t="shared" si="94"/>
        <v>Jan 2022</v>
      </c>
      <c r="AC53" s="5" t="str">
        <f t="shared" si="94"/>
        <v>Feb 2022</v>
      </c>
      <c r="AD53" s="5" t="str">
        <f t="shared" si="94"/>
        <v>Mar 2022</v>
      </c>
      <c r="AE53" s="5" t="str">
        <f t="shared" si="94"/>
        <v>Apr 2022</v>
      </c>
      <c r="AF53" s="5" t="str">
        <f t="shared" si="94"/>
        <v>May 2022</v>
      </c>
      <c r="AG53" s="5" t="str">
        <f t="shared" si="94"/>
        <v>Jun 2022</v>
      </c>
      <c r="AH53" s="5" t="str">
        <f t="shared" si="94"/>
        <v>Jul 2022</v>
      </c>
      <c r="AI53" s="5"/>
      <c r="AJ53" s="174" t="str">
        <f>W$9</f>
        <v>Aug 2021</v>
      </c>
      <c r="AK53" s="174" t="str">
        <f t="shared" ref="AK53" si="95">X$9</f>
        <v>Sep 2021</v>
      </c>
      <c r="AL53" s="174" t="str">
        <f t="shared" ref="AL53" si="96">Y$9</f>
        <v>Oct 2021</v>
      </c>
      <c r="AM53" s="174" t="str">
        <f t="shared" ref="AM53" si="97">Z$9</f>
        <v>Nov 2021</v>
      </c>
      <c r="AN53" s="174" t="str">
        <f t="shared" ref="AN53:AO53" si="98">AA$9</f>
        <v>Dec 2021</v>
      </c>
      <c r="AO53" s="174" t="str">
        <f t="shared" si="98"/>
        <v>Jan 2022</v>
      </c>
      <c r="AP53" s="174" t="str">
        <f t="shared" ref="AP53" si="99">AC$9</f>
        <v>Feb 2022</v>
      </c>
      <c r="AQ53" s="174" t="str">
        <f t="shared" ref="AQ53" si="100">AD$9</f>
        <v>Mar 2022</v>
      </c>
      <c r="AR53" s="174" t="str">
        <f t="shared" ref="AR53" si="101">AE$9</f>
        <v>Apr 2022</v>
      </c>
      <c r="AS53" s="174" t="str">
        <f t="shared" ref="AS53" si="102">AF$9</f>
        <v>May 2022</v>
      </c>
      <c r="AT53" s="174" t="str">
        <f t="shared" ref="AT53" si="103">AG$9</f>
        <v>Jun 2022</v>
      </c>
      <c r="AU53" s="174" t="str">
        <f t="shared" ref="AU53" si="104">AH$9</f>
        <v>Jul 2022</v>
      </c>
    </row>
    <row r="54" spans="1:47" s="12" customFormat="1">
      <c r="A54" s="12">
        <f>IF(AND(F54&lt;&gt;"",D54=""),A53+1,A53)</f>
        <v>5</v>
      </c>
      <c r="C54" t="str">
        <f>$F53</f>
        <v>Park Manor of Westchase</v>
      </c>
      <c r="D54" s="3" t="str">
        <f t="shared" si="44"/>
        <v>PAY_PAT_DAYS - Total Payor Patient Days</v>
      </c>
      <c r="F54" s="19" t="str">
        <f>_xll.EVDES(D54)</f>
        <v>Total Payor Patient Days</v>
      </c>
      <c r="G54" s="61">
        <f ca="1">SUMIFS(OFFSET('BPC Data'!$F:$F,0,Summary!G$2),'BPC Data'!$E:$E,Summary!$D54,'BPC Data'!$B:$B,Summary!$C54)</f>
        <v>2263</v>
      </c>
      <c r="H54" s="65">
        <f ca="1">SUMIFS(OFFSET('BPC Data'!$F:$F,0,Summary!H$2),'BPC Data'!$E:$E,Summary!$D54,'BPC Data'!$B:$B,Summary!$C54)</f>
        <v>2006</v>
      </c>
      <c r="I54" s="61">
        <f ca="1">SUMIFS(OFFSET('BPC Data'!$F:$F,0,Summary!I$2),'BPC Data'!$E:$E,Summary!$D54,'BPC Data'!$B:$B,Summary!$C54)</f>
        <v>2216</v>
      </c>
      <c r="J54" s="65">
        <f ca="1">SUMIFS(OFFSET('BPC Data'!$F:$F,0,Summary!J$2),'BPC Data'!$E:$E,Summary!$D54,'BPC Data'!$B:$B,Summary!$C54)</f>
        <v>2155</v>
      </c>
      <c r="K54" s="61">
        <f ca="1">SUMIFS(OFFSET('BPC Data'!$F:$F,0,Summary!K$2),'BPC Data'!$E:$E,Summary!$D54,'BPC Data'!$B:$B,Summary!$C54)</f>
        <v>2414</v>
      </c>
      <c r="L54" s="65">
        <f ca="1">SUMIFS(OFFSET('BPC Data'!$F:$F,0,Summary!L$2),'BPC Data'!$E:$E,Summary!$D54,'BPC Data'!$B:$B,Summary!$C54)</f>
        <v>2355</v>
      </c>
      <c r="M54" s="61">
        <f ca="1">SUMIFS(OFFSET('BPC Data'!$F:$F,0,Summary!M$2),'BPC Data'!$E:$E,Summary!$D54,'BPC Data'!$B:$B,Summary!$C54)</f>
        <v>2490</v>
      </c>
      <c r="N54" s="65">
        <f ca="1">SUMIFS(OFFSET('BPC Data'!$F:$F,0,Summary!N$2),'BPC Data'!$E:$E,Summary!$D54,'BPC Data'!$B:$B,Summary!$C54)</f>
        <v>2466</v>
      </c>
      <c r="O54" s="61">
        <f ca="1">SUMIFS(OFFSET('BPC Data'!$F:$F,0,Summary!O$2),'BPC Data'!$E:$E,Summary!$D54,'BPC Data'!$B:$B,Summary!$C54)</f>
        <v>2594</v>
      </c>
      <c r="P54" s="65">
        <f ca="1">SUMIFS(OFFSET('BPC Data'!$F:$F,0,Summary!P$2),'BPC Data'!$E:$E,Summary!$D54,'BPC Data'!$B:$B,Summary!$C54)</f>
        <v>2520</v>
      </c>
      <c r="Q54" s="61">
        <f ca="1">SUMIFS(OFFSET('BPC Data'!$F:$F,0,Summary!Q$2),'BPC Data'!$E:$E,Summary!$D54,'BPC Data'!$B:$B,Summary!$C54)</f>
        <v>2473</v>
      </c>
      <c r="R54" s="65">
        <f ca="1">SUMIFS(OFFSET('BPC Data'!$F:$F,0,Summary!R$2),'BPC Data'!$E:$E,Summary!$D54,'BPC Data'!$B:$B,Summary!$C54)</f>
        <v>2636</v>
      </c>
      <c r="S54" s="23">
        <f ca="1">SUM(G54:R54)</f>
        <v>28588</v>
      </c>
      <c r="T54" s="74">
        <f ca="1">SUM(W54:AH54)</f>
        <v>28588</v>
      </c>
      <c r="U54" s="54">
        <f ca="1">T54-S54</f>
        <v>0</v>
      </c>
      <c r="W54" s="4">
        <f ca="1">SUMIFS(INDIRECT("'"&amp;$W$52&amp;"'"&amp;"!$B$1:$B$5000"),INDIRECT("'"&amp;$W$52&amp;"'"&amp;"!$A$1:$A$5000"),$W$2)</f>
        <v>2263</v>
      </c>
      <c r="X54" s="4">
        <f ca="1">SUMIFS(INDIRECT("'"&amp;$W$52&amp;"'"&amp;"!$c$1:$c$5000"),INDIRECT("'"&amp;$W$52&amp;"'"&amp;"!$A$1:$A$5000"),$W$2)</f>
        <v>2006</v>
      </c>
      <c r="Y54" s="4">
        <f ca="1">SUMIFS(INDIRECT("'"&amp;$W$52&amp;"'"&amp;"!$d$1:$d$5000"),INDIRECT("'"&amp;$W$52&amp;"'"&amp;"!$A$1:$A$5000"),$W$2)</f>
        <v>2216</v>
      </c>
      <c r="Z54" s="4">
        <f ca="1">SUMIFS(INDIRECT("'"&amp;$W$52&amp;"'"&amp;"!$e$1:$e$5000"),INDIRECT("'"&amp;$W$52&amp;"'"&amp;"!$A$1:$A$5000"),$W$2)</f>
        <v>2155</v>
      </c>
      <c r="AA54" s="4">
        <f ca="1">SUMIFS(INDIRECT("'"&amp;$W$52&amp;"'"&amp;"!$f$1:$f$5000"),INDIRECT("'"&amp;$W$52&amp;"'"&amp;"!$A$1:$A$5000"),$W$2)</f>
        <v>2414</v>
      </c>
      <c r="AB54" s="4">
        <f ca="1">SUMIFS(INDIRECT("'"&amp;$W$52&amp;"'"&amp;"!$g$1:$g$5000"),INDIRECT("'"&amp;$W$52&amp;"'"&amp;"!$A$1:$A$5000"),$W$2)</f>
        <v>2355</v>
      </c>
      <c r="AC54" s="4">
        <f ca="1">SUMIFS(INDIRECT("'"&amp;$W$52&amp;"'"&amp;"!$h$1:$h$5000"),INDIRECT("'"&amp;$W$52&amp;"'"&amp;"!$A$1:$A$5000"),$W$2)</f>
        <v>2490</v>
      </c>
      <c r="AD54" s="4">
        <f ca="1">SUMIFS(INDIRECT("'"&amp;$W$52&amp;"'"&amp;"!$i$1:$i$5000"),INDIRECT("'"&amp;$W$52&amp;"'"&amp;"!$A$1:$A$5000"),$W$2)</f>
        <v>2466</v>
      </c>
      <c r="AE54" s="4">
        <f ca="1">SUMIFS(INDIRECT("'"&amp;$W$52&amp;"'"&amp;"!$j$1:$j$5000"),INDIRECT("'"&amp;$W$52&amp;"'"&amp;"!$A$1:$A$5000"),$W$2)</f>
        <v>2594</v>
      </c>
      <c r="AF54" s="4">
        <f ca="1">SUMIFS(INDIRECT("'"&amp;$W$52&amp;"'"&amp;"!$k$1:$k$5000"),INDIRECT("'"&amp;$W$52&amp;"'"&amp;"!$A$1:$A$5000"),$W$2)</f>
        <v>2520</v>
      </c>
      <c r="AG54" s="4">
        <f ca="1">SUMIFS(INDIRECT("'"&amp;$W$52&amp;"'"&amp;"!$l$1:$l$5000"),INDIRECT("'"&amp;$W$52&amp;"'"&amp;"!$A$1:$A$5000"),$W$2)</f>
        <v>2473</v>
      </c>
      <c r="AH54" s="4">
        <f ca="1">SUMIFS(INDIRECT("'"&amp;$W$52&amp;"'"&amp;"!$m$1:$m$5000"),INDIRECT("'"&amp;$W$52&amp;"'"&amp;"!$A$1:$A$5000"),$W$2)</f>
        <v>2636</v>
      </c>
      <c r="AJ54" s="14">
        <f t="shared" ref="AJ54:AU54" ca="1" si="105">W54-G54</f>
        <v>0</v>
      </c>
      <c r="AK54" s="14">
        <f t="shared" ca="1" si="105"/>
        <v>0</v>
      </c>
      <c r="AL54" s="14">
        <f t="shared" ca="1" si="105"/>
        <v>0</v>
      </c>
      <c r="AM54" s="14">
        <f t="shared" ca="1" si="105"/>
        <v>0</v>
      </c>
      <c r="AN54" s="14">
        <f t="shared" ca="1" si="105"/>
        <v>0</v>
      </c>
      <c r="AO54" s="14">
        <f t="shared" ca="1" si="105"/>
        <v>0</v>
      </c>
      <c r="AP54" s="14">
        <f t="shared" ca="1" si="105"/>
        <v>0</v>
      </c>
      <c r="AQ54" s="14">
        <f t="shared" ca="1" si="105"/>
        <v>0</v>
      </c>
      <c r="AR54" s="14">
        <f t="shared" ca="1" si="105"/>
        <v>0</v>
      </c>
      <c r="AS54" s="14">
        <f t="shared" ca="1" si="105"/>
        <v>0</v>
      </c>
      <c r="AT54" s="14">
        <f t="shared" ca="1" si="105"/>
        <v>0</v>
      </c>
      <c r="AU54" s="14">
        <f t="shared" ca="1" si="105"/>
        <v>0</v>
      </c>
    </row>
    <row r="55" spans="1:47" s="12" customFormat="1">
      <c r="A55" s="12">
        <f t="shared" ref="A55:A63" si="106">IF(AND(F55&lt;&gt;"",D55=""),A54+1,A54)</f>
        <v>5</v>
      </c>
      <c r="C55" t="str">
        <f>$F53</f>
        <v>Park Manor of Westchase</v>
      </c>
      <c r="D55" s="3" t="str">
        <f t="shared" si="44"/>
        <v>A_BEDS_TOTAL - Total Available Beds</v>
      </c>
      <c r="F55" s="19" t="str">
        <f>_xll.EVDES(D55)</f>
        <v>Total Available Beds</v>
      </c>
      <c r="G55" s="61">
        <f ca="1">SUMIFS(OFFSET('BPC Data'!$F:$F,0,Summary!G$2),'BPC Data'!$E:$E,Summary!$D55,'BPC Data'!$B:$B,Summary!$C55)</f>
        <v>125</v>
      </c>
      <c r="H55" s="65">
        <f ca="1">SUMIFS(OFFSET('BPC Data'!$F:$F,0,Summary!H$2),'BPC Data'!$E:$E,Summary!$D55,'BPC Data'!$B:$B,Summary!$C55)</f>
        <v>125</v>
      </c>
      <c r="I55" s="61">
        <f ca="1">SUMIFS(OFFSET('BPC Data'!$F:$F,0,Summary!I$2),'BPC Data'!$E:$E,Summary!$D55,'BPC Data'!$B:$B,Summary!$C55)</f>
        <v>125</v>
      </c>
      <c r="J55" s="65">
        <f ca="1">SUMIFS(OFFSET('BPC Data'!$F:$F,0,Summary!J$2),'BPC Data'!$E:$E,Summary!$D55,'BPC Data'!$B:$B,Summary!$C55)</f>
        <v>125</v>
      </c>
      <c r="K55" s="61">
        <f ca="1">SUMIFS(OFFSET('BPC Data'!$F:$F,0,Summary!K$2),'BPC Data'!$E:$E,Summary!$D55,'BPC Data'!$B:$B,Summary!$C55)</f>
        <v>125</v>
      </c>
      <c r="L55" s="65">
        <f ca="1">SUMIFS(OFFSET('BPC Data'!$F:$F,0,Summary!L$2),'BPC Data'!$E:$E,Summary!$D55,'BPC Data'!$B:$B,Summary!$C55)</f>
        <v>125</v>
      </c>
      <c r="M55" s="61">
        <f ca="1">SUMIFS(OFFSET('BPC Data'!$F:$F,0,Summary!M$2),'BPC Data'!$E:$E,Summary!$D55,'BPC Data'!$B:$B,Summary!$C55)</f>
        <v>125</v>
      </c>
      <c r="N55" s="65">
        <f ca="1">SUMIFS(OFFSET('BPC Data'!$F:$F,0,Summary!N$2),'BPC Data'!$E:$E,Summary!$D55,'BPC Data'!$B:$B,Summary!$C55)</f>
        <v>125</v>
      </c>
      <c r="O55" s="61">
        <f ca="1">SUMIFS(OFFSET('BPC Data'!$F:$F,0,Summary!O$2),'BPC Data'!$E:$E,Summary!$D55,'BPC Data'!$B:$B,Summary!$C55)</f>
        <v>125</v>
      </c>
      <c r="P55" s="65">
        <f ca="1">SUMIFS(OFFSET('BPC Data'!$F:$F,0,Summary!P$2),'BPC Data'!$E:$E,Summary!$D55,'BPC Data'!$B:$B,Summary!$C55)</f>
        <v>125</v>
      </c>
      <c r="Q55" s="61">
        <f ca="1">SUMIFS(OFFSET('BPC Data'!$F:$F,0,Summary!Q$2),'BPC Data'!$E:$E,Summary!$D55,'BPC Data'!$B:$B,Summary!$C55)</f>
        <v>125</v>
      </c>
      <c r="R55" s="65">
        <f ca="1">SUMIFS(OFFSET('BPC Data'!$F:$F,0,Summary!R$2),'BPC Data'!$E:$E,Summary!$D55,'BPC Data'!$B:$B,Summary!$C55)</f>
        <v>125</v>
      </c>
      <c r="S55" s="23">
        <f ca="1">+R55</f>
        <v>125</v>
      </c>
      <c r="T55" s="74"/>
      <c r="U55" s="54"/>
      <c r="AJ55" s="49"/>
      <c r="AK55" s="49"/>
      <c r="AL55" s="49"/>
      <c r="AM55" s="49"/>
      <c r="AN55" s="49"/>
      <c r="AO55" s="49"/>
      <c r="AP55" s="49"/>
      <c r="AQ55" s="49"/>
      <c r="AR55" s="49"/>
      <c r="AS55" s="49"/>
      <c r="AT55" s="49"/>
      <c r="AU55" s="49"/>
    </row>
    <row r="56" spans="1:47" s="12" customFormat="1">
      <c r="A56" s="12">
        <f t="shared" si="106"/>
        <v>5</v>
      </c>
      <c r="B56"/>
      <c r="C56" t="str">
        <f>$F53</f>
        <v>Park Manor of Westchase</v>
      </c>
      <c r="D56" s="3" t="str">
        <f t="shared" si="44"/>
        <v>T_REVENUES - Total Tenant Revenues</v>
      </c>
      <c r="E56"/>
      <c r="F56" s="19" t="str">
        <f>_xll.EVDES(D56)</f>
        <v>Total Tenant Revenues</v>
      </c>
      <c r="G56" s="61">
        <f ca="1">SUMIFS(OFFSET('BPC Data'!$F:$F,0,Summary!G$2),'BPC Data'!$E:$E,Summary!$D56,'BPC Data'!$B:$B,Summary!$C56)</f>
        <v>627619</v>
      </c>
      <c r="H56" s="65">
        <f ca="1">SUMIFS(OFFSET('BPC Data'!$F:$F,0,Summary!H$2),'BPC Data'!$E:$E,Summary!$D56,'BPC Data'!$B:$B,Summary!$C56)</f>
        <v>611854</v>
      </c>
      <c r="I56" s="61">
        <f ca="1">SUMIFS(OFFSET('BPC Data'!$F:$F,0,Summary!I$2),'BPC Data'!$E:$E,Summary!$D56,'BPC Data'!$B:$B,Summary!$C56)</f>
        <v>638791</v>
      </c>
      <c r="J56" s="65">
        <f ca="1">SUMIFS(OFFSET('BPC Data'!$F:$F,0,Summary!J$2),'BPC Data'!$E:$E,Summary!$D56,'BPC Data'!$B:$B,Summary!$C56)</f>
        <v>608849</v>
      </c>
      <c r="K56" s="61">
        <f ca="1">SUMIFS(OFFSET('BPC Data'!$F:$F,0,Summary!K$2),'BPC Data'!$E:$E,Summary!$D56,'BPC Data'!$B:$B,Summary!$C56)</f>
        <v>700784</v>
      </c>
      <c r="L56" s="65">
        <f ca="1">SUMIFS(OFFSET('BPC Data'!$F:$F,0,Summary!L$2),'BPC Data'!$E:$E,Summary!$D56,'BPC Data'!$B:$B,Summary!$C56)</f>
        <v>689768</v>
      </c>
      <c r="M56" s="61">
        <f ca="1">SUMIFS(OFFSET('BPC Data'!$F:$F,0,Summary!M$2),'BPC Data'!$E:$E,Summary!$D56,'BPC Data'!$B:$B,Summary!$C56)</f>
        <v>864577</v>
      </c>
      <c r="N56" s="65">
        <f ca="1">SUMIFS(OFFSET('BPC Data'!$F:$F,0,Summary!N$2),'BPC Data'!$E:$E,Summary!$D56,'BPC Data'!$B:$B,Summary!$C56)</f>
        <v>760538</v>
      </c>
      <c r="O56" s="61">
        <f ca="1">SUMIFS(OFFSET('BPC Data'!$F:$F,0,Summary!O$2),'BPC Data'!$E:$E,Summary!$D56,'BPC Data'!$B:$B,Summary!$C56)</f>
        <v>812915</v>
      </c>
      <c r="P56" s="65">
        <f ca="1">SUMIFS(OFFSET('BPC Data'!$F:$F,0,Summary!P$2),'BPC Data'!$E:$E,Summary!$D56,'BPC Data'!$B:$B,Summary!$C56)</f>
        <v>756970</v>
      </c>
      <c r="Q56" s="61">
        <f ca="1">SUMIFS(OFFSET('BPC Data'!$F:$F,0,Summary!Q$2),'BPC Data'!$E:$E,Summary!$D56,'BPC Data'!$B:$B,Summary!$C56)</f>
        <v>650986</v>
      </c>
      <c r="R56" s="65">
        <f ca="1">SUMIFS(OFFSET('BPC Data'!$F:$F,0,Summary!R$2),'BPC Data'!$E:$E,Summary!$D56,'BPC Data'!$B:$B,Summary!$C56)</f>
        <v>697768</v>
      </c>
      <c r="S56" s="23">
        <f t="shared" ref="S56:S62" ca="1" si="107">SUM(G56:R56)</f>
        <v>8421419</v>
      </c>
      <c r="T56" s="74">
        <f ca="1">SUM(W56:AH56)</f>
        <v>7420384.7299999977</v>
      </c>
      <c r="U56" s="54">
        <f ca="1">T56-S56</f>
        <v>-1001034.2700000023</v>
      </c>
      <c r="W56" s="4">
        <f ca="1">SUMIFS(INDIRECT("'"&amp;$W$52&amp;"'"&amp;"!$B$64:$B$5000"),INDIRECT("'"&amp;$W$52&amp;"'"&amp;"!$A$64:$A$5000"),$V$1)-SUMIFS(INDIRECT("'"&amp;$W$52&amp;"'"&amp;"!$B$64:$B$5000"),INDIRECT("'"&amp;$W$52&amp;"'"&amp;"!$A$64:$A$5000"),$V$2)-SUMIFS(INDIRECT("'"&amp;$W$52&amp;"'"&amp;"!$B$64:$B$5000"),INDIRECT("'"&amp;$W$52&amp;"'"&amp;"!$A$64:$A$5000"),$V$3)-SUMIFS(INDIRECT("'"&amp;$W$52&amp;"'"&amp;"!$B$64:$B$5000"),INDIRECT("'"&amp;$W$52&amp;"'"&amp;"!$A$64:$A$5000"),$X$4)-SUMIFS(INDIRECT("'"&amp;$W$52&amp;"'"&amp;"!$B$64:$B$5000"),INDIRECT("'"&amp;$W$52&amp;"'"&amp;"!$A$64:$A$5000"),$X$3)</f>
        <v>627619.26999999909</v>
      </c>
      <c r="X56" s="4">
        <f ca="1">SUMIFS(INDIRECT("'"&amp;$W$52&amp;"'"&amp;"!$c$64:$c$5000"),INDIRECT("'"&amp;$W$52&amp;"'"&amp;"!$A$64:$A$5000"),$V$1)-SUMIFS(INDIRECT("'"&amp;$W$52&amp;"'"&amp;"!$c$64:$c$5000"),INDIRECT("'"&amp;$W$52&amp;"'"&amp;"!$A$64:$A$5000"),$V$2)-SUMIFS(INDIRECT("'"&amp;$W$52&amp;"'"&amp;"!$c$64:$c$5000"),INDIRECT("'"&amp;$W$52&amp;"'"&amp;"!$A$64:$A$5000"),$V$3)-SUMIFS(INDIRECT("'"&amp;$W$52&amp;"'"&amp;"!$c$64:$c$5000"),INDIRECT("'"&amp;$W$52&amp;"'"&amp;"!$A$64:$A$5000"),$X$4)-SUMIFS(INDIRECT("'"&amp;$W$52&amp;"'"&amp;"!$c$64:$c$5000"),INDIRECT("'"&amp;$W$52&amp;"'"&amp;"!$A$64:$A$5000"),$X$3)</f>
        <v>611854.40999999968</v>
      </c>
      <c r="Y56" s="4">
        <f ca="1">SUMIFS(INDIRECT("'"&amp;$W$52&amp;"'"&amp;"!$d$64:$d$5000"),INDIRECT("'"&amp;$W$52&amp;"'"&amp;"!$A$64:$A$5000"),$V$1)-SUMIFS(INDIRECT("'"&amp;$W$52&amp;"'"&amp;"!$d$64:$d$5000"),INDIRECT("'"&amp;$W$52&amp;"'"&amp;"!$A$64:$A$5000"),$V$2)-SUMIFS(INDIRECT("'"&amp;$W$52&amp;"'"&amp;"!$d$64:$d$5000"),INDIRECT("'"&amp;$W$52&amp;"'"&amp;"!$A$64:$A$5000"),$V$3)-SUMIFS(INDIRECT("'"&amp;$W$52&amp;"'"&amp;"!$d$64:$d$5000"),INDIRECT("'"&amp;$W$52&amp;"'"&amp;"!$A$64:$A$5000"),$X$4)-SUMIFS(INDIRECT("'"&amp;$W$52&amp;"'"&amp;"!$d$64:$d$5000"),INDIRECT("'"&amp;$W$52&amp;"'"&amp;"!$A$64:$A$5000"),$X$3)</f>
        <v>638790.46000000031</v>
      </c>
      <c r="Z56" s="4">
        <f ca="1">SUMIFS(INDIRECT("'"&amp;$W$52&amp;"'"&amp;"!$e$64:$e$5000"),INDIRECT("'"&amp;$W$52&amp;"'"&amp;"!$A$64:$A$5000"),$V$1)-SUMIFS(INDIRECT("'"&amp;$W$52&amp;"'"&amp;"!$e$64:$e$5000"),INDIRECT("'"&amp;$W$52&amp;"'"&amp;"!$A$64:$A$5000"),$V$2)-SUMIFS(INDIRECT("'"&amp;$W$52&amp;"'"&amp;"!$e$64:$e$5000"),INDIRECT("'"&amp;$W$52&amp;"'"&amp;"!$A$64:$A$5000"),$V$3)-SUMIFS(INDIRECT("'"&amp;$W$52&amp;"'"&amp;"!$e$64:$e$5000"),INDIRECT("'"&amp;$W$52&amp;"'"&amp;"!$A$64:$A$5000"),$X$4)-SUMIFS(INDIRECT("'"&amp;$W$52&amp;"'"&amp;"!$e$64:$e$5000"),INDIRECT("'"&amp;$W$52&amp;"'"&amp;"!$A$64:$A$5000"),$X$3)</f>
        <v>608848.46000000101</v>
      </c>
      <c r="AA56" s="4">
        <f ca="1">SUMIFS(INDIRECT("'"&amp;$W$52&amp;"'"&amp;"!$f$64:$f$5000"),INDIRECT("'"&amp;$W$52&amp;"'"&amp;"!$A$64:$A$5000"),$V$1)-SUMIFS(INDIRECT("'"&amp;$W$52&amp;"'"&amp;"!$f$64:$f$5000"),INDIRECT("'"&amp;$W$52&amp;"'"&amp;"!$A$64:$A$5000"),$V$2)-SUMIFS(INDIRECT("'"&amp;$W$52&amp;"'"&amp;"!$f$64:$f$5000"),INDIRECT("'"&amp;$W$52&amp;"'"&amp;"!$A$64:$A$5000"),$V$3)-SUMIFS(INDIRECT("'"&amp;$W$52&amp;"'"&amp;"!$f$64:$f$5000"),INDIRECT("'"&amp;$W$52&amp;"'"&amp;"!$A$64:$A$5000"),$X$4)-SUMIFS(INDIRECT("'"&amp;$W$52&amp;"'"&amp;"!$f$64:$f$5000"),INDIRECT("'"&amp;$W$52&amp;"'"&amp;"!$A$64:$A$5000"),$X$3)</f>
        <v>-300248.42000000068</v>
      </c>
      <c r="AB56" s="4">
        <f ca="1">SUMIFS(INDIRECT("'"&amp;$W$52&amp;"'"&amp;"!$g$64:$g$5000"),INDIRECT("'"&amp;$W$52&amp;"'"&amp;"!$A$64:$A$5000"),$V$1)-SUMIFS(INDIRECT("'"&amp;$W$52&amp;"'"&amp;"!$g$64:$g$5000"),INDIRECT("'"&amp;$W$52&amp;"'"&amp;"!$A$64:$A$5000"),$V$2)-SUMIFS(INDIRECT("'"&amp;$W$52&amp;"'"&amp;"!$g$64:$g$5000"),INDIRECT("'"&amp;$W$52&amp;"'"&amp;"!$A$64:$A$5000"),$V$3)-SUMIFS(INDIRECT("'"&amp;$W$52&amp;"'"&amp;"!$g$64:$g$5000"),INDIRECT("'"&amp;$W$52&amp;"'"&amp;"!$A$64:$A$5000"),$X$4)-SUMIFS(INDIRECT("'"&amp;$W$52&amp;"'"&amp;"!$g$64:$g$5000"),INDIRECT("'"&amp;$W$52&amp;"'"&amp;"!$A$64:$A$5000"),$X$3)</f>
        <v>689768.06</v>
      </c>
      <c r="AC56" s="4">
        <f ca="1">SUMIFS(INDIRECT("'"&amp;$W$52&amp;"'"&amp;"!$h$64:$h$5000"),INDIRECT("'"&amp;$W$52&amp;"'"&amp;"!$A$64:$A$5000"),$V$1)-SUMIFS(INDIRECT("'"&amp;$W$52&amp;"'"&amp;"!$h$64:$h$5000"),INDIRECT("'"&amp;$W$52&amp;"'"&amp;"!$A$64:$A$5000"),$V$2)-SUMIFS(INDIRECT("'"&amp;$W$52&amp;"'"&amp;"!$h$64:$h$5000"),INDIRECT("'"&amp;$W$52&amp;"'"&amp;"!$A$64:$A$5000"),$V$3)-SUMIFS(INDIRECT("'"&amp;$W$52&amp;"'"&amp;"!$h$64:$h$5000"),INDIRECT("'"&amp;$W$52&amp;"'"&amp;"!$A$64:$A$5000"),$X$4)-SUMIFS(INDIRECT("'"&amp;$W$52&amp;"'"&amp;"!$h$64:$h$5000"),INDIRECT("'"&amp;$W$52&amp;"'"&amp;"!$A$64:$A$5000"),$X$3)</f>
        <v>864576.1199999993</v>
      </c>
      <c r="AD56" s="4">
        <f ca="1">SUMIFS(INDIRECT("'"&amp;$W$52&amp;"'"&amp;"!$i$64:$i$5000"),INDIRECT("'"&amp;$W$52&amp;"'"&amp;"!$A$64:$A$5000"),$V$1)-SUMIFS(INDIRECT("'"&amp;$W$52&amp;"'"&amp;"!$i$64:$i$5000"),INDIRECT("'"&amp;$W$52&amp;"'"&amp;"!$A$64:$A$5000"),$V$2)-SUMIFS(INDIRECT("'"&amp;$W$52&amp;"'"&amp;"!$i$64:$i$5000"),INDIRECT("'"&amp;$W$52&amp;"'"&amp;"!$A$64:$A$5000"),$V$3)-SUMIFS(INDIRECT("'"&amp;$W$52&amp;"'"&amp;"!$i$64:$i$5000"),INDIRECT("'"&amp;$W$52&amp;"'"&amp;"!$A$64:$A$5000"),$X$4)-SUMIFS(INDIRECT("'"&amp;$W$52&amp;"'"&amp;"!$i$64:$i$5000"),INDIRECT("'"&amp;$W$52&amp;"'"&amp;"!$A$64:$A$5000"),$X$3)</f>
        <v>760537.53000000061</v>
      </c>
      <c r="AE56" s="4">
        <f ca="1">SUMIFS(INDIRECT("'"&amp;$W$52&amp;"'"&amp;"!$j$64:$j$5000"),INDIRECT("'"&amp;$W$52&amp;"'"&amp;"!$A$64:$A$5000"),$V$1)-SUMIFS(INDIRECT("'"&amp;$W$52&amp;"'"&amp;"!$j$64:$j$5000"),INDIRECT("'"&amp;$W$52&amp;"'"&amp;"!$A$64:$A$5000"),$V$2)-SUMIFS(INDIRECT("'"&amp;$W$52&amp;"'"&amp;"!$j$64:$j$5000"),INDIRECT("'"&amp;$W$52&amp;"'"&amp;"!$A$64:$A$5000"),$V$3)-SUMIFS(INDIRECT("'"&amp;$W$52&amp;"'"&amp;"!$j$64:$j$5000"),INDIRECT("'"&amp;$W$52&amp;"'"&amp;"!$A$64:$A$5000"),$X$4)-SUMIFS(INDIRECT("'"&amp;$W$52&amp;"'"&amp;"!$j$64:$j$5000"),INDIRECT("'"&amp;$W$52&amp;"'"&amp;"!$A$64:$A$5000"),$X$3)</f>
        <v>812914.94000000029</v>
      </c>
      <c r="AF56" s="4">
        <f ca="1">SUMIFS(INDIRECT("'"&amp;$W$52&amp;"'"&amp;"!$k$64:$k$5000"),INDIRECT("'"&amp;$W$52&amp;"'"&amp;"!$A$64:$A$5000"),$V$1)-SUMIFS(INDIRECT("'"&amp;$W$52&amp;"'"&amp;"!$k$64:$k$5000"),INDIRECT("'"&amp;$W$52&amp;"'"&amp;"!$A$64:$A$5000"),$V$2)-SUMIFS(INDIRECT("'"&amp;$W$52&amp;"'"&amp;"!$k$64:$k$5000"),INDIRECT("'"&amp;$W$52&amp;"'"&amp;"!$A$64:$A$5000"),$V$3)-SUMIFS(INDIRECT("'"&amp;$W$52&amp;"'"&amp;"!$k$64:$k$5000"),INDIRECT("'"&amp;$W$52&amp;"'"&amp;"!$A$64:$A$5000"),$X$4)-SUMIFS(INDIRECT("'"&amp;$W$52&amp;"'"&amp;"!$k$64:$k$5000"),INDIRECT("'"&amp;$W$52&amp;"'"&amp;"!$A$64:$A$5000"),$X$3)</f>
        <v>756970.19999999925</v>
      </c>
      <c r="AG56" s="4">
        <f ca="1">SUMIFS(INDIRECT("'"&amp;$W$52&amp;"'"&amp;"!$l$64:$l$5000"),INDIRECT("'"&amp;$W$52&amp;"'"&amp;"!$A$64:$A$5000"),$V$1)-SUMIFS(INDIRECT("'"&amp;$W$52&amp;"'"&amp;"!$l$64:$l$5000"),INDIRECT("'"&amp;$W$52&amp;"'"&amp;"!$A$64:$A$5000"),$V$2)-SUMIFS(INDIRECT("'"&amp;$W$52&amp;"'"&amp;"!$l$64:$l$5000"),INDIRECT("'"&amp;$W$52&amp;"'"&amp;"!$A$64:$A$5000"),$V$3)-SUMIFS(INDIRECT("'"&amp;$W$52&amp;"'"&amp;"!$l$64:$l$5000"),INDIRECT("'"&amp;$W$52&amp;"'"&amp;"!$A$64:$A$5000"),$X$4)-SUMIFS(INDIRECT("'"&amp;$W$52&amp;"'"&amp;"!$l$64:$l$5000"),INDIRECT("'"&amp;$W$52&amp;"'"&amp;"!$A$64:$A$5000"),$X$3)</f>
        <v>650985.48000000033</v>
      </c>
      <c r="AH56" s="4">
        <f ca="1">SUMIFS(INDIRECT("'"&amp;$W$52&amp;"'"&amp;"!$m$64:$m$5000"),INDIRECT("'"&amp;$W$52&amp;"'"&amp;"!$A$64:$A$5000"),$V$1)-SUMIFS(INDIRECT("'"&amp;$W$52&amp;"'"&amp;"!$m$64:$m$5000"),INDIRECT("'"&amp;$W$52&amp;"'"&amp;"!$A$64:$A$5000"),$V$2)-SUMIFS(INDIRECT("'"&amp;$W$52&amp;"'"&amp;"!$m$64:$m$5000"),INDIRECT("'"&amp;$W$52&amp;"'"&amp;"!$A$64:$A$5000"),$V$3)-SUMIFS(INDIRECT("'"&amp;$W$52&amp;"'"&amp;"!$m$64:$m$5000"),INDIRECT("'"&amp;$W$52&amp;"'"&amp;"!$A$64:$A$5000"),$X$4)-SUMIFS(INDIRECT("'"&amp;$W$52&amp;"'"&amp;"!$m$64:$m$5000"),INDIRECT("'"&amp;$W$52&amp;"'"&amp;"!$A$64:$A$5000"),$X$3)</f>
        <v>697768.21999999904</v>
      </c>
      <c r="AJ56" s="14">
        <f t="shared" ref="AJ56:AU57" ca="1" si="108">W56-G56</f>
        <v>0.26999999908730388</v>
      </c>
      <c r="AK56" s="14">
        <f t="shared" ca="1" si="108"/>
        <v>0.40999999968335032</v>
      </c>
      <c r="AL56" s="14">
        <f t="shared" ca="1" si="108"/>
        <v>-0.53999999968800694</v>
      </c>
      <c r="AM56" s="14">
        <f t="shared" ca="1" si="108"/>
        <v>-0.53999999898951501</v>
      </c>
      <c r="AN56" s="14">
        <f t="shared" ca="1" si="108"/>
        <v>-1001032.4200000006</v>
      </c>
      <c r="AO56" s="14">
        <f t="shared" ca="1" si="108"/>
        <v>6.0000000055879354E-2</v>
      </c>
      <c r="AP56" s="14">
        <f t="shared" ca="1" si="108"/>
        <v>-0.88000000070314854</v>
      </c>
      <c r="AQ56" s="14">
        <f t="shared" ca="1" si="108"/>
        <v>-0.46999999938998371</v>
      </c>
      <c r="AR56" s="14">
        <f t="shared" ca="1" si="108"/>
        <v>-5.9999999706633389E-2</v>
      </c>
      <c r="AS56" s="14">
        <f t="shared" ca="1" si="108"/>
        <v>0.19999999925494194</v>
      </c>
      <c r="AT56" s="14">
        <f t="shared" ca="1" si="108"/>
        <v>-0.51999999966938049</v>
      </c>
      <c r="AU56" s="14">
        <f t="shared" ca="1" si="108"/>
        <v>0.21999999904073775</v>
      </c>
    </row>
    <row r="57" spans="1:47" s="12" customFormat="1">
      <c r="A57" s="12">
        <f t="shared" si="106"/>
        <v>5</v>
      </c>
      <c r="B57"/>
      <c r="C57" t="str">
        <f>$F53</f>
        <v>Park Manor of Westchase</v>
      </c>
      <c r="D57" s="3" t="str">
        <f t="shared" si="44"/>
        <v>T_OPEX - Tenant Operating Expenses</v>
      </c>
      <c r="E57"/>
      <c r="F57" s="19" t="str">
        <f>_xll.EVDES(D57)</f>
        <v>Tenant Operating Expenses</v>
      </c>
      <c r="G57" s="61">
        <f ca="1">SUMIFS(OFFSET('BPC Data'!$F:$F,0,Summary!G$2),'BPC Data'!$E:$E,Summary!$D57,'BPC Data'!$B:$B,Summary!$C57)</f>
        <v>571287</v>
      </c>
      <c r="H57" s="65">
        <f ca="1">SUMIFS(OFFSET('BPC Data'!$F:$F,0,Summary!H$2),'BPC Data'!$E:$E,Summary!$D57,'BPC Data'!$B:$B,Summary!$C57)</f>
        <v>520948</v>
      </c>
      <c r="I57" s="61">
        <f ca="1">SUMIFS(OFFSET('BPC Data'!$F:$F,0,Summary!I$2),'BPC Data'!$E:$E,Summary!$D57,'BPC Data'!$B:$B,Summary!$C57)</f>
        <v>550869</v>
      </c>
      <c r="J57" s="65">
        <f ca="1">SUMIFS(OFFSET('BPC Data'!$F:$F,0,Summary!J$2),'BPC Data'!$E:$E,Summary!$D57,'BPC Data'!$B:$B,Summary!$C57)</f>
        <v>472799</v>
      </c>
      <c r="K57" s="61">
        <f ca="1">SUMIFS(OFFSET('BPC Data'!$F:$F,0,Summary!K$2),'BPC Data'!$E:$E,Summary!$D57,'BPC Data'!$B:$B,Summary!$C57)</f>
        <v>267139</v>
      </c>
      <c r="L57" s="65">
        <f ca="1">SUMIFS(OFFSET('BPC Data'!$F:$F,0,Summary!L$2),'BPC Data'!$E:$E,Summary!$D57,'BPC Data'!$B:$B,Summary!$C57)</f>
        <v>474445</v>
      </c>
      <c r="M57" s="61">
        <f ca="1">SUMIFS(OFFSET('BPC Data'!$F:$F,0,Summary!M$2),'BPC Data'!$E:$E,Summary!$D57,'BPC Data'!$B:$B,Summary!$C57)</f>
        <v>505833</v>
      </c>
      <c r="N57" s="65">
        <f ca="1">SUMIFS(OFFSET('BPC Data'!$F:$F,0,Summary!N$2),'BPC Data'!$E:$E,Summary!$D57,'BPC Data'!$B:$B,Summary!$C57)</f>
        <v>565382</v>
      </c>
      <c r="O57" s="61">
        <f ca="1">SUMIFS(OFFSET('BPC Data'!$F:$F,0,Summary!O$2),'BPC Data'!$E:$E,Summary!$D57,'BPC Data'!$B:$B,Summary!$C57)</f>
        <v>517438</v>
      </c>
      <c r="P57" s="65">
        <f ca="1">SUMIFS(OFFSET('BPC Data'!$F:$F,0,Summary!P$2),'BPC Data'!$E:$E,Summary!$D57,'BPC Data'!$B:$B,Summary!$C57)</f>
        <v>500347</v>
      </c>
      <c r="Q57" s="61">
        <f ca="1">SUMIFS(OFFSET('BPC Data'!$F:$F,0,Summary!Q$2),'BPC Data'!$E:$E,Summary!$D57,'BPC Data'!$B:$B,Summary!$C57)</f>
        <v>544366</v>
      </c>
      <c r="R57" s="65">
        <f ca="1">SUMIFS(OFFSET('BPC Data'!$F:$F,0,Summary!R$2),'BPC Data'!$E:$E,Summary!$D57,'BPC Data'!$B:$B,Summary!$C57)</f>
        <v>655599</v>
      </c>
      <c r="S57" s="23">
        <f t="shared" ca="1" si="107"/>
        <v>6146452</v>
      </c>
      <c r="T57" s="74">
        <f ca="1">SUM(W57:AH57)</f>
        <v>6135708.5999999996</v>
      </c>
      <c r="U57" s="54">
        <f ca="1">T57-S57</f>
        <v>-10743.400000000373</v>
      </c>
      <c r="W57" s="4">
        <f ca="1">SUMIFS(INDIRECT("'"&amp;$W$52&amp;"'"&amp;"!$B$64:$B$5000"),INDIRECT("'"&amp;$W$52&amp;"'"&amp;"!$A$64:$A$5000"),$V$4)-SUMIFS(INDIRECT("'"&amp;$W$52&amp;"'"&amp;"!$B$64:$B$5000"),INDIRECT("'"&amp;$W$52&amp;"'"&amp;"!$A$64:$A$5000"),$V$5)-SUMIFS(INDIRECT("'"&amp;$W$52&amp;"'"&amp;"!$B$64:$B$5000"),INDIRECT("'"&amp;$W$52&amp;"'"&amp;"!$A$64:$A$5000"),$V$6)-SUMIFS(INDIRECT("'"&amp;$W$52&amp;"'"&amp;"!$B$64:$B$5000"),INDIRECT("'"&amp;$W$52&amp;"'"&amp;"!$A$64:$A$5000"),$W$6)-SUMIFS(INDIRECT("'"&amp;$W$52&amp;"'"&amp;"!$B$64:$B$5000"),INDIRECT("'"&amp;$W$52&amp;"'"&amp;"!$A$64:$A$5000"),$W$7)-SUMIFS(INDIRECT("'"&amp;$W$52&amp;"'"&amp;"!$B$64:$B$5000"),INDIRECT("'"&amp;$W$52&amp;"'"&amp;"!$A$64:$A$5000"),$X$3)-W62-W60</f>
        <v>571286.86000000022</v>
      </c>
      <c r="X57" s="4">
        <f ca="1">SUMIFS(INDIRECT("'"&amp;$W$52&amp;"'"&amp;"!$c$64:$c$5000"),INDIRECT("'"&amp;$W$52&amp;"'"&amp;"!$A$64:$A$5000"),$V$4)-SUMIFS(INDIRECT("'"&amp;$W$52&amp;"'"&amp;"!$c$64:$c$5000"),INDIRECT("'"&amp;$W$52&amp;"'"&amp;"!$A$64:$A$5000"),$V$5)-SUMIFS(INDIRECT("'"&amp;$W$52&amp;"'"&amp;"!$c$64:$c$5000"),INDIRECT("'"&amp;$W$52&amp;"'"&amp;"!$A$64:$A$5000"),$V$6)-SUMIFS(INDIRECT("'"&amp;$W$52&amp;"'"&amp;"!$c$64:$c$5000"),INDIRECT("'"&amp;$W$52&amp;"'"&amp;"!$A$64:$A$5000"),$W$6)-SUMIFS(INDIRECT("'"&amp;$W$52&amp;"'"&amp;"!$c$64:$c$5000"),INDIRECT("'"&amp;$W$52&amp;"'"&amp;"!$A$64:$A$5000"),$W$7)-SUMIFS(INDIRECT("'"&amp;$W$52&amp;"'"&amp;"!$c$64:$c$5000"),INDIRECT("'"&amp;$W$52&amp;"'"&amp;"!$A$64:$A$5000"),$X$3)-X62-X60</f>
        <v>520948.47999999986</v>
      </c>
      <c r="Y57" s="4">
        <f ca="1">SUMIFS(INDIRECT("'"&amp;$W$52&amp;"'"&amp;"!$d$64:$d$5000"),INDIRECT("'"&amp;$W$52&amp;"'"&amp;"!$A$64:$A$5000"),$V$4)-SUMIFS(INDIRECT("'"&amp;$W$52&amp;"'"&amp;"!$d$64:$d$5000"),INDIRECT("'"&amp;$W$52&amp;"'"&amp;"!$A$64:$A$5000"),$V$5)-SUMIFS(INDIRECT("'"&amp;$W$52&amp;"'"&amp;"!$d$64:$d$5000"),INDIRECT("'"&amp;$W$52&amp;"'"&amp;"!$A$64:$A$5000"),$V$6)-SUMIFS(INDIRECT("'"&amp;$W$52&amp;"'"&amp;"!$d$64:$d$5000"),INDIRECT("'"&amp;$W$52&amp;"'"&amp;"!$A$64:$A$5000"),$W$6)-SUMIFS(INDIRECT("'"&amp;$W$52&amp;"'"&amp;"!$d$64:$d$5000"),INDIRECT("'"&amp;$W$52&amp;"'"&amp;"!$A$64:$A$5000"),$W$7)-SUMIFS(INDIRECT("'"&amp;$W$52&amp;"'"&amp;"!$d$64:$d$5000"),INDIRECT("'"&amp;$W$52&amp;"'"&amp;"!$A$64:$A$5000"),$X$3)-Y62-Y60</f>
        <v>550868.53999999957</v>
      </c>
      <c r="Z57" s="4">
        <f ca="1">SUMIFS(INDIRECT("'"&amp;$W$52&amp;"'"&amp;"!$e$64:$e$5000"),INDIRECT("'"&amp;$W$52&amp;"'"&amp;"!$A$64:$A$5000"),$V$4)-SUMIFS(INDIRECT("'"&amp;$W$52&amp;"'"&amp;"!$e$64:$e$5000"),INDIRECT("'"&amp;$W$52&amp;"'"&amp;"!$A$64:$A$5000"),$V$5)-SUMIFS(INDIRECT("'"&amp;$W$52&amp;"'"&amp;"!$e$64:$e$5000"),INDIRECT("'"&amp;$W$52&amp;"'"&amp;"!$A$64:$A$5000"),$V$6)-SUMIFS(INDIRECT("'"&amp;$W$52&amp;"'"&amp;"!$e$64:$e$5000"),INDIRECT("'"&amp;$W$52&amp;"'"&amp;"!$A$64:$A$5000"),$W$6)-SUMIFS(INDIRECT("'"&amp;$W$52&amp;"'"&amp;"!$e$64:$e$5000"),INDIRECT("'"&amp;$W$52&amp;"'"&amp;"!$A$64:$A$5000"),$W$7)-SUMIFS(INDIRECT("'"&amp;$W$52&amp;"'"&amp;"!$e$64:$e$5000"),INDIRECT("'"&amp;$W$52&amp;"'"&amp;"!$A$64:$A$5000"),$X$3)-Z62-Z60</f>
        <v>472800.18999999994</v>
      </c>
      <c r="AA57" s="4">
        <f ca="1">SUMIFS(INDIRECT("'"&amp;$W$52&amp;"'"&amp;"!$f$64:$f$5000"),INDIRECT("'"&amp;$W$52&amp;"'"&amp;"!$A$64:$A$5000"),$V$4)-SUMIFS(INDIRECT("'"&amp;$W$52&amp;"'"&amp;"!$f$64:$f$5000"),INDIRECT("'"&amp;$W$52&amp;"'"&amp;"!$A$64:$A$5000"),$V$5)-SUMIFS(INDIRECT("'"&amp;$W$52&amp;"'"&amp;"!$f$64:$f$5000"),INDIRECT("'"&amp;$W$52&amp;"'"&amp;"!$A$64:$A$5000"),$V$6)-SUMIFS(INDIRECT("'"&amp;$W$52&amp;"'"&amp;"!$f$64:$f$5000"),INDIRECT("'"&amp;$W$52&amp;"'"&amp;"!$A$64:$A$5000"),$W$6)-SUMIFS(INDIRECT("'"&amp;$W$52&amp;"'"&amp;"!$f$64:$f$5000"),INDIRECT("'"&amp;$W$52&amp;"'"&amp;"!$A$64:$A$5000"),$W$7)-SUMIFS(INDIRECT("'"&amp;$W$52&amp;"'"&amp;"!$f$64:$f$5000"),INDIRECT("'"&amp;$W$52&amp;"'"&amp;"!$A$64:$A$5000"),$X$3)-AA62-AA60</f>
        <v>256404.29000000062</v>
      </c>
      <c r="AB57" s="4">
        <f ca="1">SUMIFS(INDIRECT("'"&amp;$W$52&amp;"'"&amp;"!$g$64:$g$5000"),INDIRECT("'"&amp;$W$52&amp;"'"&amp;"!$A$64:$A$5000"),$V$4)-SUMIFS(INDIRECT("'"&amp;$W$52&amp;"'"&amp;"!$g$64:$g$5000"),INDIRECT("'"&amp;$W$52&amp;"'"&amp;"!$A$64:$A$5000"),$V$5)-SUMIFS(INDIRECT("'"&amp;$W$52&amp;"'"&amp;"!$g$64:$g$5000"),INDIRECT("'"&amp;$W$52&amp;"'"&amp;"!$A$64:$A$5000"),$V$6)-SUMIFS(INDIRECT("'"&amp;$W$52&amp;"'"&amp;"!$g$64:$g$5000"),INDIRECT("'"&amp;$W$52&amp;"'"&amp;"!$A$64:$A$5000"),$W$6)-SUMIFS(INDIRECT("'"&amp;$W$52&amp;"'"&amp;"!$g$64:$g$5000"),INDIRECT("'"&amp;$W$52&amp;"'"&amp;"!$A$64:$A$5000"),$W$7)-SUMIFS(INDIRECT("'"&amp;$W$52&amp;"'"&amp;"!$g$64:$g$5000"),INDIRECT("'"&amp;$W$52&amp;"'"&amp;"!$A$64:$A$5000"),$X$3)-AB62-AB60</f>
        <v>474446.20999999996</v>
      </c>
      <c r="AC57" s="4">
        <f ca="1">SUMIFS(INDIRECT("'"&amp;$W$52&amp;"'"&amp;"!$h$64:$h$5000"),INDIRECT("'"&amp;$W$52&amp;"'"&amp;"!$A$64:$A$5000"),$V$4)-SUMIFS(INDIRECT("'"&amp;$W$52&amp;"'"&amp;"!$h$64:$h$5000"),INDIRECT("'"&amp;$W$52&amp;"'"&amp;"!$A$64:$A$5000"),$V$5)-SUMIFS(INDIRECT("'"&amp;$W$52&amp;"'"&amp;"!$h$64:$h$5000"),INDIRECT("'"&amp;$W$52&amp;"'"&amp;"!$A$64:$A$5000"),$V$6)-SUMIFS(INDIRECT("'"&amp;$W$52&amp;"'"&amp;"!$h$64:$h$5000"),INDIRECT("'"&amp;$W$52&amp;"'"&amp;"!$A$64:$A$5000"),$W$6)-SUMIFS(INDIRECT("'"&amp;$W$52&amp;"'"&amp;"!$h$64:$h$5000"),INDIRECT("'"&amp;$W$52&amp;"'"&amp;"!$A$64:$A$5000"),$W$7)-SUMIFS(INDIRECT("'"&amp;$W$52&amp;"'"&amp;"!$h$64:$h$5000"),INDIRECT("'"&amp;$W$52&amp;"'"&amp;"!$A$64:$A$5000"),$X$3)-AC62-AC60</f>
        <v>505831.87</v>
      </c>
      <c r="AD57" s="4">
        <f ca="1">SUMIFS(INDIRECT("'"&amp;$W$52&amp;"'"&amp;"!$i$64:$i$5000"),INDIRECT("'"&amp;$W$52&amp;"'"&amp;"!$A$64:$A$5000"),$V$4)-SUMIFS(INDIRECT("'"&amp;$W$52&amp;"'"&amp;"!$i$64:$i$5000"),INDIRECT("'"&amp;$W$52&amp;"'"&amp;"!$A$64:$A$5000"),$V$5)-SUMIFS(INDIRECT("'"&amp;$W$52&amp;"'"&amp;"!$i$64:$i$5000"),INDIRECT("'"&amp;$W$52&amp;"'"&amp;"!$A$64:$A$5000"),$V$6)-SUMIFS(INDIRECT("'"&amp;$W$52&amp;"'"&amp;"!$i$64:$i$5000"),INDIRECT("'"&amp;$W$52&amp;"'"&amp;"!$A$64:$A$5000"),$W$6)-SUMIFS(INDIRECT("'"&amp;$W$52&amp;"'"&amp;"!$i$64:$i$5000"),INDIRECT("'"&amp;$W$52&amp;"'"&amp;"!$A$64:$A$5000"),$W$7)-SUMIFS(INDIRECT("'"&amp;$W$52&amp;"'"&amp;"!$i$64:$i$5000"),INDIRECT("'"&amp;$W$52&amp;"'"&amp;"!$A$64:$A$5000"),$X$3)-AD62-AD60</f>
        <v>565381.71000000008</v>
      </c>
      <c r="AE57" s="4">
        <f ca="1">SUMIFS(INDIRECT("'"&amp;$W$52&amp;"'"&amp;"!$j$64:$j$5000"),INDIRECT("'"&amp;$W$52&amp;"'"&amp;"!$A$64:$A$5000"),$V$4)-SUMIFS(INDIRECT("'"&amp;$W$52&amp;"'"&amp;"!$j$64:$j$5000"),INDIRECT("'"&amp;$W$52&amp;"'"&amp;"!$A$64:$A$5000"),$V$5)-SUMIFS(INDIRECT("'"&amp;$W$52&amp;"'"&amp;"!$j$64:$j$5000"),INDIRECT("'"&amp;$W$52&amp;"'"&amp;"!$A$64:$A$5000"),$V$6)-SUMIFS(INDIRECT("'"&amp;$W$52&amp;"'"&amp;"!$j$64:$j$5000"),INDIRECT("'"&amp;$W$52&amp;"'"&amp;"!$A$64:$A$5000"),$W$6)-SUMIFS(INDIRECT("'"&amp;$W$52&amp;"'"&amp;"!$j$64:$j$5000"),INDIRECT("'"&amp;$W$52&amp;"'"&amp;"!$A$64:$A$5000"),$W$7)-SUMIFS(INDIRECT("'"&amp;$W$52&amp;"'"&amp;"!$j$64:$j$5000"),INDIRECT("'"&amp;$W$52&amp;"'"&amp;"!$A$64:$A$5000"),$X$3)-AE62-AE60</f>
        <v>517438.02000000037</v>
      </c>
      <c r="AF57" s="4">
        <f ca="1">SUMIFS(INDIRECT("'"&amp;$W$52&amp;"'"&amp;"!$k$64:$k$5000"),INDIRECT("'"&amp;$W$52&amp;"'"&amp;"!$A$64:$A$5000"),$V$4)-SUMIFS(INDIRECT("'"&amp;$W$52&amp;"'"&amp;"!$k$64:$k$5000"),INDIRECT("'"&amp;$W$52&amp;"'"&amp;"!$A$64:$A$5000"),$V$5)-SUMIFS(INDIRECT("'"&amp;$W$52&amp;"'"&amp;"!$k$64:$k$5000"),INDIRECT("'"&amp;$W$52&amp;"'"&amp;"!$A$64:$A$5000"),$V$6)-SUMIFS(INDIRECT("'"&amp;$W$52&amp;"'"&amp;"!$k$64:$k$5000"),INDIRECT("'"&amp;$W$52&amp;"'"&amp;"!$A$64:$A$5000"),$W$6)-SUMIFS(INDIRECT("'"&amp;$W$52&amp;"'"&amp;"!$k$64:$k$5000"),INDIRECT("'"&amp;$W$52&amp;"'"&amp;"!$A$64:$A$5000"),$W$7)-SUMIFS(INDIRECT("'"&amp;$W$52&amp;"'"&amp;"!$k$64:$k$5000"),INDIRECT("'"&amp;$W$52&amp;"'"&amp;"!$A$64:$A$5000"),$X$3)-AF62-AF60</f>
        <v>500346.82999999984</v>
      </c>
      <c r="AG57" s="4">
        <f ca="1">SUMIFS(INDIRECT("'"&amp;$W$52&amp;"'"&amp;"!$l$64:$l$5000"),INDIRECT("'"&amp;$W$52&amp;"'"&amp;"!$A$64:$A$5000"),$V$4)-SUMIFS(INDIRECT("'"&amp;$W$52&amp;"'"&amp;"!$l$64:$l$5000"),INDIRECT("'"&amp;$W$52&amp;"'"&amp;"!$A$64:$A$5000"),$V$5)-SUMIFS(INDIRECT("'"&amp;$W$52&amp;"'"&amp;"!$l$64:$l$5000"),INDIRECT("'"&amp;$W$52&amp;"'"&amp;"!$A$64:$A$5000"),$V$6)-SUMIFS(INDIRECT("'"&amp;$W$52&amp;"'"&amp;"!$l$64:$l$5000"),INDIRECT("'"&amp;$W$52&amp;"'"&amp;"!$A$64:$A$5000"),$W$6)-SUMIFS(INDIRECT("'"&amp;$W$52&amp;"'"&amp;"!$l$64:$l$5000"),INDIRECT("'"&amp;$W$52&amp;"'"&amp;"!$A$64:$A$5000"),$W$7)-SUMIFS(INDIRECT("'"&amp;$W$52&amp;"'"&amp;"!$l$64:$l$5000"),INDIRECT("'"&amp;$W$52&amp;"'"&amp;"!$A$64:$A$5000"),$X$3)-AG62-AG60</f>
        <v>544356.00000000047</v>
      </c>
      <c r="AH57" s="4">
        <f ca="1">SUMIFS(INDIRECT("'"&amp;$W$52&amp;"'"&amp;"!$m$64:$m$5000"),INDIRECT("'"&amp;$W$52&amp;"'"&amp;"!$A$64:$A$5000"),$V$4)-SUMIFS(INDIRECT("'"&amp;$W$52&amp;"'"&amp;"!$m$64:$m$5000"),INDIRECT("'"&amp;$W$52&amp;"'"&amp;"!$A$64:$A$5000"),$V$5)-SUMIFS(INDIRECT("'"&amp;$W$52&amp;"'"&amp;"!$m$64:$m$5000"),INDIRECT("'"&amp;$W$52&amp;"'"&amp;"!$A$64:$A$5000"),$V$6)-SUMIFS(INDIRECT("'"&amp;$W$52&amp;"'"&amp;"!$m$64:$m$5000"),INDIRECT("'"&amp;$W$52&amp;"'"&amp;"!$A$64:$A$5000"),$W$6)-SUMIFS(INDIRECT("'"&amp;$W$52&amp;"'"&amp;"!$m$64:$m$5000"),INDIRECT("'"&amp;$W$52&amp;"'"&amp;"!$A$64:$A$5000"),$W$7)-SUMIFS(INDIRECT("'"&amp;$W$52&amp;"'"&amp;"!$m$64:$m$5000"),INDIRECT("'"&amp;$W$52&amp;"'"&amp;"!$A$64:$A$5000"),$X$3)-AH62-AH60</f>
        <v>655599.6</v>
      </c>
      <c r="AJ57" s="14">
        <f t="shared" ca="1" si="108"/>
        <v>-0.13999999978113919</v>
      </c>
      <c r="AK57" s="14">
        <f t="shared" ca="1" si="108"/>
        <v>0.47999999986495823</v>
      </c>
      <c r="AL57" s="14">
        <f t="shared" ca="1" si="108"/>
        <v>-0.46000000042840838</v>
      </c>
      <c r="AM57" s="14">
        <f t="shared" ca="1" si="108"/>
        <v>1.1899999999441206</v>
      </c>
      <c r="AN57" s="14">
        <f t="shared" ca="1" si="108"/>
        <v>-10734.709999999381</v>
      </c>
      <c r="AO57" s="14">
        <f t="shared" ca="1" si="108"/>
        <v>1.2099999999627471</v>
      </c>
      <c r="AP57" s="14">
        <f t="shared" ca="1" si="108"/>
        <v>-1.1300000000046566</v>
      </c>
      <c r="AQ57" s="14">
        <f t="shared" ca="1" si="108"/>
        <v>-0.28999999992083758</v>
      </c>
      <c r="AR57" s="14">
        <f t="shared" ca="1" si="108"/>
        <v>2.0000000367872417E-2</v>
      </c>
      <c r="AS57" s="14">
        <f t="shared" ca="1" si="108"/>
        <v>-0.17000000015832484</v>
      </c>
      <c r="AT57" s="14">
        <f t="shared" ca="1" si="108"/>
        <v>-9.9999999995343387</v>
      </c>
      <c r="AU57" s="14">
        <f t="shared" ca="1" si="108"/>
        <v>0.59999999997671694</v>
      </c>
    </row>
    <row r="58" spans="1:47" s="12" customFormat="1">
      <c r="A58" s="12">
        <f t="shared" si="106"/>
        <v>5</v>
      </c>
      <c r="B58"/>
      <c r="C58" t="str">
        <f>$F53</f>
        <v>Park Manor of Westchase</v>
      </c>
      <c r="D58" s="3" t="str">
        <f t="shared" si="44"/>
        <v>T_BAD_DEBT - Tenant Bad Debt Expense</v>
      </c>
      <c r="E58"/>
      <c r="F58" s="19" t="str">
        <f>_xll.EVDES(D58)</f>
        <v>Tenant Bad Debt Expense</v>
      </c>
      <c r="G58" s="61">
        <f ca="1">SUMIFS(OFFSET('BPC Data'!$F:$F,0,Summary!G$2),'BPC Data'!$E:$E,Summary!$D58,'BPC Data'!$B:$B,Summary!$C58)</f>
        <v>17690</v>
      </c>
      <c r="H58" s="65">
        <f ca="1">SUMIFS(OFFSET('BPC Data'!$F:$F,0,Summary!H$2),'BPC Data'!$E:$E,Summary!$D58,'BPC Data'!$B:$B,Summary!$C58)</f>
        <v>17202</v>
      </c>
      <c r="I58" s="61">
        <f ca="1">SUMIFS(OFFSET('BPC Data'!$F:$F,0,Summary!I$2),'BPC Data'!$E:$E,Summary!$D58,'BPC Data'!$B:$B,Summary!$C58)</f>
        <v>17518</v>
      </c>
      <c r="J58" s="65">
        <f ca="1">SUMIFS(OFFSET('BPC Data'!$F:$F,0,Summary!J$2),'BPC Data'!$E:$E,Summary!$D58,'BPC Data'!$B:$B,Summary!$C58)</f>
        <v>16024</v>
      </c>
      <c r="K58" s="61">
        <f ca="1">SUMIFS(OFFSET('BPC Data'!$F:$F,0,Summary!K$2),'BPC Data'!$E:$E,Summary!$D58,'BPC Data'!$B:$B,Summary!$C58)</f>
        <v>18808</v>
      </c>
      <c r="L58" s="65">
        <f ca="1">SUMIFS(OFFSET('BPC Data'!$F:$F,0,Summary!L$2),'BPC Data'!$E:$E,Summary!$D58,'BPC Data'!$B:$B,Summary!$C58)</f>
        <v>17950</v>
      </c>
      <c r="M58" s="61">
        <f ca="1">SUMIFS(OFFSET('BPC Data'!$F:$F,0,Summary!M$2),'BPC Data'!$E:$E,Summary!$D58,'BPC Data'!$B:$B,Summary!$C58)</f>
        <v>26219</v>
      </c>
      <c r="N58" s="65">
        <f ca="1">SUMIFS(OFFSET('BPC Data'!$F:$F,0,Summary!N$2),'BPC Data'!$E:$E,Summary!$D58,'BPC Data'!$B:$B,Summary!$C58)</f>
        <v>19813</v>
      </c>
      <c r="O58" s="61">
        <f ca="1">SUMIFS(OFFSET('BPC Data'!$F:$F,0,Summary!O$2),'BPC Data'!$E:$E,Summary!$D58,'BPC Data'!$B:$B,Summary!$C58)</f>
        <v>20544</v>
      </c>
      <c r="P58" s="65">
        <f ca="1">SUMIFS(OFFSET('BPC Data'!$F:$F,0,Summary!P$2),'BPC Data'!$E:$E,Summary!$D58,'BPC Data'!$B:$B,Summary!$C58)</f>
        <v>48301</v>
      </c>
      <c r="Q58" s="61">
        <f ca="1">SUMIFS(OFFSET('BPC Data'!$F:$F,0,Summary!Q$2),'BPC Data'!$E:$E,Summary!$D58,'BPC Data'!$B:$B,Summary!$C58)</f>
        <v>42058</v>
      </c>
      <c r="R58" s="65">
        <f ca="1">SUMIFS(OFFSET('BPC Data'!$F:$F,0,Summary!R$2),'BPC Data'!$E:$E,Summary!$D58,'BPC Data'!$B:$B,Summary!$C58)</f>
        <v>62323</v>
      </c>
      <c r="S58" s="23">
        <f t="shared" ca="1" si="107"/>
        <v>324450</v>
      </c>
      <c r="T58" s="75"/>
      <c r="U58" s="4"/>
      <c r="W58"/>
      <c r="X58"/>
      <c r="Y58"/>
      <c r="Z58"/>
      <c r="AA58"/>
      <c r="AB58"/>
      <c r="AC58"/>
      <c r="AD58"/>
      <c r="AE58"/>
      <c r="AF58"/>
      <c r="AG58"/>
      <c r="AH58"/>
      <c r="AJ58" s="14"/>
      <c r="AK58" s="49"/>
      <c r="AL58" s="49"/>
      <c r="AM58" s="49"/>
      <c r="AN58" s="49"/>
      <c r="AO58" s="49"/>
      <c r="AP58" s="49"/>
      <c r="AQ58" s="49"/>
      <c r="AR58" s="49"/>
      <c r="AS58" s="49"/>
      <c r="AT58" s="49"/>
      <c r="AU58" s="49"/>
    </row>
    <row r="59" spans="1:47" s="12" customFormat="1">
      <c r="A59" s="12">
        <f t="shared" si="106"/>
        <v>5</v>
      </c>
      <c r="B59"/>
      <c r="C59" t="str">
        <f>$F53</f>
        <v>Park Manor of Westchase</v>
      </c>
      <c r="D59" s="2" t="str">
        <f t="shared" si="44"/>
        <v>T_EBITDARM - EBITDARM</v>
      </c>
      <c r="E59"/>
      <c r="F59" s="19" t="str">
        <f>_xll.EVDES(D59)</f>
        <v>EBITDARM</v>
      </c>
      <c r="G59" s="61">
        <f ca="1">SUMIFS(OFFSET('BPC Data'!$F:$F,0,Summary!G$2),'BPC Data'!$E:$E,Summary!$D59,'BPC Data'!$B:$B,Summary!$C59)</f>
        <v>56332</v>
      </c>
      <c r="H59" s="65">
        <f ca="1">SUMIFS(OFFSET('BPC Data'!$F:$F,0,Summary!H$2),'BPC Data'!$E:$E,Summary!$D59,'BPC Data'!$B:$B,Summary!$C59)</f>
        <v>90906</v>
      </c>
      <c r="I59" s="61">
        <f ca="1">SUMIFS(OFFSET('BPC Data'!$F:$F,0,Summary!I$2),'BPC Data'!$E:$E,Summary!$D59,'BPC Data'!$B:$B,Summary!$C59)</f>
        <v>87922</v>
      </c>
      <c r="J59" s="65">
        <f ca="1">SUMIFS(OFFSET('BPC Data'!$F:$F,0,Summary!J$2),'BPC Data'!$E:$E,Summary!$D59,'BPC Data'!$B:$B,Summary!$C59)</f>
        <v>136050</v>
      </c>
      <c r="K59" s="61">
        <f ca="1">SUMIFS(OFFSET('BPC Data'!$F:$F,0,Summary!K$2),'BPC Data'!$E:$E,Summary!$D59,'BPC Data'!$B:$B,Summary!$C59)</f>
        <v>433645</v>
      </c>
      <c r="L59" s="65">
        <f ca="1">SUMIFS(OFFSET('BPC Data'!$F:$F,0,Summary!L$2),'BPC Data'!$E:$E,Summary!$D59,'BPC Data'!$B:$B,Summary!$C59)</f>
        <v>215323</v>
      </c>
      <c r="M59" s="61">
        <f ca="1">SUMIFS(OFFSET('BPC Data'!$F:$F,0,Summary!M$2),'BPC Data'!$E:$E,Summary!$D59,'BPC Data'!$B:$B,Summary!$C59)</f>
        <v>358744</v>
      </c>
      <c r="N59" s="65">
        <f ca="1">SUMIFS(OFFSET('BPC Data'!$F:$F,0,Summary!N$2),'BPC Data'!$E:$E,Summary!$D59,'BPC Data'!$B:$B,Summary!$C59)</f>
        <v>195156</v>
      </c>
      <c r="O59" s="61">
        <f ca="1">SUMIFS(OFFSET('BPC Data'!$F:$F,0,Summary!O$2),'BPC Data'!$E:$E,Summary!$D59,'BPC Data'!$B:$B,Summary!$C59)</f>
        <v>295477</v>
      </c>
      <c r="P59" s="65">
        <f ca="1">SUMIFS(OFFSET('BPC Data'!$F:$F,0,Summary!P$2),'BPC Data'!$E:$E,Summary!$D59,'BPC Data'!$B:$B,Summary!$C59)</f>
        <v>256623</v>
      </c>
      <c r="Q59" s="61">
        <f ca="1">SUMIFS(OFFSET('BPC Data'!$F:$F,0,Summary!Q$2),'BPC Data'!$E:$E,Summary!$D59,'BPC Data'!$B:$B,Summary!$C59)</f>
        <v>106620</v>
      </c>
      <c r="R59" s="65">
        <f ca="1">SUMIFS(OFFSET('BPC Data'!$F:$F,0,Summary!R$2),'BPC Data'!$E:$E,Summary!$D59,'BPC Data'!$B:$B,Summary!$C59)</f>
        <v>42169</v>
      </c>
      <c r="S59" s="23">
        <f t="shared" ca="1" si="107"/>
        <v>2274967</v>
      </c>
      <c r="T59" s="74">
        <f ca="1">SUM(W59:AH59)</f>
        <v>1284676.1299999976</v>
      </c>
      <c r="U59" s="54">
        <f ca="1">T59-S59</f>
        <v>-990290.87000000244</v>
      </c>
      <c r="W59" s="50">
        <f t="shared" ref="W59:AB59" ca="1" si="109">W56-W57</f>
        <v>56332.409999998868</v>
      </c>
      <c r="X59" s="50">
        <f t="shared" ca="1" si="109"/>
        <v>90905.929999999818</v>
      </c>
      <c r="Y59" s="50">
        <f t="shared" ca="1" si="109"/>
        <v>87921.92000000074</v>
      </c>
      <c r="Z59" s="50">
        <f t="shared" ca="1" si="109"/>
        <v>136048.27000000107</v>
      </c>
      <c r="AA59" s="50">
        <f t="shared" ca="1" si="109"/>
        <v>-556652.71000000136</v>
      </c>
      <c r="AB59" s="50">
        <f t="shared" ca="1" si="109"/>
        <v>215321.85000000009</v>
      </c>
      <c r="AC59" s="50">
        <f t="shared" ref="AC59:AH59" ca="1" si="110">AC56-AC57</f>
        <v>358744.2499999993</v>
      </c>
      <c r="AD59" s="50">
        <f t="shared" ca="1" si="110"/>
        <v>195155.82000000053</v>
      </c>
      <c r="AE59" s="50">
        <f t="shared" ca="1" si="110"/>
        <v>295476.91999999993</v>
      </c>
      <c r="AF59" s="50">
        <f t="shared" ca="1" si="110"/>
        <v>256623.36999999941</v>
      </c>
      <c r="AG59" s="50">
        <f t="shared" ca="1" si="110"/>
        <v>106629.47999999986</v>
      </c>
      <c r="AH59" s="50">
        <f t="shared" ca="1" si="110"/>
        <v>42168.619999999064</v>
      </c>
      <c r="AJ59" s="14">
        <f t="shared" ref="AJ59:AU62" ca="1" si="111">W59-G59</f>
        <v>0.40999999886844307</v>
      </c>
      <c r="AK59" s="14">
        <f t="shared" ca="1" si="111"/>
        <v>-7.0000000181607902E-2</v>
      </c>
      <c r="AL59" s="14">
        <f t="shared" ca="1" si="111"/>
        <v>-7.9999999259598553E-2</v>
      </c>
      <c r="AM59" s="14">
        <f t="shared" ca="1" si="111"/>
        <v>-1.7299999989336357</v>
      </c>
      <c r="AN59" s="14">
        <f t="shared" ca="1" si="111"/>
        <v>-990297.71000000136</v>
      </c>
      <c r="AO59" s="14">
        <f t="shared" ca="1" si="111"/>
        <v>-1.1499999999068677</v>
      </c>
      <c r="AP59" s="14">
        <f t="shared" ca="1" si="111"/>
        <v>0.24999999930150807</v>
      </c>
      <c r="AQ59" s="14">
        <f t="shared" ca="1" si="111"/>
        <v>-0.17999999946914613</v>
      </c>
      <c r="AR59" s="14">
        <f t="shared" ca="1" si="111"/>
        <v>-8.0000000074505806E-2</v>
      </c>
      <c r="AS59" s="14">
        <f t="shared" ca="1" si="111"/>
        <v>0.36999999941326678</v>
      </c>
      <c r="AT59" s="14">
        <f t="shared" ca="1" si="111"/>
        <v>9.4799999998649582</v>
      </c>
      <c r="AU59" s="14">
        <f t="shared" ca="1" si="111"/>
        <v>-0.38000000093597919</v>
      </c>
    </row>
    <row r="60" spans="1:47" s="12" customFormat="1">
      <c r="A60" s="12">
        <f t="shared" si="106"/>
        <v>5</v>
      </c>
      <c r="B60"/>
      <c r="C60" t="str">
        <f>$F53</f>
        <v>Park Manor of Westchase</v>
      </c>
      <c r="D60" s="2" t="str">
        <f t="shared" si="44"/>
        <v>T_MGMT_FEE - Tenant Management Fee - Actual</v>
      </c>
      <c r="E60"/>
      <c r="F60" s="19" t="str">
        <f>_xll.EVDES(D60)</f>
        <v>Tenant Management Fee - Actual</v>
      </c>
      <c r="G60" s="61">
        <f ca="1">SUMIFS(OFFSET('BPC Data'!$F:$F,0,Summary!G$2),'BPC Data'!$E:$E,Summary!$D60,'BPC Data'!$B:$B,Summary!$C60)</f>
        <v>29484</v>
      </c>
      <c r="H60" s="65">
        <f ca="1">SUMIFS(OFFSET('BPC Data'!$F:$F,0,Summary!H$2),'BPC Data'!$E:$E,Summary!$D60,'BPC Data'!$B:$B,Summary!$C60)</f>
        <v>28669</v>
      </c>
      <c r="I60" s="61">
        <f ca="1">SUMIFS(OFFSET('BPC Data'!$F:$F,0,Summary!I$2),'BPC Data'!$E:$E,Summary!$D60,'BPC Data'!$B:$B,Summary!$C60)</f>
        <v>29197</v>
      </c>
      <c r="J60" s="65">
        <f ca="1">SUMIFS(OFFSET('BPC Data'!$F:$F,0,Summary!J$2),'BPC Data'!$E:$E,Summary!$D60,'BPC Data'!$B:$B,Summary!$C60)</f>
        <v>26707</v>
      </c>
      <c r="K60" s="61">
        <f ca="1">SUMIFS(OFFSET('BPC Data'!$F:$F,0,Summary!K$2),'BPC Data'!$E:$E,Summary!$D60,'BPC Data'!$B:$B,Summary!$C60)</f>
        <v>31346</v>
      </c>
      <c r="L60" s="65">
        <f ca="1">SUMIFS(OFFSET('BPC Data'!$F:$F,0,Summary!L$2),'BPC Data'!$E:$E,Summary!$D60,'BPC Data'!$B:$B,Summary!$C60)</f>
        <v>29917</v>
      </c>
      <c r="M60" s="61">
        <f ca="1">SUMIFS(OFFSET('BPC Data'!$F:$F,0,Summary!M$2),'BPC Data'!$E:$E,Summary!$D60,'BPC Data'!$B:$B,Summary!$C60)</f>
        <v>36795</v>
      </c>
      <c r="N60" s="65">
        <f ca="1">SUMIFS(OFFSET('BPC Data'!$F:$F,0,Summary!N$2),'BPC Data'!$E:$E,Summary!$D60,'BPC Data'!$B:$B,Summary!$C60)</f>
        <v>33022</v>
      </c>
      <c r="O60" s="61">
        <f ca="1">SUMIFS(OFFSET('BPC Data'!$F:$F,0,Summary!O$2),'BPC Data'!$E:$E,Summary!$D60,'BPC Data'!$B:$B,Summary!$C60)</f>
        <v>34239</v>
      </c>
      <c r="P60" s="65">
        <f ca="1">SUMIFS(OFFSET('BPC Data'!$F:$F,0,Summary!P$2),'BPC Data'!$E:$E,Summary!$D60,'BPC Data'!$B:$B,Summary!$C60)</f>
        <v>30501</v>
      </c>
      <c r="Q60" s="61">
        <f ca="1">SUMIFS(OFFSET('BPC Data'!$F:$F,0,Summary!Q$2),'BPC Data'!$E:$E,Summary!$D60,'BPC Data'!$B:$B,Summary!$C60)</f>
        <v>28419</v>
      </c>
      <c r="R60" s="65">
        <f ca="1">SUMIFS(OFFSET('BPC Data'!$F:$F,0,Summary!R$2),'BPC Data'!$E:$E,Summary!$D60,'BPC Data'!$B:$B,Summary!$C60)</f>
        <v>32813</v>
      </c>
      <c r="S60" s="23">
        <f t="shared" ca="1" si="107"/>
        <v>371109</v>
      </c>
      <c r="T60" s="74">
        <f ca="1">SUM(W60:AH60)</f>
        <v>-714901</v>
      </c>
      <c r="U60" s="54">
        <f ca="1">T60-S60</f>
        <v>-1086010</v>
      </c>
      <c r="W60" s="4">
        <f ca="1">SUMIFS(INDIRECT("'"&amp;$W$52&amp;"'"&amp;"!$B$64:$B$5000"),INDIRECT("'"&amp;$W$52&amp;"'"&amp;"!$A$64:$A$5000"),$V$7)</f>
        <v>29484</v>
      </c>
      <c r="X60" s="4">
        <f ca="1">SUMIFS(INDIRECT("'"&amp;$W$52&amp;"'"&amp;"!$c$64:$c$5000"),INDIRECT("'"&amp;$W$52&amp;"'"&amp;"!$A$64:$A$5000"),$V$7)</f>
        <v>28669</v>
      </c>
      <c r="Y60" s="4">
        <f ca="1">SUMIFS(INDIRECT("'"&amp;$W$52&amp;"'"&amp;"!$d$64:$d$5000"),INDIRECT("'"&amp;$W$52&amp;"'"&amp;"!$A$64:$A$5000"),$V$7)</f>
        <v>29197</v>
      </c>
      <c r="Z60" s="4">
        <f ca="1">SUMIFS(INDIRECT("'"&amp;$W$52&amp;"'"&amp;"!$e$64:$e$5000"),INDIRECT("'"&amp;$W$52&amp;"'"&amp;"!$A$64:$A$5000"),$V$7)</f>
        <v>26707</v>
      </c>
      <c r="AA60" s="4">
        <f ca="1">SUMIFS(INDIRECT("'"&amp;$W$52&amp;"'"&amp;"!$f$64:$f$5000"),INDIRECT("'"&amp;$W$52&amp;"'"&amp;"!$A$64:$A$5000"),$V$7)</f>
        <v>-1054674</v>
      </c>
      <c r="AB60" s="4">
        <f ca="1">SUMIFS(INDIRECT("'"&amp;$W$52&amp;"'"&amp;"!$g$64:$g$5000"),INDIRECT("'"&amp;$W$52&amp;"'"&amp;"!$A$64:$A$5000"),$V$7)</f>
        <v>29917</v>
      </c>
      <c r="AC60" s="4">
        <f ca="1">SUMIFS(INDIRECT("'"&amp;$W$52&amp;"'"&amp;"!$h$64:$h$5000"),INDIRECT("'"&amp;$W$52&amp;"'"&amp;"!$A$64:$A$5000"),$V$7)</f>
        <v>36795</v>
      </c>
      <c r="AD60" s="4">
        <f ca="1">SUMIFS(INDIRECT("'"&amp;$W$52&amp;"'"&amp;"!$i$64:$i$5000"),INDIRECT("'"&amp;$W$52&amp;"'"&amp;"!$A$64:$A$5000"),$V$7)</f>
        <v>33022</v>
      </c>
      <c r="AE60" s="4">
        <f ca="1">SUMIFS(INDIRECT("'"&amp;$W$52&amp;"'"&amp;"!$j$64:$j$5000"),INDIRECT("'"&amp;$W$52&amp;"'"&amp;"!$A$64:$A$5000"),$V$7)</f>
        <v>34239</v>
      </c>
      <c r="AF60" s="4">
        <f ca="1">SUMIFS(INDIRECT("'"&amp;$W$52&amp;"'"&amp;"!$k$64:$k$5000"),INDIRECT("'"&amp;$W$52&amp;"'"&amp;"!$A$64:$A$5000"),$V$7)</f>
        <v>30501</v>
      </c>
      <c r="AG60" s="4">
        <f ca="1">SUMIFS(INDIRECT("'"&amp;$W$52&amp;"'"&amp;"!$l$64:$l$5000"),INDIRECT("'"&amp;$W$52&amp;"'"&amp;"!$A$64:$A$5000"),$V$7)</f>
        <v>28429</v>
      </c>
      <c r="AH60" s="4">
        <f ca="1">SUMIFS(INDIRECT("'"&amp;$W$52&amp;"'"&amp;"!$m$64:$m$5000"),INDIRECT("'"&amp;$W$52&amp;"'"&amp;"!$A$64:$A$5000"),$V$7)</f>
        <v>32813</v>
      </c>
      <c r="AJ60" s="14">
        <f t="shared" ca="1" si="111"/>
        <v>0</v>
      </c>
      <c r="AK60" s="14">
        <f t="shared" ca="1" si="111"/>
        <v>0</v>
      </c>
      <c r="AL60" s="14">
        <f t="shared" ca="1" si="111"/>
        <v>0</v>
      </c>
      <c r="AM60" s="14">
        <f t="shared" ca="1" si="111"/>
        <v>0</v>
      </c>
      <c r="AN60" s="14">
        <f t="shared" ca="1" si="111"/>
        <v>-1086020</v>
      </c>
      <c r="AO60" s="14">
        <f t="shared" ca="1" si="111"/>
        <v>0</v>
      </c>
      <c r="AP60" s="14">
        <f t="shared" ca="1" si="111"/>
        <v>0</v>
      </c>
      <c r="AQ60" s="14">
        <f t="shared" ca="1" si="111"/>
        <v>0</v>
      </c>
      <c r="AR60" s="14">
        <f t="shared" ca="1" si="111"/>
        <v>0</v>
      </c>
      <c r="AS60" s="14">
        <f t="shared" ca="1" si="111"/>
        <v>0</v>
      </c>
      <c r="AT60" s="14">
        <f t="shared" ca="1" si="111"/>
        <v>10</v>
      </c>
      <c r="AU60" s="14">
        <f t="shared" ca="1" si="111"/>
        <v>0</v>
      </c>
    </row>
    <row r="61" spans="1:47" s="12" customFormat="1">
      <c r="A61" s="12">
        <f t="shared" si="106"/>
        <v>5</v>
      </c>
      <c r="B61"/>
      <c r="C61" t="str">
        <f>$F53</f>
        <v>Park Manor of Westchase</v>
      </c>
      <c r="D61" s="1" t="str">
        <f t="shared" si="44"/>
        <v>T_EBITDAR - EBITDAR</v>
      </c>
      <c r="E61"/>
      <c r="F61" s="19" t="str">
        <f>_xll.EVDES(D61)</f>
        <v>EBITDAR</v>
      </c>
      <c r="G61" s="61">
        <f ca="1">SUMIFS(OFFSET('BPC Data'!$F:$F,0,Summary!G$2),'BPC Data'!$E:$E,Summary!$D61,'BPC Data'!$B:$B,Summary!$C61)</f>
        <v>26848</v>
      </c>
      <c r="H61" s="65">
        <f ca="1">SUMIFS(OFFSET('BPC Data'!$F:$F,0,Summary!H$2),'BPC Data'!$E:$E,Summary!$D61,'BPC Data'!$B:$B,Summary!$C61)</f>
        <v>62237</v>
      </c>
      <c r="I61" s="61">
        <f ca="1">SUMIFS(OFFSET('BPC Data'!$F:$F,0,Summary!I$2),'BPC Data'!$E:$E,Summary!$D61,'BPC Data'!$B:$B,Summary!$C61)</f>
        <v>58725</v>
      </c>
      <c r="J61" s="65">
        <f ca="1">SUMIFS(OFFSET('BPC Data'!$F:$F,0,Summary!J$2),'BPC Data'!$E:$E,Summary!$D61,'BPC Data'!$B:$B,Summary!$C61)</f>
        <v>109343</v>
      </c>
      <c r="K61" s="61">
        <f ca="1">SUMIFS(OFFSET('BPC Data'!$F:$F,0,Summary!K$2),'BPC Data'!$E:$E,Summary!$D61,'BPC Data'!$B:$B,Summary!$C61)</f>
        <v>402299</v>
      </c>
      <c r="L61" s="65">
        <f ca="1">SUMIFS(OFFSET('BPC Data'!$F:$F,0,Summary!L$2),'BPC Data'!$E:$E,Summary!$D61,'BPC Data'!$B:$B,Summary!$C61)</f>
        <v>185406</v>
      </c>
      <c r="M61" s="61">
        <f ca="1">SUMIFS(OFFSET('BPC Data'!$F:$F,0,Summary!M$2),'BPC Data'!$E:$E,Summary!$D61,'BPC Data'!$B:$B,Summary!$C61)</f>
        <v>321949</v>
      </c>
      <c r="N61" s="65">
        <f ca="1">SUMIFS(OFFSET('BPC Data'!$F:$F,0,Summary!N$2),'BPC Data'!$E:$E,Summary!$D61,'BPC Data'!$B:$B,Summary!$C61)</f>
        <v>162134</v>
      </c>
      <c r="O61" s="61">
        <f ca="1">SUMIFS(OFFSET('BPC Data'!$F:$F,0,Summary!O$2),'BPC Data'!$E:$E,Summary!$D61,'BPC Data'!$B:$B,Summary!$C61)</f>
        <v>261238</v>
      </c>
      <c r="P61" s="65">
        <f ca="1">SUMIFS(OFFSET('BPC Data'!$F:$F,0,Summary!P$2),'BPC Data'!$E:$E,Summary!$D61,'BPC Data'!$B:$B,Summary!$C61)</f>
        <v>226122</v>
      </c>
      <c r="Q61" s="61">
        <f ca="1">SUMIFS(OFFSET('BPC Data'!$F:$F,0,Summary!Q$2),'BPC Data'!$E:$E,Summary!$D61,'BPC Data'!$B:$B,Summary!$C61)</f>
        <v>78201</v>
      </c>
      <c r="R61" s="65">
        <f ca="1">SUMIFS(OFFSET('BPC Data'!$F:$F,0,Summary!R$2),'BPC Data'!$E:$E,Summary!$D61,'BPC Data'!$B:$B,Summary!$C61)</f>
        <v>9356</v>
      </c>
      <c r="S61" s="23">
        <f t="shared" ca="1" si="107"/>
        <v>1903858</v>
      </c>
      <c r="T61" s="74">
        <f ca="1">SUM(W61:AH61)</f>
        <v>1999577.1299999976</v>
      </c>
      <c r="U61" s="54">
        <f ca="1">T61-S61</f>
        <v>95719.12999999756</v>
      </c>
      <c r="W61" s="50">
        <f t="shared" ref="W61:AB61" ca="1" si="112">W59-W60</f>
        <v>26848.409999998868</v>
      </c>
      <c r="X61" s="50">
        <f t="shared" ca="1" si="112"/>
        <v>62236.929999999818</v>
      </c>
      <c r="Y61" s="50">
        <f t="shared" ca="1" si="112"/>
        <v>58724.92000000074</v>
      </c>
      <c r="Z61" s="50">
        <f t="shared" ca="1" si="112"/>
        <v>109341.27000000107</v>
      </c>
      <c r="AA61" s="50">
        <f t="shared" ca="1" si="112"/>
        <v>498021.28999999864</v>
      </c>
      <c r="AB61" s="50">
        <f t="shared" ca="1" si="112"/>
        <v>185404.85000000009</v>
      </c>
      <c r="AC61" s="50">
        <f t="shared" ref="AC61:AH61" ca="1" si="113">AC59-AC60</f>
        <v>321949.2499999993</v>
      </c>
      <c r="AD61" s="50">
        <f t="shared" ca="1" si="113"/>
        <v>162133.82000000053</v>
      </c>
      <c r="AE61" s="50">
        <f t="shared" ca="1" si="113"/>
        <v>261237.91999999993</v>
      </c>
      <c r="AF61" s="50">
        <f t="shared" ca="1" si="113"/>
        <v>226122.36999999941</v>
      </c>
      <c r="AG61" s="50">
        <f t="shared" ca="1" si="113"/>
        <v>78200.479999999865</v>
      </c>
      <c r="AH61" s="50">
        <f t="shared" ca="1" si="113"/>
        <v>9355.619999999064</v>
      </c>
      <c r="AJ61" s="14">
        <f t="shared" ca="1" si="111"/>
        <v>0.40999999886844307</v>
      </c>
      <c r="AK61" s="14">
        <f t="shared" ca="1" si="111"/>
        <v>-7.0000000181607902E-2</v>
      </c>
      <c r="AL61" s="14">
        <f t="shared" ca="1" si="111"/>
        <v>-7.9999999259598553E-2</v>
      </c>
      <c r="AM61" s="14">
        <f t="shared" ca="1" si="111"/>
        <v>-1.7299999989336357</v>
      </c>
      <c r="AN61" s="14">
        <f t="shared" ca="1" si="111"/>
        <v>95722.28999999864</v>
      </c>
      <c r="AO61" s="14">
        <f t="shared" ca="1" si="111"/>
        <v>-1.1499999999068677</v>
      </c>
      <c r="AP61" s="14">
        <f t="shared" ca="1" si="111"/>
        <v>0.24999999930150807</v>
      </c>
      <c r="AQ61" s="14">
        <f t="shared" ca="1" si="111"/>
        <v>-0.17999999946914613</v>
      </c>
      <c r="AR61" s="14">
        <f t="shared" ca="1" si="111"/>
        <v>-8.0000000074505806E-2</v>
      </c>
      <c r="AS61" s="14">
        <f t="shared" ca="1" si="111"/>
        <v>0.36999999941326678</v>
      </c>
      <c r="AT61" s="14">
        <f t="shared" ca="1" si="111"/>
        <v>-0.52000000013504177</v>
      </c>
      <c r="AU61" s="14">
        <f t="shared" ca="1" si="111"/>
        <v>-0.38000000093597919</v>
      </c>
    </row>
    <row r="62" spans="1:47" s="12" customFormat="1">
      <c r="A62" s="12">
        <f t="shared" si="106"/>
        <v>5</v>
      </c>
      <c r="B62"/>
      <c r="C62" t="str">
        <f>$F53</f>
        <v>Park Manor of Westchase</v>
      </c>
      <c r="D62" s="1" t="str">
        <f t="shared" si="44"/>
        <v>T_RENT_EXP - Tenant Rent Expense</v>
      </c>
      <c r="E62"/>
      <c r="F62" s="19" t="str">
        <f>_xll.EVDES(D62)</f>
        <v>Tenant Rent Expense</v>
      </c>
      <c r="G62" s="61">
        <f ca="1">SUMIFS(OFFSET('BPC Data'!$F:$F,0,Summary!G$2),'BPC Data'!$E:$E,Summary!$D62,'BPC Data'!$B:$B,Summary!$C62)</f>
        <v>118129</v>
      </c>
      <c r="H62" s="65">
        <f ca="1">SUMIFS(OFFSET('BPC Data'!$F:$F,0,Summary!H$2),'BPC Data'!$E:$E,Summary!$D62,'BPC Data'!$B:$B,Summary!$C62)</f>
        <v>121023</v>
      </c>
      <c r="I62" s="61">
        <f ca="1">SUMIFS(OFFSET('BPC Data'!$F:$F,0,Summary!I$2),'BPC Data'!$E:$E,Summary!$D62,'BPC Data'!$B:$B,Summary!$C62)</f>
        <v>121023</v>
      </c>
      <c r="J62" s="65">
        <f ca="1">SUMIFS(OFFSET('BPC Data'!$F:$F,0,Summary!J$2),'BPC Data'!$E:$E,Summary!$D62,'BPC Data'!$B:$B,Summary!$C62)</f>
        <v>121023</v>
      </c>
      <c r="K62" s="61">
        <f ca="1">SUMIFS(OFFSET('BPC Data'!$F:$F,0,Summary!K$2),'BPC Data'!$E:$E,Summary!$D62,'BPC Data'!$B:$B,Summary!$C62)</f>
        <v>121023</v>
      </c>
      <c r="L62" s="65">
        <f ca="1">SUMIFS(OFFSET('BPC Data'!$F:$F,0,Summary!L$2),'BPC Data'!$E:$E,Summary!$D62,'BPC Data'!$B:$B,Summary!$C62)</f>
        <v>121023</v>
      </c>
      <c r="M62" s="61">
        <f ca="1">SUMIFS(OFFSET('BPC Data'!$F:$F,0,Summary!M$2),'BPC Data'!$E:$E,Summary!$D62,'BPC Data'!$B:$B,Summary!$C62)</f>
        <v>121023</v>
      </c>
      <c r="N62" s="65">
        <f ca="1">SUMIFS(OFFSET('BPC Data'!$F:$F,0,Summary!N$2),'BPC Data'!$E:$E,Summary!$D62,'BPC Data'!$B:$B,Summary!$C62)</f>
        <v>121023</v>
      </c>
      <c r="O62" s="61">
        <f ca="1">SUMIFS(OFFSET('BPC Data'!$F:$F,0,Summary!O$2),'BPC Data'!$E:$E,Summary!$D62,'BPC Data'!$B:$B,Summary!$C62)</f>
        <v>121023</v>
      </c>
      <c r="P62" s="65">
        <f ca="1">SUMIFS(OFFSET('BPC Data'!$F:$F,0,Summary!P$2),'BPC Data'!$E:$E,Summary!$D62,'BPC Data'!$B:$B,Summary!$C62)</f>
        <v>121023</v>
      </c>
      <c r="Q62" s="61">
        <f ca="1">SUMIFS(OFFSET('BPC Data'!$F:$F,0,Summary!Q$2),'BPC Data'!$E:$E,Summary!$D62,'BPC Data'!$B:$B,Summary!$C62)</f>
        <v>121023</v>
      </c>
      <c r="R62" s="65">
        <f ca="1">SUMIFS(OFFSET('BPC Data'!$F:$F,0,Summary!R$2),'BPC Data'!$E:$E,Summary!$D62,'BPC Data'!$B:$B,Summary!$C62)</f>
        <v>133227</v>
      </c>
      <c r="S62" s="23">
        <f t="shared" ca="1" si="107"/>
        <v>1461586</v>
      </c>
      <c r="T62" s="74">
        <f ca="1">SUM(W62:AH62)</f>
        <v>1461582.08</v>
      </c>
      <c r="U62" s="54">
        <f ca="1">T62-S62</f>
        <v>-3.9199999999254942</v>
      </c>
      <c r="W62" s="4">
        <f ca="1">SUMIFS(INDIRECT("'"&amp;$W$52&amp;"'"&amp;"!$B$64:$B$5000"),INDIRECT("'"&amp;$W$52&amp;"'"&amp;"!$A$64:$A$5000"),$W$3)+SUMIFS(INDIRECT("'"&amp;$W$52&amp;"'"&amp;"!$B$64:$B$5000"),INDIRECT("'"&amp;$W$52&amp;"'"&amp;"!$A$64:$A$5000"),$W$4)</f>
        <v>118129</v>
      </c>
      <c r="X62" s="4">
        <f ca="1">SUMIFS(INDIRECT("'"&amp;$W$52&amp;"'"&amp;"!$c$64:$c$5000"),INDIRECT("'"&amp;$W$52&amp;"'"&amp;"!$A$64:$A$5000"),$W$3)+SUMIFS(INDIRECT("'"&amp;$W$52&amp;"'"&amp;"!$c$64:$c$5000"),INDIRECT("'"&amp;$W$52&amp;"'"&amp;"!$A$64:$A$5000"),$W$4)</f>
        <v>121022.57999999999</v>
      </c>
      <c r="Y62" s="4">
        <f ca="1">SUMIFS(INDIRECT("'"&amp;$W$52&amp;"'"&amp;"!$d$64:$d$5000"),INDIRECT("'"&amp;$W$52&amp;"'"&amp;"!$A$64:$A$5000"),$W$3)+SUMIFS(INDIRECT("'"&amp;$W$52&amp;"'"&amp;"!$d$64:$d$5000"),INDIRECT("'"&amp;$W$52&amp;"'"&amp;"!$A$64:$A$5000"),$W$4)</f>
        <v>121022.57999999999</v>
      </c>
      <c r="Z62" s="4">
        <f ca="1">SUMIFS(INDIRECT("'"&amp;$W$52&amp;"'"&amp;"!$e$64:$e$5000"),INDIRECT("'"&amp;$W$52&amp;"'"&amp;"!$A$64:$A$5000"),$W$3)+SUMIFS(INDIRECT("'"&amp;$W$52&amp;"'"&amp;"!$e$64:$e$5000"),INDIRECT("'"&amp;$W$52&amp;"'"&amp;"!$A$64:$A$5000"),$W$4)</f>
        <v>121022.57999999999</v>
      </c>
      <c r="AA62" s="4">
        <f ca="1">SUMIFS(INDIRECT("'"&amp;$W$52&amp;"'"&amp;"!$f$64:$f$5000"),INDIRECT("'"&amp;$W$52&amp;"'"&amp;"!$A$64:$A$5000"),$W$3)+SUMIFS(INDIRECT("'"&amp;$W$52&amp;"'"&amp;"!$f$64:$f$5000"),INDIRECT("'"&amp;$W$52&amp;"'"&amp;"!$A$64:$A$5000"),$W$4)</f>
        <v>121022.57999999999</v>
      </c>
      <c r="AB62" s="4">
        <f ca="1">SUMIFS(INDIRECT("'"&amp;$W$52&amp;"'"&amp;"!$g$64:$g$5000"),INDIRECT("'"&amp;$W$52&amp;"'"&amp;"!$A$64:$A$5000"),$W$3)+SUMIFS(INDIRECT("'"&amp;$W$52&amp;"'"&amp;"!$g$64:$g$5000"),INDIRECT("'"&amp;$W$52&amp;"'"&amp;"!$A$64:$A$5000"),$W$4)</f>
        <v>121022.57999999999</v>
      </c>
      <c r="AC62" s="4">
        <f ca="1">SUMIFS(INDIRECT("'"&amp;$W$52&amp;"'"&amp;"!$h$64:$h$5000"),INDIRECT("'"&amp;$W$52&amp;"'"&amp;"!$A$64:$A$5000"),$W$3)+SUMIFS(INDIRECT("'"&amp;$W$52&amp;"'"&amp;"!$h$64:$h$5000"),INDIRECT("'"&amp;$W$52&amp;"'"&amp;"!$A$64:$A$5000"),$W$4)</f>
        <v>121022.57999999999</v>
      </c>
      <c r="AD62" s="4">
        <f ca="1">SUMIFS(INDIRECT("'"&amp;$W$52&amp;"'"&amp;"!$i$64:$i$5000"),INDIRECT("'"&amp;$W$52&amp;"'"&amp;"!$A$64:$A$5000"),$W$3)+SUMIFS(INDIRECT("'"&amp;$W$52&amp;"'"&amp;"!$i$64:$i$5000"),INDIRECT("'"&amp;$W$52&amp;"'"&amp;"!$A$64:$A$5000"),$W$4)</f>
        <v>121022.57999999999</v>
      </c>
      <c r="AE62" s="4">
        <f ca="1">SUMIFS(INDIRECT("'"&amp;$W$52&amp;"'"&amp;"!$j$64:$j$5000"),INDIRECT("'"&amp;$W$52&amp;"'"&amp;"!$A$64:$A$5000"),$W$3)+SUMIFS(INDIRECT("'"&amp;$W$52&amp;"'"&amp;"!$j$64:$j$5000"),INDIRECT("'"&amp;$W$52&amp;"'"&amp;"!$A$64:$A$5000"),$W$4)</f>
        <v>121022.57999999999</v>
      </c>
      <c r="AF62" s="4">
        <f ca="1">SUMIFS(INDIRECT("'"&amp;$W$52&amp;"'"&amp;"!$k$64:$k$5000"),INDIRECT("'"&amp;$W$52&amp;"'"&amp;"!$A$64:$A$5000"),$W$3)+SUMIFS(INDIRECT("'"&amp;$W$52&amp;"'"&amp;"!$k$64:$k$5000"),INDIRECT("'"&amp;$W$52&amp;"'"&amp;"!$A$64:$A$5000"),$W$4)</f>
        <v>121022.57999999999</v>
      </c>
      <c r="AG62" s="4">
        <f ca="1">SUMIFS(INDIRECT("'"&amp;$W$52&amp;"'"&amp;"!$l$64:$l$5000"),INDIRECT("'"&amp;$W$52&amp;"'"&amp;"!$A$64:$A$5000"),$W$3)+SUMIFS(INDIRECT("'"&amp;$W$52&amp;"'"&amp;"!$l$64:$l$5000"),INDIRECT("'"&amp;$W$52&amp;"'"&amp;"!$A$64:$A$5000"),$W$4)</f>
        <v>121022.57999999999</v>
      </c>
      <c r="AH62" s="4">
        <f ca="1">SUMIFS(INDIRECT("'"&amp;$W$52&amp;"'"&amp;"!$m$64:$m$5000"),INDIRECT("'"&amp;$W$52&amp;"'"&amp;"!$A$64:$A$5000"),$W$3)+SUMIFS(INDIRECT("'"&amp;$W$52&amp;"'"&amp;"!$m$64:$m$5000"),INDIRECT("'"&amp;$W$52&amp;"'"&amp;"!$A$64:$A$5000"),$W$4)</f>
        <v>133227.28</v>
      </c>
      <c r="AJ62" s="14">
        <f t="shared" ca="1" si="111"/>
        <v>0</v>
      </c>
      <c r="AK62" s="14">
        <f t="shared" ca="1" si="111"/>
        <v>-0.42000000001280569</v>
      </c>
      <c r="AL62" s="14">
        <f t="shared" ca="1" si="111"/>
        <v>-0.42000000001280569</v>
      </c>
      <c r="AM62" s="14">
        <f t="shared" ca="1" si="111"/>
        <v>-0.42000000001280569</v>
      </c>
      <c r="AN62" s="14">
        <f t="shared" ca="1" si="111"/>
        <v>-0.42000000001280569</v>
      </c>
      <c r="AO62" s="14">
        <f t="shared" ca="1" si="111"/>
        <v>-0.42000000001280569</v>
      </c>
      <c r="AP62" s="14">
        <f t="shared" ca="1" si="111"/>
        <v>-0.42000000001280569</v>
      </c>
      <c r="AQ62" s="14">
        <f t="shared" ca="1" si="111"/>
        <v>-0.42000000001280569</v>
      </c>
      <c r="AR62" s="14">
        <f t="shared" ca="1" si="111"/>
        <v>-0.42000000001280569</v>
      </c>
      <c r="AS62" s="14">
        <f t="shared" ca="1" si="111"/>
        <v>-0.42000000001280569</v>
      </c>
      <c r="AT62" s="14">
        <f t="shared" ca="1" si="111"/>
        <v>-0.42000000001280569</v>
      </c>
      <c r="AU62" s="14">
        <f t="shared" ca="1" si="111"/>
        <v>0.27999999999883585</v>
      </c>
    </row>
    <row r="63" spans="1:47" s="12" customFormat="1">
      <c r="A63" s="12">
        <f t="shared" si="106"/>
        <v>5</v>
      </c>
      <c r="B63"/>
      <c r="C63"/>
      <c r="D63" s="1" t="str">
        <f t="shared" si="44"/>
        <v>x</v>
      </c>
      <c r="E63"/>
      <c r="F63" s="19" t="s">
        <v>0</v>
      </c>
      <c r="G63" s="61">
        <f ca="1">SUMIFS(OFFSET('BPC Data'!$F:$F,0,Summary!G$2),'BPC Data'!$E:$E,Summary!$D63,'BPC Data'!$B:$B,Summary!$C63)</f>
        <v>0</v>
      </c>
      <c r="H63" s="65">
        <f ca="1">SUMIFS(OFFSET('BPC Data'!$F:$F,0,Summary!H$2),'BPC Data'!$E:$E,Summary!$D63,'BPC Data'!$B:$B,Summary!$C63)</f>
        <v>0</v>
      </c>
      <c r="I63" s="61">
        <f ca="1">SUMIFS(OFFSET('BPC Data'!$F:$F,0,Summary!I$2),'BPC Data'!$E:$E,Summary!$D63,'BPC Data'!$B:$B,Summary!$C63)</f>
        <v>0</v>
      </c>
      <c r="J63" s="65">
        <f ca="1">SUMIFS(OFFSET('BPC Data'!$F:$F,0,Summary!J$2),'BPC Data'!$E:$E,Summary!$D63,'BPC Data'!$B:$B,Summary!$C63)</f>
        <v>0</v>
      </c>
      <c r="K63" s="61">
        <f ca="1">SUMIFS(OFFSET('BPC Data'!$F:$F,0,Summary!K$2),'BPC Data'!$E:$E,Summary!$D63,'BPC Data'!$B:$B,Summary!$C63)</f>
        <v>0</v>
      </c>
      <c r="L63" s="65">
        <f ca="1">SUMIFS(OFFSET('BPC Data'!$F:$F,0,Summary!L$2),'BPC Data'!$E:$E,Summary!$D63,'BPC Data'!$B:$B,Summary!$C63)</f>
        <v>0</v>
      </c>
      <c r="M63" s="61">
        <f ca="1">SUMIFS(OFFSET('BPC Data'!$F:$F,0,Summary!M$2),'BPC Data'!$E:$E,Summary!$D63,'BPC Data'!$B:$B,Summary!$C63)</f>
        <v>0</v>
      </c>
      <c r="N63" s="65">
        <f ca="1">SUMIFS(OFFSET('BPC Data'!$F:$F,0,Summary!N$2),'BPC Data'!$E:$E,Summary!$D63,'BPC Data'!$B:$B,Summary!$C63)</f>
        <v>0</v>
      </c>
      <c r="O63" s="61">
        <f ca="1">SUMIFS(OFFSET('BPC Data'!$F:$F,0,Summary!O$2),'BPC Data'!$E:$E,Summary!$D63,'BPC Data'!$B:$B,Summary!$C63)</f>
        <v>0</v>
      </c>
      <c r="P63" s="65">
        <f ca="1">SUMIFS(OFFSET('BPC Data'!$F:$F,0,Summary!P$2),'BPC Data'!$E:$E,Summary!$D63,'BPC Data'!$B:$B,Summary!$C63)</f>
        <v>0</v>
      </c>
      <c r="Q63" s="61">
        <f ca="1">SUMIFS(OFFSET('BPC Data'!$F:$F,0,Summary!Q$2),'BPC Data'!$E:$E,Summary!$D63,'BPC Data'!$B:$B,Summary!$C63)</f>
        <v>0</v>
      </c>
      <c r="R63" s="65">
        <f ca="1">SUMIFS(OFFSET('BPC Data'!$F:$F,0,Summary!R$2),'BPC Data'!$E:$E,Summary!$D63,'BPC Data'!$B:$B,Summary!$C63)</f>
        <v>0</v>
      </c>
      <c r="S63" s="23">
        <f ca="1">SUM(G63:M63)</f>
        <v>0</v>
      </c>
      <c r="T63" s="76"/>
      <c r="W63" t="s">
        <v>293</v>
      </c>
      <c r="X63"/>
      <c r="Y63"/>
      <c r="Z63"/>
      <c r="AA63"/>
      <c r="AB63"/>
      <c r="AC63"/>
      <c r="AD63"/>
      <c r="AE63"/>
      <c r="AF63"/>
      <c r="AG63"/>
      <c r="AH63"/>
      <c r="AI63"/>
      <c r="AJ63" s="14"/>
      <c r="AK63" s="49"/>
      <c r="AL63" s="49"/>
      <c r="AM63" s="49"/>
      <c r="AN63" s="49"/>
      <c r="AO63" s="49"/>
      <c r="AP63" s="49"/>
      <c r="AQ63" s="49"/>
      <c r="AR63" s="49"/>
      <c r="AS63" s="49"/>
      <c r="AT63" s="49"/>
      <c r="AU63" s="49"/>
    </row>
    <row r="64" spans="1:47" s="12" customFormat="1">
      <c r="A64" s="12">
        <f>IF(AND(D64&lt;&gt;"",C64=""),A63+1,A63)</f>
        <v>6</v>
      </c>
      <c r="B64" s="5"/>
      <c r="C64" s="5"/>
      <c r="D64" s="5" t="str">
        <f t="shared" si="44"/>
        <v>x</v>
      </c>
      <c r="E64" s="5"/>
      <c r="F64" s="18" t="str">
        <f>INDEX(PropertyList!$D:$D,MATCH(Summary!$A64,PropertyList!$C:$C,0))</f>
        <v>Park Manor of CyFair</v>
      </c>
      <c r="G64" s="61">
        <f ca="1">SUMIFS(OFFSET('BPC Data'!$F:$F,0,Summary!G$2),'BPC Data'!$E:$E,Summary!$D64,'BPC Data'!$B:$B,Summary!$C64)</f>
        <v>0</v>
      </c>
      <c r="H64" s="65">
        <f ca="1">SUMIFS(OFFSET('BPC Data'!$F:$F,0,Summary!H$2),'BPC Data'!$E:$E,Summary!$D64,'BPC Data'!$B:$B,Summary!$C64)</f>
        <v>0</v>
      </c>
      <c r="I64" s="61">
        <f ca="1">SUMIFS(OFFSET('BPC Data'!$F:$F,0,Summary!I$2),'BPC Data'!$E:$E,Summary!$D64,'BPC Data'!$B:$B,Summary!$C64)</f>
        <v>0</v>
      </c>
      <c r="J64" s="65">
        <f ca="1">SUMIFS(OFFSET('BPC Data'!$F:$F,0,Summary!J$2),'BPC Data'!$E:$E,Summary!$D64,'BPC Data'!$B:$B,Summary!$C64)</f>
        <v>0</v>
      </c>
      <c r="K64" s="61">
        <f ca="1">SUMIFS(OFFSET('BPC Data'!$F:$F,0,Summary!K$2),'BPC Data'!$E:$E,Summary!$D64,'BPC Data'!$B:$B,Summary!$C64)</f>
        <v>0</v>
      </c>
      <c r="L64" s="65">
        <f ca="1">SUMIFS(OFFSET('BPC Data'!$F:$F,0,Summary!L$2),'BPC Data'!$E:$E,Summary!$D64,'BPC Data'!$B:$B,Summary!$C64)</f>
        <v>0</v>
      </c>
      <c r="M64" s="61">
        <f ca="1">SUMIFS(OFFSET('BPC Data'!$F:$F,0,Summary!M$2),'BPC Data'!$E:$E,Summary!$D64,'BPC Data'!$B:$B,Summary!$C64)</f>
        <v>0</v>
      </c>
      <c r="N64" s="65">
        <f ca="1">SUMIFS(OFFSET('BPC Data'!$F:$F,0,Summary!N$2),'BPC Data'!$E:$E,Summary!$D64,'BPC Data'!$B:$B,Summary!$C64)</f>
        <v>0</v>
      </c>
      <c r="O64" s="61">
        <f ca="1">SUMIFS(OFFSET('BPC Data'!$F:$F,0,Summary!O$2),'BPC Data'!$E:$E,Summary!$D64,'BPC Data'!$B:$B,Summary!$C64)</f>
        <v>0</v>
      </c>
      <c r="P64" s="65">
        <f ca="1">SUMIFS(OFFSET('BPC Data'!$F:$F,0,Summary!P$2),'BPC Data'!$E:$E,Summary!$D64,'BPC Data'!$B:$B,Summary!$C64)</f>
        <v>0</v>
      </c>
      <c r="Q64" s="61">
        <f ca="1">SUMIFS(OFFSET('BPC Data'!$F:$F,0,Summary!Q$2),'BPC Data'!$E:$E,Summary!$D64,'BPC Data'!$B:$B,Summary!$C64)</f>
        <v>0</v>
      </c>
      <c r="R64" s="65">
        <f ca="1">SUMIFS(OFFSET('BPC Data'!$F:$F,0,Summary!R$2),'BPC Data'!$E:$E,Summary!$D64,'BPC Data'!$B:$B,Summary!$C64)</f>
        <v>0</v>
      </c>
      <c r="S64" s="23">
        <f ca="1">SUM(G64:M64)</f>
        <v>0</v>
      </c>
      <c r="T64" s="77"/>
      <c r="U64" s="49"/>
      <c r="W64" s="5" t="str">
        <f t="shared" ref="W64:AH64" si="114">+G$8</f>
        <v>Aug 2021</v>
      </c>
      <c r="X64" s="5" t="str">
        <f t="shared" si="114"/>
        <v>Sep 2021</v>
      </c>
      <c r="Y64" s="5" t="str">
        <f t="shared" si="114"/>
        <v>Oct 2021</v>
      </c>
      <c r="Z64" s="5" t="str">
        <f t="shared" si="114"/>
        <v>Nov 2021</v>
      </c>
      <c r="AA64" s="5" t="str">
        <f t="shared" si="114"/>
        <v>Dec 2021</v>
      </c>
      <c r="AB64" s="5" t="str">
        <f t="shared" si="114"/>
        <v>Jan 2022</v>
      </c>
      <c r="AC64" s="5" t="str">
        <f t="shared" si="114"/>
        <v>Feb 2022</v>
      </c>
      <c r="AD64" s="5" t="str">
        <f t="shared" si="114"/>
        <v>Mar 2022</v>
      </c>
      <c r="AE64" s="5" t="str">
        <f t="shared" si="114"/>
        <v>Apr 2022</v>
      </c>
      <c r="AF64" s="5" t="str">
        <f t="shared" si="114"/>
        <v>May 2022</v>
      </c>
      <c r="AG64" s="5" t="str">
        <f t="shared" si="114"/>
        <v>Jun 2022</v>
      </c>
      <c r="AH64" s="5" t="str">
        <f t="shared" si="114"/>
        <v>Jul 2022</v>
      </c>
      <c r="AI64" s="5"/>
      <c r="AJ64" s="174" t="str">
        <f>W$9</f>
        <v>Aug 2021</v>
      </c>
      <c r="AK64" s="174" t="str">
        <f t="shared" ref="AK64" si="115">X$9</f>
        <v>Sep 2021</v>
      </c>
      <c r="AL64" s="174" t="str">
        <f t="shared" ref="AL64" si="116">Y$9</f>
        <v>Oct 2021</v>
      </c>
      <c r="AM64" s="174" t="str">
        <f t="shared" ref="AM64" si="117">Z$9</f>
        <v>Nov 2021</v>
      </c>
      <c r="AN64" s="174" t="str">
        <f t="shared" ref="AN64:AO64" si="118">AA$9</f>
        <v>Dec 2021</v>
      </c>
      <c r="AO64" s="174" t="str">
        <f t="shared" si="118"/>
        <v>Jan 2022</v>
      </c>
      <c r="AP64" s="174" t="str">
        <f t="shared" ref="AP64" si="119">AC$9</f>
        <v>Feb 2022</v>
      </c>
      <c r="AQ64" s="174" t="str">
        <f t="shared" ref="AQ64" si="120">AD$9</f>
        <v>Mar 2022</v>
      </c>
      <c r="AR64" s="174" t="str">
        <f t="shared" ref="AR64" si="121">AE$9</f>
        <v>Apr 2022</v>
      </c>
      <c r="AS64" s="174" t="str">
        <f t="shared" ref="AS64" si="122">AF$9</f>
        <v>May 2022</v>
      </c>
      <c r="AT64" s="174" t="str">
        <f t="shared" ref="AT64" si="123">AG$9</f>
        <v>Jun 2022</v>
      </c>
      <c r="AU64" s="174" t="str">
        <f t="shared" ref="AU64" si="124">AH$9</f>
        <v>Jul 2022</v>
      </c>
    </row>
    <row r="65" spans="1:47" s="12" customFormat="1">
      <c r="A65" s="12">
        <f>IF(AND(F65&lt;&gt;"",D65=""),A64+1,A64)</f>
        <v>6</v>
      </c>
      <c r="C65" t="str">
        <f>$F64</f>
        <v>Park Manor of CyFair</v>
      </c>
      <c r="D65" s="3" t="str">
        <f t="shared" si="44"/>
        <v>PAY_PAT_DAYS - Total Payor Patient Days</v>
      </c>
      <c r="F65" s="19" t="str">
        <f>_xll.EVDES(D65)</f>
        <v>Total Payor Patient Days</v>
      </c>
      <c r="G65" s="61">
        <f ca="1">SUMIFS(OFFSET('BPC Data'!$F:$F,0,Summary!G$2),'BPC Data'!$E:$E,Summary!$D65,'BPC Data'!$B:$B,Summary!$C65)</f>
        <v>2637</v>
      </c>
      <c r="H65" s="65">
        <f ca="1">SUMIFS(OFFSET('BPC Data'!$F:$F,0,Summary!H$2),'BPC Data'!$E:$E,Summary!$D65,'BPC Data'!$B:$B,Summary!$C65)</f>
        <v>2556</v>
      </c>
      <c r="I65" s="61">
        <f ca="1">SUMIFS(OFFSET('BPC Data'!$F:$F,0,Summary!I$2),'BPC Data'!$E:$E,Summary!$D65,'BPC Data'!$B:$B,Summary!$C65)</f>
        <v>2751</v>
      </c>
      <c r="J65" s="65">
        <f ca="1">SUMIFS(OFFSET('BPC Data'!$F:$F,0,Summary!J$2),'BPC Data'!$E:$E,Summary!$D65,'BPC Data'!$B:$B,Summary!$C65)</f>
        <v>2568</v>
      </c>
      <c r="K65" s="61">
        <f ca="1">SUMIFS(OFFSET('BPC Data'!$F:$F,0,Summary!K$2),'BPC Data'!$E:$E,Summary!$D65,'BPC Data'!$B:$B,Summary!$C65)</f>
        <v>2663</v>
      </c>
      <c r="L65" s="65">
        <f ca="1">SUMIFS(OFFSET('BPC Data'!$F:$F,0,Summary!L$2),'BPC Data'!$E:$E,Summary!$D65,'BPC Data'!$B:$B,Summary!$C65)</f>
        <v>2833</v>
      </c>
      <c r="M65" s="61">
        <f ca="1">SUMIFS(OFFSET('BPC Data'!$F:$F,0,Summary!M$2),'BPC Data'!$E:$E,Summary!$D65,'BPC Data'!$B:$B,Summary!$C65)</f>
        <v>2795</v>
      </c>
      <c r="N65" s="65">
        <f ca="1">SUMIFS(OFFSET('BPC Data'!$F:$F,0,Summary!N$2),'BPC Data'!$E:$E,Summary!$D65,'BPC Data'!$B:$B,Summary!$C65)</f>
        <v>3242</v>
      </c>
      <c r="O65" s="61">
        <f ca="1">SUMIFS(OFFSET('BPC Data'!$F:$F,0,Summary!O$2),'BPC Data'!$E:$E,Summary!$D65,'BPC Data'!$B:$B,Summary!$C65)</f>
        <v>3088</v>
      </c>
      <c r="P65" s="65">
        <f ca="1">SUMIFS(OFFSET('BPC Data'!$F:$F,0,Summary!P$2),'BPC Data'!$E:$E,Summary!$D65,'BPC Data'!$B:$B,Summary!$C65)</f>
        <v>3019</v>
      </c>
      <c r="Q65" s="61">
        <f ca="1">SUMIFS(OFFSET('BPC Data'!$F:$F,0,Summary!Q$2),'BPC Data'!$E:$E,Summary!$D65,'BPC Data'!$B:$B,Summary!$C65)</f>
        <v>2863</v>
      </c>
      <c r="R65" s="65">
        <f ca="1">SUMIFS(OFFSET('BPC Data'!$F:$F,0,Summary!R$2),'BPC Data'!$E:$E,Summary!$D65,'BPC Data'!$B:$B,Summary!$C65)</f>
        <v>2964</v>
      </c>
      <c r="S65" s="23">
        <f ca="1">SUM(G65:R65)</f>
        <v>33979</v>
      </c>
      <c r="T65" s="74">
        <f ca="1">SUM(W65:AH65)</f>
        <v>33979</v>
      </c>
      <c r="U65" s="54">
        <f ca="1">T65-S65</f>
        <v>0</v>
      </c>
      <c r="V65" s="48"/>
      <c r="W65" s="4">
        <f ca="1">SUMIFS(INDIRECT("'"&amp;$W$63&amp;"'"&amp;"!$B$1:$B$5000"),INDIRECT("'"&amp;$W$63&amp;"'"&amp;"!$A$1:$A$5000"),$W$2)</f>
        <v>2637</v>
      </c>
      <c r="X65" s="4">
        <f ca="1">SUMIFS(INDIRECT("'"&amp;$W$63&amp;"'"&amp;"!$c$1:$c$5000"),INDIRECT("'"&amp;$W$63&amp;"'"&amp;"!$A$1:$A$5000"),$W$2)</f>
        <v>2556</v>
      </c>
      <c r="Y65" s="4">
        <f ca="1">SUMIFS(INDIRECT("'"&amp;$W$63&amp;"'"&amp;"!$d$1:$d$5000"),INDIRECT("'"&amp;$W$63&amp;"'"&amp;"!$A$1:$A$5000"),$W$2)</f>
        <v>2751</v>
      </c>
      <c r="Z65" s="4">
        <f ca="1">SUMIFS(INDIRECT("'"&amp;$W$63&amp;"'"&amp;"!$e$1:$e$5000"),INDIRECT("'"&amp;$W$63&amp;"'"&amp;"!$A$1:$A$5000"),$W$2)</f>
        <v>2568</v>
      </c>
      <c r="AA65" s="4">
        <f ca="1">SUMIFS(INDIRECT("'"&amp;$W$63&amp;"'"&amp;"!$f$1:$f$5000"),INDIRECT("'"&amp;$W$63&amp;"'"&amp;"!$A$1:$A$5000"),$W$2)</f>
        <v>2663</v>
      </c>
      <c r="AB65" s="4">
        <f ca="1">SUMIFS(INDIRECT("'"&amp;$W$63&amp;"'"&amp;"!$g$1:$g$5000"),INDIRECT("'"&amp;$W$63&amp;"'"&amp;"!$A$1:$A$5000"),$W$2)</f>
        <v>2833</v>
      </c>
      <c r="AC65" s="4">
        <f ca="1">SUMIFS(INDIRECT("'"&amp;$W$63&amp;"'"&amp;"!$h$1:$h$5000"),INDIRECT("'"&amp;$W$63&amp;"'"&amp;"!$A$1:$A$5000"),$W$2)</f>
        <v>2795</v>
      </c>
      <c r="AD65" s="4">
        <f ca="1">SUMIFS(INDIRECT("'"&amp;$W$63&amp;"'"&amp;"!$i$1:$i$5000"),INDIRECT("'"&amp;$W$63&amp;"'"&amp;"!$A$1:$A$5000"),$W$2)</f>
        <v>3242</v>
      </c>
      <c r="AE65" s="4">
        <f ca="1">SUMIFS(INDIRECT("'"&amp;$W$63&amp;"'"&amp;"!$j$1:$j$5000"),INDIRECT("'"&amp;$W$63&amp;"'"&amp;"!$A$1:$A$5000"),$W$2)</f>
        <v>3088</v>
      </c>
      <c r="AF65" s="4">
        <f ca="1">SUMIFS(INDIRECT("'"&amp;$W$63&amp;"'"&amp;"!$k$1:$k$5000"),INDIRECT("'"&amp;$W$63&amp;"'"&amp;"!$A$1:$A$5000"),$W$2)</f>
        <v>3019</v>
      </c>
      <c r="AG65" s="4">
        <f ca="1">SUMIFS(INDIRECT("'"&amp;$W$63&amp;"'"&amp;"!$l$1:$l$5000"),INDIRECT("'"&amp;$W$63&amp;"'"&amp;"!$A$1:$A$5000"),$W$2)</f>
        <v>2863</v>
      </c>
      <c r="AH65" s="4">
        <f ca="1">SUMIFS(INDIRECT("'"&amp;$W$63&amp;"'"&amp;"!$m$1:$m$5000"),INDIRECT("'"&amp;$W$63&amp;"'"&amp;"!$A$1:$A$5000"),$W$2)</f>
        <v>2964</v>
      </c>
      <c r="AJ65" s="14">
        <f t="shared" ref="AJ65:AU65" ca="1" si="125">W65-G65</f>
        <v>0</v>
      </c>
      <c r="AK65" s="14">
        <f t="shared" ca="1" si="125"/>
        <v>0</v>
      </c>
      <c r="AL65" s="14">
        <f t="shared" ca="1" si="125"/>
        <v>0</v>
      </c>
      <c r="AM65" s="14">
        <f t="shared" ca="1" si="125"/>
        <v>0</v>
      </c>
      <c r="AN65" s="14">
        <f t="shared" ca="1" si="125"/>
        <v>0</v>
      </c>
      <c r="AO65" s="14">
        <f t="shared" ca="1" si="125"/>
        <v>0</v>
      </c>
      <c r="AP65" s="14">
        <f t="shared" ca="1" si="125"/>
        <v>0</v>
      </c>
      <c r="AQ65" s="14">
        <f t="shared" ca="1" si="125"/>
        <v>0</v>
      </c>
      <c r="AR65" s="14">
        <f t="shared" ca="1" si="125"/>
        <v>0</v>
      </c>
      <c r="AS65" s="14">
        <f t="shared" ca="1" si="125"/>
        <v>0</v>
      </c>
      <c r="AT65" s="14">
        <f t="shared" ca="1" si="125"/>
        <v>0</v>
      </c>
      <c r="AU65" s="14">
        <f t="shared" ca="1" si="125"/>
        <v>0</v>
      </c>
    </row>
    <row r="66" spans="1:47" s="12" customFormat="1">
      <c r="A66" s="12">
        <f t="shared" ref="A66:A74" si="126">IF(AND(F66&lt;&gt;"",D66=""),A65+1,A65)</f>
        <v>6</v>
      </c>
      <c r="C66" t="str">
        <f>$F64</f>
        <v>Park Manor of CyFair</v>
      </c>
      <c r="D66" s="3" t="str">
        <f t="shared" si="44"/>
        <v>A_BEDS_TOTAL - Total Available Beds</v>
      </c>
      <c r="F66" s="19" t="str">
        <f>_xll.EVDES(D66)</f>
        <v>Total Available Beds</v>
      </c>
      <c r="G66" s="61">
        <f ca="1">SUMIFS(OFFSET('BPC Data'!$F:$F,0,Summary!G$2),'BPC Data'!$E:$E,Summary!$D66,'BPC Data'!$B:$B,Summary!$C66)</f>
        <v>120</v>
      </c>
      <c r="H66" s="65">
        <f ca="1">SUMIFS(OFFSET('BPC Data'!$F:$F,0,Summary!H$2),'BPC Data'!$E:$E,Summary!$D66,'BPC Data'!$B:$B,Summary!$C66)</f>
        <v>120</v>
      </c>
      <c r="I66" s="61">
        <f ca="1">SUMIFS(OFFSET('BPC Data'!$F:$F,0,Summary!I$2),'BPC Data'!$E:$E,Summary!$D66,'BPC Data'!$B:$B,Summary!$C66)</f>
        <v>120</v>
      </c>
      <c r="J66" s="65">
        <f ca="1">SUMIFS(OFFSET('BPC Data'!$F:$F,0,Summary!J$2),'BPC Data'!$E:$E,Summary!$D66,'BPC Data'!$B:$B,Summary!$C66)</f>
        <v>120</v>
      </c>
      <c r="K66" s="61">
        <f ca="1">SUMIFS(OFFSET('BPC Data'!$F:$F,0,Summary!K$2),'BPC Data'!$E:$E,Summary!$D66,'BPC Data'!$B:$B,Summary!$C66)</f>
        <v>120</v>
      </c>
      <c r="L66" s="65">
        <f ca="1">SUMIFS(OFFSET('BPC Data'!$F:$F,0,Summary!L$2),'BPC Data'!$E:$E,Summary!$D66,'BPC Data'!$B:$B,Summary!$C66)</f>
        <v>120</v>
      </c>
      <c r="M66" s="61">
        <f ca="1">SUMIFS(OFFSET('BPC Data'!$F:$F,0,Summary!M$2),'BPC Data'!$E:$E,Summary!$D66,'BPC Data'!$B:$B,Summary!$C66)</f>
        <v>120</v>
      </c>
      <c r="N66" s="65">
        <f ca="1">SUMIFS(OFFSET('BPC Data'!$F:$F,0,Summary!N$2),'BPC Data'!$E:$E,Summary!$D66,'BPC Data'!$B:$B,Summary!$C66)</f>
        <v>120</v>
      </c>
      <c r="O66" s="61">
        <f ca="1">SUMIFS(OFFSET('BPC Data'!$F:$F,0,Summary!O$2),'BPC Data'!$E:$E,Summary!$D66,'BPC Data'!$B:$B,Summary!$C66)</f>
        <v>120</v>
      </c>
      <c r="P66" s="65">
        <f ca="1">SUMIFS(OFFSET('BPC Data'!$F:$F,0,Summary!P$2),'BPC Data'!$E:$E,Summary!$D66,'BPC Data'!$B:$B,Summary!$C66)</f>
        <v>120</v>
      </c>
      <c r="Q66" s="61">
        <f ca="1">SUMIFS(OFFSET('BPC Data'!$F:$F,0,Summary!Q$2),'BPC Data'!$E:$E,Summary!$D66,'BPC Data'!$B:$B,Summary!$C66)</f>
        <v>120</v>
      </c>
      <c r="R66" s="65">
        <f ca="1">SUMIFS(OFFSET('BPC Data'!$F:$F,0,Summary!R$2),'BPC Data'!$E:$E,Summary!$D66,'BPC Data'!$B:$B,Summary!$C66)</f>
        <v>120</v>
      </c>
      <c r="S66" s="23">
        <f ca="1">+R66</f>
        <v>120</v>
      </c>
      <c r="T66" s="74"/>
      <c r="U66" s="54"/>
      <c r="V66" s="48"/>
      <c r="AJ66" s="49"/>
      <c r="AK66" s="49"/>
      <c r="AL66" s="49"/>
      <c r="AM66" s="49"/>
      <c r="AN66" s="49"/>
      <c r="AO66" s="49"/>
      <c r="AP66" s="49"/>
      <c r="AQ66" s="49"/>
      <c r="AR66" s="49"/>
      <c r="AS66" s="49"/>
      <c r="AT66" s="49"/>
      <c r="AU66" s="49"/>
    </row>
    <row r="67" spans="1:47" s="12" customFormat="1">
      <c r="A67" s="12">
        <f t="shared" si="126"/>
        <v>6</v>
      </c>
      <c r="B67"/>
      <c r="C67" t="str">
        <f>$F64</f>
        <v>Park Manor of CyFair</v>
      </c>
      <c r="D67" s="3" t="str">
        <f t="shared" si="44"/>
        <v>T_REVENUES - Total Tenant Revenues</v>
      </c>
      <c r="E67"/>
      <c r="F67" s="19" t="str">
        <f>_xll.EVDES(D67)</f>
        <v>Total Tenant Revenues</v>
      </c>
      <c r="G67" s="61">
        <f ca="1">SUMIFS(OFFSET('BPC Data'!$F:$F,0,Summary!G$2),'BPC Data'!$E:$E,Summary!$D67,'BPC Data'!$B:$B,Summary!$C67)</f>
        <v>820389</v>
      </c>
      <c r="H67" s="65">
        <f ca="1">SUMIFS(OFFSET('BPC Data'!$F:$F,0,Summary!H$2),'BPC Data'!$E:$E,Summary!$D67,'BPC Data'!$B:$B,Summary!$C67)</f>
        <v>764628</v>
      </c>
      <c r="I67" s="61">
        <f ca="1">SUMIFS(OFFSET('BPC Data'!$F:$F,0,Summary!I$2),'BPC Data'!$E:$E,Summary!$D67,'BPC Data'!$B:$B,Summary!$C67)</f>
        <v>894552</v>
      </c>
      <c r="J67" s="65">
        <f ca="1">SUMIFS(OFFSET('BPC Data'!$F:$F,0,Summary!J$2),'BPC Data'!$E:$E,Summary!$D67,'BPC Data'!$B:$B,Summary!$C67)</f>
        <v>828968</v>
      </c>
      <c r="K67" s="61">
        <f ca="1">SUMIFS(OFFSET('BPC Data'!$F:$F,0,Summary!K$2),'BPC Data'!$E:$E,Summary!$D67,'BPC Data'!$B:$B,Summary!$C67)</f>
        <v>825996</v>
      </c>
      <c r="L67" s="65">
        <f ca="1">SUMIFS(OFFSET('BPC Data'!$F:$F,0,Summary!L$2),'BPC Data'!$E:$E,Summary!$D67,'BPC Data'!$B:$B,Summary!$C67)</f>
        <v>858486</v>
      </c>
      <c r="M67" s="61">
        <f ca="1">SUMIFS(OFFSET('BPC Data'!$F:$F,0,Summary!M$2),'BPC Data'!$E:$E,Summary!$D67,'BPC Data'!$B:$B,Summary!$C67)</f>
        <v>780991</v>
      </c>
      <c r="N67" s="65">
        <f ca="1">SUMIFS(OFFSET('BPC Data'!$F:$F,0,Summary!N$2),'BPC Data'!$E:$E,Summary!$D67,'BPC Data'!$B:$B,Summary!$C67)</f>
        <v>979266</v>
      </c>
      <c r="O67" s="61">
        <f ca="1">SUMIFS(OFFSET('BPC Data'!$F:$F,0,Summary!O$2),'BPC Data'!$E:$E,Summary!$D67,'BPC Data'!$B:$B,Summary!$C67)</f>
        <v>923823</v>
      </c>
      <c r="P67" s="65">
        <f ca="1">SUMIFS(OFFSET('BPC Data'!$F:$F,0,Summary!P$2),'BPC Data'!$E:$E,Summary!$D67,'BPC Data'!$B:$B,Summary!$C67)</f>
        <v>851548</v>
      </c>
      <c r="Q67" s="61">
        <f ca="1">SUMIFS(OFFSET('BPC Data'!$F:$F,0,Summary!Q$2),'BPC Data'!$E:$E,Summary!$D67,'BPC Data'!$B:$B,Summary!$C67)</f>
        <v>782276</v>
      </c>
      <c r="R67" s="65">
        <f ca="1">SUMIFS(OFFSET('BPC Data'!$F:$F,0,Summary!R$2),'BPC Data'!$E:$E,Summary!$D67,'BPC Data'!$B:$B,Summary!$C67)</f>
        <v>847556</v>
      </c>
      <c r="S67" s="23">
        <f t="shared" ref="S67:S73" ca="1" si="127">SUM(G67:R67)</f>
        <v>10158479</v>
      </c>
      <c r="T67" s="74">
        <f ca="1">SUM(W67:AH67)</f>
        <v>10044184.540000005</v>
      </c>
      <c r="U67" s="54">
        <f ca="1">T67-S67</f>
        <v>-114294.45999999531</v>
      </c>
      <c r="V67" s="48"/>
      <c r="W67" s="4">
        <f ca="1">SUMIFS(INDIRECT("'"&amp;$W$63&amp;"'"&amp;"!$B$64:$B$5000"),INDIRECT("'"&amp;$W$63&amp;"'"&amp;"!$A$64:$A$5000"),$V$1)-SUMIFS(INDIRECT("'"&amp;$W$63&amp;"'"&amp;"!$B$64:$B$5000"),INDIRECT("'"&amp;$W$63&amp;"'"&amp;"!$A$64:$A$5000"),$V$2)-SUMIFS(INDIRECT("'"&amp;$W$63&amp;"'"&amp;"!$B$64:$B$5000"),INDIRECT("'"&amp;$W$63&amp;"'"&amp;"!$A$64:$A$5000"),$V$3)-SUMIFS(INDIRECT("'"&amp;$W$63&amp;"'"&amp;"!$B$64:$B$5000"),INDIRECT("'"&amp;$W$63&amp;"'"&amp;"!$A$64:$A$5000"),$X$4)-SUMIFS(INDIRECT("'"&amp;$W$63&amp;"'"&amp;"!$B$64:$B$5000"),INDIRECT("'"&amp;$W$63&amp;"'"&amp;"!$A$64:$A$5000"),$X$3)</f>
        <v>820389.3199999996</v>
      </c>
      <c r="X67" s="4">
        <f ca="1">SUMIFS(INDIRECT("'"&amp;$W$63&amp;"'"&amp;"!$c$64:$c$5000"),INDIRECT("'"&amp;$W$63&amp;"'"&amp;"!$A$64:$A$5000"),$V$1)-SUMIFS(INDIRECT("'"&amp;$W$63&amp;"'"&amp;"!$c$64:$c$5000"),INDIRECT("'"&amp;$W$63&amp;"'"&amp;"!$A$64:$A$5000"),$V$2)-SUMIFS(INDIRECT("'"&amp;$W$63&amp;"'"&amp;"!$c$64:$c$5000"),INDIRECT("'"&amp;$W$63&amp;"'"&amp;"!$A$64:$A$5000"),$V$3)-SUMIFS(INDIRECT("'"&amp;$W$63&amp;"'"&amp;"!$c$64:$c$5000"),INDIRECT("'"&amp;$W$63&amp;"'"&amp;"!$A$64:$A$5000"),$X$4)-SUMIFS(INDIRECT("'"&amp;$W$63&amp;"'"&amp;"!$c$64:$c$5000"),INDIRECT("'"&amp;$W$63&amp;"'"&amp;"!$A$64:$A$5000"),$X$3)</f>
        <v>764628.22000000067</v>
      </c>
      <c r="Y67" s="4">
        <f ca="1">SUMIFS(INDIRECT("'"&amp;$W$63&amp;"'"&amp;"!$d$64:$d$5000"),INDIRECT("'"&amp;$W$63&amp;"'"&amp;"!$A$64:$A$5000"),$V$1)-SUMIFS(INDIRECT("'"&amp;$W$63&amp;"'"&amp;"!$d$64:$d$5000"),INDIRECT("'"&amp;$W$63&amp;"'"&amp;"!$A$64:$A$5000"),$V$2)-SUMIFS(INDIRECT("'"&amp;$W$63&amp;"'"&amp;"!$d$64:$d$5000"),INDIRECT("'"&amp;$W$63&amp;"'"&amp;"!$A$64:$A$5000"),$V$3)-SUMIFS(INDIRECT("'"&amp;$W$63&amp;"'"&amp;"!$d$64:$d$5000"),INDIRECT("'"&amp;$W$63&amp;"'"&amp;"!$A$64:$A$5000"),$X$4)-SUMIFS(INDIRECT("'"&amp;$W$63&amp;"'"&amp;"!$d$64:$d$5000"),INDIRECT("'"&amp;$W$63&amp;"'"&amp;"!$A$64:$A$5000"),$X$3)</f>
        <v>894551.2700000013</v>
      </c>
      <c r="Z67" s="4">
        <f ca="1">SUMIFS(INDIRECT("'"&amp;$W$63&amp;"'"&amp;"!$e$64:$e$5000"),INDIRECT("'"&amp;$W$63&amp;"'"&amp;"!$A$64:$A$5000"),$V$1)-SUMIFS(INDIRECT("'"&amp;$W$63&amp;"'"&amp;"!$e$64:$e$5000"),INDIRECT("'"&amp;$W$63&amp;"'"&amp;"!$A$64:$A$5000"),$V$2)-SUMIFS(INDIRECT("'"&amp;$W$63&amp;"'"&amp;"!$e$64:$e$5000"),INDIRECT("'"&amp;$W$63&amp;"'"&amp;"!$A$64:$A$5000"),$V$3)-SUMIFS(INDIRECT("'"&amp;$W$63&amp;"'"&amp;"!$e$64:$e$5000"),INDIRECT("'"&amp;$W$63&amp;"'"&amp;"!$A$64:$A$5000"),$X$4)-SUMIFS(INDIRECT("'"&amp;$W$63&amp;"'"&amp;"!$e$64:$e$5000"),INDIRECT("'"&amp;$W$63&amp;"'"&amp;"!$A$64:$A$5000"),$X$3)</f>
        <v>828967.64999999991</v>
      </c>
      <c r="AA67" s="4">
        <f ca="1">SUMIFS(INDIRECT("'"&amp;$W$63&amp;"'"&amp;"!$f$64:$f$5000"),INDIRECT("'"&amp;$W$63&amp;"'"&amp;"!$A$64:$A$5000"),$V$1)-SUMIFS(INDIRECT("'"&amp;$W$63&amp;"'"&amp;"!$f$64:$f$5000"),INDIRECT("'"&amp;$W$63&amp;"'"&amp;"!$A$64:$A$5000"),$V$2)-SUMIFS(INDIRECT("'"&amp;$W$63&amp;"'"&amp;"!$f$64:$f$5000"),INDIRECT("'"&amp;$W$63&amp;"'"&amp;"!$A$64:$A$5000"),$V$3)-SUMIFS(INDIRECT("'"&amp;$W$63&amp;"'"&amp;"!$f$64:$f$5000"),INDIRECT("'"&amp;$W$63&amp;"'"&amp;"!$A$64:$A$5000"),$X$4)-SUMIFS(INDIRECT("'"&amp;$W$63&amp;"'"&amp;"!$f$64:$f$5000"),INDIRECT("'"&amp;$W$63&amp;"'"&amp;"!$A$64:$A$5000"),$X$3)</f>
        <v>711703.69999999891</v>
      </c>
      <c r="AB67" s="4">
        <f ca="1">SUMIFS(INDIRECT("'"&amp;$W$63&amp;"'"&amp;"!$g$64:$g$5000"),INDIRECT("'"&amp;$W$63&amp;"'"&amp;"!$A$64:$A$5000"),$V$1)-SUMIFS(INDIRECT("'"&amp;$W$63&amp;"'"&amp;"!$g$64:$g$5000"),INDIRECT("'"&amp;$W$63&amp;"'"&amp;"!$A$64:$A$5000"),$V$2)-SUMIFS(INDIRECT("'"&amp;$W$63&amp;"'"&amp;"!$g$64:$g$5000"),INDIRECT("'"&amp;$W$63&amp;"'"&amp;"!$A$64:$A$5000"),$V$3)-SUMIFS(INDIRECT("'"&amp;$W$63&amp;"'"&amp;"!$g$64:$g$5000"),INDIRECT("'"&amp;$W$63&amp;"'"&amp;"!$A$64:$A$5000"),$X$4)-SUMIFS(INDIRECT("'"&amp;$W$63&amp;"'"&amp;"!$g$64:$g$5000"),INDIRECT("'"&amp;$W$63&amp;"'"&amp;"!$A$64:$A$5000"),$X$3)</f>
        <v>858485.570000001</v>
      </c>
      <c r="AC67" s="4">
        <f ca="1">SUMIFS(INDIRECT("'"&amp;$W$63&amp;"'"&amp;"!$h$64:$h$5000"),INDIRECT("'"&amp;$W$63&amp;"'"&amp;"!$A$64:$A$5000"),$V$1)-SUMIFS(INDIRECT("'"&amp;$W$63&amp;"'"&amp;"!$h$64:$h$5000"),INDIRECT("'"&amp;$W$63&amp;"'"&amp;"!$A$64:$A$5000"),$V$2)-SUMIFS(INDIRECT("'"&amp;$W$63&amp;"'"&amp;"!$h$64:$h$5000"),INDIRECT("'"&amp;$W$63&amp;"'"&amp;"!$A$64:$A$5000"),$V$3)-SUMIFS(INDIRECT("'"&amp;$W$63&amp;"'"&amp;"!$h$64:$h$5000"),INDIRECT("'"&amp;$W$63&amp;"'"&amp;"!$A$64:$A$5000"),$X$4)-SUMIFS(INDIRECT("'"&amp;$W$63&amp;"'"&amp;"!$h$64:$h$5000"),INDIRECT("'"&amp;$W$63&amp;"'"&amp;"!$A$64:$A$5000"),$X$3)</f>
        <v>780991.05000000156</v>
      </c>
      <c r="AD67" s="4">
        <f ca="1">SUMIFS(INDIRECT("'"&amp;$W$63&amp;"'"&amp;"!$i$64:$i$5000"),INDIRECT("'"&amp;$W$63&amp;"'"&amp;"!$A$64:$A$5000"),$V$1)-SUMIFS(INDIRECT("'"&amp;$W$63&amp;"'"&amp;"!$i$64:$i$5000"),INDIRECT("'"&amp;$W$63&amp;"'"&amp;"!$A$64:$A$5000"),$V$2)-SUMIFS(INDIRECT("'"&amp;$W$63&amp;"'"&amp;"!$i$64:$i$5000"),INDIRECT("'"&amp;$W$63&amp;"'"&amp;"!$A$64:$A$5000"),$V$3)-SUMIFS(INDIRECT("'"&amp;$W$63&amp;"'"&amp;"!$i$64:$i$5000"),INDIRECT("'"&amp;$W$63&amp;"'"&amp;"!$A$64:$A$5000"),$X$4)-SUMIFS(INDIRECT("'"&amp;$W$63&amp;"'"&amp;"!$i$64:$i$5000"),INDIRECT("'"&amp;$W$63&amp;"'"&amp;"!$A$64:$A$5000"),$X$3)</f>
        <v>979266.08000000054</v>
      </c>
      <c r="AE67" s="4">
        <f ca="1">SUMIFS(INDIRECT("'"&amp;$W$63&amp;"'"&amp;"!$j$64:$j$5000"),INDIRECT("'"&amp;$W$63&amp;"'"&amp;"!$A$64:$A$5000"),$V$1)-SUMIFS(INDIRECT("'"&amp;$W$63&amp;"'"&amp;"!$j$64:$j$5000"),INDIRECT("'"&amp;$W$63&amp;"'"&amp;"!$A$64:$A$5000"),$V$2)-SUMIFS(INDIRECT("'"&amp;$W$63&amp;"'"&amp;"!$j$64:$j$5000"),INDIRECT("'"&amp;$W$63&amp;"'"&amp;"!$A$64:$A$5000"),$V$3)-SUMIFS(INDIRECT("'"&amp;$W$63&amp;"'"&amp;"!$j$64:$j$5000"),INDIRECT("'"&amp;$W$63&amp;"'"&amp;"!$A$64:$A$5000"),$X$4)-SUMIFS(INDIRECT("'"&amp;$W$63&amp;"'"&amp;"!$j$64:$j$5000"),INDIRECT("'"&amp;$W$63&amp;"'"&amp;"!$A$64:$A$5000"),$X$3)</f>
        <v>923822.91000000096</v>
      </c>
      <c r="AF67" s="4">
        <f ca="1">SUMIFS(INDIRECT("'"&amp;$W$63&amp;"'"&amp;"!$k$64:$k$5000"),INDIRECT("'"&amp;$W$63&amp;"'"&amp;"!$A$64:$A$5000"),$V$1)-SUMIFS(INDIRECT("'"&amp;$W$63&amp;"'"&amp;"!$k$64:$k$5000"),INDIRECT("'"&amp;$W$63&amp;"'"&amp;"!$A$64:$A$5000"),$V$2)-SUMIFS(INDIRECT("'"&amp;$W$63&amp;"'"&amp;"!$k$64:$k$5000"),INDIRECT("'"&amp;$W$63&amp;"'"&amp;"!$A$64:$A$5000"),$V$3)-SUMIFS(INDIRECT("'"&amp;$W$63&amp;"'"&amp;"!$k$64:$k$5000"),INDIRECT("'"&amp;$W$63&amp;"'"&amp;"!$A$64:$A$5000"),$X$4)-SUMIFS(INDIRECT("'"&amp;$W$63&amp;"'"&amp;"!$k$64:$k$5000"),INDIRECT("'"&amp;$W$63&amp;"'"&amp;"!$A$64:$A$5000"),$X$3)</f>
        <v>851548.53999999969</v>
      </c>
      <c r="AG67" s="4">
        <f ca="1">SUMIFS(INDIRECT("'"&amp;$W$63&amp;"'"&amp;"!$l$64:$l$5000"),INDIRECT("'"&amp;$W$63&amp;"'"&amp;"!$A$64:$A$5000"),$V$1)-SUMIFS(INDIRECT("'"&amp;$W$63&amp;"'"&amp;"!$l$64:$l$5000"),INDIRECT("'"&amp;$W$63&amp;"'"&amp;"!$A$64:$A$5000"),$V$2)-SUMIFS(INDIRECT("'"&amp;$W$63&amp;"'"&amp;"!$l$64:$l$5000"),INDIRECT("'"&amp;$W$63&amp;"'"&amp;"!$A$64:$A$5000"),$V$3)-SUMIFS(INDIRECT("'"&amp;$W$63&amp;"'"&amp;"!$l$64:$l$5000"),INDIRECT("'"&amp;$W$63&amp;"'"&amp;"!$A$64:$A$5000"),$X$4)-SUMIFS(INDIRECT("'"&amp;$W$63&amp;"'"&amp;"!$l$64:$l$5000"),INDIRECT("'"&amp;$W$63&amp;"'"&amp;"!$A$64:$A$5000"),$X$3)</f>
        <v>782275.23999999953</v>
      </c>
      <c r="AH67" s="4">
        <f ca="1">SUMIFS(INDIRECT("'"&amp;$W$63&amp;"'"&amp;"!$m$64:$m$5000"),INDIRECT("'"&amp;$W$63&amp;"'"&amp;"!$A$64:$A$5000"),$V$1)-SUMIFS(INDIRECT("'"&amp;$W$63&amp;"'"&amp;"!$m$64:$m$5000"),INDIRECT("'"&amp;$W$63&amp;"'"&amp;"!$A$64:$A$5000"),$V$2)-SUMIFS(INDIRECT("'"&amp;$W$63&amp;"'"&amp;"!$m$64:$m$5000"),INDIRECT("'"&amp;$W$63&amp;"'"&amp;"!$A$64:$A$5000"),$V$3)-SUMIFS(INDIRECT("'"&amp;$W$63&amp;"'"&amp;"!$m$64:$m$5000"),INDIRECT("'"&amp;$W$63&amp;"'"&amp;"!$A$64:$A$5000"),$X$4)-SUMIFS(INDIRECT("'"&amp;$W$63&amp;"'"&amp;"!$m$64:$m$5000"),INDIRECT("'"&amp;$W$63&amp;"'"&amp;"!$A$64:$A$5000"),$X$3)</f>
        <v>847554.99000000022</v>
      </c>
      <c r="AJ67" s="14">
        <f t="shared" ref="AJ67:AU68" ca="1" si="128">W67-G67</f>
        <v>0.31999999959953129</v>
      </c>
      <c r="AK67" s="14">
        <f t="shared" ca="1" si="128"/>
        <v>0.22000000067055225</v>
      </c>
      <c r="AL67" s="14">
        <f t="shared" ca="1" si="128"/>
        <v>-0.72999999870080501</v>
      </c>
      <c r="AM67" s="14">
        <f t="shared" ca="1" si="128"/>
        <v>-0.35000000009313226</v>
      </c>
      <c r="AN67" s="14">
        <f t="shared" ca="1" si="128"/>
        <v>-114292.30000000109</v>
      </c>
      <c r="AO67" s="14">
        <f t="shared" ca="1" si="128"/>
        <v>-0.42999999900348485</v>
      </c>
      <c r="AP67" s="14">
        <f t="shared" ca="1" si="128"/>
        <v>5.0000001559965312E-2</v>
      </c>
      <c r="AQ67" s="14">
        <f t="shared" ca="1" si="128"/>
        <v>8.0000000540167093E-2</v>
      </c>
      <c r="AR67" s="14">
        <f t="shared" ca="1" si="128"/>
        <v>-8.9999999036081135E-2</v>
      </c>
      <c r="AS67" s="14">
        <f t="shared" ca="1" si="128"/>
        <v>0.53999999968800694</v>
      </c>
      <c r="AT67" s="14">
        <f t="shared" ca="1" si="128"/>
        <v>-0.76000000047497451</v>
      </c>
      <c r="AU67" s="14">
        <f t="shared" ca="1" si="128"/>
        <v>-1.0099999997764826</v>
      </c>
    </row>
    <row r="68" spans="1:47" s="12" customFormat="1">
      <c r="A68" s="12">
        <f t="shared" si="126"/>
        <v>6</v>
      </c>
      <c r="B68"/>
      <c r="C68" t="str">
        <f>$F64</f>
        <v>Park Manor of CyFair</v>
      </c>
      <c r="D68" s="3" t="str">
        <f t="shared" si="44"/>
        <v>T_OPEX - Tenant Operating Expenses</v>
      </c>
      <c r="E68"/>
      <c r="F68" s="19" t="str">
        <f>_xll.EVDES(D68)</f>
        <v>Tenant Operating Expenses</v>
      </c>
      <c r="G68" s="61">
        <f ca="1">SUMIFS(OFFSET('BPC Data'!$F:$F,0,Summary!G$2),'BPC Data'!$E:$E,Summary!$D68,'BPC Data'!$B:$B,Summary!$C68)</f>
        <v>639806</v>
      </c>
      <c r="H68" s="65">
        <f ca="1">SUMIFS(OFFSET('BPC Data'!$F:$F,0,Summary!H$2),'BPC Data'!$E:$E,Summary!$D68,'BPC Data'!$B:$B,Summary!$C68)</f>
        <v>636443</v>
      </c>
      <c r="I68" s="61">
        <f ca="1">SUMIFS(OFFSET('BPC Data'!$F:$F,0,Summary!I$2),'BPC Data'!$E:$E,Summary!$D68,'BPC Data'!$B:$B,Summary!$C68)</f>
        <v>675283</v>
      </c>
      <c r="J68" s="65">
        <f ca="1">SUMIFS(OFFSET('BPC Data'!$F:$F,0,Summary!J$2),'BPC Data'!$E:$E,Summary!$D68,'BPC Data'!$B:$B,Summary!$C68)</f>
        <v>630980</v>
      </c>
      <c r="K68" s="61">
        <f ca="1">SUMIFS(OFFSET('BPC Data'!$F:$F,0,Summary!K$2),'BPC Data'!$E:$E,Summary!$D68,'BPC Data'!$B:$B,Summary!$C68)</f>
        <v>529343</v>
      </c>
      <c r="L68" s="65">
        <f ca="1">SUMIFS(OFFSET('BPC Data'!$F:$F,0,Summary!L$2),'BPC Data'!$E:$E,Summary!$D68,'BPC Data'!$B:$B,Summary!$C68)</f>
        <v>601548</v>
      </c>
      <c r="M68" s="61">
        <f ca="1">SUMIFS(OFFSET('BPC Data'!$F:$F,0,Summary!M$2),'BPC Data'!$E:$E,Summary!$D68,'BPC Data'!$B:$B,Summary!$C68)</f>
        <v>643934</v>
      </c>
      <c r="N68" s="65">
        <f ca="1">SUMIFS(OFFSET('BPC Data'!$F:$F,0,Summary!N$2),'BPC Data'!$E:$E,Summary!$D68,'BPC Data'!$B:$B,Summary!$C68)</f>
        <v>673637</v>
      </c>
      <c r="O68" s="61">
        <f ca="1">SUMIFS(OFFSET('BPC Data'!$F:$F,0,Summary!O$2),'BPC Data'!$E:$E,Summary!$D68,'BPC Data'!$B:$B,Summary!$C68)</f>
        <v>679109</v>
      </c>
      <c r="P68" s="65">
        <f ca="1">SUMIFS(OFFSET('BPC Data'!$F:$F,0,Summary!P$2),'BPC Data'!$E:$E,Summary!$D68,'BPC Data'!$B:$B,Summary!$C68)</f>
        <v>629327</v>
      </c>
      <c r="Q68" s="61">
        <f ca="1">SUMIFS(OFFSET('BPC Data'!$F:$F,0,Summary!Q$2),'BPC Data'!$E:$E,Summary!$D68,'BPC Data'!$B:$B,Summary!$C68)</f>
        <v>611333</v>
      </c>
      <c r="R68" s="65">
        <f ca="1">SUMIFS(OFFSET('BPC Data'!$F:$F,0,Summary!R$2),'BPC Data'!$E:$E,Summary!$D68,'BPC Data'!$B:$B,Summary!$C68)</f>
        <v>647076</v>
      </c>
      <c r="S68" s="23">
        <f t="shared" ca="1" si="127"/>
        <v>7597819</v>
      </c>
      <c r="T68" s="74">
        <f ca="1">SUM(W68:AH68)</f>
        <v>7615420.1100000003</v>
      </c>
      <c r="U68" s="54">
        <f ca="1">T68-S68</f>
        <v>17601.110000000335</v>
      </c>
      <c r="V68" s="48"/>
      <c r="W68" s="4">
        <f ca="1">SUMIFS(INDIRECT("'"&amp;$W$63&amp;"'"&amp;"!$B$64:$B$5000"),INDIRECT("'"&amp;$W$63&amp;"'"&amp;"!$A$64:$A$5000"),$V$4)-SUMIFS(INDIRECT("'"&amp;$W$63&amp;"'"&amp;"!$B$64:$B$5000"),INDIRECT("'"&amp;$W$63&amp;"'"&amp;"!$A$64:$A$5000"),$V$5)-SUMIFS(INDIRECT("'"&amp;$W$63&amp;"'"&amp;"!$B$64:$B$5000"),INDIRECT("'"&amp;$W$63&amp;"'"&amp;"!$A$64:$A$5000"),$V$6)-SUMIFS(INDIRECT("'"&amp;$W$63&amp;"'"&amp;"!$B$64:$B$5000"),INDIRECT("'"&amp;$W$63&amp;"'"&amp;"!$A$64:$A$5000"),$W$6)-SUMIFS(INDIRECT("'"&amp;$W$63&amp;"'"&amp;"!$B$64:$B$5000"),INDIRECT("'"&amp;$W$63&amp;"'"&amp;"!$A$64:$A$5000"),$W$7)-SUMIFS(INDIRECT("'"&amp;$W$63&amp;"'"&amp;"!$B$64:$B$5000"),INDIRECT("'"&amp;$W$63&amp;"'"&amp;"!$A$64:$A$5000"),$X$3)-W73-W71</f>
        <v>639804.32000000041</v>
      </c>
      <c r="X68" s="4">
        <f ca="1">SUMIFS(INDIRECT("'"&amp;$W$63&amp;"'"&amp;"!$c$64:$c$5000"),INDIRECT("'"&amp;$W$63&amp;"'"&amp;"!$A$64:$A$5000"),$V$4)-SUMIFS(INDIRECT("'"&amp;$W$63&amp;"'"&amp;"!$c$64:$c$5000"),INDIRECT("'"&amp;$W$63&amp;"'"&amp;"!$A$64:$A$5000"),$V$5)-SUMIFS(INDIRECT("'"&amp;$W$63&amp;"'"&amp;"!$c$64:$c$5000"),INDIRECT("'"&amp;$W$63&amp;"'"&amp;"!$A$64:$A$5000"),$V$6)-SUMIFS(INDIRECT("'"&amp;$W$63&amp;"'"&amp;"!$c$64:$c$5000"),INDIRECT("'"&amp;$W$63&amp;"'"&amp;"!$A$64:$A$5000"),$W$6)-SUMIFS(INDIRECT("'"&amp;$W$63&amp;"'"&amp;"!$c$64:$c$5000"),INDIRECT("'"&amp;$W$63&amp;"'"&amp;"!$A$64:$A$5000"),$W$7)-SUMIFS(INDIRECT("'"&amp;$W$63&amp;"'"&amp;"!$c$64:$c$5000"),INDIRECT("'"&amp;$W$63&amp;"'"&amp;"!$A$64:$A$5000"),$X$3)-X73-X71</f>
        <v>636442.00999999978</v>
      </c>
      <c r="Y68" s="4">
        <f ca="1">SUMIFS(INDIRECT("'"&amp;$W$63&amp;"'"&amp;"!$d$64:$d$5000"),INDIRECT("'"&amp;$W$63&amp;"'"&amp;"!$A$64:$A$5000"),$V$4)-SUMIFS(INDIRECT("'"&amp;$W$63&amp;"'"&amp;"!$d$64:$d$5000"),INDIRECT("'"&amp;$W$63&amp;"'"&amp;"!$A$64:$A$5000"),$V$5)-SUMIFS(INDIRECT("'"&amp;$W$63&amp;"'"&amp;"!$d$64:$d$5000"),INDIRECT("'"&amp;$W$63&amp;"'"&amp;"!$A$64:$A$5000"),$V$6)-SUMIFS(INDIRECT("'"&amp;$W$63&amp;"'"&amp;"!$d$64:$d$5000"),INDIRECT("'"&amp;$W$63&amp;"'"&amp;"!$A$64:$A$5000"),$W$6)-SUMIFS(INDIRECT("'"&amp;$W$63&amp;"'"&amp;"!$d$64:$d$5000"),INDIRECT("'"&amp;$W$63&amp;"'"&amp;"!$A$64:$A$5000"),$W$7)-SUMIFS(INDIRECT("'"&amp;$W$63&amp;"'"&amp;"!$d$64:$d$5000"),INDIRECT("'"&amp;$W$63&amp;"'"&amp;"!$A$64:$A$5000"),$X$3)-Y73-Y71</f>
        <v>675281.54</v>
      </c>
      <c r="Z68" s="4">
        <f ca="1">SUMIFS(INDIRECT("'"&amp;$W$63&amp;"'"&amp;"!$e$64:$e$5000"),INDIRECT("'"&amp;$W$63&amp;"'"&amp;"!$A$64:$A$5000"),$V$4)-SUMIFS(INDIRECT("'"&amp;$W$63&amp;"'"&amp;"!$e$64:$e$5000"),INDIRECT("'"&amp;$W$63&amp;"'"&amp;"!$A$64:$A$5000"),$V$5)-SUMIFS(INDIRECT("'"&amp;$W$63&amp;"'"&amp;"!$e$64:$e$5000"),INDIRECT("'"&amp;$W$63&amp;"'"&amp;"!$A$64:$A$5000"),$V$6)-SUMIFS(INDIRECT("'"&amp;$W$63&amp;"'"&amp;"!$e$64:$e$5000"),INDIRECT("'"&amp;$W$63&amp;"'"&amp;"!$A$64:$A$5000"),$W$6)-SUMIFS(INDIRECT("'"&amp;$W$63&amp;"'"&amp;"!$e$64:$e$5000"),INDIRECT("'"&amp;$W$63&amp;"'"&amp;"!$A$64:$A$5000"),$W$7)-SUMIFS(INDIRECT("'"&amp;$W$63&amp;"'"&amp;"!$e$64:$e$5000"),INDIRECT("'"&amp;$W$63&amp;"'"&amp;"!$A$64:$A$5000"),$X$3)-Z73-Z71</f>
        <v>630979.64999999967</v>
      </c>
      <c r="AA68" s="4">
        <f ca="1">SUMIFS(INDIRECT("'"&amp;$W$63&amp;"'"&amp;"!$f$64:$f$5000"),INDIRECT("'"&amp;$W$63&amp;"'"&amp;"!$A$64:$A$5000"),$V$4)-SUMIFS(INDIRECT("'"&amp;$W$63&amp;"'"&amp;"!$f$64:$f$5000"),INDIRECT("'"&amp;$W$63&amp;"'"&amp;"!$A$64:$A$5000"),$V$5)-SUMIFS(INDIRECT("'"&amp;$W$63&amp;"'"&amp;"!$f$64:$f$5000"),INDIRECT("'"&amp;$W$63&amp;"'"&amp;"!$A$64:$A$5000"),$V$6)-SUMIFS(INDIRECT("'"&amp;$W$63&amp;"'"&amp;"!$f$64:$f$5000"),INDIRECT("'"&amp;$W$63&amp;"'"&amp;"!$A$64:$A$5000"),$W$6)-SUMIFS(INDIRECT("'"&amp;$W$63&amp;"'"&amp;"!$f$64:$f$5000"),INDIRECT("'"&amp;$W$63&amp;"'"&amp;"!$A$64:$A$5000"),$W$7)-SUMIFS(INDIRECT("'"&amp;$W$63&amp;"'"&amp;"!$f$64:$f$5000"),INDIRECT("'"&amp;$W$63&amp;"'"&amp;"!$A$64:$A$5000"),$X$3)-AA73-AA71</f>
        <v>546949.59999999963</v>
      </c>
      <c r="AB68" s="4">
        <f ca="1">SUMIFS(INDIRECT("'"&amp;$W$63&amp;"'"&amp;"!$g$64:$g$5000"),INDIRECT("'"&amp;$W$63&amp;"'"&amp;"!$A$64:$A$5000"),$V$4)-SUMIFS(INDIRECT("'"&amp;$W$63&amp;"'"&amp;"!$g$64:$g$5000"),INDIRECT("'"&amp;$W$63&amp;"'"&amp;"!$A$64:$A$5000"),$V$5)-SUMIFS(INDIRECT("'"&amp;$W$63&amp;"'"&amp;"!$g$64:$g$5000"),INDIRECT("'"&amp;$W$63&amp;"'"&amp;"!$A$64:$A$5000"),$V$6)-SUMIFS(INDIRECT("'"&amp;$W$63&amp;"'"&amp;"!$g$64:$g$5000"),INDIRECT("'"&amp;$W$63&amp;"'"&amp;"!$A$64:$A$5000"),$W$6)-SUMIFS(INDIRECT("'"&amp;$W$63&amp;"'"&amp;"!$g$64:$g$5000"),INDIRECT("'"&amp;$W$63&amp;"'"&amp;"!$A$64:$A$5000"),$W$7)-SUMIFS(INDIRECT("'"&amp;$W$63&amp;"'"&amp;"!$g$64:$g$5000"),INDIRECT("'"&amp;$W$63&amp;"'"&amp;"!$A$64:$A$5000"),$X$3)-AB73-AB71</f>
        <v>601547.90000000014</v>
      </c>
      <c r="AC68" s="4">
        <f ca="1">SUMIFS(INDIRECT("'"&amp;$W$63&amp;"'"&amp;"!$h$64:$h$5000"),INDIRECT("'"&amp;$W$63&amp;"'"&amp;"!$A$64:$A$5000"),$V$4)-SUMIFS(INDIRECT("'"&amp;$W$63&amp;"'"&amp;"!$h$64:$h$5000"),INDIRECT("'"&amp;$W$63&amp;"'"&amp;"!$A$64:$A$5000"),$V$5)-SUMIFS(INDIRECT("'"&amp;$W$63&amp;"'"&amp;"!$h$64:$h$5000"),INDIRECT("'"&amp;$W$63&amp;"'"&amp;"!$A$64:$A$5000"),$V$6)-SUMIFS(INDIRECT("'"&amp;$W$63&amp;"'"&amp;"!$h$64:$h$5000"),INDIRECT("'"&amp;$W$63&amp;"'"&amp;"!$A$64:$A$5000"),$W$6)-SUMIFS(INDIRECT("'"&amp;$W$63&amp;"'"&amp;"!$h$64:$h$5000"),INDIRECT("'"&amp;$W$63&amp;"'"&amp;"!$A$64:$A$5000"),$W$7)-SUMIFS(INDIRECT("'"&amp;$W$63&amp;"'"&amp;"!$h$64:$h$5000"),INDIRECT("'"&amp;$W$63&amp;"'"&amp;"!$A$64:$A$5000"),$X$3)-AC73-AC71</f>
        <v>643935.32000000041</v>
      </c>
      <c r="AD68" s="4">
        <f ca="1">SUMIFS(INDIRECT("'"&amp;$W$63&amp;"'"&amp;"!$i$64:$i$5000"),INDIRECT("'"&amp;$W$63&amp;"'"&amp;"!$A$64:$A$5000"),$V$4)-SUMIFS(INDIRECT("'"&amp;$W$63&amp;"'"&amp;"!$i$64:$i$5000"),INDIRECT("'"&amp;$W$63&amp;"'"&amp;"!$A$64:$A$5000"),$V$5)-SUMIFS(INDIRECT("'"&amp;$W$63&amp;"'"&amp;"!$i$64:$i$5000"),INDIRECT("'"&amp;$W$63&amp;"'"&amp;"!$A$64:$A$5000"),$V$6)-SUMIFS(INDIRECT("'"&amp;$W$63&amp;"'"&amp;"!$i$64:$i$5000"),INDIRECT("'"&amp;$W$63&amp;"'"&amp;"!$A$64:$A$5000"),$W$6)-SUMIFS(INDIRECT("'"&amp;$W$63&amp;"'"&amp;"!$i$64:$i$5000"),INDIRECT("'"&amp;$W$63&amp;"'"&amp;"!$A$64:$A$5000"),$W$7)-SUMIFS(INDIRECT("'"&amp;$W$63&amp;"'"&amp;"!$i$64:$i$5000"),INDIRECT("'"&amp;$W$63&amp;"'"&amp;"!$A$64:$A$5000"),$X$3)-AD73-AD71</f>
        <v>673636.11000000115</v>
      </c>
      <c r="AE68" s="4">
        <f ca="1">SUMIFS(INDIRECT("'"&amp;$W$63&amp;"'"&amp;"!$j$64:$j$5000"),INDIRECT("'"&amp;$W$63&amp;"'"&amp;"!$A$64:$A$5000"),$V$4)-SUMIFS(INDIRECT("'"&amp;$W$63&amp;"'"&amp;"!$j$64:$j$5000"),INDIRECT("'"&amp;$W$63&amp;"'"&amp;"!$A$64:$A$5000"),$V$5)-SUMIFS(INDIRECT("'"&amp;$W$63&amp;"'"&amp;"!$j$64:$j$5000"),INDIRECT("'"&amp;$W$63&amp;"'"&amp;"!$A$64:$A$5000"),$V$6)-SUMIFS(INDIRECT("'"&amp;$W$63&amp;"'"&amp;"!$j$64:$j$5000"),INDIRECT("'"&amp;$W$63&amp;"'"&amp;"!$A$64:$A$5000"),$W$6)-SUMIFS(INDIRECT("'"&amp;$W$63&amp;"'"&amp;"!$j$64:$j$5000"),INDIRECT("'"&amp;$W$63&amp;"'"&amp;"!$A$64:$A$5000"),$W$7)-SUMIFS(INDIRECT("'"&amp;$W$63&amp;"'"&amp;"!$j$64:$j$5000"),INDIRECT("'"&amp;$W$63&amp;"'"&amp;"!$A$64:$A$5000"),$X$3)-AE73-AE71</f>
        <v>679108.97000000009</v>
      </c>
      <c r="AF68" s="4">
        <f ca="1">SUMIFS(INDIRECT("'"&amp;$W$63&amp;"'"&amp;"!$k$64:$k$5000"),INDIRECT("'"&amp;$W$63&amp;"'"&amp;"!$A$64:$A$5000"),$V$4)-SUMIFS(INDIRECT("'"&amp;$W$63&amp;"'"&amp;"!$k$64:$k$5000"),INDIRECT("'"&amp;$W$63&amp;"'"&amp;"!$A$64:$A$5000"),$V$5)-SUMIFS(INDIRECT("'"&amp;$W$63&amp;"'"&amp;"!$k$64:$k$5000"),INDIRECT("'"&amp;$W$63&amp;"'"&amp;"!$A$64:$A$5000"),$V$6)-SUMIFS(INDIRECT("'"&amp;$W$63&amp;"'"&amp;"!$k$64:$k$5000"),INDIRECT("'"&amp;$W$63&amp;"'"&amp;"!$A$64:$A$5000"),$W$6)-SUMIFS(INDIRECT("'"&amp;$W$63&amp;"'"&amp;"!$k$64:$k$5000"),INDIRECT("'"&amp;$W$63&amp;"'"&amp;"!$A$64:$A$5000"),$W$7)-SUMIFS(INDIRECT("'"&amp;$W$63&amp;"'"&amp;"!$k$64:$k$5000"),INDIRECT("'"&amp;$W$63&amp;"'"&amp;"!$A$64:$A$5000"),$X$3)-AF73-AF71</f>
        <v>629327.1399999999</v>
      </c>
      <c r="AG68" s="4">
        <f ca="1">SUMIFS(INDIRECT("'"&amp;$W$63&amp;"'"&amp;"!$l$64:$l$5000"),INDIRECT("'"&amp;$W$63&amp;"'"&amp;"!$A$64:$A$5000"),$V$4)-SUMIFS(INDIRECT("'"&amp;$W$63&amp;"'"&amp;"!$l$64:$l$5000"),INDIRECT("'"&amp;$W$63&amp;"'"&amp;"!$A$64:$A$5000"),$V$5)-SUMIFS(INDIRECT("'"&amp;$W$63&amp;"'"&amp;"!$l$64:$l$5000"),INDIRECT("'"&amp;$W$63&amp;"'"&amp;"!$A$64:$A$5000"),$V$6)-SUMIFS(INDIRECT("'"&amp;$W$63&amp;"'"&amp;"!$l$64:$l$5000"),INDIRECT("'"&amp;$W$63&amp;"'"&amp;"!$A$64:$A$5000"),$W$6)-SUMIFS(INDIRECT("'"&amp;$W$63&amp;"'"&amp;"!$l$64:$l$5000"),INDIRECT("'"&amp;$W$63&amp;"'"&amp;"!$A$64:$A$5000"),$W$7)-SUMIFS(INDIRECT("'"&amp;$W$63&amp;"'"&amp;"!$l$64:$l$5000"),INDIRECT("'"&amp;$W$63&amp;"'"&amp;"!$A$64:$A$5000"),$X$3)-AG73-AG71</f>
        <v>611332.79000000015</v>
      </c>
      <c r="AH68" s="4">
        <f ca="1">SUMIFS(INDIRECT("'"&amp;$W$63&amp;"'"&amp;"!$m$64:$m$5000"),INDIRECT("'"&amp;$W$63&amp;"'"&amp;"!$A$64:$A$5000"),$V$4)-SUMIFS(INDIRECT("'"&amp;$W$63&amp;"'"&amp;"!$m$64:$m$5000"),INDIRECT("'"&amp;$W$63&amp;"'"&amp;"!$A$64:$A$5000"),$V$5)-SUMIFS(INDIRECT("'"&amp;$W$63&amp;"'"&amp;"!$m$64:$m$5000"),INDIRECT("'"&amp;$W$63&amp;"'"&amp;"!$A$64:$A$5000"),$V$6)-SUMIFS(INDIRECT("'"&amp;$W$63&amp;"'"&amp;"!$m$64:$m$5000"),INDIRECT("'"&amp;$W$63&amp;"'"&amp;"!$A$64:$A$5000"),$W$6)-SUMIFS(INDIRECT("'"&amp;$W$63&amp;"'"&amp;"!$m$64:$m$5000"),INDIRECT("'"&amp;$W$63&amp;"'"&amp;"!$A$64:$A$5000"),$W$7)-SUMIFS(INDIRECT("'"&amp;$W$63&amp;"'"&amp;"!$m$64:$m$5000"),INDIRECT("'"&amp;$W$63&amp;"'"&amp;"!$A$64:$A$5000"),$X$3)-AH73-AH71</f>
        <v>647074.75999999978</v>
      </c>
      <c r="AJ68" s="14">
        <f t="shared" ca="1" si="128"/>
        <v>-1.6799999995855615</v>
      </c>
      <c r="AK68" s="14">
        <f t="shared" ca="1" si="128"/>
        <v>-0.99000000022351742</v>
      </c>
      <c r="AL68" s="14">
        <f t="shared" ca="1" si="128"/>
        <v>-1.4599999999627471</v>
      </c>
      <c r="AM68" s="14">
        <f t="shared" ca="1" si="128"/>
        <v>-0.3500000003259629</v>
      </c>
      <c r="AN68" s="14">
        <f t="shared" ca="1" si="128"/>
        <v>17606.599999999627</v>
      </c>
      <c r="AO68" s="14">
        <f t="shared" ca="1" si="128"/>
        <v>-9.9999999860301614E-2</v>
      </c>
      <c r="AP68" s="14">
        <f t="shared" ca="1" si="128"/>
        <v>1.3200000004144385</v>
      </c>
      <c r="AQ68" s="14">
        <f t="shared" ca="1" si="128"/>
        <v>-0.88999999884981662</v>
      </c>
      <c r="AR68" s="14">
        <f t="shared" ca="1" si="128"/>
        <v>-2.9999999911524355E-2</v>
      </c>
      <c r="AS68" s="14">
        <f t="shared" ca="1" si="128"/>
        <v>0.13999999989755452</v>
      </c>
      <c r="AT68" s="14">
        <f t="shared" ca="1" si="128"/>
        <v>-0.20999999984633178</v>
      </c>
      <c r="AU68" s="14">
        <f t="shared" ca="1" si="128"/>
        <v>-1.2400000002235174</v>
      </c>
    </row>
    <row r="69" spans="1:47" s="12" customFormat="1">
      <c r="A69" s="12">
        <f t="shared" si="126"/>
        <v>6</v>
      </c>
      <c r="B69"/>
      <c r="C69" t="str">
        <f>$F64</f>
        <v>Park Manor of CyFair</v>
      </c>
      <c r="D69" s="3" t="str">
        <f t="shared" si="44"/>
        <v>T_BAD_DEBT - Tenant Bad Debt Expense</v>
      </c>
      <c r="E69"/>
      <c r="F69" s="19" t="str">
        <f>_xll.EVDES(D69)</f>
        <v>Tenant Bad Debt Expense</v>
      </c>
      <c r="G69" s="61">
        <f ca="1">SUMIFS(OFFSET('BPC Data'!$F:$F,0,Summary!G$2),'BPC Data'!$E:$E,Summary!$D69,'BPC Data'!$B:$B,Summary!$C69)</f>
        <v>23316</v>
      </c>
      <c r="H69" s="65">
        <f ca="1">SUMIFS(OFFSET('BPC Data'!$F:$F,0,Summary!H$2),'BPC Data'!$E:$E,Summary!$D69,'BPC Data'!$B:$B,Summary!$C69)</f>
        <v>21518</v>
      </c>
      <c r="I69" s="61">
        <f ca="1">SUMIFS(OFFSET('BPC Data'!$F:$F,0,Summary!I$2),'BPC Data'!$E:$E,Summary!$D69,'BPC Data'!$B:$B,Summary!$C69)</f>
        <v>25133</v>
      </c>
      <c r="J69" s="65">
        <f ca="1">SUMIFS(OFFSET('BPC Data'!$F:$F,0,Summary!J$2),'BPC Data'!$E:$E,Summary!$D69,'BPC Data'!$B:$B,Summary!$C69)</f>
        <v>23801</v>
      </c>
      <c r="K69" s="61">
        <f ca="1">SUMIFS(OFFSET('BPC Data'!$F:$F,0,Summary!K$2),'BPC Data'!$E:$E,Summary!$D69,'BPC Data'!$B:$B,Summary!$C69)</f>
        <v>23410</v>
      </c>
      <c r="L69" s="65">
        <f ca="1">SUMIFS(OFFSET('BPC Data'!$F:$F,0,Summary!L$2),'BPC Data'!$E:$E,Summary!$D69,'BPC Data'!$B:$B,Summary!$C69)</f>
        <v>27883</v>
      </c>
      <c r="M69" s="61">
        <f ca="1">SUMIFS(OFFSET('BPC Data'!$F:$F,0,Summary!M$2),'BPC Data'!$E:$E,Summary!$D69,'BPC Data'!$B:$B,Summary!$C69)</f>
        <v>54052</v>
      </c>
      <c r="N69" s="65">
        <f ca="1">SUMIFS(OFFSET('BPC Data'!$F:$F,0,Summary!N$2),'BPC Data'!$E:$E,Summary!$D69,'BPC Data'!$B:$B,Summary!$C69)</f>
        <v>28456</v>
      </c>
      <c r="O69" s="61">
        <f ca="1">SUMIFS(OFFSET('BPC Data'!$F:$F,0,Summary!O$2),'BPC Data'!$E:$E,Summary!$D69,'BPC Data'!$B:$B,Summary!$C69)</f>
        <v>25832</v>
      </c>
      <c r="P69" s="65">
        <f ca="1">SUMIFS(OFFSET('BPC Data'!$F:$F,0,Summary!P$2),'BPC Data'!$E:$E,Summary!$D69,'BPC Data'!$B:$B,Summary!$C69)</f>
        <v>-4576</v>
      </c>
      <c r="Q69" s="61">
        <f ca="1">SUMIFS(OFFSET('BPC Data'!$F:$F,0,Summary!Q$2),'BPC Data'!$E:$E,Summary!$D69,'BPC Data'!$B:$B,Summary!$C69)</f>
        <v>22262</v>
      </c>
      <c r="R69" s="65">
        <f ca="1">SUMIFS(OFFSET('BPC Data'!$F:$F,0,Summary!R$2),'BPC Data'!$E:$E,Summary!$D69,'BPC Data'!$B:$B,Summary!$C69)</f>
        <v>24037</v>
      </c>
      <c r="S69" s="23">
        <f t="shared" ca="1" si="127"/>
        <v>295124</v>
      </c>
      <c r="T69" s="75"/>
      <c r="U69" s="4"/>
      <c r="V69" s="48"/>
      <c r="W69"/>
      <c r="X69"/>
      <c r="Y69"/>
      <c r="Z69"/>
      <c r="AA69"/>
      <c r="AB69"/>
      <c r="AC69"/>
      <c r="AD69"/>
      <c r="AE69"/>
      <c r="AF69"/>
      <c r="AG69"/>
      <c r="AH69"/>
      <c r="AJ69" s="14"/>
      <c r="AK69" s="49"/>
      <c r="AL69" s="49"/>
      <c r="AM69" s="49"/>
      <c r="AN69" s="49"/>
      <c r="AO69" s="49"/>
      <c r="AP69" s="49"/>
      <c r="AQ69" s="49"/>
      <c r="AR69" s="49"/>
      <c r="AS69" s="49"/>
      <c r="AT69" s="49"/>
      <c r="AU69" s="49"/>
    </row>
    <row r="70" spans="1:47" s="12" customFormat="1">
      <c r="A70" s="12">
        <f t="shared" si="126"/>
        <v>6</v>
      </c>
      <c r="B70"/>
      <c r="C70" t="str">
        <f>$F64</f>
        <v>Park Manor of CyFair</v>
      </c>
      <c r="D70" s="2" t="str">
        <f t="shared" si="44"/>
        <v>T_EBITDARM - EBITDARM</v>
      </c>
      <c r="E70"/>
      <c r="F70" s="19" t="str">
        <f>_xll.EVDES(D70)</f>
        <v>EBITDARM</v>
      </c>
      <c r="G70" s="61">
        <f ca="1">SUMIFS(OFFSET('BPC Data'!$F:$F,0,Summary!G$2),'BPC Data'!$E:$E,Summary!$D70,'BPC Data'!$B:$B,Summary!$C70)</f>
        <v>180583</v>
      </c>
      <c r="H70" s="65">
        <f ca="1">SUMIFS(OFFSET('BPC Data'!$F:$F,0,Summary!H$2),'BPC Data'!$E:$E,Summary!$D70,'BPC Data'!$B:$B,Summary!$C70)</f>
        <v>128185</v>
      </c>
      <c r="I70" s="61">
        <f ca="1">SUMIFS(OFFSET('BPC Data'!$F:$F,0,Summary!I$2),'BPC Data'!$E:$E,Summary!$D70,'BPC Data'!$B:$B,Summary!$C70)</f>
        <v>219269</v>
      </c>
      <c r="J70" s="65">
        <f ca="1">SUMIFS(OFFSET('BPC Data'!$F:$F,0,Summary!J$2),'BPC Data'!$E:$E,Summary!$D70,'BPC Data'!$B:$B,Summary!$C70)</f>
        <v>197988</v>
      </c>
      <c r="K70" s="61">
        <f ca="1">SUMIFS(OFFSET('BPC Data'!$F:$F,0,Summary!K$2),'BPC Data'!$E:$E,Summary!$D70,'BPC Data'!$B:$B,Summary!$C70)</f>
        <v>296653</v>
      </c>
      <c r="L70" s="65">
        <f ca="1">SUMIFS(OFFSET('BPC Data'!$F:$F,0,Summary!L$2),'BPC Data'!$E:$E,Summary!$D70,'BPC Data'!$B:$B,Summary!$C70)</f>
        <v>256938</v>
      </c>
      <c r="M70" s="61">
        <f ca="1">SUMIFS(OFFSET('BPC Data'!$F:$F,0,Summary!M$2),'BPC Data'!$E:$E,Summary!$D70,'BPC Data'!$B:$B,Summary!$C70)</f>
        <v>137057</v>
      </c>
      <c r="N70" s="65">
        <f ca="1">SUMIFS(OFFSET('BPC Data'!$F:$F,0,Summary!N$2),'BPC Data'!$E:$E,Summary!$D70,'BPC Data'!$B:$B,Summary!$C70)</f>
        <v>305629</v>
      </c>
      <c r="O70" s="61">
        <f ca="1">SUMIFS(OFFSET('BPC Data'!$F:$F,0,Summary!O$2),'BPC Data'!$E:$E,Summary!$D70,'BPC Data'!$B:$B,Summary!$C70)</f>
        <v>244714</v>
      </c>
      <c r="P70" s="65">
        <f ca="1">SUMIFS(OFFSET('BPC Data'!$F:$F,0,Summary!P$2),'BPC Data'!$E:$E,Summary!$D70,'BPC Data'!$B:$B,Summary!$C70)</f>
        <v>222221</v>
      </c>
      <c r="Q70" s="61">
        <f ca="1">SUMIFS(OFFSET('BPC Data'!$F:$F,0,Summary!Q$2),'BPC Data'!$E:$E,Summary!$D70,'BPC Data'!$B:$B,Summary!$C70)</f>
        <v>170943</v>
      </c>
      <c r="R70" s="65">
        <f ca="1">SUMIFS(OFFSET('BPC Data'!$F:$F,0,Summary!R$2),'BPC Data'!$E:$E,Summary!$D70,'BPC Data'!$B:$B,Summary!$C70)</f>
        <v>200480</v>
      </c>
      <c r="S70" s="23">
        <f t="shared" ca="1" si="127"/>
        <v>2560660</v>
      </c>
      <c r="T70" s="74">
        <f ca="1">SUM(W70:AH70)</f>
        <v>2428764.430000003</v>
      </c>
      <c r="U70" s="54">
        <f ca="1">T70-S70</f>
        <v>-131895.56999999704</v>
      </c>
      <c r="V70" s="48"/>
      <c r="W70" s="50">
        <f t="shared" ref="W70:AB70" ca="1" si="129">W67-W68</f>
        <v>180584.99999999919</v>
      </c>
      <c r="X70" s="50">
        <f t="shared" ca="1" si="129"/>
        <v>128186.21000000089</v>
      </c>
      <c r="Y70" s="50">
        <f t="shared" ca="1" si="129"/>
        <v>219269.73000000126</v>
      </c>
      <c r="Z70" s="50">
        <f t="shared" ca="1" si="129"/>
        <v>197988.00000000023</v>
      </c>
      <c r="AA70" s="50">
        <f t="shared" ca="1" si="129"/>
        <v>164754.09999999928</v>
      </c>
      <c r="AB70" s="50">
        <f t="shared" ca="1" si="129"/>
        <v>256937.67000000086</v>
      </c>
      <c r="AC70" s="50">
        <f t="shared" ref="AC70:AH70" ca="1" si="130">AC67-AC68</f>
        <v>137055.73000000115</v>
      </c>
      <c r="AD70" s="50">
        <f t="shared" ca="1" si="130"/>
        <v>305629.96999999939</v>
      </c>
      <c r="AE70" s="50">
        <f t="shared" ca="1" si="130"/>
        <v>244713.94000000088</v>
      </c>
      <c r="AF70" s="50">
        <f t="shared" ca="1" si="130"/>
        <v>222221.39999999979</v>
      </c>
      <c r="AG70" s="50">
        <f t="shared" ca="1" si="130"/>
        <v>170942.44999999937</v>
      </c>
      <c r="AH70" s="50">
        <f t="shared" ca="1" si="130"/>
        <v>200480.23000000045</v>
      </c>
      <c r="AJ70" s="14">
        <f t="shared" ref="AJ70:AU73" ca="1" si="131">W70-G70</f>
        <v>1.9999999991850927</v>
      </c>
      <c r="AK70" s="14">
        <f t="shared" ca="1" si="131"/>
        <v>1.2100000008940697</v>
      </c>
      <c r="AL70" s="14">
        <f t="shared" ca="1" si="131"/>
        <v>0.73000000126194209</v>
      </c>
      <c r="AM70" s="14">
        <f t="shared" ca="1" si="131"/>
        <v>2.3283064365386963E-10</v>
      </c>
      <c r="AN70" s="14">
        <f t="shared" ca="1" si="131"/>
        <v>-131898.90000000072</v>
      </c>
      <c r="AO70" s="14">
        <f t="shared" ca="1" si="131"/>
        <v>-0.32999999914318323</v>
      </c>
      <c r="AP70" s="14">
        <f t="shared" ca="1" si="131"/>
        <v>-1.2699999988544732</v>
      </c>
      <c r="AQ70" s="14">
        <f t="shared" ca="1" si="131"/>
        <v>0.96999999938998371</v>
      </c>
      <c r="AR70" s="14">
        <f t="shared" ca="1" si="131"/>
        <v>-5.999999912455678E-2</v>
      </c>
      <c r="AS70" s="14">
        <f t="shared" ca="1" si="131"/>
        <v>0.39999999979045242</v>
      </c>
      <c r="AT70" s="14">
        <f t="shared" ca="1" si="131"/>
        <v>-0.55000000062864274</v>
      </c>
      <c r="AU70" s="14">
        <f t="shared" ca="1" si="131"/>
        <v>0.23000000044703484</v>
      </c>
    </row>
    <row r="71" spans="1:47" s="12" customFormat="1">
      <c r="A71" s="12">
        <f t="shared" si="126"/>
        <v>6</v>
      </c>
      <c r="B71"/>
      <c r="C71" t="str">
        <f>$F64</f>
        <v>Park Manor of CyFair</v>
      </c>
      <c r="D71" s="2" t="str">
        <f t="shared" si="44"/>
        <v>T_MGMT_FEE - Tenant Management Fee - Actual</v>
      </c>
      <c r="E71"/>
      <c r="F71" s="19" t="str">
        <f>_xll.EVDES(D71)</f>
        <v>Tenant Management Fee - Actual</v>
      </c>
      <c r="G71" s="61">
        <f ca="1">SUMIFS(OFFSET('BPC Data'!$F:$F,0,Summary!G$2),'BPC Data'!$E:$E,Summary!$D71,'BPC Data'!$B:$B,Summary!$C71)</f>
        <v>38861</v>
      </c>
      <c r="H71" s="65">
        <f ca="1">SUMIFS(OFFSET('BPC Data'!$F:$F,0,Summary!H$2),'BPC Data'!$E:$E,Summary!$D71,'BPC Data'!$B:$B,Summary!$C71)</f>
        <v>35863</v>
      </c>
      <c r="I71" s="61">
        <f ca="1">SUMIFS(OFFSET('BPC Data'!$F:$F,0,Summary!I$2),'BPC Data'!$E:$E,Summary!$D71,'BPC Data'!$B:$B,Summary!$C71)</f>
        <v>41888</v>
      </c>
      <c r="J71" s="65">
        <f ca="1">SUMIFS(OFFSET('BPC Data'!$F:$F,0,Summary!J$2),'BPC Data'!$E:$E,Summary!$D71,'BPC Data'!$B:$B,Summary!$C71)</f>
        <v>39669</v>
      </c>
      <c r="K71" s="61">
        <f ca="1">SUMIFS(OFFSET('BPC Data'!$F:$F,0,Summary!K$2),'BPC Data'!$E:$E,Summary!$D71,'BPC Data'!$B:$B,Summary!$C71)</f>
        <v>39017</v>
      </c>
      <c r="L71" s="65">
        <f ca="1">SUMIFS(OFFSET('BPC Data'!$F:$F,0,Summary!L$2),'BPC Data'!$E:$E,Summary!$D71,'BPC Data'!$B:$B,Summary!$C71)</f>
        <v>46471</v>
      </c>
      <c r="M71" s="61">
        <f ca="1">SUMIFS(OFFSET('BPC Data'!$F:$F,0,Summary!M$2),'BPC Data'!$E:$E,Summary!$D71,'BPC Data'!$B:$B,Summary!$C71)</f>
        <v>37882</v>
      </c>
      <c r="N71" s="65">
        <f ca="1">SUMIFS(OFFSET('BPC Data'!$F:$F,0,Summary!N$2),'BPC Data'!$E:$E,Summary!$D71,'BPC Data'!$B:$B,Summary!$C71)</f>
        <v>46444</v>
      </c>
      <c r="O71" s="61">
        <f ca="1">SUMIFS(OFFSET('BPC Data'!$F:$F,0,Summary!O$2),'BPC Data'!$E:$E,Summary!$D71,'BPC Data'!$B:$B,Summary!$C71)</f>
        <v>43054</v>
      </c>
      <c r="P71" s="65">
        <f ca="1">SUMIFS(OFFSET('BPC Data'!$F:$F,0,Summary!P$2),'BPC Data'!$E:$E,Summary!$D71,'BPC Data'!$B:$B,Summary!$C71)</f>
        <v>40561</v>
      </c>
      <c r="Q71" s="61">
        <f ca="1">SUMIFS(OFFSET('BPC Data'!$F:$F,0,Summary!Q$2),'BPC Data'!$E:$E,Summary!$D71,'BPC Data'!$B:$B,Summary!$C71)</f>
        <v>37103</v>
      </c>
      <c r="R71" s="65">
        <f ca="1">SUMIFS(OFFSET('BPC Data'!$F:$F,0,Summary!R$2),'BPC Data'!$E:$E,Summary!$D71,'BPC Data'!$B:$B,Summary!$C71)</f>
        <v>40062</v>
      </c>
      <c r="S71" s="23">
        <f t="shared" ca="1" si="127"/>
        <v>486875</v>
      </c>
      <c r="T71" s="74">
        <f ca="1">SUM(W71:AH71)</f>
        <v>295452</v>
      </c>
      <c r="U71" s="54">
        <f ca="1">T71-S71</f>
        <v>-191423</v>
      </c>
      <c r="V71" s="48"/>
      <c r="W71" s="4">
        <f ca="1">SUMIFS(INDIRECT("'"&amp;$W$63&amp;"'"&amp;"!$B$64:$B$5000"),INDIRECT("'"&amp;$W$63&amp;"'"&amp;"!$A$64:$A$5000"),$V$7)</f>
        <v>38861</v>
      </c>
      <c r="X71" s="4">
        <f ca="1">SUMIFS(INDIRECT("'"&amp;$W$63&amp;"'"&amp;"!$c$64:$c$5000"),INDIRECT("'"&amp;$W$63&amp;"'"&amp;"!$A$64:$A$5000"),$V$7)</f>
        <v>35863</v>
      </c>
      <c r="Y71" s="4">
        <f ca="1">SUMIFS(INDIRECT("'"&amp;$W$63&amp;"'"&amp;"!$d$64:$d$5000"),INDIRECT("'"&amp;$W$63&amp;"'"&amp;"!$A$64:$A$5000"),$V$7)</f>
        <v>41888</v>
      </c>
      <c r="Z71" s="4">
        <f ca="1">SUMIFS(INDIRECT("'"&amp;$W$63&amp;"'"&amp;"!$e$64:$e$5000"),INDIRECT("'"&amp;$W$63&amp;"'"&amp;"!$A$64:$A$5000"),$V$7)</f>
        <v>39669</v>
      </c>
      <c r="AA71" s="4">
        <f ca="1">SUMIFS(INDIRECT("'"&amp;$W$63&amp;"'"&amp;"!$f$64:$f$5000"),INDIRECT("'"&amp;$W$63&amp;"'"&amp;"!$A$64:$A$5000"),$V$7)</f>
        <v>-152406</v>
      </c>
      <c r="AB71" s="4">
        <f ca="1">SUMIFS(INDIRECT("'"&amp;$W$63&amp;"'"&amp;"!$g$64:$g$5000"),INDIRECT("'"&amp;$W$63&amp;"'"&amp;"!$A$64:$A$5000"),$V$7)</f>
        <v>46471</v>
      </c>
      <c r="AC71" s="4">
        <f ca="1">SUMIFS(INDIRECT("'"&amp;$W$63&amp;"'"&amp;"!$h$64:$h$5000"),INDIRECT("'"&amp;$W$63&amp;"'"&amp;"!$A$64:$A$5000"),$V$7)</f>
        <v>37882</v>
      </c>
      <c r="AD71" s="4">
        <f ca="1">SUMIFS(INDIRECT("'"&amp;$W$63&amp;"'"&amp;"!$i$64:$i$5000"),INDIRECT("'"&amp;$W$63&amp;"'"&amp;"!$A$64:$A$5000"),$V$7)</f>
        <v>46444</v>
      </c>
      <c r="AE71" s="4">
        <f ca="1">SUMIFS(INDIRECT("'"&amp;$W$63&amp;"'"&amp;"!$j$64:$j$5000"),INDIRECT("'"&amp;$W$63&amp;"'"&amp;"!$A$64:$A$5000"),$V$7)</f>
        <v>43054</v>
      </c>
      <c r="AF71" s="4">
        <f ca="1">SUMIFS(INDIRECT("'"&amp;$W$63&amp;"'"&amp;"!$k$64:$k$5000"),INDIRECT("'"&amp;$W$63&amp;"'"&amp;"!$A$64:$A$5000"),$V$7)</f>
        <v>40561</v>
      </c>
      <c r="AG71" s="4">
        <f ca="1">SUMIFS(INDIRECT("'"&amp;$W$63&amp;"'"&amp;"!$l$64:$l$5000"),INDIRECT("'"&amp;$W$63&amp;"'"&amp;"!$A$64:$A$5000"),$V$7)</f>
        <v>37103</v>
      </c>
      <c r="AH71" s="4">
        <f ca="1">SUMIFS(INDIRECT("'"&amp;$W$63&amp;"'"&amp;"!$m$64:$m$5000"),INDIRECT("'"&amp;$W$63&amp;"'"&amp;"!$A$64:$A$5000"),$V$7)</f>
        <v>40062</v>
      </c>
      <c r="AJ71" s="14">
        <f t="shared" ca="1" si="131"/>
        <v>0</v>
      </c>
      <c r="AK71" s="14">
        <f t="shared" ca="1" si="131"/>
        <v>0</v>
      </c>
      <c r="AL71" s="14">
        <f t="shared" ca="1" si="131"/>
        <v>0</v>
      </c>
      <c r="AM71" s="14">
        <f t="shared" ca="1" si="131"/>
        <v>0</v>
      </c>
      <c r="AN71" s="14">
        <f t="shared" ca="1" si="131"/>
        <v>-191423</v>
      </c>
      <c r="AO71" s="14">
        <f t="shared" ca="1" si="131"/>
        <v>0</v>
      </c>
      <c r="AP71" s="14">
        <f t="shared" ca="1" si="131"/>
        <v>0</v>
      </c>
      <c r="AQ71" s="14">
        <f t="shared" ca="1" si="131"/>
        <v>0</v>
      </c>
      <c r="AR71" s="14">
        <f t="shared" ca="1" si="131"/>
        <v>0</v>
      </c>
      <c r="AS71" s="14">
        <f t="shared" ca="1" si="131"/>
        <v>0</v>
      </c>
      <c r="AT71" s="14">
        <f t="shared" ca="1" si="131"/>
        <v>0</v>
      </c>
      <c r="AU71" s="14">
        <f t="shared" ca="1" si="131"/>
        <v>0</v>
      </c>
    </row>
    <row r="72" spans="1:47" s="12" customFormat="1">
      <c r="A72" s="12">
        <f t="shared" si="126"/>
        <v>6</v>
      </c>
      <c r="B72"/>
      <c r="C72" t="str">
        <f>$F64</f>
        <v>Park Manor of CyFair</v>
      </c>
      <c r="D72" s="1" t="str">
        <f t="shared" si="44"/>
        <v>T_EBITDAR - EBITDAR</v>
      </c>
      <c r="E72"/>
      <c r="F72" s="19" t="str">
        <f>_xll.EVDES(D72)</f>
        <v>EBITDAR</v>
      </c>
      <c r="G72" s="61">
        <f ca="1">SUMIFS(OFFSET('BPC Data'!$F:$F,0,Summary!G$2),'BPC Data'!$E:$E,Summary!$D72,'BPC Data'!$B:$B,Summary!$C72)</f>
        <v>141722</v>
      </c>
      <c r="H72" s="65">
        <f ca="1">SUMIFS(OFFSET('BPC Data'!$F:$F,0,Summary!H$2),'BPC Data'!$E:$E,Summary!$D72,'BPC Data'!$B:$B,Summary!$C72)</f>
        <v>92322</v>
      </c>
      <c r="I72" s="61">
        <f ca="1">SUMIFS(OFFSET('BPC Data'!$F:$F,0,Summary!I$2),'BPC Data'!$E:$E,Summary!$D72,'BPC Data'!$B:$B,Summary!$C72)</f>
        <v>177381</v>
      </c>
      <c r="J72" s="65">
        <f ca="1">SUMIFS(OFFSET('BPC Data'!$F:$F,0,Summary!J$2),'BPC Data'!$E:$E,Summary!$D72,'BPC Data'!$B:$B,Summary!$C72)</f>
        <v>158319</v>
      </c>
      <c r="K72" s="61">
        <f ca="1">SUMIFS(OFFSET('BPC Data'!$F:$F,0,Summary!K$2),'BPC Data'!$E:$E,Summary!$D72,'BPC Data'!$B:$B,Summary!$C72)</f>
        <v>257636</v>
      </c>
      <c r="L72" s="65">
        <f ca="1">SUMIFS(OFFSET('BPC Data'!$F:$F,0,Summary!L$2),'BPC Data'!$E:$E,Summary!$D72,'BPC Data'!$B:$B,Summary!$C72)</f>
        <v>210467</v>
      </c>
      <c r="M72" s="61">
        <f ca="1">SUMIFS(OFFSET('BPC Data'!$F:$F,0,Summary!M$2),'BPC Data'!$E:$E,Summary!$D72,'BPC Data'!$B:$B,Summary!$C72)</f>
        <v>99175</v>
      </c>
      <c r="N72" s="65">
        <f ca="1">SUMIFS(OFFSET('BPC Data'!$F:$F,0,Summary!N$2),'BPC Data'!$E:$E,Summary!$D72,'BPC Data'!$B:$B,Summary!$C72)</f>
        <v>259185</v>
      </c>
      <c r="O72" s="61">
        <f ca="1">SUMIFS(OFFSET('BPC Data'!$F:$F,0,Summary!O$2),'BPC Data'!$E:$E,Summary!$D72,'BPC Data'!$B:$B,Summary!$C72)</f>
        <v>201660</v>
      </c>
      <c r="P72" s="65">
        <f ca="1">SUMIFS(OFFSET('BPC Data'!$F:$F,0,Summary!P$2),'BPC Data'!$E:$E,Summary!$D72,'BPC Data'!$B:$B,Summary!$C72)</f>
        <v>181660</v>
      </c>
      <c r="Q72" s="61">
        <f ca="1">SUMIFS(OFFSET('BPC Data'!$F:$F,0,Summary!Q$2),'BPC Data'!$E:$E,Summary!$D72,'BPC Data'!$B:$B,Summary!$C72)</f>
        <v>133840</v>
      </c>
      <c r="R72" s="65">
        <f ca="1">SUMIFS(OFFSET('BPC Data'!$F:$F,0,Summary!R$2),'BPC Data'!$E:$E,Summary!$D72,'BPC Data'!$B:$B,Summary!$C72)</f>
        <v>160418</v>
      </c>
      <c r="S72" s="23">
        <f t="shared" ca="1" si="127"/>
        <v>2073785</v>
      </c>
      <c r="T72" s="74">
        <f ca="1">SUM(W72:AH72)</f>
        <v>2133312.430000003</v>
      </c>
      <c r="U72" s="54">
        <f ca="1">T72-S72</f>
        <v>59527.430000002962</v>
      </c>
      <c r="V72" s="48"/>
      <c r="W72" s="50">
        <f t="shared" ref="W72:AB72" ca="1" si="132">W70-W71</f>
        <v>141723.99999999919</v>
      </c>
      <c r="X72" s="50">
        <f t="shared" ca="1" si="132"/>
        <v>92323.210000000894</v>
      </c>
      <c r="Y72" s="50">
        <f t="shared" ca="1" si="132"/>
        <v>177381.73000000126</v>
      </c>
      <c r="Z72" s="50">
        <f t="shared" ca="1" si="132"/>
        <v>158319.00000000023</v>
      </c>
      <c r="AA72" s="50">
        <f t="shared" ca="1" si="132"/>
        <v>317160.09999999928</v>
      </c>
      <c r="AB72" s="50">
        <f t="shared" ca="1" si="132"/>
        <v>210466.67000000086</v>
      </c>
      <c r="AC72" s="50">
        <f t="shared" ref="AC72:AH72" ca="1" si="133">AC70-AC71</f>
        <v>99173.730000001146</v>
      </c>
      <c r="AD72" s="50">
        <f t="shared" ca="1" si="133"/>
        <v>259185.96999999939</v>
      </c>
      <c r="AE72" s="50">
        <f t="shared" ca="1" si="133"/>
        <v>201659.94000000088</v>
      </c>
      <c r="AF72" s="50">
        <f t="shared" ca="1" si="133"/>
        <v>181660.39999999979</v>
      </c>
      <c r="AG72" s="50">
        <f t="shared" ca="1" si="133"/>
        <v>133839.44999999937</v>
      </c>
      <c r="AH72" s="50">
        <f t="shared" ca="1" si="133"/>
        <v>160418.23000000045</v>
      </c>
      <c r="AJ72" s="14">
        <f t="shared" ca="1" si="131"/>
        <v>1.9999999991850927</v>
      </c>
      <c r="AK72" s="14">
        <f t="shared" ca="1" si="131"/>
        <v>1.2100000008940697</v>
      </c>
      <c r="AL72" s="14">
        <f t="shared" ca="1" si="131"/>
        <v>0.73000000126194209</v>
      </c>
      <c r="AM72" s="14">
        <f t="shared" ca="1" si="131"/>
        <v>2.3283064365386963E-10</v>
      </c>
      <c r="AN72" s="14">
        <f t="shared" ca="1" si="131"/>
        <v>59524.099999999278</v>
      </c>
      <c r="AO72" s="14">
        <f t="shared" ca="1" si="131"/>
        <v>-0.32999999914318323</v>
      </c>
      <c r="AP72" s="14">
        <f t="shared" ca="1" si="131"/>
        <v>-1.2699999988544732</v>
      </c>
      <c r="AQ72" s="14">
        <f t="shared" ca="1" si="131"/>
        <v>0.96999999938998371</v>
      </c>
      <c r="AR72" s="14">
        <f t="shared" ca="1" si="131"/>
        <v>-5.999999912455678E-2</v>
      </c>
      <c r="AS72" s="14">
        <f t="shared" ca="1" si="131"/>
        <v>0.39999999979045242</v>
      </c>
      <c r="AT72" s="14">
        <f t="shared" ca="1" si="131"/>
        <v>-0.55000000062864274</v>
      </c>
      <c r="AU72" s="14">
        <f t="shared" ca="1" si="131"/>
        <v>0.23000000044703484</v>
      </c>
    </row>
    <row r="73" spans="1:47" s="12" customFormat="1">
      <c r="A73" s="12">
        <f t="shared" si="126"/>
        <v>6</v>
      </c>
      <c r="B73"/>
      <c r="C73" t="str">
        <f>$F64</f>
        <v>Park Manor of CyFair</v>
      </c>
      <c r="D73" s="1" t="str">
        <f t="shared" si="44"/>
        <v>T_RENT_EXP - Tenant Rent Expense</v>
      </c>
      <c r="E73"/>
      <c r="F73" s="19" t="str">
        <f>_xll.EVDES(D73)</f>
        <v>Tenant Rent Expense</v>
      </c>
      <c r="G73" s="61">
        <f ca="1">SUMIFS(OFFSET('BPC Data'!$F:$F,0,Summary!G$2),'BPC Data'!$E:$E,Summary!$D73,'BPC Data'!$B:$B,Summary!$C73)</f>
        <v>118129</v>
      </c>
      <c r="H73" s="65">
        <f ca="1">SUMIFS(OFFSET('BPC Data'!$F:$F,0,Summary!H$2),'BPC Data'!$E:$E,Summary!$D73,'BPC Data'!$B:$B,Summary!$C73)</f>
        <v>121023</v>
      </c>
      <c r="I73" s="61">
        <f ca="1">SUMIFS(OFFSET('BPC Data'!$F:$F,0,Summary!I$2),'BPC Data'!$E:$E,Summary!$D73,'BPC Data'!$B:$B,Summary!$C73)</f>
        <v>121023</v>
      </c>
      <c r="J73" s="65">
        <f ca="1">SUMIFS(OFFSET('BPC Data'!$F:$F,0,Summary!J$2),'BPC Data'!$E:$E,Summary!$D73,'BPC Data'!$B:$B,Summary!$C73)</f>
        <v>121023</v>
      </c>
      <c r="K73" s="61">
        <f ca="1">SUMIFS(OFFSET('BPC Data'!$F:$F,0,Summary!K$2),'BPC Data'!$E:$E,Summary!$D73,'BPC Data'!$B:$B,Summary!$C73)</f>
        <v>121023</v>
      </c>
      <c r="L73" s="65">
        <f ca="1">SUMIFS(OFFSET('BPC Data'!$F:$F,0,Summary!L$2),'BPC Data'!$E:$E,Summary!$D73,'BPC Data'!$B:$B,Summary!$C73)</f>
        <v>121023</v>
      </c>
      <c r="M73" s="61">
        <f ca="1">SUMIFS(OFFSET('BPC Data'!$F:$F,0,Summary!M$2),'BPC Data'!$E:$E,Summary!$D73,'BPC Data'!$B:$B,Summary!$C73)</f>
        <v>121023</v>
      </c>
      <c r="N73" s="65">
        <f ca="1">SUMIFS(OFFSET('BPC Data'!$F:$F,0,Summary!N$2),'BPC Data'!$E:$E,Summary!$D73,'BPC Data'!$B:$B,Summary!$C73)</f>
        <v>121023</v>
      </c>
      <c r="O73" s="61">
        <f ca="1">SUMIFS(OFFSET('BPC Data'!$F:$F,0,Summary!O$2),'BPC Data'!$E:$E,Summary!$D73,'BPC Data'!$B:$B,Summary!$C73)</f>
        <v>121023</v>
      </c>
      <c r="P73" s="65">
        <f ca="1">SUMIFS(OFFSET('BPC Data'!$F:$F,0,Summary!P$2),'BPC Data'!$E:$E,Summary!$D73,'BPC Data'!$B:$B,Summary!$C73)</f>
        <v>121023</v>
      </c>
      <c r="Q73" s="61">
        <f ca="1">SUMIFS(OFFSET('BPC Data'!$F:$F,0,Summary!Q$2),'BPC Data'!$E:$E,Summary!$D73,'BPC Data'!$B:$B,Summary!$C73)</f>
        <v>121023</v>
      </c>
      <c r="R73" s="65">
        <f ca="1">SUMIFS(OFFSET('BPC Data'!$F:$F,0,Summary!R$2),'BPC Data'!$E:$E,Summary!$D73,'BPC Data'!$B:$B,Summary!$C73)</f>
        <v>133068</v>
      </c>
      <c r="S73" s="23">
        <f t="shared" ca="1" si="127"/>
        <v>1461427</v>
      </c>
      <c r="T73" s="74">
        <f ca="1">SUM(W73:AH73)</f>
        <v>1461422.86</v>
      </c>
      <c r="U73" s="54">
        <f ca="1">T73-S73</f>
        <v>-4.1399999998975545</v>
      </c>
      <c r="V73" s="48"/>
      <c r="W73" s="4">
        <f ca="1">SUMIFS(INDIRECT("'"&amp;$W$63&amp;"'"&amp;"!$B$64:$B$5000"),INDIRECT("'"&amp;$W$63&amp;"'"&amp;"!$A$64:$A$5000"),$W$3)+SUMIFS(INDIRECT("'"&amp;$W$63&amp;"'"&amp;"!$B$64:$B$5000"),INDIRECT("'"&amp;$W$63&amp;"'"&amp;"!$A$64:$A$5000"),$W$4)</f>
        <v>118129</v>
      </c>
      <c r="X73" s="4">
        <f ca="1">SUMIFS(INDIRECT("'"&amp;$W$63&amp;"'"&amp;"!$c$64:$c$5000"),INDIRECT("'"&amp;$W$63&amp;"'"&amp;"!$A$64:$A$5000"),$W$3)+SUMIFS(INDIRECT("'"&amp;$W$63&amp;"'"&amp;"!$c$64:$c$5000"),INDIRECT("'"&amp;$W$63&amp;"'"&amp;"!$A$64:$A$5000"),$W$4)</f>
        <v>121022.57999999999</v>
      </c>
      <c r="Y73" s="4">
        <f ca="1">SUMIFS(INDIRECT("'"&amp;$W$63&amp;"'"&amp;"!$d$64:$d$5000"),INDIRECT("'"&amp;$W$63&amp;"'"&amp;"!$A$64:$A$5000"),$W$3)+SUMIFS(INDIRECT("'"&amp;$W$63&amp;"'"&amp;"!$d$64:$d$5000"),INDIRECT("'"&amp;$W$63&amp;"'"&amp;"!$A$64:$A$5000"),$W$4)</f>
        <v>121022.57999999999</v>
      </c>
      <c r="Z73" s="4">
        <f ca="1">SUMIFS(INDIRECT("'"&amp;$W$63&amp;"'"&amp;"!$e$64:$e$5000"),INDIRECT("'"&amp;$W$63&amp;"'"&amp;"!$A$64:$A$5000"),$W$3)+SUMIFS(INDIRECT("'"&amp;$W$63&amp;"'"&amp;"!$e$64:$e$5000"),INDIRECT("'"&amp;$W$63&amp;"'"&amp;"!$A$64:$A$5000"),$W$4)</f>
        <v>121022.57999999999</v>
      </c>
      <c r="AA73" s="4">
        <f ca="1">SUMIFS(INDIRECT("'"&amp;$W$63&amp;"'"&amp;"!$f$64:$f$5000"),INDIRECT("'"&amp;$W$63&amp;"'"&amp;"!$A$64:$A$5000"),$W$3)+SUMIFS(INDIRECT("'"&amp;$W$63&amp;"'"&amp;"!$f$64:$f$5000"),INDIRECT("'"&amp;$W$63&amp;"'"&amp;"!$A$64:$A$5000"),$W$4)</f>
        <v>121022.57999999999</v>
      </c>
      <c r="AB73" s="4">
        <f ca="1">SUMIFS(INDIRECT("'"&amp;$W$63&amp;"'"&amp;"!$g$64:$g$5000"),INDIRECT("'"&amp;$W$63&amp;"'"&amp;"!$A$64:$A$5000"),$W$3)+SUMIFS(INDIRECT("'"&amp;$W$63&amp;"'"&amp;"!$g$64:$g$5000"),INDIRECT("'"&amp;$W$63&amp;"'"&amp;"!$A$64:$A$5000"),$W$4)</f>
        <v>121022.57999999999</v>
      </c>
      <c r="AC73" s="4">
        <f ca="1">SUMIFS(INDIRECT("'"&amp;$W$63&amp;"'"&amp;"!$h$64:$h$5000"),INDIRECT("'"&amp;$W$63&amp;"'"&amp;"!$A$64:$A$5000"),$W$3)+SUMIFS(INDIRECT("'"&amp;$W$63&amp;"'"&amp;"!$h$64:$h$5000"),INDIRECT("'"&amp;$W$63&amp;"'"&amp;"!$A$64:$A$5000"),$W$4)</f>
        <v>121022.57999999999</v>
      </c>
      <c r="AD73" s="4">
        <f ca="1">SUMIFS(INDIRECT("'"&amp;$W$63&amp;"'"&amp;"!$i$64:$i$5000"),INDIRECT("'"&amp;$W$63&amp;"'"&amp;"!$A$64:$A$5000"),$W$3)+SUMIFS(INDIRECT("'"&amp;$W$63&amp;"'"&amp;"!$i$64:$i$5000"),INDIRECT("'"&amp;$W$63&amp;"'"&amp;"!$A$64:$A$5000"),$W$4)</f>
        <v>121022.57999999999</v>
      </c>
      <c r="AE73" s="4">
        <f ca="1">SUMIFS(INDIRECT("'"&amp;$W$63&amp;"'"&amp;"!$j$64:$j$5000"),INDIRECT("'"&amp;$W$63&amp;"'"&amp;"!$A$64:$A$5000"),$W$3)+SUMIFS(INDIRECT("'"&amp;$W$63&amp;"'"&amp;"!$j$64:$j$5000"),INDIRECT("'"&amp;$W$63&amp;"'"&amp;"!$A$64:$A$5000"),$W$4)</f>
        <v>121022.57999999999</v>
      </c>
      <c r="AF73" s="4">
        <f ca="1">SUMIFS(INDIRECT("'"&amp;$W$63&amp;"'"&amp;"!$k$64:$k$5000"),INDIRECT("'"&amp;$W$63&amp;"'"&amp;"!$A$64:$A$5000"),$W$3)+SUMIFS(INDIRECT("'"&amp;$W$63&amp;"'"&amp;"!$k$64:$k$5000"),INDIRECT("'"&amp;$W$63&amp;"'"&amp;"!$A$64:$A$5000"),$W$4)</f>
        <v>121022.57999999999</v>
      </c>
      <c r="AG73" s="4">
        <f ca="1">SUMIFS(INDIRECT("'"&amp;$W$63&amp;"'"&amp;"!$l$64:$l$5000"),INDIRECT("'"&amp;$W$63&amp;"'"&amp;"!$A$64:$A$5000"),$W$3)+SUMIFS(INDIRECT("'"&amp;$W$63&amp;"'"&amp;"!$l$64:$l$5000"),INDIRECT("'"&amp;$W$63&amp;"'"&amp;"!$A$64:$A$5000"),$W$4)</f>
        <v>121022.57999999999</v>
      </c>
      <c r="AH73" s="4">
        <f ca="1">SUMIFS(INDIRECT("'"&amp;$W$63&amp;"'"&amp;"!$m$64:$m$5000"),INDIRECT("'"&amp;$W$63&amp;"'"&amp;"!$A$64:$A$5000"),$W$3)+SUMIFS(INDIRECT("'"&amp;$W$63&amp;"'"&amp;"!$m$64:$m$5000"),INDIRECT("'"&amp;$W$63&amp;"'"&amp;"!$A$64:$A$5000"),$W$4)</f>
        <v>133068.06</v>
      </c>
      <c r="AJ73" s="14">
        <f t="shared" ca="1" si="131"/>
        <v>0</v>
      </c>
      <c r="AK73" s="14">
        <f t="shared" ca="1" si="131"/>
        <v>-0.42000000001280569</v>
      </c>
      <c r="AL73" s="14">
        <f t="shared" ca="1" si="131"/>
        <v>-0.42000000001280569</v>
      </c>
      <c r="AM73" s="14">
        <f t="shared" ca="1" si="131"/>
        <v>-0.42000000001280569</v>
      </c>
      <c r="AN73" s="14">
        <f t="shared" ca="1" si="131"/>
        <v>-0.42000000001280569</v>
      </c>
      <c r="AO73" s="14">
        <f t="shared" ca="1" si="131"/>
        <v>-0.42000000001280569</v>
      </c>
      <c r="AP73" s="14">
        <f t="shared" ca="1" si="131"/>
        <v>-0.42000000001280569</v>
      </c>
      <c r="AQ73" s="14">
        <f t="shared" ca="1" si="131"/>
        <v>-0.42000000001280569</v>
      </c>
      <c r="AR73" s="14">
        <f t="shared" ca="1" si="131"/>
        <v>-0.42000000001280569</v>
      </c>
      <c r="AS73" s="14">
        <f t="shared" ca="1" si="131"/>
        <v>-0.42000000001280569</v>
      </c>
      <c r="AT73" s="14">
        <f t="shared" ca="1" si="131"/>
        <v>-0.42000000001280569</v>
      </c>
      <c r="AU73" s="14">
        <f t="shared" ca="1" si="131"/>
        <v>5.9999999997671694E-2</v>
      </c>
    </row>
    <row r="74" spans="1:47" s="12" customFormat="1">
      <c r="A74" s="12">
        <f t="shared" si="126"/>
        <v>6</v>
      </c>
      <c r="B74"/>
      <c r="C74"/>
      <c r="D74" s="1" t="str">
        <f t="shared" si="44"/>
        <v>x</v>
      </c>
      <c r="E74"/>
      <c r="F74" s="19" t="s">
        <v>0</v>
      </c>
      <c r="G74" s="61">
        <f ca="1">SUMIFS(OFFSET('BPC Data'!$F:$F,0,Summary!G$2),'BPC Data'!$E:$E,Summary!$D74,'BPC Data'!$B:$B,Summary!$C74)</f>
        <v>0</v>
      </c>
      <c r="H74" s="65">
        <f ca="1">SUMIFS(OFFSET('BPC Data'!$F:$F,0,Summary!H$2),'BPC Data'!$E:$E,Summary!$D74,'BPC Data'!$B:$B,Summary!$C74)</f>
        <v>0</v>
      </c>
      <c r="I74" s="61">
        <f ca="1">SUMIFS(OFFSET('BPC Data'!$F:$F,0,Summary!I$2),'BPC Data'!$E:$E,Summary!$D74,'BPC Data'!$B:$B,Summary!$C74)</f>
        <v>0</v>
      </c>
      <c r="J74" s="65">
        <f ca="1">SUMIFS(OFFSET('BPC Data'!$F:$F,0,Summary!J$2),'BPC Data'!$E:$E,Summary!$D74,'BPC Data'!$B:$B,Summary!$C74)</f>
        <v>0</v>
      </c>
      <c r="K74" s="61">
        <f ca="1">SUMIFS(OFFSET('BPC Data'!$F:$F,0,Summary!K$2),'BPC Data'!$E:$E,Summary!$D74,'BPC Data'!$B:$B,Summary!$C74)</f>
        <v>0</v>
      </c>
      <c r="L74" s="65">
        <f ca="1">SUMIFS(OFFSET('BPC Data'!$F:$F,0,Summary!L$2),'BPC Data'!$E:$E,Summary!$D74,'BPC Data'!$B:$B,Summary!$C74)</f>
        <v>0</v>
      </c>
      <c r="M74" s="61">
        <f ca="1">SUMIFS(OFFSET('BPC Data'!$F:$F,0,Summary!M$2),'BPC Data'!$E:$E,Summary!$D74,'BPC Data'!$B:$B,Summary!$C74)</f>
        <v>0</v>
      </c>
      <c r="N74" s="65">
        <f ca="1">SUMIFS(OFFSET('BPC Data'!$F:$F,0,Summary!N$2),'BPC Data'!$E:$E,Summary!$D74,'BPC Data'!$B:$B,Summary!$C74)</f>
        <v>0</v>
      </c>
      <c r="O74" s="61">
        <f ca="1">SUMIFS(OFFSET('BPC Data'!$F:$F,0,Summary!O$2),'BPC Data'!$E:$E,Summary!$D74,'BPC Data'!$B:$B,Summary!$C74)</f>
        <v>0</v>
      </c>
      <c r="P74" s="65">
        <f ca="1">SUMIFS(OFFSET('BPC Data'!$F:$F,0,Summary!P$2),'BPC Data'!$E:$E,Summary!$D74,'BPC Data'!$B:$B,Summary!$C74)</f>
        <v>0</v>
      </c>
      <c r="Q74" s="61">
        <f ca="1">SUMIFS(OFFSET('BPC Data'!$F:$F,0,Summary!Q$2),'BPC Data'!$E:$E,Summary!$D74,'BPC Data'!$B:$B,Summary!$C74)</f>
        <v>0</v>
      </c>
      <c r="R74" s="65">
        <f ca="1">SUMIFS(OFFSET('BPC Data'!$F:$F,0,Summary!R$2),'BPC Data'!$E:$E,Summary!$D74,'BPC Data'!$B:$B,Summary!$C74)</f>
        <v>0</v>
      </c>
      <c r="S74" s="23">
        <f ca="1">SUM(G74:M74)</f>
        <v>0</v>
      </c>
      <c r="T74" s="77"/>
      <c r="U74" s="49"/>
      <c r="W74" t="s">
        <v>300</v>
      </c>
      <c r="X74"/>
      <c r="Y74"/>
      <c r="Z74"/>
      <c r="AA74"/>
      <c r="AB74"/>
      <c r="AC74"/>
      <c r="AD74"/>
      <c r="AE74"/>
      <c r="AF74"/>
      <c r="AG74"/>
      <c r="AH74"/>
      <c r="AI74"/>
      <c r="AJ74" s="14"/>
      <c r="AK74" s="49"/>
      <c r="AL74" s="49"/>
      <c r="AM74" s="49"/>
      <c r="AN74" s="49"/>
      <c r="AO74" s="49"/>
      <c r="AP74" s="49"/>
      <c r="AQ74" s="49"/>
      <c r="AR74" s="49"/>
      <c r="AS74" s="49"/>
      <c r="AT74" s="49"/>
      <c r="AU74" s="49"/>
    </row>
    <row r="75" spans="1:47" s="12" customFormat="1">
      <c r="A75" s="12">
        <f>IF(AND(D75&lt;&gt;"",C75=""),A74+1,A74)</f>
        <v>7</v>
      </c>
      <c r="B75" s="5"/>
      <c r="C75" s="5"/>
      <c r="D75" s="5" t="str">
        <f t="shared" si="44"/>
        <v>x</v>
      </c>
      <c r="E75" s="5"/>
      <c r="F75" s="18" t="str">
        <f>INDEX(PropertyList!$D:$D,MATCH(Summary!$A75,PropertyList!$C:$C,0))</f>
        <v>Park Manor of McKinney</v>
      </c>
      <c r="G75" s="61">
        <f ca="1">SUMIFS(OFFSET('BPC Data'!$F:$F,0,Summary!G$2),'BPC Data'!$E:$E,Summary!$D75,'BPC Data'!$B:$B,Summary!$C75)</f>
        <v>0</v>
      </c>
      <c r="H75" s="65">
        <f ca="1">SUMIFS(OFFSET('BPC Data'!$F:$F,0,Summary!H$2),'BPC Data'!$E:$E,Summary!$D75,'BPC Data'!$B:$B,Summary!$C75)</f>
        <v>0</v>
      </c>
      <c r="I75" s="61">
        <f ca="1">SUMIFS(OFFSET('BPC Data'!$F:$F,0,Summary!I$2),'BPC Data'!$E:$E,Summary!$D75,'BPC Data'!$B:$B,Summary!$C75)</f>
        <v>0</v>
      </c>
      <c r="J75" s="65">
        <f ca="1">SUMIFS(OFFSET('BPC Data'!$F:$F,0,Summary!J$2),'BPC Data'!$E:$E,Summary!$D75,'BPC Data'!$B:$B,Summary!$C75)</f>
        <v>0</v>
      </c>
      <c r="K75" s="61">
        <f ca="1">SUMIFS(OFFSET('BPC Data'!$F:$F,0,Summary!K$2),'BPC Data'!$E:$E,Summary!$D75,'BPC Data'!$B:$B,Summary!$C75)</f>
        <v>0</v>
      </c>
      <c r="L75" s="65">
        <f ca="1">SUMIFS(OFFSET('BPC Data'!$F:$F,0,Summary!L$2),'BPC Data'!$E:$E,Summary!$D75,'BPC Data'!$B:$B,Summary!$C75)</f>
        <v>0</v>
      </c>
      <c r="M75" s="61">
        <f ca="1">SUMIFS(OFFSET('BPC Data'!$F:$F,0,Summary!M$2),'BPC Data'!$E:$E,Summary!$D75,'BPC Data'!$B:$B,Summary!$C75)</f>
        <v>0</v>
      </c>
      <c r="N75" s="65">
        <f ca="1">SUMIFS(OFFSET('BPC Data'!$F:$F,0,Summary!N$2),'BPC Data'!$E:$E,Summary!$D75,'BPC Data'!$B:$B,Summary!$C75)</f>
        <v>0</v>
      </c>
      <c r="O75" s="61">
        <f ca="1">SUMIFS(OFFSET('BPC Data'!$F:$F,0,Summary!O$2),'BPC Data'!$E:$E,Summary!$D75,'BPC Data'!$B:$B,Summary!$C75)</f>
        <v>0</v>
      </c>
      <c r="P75" s="65">
        <f ca="1">SUMIFS(OFFSET('BPC Data'!$F:$F,0,Summary!P$2),'BPC Data'!$E:$E,Summary!$D75,'BPC Data'!$B:$B,Summary!$C75)</f>
        <v>0</v>
      </c>
      <c r="Q75" s="61">
        <f ca="1">SUMIFS(OFFSET('BPC Data'!$F:$F,0,Summary!Q$2),'BPC Data'!$E:$E,Summary!$D75,'BPC Data'!$B:$B,Summary!$C75)</f>
        <v>0</v>
      </c>
      <c r="R75" s="65">
        <f ca="1">SUMIFS(OFFSET('BPC Data'!$F:$F,0,Summary!R$2),'BPC Data'!$E:$E,Summary!$D75,'BPC Data'!$B:$B,Summary!$C75)</f>
        <v>0</v>
      </c>
      <c r="S75" s="23">
        <f ca="1">SUM(G75:M75)</f>
        <v>0</v>
      </c>
      <c r="T75" s="76"/>
      <c r="W75" s="5" t="str">
        <f t="shared" ref="W75:AH75" si="134">+G$8</f>
        <v>Aug 2021</v>
      </c>
      <c r="X75" s="5" t="str">
        <f t="shared" si="134"/>
        <v>Sep 2021</v>
      </c>
      <c r="Y75" s="5" t="str">
        <f t="shared" si="134"/>
        <v>Oct 2021</v>
      </c>
      <c r="Z75" s="5" t="str">
        <f t="shared" si="134"/>
        <v>Nov 2021</v>
      </c>
      <c r="AA75" s="5" t="str">
        <f t="shared" si="134"/>
        <v>Dec 2021</v>
      </c>
      <c r="AB75" s="5" t="str">
        <f t="shared" si="134"/>
        <v>Jan 2022</v>
      </c>
      <c r="AC75" s="5" t="str">
        <f t="shared" si="134"/>
        <v>Feb 2022</v>
      </c>
      <c r="AD75" s="5" t="str">
        <f t="shared" si="134"/>
        <v>Mar 2022</v>
      </c>
      <c r="AE75" s="5" t="str">
        <f t="shared" si="134"/>
        <v>Apr 2022</v>
      </c>
      <c r="AF75" s="5" t="str">
        <f t="shared" si="134"/>
        <v>May 2022</v>
      </c>
      <c r="AG75" s="5" t="str">
        <f t="shared" si="134"/>
        <v>Jun 2022</v>
      </c>
      <c r="AH75" s="5" t="str">
        <f t="shared" si="134"/>
        <v>Jul 2022</v>
      </c>
      <c r="AI75" s="5"/>
      <c r="AJ75" s="174" t="str">
        <f>W$9</f>
        <v>Aug 2021</v>
      </c>
      <c r="AK75" s="174" t="str">
        <f t="shared" ref="AK75" si="135">X$9</f>
        <v>Sep 2021</v>
      </c>
      <c r="AL75" s="174" t="str">
        <f t="shared" ref="AL75" si="136">Y$9</f>
        <v>Oct 2021</v>
      </c>
      <c r="AM75" s="174" t="str">
        <f t="shared" ref="AM75" si="137">Z$9</f>
        <v>Nov 2021</v>
      </c>
      <c r="AN75" s="174" t="str">
        <f t="shared" ref="AN75:AO75" si="138">AA$9</f>
        <v>Dec 2021</v>
      </c>
      <c r="AO75" s="174" t="str">
        <f t="shared" si="138"/>
        <v>Jan 2022</v>
      </c>
      <c r="AP75" s="174" t="str">
        <f t="shared" ref="AP75" si="139">AC$9</f>
        <v>Feb 2022</v>
      </c>
      <c r="AQ75" s="174" t="str">
        <f t="shared" ref="AQ75" si="140">AD$9</f>
        <v>Mar 2022</v>
      </c>
      <c r="AR75" s="174" t="str">
        <f t="shared" ref="AR75" si="141">AE$9</f>
        <v>Apr 2022</v>
      </c>
      <c r="AS75" s="174" t="str">
        <f t="shared" ref="AS75" si="142">AF$9</f>
        <v>May 2022</v>
      </c>
      <c r="AT75" s="174" t="str">
        <f t="shared" ref="AT75" si="143">AG$9</f>
        <v>Jun 2022</v>
      </c>
      <c r="AU75" s="174" t="str">
        <f t="shared" ref="AU75" si="144">AH$9</f>
        <v>Jul 2022</v>
      </c>
    </row>
    <row r="76" spans="1:47" s="12" customFormat="1">
      <c r="A76" s="12">
        <f>IF(AND(F76&lt;&gt;"",D76=""),A75+1,A75)</f>
        <v>7</v>
      </c>
      <c r="C76" t="str">
        <f>$F75</f>
        <v>Park Manor of McKinney</v>
      </c>
      <c r="D76" s="3" t="str">
        <f t="shared" si="44"/>
        <v>PAY_PAT_DAYS - Total Payor Patient Days</v>
      </c>
      <c r="F76" s="19" t="str">
        <f>_xll.EVDES(D76)</f>
        <v>Total Payor Patient Days</v>
      </c>
      <c r="G76" s="61">
        <f ca="1">SUMIFS(OFFSET('BPC Data'!$F:$F,0,Summary!G$2),'BPC Data'!$E:$E,Summary!$D76,'BPC Data'!$B:$B,Summary!$C76)</f>
        <v>2259</v>
      </c>
      <c r="H76" s="65">
        <f ca="1">SUMIFS(OFFSET('BPC Data'!$F:$F,0,Summary!H$2),'BPC Data'!$E:$E,Summary!$D76,'BPC Data'!$B:$B,Summary!$C76)</f>
        <v>2116</v>
      </c>
      <c r="I76" s="61">
        <f ca="1">SUMIFS(OFFSET('BPC Data'!$F:$F,0,Summary!I$2),'BPC Data'!$E:$E,Summary!$D76,'BPC Data'!$B:$B,Summary!$C76)</f>
        <v>2183</v>
      </c>
      <c r="J76" s="65">
        <f ca="1">SUMIFS(OFFSET('BPC Data'!$F:$F,0,Summary!J$2),'BPC Data'!$E:$E,Summary!$D76,'BPC Data'!$B:$B,Summary!$C76)</f>
        <v>1920</v>
      </c>
      <c r="K76" s="61">
        <f ca="1">SUMIFS(OFFSET('BPC Data'!$F:$F,0,Summary!K$2),'BPC Data'!$E:$E,Summary!$D76,'BPC Data'!$B:$B,Summary!$C76)</f>
        <v>1944</v>
      </c>
      <c r="L76" s="65">
        <f ca="1">SUMIFS(OFFSET('BPC Data'!$F:$F,0,Summary!L$2),'BPC Data'!$E:$E,Summary!$D76,'BPC Data'!$B:$B,Summary!$C76)</f>
        <v>2012</v>
      </c>
      <c r="M76" s="61">
        <f ca="1">SUMIFS(OFFSET('BPC Data'!$F:$F,0,Summary!M$2),'BPC Data'!$E:$E,Summary!$D76,'BPC Data'!$B:$B,Summary!$C76)</f>
        <v>2035</v>
      </c>
      <c r="N76" s="65">
        <f ca="1">SUMIFS(OFFSET('BPC Data'!$F:$F,0,Summary!N$2),'BPC Data'!$E:$E,Summary!$D76,'BPC Data'!$B:$B,Summary!$C76)</f>
        <v>2126</v>
      </c>
      <c r="O76" s="61">
        <f ca="1">SUMIFS(OFFSET('BPC Data'!$F:$F,0,Summary!O$2),'BPC Data'!$E:$E,Summary!$D76,'BPC Data'!$B:$B,Summary!$C76)</f>
        <v>2100</v>
      </c>
      <c r="P76" s="65">
        <f ca="1">SUMIFS(OFFSET('BPC Data'!$F:$F,0,Summary!P$2),'BPC Data'!$E:$E,Summary!$D76,'BPC Data'!$B:$B,Summary!$C76)</f>
        <v>2228</v>
      </c>
      <c r="Q76" s="61">
        <f ca="1">SUMIFS(OFFSET('BPC Data'!$F:$F,0,Summary!Q$2),'BPC Data'!$E:$E,Summary!$D76,'BPC Data'!$B:$B,Summary!$C76)</f>
        <v>2147</v>
      </c>
      <c r="R76" s="65">
        <f ca="1">SUMIFS(OFFSET('BPC Data'!$F:$F,0,Summary!R$2),'BPC Data'!$E:$E,Summary!$D76,'BPC Data'!$B:$B,Summary!$C76)</f>
        <v>-12648</v>
      </c>
      <c r="S76" s="23">
        <f ca="1">SUM(G76:Q76)</f>
        <v>23070</v>
      </c>
      <c r="T76" s="74">
        <f ca="1">SUM(W76:AG76)</f>
        <v>23070</v>
      </c>
      <c r="U76" s="54">
        <f ca="1">T76-S76</f>
        <v>0</v>
      </c>
      <c r="W76" s="4">
        <f ca="1">SUMIFS(INDIRECT("'"&amp;$W$74&amp;"'"&amp;"!$B$1:$B$5000"),INDIRECT("'"&amp;$W$74&amp;"'"&amp;"!$A$1:$A$5000"),$W$2)</f>
        <v>2259</v>
      </c>
      <c r="X76" s="4">
        <f ca="1">SUMIFS(INDIRECT("'"&amp;$W$74&amp;"'"&amp;"!$c$1:$c$5000"),INDIRECT("'"&amp;$W$74&amp;"'"&amp;"!$A$1:$A$5000"),$W$2)</f>
        <v>2116</v>
      </c>
      <c r="Y76" s="4">
        <f ca="1">SUMIFS(INDIRECT("'"&amp;$W$74&amp;"'"&amp;"!$d$1:$d$5000"),INDIRECT("'"&amp;$W$74&amp;"'"&amp;"!$A$1:$A$5000"),$W$2)</f>
        <v>2183</v>
      </c>
      <c r="Z76" s="4">
        <f ca="1">SUMIFS(INDIRECT("'"&amp;$W$74&amp;"'"&amp;"!$e$1:$e$5000"),INDIRECT("'"&amp;$W$74&amp;"'"&amp;"!$A$1:$A$5000"),$W$2)</f>
        <v>1920</v>
      </c>
      <c r="AA76" s="4">
        <f ca="1">SUMIFS(INDIRECT("'"&amp;$W$74&amp;"'"&amp;"!$f$1:$f$5000"),INDIRECT("'"&amp;$W$74&amp;"'"&amp;"!$A$1:$A$5000"),$W$2)</f>
        <v>1944</v>
      </c>
      <c r="AB76" s="4">
        <f ca="1">SUMIFS(INDIRECT("'"&amp;$W$74&amp;"'"&amp;"!$g$1:$g$5000"),INDIRECT("'"&amp;$W$74&amp;"'"&amp;"!$A$1:$A$5000"),$W$2)</f>
        <v>2012</v>
      </c>
      <c r="AC76" s="4">
        <f ca="1">SUMIFS(INDIRECT("'"&amp;$W$74&amp;"'"&amp;"!$h$1:$h$5000"),INDIRECT("'"&amp;$W$74&amp;"'"&amp;"!$A$1:$A$5000"),$W$2)</f>
        <v>2035</v>
      </c>
      <c r="AD76" s="4">
        <f ca="1">SUMIFS(INDIRECT("'"&amp;$W$74&amp;"'"&amp;"!$i$1:$i$5000"),INDIRECT("'"&amp;$W$74&amp;"'"&amp;"!$A$1:$A$5000"),$W$2)</f>
        <v>2126</v>
      </c>
      <c r="AE76" s="4">
        <f ca="1">SUMIFS(INDIRECT("'"&amp;$W$74&amp;"'"&amp;"!$j$1:$j$5000"),INDIRECT("'"&amp;$W$74&amp;"'"&amp;"!$A$1:$A$5000"),$W$2)</f>
        <v>2100</v>
      </c>
      <c r="AF76" s="4">
        <f ca="1">SUMIFS(INDIRECT("'"&amp;$W$74&amp;"'"&amp;"!$k$1:$k$5000"),INDIRECT("'"&amp;$W$74&amp;"'"&amp;"!$A$1:$A$5000"),$W$2)</f>
        <v>2228</v>
      </c>
      <c r="AG76" s="4">
        <f ca="1">SUMIFS(INDIRECT("'"&amp;$W$74&amp;"'"&amp;"!$l$1:$l$5000"),INDIRECT("'"&amp;$W$74&amp;"'"&amp;"!$A$1:$A$5000"),$W$2)</f>
        <v>2147</v>
      </c>
      <c r="AH76" s="4"/>
      <c r="AJ76" s="14">
        <f t="shared" ref="AJ76:AT76" ca="1" si="145">W76-G76</f>
        <v>0</v>
      </c>
      <c r="AK76" s="14">
        <f t="shared" ca="1" si="145"/>
        <v>0</v>
      </c>
      <c r="AL76" s="14">
        <f t="shared" ca="1" si="145"/>
        <v>0</v>
      </c>
      <c r="AM76" s="14">
        <f t="shared" ca="1" si="145"/>
        <v>0</v>
      </c>
      <c r="AN76" s="14">
        <f t="shared" ca="1" si="145"/>
        <v>0</v>
      </c>
      <c r="AO76" s="14">
        <f t="shared" ca="1" si="145"/>
        <v>0</v>
      </c>
      <c r="AP76" s="14">
        <f t="shared" ca="1" si="145"/>
        <v>0</v>
      </c>
      <c r="AQ76" s="14">
        <f t="shared" ca="1" si="145"/>
        <v>0</v>
      </c>
      <c r="AR76" s="14">
        <f t="shared" ca="1" si="145"/>
        <v>0</v>
      </c>
      <c r="AS76" s="14">
        <f t="shared" ca="1" si="145"/>
        <v>0</v>
      </c>
      <c r="AT76" s="14">
        <f t="shared" ca="1" si="145"/>
        <v>0</v>
      </c>
      <c r="AU76" s="14"/>
    </row>
    <row r="77" spans="1:47" s="12" customFormat="1">
      <c r="A77" s="12">
        <f t="shared" ref="A77:A84" si="146">IF(AND(F77&lt;&gt;"",D77=""),A76+1,A76)</f>
        <v>7</v>
      </c>
      <c r="C77" t="str">
        <f>$F75</f>
        <v>Park Manor of McKinney</v>
      </c>
      <c r="D77" s="3" t="str">
        <f t="shared" si="44"/>
        <v>A_BEDS_TOTAL - Total Available Beds</v>
      </c>
      <c r="F77" s="19" t="str">
        <f>_xll.EVDES(D77)</f>
        <v>Total Available Beds</v>
      </c>
      <c r="G77" s="61">
        <f ca="1">SUMIFS(OFFSET('BPC Data'!$F:$F,0,Summary!G$2),'BPC Data'!$E:$E,Summary!$D77,'BPC Data'!$B:$B,Summary!$C77)</f>
        <v>138</v>
      </c>
      <c r="H77" s="65">
        <f ca="1">SUMIFS(OFFSET('BPC Data'!$F:$F,0,Summary!H$2),'BPC Data'!$E:$E,Summary!$D77,'BPC Data'!$B:$B,Summary!$C77)</f>
        <v>138</v>
      </c>
      <c r="I77" s="61">
        <f ca="1">SUMIFS(OFFSET('BPC Data'!$F:$F,0,Summary!I$2),'BPC Data'!$E:$E,Summary!$D77,'BPC Data'!$B:$B,Summary!$C77)</f>
        <v>138</v>
      </c>
      <c r="J77" s="65">
        <f ca="1">SUMIFS(OFFSET('BPC Data'!$F:$F,0,Summary!J$2),'BPC Data'!$E:$E,Summary!$D77,'BPC Data'!$B:$B,Summary!$C77)</f>
        <v>138</v>
      </c>
      <c r="K77" s="61">
        <f ca="1">SUMIFS(OFFSET('BPC Data'!$F:$F,0,Summary!K$2),'BPC Data'!$E:$E,Summary!$D77,'BPC Data'!$B:$B,Summary!$C77)</f>
        <v>138</v>
      </c>
      <c r="L77" s="65">
        <f ca="1">SUMIFS(OFFSET('BPC Data'!$F:$F,0,Summary!L$2),'BPC Data'!$E:$E,Summary!$D77,'BPC Data'!$B:$B,Summary!$C77)</f>
        <v>138</v>
      </c>
      <c r="M77" s="61">
        <f ca="1">SUMIFS(OFFSET('BPC Data'!$F:$F,0,Summary!M$2),'BPC Data'!$E:$E,Summary!$D77,'BPC Data'!$B:$B,Summary!$C77)</f>
        <v>138</v>
      </c>
      <c r="N77" s="65">
        <f ca="1">SUMIFS(OFFSET('BPC Data'!$F:$F,0,Summary!N$2),'BPC Data'!$E:$E,Summary!$D77,'BPC Data'!$B:$B,Summary!$C77)</f>
        <v>138</v>
      </c>
      <c r="O77" s="61">
        <f ca="1">SUMIFS(OFFSET('BPC Data'!$F:$F,0,Summary!O$2),'BPC Data'!$E:$E,Summary!$D77,'BPC Data'!$B:$B,Summary!$C77)</f>
        <v>138</v>
      </c>
      <c r="P77" s="65">
        <f ca="1">SUMIFS(OFFSET('BPC Data'!$F:$F,0,Summary!P$2),'BPC Data'!$E:$E,Summary!$D77,'BPC Data'!$B:$B,Summary!$C77)</f>
        <v>138</v>
      </c>
      <c r="Q77" s="61">
        <f ca="1">SUMIFS(OFFSET('BPC Data'!$F:$F,0,Summary!Q$2),'BPC Data'!$E:$E,Summary!$D77,'BPC Data'!$B:$B,Summary!$C77)</f>
        <v>138</v>
      </c>
      <c r="R77" s="65">
        <f ca="1">SUMIFS(OFFSET('BPC Data'!$F:$F,0,Summary!R$2),'BPC Data'!$E:$E,Summary!$D77,'BPC Data'!$B:$B,Summary!$C77)</f>
        <v>138</v>
      </c>
      <c r="S77" s="23">
        <f ca="1">+Q77</f>
        <v>138</v>
      </c>
      <c r="T77" s="74"/>
      <c r="U77" s="54"/>
      <c r="AJ77" s="49"/>
      <c r="AK77" s="49"/>
      <c r="AL77" s="49"/>
      <c r="AM77" s="49"/>
      <c r="AN77" s="49"/>
      <c r="AO77" s="49"/>
      <c r="AP77" s="49"/>
      <c r="AQ77" s="49"/>
      <c r="AR77" s="49"/>
      <c r="AS77" s="49"/>
      <c r="AT77" s="49"/>
      <c r="AU77" s="49"/>
    </row>
    <row r="78" spans="1:47" s="12" customFormat="1">
      <c r="A78" s="12">
        <f t="shared" si="146"/>
        <v>7</v>
      </c>
      <c r="B78"/>
      <c r="C78" t="str">
        <f>$F75</f>
        <v>Park Manor of McKinney</v>
      </c>
      <c r="D78" s="3" t="str">
        <f t="shared" si="44"/>
        <v>T_REVENUES - Total Tenant Revenues</v>
      </c>
      <c r="E78"/>
      <c r="F78" s="19" t="str">
        <f>_xll.EVDES(D78)</f>
        <v>Total Tenant Revenues</v>
      </c>
      <c r="G78" s="61">
        <f ca="1">SUMIFS(OFFSET('BPC Data'!$F:$F,0,Summary!G$2),'BPC Data'!$E:$E,Summary!$D78,'BPC Data'!$B:$B,Summary!$C78)</f>
        <v>620614</v>
      </c>
      <c r="H78" s="65">
        <f ca="1">SUMIFS(OFFSET('BPC Data'!$F:$F,0,Summary!H$2),'BPC Data'!$E:$E,Summary!$D78,'BPC Data'!$B:$B,Summary!$C78)</f>
        <v>672922</v>
      </c>
      <c r="I78" s="61">
        <f ca="1">SUMIFS(OFFSET('BPC Data'!$F:$F,0,Summary!I$2),'BPC Data'!$E:$E,Summary!$D78,'BPC Data'!$B:$B,Summary!$C78)</f>
        <v>667827</v>
      </c>
      <c r="J78" s="65">
        <f ca="1">SUMIFS(OFFSET('BPC Data'!$F:$F,0,Summary!J$2),'BPC Data'!$E:$E,Summary!$D78,'BPC Data'!$B:$B,Summary!$C78)</f>
        <v>503507</v>
      </c>
      <c r="K78" s="61">
        <f ca="1">SUMIFS(OFFSET('BPC Data'!$F:$F,0,Summary!K$2),'BPC Data'!$E:$E,Summary!$D78,'BPC Data'!$B:$B,Summary!$C78)</f>
        <v>507731</v>
      </c>
      <c r="L78" s="65">
        <f ca="1">SUMIFS(OFFSET('BPC Data'!$F:$F,0,Summary!L$2),'BPC Data'!$E:$E,Summary!$D78,'BPC Data'!$B:$B,Summary!$C78)</f>
        <v>554265</v>
      </c>
      <c r="M78" s="61">
        <f ca="1">SUMIFS(OFFSET('BPC Data'!$F:$F,0,Summary!M$2),'BPC Data'!$E:$E,Summary!$D78,'BPC Data'!$B:$B,Summary!$C78)</f>
        <v>644975</v>
      </c>
      <c r="N78" s="65">
        <f ca="1">SUMIFS(OFFSET('BPC Data'!$F:$F,0,Summary!N$2),'BPC Data'!$E:$E,Summary!$D78,'BPC Data'!$B:$B,Summary!$C78)</f>
        <v>723586</v>
      </c>
      <c r="O78" s="61">
        <f ca="1">SUMIFS(OFFSET('BPC Data'!$F:$F,0,Summary!O$2),'BPC Data'!$E:$E,Summary!$D78,'BPC Data'!$B:$B,Summary!$C78)</f>
        <v>601437</v>
      </c>
      <c r="P78" s="65">
        <f ca="1">SUMIFS(OFFSET('BPC Data'!$F:$F,0,Summary!P$2),'BPC Data'!$E:$E,Summary!$D78,'BPC Data'!$B:$B,Summary!$C78)</f>
        <v>555325</v>
      </c>
      <c r="Q78" s="61">
        <f ca="1">SUMIFS(OFFSET('BPC Data'!$F:$F,0,Summary!Q$2),'BPC Data'!$E:$E,Summary!$D78,'BPC Data'!$B:$B,Summary!$C78)</f>
        <v>475341</v>
      </c>
      <c r="R78" s="65">
        <f ca="1">SUMIFS(OFFSET('BPC Data'!$F:$F,0,Summary!R$2),'BPC Data'!$E:$E,Summary!$D78,'BPC Data'!$B:$B,Summary!$C78)</f>
        <v>58</v>
      </c>
      <c r="S78" s="23">
        <f t="shared" ref="S78:S84" ca="1" si="147">SUM(G78:Q78)</f>
        <v>6527530</v>
      </c>
      <c r="T78" s="74">
        <f ca="1">SUM(W78:AG78)</f>
        <v>1671442.4400000041</v>
      </c>
      <c r="U78" s="54">
        <f ca="1">T78-S78</f>
        <v>-4856087.5599999959</v>
      </c>
      <c r="W78" s="4">
        <f ca="1">SUMIFS(INDIRECT("'"&amp;$W$74&amp;"'"&amp;"!$B$64:$B$5000"),INDIRECT("'"&amp;$W$74&amp;"'"&amp;"!$A$64:$A$5000"),$V$1)-SUMIFS(INDIRECT("'"&amp;$W$74&amp;"'"&amp;"!$B$64:$B$5000"),INDIRECT("'"&amp;$W$74&amp;"'"&amp;"!$A$64:$A$5000"),$V$2)-SUMIFS(INDIRECT("'"&amp;$W$74&amp;"'"&amp;"!$B$64:$B$5000"),INDIRECT("'"&amp;$W$74&amp;"'"&amp;"!$A$64:$A$5000"),$V$3)-SUMIFS(INDIRECT("'"&amp;$W$74&amp;"'"&amp;"!$B$64:$B$5000"),INDIRECT("'"&amp;$W$74&amp;"'"&amp;"!$A$64:$A$5000"),$X$4)-SUMIFS(INDIRECT("'"&amp;$W$74&amp;"'"&amp;"!$B$64:$B$5000"),INDIRECT("'"&amp;$W$74&amp;"'"&amp;"!$A$64:$A$5000"),$X$3)</f>
        <v>620613.20000000054</v>
      </c>
      <c r="X78" s="4">
        <f ca="1">SUMIFS(INDIRECT("'"&amp;$W$74&amp;"'"&amp;"!$c$64:$c$5000"),INDIRECT("'"&amp;$W$74&amp;"'"&amp;"!$A$64:$A$5000"),$V$1)-SUMIFS(INDIRECT("'"&amp;$W$74&amp;"'"&amp;"!$c$64:$c$5000"),INDIRECT("'"&amp;$W$74&amp;"'"&amp;"!$A$64:$A$5000"),$V$2)-SUMIFS(INDIRECT("'"&amp;$W$74&amp;"'"&amp;"!$c$64:$c$5000"),INDIRECT("'"&amp;$W$74&amp;"'"&amp;"!$A$64:$A$5000"),$V$3)-SUMIFS(INDIRECT("'"&amp;$W$74&amp;"'"&amp;"!$c$64:$c$5000"),INDIRECT("'"&amp;$W$74&amp;"'"&amp;"!$A$64:$A$5000"),$X$4)-SUMIFS(INDIRECT("'"&amp;$W$74&amp;"'"&amp;"!$c$64:$c$5000"),INDIRECT("'"&amp;$W$74&amp;"'"&amp;"!$A$64:$A$5000"),$X$3)</f>
        <v>672922.38</v>
      </c>
      <c r="Y78" s="4">
        <f ca="1">SUMIFS(INDIRECT("'"&amp;$W$74&amp;"'"&amp;"!$d$64:$d$5000"),INDIRECT("'"&amp;$W$74&amp;"'"&amp;"!$A$64:$A$5000"),$V$1)-SUMIFS(INDIRECT("'"&amp;$W$74&amp;"'"&amp;"!$d$64:$d$5000"),INDIRECT("'"&amp;$W$74&amp;"'"&amp;"!$A$64:$A$5000"),$V$2)-SUMIFS(INDIRECT("'"&amp;$W$74&amp;"'"&amp;"!$d$64:$d$5000"),INDIRECT("'"&amp;$W$74&amp;"'"&amp;"!$A$64:$A$5000"),$V$3)-SUMIFS(INDIRECT("'"&amp;$W$74&amp;"'"&amp;"!$d$64:$d$5000"),INDIRECT("'"&amp;$W$74&amp;"'"&amp;"!$A$64:$A$5000"),$X$4)-SUMIFS(INDIRECT("'"&amp;$W$74&amp;"'"&amp;"!$d$64:$d$5000"),INDIRECT("'"&amp;$W$74&amp;"'"&amp;"!$A$64:$A$5000"),$X$3)</f>
        <v>667826.20000000112</v>
      </c>
      <c r="Z78" s="4">
        <f ca="1">SUMIFS(INDIRECT("'"&amp;$W$74&amp;"'"&amp;"!$e$64:$e$5000"),INDIRECT("'"&amp;$W$74&amp;"'"&amp;"!$A$64:$A$5000"),$V$1)-SUMIFS(INDIRECT("'"&amp;$W$74&amp;"'"&amp;"!$e$64:$e$5000"),INDIRECT("'"&amp;$W$74&amp;"'"&amp;"!$A$64:$A$5000"),$V$2)-SUMIFS(INDIRECT("'"&amp;$W$74&amp;"'"&amp;"!$e$64:$e$5000"),INDIRECT("'"&amp;$W$74&amp;"'"&amp;"!$A$64:$A$5000"),$V$3)-SUMIFS(INDIRECT("'"&amp;$W$74&amp;"'"&amp;"!$e$64:$e$5000"),INDIRECT("'"&amp;$W$74&amp;"'"&amp;"!$A$64:$A$5000"),$X$4)-SUMIFS(INDIRECT("'"&amp;$W$74&amp;"'"&amp;"!$e$64:$e$5000"),INDIRECT("'"&amp;$W$74&amp;"'"&amp;"!$A$64:$A$5000"),$X$3)</f>
        <v>503506.20000000007</v>
      </c>
      <c r="AA78" s="4">
        <f ca="1">SUMIFS(INDIRECT("'"&amp;$W$74&amp;"'"&amp;"!$f$64:$f$5000"),INDIRECT("'"&amp;$W$74&amp;"'"&amp;"!$A$64:$A$5000"),$V$1)-SUMIFS(INDIRECT("'"&amp;$W$74&amp;"'"&amp;"!$f$64:$f$5000"),INDIRECT("'"&amp;$W$74&amp;"'"&amp;"!$A$64:$A$5000"),$V$2)-SUMIFS(INDIRECT("'"&amp;$W$74&amp;"'"&amp;"!$f$64:$f$5000"),INDIRECT("'"&amp;$W$74&amp;"'"&amp;"!$A$64:$A$5000"),$V$3)-SUMIFS(INDIRECT("'"&amp;$W$74&amp;"'"&amp;"!$f$64:$f$5000"),INDIRECT("'"&amp;$W$74&amp;"'"&amp;"!$A$64:$A$5000"),$X$4)-SUMIFS(INDIRECT("'"&amp;$W$74&amp;"'"&amp;"!$f$64:$f$5000"),INDIRECT("'"&amp;$W$74&amp;"'"&amp;"!$A$64:$A$5000"),$X$3)</f>
        <v>-793425.5399999998</v>
      </c>
      <c r="AB78" s="4">
        <f ca="1">SUMIFS(INDIRECT("'"&amp;$W$74&amp;"'"&amp;"!$g$64:$g$5000"),INDIRECT("'"&amp;$W$74&amp;"'"&amp;"!$A$64:$A$5000"),$V$1)-SUMIFS(INDIRECT("'"&amp;$W$74&amp;"'"&amp;"!$g$64:$g$5000"),INDIRECT("'"&amp;$W$74&amp;"'"&amp;"!$A$64:$A$5000"),$V$2)-SUMIFS(INDIRECT("'"&amp;$W$74&amp;"'"&amp;"!$g$64:$g$5000"),INDIRECT("'"&amp;$W$74&amp;"'"&amp;"!$A$64:$A$5000"),$V$3)-SUMIFS(INDIRECT("'"&amp;$W$74&amp;"'"&amp;"!$g$64:$g$5000"),INDIRECT("'"&amp;$W$74&amp;"'"&amp;"!$A$64:$A$5000"),$X$4)-SUMIFS(INDIRECT("'"&amp;$W$74&amp;"'"&amp;"!$g$64:$g$5000"),INDIRECT("'"&amp;$W$74&amp;"'"&amp;"!$A$64:$A$5000"),$X$3)</f>
        <v>554264.28000000049</v>
      </c>
      <c r="AC78" s="4">
        <f ca="1">SUMIFS(INDIRECT("'"&amp;$W$74&amp;"'"&amp;"!$h$64:$h$5000"),INDIRECT("'"&amp;$W$74&amp;"'"&amp;"!$A$64:$A$5000"),$V$1)-SUMIFS(INDIRECT("'"&amp;$W$74&amp;"'"&amp;"!$h$64:$h$5000"),INDIRECT("'"&amp;$W$74&amp;"'"&amp;"!$A$64:$A$5000"),$V$2)-SUMIFS(INDIRECT("'"&amp;$W$74&amp;"'"&amp;"!$h$64:$h$5000"),INDIRECT("'"&amp;$W$74&amp;"'"&amp;"!$A$64:$A$5000"),$V$3)-SUMIFS(INDIRECT("'"&amp;$W$74&amp;"'"&amp;"!$h$64:$h$5000"),INDIRECT("'"&amp;$W$74&amp;"'"&amp;"!$A$64:$A$5000"),$X$4)-SUMIFS(INDIRECT("'"&amp;$W$74&amp;"'"&amp;"!$h$64:$h$5000"),INDIRECT("'"&amp;$W$74&amp;"'"&amp;"!$A$64:$A$5000"),$X$3)</f>
        <v>644973.85999999964</v>
      </c>
      <c r="AD78" s="4">
        <f ca="1">SUMIFS(INDIRECT("'"&amp;$W$74&amp;"'"&amp;"!$i$64:$i$5000"),INDIRECT("'"&amp;$W$74&amp;"'"&amp;"!$A$64:$A$5000"),$V$1)-SUMIFS(INDIRECT("'"&amp;$W$74&amp;"'"&amp;"!$i$64:$i$5000"),INDIRECT("'"&amp;$W$74&amp;"'"&amp;"!$A$64:$A$5000"),$V$2)-SUMIFS(INDIRECT("'"&amp;$W$74&amp;"'"&amp;"!$i$64:$i$5000"),INDIRECT("'"&amp;$W$74&amp;"'"&amp;"!$A$64:$A$5000"),$V$3)-SUMIFS(INDIRECT("'"&amp;$W$74&amp;"'"&amp;"!$i$64:$i$5000"),INDIRECT("'"&amp;$W$74&amp;"'"&amp;"!$A$64:$A$5000"),$X$4)-SUMIFS(INDIRECT("'"&amp;$W$74&amp;"'"&amp;"!$i$64:$i$5000"),INDIRECT("'"&amp;$W$74&amp;"'"&amp;"!$A$64:$A$5000"),$X$3)</f>
        <v>723585.73000000056</v>
      </c>
      <c r="AE78" s="4">
        <f ca="1">SUMIFS(INDIRECT("'"&amp;$W$74&amp;"'"&amp;"!$j$64:$j$5000"),INDIRECT("'"&amp;$W$74&amp;"'"&amp;"!$A$64:$A$5000"),$V$1)-SUMIFS(INDIRECT("'"&amp;$W$74&amp;"'"&amp;"!$j$64:$j$5000"),INDIRECT("'"&amp;$W$74&amp;"'"&amp;"!$A$64:$A$5000"),$V$2)-SUMIFS(INDIRECT("'"&amp;$W$74&amp;"'"&amp;"!$j$64:$j$5000"),INDIRECT("'"&amp;$W$74&amp;"'"&amp;"!$A$64:$A$5000"),$V$3)-SUMIFS(INDIRECT("'"&amp;$W$74&amp;"'"&amp;"!$j$64:$j$5000"),INDIRECT("'"&amp;$W$74&amp;"'"&amp;"!$A$64:$A$5000"),$X$4)-SUMIFS(INDIRECT("'"&amp;$W$74&amp;"'"&amp;"!$j$64:$j$5000"),INDIRECT("'"&amp;$W$74&amp;"'"&amp;"!$A$64:$A$5000"),$X$3)</f>
        <v>601436.81999999995</v>
      </c>
      <c r="AF78" s="4">
        <f ca="1">SUMIFS(INDIRECT("'"&amp;$W$74&amp;"'"&amp;"!$k$64:$k$5000"),INDIRECT("'"&amp;$W$74&amp;"'"&amp;"!$A$64:$A$5000"),$V$1)-SUMIFS(INDIRECT("'"&amp;$W$74&amp;"'"&amp;"!$k$64:$k$5000"),INDIRECT("'"&amp;$W$74&amp;"'"&amp;"!$A$64:$A$5000"),$V$2)-SUMIFS(INDIRECT("'"&amp;$W$74&amp;"'"&amp;"!$k$64:$k$5000"),INDIRECT("'"&amp;$W$74&amp;"'"&amp;"!$A$64:$A$5000"),$V$3)-SUMIFS(INDIRECT("'"&amp;$W$74&amp;"'"&amp;"!$k$64:$k$5000"),INDIRECT("'"&amp;$W$74&amp;"'"&amp;"!$A$64:$A$5000"),$X$4)-SUMIFS(INDIRECT("'"&amp;$W$74&amp;"'"&amp;"!$k$64:$k$5000"),INDIRECT("'"&amp;$W$74&amp;"'"&amp;"!$A$64:$A$5000"),$X$3)</f>
        <v>555324.11000000057</v>
      </c>
      <c r="AG78" s="4">
        <f ca="1">SUMIFS(INDIRECT("'"&amp;$W$74&amp;"'"&amp;"!$l$64:$l$5000"),INDIRECT("'"&amp;$W$74&amp;"'"&amp;"!$A$64:$A$5000"),$V$1)-SUMIFS(INDIRECT("'"&amp;$W$74&amp;"'"&amp;"!$l$64:$l$5000"),INDIRECT("'"&amp;$W$74&amp;"'"&amp;"!$A$64:$A$5000"),$V$2)-SUMIFS(INDIRECT("'"&amp;$W$74&amp;"'"&amp;"!$l$64:$l$5000"),INDIRECT("'"&amp;$W$74&amp;"'"&amp;"!$A$64:$A$5000"),$V$3)-SUMIFS(INDIRECT("'"&amp;$W$74&amp;"'"&amp;"!$l$64:$l$5000"),INDIRECT("'"&amp;$W$74&amp;"'"&amp;"!$A$64:$A$5000"),$X$4)-SUMIFS(INDIRECT("'"&amp;$W$74&amp;"'"&amp;"!$l$64:$l$5000"),INDIRECT("'"&amp;$W$74&amp;"'"&amp;"!$A$64:$A$5000"),$X$3)</f>
        <v>-3079584.7999999989</v>
      </c>
      <c r="AH78" s="4"/>
      <c r="AJ78" s="14">
        <f t="shared" ref="AJ78:AT79" ca="1" si="148">W78-G78</f>
        <v>-0.79999999946448952</v>
      </c>
      <c r="AK78" s="14">
        <f t="shared" ca="1" si="148"/>
        <v>0.38000000000465661</v>
      </c>
      <c r="AL78" s="14">
        <f t="shared" ca="1" si="148"/>
        <v>-0.79999999888241291</v>
      </c>
      <c r="AM78" s="14">
        <f t="shared" ca="1" si="148"/>
        <v>-0.79999999993015081</v>
      </c>
      <c r="AN78" s="14">
        <f t="shared" ca="1" si="148"/>
        <v>-1301156.5399999998</v>
      </c>
      <c r="AO78" s="14">
        <f t="shared" ca="1" si="148"/>
        <v>-0.71999999950639904</v>
      </c>
      <c r="AP78" s="14">
        <f t="shared" ca="1" si="148"/>
        <v>-1.1400000003632158</v>
      </c>
      <c r="AQ78" s="14">
        <f t="shared" ca="1" si="148"/>
        <v>-0.26999999943654984</v>
      </c>
      <c r="AR78" s="14">
        <f t="shared" ca="1" si="148"/>
        <v>-0.18000000005122274</v>
      </c>
      <c r="AS78" s="14">
        <f t="shared" ca="1" si="148"/>
        <v>-0.88999999943189323</v>
      </c>
      <c r="AT78" s="14">
        <f t="shared" ca="1" si="148"/>
        <v>-3554925.7999999989</v>
      </c>
      <c r="AU78" s="14"/>
    </row>
    <row r="79" spans="1:47" s="12" customFormat="1">
      <c r="A79" s="12">
        <f t="shared" si="146"/>
        <v>7</v>
      </c>
      <c r="B79"/>
      <c r="C79" t="str">
        <f>$F75</f>
        <v>Park Manor of McKinney</v>
      </c>
      <c r="D79" s="3" t="str">
        <f t="shared" si="44"/>
        <v>T_OPEX - Tenant Operating Expenses</v>
      </c>
      <c r="E79"/>
      <c r="F79" s="19" t="str">
        <f>_xll.EVDES(D79)</f>
        <v>Tenant Operating Expenses</v>
      </c>
      <c r="G79" s="61">
        <f ca="1">SUMIFS(OFFSET('BPC Data'!$F:$F,0,Summary!G$2),'BPC Data'!$E:$E,Summary!$D79,'BPC Data'!$B:$B,Summary!$C79)</f>
        <v>523584</v>
      </c>
      <c r="H79" s="65">
        <f ca="1">SUMIFS(OFFSET('BPC Data'!$F:$F,0,Summary!H$2),'BPC Data'!$E:$E,Summary!$D79,'BPC Data'!$B:$B,Summary!$C79)</f>
        <v>555217</v>
      </c>
      <c r="I79" s="61">
        <f ca="1">SUMIFS(OFFSET('BPC Data'!$F:$F,0,Summary!I$2),'BPC Data'!$E:$E,Summary!$D79,'BPC Data'!$B:$B,Summary!$C79)</f>
        <v>536180</v>
      </c>
      <c r="J79" s="65">
        <f ca="1">SUMIFS(OFFSET('BPC Data'!$F:$F,0,Summary!J$2),'BPC Data'!$E:$E,Summary!$D79,'BPC Data'!$B:$B,Summary!$C79)</f>
        <v>488007</v>
      </c>
      <c r="K79" s="61">
        <f ca="1">SUMIFS(OFFSET('BPC Data'!$F:$F,0,Summary!K$2),'BPC Data'!$E:$E,Summary!$D79,'BPC Data'!$B:$B,Summary!$C79)</f>
        <v>441540</v>
      </c>
      <c r="L79" s="65">
        <f ca="1">SUMIFS(OFFSET('BPC Data'!$F:$F,0,Summary!L$2),'BPC Data'!$E:$E,Summary!$D79,'BPC Data'!$B:$B,Summary!$C79)</f>
        <v>506721</v>
      </c>
      <c r="M79" s="61">
        <f ca="1">SUMIFS(OFFSET('BPC Data'!$F:$F,0,Summary!M$2),'BPC Data'!$E:$E,Summary!$D79,'BPC Data'!$B:$B,Summary!$C79)</f>
        <v>505492</v>
      </c>
      <c r="N79" s="65">
        <f ca="1">SUMIFS(OFFSET('BPC Data'!$F:$F,0,Summary!N$2),'BPC Data'!$E:$E,Summary!$D79,'BPC Data'!$B:$B,Summary!$C79)</f>
        <v>581160</v>
      </c>
      <c r="O79" s="61">
        <f ca="1">SUMIFS(OFFSET('BPC Data'!$F:$F,0,Summary!O$2),'BPC Data'!$E:$E,Summary!$D79,'BPC Data'!$B:$B,Summary!$C79)</f>
        <v>483920</v>
      </c>
      <c r="P79" s="65">
        <f ca="1">SUMIFS(OFFSET('BPC Data'!$F:$F,0,Summary!P$2),'BPC Data'!$E:$E,Summary!$D79,'BPC Data'!$B:$B,Summary!$C79)</f>
        <v>408082</v>
      </c>
      <c r="Q79" s="61">
        <f ca="1">SUMIFS(OFFSET('BPC Data'!$F:$F,0,Summary!Q$2),'BPC Data'!$E:$E,Summary!$D79,'BPC Data'!$B:$B,Summary!$C79)</f>
        <v>391266</v>
      </c>
      <c r="R79" s="65">
        <f ca="1">SUMIFS(OFFSET('BPC Data'!$F:$F,0,Summary!R$2),'BPC Data'!$E:$E,Summary!$D79,'BPC Data'!$B:$B,Summary!$C79)</f>
        <v>0</v>
      </c>
      <c r="S79" s="23">
        <f t="shared" ca="1" si="147"/>
        <v>5421169</v>
      </c>
      <c r="T79" s="74">
        <f ca="1">SUM(W79:AG79)</f>
        <v>2665526.2199999997</v>
      </c>
      <c r="U79" s="54">
        <f ca="1">T79-S79</f>
        <v>-2755642.7800000003</v>
      </c>
      <c r="W79" s="4">
        <f ca="1">SUMIFS(INDIRECT("'"&amp;$W$74&amp;"'"&amp;"!$B$64:$B$5000"),INDIRECT("'"&amp;$W$74&amp;"'"&amp;"!$A$64:$A$5000"),$V$4)-SUMIFS(INDIRECT("'"&amp;$W$74&amp;"'"&amp;"!$B$64:$B$5000"),INDIRECT("'"&amp;$W$74&amp;"'"&amp;"!$A$64:$A$5000"),$V$5)-SUMIFS(INDIRECT("'"&amp;$W$74&amp;"'"&amp;"!$B$64:$B$5000"),INDIRECT("'"&amp;$W$74&amp;"'"&amp;"!$A$64:$A$5000"),$V$6)-SUMIFS(INDIRECT("'"&amp;$W$74&amp;"'"&amp;"!$B$64:$B$5000"),INDIRECT("'"&amp;$W$74&amp;"'"&amp;"!$A$64:$A$5000"),$W$6)-SUMIFS(INDIRECT("'"&amp;$W$74&amp;"'"&amp;"!$B$64:$B$5000"),INDIRECT("'"&amp;$W$74&amp;"'"&amp;"!$A$64:$A$5000"),$W$7)-SUMIFS(INDIRECT("'"&amp;$W$74&amp;"'"&amp;"!$B$64:$B$5000"),INDIRECT("'"&amp;$W$74&amp;"'"&amp;"!$A$64:$A$5000"),$X$3)-W84-W82</f>
        <v>523583.47000000044</v>
      </c>
      <c r="X79" s="4">
        <f ca="1">SUMIFS(INDIRECT("'"&amp;$W$74&amp;"'"&amp;"!$c$64:$c$5000"),INDIRECT("'"&amp;$W$74&amp;"'"&amp;"!$A$64:$A$5000"),$V$4)-SUMIFS(INDIRECT("'"&amp;$W$74&amp;"'"&amp;"!$c$64:$c$5000"),INDIRECT("'"&amp;$W$74&amp;"'"&amp;"!$A$64:$A$5000"),$V$5)-SUMIFS(INDIRECT("'"&amp;$W$74&amp;"'"&amp;"!$c$64:$c$5000"),INDIRECT("'"&amp;$W$74&amp;"'"&amp;"!$A$64:$A$5000"),$V$6)-SUMIFS(INDIRECT("'"&amp;$W$74&amp;"'"&amp;"!$c$64:$c$5000"),INDIRECT("'"&amp;$W$74&amp;"'"&amp;"!$A$64:$A$5000"),$W$6)-SUMIFS(INDIRECT("'"&amp;$W$74&amp;"'"&amp;"!$c$64:$c$5000"),INDIRECT("'"&amp;$W$74&amp;"'"&amp;"!$A$64:$A$5000"),$W$7)-SUMIFS(INDIRECT("'"&amp;$W$74&amp;"'"&amp;"!$c$64:$c$5000"),INDIRECT("'"&amp;$W$74&amp;"'"&amp;"!$A$64:$A$5000"),$X$3)-X84-X82</f>
        <v>555216.78</v>
      </c>
      <c r="Y79" s="4">
        <f ca="1">SUMIFS(INDIRECT("'"&amp;$W$74&amp;"'"&amp;"!$d$64:$d$5000"),INDIRECT("'"&amp;$W$74&amp;"'"&amp;"!$A$64:$A$5000"),$V$4)-SUMIFS(INDIRECT("'"&amp;$W$74&amp;"'"&amp;"!$d$64:$d$5000"),INDIRECT("'"&amp;$W$74&amp;"'"&amp;"!$A$64:$A$5000"),$V$5)-SUMIFS(INDIRECT("'"&amp;$W$74&amp;"'"&amp;"!$d$64:$d$5000"),INDIRECT("'"&amp;$W$74&amp;"'"&amp;"!$A$64:$A$5000"),$V$6)-SUMIFS(INDIRECT("'"&amp;$W$74&amp;"'"&amp;"!$d$64:$d$5000"),INDIRECT("'"&amp;$W$74&amp;"'"&amp;"!$A$64:$A$5000"),$W$6)-SUMIFS(INDIRECT("'"&amp;$W$74&amp;"'"&amp;"!$d$64:$d$5000"),INDIRECT("'"&amp;$W$74&amp;"'"&amp;"!$A$64:$A$5000"),$W$7)-SUMIFS(INDIRECT("'"&amp;$W$74&amp;"'"&amp;"!$d$64:$d$5000"),INDIRECT("'"&amp;$W$74&amp;"'"&amp;"!$A$64:$A$5000"),$X$3)-Y84-Y82</f>
        <v>536179.69999999972</v>
      </c>
      <c r="Z79" s="4">
        <f ca="1">SUMIFS(INDIRECT("'"&amp;$W$74&amp;"'"&amp;"!$e$64:$e$5000"),INDIRECT("'"&amp;$W$74&amp;"'"&amp;"!$A$64:$A$5000"),$V$4)-SUMIFS(INDIRECT("'"&amp;$W$74&amp;"'"&amp;"!$e$64:$e$5000"),INDIRECT("'"&amp;$W$74&amp;"'"&amp;"!$A$64:$A$5000"),$V$5)-SUMIFS(INDIRECT("'"&amp;$W$74&amp;"'"&amp;"!$e$64:$e$5000"),INDIRECT("'"&amp;$W$74&amp;"'"&amp;"!$A$64:$A$5000"),$V$6)-SUMIFS(INDIRECT("'"&amp;$W$74&amp;"'"&amp;"!$e$64:$e$5000"),INDIRECT("'"&amp;$W$74&amp;"'"&amp;"!$A$64:$A$5000"),$W$6)-SUMIFS(INDIRECT("'"&amp;$W$74&amp;"'"&amp;"!$e$64:$e$5000"),INDIRECT("'"&amp;$W$74&amp;"'"&amp;"!$A$64:$A$5000"),$W$7)-SUMIFS(INDIRECT("'"&amp;$W$74&amp;"'"&amp;"!$e$64:$e$5000"),INDIRECT("'"&amp;$W$74&amp;"'"&amp;"!$A$64:$A$5000"),$X$3)-Z84-Z82</f>
        <v>488006.76999999973</v>
      </c>
      <c r="AA79" s="4">
        <f ca="1">SUMIFS(INDIRECT("'"&amp;$W$74&amp;"'"&amp;"!$f$64:$f$5000"),INDIRECT("'"&amp;$W$74&amp;"'"&amp;"!$A$64:$A$5000"),$V$4)-SUMIFS(INDIRECT("'"&amp;$W$74&amp;"'"&amp;"!$f$64:$f$5000"),INDIRECT("'"&amp;$W$74&amp;"'"&amp;"!$A$64:$A$5000"),$V$5)-SUMIFS(INDIRECT("'"&amp;$W$74&amp;"'"&amp;"!$f$64:$f$5000"),INDIRECT("'"&amp;$W$74&amp;"'"&amp;"!$A$64:$A$5000"),$V$6)-SUMIFS(INDIRECT("'"&amp;$W$74&amp;"'"&amp;"!$f$64:$f$5000"),INDIRECT("'"&amp;$W$74&amp;"'"&amp;"!$A$64:$A$5000"),$W$6)-SUMIFS(INDIRECT("'"&amp;$W$74&amp;"'"&amp;"!$f$64:$f$5000"),INDIRECT("'"&amp;$W$74&amp;"'"&amp;"!$A$64:$A$5000"),$W$7)-SUMIFS(INDIRECT("'"&amp;$W$74&amp;"'"&amp;"!$f$64:$f$5000"),INDIRECT("'"&amp;$W$74&amp;"'"&amp;"!$A$64:$A$5000"),$X$3)-AA84-AA82</f>
        <v>562539.50000000035</v>
      </c>
      <c r="AB79" s="4">
        <f ca="1">SUMIFS(INDIRECT("'"&amp;$W$74&amp;"'"&amp;"!$g$64:$g$5000"),INDIRECT("'"&amp;$W$74&amp;"'"&amp;"!$A$64:$A$5000"),$V$4)-SUMIFS(INDIRECT("'"&amp;$W$74&amp;"'"&amp;"!$g$64:$g$5000"),INDIRECT("'"&amp;$W$74&amp;"'"&amp;"!$A$64:$A$5000"),$V$5)-SUMIFS(INDIRECT("'"&amp;$W$74&amp;"'"&amp;"!$g$64:$g$5000"),INDIRECT("'"&amp;$W$74&amp;"'"&amp;"!$A$64:$A$5000"),$V$6)-SUMIFS(INDIRECT("'"&amp;$W$74&amp;"'"&amp;"!$g$64:$g$5000"),INDIRECT("'"&amp;$W$74&amp;"'"&amp;"!$A$64:$A$5000"),$W$6)-SUMIFS(INDIRECT("'"&amp;$W$74&amp;"'"&amp;"!$g$64:$g$5000"),INDIRECT("'"&amp;$W$74&amp;"'"&amp;"!$A$64:$A$5000"),$W$7)-SUMIFS(INDIRECT("'"&amp;$W$74&amp;"'"&amp;"!$g$64:$g$5000"),INDIRECT("'"&amp;$W$74&amp;"'"&amp;"!$A$64:$A$5000"),$X$3)-AB84-AB82</f>
        <v>506721.0000000007</v>
      </c>
      <c r="AC79" s="4">
        <f ca="1">SUMIFS(INDIRECT("'"&amp;$W$74&amp;"'"&amp;"!$h$64:$h$5000"),INDIRECT("'"&amp;$W$74&amp;"'"&amp;"!$A$64:$A$5000"),$V$4)-SUMIFS(INDIRECT("'"&amp;$W$74&amp;"'"&amp;"!$h$64:$h$5000"),INDIRECT("'"&amp;$W$74&amp;"'"&amp;"!$A$64:$A$5000"),$V$5)-SUMIFS(INDIRECT("'"&amp;$W$74&amp;"'"&amp;"!$h$64:$h$5000"),INDIRECT("'"&amp;$W$74&amp;"'"&amp;"!$A$64:$A$5000"),$V$6)-SUMIFS(INDIRECT("'"&amp;$W$74&amp;"'"&amp;"!$h$64:$h$5000"),INDIRECT("'"&amp;$W$74&amp;"'"&amp;"!$A$64:$A$5000"),$W$6)-SUMIFS(INDIRECT("'"&amp;$W$74&amp;"'"&amp;"!$h$64:$h$5000"),INDIRECT("'"&amp;$W$74&amp;"'"&amp;"!$A$64:$A$5000"),$W$7)-SUMIFS(INDIRECT("'"&amp;$W$74&amp;"'"&amp;"!$h$64:$h$5000"),INDIRECT("'"&amp;$W$74&amp;"'"&amp;"!$A$64:$A$5000"),$X$3)-AC84-AC82</f>
        <v>505489.73000000021</v>
      </c>
      <c r="AD79" s="4">
        <f ca="1">SUMIFS(INDIRECT("'"&amp;$W$74&amp;"'"&amp;"!$i$64:$i$5000"),INDIRECT("'"&amp;$W$74&amp;"'"&amp;"!$A$64:$A$5000"),$V$4)-SUMIFS(INDIRECT("'"&amp;$W$74&amp;"'"&amp;"!$i$64:$i$5000"),INDIRECT("'"&amp;$W$74&amp;"'"&amp;"!$A$64:$A$5000"),$V$5)-SUMIFS(INDIRECT("'"&amp;$W$74&amp;"'"&amp;"!$i$64:$i$5000"),INDIRECT("'"&amp;$W$74&amp;"'"&amp;"!$A$64:$A$5000"),$V$6)-SUMIFS(INDIRECT("'"&amp;$W$74&amp;"'"&amp;"!$i$64:$i$5000"),INDIRECT("'"&amp;$W$74&amp;"'"&amp;"!$A$64:$A$5000"),$W$6)-SUMIFS(INDIRECT("'"&amp;$W$74&amp;"'"&amp;"!$i$64:$i$5000"),INDIRECT("'"&amp;$W$74&amp;"'"&amp;"!$A$64:$A$5000"),$W$7)-SUMIFS(INDIRECT("'"&amp;$W$74&amp;"'"&amp;"!$i$64:$i$5000"),INDIRECT("'"&amp;$W$74&amp;"'"&amp;"!$A$64:$A$5000"),$X$3)-AD84-AD82</f>
        <v>581160.83999999985</v>
      </c>
      <c r="AE79" s="4">
        <f ca="1">SUMIFS(INDIRECT("'"&amp;$W$74&amp;"'"&amp;"!$j$64:$j$5000"),INDIRECT("'"&amp;$W$74&amp;"'"&amp;"!$A$64:$A$5000"),$V$4)-SUMIFS(INDIRECT("'"&amp;$W$74&amp;"'"&amp;"!$j$64:$j$5000"),INDIRECT("'"&amp;$W$74&amp;"'"&amp;"!$A$64:$A$5000"),$V$5)-SUMIFS(INDIRECT("'"&amp;$W$74&amp;"'"&amp;"!$j$64:$j$5000"),INDIRECT("'"&amp;$W$74&amp;"'"&amp;"!$A$64:$A$5000"),$V$6)-SUMIFS(INDIRECT("'"&amp;$W$74&amp;"'"&amp;"!$j$64:$j$5000"),INDIRECT("'"&amp;$W$74&amp;"'"&amp;"!$A$64:$A$5000"),$W$6)-SUMIFS(INDIRECT("'"&amp;$W$74&amp;"'"&amp;"!$j$64:$j$5000"),INDIRECT("'"&amp;$W$74&amp;"'"&amp;"!$A$64:$A$5000"),$W$7)-SUMIFS(INDIRECT("'"&amp;$W$74&amp;"'"&amp;"!$j$64:$j$5000"),INDIRECT("'"&amp;$W$74&amp;"'"&amp;"!$A$64:$A$5000"),$X$3)-AE84-AE82</f>
        <v>483920.60000000003</v>
      </c>
      <c r="AF79" s="4">
        <f ca="1">SUMIFS(INDIRECT("'"&amp;$W$74&amp;"'"&amp;"!$k$64:$k$5000"),INDIRECT("'"&amp;$W$74&amp;"'"&amp;"!$A$64:$A$5000"),$V$4)-SUMIFS(INDIRECT("'"&amp;$W$74&amp;"'"&amp;"!$k$64:$k$5000"),INDIRECT("'"&amp;$W$74&amp;"'"&amp;"!$A$64:$A$5000"),$V$5)-SUMIFS(INDIRECT("'"&amp;$W$74&amp;"'"&amp;"!$k$64:$k$5000"),INDIRECT("'"&amp;$W$74&amp;"'"&amp;"!$A$64:$A$5000"),$V$6)-SUMIFS(INDIRECT("'"&amp;$W$74&amp;"'"&amp;"!$k$64:$k$5000"),INDIRECT("'"&amp;$W$74&amp;"'"&amp;"!$A$64:$A$5000"),$W$6)-SUMIFS(INDIRECT("'"&amp;$W$74&amp;"'"&amp;"!$k$64:$k$5000"),INDIRECT("'"&amp;$W$74&amp;"'"&amp;"!$A$64:$A$5000"),$W$7)-SUMIFS(INDIRECT("'"&amp;$W$74&amp;"'"&amp;"!$k$64:$k$5000"),INDIRECT("'"&amp;$W$74&amp;"'"&amp;"!$A$64:$A$5000"),$X$3)-AF84-AF82</f>
        <v>408080.40999999968</v>
      </c>
      <c r="AG79" s="4">
        <f ca="1">SUMIFS(INDIRECT("'"&amp;$W$74&amp;"'"&amp;"!$l$64:$l$5000"),INDIRECT("'"&amp;$W$74&amp;"'"&amp;"!$A$64:$A$5000"),$V$4)-SUMIFS(INDIRECT("'"&amp;$W$74&amp;"'"&amp;"!$l$64:$l$5000"),INDIRECT("'"&amp;$W$74&amp;"'"&amp;"!$A$64:$A$5000"),$V$5)-SUMIFS(INDIRECT("'"&amp;$W$74&amp;"'"&amp;"!$l$64:$l$5000"),INDIRECT("'"&amp;$W$74&amp;"'"&amp;"!$A$64:$A$5000"),$V$6)-SUMIFS(INDIRECT("'"&amp;$W$74&amp;"'"&amp;"!$l$64:$l$5000"),INDIRECT("'"&amp;$W$74&amp;"'"&amp;"!$A$64:$A$5000"),$W$6)-SUMIFS(INDIRECT("'"&amp;$W$74&amp;"'"&amp;"!$l$64:$l$5000"),INDIRECT("'"&amp;$W$74&amp;"'"&amp;"!$A$64:$A$5000"),$W$7)-SUMIFS(INDIRECT("'"&amp;$W$74&amp;"'"&amp;"!$l$64:$l$5000"),INDIRECT("'"&amp;$W$74&amp;"'"&amp;"!$A$64:$A$5000"),$X$3)-AG84-AG82</f>
        <v>-2485372.580000001</v>
      </c>
      <c r="AH79" s="4"/>
      <c r="AJ79" s="14">
        <f t="shared" ca="1" si="148"/>
        <v>-0.52999999956227839</v>
      </c>
      <c r="AK79" s="14">
        <f t="shared" ca="1" si="148"/>
        <v>-0.21999999997206032</v>
      </c>
      <c r="AL79" s="14">
        <f t="shared" ca="1" si="148"/>
        <v>-0.30000000027939677</v>
      </c>
      <c r="AM79" s="14">
        <f t="shared" ca="1" si="148"/>
        <v>-0.23000000027241185</v>
      </c>
      <c r="AN79" s="14">
        <f t="shared" ca="1" si="148"/>
        <v>120999.50000000035</v>
      </c>
      <c r="AO79" s="14">
        <f t="shared" ca="1" si="148"/>
        <v>6.9849193096160889E-10</v>
      </c>
      <c r="AP79" s="14">
        <f t="shared" ca="1" si="148"/>
        <v>-2.2699999997857958</v>
      </c>
      <c r="AQ79" s="14">
        <f t="shared" ca="1" si="148"/>
        <v>0.83999999985098839</v>
      </c>
      <c r="AR79" s="14">
        <f t="shared" ca="1" si="148"/>
        <v>0.6000000000349246</v>
      </c>
      <c r="AS79" s="14">
        <f t="shared" ca="1" si="148"/>
        <v>-1.5900000003166497</v>
      </c>
      <c r="AT79" s="14">
        <f t="shared" ca="1" si="148"/>
        <v>-2876638.580000001</v>
      </c>
      <c r="AU79" s="14"/>
    </row>
    <row r="80" spans="1:47" s="12" customFormat="1">
      <c r="A80" s="12">
        <f t="shared" si="146"/>
        <v>7</v>
      </c>
      <c r="B80"/>
      <c r="C80" t="str">
        <f>$F75</f>
        <v>Park Manor of McKinney</v>
      </c>
      <c r="D80" s="3" t="str">
        <f t="shared" si="44"/>
        <v>T_BAD_DEBT - Tenant Bad Debt Expense</v>
      </c>
      <c r="E80"/>
      <c r="F80" s="19" t="str">
        <f>_xll.EVDES(D80)</f>
        <v>Tenant Bad Debt Expense</v>
      </c>
      <c r="G80" s="61">
        <f ca="1">SUMIFS(OFFSET('BPC Data'!$F:$F,0,Summary!G$2),'BPC Data'!$E:$E,Summary!$D80,'BPC Data'!$B:$B,Summary!$C80)</f>
        <v>13081</v>
      </c>
      <c r="H80" s="65">
        <f ca="1">SUMIFS(OFFSET('BPC Data'!$F:$F,0,Summary!H$2),'BPC Data'!$E:$E,Summary!$D80,'BPC Data'!$B:$B,Summary!$C80)</f>
        <v>12178</v>
      </c>
      <c r="I80" s="61">
        <f ca="1">SUMIFS(OFFSET('BPC Data'!$F:$F,0,Summary!I$2),'BPC Data'!$E:$E,Summary!$D80,'BPC Data'!$B:$B,Summary!$C80)</f>
        <v>11956</v>
      </c>
      <c r="J80" s="65">
        <f ca="1">SUMIFS(OFFSET('BPC Data'!$F:$F,0,Summary!J$2),'BPC Data'!$E:$E,Summary!$D80,'BPC Data'!$B:$B,Summary!$C80)</f>
        <v>9111</v>
      </c>
      <c r="K80" s="61">
        <f ca="1">SUMIFS(OFFSET('BPC Data'!$F:$F,0,Summary!K$2),'BPC Data'!$E:$E,Summary!$D80,'BPC Data'!$B:$B,Summary!$C80)</f>
        <v>32964</v>
      </c>
      <c r="L80" s="65">
        <f ca="1">SUMIFS(OFFSET('BPC Data'!$F:$F,0,Summary!L$2),'BPC Data'!$E:$E,Summary!$D80,'BPC Data'!$B:$B,Summary!$C80)</f>
        <v>9983</v>
      </c>
      <c r="M80" s="61">
        <f ca="1">SUMIFS(OFFSET('BPC Data'!$F:$F,0,Summary!M$2),'BPC Data'!$E:$E,Summary!$D80,'BPC Data'!$B:$B,Summary!$C80)</f>
        <v>16556</v>
      </c>
      <c r="N80" s="65">
        <f ca="1">SUMIFS(OFFSET('BPC Data'!$F:$F,0,Summary!N$2),'BPC Data'!$E:$E,Summary!$D80,'BPC Data'!$B:$B,Summary!$C80)</f>
        <v>11434</v>
      </c>
      <c r="O80" s="61">
        <f ca="1">SUMIFS(OFFSET('BPC Data'!$F:$F,0,Summary!O$2),'BPC Data'!$E:$E,Summary!$D80,'BPC Data'!$B:$B,Summary!$C80)</f>
        <v>11403</v>
      </c>
      <c r="P80" s="65">
        <f ca="1">SUMIFS(OFFSET('BPC Data'!$F:$F,0,Summary!P$2),'BPC Data'!$E:$E,Summary!$D80,'BPC Data'!$B:$B,Summary!$C80)</f>
        <v>10413</v>
      </c>
      <c r="Q80" s="61">
        <f ca="1">SUMIFS(OFFSET('BPC Data'!$F:$F,0,Summary!Q$2),'BPC Data'!$E:$E,Summary!$D80,'BPC Data'!$B:$B,Summary!$C80)</f>
        <v>9507</v>
      </c>
      <c r="R80" s="65">
        <f ca="1">SUMIFS(OFFSET('BPC Data'!$F:$F,0,Summary!R$2),'BPC Data'!$E:$E,Summary!$D80,'BPC Data'!$B:$B,Summary!$C80)</f>
        <v>0</v>
      </c>
      <c r="S80" s="23">
        <f t="shared" ca="1" si="147"/>
        <v>148586</v>
      </c>
      <c r="T80" s="75"/>
      <c r="U80" s="4"/>
      <c r="W80"/>
      <c r="X80"/>
      <c r="Y80"/>
      <c r="Z80"/>
      <c r="AA80"/>
      <c r="AB80"/>
      <c r="AC80"/>
      <c r="AD80"/>
      <c r="AE80"/>
      <c r="AF80"/>
      <c r="AG80"/>
      <c r="AH80"/>
      <c r="AJ80" s="14"/>
      <c r="AK80" s="49"/>
      <c r="AL80" s="49"/>
      <c r="AM80" s="49"/>
      <c r="AN80" s="49"/>
      <c r="AO80" s="49"/>
      <c r="AP80" s="49"/>
      <c r="AQ80" s="49"/>
      <c r="AR80" s="49"/>
      <c r="AS80" s="49"/>
      <c r="AT80" s="49"/>
      <c r="AU80" s="49"/>
    </row>
    <row r="81" spans="1:47" s="12" customFormat="1">
      <c r="A81" s="12">
        <f t="shared" si="146"/>
        <v>7</v>
      </c>
      <c r="B81"/>
      <c r="C81" t="str">
        <f>$F75</f>
        <v>Park Manor of McKinney</v>
      </c>
      <c r="D81" s="2" t="str">
        <f t="shared" si="44"/>
        <v>T_EBITDARM - EBITDARM</v>
      </c>
      <c r="E81"/>
      <c r="F81" s="19" t="str">
        <f>_xll.EVDES(D81)</f>
        <v>EBITDARM</v>
      </c>
      <c r="G81" s="61">
        <f ca="1">SUMIFS(OFFSET('BPC Data'!$F:$F,0,Summary!G$2),'BPC Data'!$E:$E,Summary!$D81,'BPC Data'!$B:$B,Summary!$C81)</f>
        <v>97030</v>
      </c>
      <c r="H81" s="65">
        <f ca="1">SUMIFS(OFFSET('BPC Data'!$F:$F,0,Summary!H$2),'BPC Data'!$E:$E,Summary!$D81,'BPC Data'!$B:$B,Summary!$C81)</f>
        <v>117705</v>
      </c>
      <c r="I81" s="61">
        <f ca="1">SUMIFS(OFFSET('BPC Data'!$F:$F,0,Summary!I$2),'BPC Data'!$E:$E,Summary!$D81,'BPC Data'!$B:$B,Summary!$C81)</f>
        <v>131647</v>
      </c>
      <c r="J81" s="65">
        <f ca="1">SUMIFS(OFFSET('BPC Data'!$F:$F,0,Summary!J$2),'BPC Data'!$E:$E,Summary!$D81,'BPC Data'!$B:$B,Summary!$C81)</f>
        <v>15500</v>
      </c>
      <c r="K81" s="61">
        <f ca="1">SUMIFS(OFFSET('BPC Data'!$F:$F,0,Summary!K$2),'BPC Data'!$E:$E,Summary!$D81,'BPC Data'!$B:$B,Summary!$C81)</f>
        <v>66191</v>
      </c>
      <c r="L81" s="65">
        <f ca="1">SUMIFS(OFFSET('BPC Data'!$F:$F,0,Summary!L$2),'BPC Data'!$E:$E,Summary!$D81,'BPC Data'!$B:$B,Summary!$C81)</f>
        <v>47544</v>
      </c>
      <c r="M81" s="61">
        <f ca="1">SUMIFS(OFFSET('BPC Data'!$F:$F,0,Summary!M$2),'BPC Data'!$E:$E,Summary!$D81,'BPC Data'!$B:$B,Summary!$C81)</f>
        <v>139483</v>
      </c>
      <c r="N81" s="65">
        <f ca="1">SUMIFS(OFFSET('BPC Data'!$F:$F,0,Summary!N$2),'BPC Data'!$E:$E,Summary!$D81,'BPC Data'!$B:$B,Summary!$C81)</f>
        <v>142426</v>
      </c>
      <c r="O81" s="61">
        <f ca="1">SUMIFS(OFFSET('BPC Data'!$F:$F,0,Summary!O$2),'BPC Data'!$E:$E,Summary!$D81,'BPC Data'!$B:$B,Summary!$C81)</f>
        <v>117517</v>
      </c>
      <c r="P81" s="65">
        <f ca="1">SUMIFS(OFFSET('BPC Data'!$F:$F,0,Summary!P$2),'BPC Data'!$E:$E,Summary!$D81,'BPC Data'!$B:$B,Summary!$C81)</f>
        <v>147243</v>
      </c>
      <c r="Q81" s="61">
        <f ca="1">SUMIFS(OFFSET('BPC Data'!$F:$F,0,Summary!Q$2),'BPC Data'!$E:$E,Summary!$D81,'BPC Data'!$B:$B,Summary!$C81)</f>
        <v>84075</v>
      </c>
      <c r="R81" s="65">
        <f ca="1">SUMIFS(OFFSET('BPC Data'!$F:$F,0,Summary!R$2),'BPC Data'!$E:$E,Summary!$D81,'BPC Data'!$B:$B,Summary!$C81)</f>
        <v>58</v>
      </c>
      <c r="S81" s="23">
        <f t="shared" ca="1" si="147"/>
        <v>1106361</v>
      </c>
      <c r="T81" s="74">
        <f ca="1">SUM(W81:AG81)</f>
        <v>-994083.77999999537</v>
      </c>
      <c r="U81" s="54">
        <f ca="1">T81-S81</f>
        <v>-2100444.7799999956</v>
      </c>
      <c r="W81" s="50">
        <f t="shared" ref="W81:AB81" ca="1" si="149">W78-W79</f>
        <v>97029.730000000098</v>
      </c>
      <c r="X81" s="50">
        <f t="shared" ca="1" si="149"/>
        <v>117705.59999999998</v>
      </c>
      <c r="Y81" s="50">
        <f t="shared" ca="1" si="149"/>
        <v>131646.5000000014</v>
      </c>
      <c r="Z81" s="50">
        <f t="shared" ca="1" si="149"/>
        <v>15499.430000000342</v>
      </c>
      <c r="AA81" s="50">
        <f t="shared" ca="1" si="149"/>
        <v>-1355965.04</v>
      </c>
      <c r="AB81" s="50">
        <f t="shared" ca="1" si="149"/>
        <v>47543.279999999795</v>
      </c>
      <c r="AC81" s="50">
        <f t="shared" ref="AC81:AG81" ca="1" si="150">AC78-AC79</f>
        <v>139484.12999999942</v>
      </c>
      <c r="AD81" s="50">
        <f t="shared" ca="1" si="150"/>
        <v>142424.89000000071</v>
      </c>
      <c r="AE81" s="50">
        <f t="shared" ca="1" si="150"/>
        <v>117516.21999999991</v>
      </c>
      <c r="AF81" s="50">
        <f t="shared" ca="1" si="150"/>
        <v>147243.70000000088</v>
      </c>
      <c r="AG81" s="50">
        <f t="shared" ca="1" si="150"/>
        <v>-594212.21999999788</v>
      </c>
      <c r="AH81" s="50"/>
      <c r="AJ81" s="14">
        <f t="shared" ref="AJ81:AT84" ca="1" si="151">W81-G81</f>
        <v>-0.26999999990221113</v>
      </c>
      <c r="AK81" s="14">
        <f t="shared" ca="1" si="151"/>
        <v>0.59999999997671694</v>
      </c>
      <c r="AL81" s="14">
        <f t="shared" ca="1" si="151"/>
        <v>-0.49999999860301614</v>
      </c>
      <c r="AM81" s="14">
        <f t="shared" ca="1" si="151"/>
        <v>-0.56999999965773895</v>
      </c>
      <c r="AN81" s="14">
        <f t="shared" ca="1" si="151"/>
        <v>-1422156.04</v>
      </c>
      <c r="AO81" s="14">
        <f t="shared" ca="1" si="151"/>
        <v>-0.72000000020489097</v>
      </c>
      <c r="AP81" s="14">
        <f t="shared" ca="1" si="151"/>
        <v>1.12999999942258</v>
      </c>
      <c r="AQ81" s="14">
        <f t="shared" ca="1" si="151"/>
        <v>-1.1099999992875382</v>
      </c>
      <c r="AR81" s="14">
        <f t="shared" ca="1" si="151"/>
        <v>-0.78000000008614734</v>
      </c>
      <c r="AS81" s="14">
        <f t="shared" ca="1" si="151"/>
        <v>0.70000000088475645</v>
      </c>
      <c r="AT81" s="14">
        <f t="shared" ca="1" si="151"/>
        <v>-678287.21999999788</v>
      </c>
      <c r="AU81" s="14"/>
    </row>
    <row r="82" spans="1:47" s="12" customFormat="1">
      <c r="A82" s="12">
        <f t="shared" si="146"/>
        <v>7</v>
      </c>
      <c r="B82"/>
      <c r="C82" t="str">
        <f>$F75</f>
        <v>Park Manor of McKinney</v>
      </c>
      <c r="D82" s="2" t="str">
        <f t="shared" si="44"/>
        <v>T_MGMT_FEE - Tenant Management Fee - Actual</v>
      </c>
      <c r="E82"/>
      <c r="F82" s="19" t="str">
        <f>_xll.EVDES(D82)</f>
        <v>Tenant Management Fee - Actual</v>
      </c>
      <c r="G82" s="61">
        <f ca="1">SUMIFS(OFFSET('BPC Data'!$F:$F,0,Summary!G$2),'BPC Data'!$E:$E,Summary!$D82,'BPC Data'!$B:$B,Summary!$C82)</f>
        <v>29968</v>
      </c>
      <c r="H82" s="65">
        <f ca="1">SUMIFS(OFFSET('BPC Data'!$F:$F,0,Summary!H$2),'BPC Data'!$E:$E,Summary!$D82,'BPC Data'!$B:$B,Summary!$C82)</f>
        <v>30445</v>
      </c>
      <c r="I82" s="61">
        <f ca="1">SUMIFS(OFFSET('BPC Data'!$F:$F,0,Summary!I$2),'BPC Data'!$E:$E,Summary!$D82,'BPC Data'!$B:$B,Summary!$C82)</f>
        <v>29891</v>
      </c>
      <c r="J82" s="65">
        <f ca="1">SUMIFS(OFFSET('BPC Data'!$F:$F,0,Summary!J$2),'BPC Data'!$E:$E,Summary!$D82,'BPC Data'!$B:$B,Summary!$C82)</f>
        <v>22777</v>
      </c>
      <c r="K82" s="61">
        <f ca="1">SUMIFS(OFFSET('BPC Data'!$F:$F,0,Summary!K$2),'BPC Data'!$E:$E,Summary!$D82,'BPC Data'!$B:$B,Summary!$C82)</f>
        <v>22882</v>
      </c>
      <c r="L82" s="65">
        <f ca="1">SUMIFS(OFFSET('BPC Data'!$F:$F,0,Summary!L$2),'BPC Data'!$E:$E,Summary!$D82,'BPC Data'!$B:$B,Summary!$C82)</f>
        <v>24957</v>
      </c>
      <c r="M82" s="61">
        <f ca="1">SUMIFS(OFFSET('BPC Data'!$F:$F,0,Summary!M$2),'BPC Data'!$E:$E,Summary!$D82,'BPC Data'!$B:$B,Summary!$C82)</f>
        <v>28336</v>
      </c>
      <c r="N82" s="65">
        <f ca="1">SUMIFS(OFFSET('BPC Data'!$F:$F,0,Summary!N$2),'BPC Data'!$E:$E,Summary!$D82,'BPC Data'!$B:$B,Summary!$C82)</f>
        <v>28584</v>
      </c>
      <c r="O82" s="61">
        <f ca="1">SUMIFS(OFFSET('BPC Data'!$F:$F,0,Summary!O$2),'BPC Data'!$E:$E,Summary!$D82,'BPC Data'!$B:$B,Summary!$C82)</f>
        <v>28507</v>
      </c>
      <c r="P82" s="65">
        <f ca="1">SUMIFS(OFFSET('BPC Data'!$F:$F,0,Summary!P$2),'BPC Data'!$E:$E,Summary!$D82,'BPC Data'!$B:$B,Summary!$C82)</f>
        <v>26033</v>
      </c>
      <c r="Q82" s="61">
        <f ca="1">SUMIFS(OFFSET('BPC Data'!$F:$F,0,Summary!Q$2),'BPC Data'!$E:$E,Summary!$D82,'BPC Data'!$B:$B,Summary!$C82)</f>
        <v>23767</v>
      </c>
      <c r="R82" s="65">
        <f ca="1">SUMIFS(OFFSET('BPC Data'!$F:$F,0,Summary!R$2),'BPC Data'!$E:$E,Summary!$D82,'BPC Data'!$B:$B,Summary!$C82)</f>
        <v>0</v>
      </c>
      <c r="S82" s="23">
        <f t="shared" ca="1" si="147"/>
        <v>296147</v>
      </c>
      <c r="T82" s="74">
        <f ca="1">SUM(W82:AG82)</f>
        <v>-1261092</v>
      </c>
      <c r="U82" s="54">
        <f ca="1">T82-S82</f>
        <v>-1557239</v>
      </c>
      <c r="W82" s="4">
        <f ca="1">SUMIFS(INDIRECT("'"&amp;$W$74&amp;"'"&amp;"!$B$64:$B$5000"),INDIRECT("'"&amp;$W$74&amp;"'"&amp;"!$A$64:$A$5000"),$V$7)</f>
        <v>29968</v>
      </c>
      <c r="X82" s="4">
        <f ca="1">SUMIFS(INDIRECT("'"&amp;$W$74&amp;"'"&amp;"!$c$64:$c$5000"),INDIRECT("'"&amp;$W$74&amp;"'"&amp;"!$A$64:$A$5000"),$V$7)</f>
        <v>30445</v>
      </c>
      <c r="Y82" s="4">
        <f ca="1">SUMIFS(INDIRECT("'"&amp;$W$74&amp;"'"&amp;"!$d$64:$d$5000"),INDIRECT("'"&amp;$W$74&amp;"'"&amp;"!$A$64:$A$5000"),$V$7)</f>
        <v>29891</v>
      </c>
      <c r="Z82" s="4">
        <f ca="1">SUMIFS(INDIRECT("'"&amp;$W$74&amp;"'"&amp;"!$e$64:$e$5000"),INDIRECT("'"&amp;$W$74&amp;"'"&amp;"!$A$64:$A$5000"),$V$7)</f>
        <v>22777</v>
      </c>
      <c r="AA82" s="4">
        <f ca="1">SUMIFS(INDIRECT("'"&amp;$W$74&amp;"'"&amp;"!$f$64:$f$5000"),INDIRECT("'"&amp;$W$74&amp;"'"&amp;"!$A$64:$A$5000"),$V$7)</f>
        <v>-1374173</v>
      </c>
      <c r="AB82" s="4">
        <f ca="1">SUMIFS(INDIRECT("'"&amp;$W$74&amp;"'"&amp;"!$g$64:$g$5000"),INDIRECT("'"&amp;$W$74&amp;"'"&amp;"!$A$64:$A$5000"),$V$7)</f>
        <v>24957</v>
      </c>
      <c r="AC82" s="4">
        <f ca="1">SUMIFS(INDIRECT("'"&amp;$W$74&amp;"'"&amp;"!$h$64:$h$5000"),INDIRECT("'"&amp;$W$74&amp;"'"&amp;"!$A$64:$A$5000"),$V$7)</f>
        <v>28336</v>
      </c>
      <c r="AD82" s="4">
        <f ca="1">SUMIFS(INDIRECT("'"&amp;$W$74&amp;"'"&amp;"!$i$64:$i$5000"),INDIRECT("'"&amp;$W$74&amp;"'"&amp;"!$A$64:$A$5000"),$V$7)</f>
        <v>28584</v>
      </c>
      <c r="AE82" s="4">
        <f ca="1">SUMIFS(INDIRECT("'"&amp;$W$74&amp;"'"&amp;"!$j$64:$j$5000"),INDIRECT("'"&amp;$W$74&amp;"'"&amp;"!$A$64:$A$5000"),$V$7)</f>
        <v>28507</v>
      </c>
      <c r="AF82" s="4">
        <f ca="1">SUMIFS(INDIRECT("'"&amp;$W$74&amp;"'"&amp;"!$k$64:$k$5000"),INDIRECT("'"&amp;$W$74&amp;"'"&amp;"!$A$64:$A$5000"),$V$7)</f>
        <v>26033</v>
      </c>
      <c r="AG82" s="4">
        <f ca="1">SUMIFS(INDIRECT("'"&amp;$W$74&amp;"'"&amp;"!$l$64:$l$5000"),INDIRECT("'"&amp;$W$74&amp;"'"&amp;"!$A$64:$A$5000"),$V$7)</f>
        <v>-136417</v>
      </c>
      <c r="AH82" s="4"/>
      <c r="AJ82" s="14">
        <f t="shared" ca="1" si="151"/>
        <v>0</v>
      </c>
      <c r="AK82" s="14">
        <f t="shared" ca="1" si="151"/>
        <v>0</v>
      </c>
      <c r="AL82" s="14">
        <f t="shared" ca="1" si="151"/>
        <v>0</v>
      </c>
      <c r="AM82" s="14">
        <f t="shared" ca="1" si="151"/>
        <v>0</v>
      </c>
      <c r="AN82" s="14">
        <f t="shared" ca="1" si="151"/>
        <v>-1397055</v>
      </c>
      <c r="AO82" s="14">
        <f t="shared" ca="1" si="151"/>
        <v>0</v>
      </c>
      <c r="AP82" s="14">
        <f t="shared" ca="1" si="151"/>
        <v>0</v>
      </c>
      <c r="AQ82" s="14">
        <f t="shared" ca="1" si="151"/>
        <v>0</v>
      </c>
      <c r="AR82" s="14">
        <f t="shared" ca="1" si="151"/>
        <v>0</v>
      </c>
      <c r="AS82" s="14">
        <f t="shared" ca="1" si="151"/>
        <v>0</v>
      </c>
      <c r="AT82" s="14">
        <f t="shared" ca="1" si="151"/>
        <v>-160184</v>
      </c>
      <c r="AU82" s="14"/>
    </row>
    <row r="83" spans="1:47" s="12" customFormat="1">
      <c r="A83" s="12">
        <f t="shared" si="146"/>
        <v>7</v>
      </c>
      <c r="B83"/>
      <c r="C83" t="str">
        <f>$F75</f>
        <v>Park Manor of McKinney</v>
      </c>
      <c r="D83" s="1" t="str">
        <f t="shared" si="44"/>
        <v>T_EBITDAR - EBITDAR</v>
      </c>
      <c r="E83"/>
      <c r="F83" s="19" t="str">
        <f>_xll.EVDES(D83)</f>
        <v>EBITDAR</v>
      </c>
      <c r="G83" s="61">
        <f ca="1">SUMIFS(OFFSET('BPC Data'!$F:$F,0,Summary!G$2),'BPC Data'!$E:$E,Summary!$D83,'BPC Data'!$B:$B,Summary!$C83)</f>
        <v>67062</v>
      </c>
      <c r="H83" s="65">
        <f ca="1">SUMIFS(OFFSET('BPC Data'!$F:$F,0,Summary!H$2),'BPC Data'!$E:$E,Summary!$D83,'BPC Data'!$B:$B,Summary!$C83)</f>
        <v>87260</v>
      </c>
      <c r="I83" s="61">
        <f ca="1">SUMIFS(OFFSET('BPC Data'!$F:$F,0,Summary!I$2),'BPC Data'!$E:$E,Summary!$D83,'BPC Data'!$B:$B,Summary!$C83)</f>
        <v>101756</v>
      </c>
      <c r="J83" s="65">
        <f ca="1">SUMIFS(OFFSET('BPC Data'!$F:$F,0,Summary!J$2),'BPC Data'!$E:$E,Summary!$D83,'BPC Data'!$B:$B,Summary!$C83)</f>
        <v>-7277</v>
      </c>
      <c r="K83" s="61">
        <f ca="1">SUMIFS(OFFSET('BPC Data'!$F:$F,0,Summary!K$2),'BPC Data'!$E:$E,Summary!$D83,'BPC Data'!$B:$B,Summary!$C83)</f>
        <v>43309</v>
      </c>
      <c r="L83" s="65">
        <f ca="1">SUMIFS(OFFSET('BPC Data'!$F:$F,0,Summary!L$2),'BPC Data'!$E:$E,Summary!$D83,'BPC Data'!$B:$B,Summary!$C83)</f>
        <v>22587</v>
      </c>
      <c r="M83" s="61">
        <f ca="1">SUMIFS(OFFSET('BPC Data'!$F:$F,0,Summary!M$2),'BPC Data'!$E:$E,Summary!$D83,'BPC Data'!$B:$B,Summary!$C83)</f>
        <v>111147</v>
      </c>
      <c r="N83" s="65">
        <f ca="1">SUMIFS(OFFSET('BPC Data'!$F:$F,0,Summary!N$2),'BPC Data'!$E:$E,Summary!$D83,'BPC Data'!$B:$B,Summary!$C83)</f>
        <v>113842</v>
      </c>
      <c r="O83" s="61">
        <f ca="1">SUMIFS(OFFSET('BPC Data'!$F:$F,0,Summary!O$2),'BPC Data'!$E:$E,Summary!$D83,'BPC Data'!$B:$B,Summary!$C83)</f>
        <v>89010</v>
      </c>
      <c r="P83" s="65">
        <f ca="1">SUMIFS(OFFSET('BPC Data'!$F:$F,0,Summary!P$2),'BPC Data'!$E:$E,Summary!$D83,'BPC Data'!$B:$B,Summary!$C83)</f>
        <v>121210</v>
      </c>
      <c r="Q83" s="61">
        <f ca="1">SUMIFS(OFFSET('BPC Data'!$F:$F,0,Summary!Q$2),'BPC Data'!$E:$E,Summary!$D83,'BPC Data'!$B:$B,Summary!$C83)</f>
        <v>60308</v>
      </c>
      <c r="R83" s="65">
        <f ca="1">SUMIFS(OFFSET('BPC Data'!$F:$F,0,Summary!R$2),'BPC Data'!$E:$E,Summary!$D83,'BPC Data'!$B:$B,Summary!$C83)</f>
        <v>58</v>
      </c>
      <c r="S83" s="23">
        <f t="shared" ca="1" si="147"/>
        <v>810214</v>
      </c>
      <c r="T83" s="74">
        <f ca="1">SUM(W83:AG83)</f>
        <v>267008.22000000463</v>
      </c>
      <c r="U83" s="54">
        <f ca="1">T83-S83</f>
        <v>-543205.77999999537</v>
      </c>
      <c r="W83" s="50">
        <f t="shared" ref="W83:AB83" ca="1" si="152">W81-W82</f>
        <v>67061.730000000098</v>
      </c>
      <c r="X83" s="50">
        <f t="shared" ca="1" si="152"/>
        <v>87260.599999999977</v>
      </c>
      <c r="Y83" s="50">
        <f t="shared" ca="1" si="152"/>
        <v>101755.5000000014</v>
      </c>
      <c r="Z83" s="50">
        <f t="shared" ca="1" si="152"/>
        <v>-7277.5699999996577</v>
      </c>
      <c r="AA83" s="50">
        <f t="shared" ca="1" si="152"/>
        <v>18207.959999999963</v>
      </c>
      <c r="AB83" s="50">
        <f t="shared" ca="1" si="152"/>
        <v>22586.279999999795</v>
      </c>
      <c r="AC83" s="50">
        <f t="shared" ref="AC83:AG83" ca="1" si="153">AC81-AC82</f>
        <v>111148.12999999942</v>
      </c>
      <c r="AD83" s="50">
        <f t="shared" ca="1" si="153"/>
        <v>113840.89000000071</v>
      </c>
      <c r="AE83" s="50">
        <f t="shared" ca="1" si="153"/>
        <v>89009.219999999914</v>
      </c>
      <c r="AF83" s="50">
        <f t="shared" ca="1" si="153"/>
        <v>121210.70000000088</v>
      </c>
      <c r="AG83" s="50">
        <f t="shared" ca="1" si="153"/>
        <v>-457795.21999999788</v>
      </c>
      <c r="AH83" s="50"/>
      <c r="AJ83" s="14">
        <f t="shared" ca="1" si="151"/>
        <v>-0.26999999990221113</v>
      </c>
      <c r="AK83" s="14">
        <f t="shared" ca="1" si="151"/>
        <v>0.59999999997671694</v>
      </c>
      <c r="AL83" s="14">
        <f t="shared" ca="1" si="151"/>
        <v>-0.49999999860301614</v>
      </c>
      <c r="AM83" s="14">
        <f t="shared" ca="1" si="151"/>
        <v>-0.56999999965773895</v>
      </c>
      <c r="AN83" s="14">
        <f t="shared" ca="1" si="151"/>
        <v>-25101.040000000037</v>
      </c>
      <c r="AO83" s="14">
        <f t="shared" ca="1" si="151"/>
        <v>-0.72000000020489097</v>
      </c>
      <c r="AP83" s="14">
        <f t="shared" ca="1" si="151"/>
        <v>1.12999999942258</v>
      </c>
      <c r="AQ83" s="14">
        <f t="shared" ca="1" si="151"/>
        <v>-1.1099999992875382</v>
      </c>
      <c r="AR83" s="14">
        <f t="shared" ca="1" si="151"/>
        <v>-0.78000000008614734</v>
      </c>
      <c r="AS83" s="14">
        <f t="shared" ca="1" si="151"/>
        <v>0.70000000088475645</v>
      </c>
      <c r="AT83" s="14">
        <f t="shared" ca="1" si="151"/>
        <v>-518103.21999999788</v>
      </c>
      <c r="AU83" s="14"/>
    </row>
    <row r="84" spans="1:47" s="12" customFormat="1">
      <c r="A84" s="12">
        <f t="shared" si="146"/>
        <v>7</v>
      </c>
      <c r="B84"/>
      <c r="C84" t="str">
        <f>$F75</f>
        <v>Park Manor of McKinney</v>
      </c>
      <c r="D84" s="1" t="str">
        <f t="shared" si="44"/>
        <v>T_RENT_EXP - Tenant Rent Expense</v>
      </c>
      <c r="E84"/>
      <c r="F84" s="19" t="str">
        <f>_xll.EVDES(D84)</f>
        <v>Tenant Rent Expense</v>
      </c>
      <c r="G84" s="61">
        <f ca="1">SUMIFS(OFFSET('BPC Data'!$F:$F,0,Summary!G$2),'BPC Data'!$E:$E,Summary!$D84,'BPC Data'!$B:$B,Summary!$C84)</f>
        <v>85129</v>
      </c>
      <c r="H84" s="65">
        <f ca="1">SUMIFS(OFFSET('BPC Data'!$F:$F,0,Summary!H$2),'BPC Data'!$E:$E,Summary!$D84,'BPC Data'!$B:$B,Summary!$C84)</f>
        <v>87043</v>
      </c>
      <c r="I84" s="61">
        <f ca="1">SUMIFS(OFFSET('BPC Data'!$F:$F,0,Summary!I$2),'BPC Data'!$E:$E,Summary!$D84,'BPC Data'!$B:$B,Summary!$C84)</f>
        <v>87043</v>
      </c>
      <c r="J84" s="65">
        <f ca="1">SUMIFS(OFFSET('BPC Data'!$F:$F,0,Summary!J$2),'BPC Data'!$E:$E,Summary!$D84,'BPC Data'!$B:$B,Summary!$C84)</f>
        <v>87043</v>
      </c>
      <c r="K84" s="61">
        <f ca="1">SUMIFS(OFFSET('BPC Data'!$F:$F,0,Summary!K$2),'BPC Data'!$E:$E,Summary!$D84,'BPC Data'!$B:$B,Summary!$C84)</f>
        <v>87043</v>
      </c>
      <c r="L84" s="65">
        <f ca="1">SUMIFS(OFFSET('BPC Data'!$F:$F,0,Summary!L$2),'BPC Data'!$E:$E,Summary!$D84,'BPC Data'!$B:$B,Summary!$C84)</f>
        <v>87043</v>
      </c>
      <c r="M84" s="61">
        <f ca="1">SUMIFS(OFFSET('BPC Data'!$F:$F,0,Summary!M$2),'BPC Data'!$E:$E,Summary!$D84,'BPC Data'!$B:$B,Summary!$C84)</f>
        <v>87042</v>
      </c>
      <c r="N84" s="65">
        <f ca="1">SUMIFS(OFFSET('BPC Data'!$F:$F,0,Summary!N$2),'BPC Data'!$E:$E,Summary!$D84,'BPC Data'!$B:$B,Summary!$C84)</f>
        <v>87043</v>
      </c>
      <c r="O84" s="61">
        <f ca="1">SUMIFS(OFFSET('BPC Data'!$F:$F,0,Summary!O$2),'BPC Data'!$E:$E,Summary!$D84,'BPC Data'!$B:$B,Summary!$C84)</f>
        <v>87043</v>
      </c>
      <c r="P84" s="65">
        <f ca="1">SUMIFS(OFFSET('BPC Data'!$F:$F,0,Summary!P$2),'BPC Data'!$E:$E,Summary!$D84,'BPC Data'!$B:$B,Summary!$C84)</f>
        <v>87043</v>
      </c>
      <c r="Q84" s="61">
        <f ca="1">SUMIFS(OFFSET('BPC Data'!$F:$F,0,Summary!Q$2),'BPC Data'!$E:$E,Summary!$D84,'BPC Data'!$B:$B,Summary!$C84)</f>
        <v>87043</v>
      </c>
      <c r="R84" s="65">
        <f ca="1">SUMIFS(OFFSET('BPC Data'!$F:$F,0,Summary!R$2),'BPC Data'!$E:$E,Summary!$D84,'BPC Data'!$B:$B,Summary!$C84)</f>
        <v>0</v>
      </c>
      <c r="S84" s="23">
        <f t="shared" ca="1" si="147"/>
        <v>955558</v>
      </c>
      <c r="T84" s="74">
        <f ca="1">SUM(W84:AG84)</f>
        <v>433299.31999999995</v>
      </c>
      <c r="U84" s="54">
        <f ca="1">T84-S84</f>
        <v>-522258.68000000005</v>
      </c>
      <c r="W84" s="4">
        <f ca="1">SUMIFS(INDIRECT("'"&amp;$W$74&amp;"'"&amp;"!$B$64:$B$5000"),INDIRECT("'"&amp;$W$74&amp;"'"&amp;"!$A$64:$A$5000"),$W$3)+SUMIFS(INDIRECT("'"&amp;$W$74&amp;"'"&amp;"!$B$64:$B$5000"),INDIRECT("'"&amp;$W$74&amp;"'"&amp;"!$A$64:$A$5000"),$W$4)</f>
        <v>85129</v>
      </c>
      <c r="X84" s="4">
        <f ca="1">SUMIFS(INDIRECT("'"&amp;$W$74&amp;"'"&amp;"!$c$64:$c$5000"),INDIRECT("'"&amp;$W$74&amp;"'"&amp;"!$A$64:$A$5000"),$W$3)+SUMIFS(INDIRECT("'"&amp;$W$74&amp;"'"&amp;"!$c$64:$c$5000"),INDIRECT("'"&amp;$W$74&amp;"'"&amp;"!$A$64:$A$5000"),$W$4)</f>
        <v>87042.58</v>
      </c>
      <c r="Y84" s="4">
        <f ca="1">SUMIFS(INDIRECT("'"&amp;$W$74&amp;"'"&amp;"!$d$64:$d$5000"),INDIRECT("'"&amp;$W$74&amp;"'"&amp;"!$A$64:$A$5000"),$W$3)+SUMIFS(INDIRECT("'"&amp;$W$74&amp;"'"&amp;"!$d$64:$d$5000"),INDIRECT("'"&amp;$W$74&amp;"'"&amp;"!$A$64:$A$5000"),$W$4)</f>
        <v>87042.58</v>
      </c>
      <c r="Z84" s="4">
        <f ca="1">SUMIFS(INDIRECT("'"&amp;$W$74&amp;"'"&amp;"!$e$64:$e$5000"),INDIRECT("'"&amp;$W$74&amp;"'"&amp;"!$A$64:$A$5000"),$W$3)+SUMIFS(INDIRECT("'"&amp;$W$74&amp;"'"&amp;"!$e$64:$e$5000"),INDIRECT("'"&amp;$W$74&amp;"'"&amp;"!$A$64:$A$5000"),$W$4)</f>
        <v>87042.58</v>
      </c>
      <c r="AA84" s="4">
        <f ca="1">SUMIFS(INDIRECT("'"&amp;$W$74&amp;"'"&amp;"!$f$64:$f$5000"),INDIRECT("'"&amp;$W$74&amp;"'"&amp;"!$A$64:$A$5000"),$W$3)+SUMIFS(INDIRECT("'"&amp;$W$74&amp;"'"&amp;"!$f$64:$f$5000"),INDIRECT("'"&amp;$W$74&amp;"'"&amp;"!$A$64:$A$5000"),$W$4)</f>
        <v>87042.58</v>
      </c>
      <c r="AB84" s="4">
        <f ca="1">SUMIFS(INDIRECT("'"&amp;$W$74&amp;"'"&amp;"!$g$64:$g$5000"),INDIRECT("'"&amp;$W$74&amp;"'"&amp;"!$A$64:$A$5000"),$W$3)+SUMIFS(INDIRECT("'"&amp;$W$74&amp;"'"&amp;"!$g$64:$g$5000"),INDIRECT("'"&amp;$W$74&amp;"'"&amp;"!$A$64:$A$5000"),$W$4)</f>
        <v>87042.58</v>
      </c>
      <c r="AC84" s="4">
        <f ca="1">SUMIFS(INDIRECT("'"&amp;$W$74&amp;"'"&amp;"!$h$64:$h$5000"),INDIRECT("'"&amp;$W$74&amp;"'"&amp;"!$A$64:$A$5000"),$W$3)+SUMIFS(INDIRECT("'"&amp;$W$74&amp;"'"&amp;"!$h$64:$h$5000"),INDIRECT("'"&amp;$W$74&amp;"'"&amp;"!$A$64:$A$5000"),$W$4)</f>
        <v>87042.58</v>
      </c>
      <c r="AD84" s="4">
        <f ca="1">SUMIFS(INDIRECT("'"&amp;$W$74&amp;"'"&amp;"!$i$64:$i$5000"),INDIRECT("'"&amp;$W$74&amp;"'"&amp;"!$A$64:$A$5000"),$W$3)+SUMIFS(INDIRECT("'"&amp;$W$74&amp;"'"&amp;"!$i$64:$i$5000"),INDIRECT("'"&amp;$W$74&amp;"'"&amp;"!$A$64:$A$5000"),$W$4)</f>
        <v>87042.58</v>
      </c>
      <c r="AE84" s="4">
        <f ca="1">SUMIFS(INDIRECT("'"&amp;$W$74&amp;"'"&amp;"!$j$64:$j$5000"),INDIRECT("'"&amp;$W$74&amp;"'"&amp;"!$A$64:$A$5000"),$W$3)+SUMIFS(INDIRECT("'"&amp;$W$74&amp;"'"&amp;"!$j$64:$j$5000"),INDIRECT("'"&amp;$W$74&amp;"'"&amp;"!$A$64:$A$5000"),$W$4)</f>
        <v>87042.58</v>
      </c>
      <c r="AF84" s="4">
        <f ca="1">SUMIFS(INDIRECT("'"&amp;$W$74&amp;"'"&amp;"!$k$64:$k$5000"),INDIRECT("'"&amp;$W$74&amp;"'"&amp;"!$A$64:$A$5000"),$W$3)+SUMIFS(INDIRECT("'"&amp;$W$74&amp;"'"&amp;"!$k$64:$k$5000"),INDIRECT("'"&amp;$W$74&amp;"'"&amp;"!$A$64:$A$5000"),$W$4)</f>
        <v>87042.58</v>
      </c>
      <c r="AG84" s="4">
        <f ca="1">SUMIFS(INDIRECT("'"&amp;$W$74&amp;"'"&amp;"!$l$64:$l$5000"),INDIRECT("'"&amp;$W$74&amp;"'"&amp;"!$A$64:$A$5000"),$W$3)+SUMIFS(INDIRECT("'"&amp;$W$74&amp;"'"&amp;"!$l$64:$l$5000"),INDIRECT("'"&amp;$W$74&amp;"'"&amp;"!$A$64:$A$5000"),$W$4)</f>
        <v>-435212.9</v>
      </c>
      <c r="AH84" s="4"/>
      <c r="AJ84" s="14">
        <f t="shared" ca="1" si="151"/>
        <v>0</v>
      </c>
      <c r="AK84" s="14">
        <f t="shared" ca="1" si="151"/>
        <v>-0.41999999999825377</v>
      </c>
      <c r="AL84" s="14">
        <f t="shared" ca="1" si="151"/>
        <v>-0.41999999999825377</v>
      </c>
      <c r="AM84" s="14">
        <f t="shared" ca="1" si="151"/>
        <v>-0.41999999999825377</v>
      </c>
      <c r="AN84" s="14">
        <f t="shared" ca="1" si="151"/>
        <v>-0.41999999999825377</v>
      </c>
      <c r="AO84" s="14">
        <f t="shared" ca="1" si="151"/>
        <v>-0.41999999999825377</v>
      </c>
      <c r="AP84" s="14">
        <f t="shared" ca="1" si="151"/>
        <v>0.58000000000174623</v>
      </c>
      <c r="AQ84" s="14">
        <f t="shared" ca="1" si="151"/>
        <v>-0.41999999999825377</v>
      </c>
      <c r="AR84" s="14">
        <f t="shared" ca="1" si="151"/>
        <v>-0.41999999999825377</v>
      </c>
      <c r="AS84" s="14">
        <f t="shared" ca="1" si="151"/>
        <v>-0.41999999999825377</v>
      </c>
      <c r="AT84" s="14">
        <f t="shared" ca="1" si="151"/>
        <v>-522255.9</v>
      </c>
      <c r="AU84" s="14"/>
    </row>
    <row r="85" spans="1:47" s="12" customFormat="1">
      <c r="A85" s="12">
        <f>IF(AND(F85&lt;&gt;"",D85=""),A84+1,A84)</f>
        <v>7</v>
      </c>
      <c r="B85"/>
      <c r="C85"/>
      <c r="D85" s="1" t="str">
        <f t="shared" ref="D85:D95" si="154">$D74</f>
        <v>x</v>
      </c>
      <c r="E85"/>
      <c r="F85" s="19" t="s">
        <v>0</v>
      </c>
      <c r="G85" s="61">
        <f ca="1">SUMIFS(OFFSET('BPC Data'!$F:$F,0,Summary!G$2),'BPC Data'!$E:$E,Summary!$D85,'BPC Data'!$B:$B,Summary!$C85)</f>
        <v>0</v>
      </c>
      <c r="H85" s="65">
        <f ca="1">SUMIFS(OFFSET('BPC Data'!$F:$F,0,Summary!H$2),'BPC Data'!$E:$E,Summary!$D85,'BPC Data'!$B:$B,Summary!$C85)</f>
        <v>0</v>
      </c>
      <c r="I85" s="61">
        <f ca="1">SUMIFS(OFFSET('BPC Data'!$F:$F,0,Summary!I$2),'BPC Data'!$E:$E,Summary!$D85,'BPC Data'!$B:$B,Summary!$C85)</f>
        <v>0</v>
      </c>
      <c r="J85" s="65">
        <f ca="1">SUMIFS(OFFSET('BPC Data'!$F:$F,0,Summary!J$2),'BPC Data'!$E:$E,Summary!$D85,'BPC Data'!$B:$B,Summary!$C85)</f>
        <v>0</v>
      </c>
      <c r="K85" s="61">
        <f ca="1">SUMIFS(OFFSET('BPC Data'!$F:$F,0,Summary!K$2),'BPC Data'!$E:$E,Summary!$D85,'BPC Data'!$B:$B,Summary!$C85)</f>
        <v>0</v>
      </c>
      <c r="L85" s="65">
        <f ca="1">SUMIFS(OFFSET('BPC Data'!$F:$F,0,Summary!L$2),'BPC Data'!$E:$E,Summary!$D85,'BPC Data'!$B:$B,Summary!$C85)</f>
        <v>0</v>
      </c>
      <c r="M85" s="61">
        <f ca="1">SUMIFS(OFFSET('BPC Data'!$F:$F,0,Summary!M$2),'BPC Data'!$E:$E,Summary!$D85,'BPC Data'!$B:$B,Summary!$C85)</f>
        <v>0</v>
      </c>
      <c r="N85" s="65">
        <f ca="1">SUMIFS(OFFSET('BPC Data'!$F:$F,0,Summary!N$2),'BPC Data'!$E:$E,Summary!$D85,'BPC Data'!$B:$B,Summary!$C85)</f>
        <v>0</v>
      </c>
      <c r="O85" s="61">
        <f ca="1">SUMIFS(OFFSET('BPC Data'!$F:$F,0,Summary!O$2),'BPC Data'!$E:$E,Summary!$D85,'BPC Data'!$B:$B,Summary!$C85)</f>
        <v>0</v>
      </c>
      <c r="P85" s="65">
        <f ca="1">SUMIFS(OFFSET('BPC Data'!$F:$F,0,Summary!P$2),'BPC Data'!$E:$E,Summary!$D85,'BPC Data'!$B:$B,Summary!$C85)</f>
        <v>0</v>
      </c>
      <c r="Q85" s="61">
        <f ca="1">SUMIFS(OFFSET('BPC Data'!$F:$F,0,Summary!Q$2),'BPC Data'!$E:$E,Summary!$D85,'BPC Data'!$B:$B,Summary!$C85)</f>
        <v>0</v>
      </c>
      <c r="R85" s="65">
        <f ca="1">SUMIFS(OFFSET('BPC Data'!$F:$F,0,Summary!R$2),'BPC Data'!$E:$E,Summary!$D85,'BPC Data'!$B:$B,Summary!$C85)</f>
        <v>0</v>
      </c>
      <c r="S85" s="23">
        <f ca="1">SUM(G85:M85)</f>
        <v>0</v>
      </c>
      <c r="T85" s="76"/>
      <c r="W85" t="s">
        <v>301</v>
      </c>
      <c r="X85"/>
      <c r="Y85"/>
      <c r="Z85"/>
      <c r="AA85"/>
      <c r="AB85"/>
      <c r="AC85"/>
      <c r="AD85"/>
      <c r="AE85"/>
      <c r="AF85"/>
      <c r="AG85"/>
      <c r="AH85"/>
      <c r="AI85"/>
      <c r="AJ85" s="14"/>
      <c r="AK85" s="49"/>
      <c r="AL85" s="49"/>
      <c r="AM85" s="49"/>
      <c r="AN85" s="49"/>
      <c r="AO85" s="49"/>
      <c r="AP85" s="49"/>
      <c r="AQ85" s="49"/>
      <c r="AR85" s="49"/>
      <c r="AS85" s="49"/>
      <c r="AT85" s="49"/>
      <c r="AU85" s="49"/>
    </row>
    <row r="86" spans="1:47" s="12" customFormat="1">
      <c r="A86" s="12">
        <f>IF(AND(D86&lt;&gt;"",C86=""),A85+1,A85)</f>
        <v>8</v>
      </c>
      <c r="B86" s="5"/>
      <c r="C86" s="5"/>
      <c r="D86" s="5" t="str">
        <f t="shared" si="154"/>
        <v>x</v>
      </c>
      <c r="E86" s="5"/>
      <c r="F86" s="18" t="str">
        <f>INDEX(PropertyList!$D:$D,MATCH(Summary!$A86,PropertyList!$C:$C,0))</f>
        <v>Tanglewood Health and Rehabilitation</v>
      </c>
      <c r="G86" s="61">
        <f ca="1">SUMIFS(OFFSET('BPC Data'!$F:$F,0,Summary!G$2),'BPC Data'!$E:$E,Summary!$D86,'BPC Data'!$B:$B,Summary!$C86)</f>
        <v>0</v>
      </c>
      <c r="H86" s="65">
        <f ca="1">SUMIFS(OFFSET('BPC Data'!$F:$F,0,Summary!H$2),'BPC Data'!$E:$E,Summary!$D86,'BPC Data'!$B:$B,Summary!$C86)</f>
        <v>0</v>
      </c>
      <c r="I86" s="61">
        <f ca="1">SUMIFS(OFFSET('BPC Data'!$F:$F,0,Summary!I$2),'BPC Data'!$E:$E,Summary!$D86,'BPC Data'!$B:$B,Summary!$C86)</f>
        <v>0</v>
      </c>
      <c r="J86" s="65">
        <f ca="1">SUMIFS(OFFSET('BPC Data'!$F:$F,0,Summary!J$2),'BPC Data'!$E:$E,Summary!$D86,'BPC Data'!$B:$B,Summary!$C86)</f>
        <v>0</v>
      </c>
      <c r="K86" s="61">
        <f ca="1">SUMIFS(OFFSET('BPC Data'!$F:$F,0,Summary!K$2),'BPC Data'!$E:$E,Summary!$D86,'BPC Data'!$B:$B,Summary!$C86)</f>
        <v>0</v>
      </c>
      <c r="L86" s="65">
        <f ca="1">SUMIFS(OFFSET('BPC Data'!$F:$F,0,Summary!L$2),'BPC Data'!$E:$E,Summary!$D86,'BPC Data'!$B:$B,Summary!$C86)</f>
        <v>0</v>
      </c>
      <c r="M86" s="61">
        <f ca="1">SUMIFS(OFFSET('BPC Data'!$F:$F,0,Summary!M$2),'BPC Data'!$E:$E,Summary!$D86,'BPC Data'!$B:$B,Summary!$C86)</f>
        <v>0</v>
      </c>
      <c r="N86" s="65">
        <f ca="1">SUMIFS(OFFSET('BPC Data'!$F:$F,0,Summary!N$2),'BPC Data'!$E:$E,Summary!$D86,'BPC Data'!$B:$B,Summary!$C86)</f>
        <v>0</v>
      </c>
      <c r="O86" s="61">
        <f ca="1">SUMIFS(OFFSET('BPC Data'!$F:$F,0,Summary!O$2),'BPC Data'!$E:$E,Summary!$D86,'BPC Data'!$B:$B,Summary!$C86)</f>
        <v>0</v>
      </c>
      <c r="P86" s="65">
        <f ca="1">SUMIFS(OFFSET('BPC Data'!$F:$F,0,Summary!P$2),'BPC Data'!$E:$E,Summary!$D86,'BPC Data'!$B:$B,Summary!$C86)</f>
        <v>0</v>
      </c>
      <c r="Q86" s="61">
        <f ca="1">SUMIFS(OFFSET('BPC Data'!$F:$F,0,Summary!Q$2),'BPC Data'!$E:$E,Summary!$D86,'BPC Data'!$B:$B,Summary!$C86)</f>
        <v>0</v>
      </c>
      <c r="R86" s="65">
        <f ca="1">SUMIFS(OFFSET('BPC Data'!$F:$F,0,Summary!R$2),'BPC Data'!$E:$E,Summary!$D86,'BPC Data'!$B:$B,Summary!$C86)</f>
        <v>0</v>
      </c>
      <c r="S86" s="23">
        <f ca="1">SUM(G86:M86)</f>
        <v>0</v>
      </c>
      <c r="T86" s="76"/>
      <c r="W86" s="5" t="str">
        <f t="shared" ref="W86:AH86" si="155">+G$8</f>
        <v>Aug 2021</v>
      </c>
      <c r="X86" s="5" t="str">
        <f t="shared" si="155"/>
        <v>Sep 2021</v>
      </c>
      <c r="Y86" s="5" t="str">
        <f t="shared" si="155"/>
        <v>Oct 2021</v>
      </c>
      <c r="Z86" s="5" t="str">
        <f t="shared" si="155"/>
        <v>Nov 2021</v>
      </c>
      <c r="AA86" s="5" t="str">
        <f t="shared" si="155"/>
        <v>Dec 2021</v>
      </c>
      <c r="AB86" s="5" t="str">
        <f t="shared" si="155"/>
        <v>Jan 2022</v>
      </c>
      <c r="AC86" s="5" t="str">
        <f t="shared" si="155"/>
        <v>Feb 2022</v>
      </c>
      <c r="AD86" s="5" t="str">
        <f t="shared" si="155"/>
        <v>Mar 2022</v>
      </c>
      <c r="AE86" s="5" t="str">
        <f t="shared" si="155"/>
        <v>Apr 2022</v>
      </c>
      <c r="AF86" s="5" t="str">
        <f t="shared" si="155"/>
        <v>May 2022</v>
      </c>
      <c r="AG86" s="5" t="str">
        <f t="shared" si="155"/>
        <v>Jun 2022</v>
      </c>
      <c r="AH86" s="5" t="str">
        <f t="shared" si="155"/>
        <v>Jul 2022</v>
      </c>
      <c r="AI86" s="5"/>
      <c r="AJ86" s="174" t="str">
        <f>W$9</f>
        <v>Aug 2021</v>
      </c>
      <c r="AK86" s="174" t="str">
        <f t="shared" ref="AK86" si="156">X$9</f>
        <v>Sep 2021</v>
      </c>
      <c r="AL86" s="174" t="str">
        <f t="shared" ref="AL86" si="157">Y$9</f>
        <v>Oct 2021</v>
      </c>
      <c r="AM86" s="174" t="str">
        <f t="shared" ref="AM86" si="158">Z$9</f>
        <v>Nov 2021</v>
      </c>
      <c r="AN86" s="174" t="str">
        <f t="shared" ref="AN86:AO86" si="159">AA$9</f>
        <v>Dec 2021</v>
      </c>
      <c r="AO86" s="174" t="str">
        <f t="shared" si="159"/>
        <v>Jan 2022</v>
      </c>
      <c r="AP86" s="174" t="str">
        <f t="shared" ref="AP86" si="160">AC$9</f>
        <v>Feb 2022</v>
      </c>
      <c r="AQ86" s="174" t="str">
        <f t="shared" ref="AQ86" si="161">AD$9</f>
        <v>Mar 2022</v>
      </c>
      <c r="AR86" s="174" t="str">
        <f t="shared" ref="AR86" si="162">AE$9</f>
        <v>Apr 2022</v>
      </c>
      <c r="AS86" s="174" t="str">
        <f t="shared" ref="AS86" si="163">AF$9</f>
        <v>May 2022</v>
      </c>
      <c r="AT86" s="174" t="str">
        <f t="shared" ref="AT86" si="164">AG$9</f>
        <v>Jun 2022</v>
      </c>
      <c r="AU86" s="174" t="str">
        <f t="shared" ref="AU86" si="165">AH$9</f>
        <v>Jul 2022</v>
      </c>
    </row>
    <row r="87" spans="1:47" s="12" customFormat="1">
      <c r="A87" s="12">
        <f>IF(AND(F87&lt;&gt;"",D87=""),A86+1,A86)</f>
        <v>8</v>
      </c>
      <c r="C87" t="str">
        <f>$F86</f>
        <v>Tanglewood Health and Rehabilitation</v>
      </c>
      <c r="D87" s="3" t="str">
        <f t="shared" si="154"/>
        <v>PAY_PAT_DAYS - Total Payor Patient Days</v>
      </c>
      <c r="F87" s="19" t="str">
        <f>_xll.EVDES(D87)</f>
        <v>Total Payor Patient Days</v>
      </c>
      <c r="G87" s="61">
        <f ca="1">SUMIFS(OFFSET('BPC Data'!$F:$F,0,Summary!G$2),'BPC Data'!$E:$E,Summary!$D87,'BPC Data'!$B:$B,Summary!$C87)</f>
        <v>1309</v>
      </c>
      <c r="H87" s="65">
        <f ca="1">SUMIFS(OFFSET('BPC Data'!$F:$F,0,Summary!H$2),'BPC Data'!$E:$E,Summary!$D87,'BPC Data'!$B:$B,Summary!$C87)</f>
        <v>1248</v>
      </c>
      <c r="I87" s="61">
        <f ca="1">SUMIFS(OFFSET('BPC Data'!$F:$F,0,Summary!I$2),'BPC Data'!$E:$E,Summary!$D87,'BPC Data'!$B:$B,Summary!$C87)</f>
        <v>1454</v>
      </c>
      <c r="J87" s="65">
        <f ca="1">SUMIFS(OFFSET('BPC Data'!$F:$F,0,Summary!J$2),'BPC Data'!$E:$E,Summary!$D87,'BPC Data'!$B:$B,Summary!$C87)</f>
        <v>1385</v>
      </c>
      <c r="K87" s="61">
        <f ca="1">SUMIFS(OFFSET('BPC Data'!$F:$F,0,Summary!K$2),'BPC Data'!$E:$E,Summary!$D87,'BPC Data'!$B:$B,Summary!$C87)</f>
        <v>1333</v>
      </c>
      <c r="L87" s="65">
        <f ca="1">SUMIFS(OFFSET('BPC Data'!$F:$F,0,Summary!L$2),'BPC Data'!$E:$E,Summary!$D87,'BPC Data'!$B:$B,Summary!$C87)</f>
        <v>1442</v>
      </c>
      <c r="M87" s="61">
        <f ca="1">SUMIFS(OFFSET('BPC Data'!$F:$F,0,Summary!M$2),'BPC Data'!$E:$E,Summary!$D87,'BPC Data'!$B:$B,Summary!$C87)</f>
        <v>1321</v>
      </c>
      <c r="N87" s="65">
        <f ca="1">SUMIFS(OFFSET('BPC Data'!$F:$F,0,Summary!N$2),'BPC Data'!$E:$E,Summary!$D87,'BPC Data'!$B:$B,Summary!$C87)</f>
        <v>1514</v>
      </c>
      <c r="O87" s="61">
        <f ca="1">SUMIFS(OFFSET('BPC Data'!$F:$F,0,Summary!O$2),'BPC Data'!$E:$E,Summary!$D87,'BPC Data'!$B:$B,Summary!$C87)</f>
        <v>1432</v>
      </c>
      <c r="P87" s="65">
        <f ca="1">SUMIFS(OFFSET('BPC Data'!$F:$F,0,Summary!P$2),'BPC Data'!$E:$E,Summary!$D87,'BPC Data'!$B:$B,Summary!$C87)</f>
        <v>1450</v>
      </c>
      <c r="Q87" s="61">
        <f ca="1">SUMIFS(OFFSET('BPC Data'!$F:$F,0,Summary!Q$2),'BPC Data'!$E:$E,Summary!$D87,'BPC Data'!$B:$B,Summary!$C87)</f>
        <v>1371</v>
      </c>
      <c r="R87" s="65">
        <f ca="1">SUMIFS(OFFSET('BPC Data'!$F:$F,0,Summary!R$2),'BPC Data'!$E:$E,Summary!$D87,'BPC Data'!$B:$B,Summary!$C87)</f>
        <v>1409</v>
      </c>
      <c r="S87" s="23">
        <f ca="1">SUM(G87:R87)</f>
        <v>16668</v>
      </c>
      <c r="T87" s="74">
        <f ca="1">SUM(W87:AH87)</f>
        <v>16668</v>
      </c>
      <c r="U87" s="54">
        <f ca="1">T87-S87</f>
        <v>0</v>
      </c>
      <c r="W87" s="4">
        <f ca="1">SUMIFS(INDIRECT("'"&amp;$W$85&amp;"'"&amp;"!$B$1:$B$5000"),INDIRECT("'"&amp;$W$85&amp;"'"&amp;"!$A$1:$A$5000"),$W$2)</f>
        <v>1309</v>
      </c>
      <c r="X87" s="4">
        <f ca="1">SUMIFS(INDIRECT("'"&amp;$W$85&amp;"'"&amp;"!$c$1:$c$5000"),INDIRECT("'"&amp;$W$85&amp;"'"&amp;"!$A$1:$A$5000"),$W$2)</f>
        <v>1248</v>
      </c>
      <c r="Y87" s="4">
        <f ca="1">SUMIFS(INDIRECT("'"&amp;$W$85&amp;"'"&amp;"!$d$1:$d$5000"),INDIRECT("'"&amp;$W$85&amp;"'"&amp;"!$A$1:$A$5000"),$W$2)</f>
        <v>1454</v>
      </c>
      <c r="Z87" s="4">
        <f ca="1">SUMIFS(INDIRECT("'"&amp;$W$85&amp;"'"&amp;"!$e$1:$e$5000"),INDIRECT("'"&amp;$W$85&amp;"'"&amp;"!$A$1:$A$5000"),$W$2)</f>
        <v>1385</v>
      </c>
      <c r="AA87" s="4">
        <f ca="1">SUMIFS(INDIRECT("'"&amp;$W$85&amp;"'"&amp;"!$f$1:$f$5000"),INDIRECT("'"&amp;$W$85&amp;"'"&amp;"!$A$1:$A$5000"),$W$2)</f>
        <v>1333</v>
      </c>
      <c r="AB87" s="4">
        <f ca="1">SUMIFS(INDIRECT("'"&amp;$W$85&amp;"'"&amp;"!$g$1:$g$5000"),INDIRECT("'"&amp;$W$85&amp;"'"&amp;"!$A$1:$A$5000"),$W$2)</f>
        <v>1442</v>
      </c>
      <c r="AC87" s="4">
        <f ca="1">SUMIFS(INDIRECT("'"&amp;$W$85&amp;"'"&amp;"!$h$1:$h$5000"),INDIRECT("'"&amp;$W$85&amp;"'"&amp;"!$A$1:$A$5000"),$W$2)</f>
        <v>1321</v>
      </c>
      <c r="AD87" s="4">
        <f ca="1">SUMIFS(INDIRECT("'"&amp;$W$85&amp;"'"&amp;"!$i$1:$i$5000"),INDIRECT("'"&amp;$W$85&amp;"'"&amp;"!$A$1:$A$5000"),$W$2)</f>
        <v>1514</v>
      </c>
      <c r="AE87" s="4">
        <f ca="1">SUMIFS(INDIRECT("'"&amp;$W$85&amp;"'"&amp;"!$j$1:$j$5000"),INDIRECT("'"&amp;$W$85&amp;"'"&amp;"!$A$1:$A$5000"),$W$2)</f>
        <v>1432</v>
      </c>
      <c r="AF87" s="4">
        <f ca="1">SUMIFS(INDIRECT("'"&amp;$W$85&amp;"'"&amp;"!$k$1:$k$5000"),INDIRECT("'"&amp;$W$85&amp;"'"&amp;"!$A$1:$A$5000"),$W$2)</f>
        <v>1450</v>
      </c>
      <c r="AG87" s="4">
        <f ca="1">SUMIFS(INDIRECT("'"&amp;$W$85&amp;"'"&amp;"!$l$1:$l$5000"),INDIRECT("'"&amp;$W$85&amp;"'"&amp;"!$A$1:$A$5000"),$W$2)</f>
        <v>1371</v>
      </c>
      <c r="AH87" s="4">
        <f ca="1">SUMIFS(INDIRECT("'"&amp;$W$85&amp;"'"&amp;"!$m$1:$m$5000"),INDIRECT("'"&amp;$W$85&amp;"'"&amp;"!$A$1:$A$5000"),$W$2)</f>
        <v>1409</v>
      </c>
      <c r="AJ87" s="14">
        <f t="shared" ref="AJ87:AU87" ca="1" si="166">W87-G87</f>
        <v>0</v>
      </c>
      <c r="AK87" s="14">
        <f t="shared" ca="1" si="166"/>
        <v>0</v>
      </c>
      <c r="AL87" s="14">
        <f t="shared" ca="1" si="166"/>
        <v>0</v>
      </c>
      <c r="AM87" s="14">
        <f t="shared" ca="1" si="166"/>
        <v>0</v>
      </c>
      <c r="AN87" s="14">
        <f t="shared" ca="1" si="166"/>
        <v>0</v>
      </c>
      <c r="AO87" s="14">
        <f t="shared" ca="1" si="166"/>
        <v>0</v>
      </c>
      <c r="AP87" s="14">
        <f t="shared" ca="1" si="166"/>
        <v>0</v>
      </c>
      <c r="AQ87" s="14">
        <f t="shared" ca="1" si="166"/>
        <v>0</v>
      </c>
      <c r="AR87" s="14">
        <f t="shared" ca="1" si="166"/>
        <v>0</v>
      </c>
      <c r="AS87" s="14">
        <f t="shared" ca="1" si="166"/>
        <v>0</v>
      </c>
      <c r="AT87" s="14">
        <f t="shared" ca="1" si="166"/>
        <v>0</v>
      </c>
      <c r="AU87" s="14">
        <f t="shared" ca="1" si="166"/>
        <v>0</v>
      </c>
    </row>
    <row r="88" spans="1:47" s="12" customFormat="1">
      <c r="A88" s="12">
        <f t="shared" ref="A88:A96" si="167">IF(AND(F88&lt;&gt;"",D88=""),A87+1,A87)</f>
        <v>8</v>
      </c>
      <c r="C88" t="str">
        <f>$F86</f>
        <v>Tanglewood Health and Rehabilitation</v>
      </c>
      <c r="D88" s="3" t="str">
        <f t="shared" si="154"/>
        <v>A_BEDS_TOTAL - Total Available Beds</v>
      </c>
      <c r="F88" s="19" t="str">
        <f>_xll.EVDES(D88)</f>
        <v>Total Available Beds</v>
      </c>
      <c r="G88" s="61">
        <f ca="1">SUMIFS(OFFSET('BPC Data'!$F:$F,0,Summary!G$2),'BPC Data'!$E:$E,Summary!$D88,'BPC Data'!$B:$B,Summary!$C88)</f>
        <v>54</v>
      </c>
      <c r="H88" s="65">
        <f ca="1">SUMIFS(OFFSET('BPC Data'!$F:$F,0,Summary!H$2),'BPC Data'!$E:$E,Summary!$D88,'BPC Data'!$B:$B,Summary!$C88)</f>
        <v>54</v>
      </c>
      <c r="I88" s="61">
        <f ca="1">SUMIFS(OFFSET('BPC Data'!$F:$F,0,Summary!I$2),'BPC Data'!$E:$E,Summary!$D88,'BPC Data'!$B:$B,Summary!$C88)</f>
        <v>54</v>
      </c>
      <c r="J88" s="65">
        <f ca="1">SUMIFS(OFFSET('BPC Data'!$F:$F,0,Summary!J$2),'BPC Data'!$E:$E,Summary!$D88,'BPC Data'!$B:$B,Summary!$C88)</f>
        <v>54</v>
      </c>
      <c r="K88" s="61">
        <f ca="1">SUMIFS(OFFSET('BPC Data'!$F:$F,0,Summary!K$2),'BPC Data'!$E:$E,Summary!$D88,'BPC Data'!$B:$B,Summary!$C88)</f>
        <v>54</v>
      </c>
      <c r="L88" s="65">
        <f ca="1">SUMIFS(OFFSET('BPC Data'!$F:$F,0,Summary!L$2),'BPC Data'!$E:$E,Summary!$D88,'BPC Data'!$B:$B,Summary!$C88)</f>
        <v>54</v>
      </c>
      <c r="M88" s="61">
        <f ca="1">SUMIFS(OFFSET('BPC Data'!$F:$F,0,Summary!M$2),'BPC Data'!$E:$E,Summary!$D88,'BPC Data'!$B:$B,Summary!$C88)</f>
        <v>54</v>
      </c>
      <c r="N88" s="65">
        <f ca="1">SUMIFS(OFFSET('BPC Data'!$F:$F,0,Summary!N$2),'BPC Data'!$E:$E,Summary!$D88,'BPC Data'!$B:$B,Summary!$C88)</f>
        <v>54</v>
      </c>
      <c r="O88" s="61">
        <f ca="1">SUMIFS(OFFSET('BPC Data'!$F:$F,0,Summary!O$2),'BPC Data'!$E:$E,Summary!$D88,'BPC Data'!$B:$B,Summary!$C88)</f>
        <v>54</v>
      </c>
      <c r="P88" s="65">
        <f ca="1">SUMIFS(OFFSET('BPC Data'!$F:$F,0,Summary!P$2),'BPC Data'!$E:$E,Summary!$D88,'BPC Data'!$B:$B,Summary!$C88)</f>
        <v>54</v>
      </c>
      <c r="Q88" s="61">
        <f ca="1">SUMIFS(OFFSET('BPC Data'!$F:$F,0,Summary!Q$2),'BPC Data'!$E:$E,Summary!$D88,'BPC Data'!$B:$B,Summary!$C88)</f>
        <v>54</v>
      </c>
      <c r="R88" s="65">
        <f ca="1">SUMIFS(OFFSET('BPC Data'!$F:$F,0,Summary!R$2),'BPC Data'!$E:$E,Summary!$D88,'BPC Data'!$B:$B,Summary!$C88)</f>
        <v>54</v>
      </c>
      <c r="S88" s="23">
        <f ca="1">+R88</f>
        <v>54</v>
      </c>
      <c r="T88" s="74"/>
      <c r="U88" s="54"/>
      <c r="AJ88" s="49"/>
      <c r="AK88" s="49"/>
      <c r="AL88" s="49"/>
      <c r="AM88" s="49"/>
      <c r="AN88" s="49"/>
      <c r="AO88" s="49"/>
      <c r="AP88" s="49"/>
      <c r="AQ88" s="49"/>
      <c r="AR88" s="49"/>
      <c r="AS88" s="49"/>
      <c r="AT88" s="49"/>
      <c r="AU88" s="49"/>
    </row>
    <row r="89" spans="1:47" s="12" customFormat="1">
      <c r="A89" s="12">
        <f t="shared" si="167"/>
        <v>8</v>
      </c>
      <c r="B89"/>
      <c r="C89" t="str">
        <f>$F86</f>
        <v>Tanglewood Health and Rehabilitation</v>
      </c>
      <c r="D89" s="3" t="str">
        <f t="shared" si="154"/>
        <v>T_REVENUES - Total Tenant Revenues</v>
      </c>
      <c r="E89"/>
      <c r="F89" s="19" t="str">
        <f>_xll.EVDES(D89)</f>
        <v>Total Tenant Revenues</v>
      </c>
      <c r="G89" s="61">
        <f ca="1">SUMIFS(OFFSET('BPC Data'!$F:$F,0,Summary!G$2),'BPC Data'!$E:$E,Summary!$D89,'BPC Data'!$B:$B,Summary!$C89)</f>
        <v>309801</v>
      </c>
      <c r="H89" s="65">
        <f ca="1">SUMIFS(OFFSET('BPC Data'!$F:$F,0,Summary!H$2),'BPC Data'!$E:$E,Summary!$D89,'BPC Data'!$B:$B,Summary!$C89)</f>
        <v>352528</v>
      </c>
      <c r="I89" s="61">
        <f ca="1">SUMIFS(OFFSET('BPC Data'!$F:$F,0,Summary!I$2),'BPC Data'!$E:$E,Summary!$D89,'BPC Data'!$B:$B,Summary!$C89)</f>
        <v>378780</v>
      </c>
      <c r="J89" s="65">
        <f ca="1">SUMIFS(OFFSET('BPC Data'!$F:$F,0,Summary!J$2),'BPC Data'!$E:$E,Summary!$D89,'BPC Data'!$B:$B,Summary!$C89)</f>
        <v>358291</v>
      </c>
      <c r="K89" s="61">
        <f ca="1">SUMIFS(OFFSET('BPC Data'!$F:$F,0,Summary!K$2),'BPC Data'!$E:$E,Summary!$D89,'BPC Data'!$B:$B,Summary!$C89)</f>
        <v>298549</v>
      </c>
      <c r="L89" s="65">
        <f ca="1">SUMIFS(OFFSET('BPC Data'!$F:$F,0,Summary!L$2),'BPC Data'!$E:$E,Summary!$D89,'BPC Data'!$B:$B,Summary!$C89)</f>
        <v>375048</v>
      </c>
      <c r="M89" s="61">
        <f ca="1">SUMIFS(OFFSET('BPC Data'!$F:$F,0,Summary!M$2),'BPC Data'!$E:$E,Summary!$D89,'BPC Data'!$B:$B,Summary!$C89)</f>
        <v>363620</v>
      </c>
      <c r="N89" s="65">
        <f ca="1">SUMIFS(OFFSET('BPC Data'!$F:$F,0,Summary!N$2),'BPC Data'!$E:$E,Summary!$D89,'BPC Data'!$B:$B,Summary!$C89)</f>
        <v>376029</v>
      </c>
      <c r="O89" s="61">
        <f ca="1">SUMIFS(OFFSET('BPC Data'!$F:$F,0,Summary!O$2),'BPC Data'!$E:$E,Summary!$D89,'BPC Data'!$B:$B,Summary!$C89)</f>
        <v>333752</v>
      </c>
      <c r="P89" s="65">
        <f ca="1">SUMIFS(OFFSET('BPC Data'!$F:$F,0,Summary!P$2),'BPC Data'!$E:$E,Summary!$D89,'BPC Data'!$B:$B,Summary!$C89)</f>
        <v>353795</v>
      </c>
      <c r="Q89" s="61">
        <f ca="1">SUMIFS(OFFSET('BPC Data'!$F:$F,0,Summary!Q$2),'BPC Data'!$E:$E,Summary!$D89,'BPC Data'!$B:$B,Summary!$C89)</f>
        <v>331737</v>
      </c>
      <c r="R89" s="65">
        <f ca="1">SUMIFS(OFFSET('BPC Data'!$F:$F,0,Summary!R$2),'BPC Data'!$E:$E,Summary!$D89,'BPC Data'!$B:$B,Summary!$C89)</f>
        <v>466277</v>
      </c>
      <c r="S89" s="23">
        <f t="shared" ref="S89:S95" ca="1" si="168">SUM(G89:R89)</f>
        <v>4298207</v>
      </c>
      <c r="T89" s="74">
        <f ca="1">SUM(W89:AH89)</f>
        <v>4298208.7499999991</v>
      </c>
      <c r="U89" s="54">
        <f ca="1">T89-S89</f>
        <v>1.7499999990686774</v>
      </c>
      <c r="W89" s="4">
        <f ca="1">SUMIFS(INDIRECT("'"&amp;$W$85&amp;"'"&amp;"!$B$64:$B$5000"),INDIRECT("'"&amp;$W$85&amp;"'"&amp;"!$A$64:$A$5000"),$V$1)-SUMIFS(INDIRECT("'"&amp;$W$85&amp;"'"&amp;"!$B$64:$B$5000"),INDIRECT("'"&amp;$W$85&amp;"'"&amp;"!$A$64:$A$5000"),$V$2)-SUMIFS(INDIRECT("'"&amp;$W$85&amp;"'"&amp;"!$B$64:$B$5000"),INDIRECT("'"&amp;$W$85&amp;"'"&amp;"!$A$64:$A$5000"),$V$3)-SUMIFS(INDIRECT("'"&amp;$W$85&amp;"'"&amp;"!$B$64:$B$5000"),INDIRECT("'"&amp;$W$85&amp;"'"&amp;"!$A$64:$A$5000"),$X$4)-SUMIFS(INDIRECT("'"&amp;$W$85&amp;"'"&amp;"!$B$64:$B$5000"),INDIRECT("'"&amp;$W$85&amp;"'"&amp;"!$A$64:$A$5000"),$X$3)</f>
        <v>309800.71000000008</v>
      </c>
      <c r="X89" s="4">
        <f ca="1">SUMIFS(INDIRECT("'"&amp;$W$85&amp;"'"&amp;"!$c$64:$c$5000"),INDIRECT("'"&amp;$W$85&amp;"'"&amp;"!$A$64:$A$5000"),$V$1)-SUMIFS(INDIRECT("'"&amp;$W$85&amp;"'"&amp;"!$c$64:$c$5000"),INDIRECT("'"&amp;$W$85&amp;"'"&amp;"!$A$64:$A$5000"),$V$2)-SUMIFS(INDIRECT("'"&amp;$W$85&amp;"'"&amp;"!$c$64:$c$5000"),INDIRECT("'"&amp;$W$85&amp;"'"&amp;"!$A$64:$A$5000"),$V$3)-SUMIFS(INDIRECT("'"&amp;$W$85&amp;"'"&amp;"!$c$64:$c$5000"),INDIRECT("'"&amp;$W$85&amp;"'"&amp;"!$A$64:$A$5000"),$X$4)-SUMIFS(INDIRECT("'"&amp;$W$85&amp;"'"&amp;"!$c$64:$c$5000"),INDIRECT("'"&amp;$W$85&amp;"'"&amp;"!$A$64:$A$5000"),$X$3)</f>
        <v>352528.23000000021</v>
      </c>
      <c r="Y89" s="4">
        <f ca="1">SUMIFS(INDIRECT("'"&amp;$W$85&amp;"'"&amp;"!$d$64:$d$5000"),INDIRECT("'"&amp;$W$85&amp;"'"&amp;"!$A$64:$A$5000"),$V$1)-SUMIFS(INDIRECT("'"&amp;$W$85&amp;"'"&amp;"!$d$64:$d$5000"),INDIRECT("'"&amp;$W$85&amp;"'"&amp;"!$A$64:$A$5000"),$V$2)-SUMIFS(INDIRECT("'"&amp;$W$85&amp;"'"&amp;"!$d$64:$d$5000"),INDIRECT("'"&amp;$W$85&amp;"'"&amp;"!$A$64:$A$5000"),$V$3)-SUMIFS(INDIRECT("'"&amp;$W$85&amp;"'"&amp;"!$d$64:$d$5000"),INDIRECT("'"&amp;$W$85&amp;"'"&amp;"!$A$64:$A$5000"),$X$4)-SUMIFS(INDIRECT("'"&amp;$W$85&amp;"'"&amp;"!$d$64:$d$5000"),INDIRECT("'"&amp;$W$85&amp;"'"&amp;"!$A$64:$A$5000"),$X$3)</f>
        <v>378780.75999999983</v>
      </c>
      <c r="Z89" s="4">
        <f ca="1">SUMIFS(INDIRECT("'"&amp;$W$85&amp;"'"&amp;"!$e$64:$e$5000"),INDIRECT("'"&amp;$W$85&amp;"'"&amp;"!$A$64:$A$5000"),$V$1)-SUMIFS(INDIRECT("'"&amp;$W$85&amp;"'"&amp;"!$e$64:$e$5000"),INDIRECT("'"&amp;$W$85&amp;"'"&amp;"!$A$64:$A$5000"),$V$2)-SUMIFS(INDIRECT("'"&amp;$W$85&amp;"'"&amp;"!$e$64:$e$5000"),INDIRECT("'"&amp;$W$85&amp;"'"&amp;"!$A$64:$A$5000"),$V$3)-SUMIFS(INDIRECT("'"&amp;$W$85&amp;"'"&amp;"!$e$64:$e$5000"),INDIRECT("'"&amp;$W$85&amp;"'"&amp;"!$A$64:$A$5000"),$X$4)-SUMIFS(INDIRECT("'"&amp;$W$85&amp;"'"&amp;"!$e$64:$e$5000"),INDIRECT("'"&amp;$W$85&amp;"'"&amp;"!$A$64:$A$5000"),$X$3)</f>
        <v>358291.06999999995</v>
      </c>
      <c r="AA89" s="4">
        <f ca="1">SUMIFS(INDIRECT("'"&amp;$W$85&amp;"'"&amp;"!$f$64:$f$5000"),INDIRECT("'"&amp;$W$85&amp;"'"&amp;"!$A$64:$A$5000"),$V$1)-SUMIFS(INDIRECT("'"&amp;$W$85&amp;"'"&amp;"!$f$64:$f$5000"),INDIRECT("'"&amp;$W$85&amp;"'"&amp;"!$A$64:$A$5000"),$V$2)-SUMIFS(INDIRECT("'"&amp;$W$85&amp;"'"&amp;"!$f$64:$f$5000"),INDIRECT("'"&amp;$W$85&amp;"'"&amp;"!$A$64:$A$5000"),$V$3)-SUMIFS(INDIRECT("'"&amp;$W$85&amp;"'"&amp;"!$f$64:$f$5000"),INDIRECT("'"&amp;$W$85&amp;"'"&amp;"!$A$64:$A$5000"),$X$4)-SUMIFS(INDIRECT("'"&amp;$W$85&amp;"'"&amp;"!$f$64:$f$5000"),INDIRECT("'"&amp;$W$85&amp;"'"&amp;"!$A$64:$A$5000"),$X$3)</f>
        <v>298549.55000000005</v>
      </c>
      <c r="AB89" s="4">
        <f ca="1">SUMIFS(INDIRECT("'"&amp;$W$85&amp;"'"&amp;"!$g$64:$g$5000"),INDIRECT("'"&amp;$W$85&amp;"'"&amp;"!$A$64:$A$5000"),$V$1)-SUMIFS(INDIRECT("'"&amp;$W$85&amp;"'"&amp;"!$g$64:$g$5000"),INDIRECT("'"&amp;$W$85&amp;"'"&amp;"!$A$64:$A$5000"),$V$2)-SUMIFS(INDIRECT("'"&amp;$W$85&amp;"'"&amp;"!$g$64:$g$5000"),INDIRECT("'"&amp;$W$85&amp;"'"&amp;"!$A$64:$A$5000"),$V$3)-SUMIFS(INDIRECT("'"&amp;$W$85&amp;"'"&amp;"!$g$64:$g$5000"),INDIRECT("'"&amp;$W$85&amp;"'"&amp;"!$A$64:$A$5000"),$X$4)-SUMIFS(INDIRECT("'"&amp;$W$85&amp;"'"&amp;"!$g$64:$g$5000"),INDIRECT("'"&amp;$W$85&amp;"'"&amp;"!$A$64:$A$5000"),$X$3)</f>
        <v>375047.90000000037</v>
      </c>
      <c r="AC89" s="4">
        <f ca="1">SUMIFS(INDIRECT("'"&amp;$W$85&amp;"'"&amp;"!$h$64:$h$5000"),INDIRECT("'"&amp;$W$85&amp;"'"&amp;"!$A$64:$A$5000"),$V$1)-SUMIFS(INDIRECT("'"&amp;$W$85&amp;"'"&amp;"!$h$64:$h$5000"),INDIRECT("'"&amp;$W$85&amp;"'"&amp;"!$A$64:$A$5000"),$V$2)-SUMIFS(INDIRECT("'"&amp;$W$85&amp;"'"&amp;"!$h$64:$h$5000"),INDIRECT("'"&amp;$W$85&amp;"'"&amp;"!$A$64:$A$5000"),$V$3)-SUMIFS(INDIRECT("'"&amp;$W$85&amp;"'"&amp;"!$h$64:$h$5000"),INDIRECT("'"&amp;$W$85&amp;"'"&amp;"!$A$64:$A$5000"),$X$4)-SUMIFS(INDIRECT("'"&amp;$W$85&amp;"'"&amp;"!$h$64:$h$5000"),INDIRECT("'"&amp;$W$85&amp;"'"&amp;"!$A$64:$A$5000"),$X$3)</f>
        <v>363620.92999999964</v>
      </c>
      <c r="AD89" s="4">
        <f ca="1">SUMIFS(INDIRECT("'"&amp;$W$85&amp;"'"&amp;"!$i$64:$i$5000"),INDIRECT("'"&amp;$W$85&amp;"'"&amp;"!$A$64:$A$5000"),$V$1)-SUMIFS(INDIRECT("'"&amp;$W$85&amp;"'"&amp;"!$i$64:$i$5000"),INDIRECT("'"&amp;$W$85&amp;"'"&amp;"!$A$64:$A$5000"),$V$2)-SUMIFS(INDIRECT("'"&amp;$W$85&amp;"'"&amp;"!$i$64:$i$5000"),INDIRECT("'"&amp;$W$85&amp;"'"&amp;"!$A$64:$A$5000"),$V$3)-SUMIFS(INDIRECT("'"&amp;$W$85&amp;"'"&amp;"!$i$64:$i$5000"),INDIRECT("'"&amp;$W$85&amp;"'"&amp;"!$A$64:$A$5000"),$X$4)-SUMIFS(INDIRECT("'"&amp;$W$85&amp;"'"&amp;"!$i$64:$i$5000"),INDIRECT("'"&amp;$W$85&amp;"'"&amp;"!$A$64:$A$5000"),$X$3)</f>
        <v>376027.41999999929</v>
      </c>
      <c r="AE89" s="4">
        <f ca="1">SUMIFS(INDIRECT("'"&amp;$W$85&amp;"'"&amp;"!$j$64:$j$5000"),INDIRECT("'"&amp;$W$85&amp;"'"&amp;"!$A$64:$A$5000"),$V$1)-SUMIFS(INDIRECT("'"&amp;$W$85&amp;"'"&amp;"!$j$64:$j$5000"),INDIRECT("'"&amp;$W$85&amp;"'"&amp;"!$A$64:$A$5000"),$V$2)-SUMIFS(INDIRECT("'"&amp;$W$85&amp;"'"&amp;"!$j$64:$j$5000"),INDIRECT("'"&amp;$W$85&amp;"'"&amp;"!$A$64:$A$5000"),$V$3)-SUMIFS(INDIRECT("'"&amp;$W$85&amp;"'"&amp;"!$j$64:$j$5000"),INDIRECT("'"&amp;$W$85&amp;"'"&amp;"!$A$64:$A$5000"),$X$4)-SUMIFS(INDIRECT("'"&amp;$W$85&amp;"'"&amp;"!$j$64:$j$5000"),INDIRECT("'"&amp;$W$85&amp;"'"&amp;"!$A$64:$A$5000"),$X$3)</f>
        <v>333752.19</v>
      </c>
      <c r="AF89" s="4">
        <f ca="1">SUMIFS(INDIRECT("'"&amp;$W$85&amp;"'"&amp;"!$k$64:$k$5000"),INDIRECT("'"&amp;$W$85&amp;"'"&amp;"!$A$64:$A$5000"),$V$1)-SUMIFS(INDIRECT("'"&amp;$W$85&amp;"'"&amp;"!$k$64:$k$5000"),INDIRECT("'"&amp;$W$85&amp;"'"&amp;"!$A$64:$A$5000"),$V$2)-SUMIFS(INDIRECT("'"&amp;$W$85&amp;"'"&amp;"!$k$64:$k$5000"),INDIRECT("'"&amp;$W$85&amp;"'"&amp;"!$A$64:$A$5000"),$V$3)-SUMIFS(INDIRECT("'"&amp;$W$85&amp;"'"&amp;"!$k$64:$k$5000"),INDIRECT("'"&amp;$W$85&amp;"'"&amp;"!$A$64:$A$5000"),$X$4)-SUMIFS(INDIRECT("'"&amp;$W$85&amp;"'"&amp;"!$k$64:$k$5000"),INDIRECT("'"&amp;$W$85&amp;"'"&amp;"!$A$64:$A$5000"),$X$3)</f>
        <v>353795.98999999993</v>
      </c>
      <c r="AG89" s="4">
        <f ca="1">SUMIFS(INDIRECT("'"&amp;$W$85&amp;"'"&amp;"!$l$64:$l$5000"),INDIRECT("'"&amp;$W$85&amp;"'"&amp;"!$A$64:$A$5000"),$V$1)-SUMIFS(INDIRECT("'"&amp;$W$85&amp;"'"&amp;"!$l$64:$l$5000"),INDIRECT("'"&amp;$W$85&amp;"'"&amp;"!$A$64:$A$5000"),$V$2)-SUMIFS(INDIRECT("'"&amp;$W$85&amp;"'"&amp;"!$l$64:$l$5000"),INDIRECT("'"&amp;$W$85&amp;"'"&amp;"!$A$64:$A$5000"),$V$3)-SUMIFS(INDIRECT("'"&amp;$W$85&amp;"'"&amp;"!$l$64:$l$5000"),INDIRECT("'"&amp;$W$85&amp;"'"&amp;"!$A$64:$A$5000"),$X$4)-SUMIFS(INDIRECT("'"&amp;$W$85&amp;"'"&amp;"!$l$64:$l$5000"),INDIRECT("'"&amp;$W$85&amp;"'"&amp;"!$A$64:$A$5000"),$X$3)</f>
        <v>331737.05000000005</v>
      </c>
      <c r="AH89" s="4">
        <f ca="1">SUMIFS(INDIRECT("'"&amp;$W$85&amp;"'"&amp;"!$m$64:$m$5000"),INDIRECT("'"&amp;$W$85&amp;"'"&amp;"!$A$64:$A$5000"),$V$1)-SUMIFS(INDIRECT("'"&amp;$W$85&amp;"'"&amp;"!$m$64:$m$5000"),INDIRECT("'"&amp;$W$85&amp;"'"&amp;"!$A$64:$A$5000"),$V$2)-SUMIFS(INDIRECT("'"&amp;$W$85&amp;"'"&amp;"!$m$64:$m$5000"),INDIRECT("'"&amp;$W$85&amp;"'"&amp;"!$A$64:$A$5000"),$V$3)-SUMIFS(INDIRECT("'"&amp;$W$85&amp;"'"&amp;"!$m$64:$m$5000"),INDIRECT("'"&amp;$W$85&amp;"'"&amp;"!$A$64:$A$5000"),$X$4)-SUMIFS(INDIRECT("'"&amp;$W$85&amp;"'"&amp;"!$m$64:$m$5000"),INDIRECT("'"&amp;$W$85&amp;"'"&amp;"!$A$64:$A$5000"),$X$3)</f>
        <v>466276.95000000007</v>
      </c>
      <c r="AJ89" s="14">
        <f t="shared" ref="AJ89:AU90" ca="1" si="169">W89-G89</f>
        <v>-0.28999999992083758</v>
      </c>
      <c r="AK89" s="14">
        <f t="shared" ca="1" si="169"/>
        <v>0.23000000021420419</v>
      </c>
      <c r="AL89" s="14">
        <f t="shared" ca="1" si="169"/>
        <v>0.75999999983469024</v>
      </c>
      <c r="AM89" s="14">
        <f t="shared" ca="1" si="169"/>
        <v>6.9999999948777258E-2</v>
      </c>
      <c r="AN89" s="14">
        <f t="shared" ca="1" si="169"/>
        <v>0.55000000004656613</v>
      </c>
      <c r="AO89" s="14">
        <f t="shared" ca="1" si="169"/>
        <v>-9.999999962747097E-2</v>
      </c>
      <c r="AP89" s="14">
        <f t="shared" ca="1" si="169"/>
        <v>0.92999999964376912</v>
      </c>
      <c r="AQ89" s="14">
        <f t="shared" ca="1" si="169"/>
        <v>-1.5800000007147901</v>
      </c>
      <c r="AR89" s="14">
        <f t="shared" ca="1" si="169"/>
        <v>0.19000000000232831</v>
      </c>
      <c r="AS89" s="14">
        <f t="shared" ca="1" si="169"/>
        <v>0.98999999993247911</v>
      </c>
      <c r="AT89" s="14">
        <f t="shared" ca="1" si="169"/>
        <v>5.0000000046566129E-2</v>
      </c>
      <c r="AU89" s="14">
        <f t="shared" ca="1" si="169"/>
        <v>-4.9999999930150807E-2</v>
      </c>
    </row>
    <row r="90" spans="1:47" s="12" customFormat="1">
      <c r="A90" s="12">
        <f t="shared" si="167"/>
        <v>8</v>
      </c>
      <c r="B90"/>
      <c r="C90" t="str">
        <f>$F86</f>
        <v>Tanglewood Health and Rehabilitation</v>
      </c>
      <c r="D90" s="3" t="str">
        <f t="shared" si="154"/>
        <v>T_OPEX - Tenant Operating Expenses</v>
      </c>
      <c r="E90"/>
      <c r="F90" s="19" t="str">
        <f>_xll.EVDES(D90)</f>
        <v>Tenant Operating Expenses</v>
      </c>
      <c r="G90" s="61">
        <f ca="1">SUMIFS(OFFSET('BPC Data'!$F:$F,0,Summary!G$2),'BPC Data'!$E:$E,Summary!$D90,'BPC Data'!$B:$B,Summary!$C90)</f>
        <v>320201.92</v>
      </c>
      <c r="H90" s="65">
        <f ca="1">SUMIFS(OFFSET('BPC Data'!$F:$F,0,Summary!H$2),'BPC Data'!$E:$E,Summary!$D90,'BPC Data'!$B:$B,Summary!$C90)</f>
        <v>333434</v>
      </c>
      <c r="I90" s="61">
        <f ca="1">SUMIFS(OFFSET('BPC Data'!$F:$F,0,Summary!I$2),'BPC Data'!$E:$E,Summary!$D90,'BPC Data'!$B:$B,Summary!$C90)</f>
        <v>272683</v>
      </c>
      <c r="J90" s="65">
        <f ca="1">SUMIFS(OFFSET('BPC Data'!$F:$F,0,Summary!J$2),'BPC Data'!$E:$E,Summary!$D90,'BPC Data'!$B:$B,Summary!$C90)</f>
        <v>297500</v>
      </c>
      <c r="K90" s="61">
        <f ca="1">SUMIFS(OFFSET('BPC Data'!$F:$F,0,Summary!K$2),'BPC Data'!$E:$E,Summary!$D90,'BPC Data'!$B:$B,Summary!$C90)</f>
        <v>253495</v>
      </c>
      <c r="L90" s="65">
        <f ca="1">SUMIFS(OFFSET('BPC Data'!$F:$F,0,Summary!L$2),'BPC Data'!$E:$E,Summary!$D90,'BPC Data'!$B:$B,Summary!$C90)</f>
        <v>288179</v>
      </c>
      <c r="M90" s="61">
        <f ca="1">SUMIFS(OFFSET('BPC Data'!$F:$F,0,Summary!M$2),'BPC Data'!$E:$E,Summary!$D90,'BPC Data'!$B:$B,Summary!$C90)</f>
        <v>321683</v>
      </c>
      <c r="N90" s="65">
        <f ca="1">SUMIFS(OFFSET('BPC Data'!$F:$F,0,Summary!N$2),'BPC Data'!$E:$E,Summary!$D90,'BPC Data'!$B:$B,Summary!$C90)</f>
        <v>363854</v>
      </c>
      <c r="O90" s="61">
        <f ca="1">SUMIFS(OFFSET('BPC Data'!$F:$F,0,Summary!O$2),'BPC Data'!$E:$E,Summary!$D90,'BPC Data'!$B:$B,Summary!$C90)</f>
        <v>300312</v>
      </c>
      <c r="P90" s="65">
        <f ca="1">SUMIFS(OFFSET('BPC Data'!$F:$F,0,Summary!P$2),'BPC Data'!$E:$E,Summary!$D90,'BPC Data'!$B:$B,Summary!$C90)</f>
        <v>334761</v>
      </c>
      <c r="Q90" s="61">
        <f ca="1">SUMIFS(OFFSET('BPC Data'!$F:$F,0,Summary!Q$2),'BPC Data'!$E:$E,Summary!$D90,'BPC Data'!$B:$B,Summary!$C90)</f>
        <v>308532</v>
      </c>
      <c r="R90" s="65">
        <f ca="1">SUMIFS(OFFSET('BPC Data'!$F:$F,0,Summary!R$2),'BPC Data'!$E:$E,Summary!$D90,'BPC Data'!$B:$B,Summary!$C90)</f>
        <v>375009</v>
      </c>
      <c r="S90" s="23">
        <f t="shared" ca="1" si="168"/>
        <v>3769643.92</v>
      </c>
      <c r="T90" s="74">
        <f ca="1">SUM(W90:AH90)</f>
        <v>3887639.1799999997</v>
      </c>
      <c r="U90" s="54">
        <f ca="1">T90-S90</f>
        <v>117995.25999999978</v>
      </c>
      <c r="W90" s="4">
        <f ca="1">SUMIFS(INDIRECT("'"&amp;$W$85&amp;"'"&amp;"!$B$64:$B$5000"),INDIRECT("'"&amp;$W$85&amp;"'"&amp;"!$A$64:$A$5000"),$V$4)-SUMIFS(INDIRECT("'"&amp;$W$85&amp;"'"&amp;"!$B$64:$B$5000"),INDIRECT("'"&amp;$W$85&amp;"'"&amp;"!$A$64:$A$5000"),$V$5)-SUMIFS(INDIRECT("'"&amp;$W$85&amp;"'"&amp;"!$B$64:$B$5000"),INDIRECT("'"&amp;$W$85&amp;"'"&amp;"!$A$64:$A$5000"),$V$6)-SUMIFS(INDIRECT("'"&amp;$W$85&amp;"'"&amp;"!$B$64:$B$5000"),INDIRECT("'"&amp;$W$85&amp;"'"&amp;"!$A$64:$A$5000"),$W$6)-SUMIFS(INDIRECT("'"&amp;$W$85&amp;"'"&amp;"!$B$64:$B$5000"),INDIRECT("'"&amp;$W$85&amp;"'"&amp;"!$A$64:$A$5000"),$W$7)-SUMIFS(INDIRECT("'"&amp;$W$85&amp;"'"&amp;"!$B$64:$B$5000"),INDIRECT("'"&amp;$W$85&amp;"'"&amp;"!$A$64:$A$5000"),$X$3)-W95-W93</f>
        <v>320200.63</v>
      </c>
      <c r="X90" s="4">
        <f ca="1">SUMIFS(INDIRECT("'"&amp;$W$85&amp;"'"&amp;"!$c$64:$c$5000"),INDIRECT("'"&amp;$W$85&amp;"'"&amp;"!$A$64:$A$5000"),$V$4)-SUMIFS(INDIRECT("'"&amp;$W$85&amp;"'"&amp;"!$c$64:$c$5000"),INDIRECT("'"&amp;$W$85&amp;"'"&amp;"!$A$64:$A$5000"),$V$5)-SUMIFS(INDIRECT("'"&amp;$W$85&amp;"'"&amp;"!$c$64:$c$5000"),INDIRECT("'"&amp;$W$85&amp;"'"&amp;"!$A$64:$A$5000"),$V$6)-SUMIFS(INDIRECT("'"&amp;$W$85&amp;"'"&amp;"!$c$64:$c$5000"),INDIRECT("'"&amp;$W$85&amp;"'"&amp;"!$A$64:$A$5000"),$W$6)-SUMIFS(INDIRECT("'"&amp;$W$85&amp;"'"&amp;"!$c$64:$c$5000"),INDIRECT("'"&amp;$W$85&amp;"'"&amp;"!$A$64:$A$5000"),$W$7)-SUMIFS(INDIRECT("'"&amp;$W$85&amp;"'"&amp;"!$c$64:$c$5000"),INDIRECT("'"&amp;$W$85&amp;"'"&amp;"!$A$64:$A$5000"),$X$3)-X95-X93</f>
        <v>333433.37000000046</v>
      </c>
      <c r="Y90" s="4">
        <f ca="1">SUMIFS(INDIRECT("'"&amp;$W$85&amp;"'"&amp;"!$d$64:$d$5000"),INDIRECT("'"&amp;$W$85&amp;"'"&amp;"!$A$64:$A$5000"),$V$4)-SUMIFS(INDIRECT("'"&amp;$W$85&amp;"'"&amp;"!$d$64:$d$5000"),INDIRECT("'"&amp;$W$85&amp;"'"&amp;"!$A$64:$A$5000"),$V$5)-SUMIFS(INDIRECT("'"&amp;$W$85&amp;"'"&amp;"!$d$64:$d$5000"),INDIRECT("'"&amp;$W$85&amp;"'"&amp;"!$A$64:$A$5000"),$V$6)-SUMIFS(INDIRECT("'"&amp;$W$85&amp;"'"&amp;"!$d$64:$d$5000"),INDIRECT("'"&amp;$W$85&amp;"'"&amp;"!$A$64:$A$5000"),$W$6)-SUMIFS(INDIRECT("'"&amp;$W$85&amp;"'"&amp;"!$d$64:$d$5000"),INDIRECT("'"&amp;$W$85&amp;"'"&amp;"!$A$64:$A$5000"),$W$7)-SUMIFS(INDIRECT("'"&amp;$W$85&amp;"'"&amp;"!$d$64:$d$5000"),INDIRECT("'"&amp;$W$85&amp;"'"&amp;"!$A$64:$A$5000"),$X$3)-Y95-Y93</f>
        <v>272685.11</v>
      </c>
      <c r="Z90" s="4">
        <f ca="1">SUMIFS(INDIRECT("'"&amp;$W$85&amp;"'"&amp;"!$e$64:$e$5000"),INDIRECT("'"&amp;$W$85&amp;"'"&amp;"!$A$64:$A$5000"),$V$4)-SUMIFS(INDIRECT("'"&amp;$W$85&amp;"'"&amp;"!$e$64:$e$5000"),INDIRECT("'"&amp;$W$85&amp;"'"&amp;"!$A$64:$A$5000"),$V$5)-SUMIFS(INDIRECT("'"&amp;$W$85&amp;"'"&amp;"!$e$64:$e$5000"),INDIRECT("'"&amp;$W$85&amp;"'"&amp;"!$A$64:$A$5000"),$V$6)-SUMIFS(INDIRECT("'"&amp;$W$85&amp;"'"&amp;"!$e$64:$e$5000"),INDIRECT("'"&amp;$W$85&amp;"'"&amp;"!$A$64:$A$5000"),$W$6)-SUMIFS(INDIRECT("'"&amp;$W$85&amp;"'"&amp;"!$e$64:$e$5000"),INDIRECT("'"&amp;$W$85&amp;"'"&amp;"!$A$64:$A$5000"),$W$7)-SUMIFS(INDIRECT("'"&amp;$W$85&amp;"'"&amp;"!$e$64:$e$5000"),INDIRECT("'"&amp;$W$85&amp;"'"&amp;"!$A$64:$A$5000"),$X$3)-Z95-Z93</f>
        <v>297501.6399999999</v>
      </c>
      <c r="AA90" s="4">
        <f ca="1">SUMIFS(INDIRECT("'"&amp;$W$85&amp;"'"&amp;"!$f$64:$f$5000"),INDIRECT("'"&amp;$W$85&amp;"'"&amp;"!$A$64:$A$5000"),$V$4)-SUMIFS(INDIRECT("'"&amp;$W$85&amp;"'"&amp;"!$f$64:$f$5000"),INDIRECT("'"&amp;$W$85&amp;"'"&amp;"!$A$64:$A$5000"),$V$5)-SUMIFS(INDIRECT("'"&amp;$W$85&amp;"'"&amp;"!$f$64:$f$5000"),INDIRECT("'"&amp;$W$85&amp;"'"&amp;"!$A$64:$A$5000"),$V$6)-SUMIFS(INDIRECT("'"&amp;$W$85&amp;"'"&amp;"!$f$64:$f$5000"),INDIRECT("'"&amp;$W$85&amp;"'"&amp;"!$A$64:$A$5000"),$W$6)-SUMIFS(INDIRECT("'"&amp;$W$85&amp;"'"&amp;"!$f$64:$f$5000"),INDIRECT("'"&amp;$W$85&amp;"'"&amp;"!$A$64:$A$5000"),$W$7)-SUMIFS(INDIRECT("'"&amp;$W$85&amp;"'"&amp;"!$f$64:$f$5000"),INDIRECT("'"&amp;$W$85&amp;"'"&amp;"!$A$64:$A$5000"),$X$3)-AA95-AA93</f>
        <v>371485.39999999997</v>
      </c>
      <c r="AB90" s="4">
        <f ca="1">SUMIFS(INDIRECT("'"&amp;$W$85&amp;"'"&amp;"!$g$64:$g$5000"),INDIRECT("'"&amp;$W$85&amp;"'"&amp;"!$A$64:$A$5000"),$V$4)-SUMIFS(INDIRECT("'"&amp;$W$85&amp;"'"&amp;"!$g$64:$g$5000"),INDIRECT("'"&amp;$W$85&amp;"'"&amp;"!$A$64:$A$5000"),$V$5)-SUMIFS(INDIRECT("'"&amp;$W$85&amp;"'"&amp;"!$g$64:$g$5000"),INDIRECT("'"&amp;$W$85&amp;"'"&amp;"!$A$64:$A$5000"),$V$6)-SUMIFS(INDIRECT("'"&amp;$W$85&amp;"'"&amp;"!$g$64:$g$5000"),INDIRECT("'"&amp;$W$85&amp;"'"&amp;"!$A$64:$A$5000"),$W$6)-SUMIFS(INDIRECT("'"&amp;$W$85&amp;"'"&amp;"!$g$64:$g$5000"),INDIRECT("'"&amp;$W$85&amp;"'"&amp;"!$A$64:$A$5000"),$W$7)-SUMIFS(INDIRECT("'"&amp;$W$85&amp;"'"&amp;"!$g$64:$g$5000"),INDIRECT("'"&amp;$W$85&amp;"'"&amp;"!$A$64:$A$5000"),$X$3)-AB95-AB93</f>
        <v>288180.28999999963</v>
      </c>
      <c r="AC90" s="4">
        <f ca="1">SUMIFS(INDIRECT("'"&amp;$W$85&amp;"'"&amp;"!$h$64:$h$5000"),INDIRECT("'"&amp;$W$85&amp;"'"&amp;"!$A$64:$A$5000"),$V$4)-SUMIFS(INDIRECT("'"&amp;$W$85&amp;"'"&amp;"!$h$64:$h$5000"),INDIRECT("'"&amp;$W$85&amp;"'"&amp;"!$A$64:$A$5000"),$V$5)-SUMIFS(INDIRECT("'"&amp;$W$85&amp;"'"&amp;"!$h$64:$h$5000"),INDIRECT("'"&amp;$W$85&amp;"'"&amp;"!$A$64:$A$5000"),$V$6)-SUMIFS(INDIRECT("'"&amp;$W$85&amp;"'"&amp;"!$h$64:$h$5000"),INDIRECT("'"&amp;$W$85&amp;"'"&amp;"!$A$64:$A$5000"),$W$6)-SUMIFS(INDIRECT("'"&amp;$W$85&amp;"'"&amp;"!$h$64:$h$5000"),INDIRECT("'"&amp;$W$85&amp;"'"&amp;"!$A$64:$A$5000"),$W$7)-SUMIFS(INDIRECT("'"&amp;$W$85&amp;"'"&amp;"!$h$64:$h$5000"),INDIRECT("'"&amp;$W$85&amp;"'"&amp;"!$A$64:$A$5000"),$X$3)-AC95-AC93</f>
        <v>321681.99999999965</v>
      </c>
      <c r="AD90" s="4">
        <f ca="1">SUMIFS(INDIRECT("'"&amp;$W$85&amp;"'"&amp;"!$i$64:$i$5000"),INDIRECT("'"&amp;$W$85&amp;"'"&amp;"!$A$64:$A$5000"),$V$4)-SUMIFS(INDIRECT("'"&amp;$W$85&amp;"'"&amp;"!$i$64:$i$5000"),INDIRECT("'"&amp;$W$85&amp;"'"&amp;"!$A$64:$A$5000"),$V$5)-SUMIFS(INDIRECT("'"&amp;$W$85&amp;"'"&amp;"!$i$64:$i$5000"),INDIRECT("'"&amp;$W$85&amp;"'"&amp;"!$A$64:$A$5000"),$V$6)-SUMIFS(INDIRECT("'"&amp;$W$85&amp;"'"&amp;"!$i$64:$i$5000"),INDIRECT("'"&amp;$W$85&amp;"'"&amp;"!$A$64:$A$5000"),$W$6)-SUMIFS(INDIRECT("'"&amp;$W$85&amp;"'"&amp;"!$i$64:$i$5000"),INDIRECT("'"&amp;$W$85&amp;"'"&amp;"!$A$64:$A$5000"),$W$7)-SUMIFS(INDIRECT("'"&amp;$W$85&amp;"'"&amp;"!$i$64:$i$5000"),INDIRECT("'"&amp;$W$85&amp;"'"&amp;"!$A$64:$A$5000"),$X$3)-AD95-AD93</f>
        <v>363852.7699999999</v>
      </c>
      <c r="AE90" s="4">
        <f ca="1">SUMIFS(INDIRECT("'"&amp;$W$85&amp;"'"&amp;"!$j$64:$j$5000"),INDIRECT("'"&amp;$W$85&amp;"'"&amp;"!$A$64:$A$5000"),$V$4)-SUMIFS(INDIRECT("'"&amp;$W$85&amp;"'"&amp;"!$j$64:$j$5000"),INDIRECT("'"&amp;$W$85&amp;"'"&amp;"!$A$64:$A$5000"),$V$5)-SUMIFS(INDIRECT("'"&amp;$W$85&amp;"'"&amp;"!$j$64:$j$5000"),INDIRECT("'"&amp;$W$85&amp;"'"&amp;"!$A$64:$A$5000"),$V$6)-SUMIFS(INDIRECT("'"&amp;$W$85&amp;"'"&amp;"!$j$64:$j$5000"),INDIRECT("'"&amp;$W$85&amp;"'"&amp;"!$A$64:$A$5000"),$W$6)-SUMIFS(INDIRECT("'"&amp;$W$85&amp;"'"&amp;"!$j$64:$j$5000"),INDIRECT("'"&amp;$W$85&amp;"'"&amp;"!$A$64:$A$5000"),$W$7)-SUMIFS(INDIRECT("'"&amp;$W$85&amp;"'"&amp;"!$j$64:$j$5000"),INDIRECT("'"&amp;$W$85&amp;"'"&amp;"!$A$64:$A$5000"),$X$3)-AE95-AE93</f>
        <v>300312.89000000013</v>
      </c>
      <c r="AF90" s="4">
        <f ca="1">SUMIFS(INDIRECT("'"&amp;$W$85&amp;"'"&amp;"!$k$64:$k$5000"),INDIRECT("'"&amp;$W$85&amp;"'"&amp;"!$A$64:$A$5000"),$V$4)-SUMIFS(INDIRECT("'"&amp;$W$85&amp;"'"&amp;"!$k$64:$k$5000"),INDIRECT("'"&amp;$W$85&amp;"'"&amp;"!$A$64:$A$5000"),$V$5)-SUMIFS(INDIRECT("'"&amp;$W$85&amp;"'"&amp;"!$k$64:$k$5000"),INDIRECT("'"&amp;$W$85&amp;"'"&amp;"!$A$64:$A$5000"),$V$6)-SUMIFS(INDIRECT("'"&amp;$W$85&amp;"'"&amp;"!$k$64:$k$5000"),INDIRECT("'"&amp;$W$85&amp;"'"&amp;"!$A$64:$A$5000"),$W$6)-SUMIFS(INDIRECT("'"&amp;$W$85&amp;"'"&amp;"!$k$64:$k$5000"),INDIRECT("'"&amp;$W$85&amp;"'"&amp;"!$A$64:$A$5000"),$W$7)-SUMIFS(INDIRECT("'"&amp;$W$85&amp;"'"&amp;"!$k$64:$k$5000"),INDIRECT("'"&amp;$W$85&amp;"'"&amp;"!$A$64:$A$5000"),$X$3)-AF95-AF93</f>
        <v>334762.70999999996</v>
      </c>
      <c r="AG90" s="4">
        <f ca="1">SUMIFS(INDIRECT("'"&amp;$W$85&amp;"'"&amp;"!$l$64:$l$5000"),INDIRECT("'"&amp;$W$85&amp;"'"&amp;"!$A$64:$A$5000"),$V$4)-SUMIFS(INDIRECT("'"&amp;$W$85&amp;"'"&amp;"!$l$64:$l$5000"),INDIRECT("'"&amp;$W$85&amp;"'"&amp;"!$A$64:$A$5000"),$V$5)-SUMIFS(INDIRECT("'"&amp;$W$85&amp;"'"&amp;"!$l$64:$l$5000"),INDIRECT("'"&amp;$W$85&amp;"'"&amp;"!$A$64:$A$5000"),$V$6)-SUMIFS(INDIRECT("'"&amp;$W$85&amp;"'"&amp;"!$l$64:$l$5000"),INDIRECT("'"&amp;$W$85&amp;"'"&amp;"!$A$64:$A$5000"),$W$6)-SUMIFS(INDIRECT("'"&amp;$W$85&amp;"'"&amp;"!$l$64:$l$5000"),INDIRECT("'"&amp;$W$85&amp;"'"&amp;"!$A$64:$A$5000"),$W$7)-SUMIFS(INDIRECT("'"&amp;$W$85&amp;"'"&amp;"!$l$64:$l$5000"),INDIRECT("'"&amp;$W$85&amp;"'"&amp;"!$A$64:$A$5000"),$X$3)-AG95-AG93</f>
        <v>308532.44999999995</v>
      </c>
      <c r="AH90" s="4">
        <f ca="1">SUMIFS(INDIRECT("'"&amp;$W$85&amp;"'"&amp;"!$m$64:$m$5000"),INDIRECT("'"&amp;$W$85&amp;"'"&amp;"!$A$64:$A$5000"),$V$4)-SUMIFS(INDIRECT("'"&amp;$W$85&amp;"'"&amp;"!$m$64:$m$5000"),INDIRECT("'"&amp;$W$85&amp;"'"&amp;"!$A$64:$A$5000"),$V$5)-SUMIFS(INDIRECT("'"&amp;$W$85&amp;"'"&amp;"!$m$64:$m$5000"),INDIRECT("'"&amp;$W$85&amp;"'"&amp;"!$A$64:$A$5000"),$V$6)-SUMIFS(INDIRECT("'"&amp;$W$85&amp;"'"&amp;"!$m$64:$m$5000"),INDIRECT("'"&amp;$W$85&amp;"'"&amp;"!$A$64:$A$5000"),$W$6)-SUMIFS(INDIRECT("'"&amp;$W$85&amp;"'"&amp;"!$m$64:$m$5000"),INDIRECT("'"&amp;$W$85&amp;"'"&amp;"!$A$64:$A$5000"),$W$7)-SUMIFS(INDIRECT("'"&amp;$W$85&amp;"'"&amp;"!$m$64:$m$5000"),INDIRECT("'"&amp;$W$85&amp;"'"&amp;"!$A$64:$A$5000"),$X$3)-AH95-AH93</f>
        <v>375009.91999999981</v>
      </c>
      <c r="AJ90" s="14">
        <f t="shared" ca="1" si="169"/>
        <v>-1.2899999999790452</v>
      </c>
      <c r="AK90" s="14">
        <f t="shared" ca="1" si="169"/>
        <v>-0.62999999953899533</v>
      </c>
      <c r="AL90" s="14">
        <f t="shared" ca="1" si="169"/>
        <v>2.1099999999860302</v>
      </c>
      <c r="AM90" s="14">
        <f t="shared" ca="1" si="169"/>
        <v>1.6399999998975545</v>
      </c>
      <c r="AN90" s="14">
        <f t="shared" ca="1" si="169"/>
        <v>117990.39999999997</v>
      </c>
      <c r="AO90" s="14">
        <f t="shared" ca="1" si="169"/>
        <v>1.2899999996297993</v>
      </c>
      <c r="AP90" s="14">
        <f t="shared" ca="1" si="169"/>
        <v>-1.000000000349246</v>
      </c>
      <c r="AQ90" s="14">
        <f t="shared" ca="1" si="169"/>
        <v>-1.2300000000977889</v>
      </c>
      <c r="AR90" s="14">
        <f t="shared" ca="1" si="169"/>
        <v>0.89000000013038516</v>
      </c>
      <c r="AS90" s="14">
        <f t="shared" ca="1" si="169"/>
        <v>1.7099999999627471</v>
      </c>
      <c r="AT90" s="14">
        <f t="shared" ca="1" si="169"/>
        <v>0.44999999995343387</v>
      </c>
      <c r="AU90" s="14">
        <f t="shared" ca="1" si="169"/>
        <v>0.91999999980907887</v>
      </c>
    </row>
    <row r="91" spans="1:47" s="12" customFormat="1">
      <c r="A91" s="12">
        <f t="shared" si="167"/>
        <v>8</v>
      </c>
      <c r="B91"/>
      <c r="C91" t="str">
        <f>$F86</f>
        <v>Tanglewood Health and Rehabilitation</v>
      </c>
      <c r="D91" s="3" t="str">
        <f t="shared" si="154"/>
        <v>T_BAD_DEBT - Tenant Bad Debt Expense</v>
      </c>
      <c r="E91"/>
      <c r="F91" s="19" t="str">
        <f>_xll.EVDES(D91)</f>
        <v>Tenant Bad Debt Expense</v>
      </c>
      <c r="G91" s="61">
        <f ca="1">SUMIFS(OFFSET('BPC Data'!$F:$F,0,Summary!G$2),'BPC Data'!$E:$E,Summary!$D91,'BPC Data'!$B:$B,Summary!$C91)</f>
        <v>6136</v>
      </c>
      <c r="H91" s="65">
        <f ca="1">SUMIFS(OFFSET('BPC Data'!$F:$F,0,Summary!H$2),'BPC Data'!$E:$E,Summary!$D91,'BPC Data'!$B:$B,Summary!$C91)</f>
        <v>9896</v>
      </c>
      <c r="I91" s="61">
        <f ca="1">SUMIFS(OFFSET('BPC Data'!$F:$F,0,Summary!I$2),'BPC Data'!$E:$E,Summary!$D91,'BPC Data'!$B:$B,Summary!$C91)</f>
        <v>7555</v>
      </c>
      <c r="J91" s="65">
        <f ca="1">SUMIFS(OFFSET('BPC Data'!$F:$F,0,Summary!J$2),'BPC Data'!$E:$E,Summary!$D91,'BPC Data'!$B:$B,Summary!$C91)</f>
        <v>7143</v>
      </c>
      <c r="K91" s="61">
        <f ca="1">SUMIFS(OFFSET('BPC Data'!$F:$F,0,Summary!K$2),'BPC Data'!$E:$E,Summary!$D91,'BPC Data'!$B:$B,Summary!$C91)</f>
        <v>106875</v>
      </c>
      <c r="L91" s="65">
        <f ca="1">SUMIFS(OFFSET('BPC Data'!$F:$F,0,Summary!L$2),'BPC Data'!$E:$E,Summary!$D91,'BPC Data'!$B:$B,Summary!$C91)</f>
        <v>7143</v>
      </c>
      <c r="M91" s="61">
        <f ca="1">SUMIFS(OFFSET('BPC Data'!$F:$F,0,Summary!M$2),'BPC Data'!$E:$E,Summary!$D91,'BPC Data'!$B:$B,Summary!$C91)</f>
        <v>32138</v>
      </c>
      <c r="N91" s="65">
        <f ca="1">SUMIFS(OFFSET('BPC Data'!$F:$F,0,Summary!N$2),'BPC Data'!$E:$E,Summary!$D91,'BPC Data'!$B:$B,Summary!$C91)</f>
        <v>47611</v>
      </c>
      <c r="O91" s="61">
        <f ca="1">SUMIFS(OFFSET('BPC Data'!$F:$F,0,Summary!O$2),'BPC Data'!$E:$E,Summary!$D91,'BPC Data'!$B:$B,Summary!$C91)</f>
        <v>6629</v>
      </c>
      <c r="P91" s="65">
        <f ca="1">SUMIFS(OFFSET('BPC Data'!$F:$F,0,Summary!P$2),'BPC Data'!$E:$E,Summary!$D91,'BPC Data'!$B:$B,Summary!$C91)</f>
        <v>7059</v>
      </c>
      <c r="Q91" s="61">
        <f ca="1">SUMIFS(OFFSET('BPC Data'!$F:$F,0,Summary!Q$2),'BPC Data'!$E:$E,Summary!$D91,'BPC Data'!$B:$B,Summary!$C91)</f>
        <v>31720</v>
      </c>
      <c r="R91" s="65">
        <f ca="1">SUMIFS(OFFSET('BPC Data'!$F:$F,0,Summary!R$2),'BPC Data'!$E:$E,Summary!$D91,'BPC Data'!$B:$B,Summary!$C91)</f>
        <v>38822</v>
      </c>
      <c r="S91" s="23">
        <f t="shared" ca="1" si="168"/>
        <v>308727</v>
      </c>
      <c r="T91" s="75"/>
      <c r="U91" s="4"/>
      <c r="W91"/>
      <c r="X91"/>
      <c r="Y91"/>
      <c r="Z91"/>
      <c r="AA91"/>
      <c r="AB91"/>
      <c r="AC91"/>
      <c r="AD91"/>
      <c r="AE91"/>
      <c r="AF91"/>
      <c r="AG91"/>
      <c r="AH91"/>
      <c r="AJ91" s="14"/>
      <c r="AK91" s="49"/>
      <c r="AL91" s="49"/>
      <c r="AM91" s="49"/>
      <c r="AN91" s="49"/>
      <c r="AO91" s="49"/>
      <c r="AP91" s="49"/>
      <c r="AQ91" s="49"/>
      <c r="AR91" s="49"/>
      <c r="AS91" s="49"/>
      <c r="AT91" s="49"/>
      <c r="AU91" s="49"/>
    </row>
    <row r="92" spans="1:47" s="12" customFormat="1">
      <c r="A92" s="12">
        <f t="shared" si="167"/>
        <v>8</v>
      </c>
      <c r="B92"/>
      <c r="C92" t="str">
        <f>$F86</f>
        <v>Tanglewood Health and Rehabilitation</v>
      </c>
      <c r="D92" s="2" t="str">
        <f t="shared" si="154"/>
        <v>T_EBITDARM - EBITDARM</v>
      </c>
      <c r="E92"/>
      <c r="F92" s="19" t="str">
        <f>_xll.EVDES(D92)</f>
        <v>EBITDARM</v>
      </c>
      <c r="G92" s="61">
        <f ca="1">SUMIFS(OFFSET('BPC Data'!$F:$F,0,Summary!G$2),'BPC Data'!$E:$E,Summary!$D92,'BPC Data'!$B:$B,Summary!$C92)</f>
        <v>-10400.92</v>
      </c>
      <c r="H92" s="65">
        <f ca="1">SUMIFS(OFFSET('BPC Data'!$F:$F,0,Summary!H$2),'BPC Data'!$E:$E,Summary!$D92,'BPC Data'!$B:$B,Summary!$C92)</f>
        <v>19094</v>
      </c>
      <c r="I92" s="61">
        <f ca="1">SUMIFS(OFFSET('BPC Data'!$F:$F,0,Summary!I$2),'BPC Data'!$E:$E,Summary!$D92,'BPC Data'!$B:$B,Summary!$C92)</f>
        <v>106097</v>
      </c>
      <c r="J92" s="65">
        <f ca="1">SUMIFS(OFFSET('BPC Data'!$F:$F,0,Summary!J$2),'BPC Data'!$E:$E,Summary!$D92,'BPC Data'!$B:$B,Summary!$C92)</f>
        <v>60791</v>
      </c>
      <c r="K92" s="61">
        <f ca="1">SUMIFS(OFFSET('BPC Data'!$F:$F,0,Summary!K$2),'BPC Data'!$E:$E,Summary!$D92,'BPC Data'!$B:$B,Summary!$C92)</f>
        <v>45054</v>
      </c>
      <c r="L92" s="65">
        <f ca="1">SUMIFS(OFFSET('BPC Data'!$F:$F,0,Summary!L$2),'BPC Data'!$E:$E,Summary!$D92,'BPC Data'!$B:$B,Summary!$C92)</f>
        <v>86869</v>
      </c>
      <c r="M92" s="61">
        <f ca="1">SUMIFS(OFFSET('BPC Data'!$F:$F,0,Summary!M$2),'BPC Data'!$E:$E,Summary!$D92,'BPC Data'!$B:$B,Summary!$C92)</f>
        <v>41937</v>
      </c>
      <c r="N92" s="65">
        <f ca="1">SUMIFS(OFFSET('BPC Data'!$F:$F,0,Summary!N$2),'BPC Data'!$E:$E,Summary!$D92,'BPC Data'!$B:$B,Summary!$C92)</f>
        <v>12175</v>
      </c>
      <c r="O92" s="61">
        <f ca="1">SUMIFS(OFFSET('BPC Data'!$F:$F,0,Summary!O$2),'BPC Data'!$E:$E,Summary!$D92,'BPC Data'!$B:$B,Summary!$C92)</f>
        <v>33440</v>
      </c>
      <c r="P92" s="65">
        <f ca="1">SUMIFS(OFFSET('BPC Data'!$F:$F,0,Summary!P$2),'BPC Data'!$E:$E,Summary!$D92,'BPC Data'!$B:$B,Summary!$C92)</f>
        <v>19034</v>
      </c>
      <c r="Q92" s="61">
        <f ca="1">SUMIFS(OFFSET('BPC Data'!$F:$F,0,Summary!Q$2),'BPC Data'!$E:$E,Summary!$D92,'BPC Data'!$B:$B,Summary!$C92)</f>
        <v>23205</v>
      </c>
      <c r="R92" s="65">
        <f ca="1">SUMIFS(OFFSET('BPC Data'!$F:$F,0,Summary!R$2),'BPC Data'!$E:$E,Summary!$D92,'BPC Data'!$B:$B,Summary!$C92)</f>
        <v>91268</v>
      </c>
      <c r="S92" s="23">
        <f t="shared" ca="1" si="168"/>
        <v>528563.08000000007</v>
      </c>
      <c r="T92" s="74">
        <f ca="1">SUM(W92:AH92)</f>
        <v>410569.57000000012</v>
      </c>
      <c r="U92" s="54">
        <f ca="1">T92-S92</f>
        <v>-117993.50999999995</v>
      </c>
      <c r="W92" s="50">
        <f t="shared" ref="W92:AB92" ca="1" si="170">W89-W90</f>
        <v>-10399.919999999925</v>
      </c>
      <c r="X92" s="50">
        <f t="shared" ca="1" si="170"/>
        <v>19094.859999999753</v>
      </c>
      <c r="Y92" s="50">
        <f t="shared" ca="1" si="170"/>
        <v>106095.64999999985</v>
      </c>
      <c r="Z92" s="50">
        <f t="shared" ca="1" si="170"/>
        <v>60789.430000000051</v>
      </c>
      <c r="AA92" s="50">
        <f t="shared" ca="1" si="170"/>
        <v>-72935.849999999919</v>
      </c>
      <c r="AB92" s="50">
        <f t="shared" ca="1" si="170"/>
        <v>86867.610000000743</v>
      </c>
      <c r="AC92" s="50">
        <f t="shared" ref="AC92:AH92" ca="1" si="171">AC89-AC90</f>
        <v>41938.929999999993</v>
      </c>
      <c r="AD92" s="50">
        <f t="shared" ca="1" si="171"/>
        <v>12174.649999999383</v>
      </c>
      <c r="AE92" s="50">
        <f t="shared" ca="1" si="171"/>
        <v>33439.299999999872</v>
      </c>
      <c r="AF92" s="50">
        <f t="shared" ca="1" si="171"/>
        <v>19033.27999999997</v>
      </c>
      <c r="AG92" s="50">
        <f t="shared" ca="1" si="171"/>
        <v>23204.600000000093</v>
      </c>
      <c r="AH92" s="50">
        <f t="shared" ca="1" si="171"/>
        <v>91267.030000000261</v>
      </c>
      <c r="AJ92" s="14">
        <f t="shared" ref="AJ92:AU95" ca="1" si="172">W92-G92</f>
        <v>1.0000000000745786</v>
      </c>
      <c r="AK92" s="14">
        <f t="shared" ca="1" si="172"/>
        <v>0.85999999975319952</v>
      </c>
      <c r="AL92" s="14">
        <f t="shared" ca="1" si="172"/>
        <v>-1.3500000001513399</v>
      </c>
      <c r="AM92" s="14">
        <f t="shared" ca="1" si="172"/>
        <v>-1.5699999999487773</v>
      </c>
      <c r="AN92" s="14">
        <f t="shared" ca="1" si="172"/>
        <v>-117989.84999999992</v>
      </c>
      <c r="AO92" s="14">
        <f t="shared" ca="1" si="172"/>
        <v>-1.3899999992572702</v>
      </c>
      <c r="AP92" s="14">
        <f t="shared" ca="1" si="172"/>
        <v>1.9299999999930151</v>
      </c>
      <c r="AQ92" s="14">
        <f t="shared" ca="1" si="172"/>
        <v>-0.35000000061700121</v>
      </c>
      <c r="AR92" s="14">
        <f t="shared" ca="1" si="172"/>
        <v>-0.70000000012805685</v>
      </c>
      <c r="AS92" s="14">
        <f t="shared" ca="1" si="172"/>
        <v>-0.72000000003026798</v>
      </c>
      <c r="AT92" s="14">
        <f t="shared" ca="1" si="172"/>
        <v>-0.39999999990686774</v>
      </c>
      <c r="AU92" s="14">
        <f t="shared" ca="1" si="172"/>
        <v>-0.96999999973922968</v>
      </c>
    </row>
    <row r="93" spans="1:47" s="12" customFormat="1">
      <c r="A93" s="12">
        <f t="shared" si="167"/>
        <v>8</v>
      </c>
      <c r="B93"/>
      <c r="C93" t="str">
        <f>$F86</f>
        <v>Tanglewood Health and Rehabilitation</v>
      </c>
      <c r="D93" s="2" t="str">
        <f t="shared" si="154"/>
        <v>T_MGMT_FEE - Tenant Management Fee - Actual</v>
      </c>
      <c r="E93"/>
      <c r="F93" s="19" t="str">
        <f>_xll.EVDES(D93)</f>
        <v>Tenant Management Fee - Actual</v>
      </c>
      <c r="G93" s="61">
        <f ca="1">SUMIFS(OFFSET('BPC Data'!$F:$F,0,Summary!G$2),'BPC Data'!$E:$E,Summary!$D93,'BPC Data'!$B:$B,Summary!$C93)</f>
        <v>15340</v>
      </c>
      <c r="H93" s="65">
        <f ca="1">SUMIFS(OFFSET('BPC Data'!$F:$F,0,Summary!H$2),'BPC Data'!$E:$E,Summary!$D93,'BPC Data'!$B:$B,Summary!$C93)</f>
        <v>15325</v>
      </c>
      <c r="I93" s="61">
        <f ca="1">SUMIFS(OFFSET('BPC Data'!$F:$F,0,Summary!I$2),'BPC Data'!$E:$E,Summary!$D93,'BPC Data'!$B:$B,Summary!$C93)</f>
        <v>18888</v>
      </c>
      <c r="J93" s="65">
        <f ca="1">SUMIFS(OFFSET('BPC Data'!$F:$F,0,Summary!J$2),'BPC Data'!$E:$E,Summary!$D93,'BPC Data'!$B:$B,Summary!$C93)</f>
        <v>17858</v>
      </c>
      <c r="K93" s="61">
        <f ca="1">SUMIFS(OFFSET('BPC Data'!$F:$F,0,Summary!K$2),'BPC Data'!$E:$E,Summary!$D93,'BPC Data'!$B:$B,Summary!$C93)</f>
        <v>17188</v>
      </c>
      <c r="L93" s="65">
        <f ca="1">SUMIFS(OFFSET('BPC Data'!$F:$F,0,Summary!L$2),'BPC Data'!$E:$E,Summary!$D93,'BPC Data'!$B:$B,Summary!$C93)</f>
        <v>17857</v>
      </c>
      <c r="M93" s="61">
        <f ca="1">SUMIFS(OFFSET('BPC Data'!$F:$F,0,Summary!M$2),'BPC Data'!$E:$E,Summary!$D93,'BPC Data'!$B:$B,Summary!$C93)</f>
        <v>16810</v>
      </c>
      <c r="N93" s="65">
        <f ca="1">SUMIFS(OFFSET('BPC Data'!$F:$F,0,Summary!N$2),'BPC Data'!$E:$E,Summary!$D93,'BPC Data'!$B:$B,Summary!$C93)</f>
        <v>18752</v>
      </c>
      <c r="O93" s="61">
        <f ca="1">SUMIFS(OFFSET('BPC Data'!$F:$F,0,Summary!O$2),'BPC Data'!$E:$E,Summary!$D93,'BPC Data'!$B:$B,Summary!$C93)</f>
        <v>16573</v>
      </c>
      <c r="P93" s="65">
        <f ca="1">SUMIFS(OFFSET('BPC Data'!$F:$F,0,Summary!P$2),'BPC Data'!$E:$E,Summary!$D93,'BPC Data'!$B:$B,Summary!$C93)</f>
        <v>17649</v>
      </c>
      <c r="Q93" s="61">
        <f ca="1">SUMIFS(OFFSET('BPC Data'!$F:$F,0,Summary!Q$2),'BPC Data'!$E:$E,Summary!$D93,'BPC Data'!$B:$B,Summary!$C93)</f>
        <v>16800</v>
      </c>
      <c r="R93" s="65">
        <f ca="1">SUMIFS(OFFSET('BPC Data'!$F:$F,0,Summary!R$2),'BPC Data'!$E:$E,Summary!$D93,'BPC Data'!$B:$B,Summary!$C93)</f>
        <v>19581</v>
      </c>
      <c r="S93" s="23">
        <f t="shared" ca="1" si="168"/>
        <v>208621</v>
      </c>
      <c r="T93" s="74">
        <f ca="1">SUM(W93:AH93)</f>
        <v>208621</v>
      </c>
      <c r="U93" s="54">
        <f ca="1">T93-S93</f>
        <v>0</v>
      </c>
      <c r="W93" s="4">
        <f ca="1">SUMIFS(INDIRECT("'"&amp;$W$85&amp;"'"&amp;"!$B$64:$B$5000"),INDIRECT("'"&amp;$W$85&amp;"'"&amp;"!$A$64:$A$5000"),$V$7)</f>
        <v>15340</v>
      </c>
      <c r="X93" s="4">
        <f ca="1">SUMIFS(INDIRECT("'"&amp;$W$85&amp;"'"&amp;"!$c$64:$c$5000"),INDIRECT("'"&amp;$W$85&amp;"'"&amp;"!$A$64:$A$5000"),$V$7)</f>
        <v>15325</v>
      </c>
      <c r="Y93" s="4">
        <f ca="1">SUMIFS(INDIRECT("'"&amp;$W$85&amp;"'"&amp;"!$d$64:$d$5000"),INDIRECT("'"&amp;$W$85&amp;"'"&amp;"!$A$64:$A$5000"),$V$7)</f>
        <v>18888</v>
      </c>
      <c r="Z93" s="4">
        <f ca="1">SUMIFS(INDIRECT("'"&amp;$W$85&amp;"'"&amp;"!$e$64:$e$5000"),INDIRECT("'"&amp;$W$85&amp;"'"&amp;"!$A$64:$A$5000"),$V$7)</f>
        <v>17858</v>
      </c>
      <c r="AA93" s="4">
        <f ca="1">SUMIFS(INDIRECT("'"&amp;$W$85&amp;"'"&amp;"!$f$64:$f$5000"),INDIRECT("'"&amp;$W$85&amp;"'"&amp;"!$A$64:$A$5000"),$V$7)</f>
        <v>17188</v>
      </c>
      <c r="AB93" s="4">
        <f ca="1">SUMIFS(INDIRECT("'"&amp;$W$85&amp;"'"&amp;"!$g$64:$g$5000"),INDIRECT("'"&amp;$W$85&amp;"'"&amp;"!$A$64:$A$5000"),$V$7)</f>
        <v>17857</v>
      </c>
      <c r="AC93" s="4">
        <f ca="1">SUMIFS(INDIRECT("'"&amp;$W$85&amp;"'"&amp;"!$h$64:$h$5000"),INDIRECT("'"&amp;$W$85&amp;"'"&amp;"!$A$64:$A$5000"),$V$7)</f>
        <v>16810</v>
      </c>
      <c r="AD93" s="4">
        <f ca="1">SUMIFS(INDIRECT("'"&amp;$W$85&amp;"'"&amp;"!$i$64:$i$5000"),INDIRECT("'"&amp;$W$85&amp;"'"&amp;"!$A$64:$A$5000"),$V$7)</f>
        <v>18752</v>
      </c>
      <c r="AE93" s="4">
        <f ca="1">SUMIFS(INDIRECT("'"&amp;$W$85&amp;"'"&amp;"!$j$64:$j$5000"),INDIRECT("'"&amp;$W$85&amp;"'"&amp;"!$A$64:$A$5000"),$V$7)</f>
        <v>16573</v>
      </c>
      <c r="AF93" s="4">
        <f ca="1">SUMIFS(INDIRECT("'"&amp;$W$85&amp;"'"&amp;"!$k$64:$k$5000"),INDIRECT("'"&amp;$W$85&amp;"'"&amp;"!$A$64:$A$5000"),$V$7)</f>
        <v>17649</v>
      </c>
      <c r="AG93" s="4">
        <f ca="1">SUMIFS(INDIRECT("'"&amp;$W$85&amp;"'"&amp;"!$l$64:$l$5000"),INDIRECT("'"&amp;$W$85&amp;"'"&amp;"!$A$64:$A$5000"),$V$7)</f>
        <v>16800</v>
      </c>
      <c r="AH93" s="4">
        <f ca="1">SUMIFS(INDIRECT("'"&amp;$W$85&amp;"'"&amp;"!$m$64:$m$5000"),INDIRECT("'"&amp;$W$85&amp;"'"&amp;"!$A$64:$A$5000"),$V$7)</f>
        <v>19581</v>
      </c>
      <c r="AJ93" s="14">
        <f t="shared" ca="1" si="172"/>
        <v>0</v>
      </c>
      <c r="AK93" s="14">
        <f t="shared" ca="1" si="172"/>
        <v>0</v>
      </c>
      <c r="AL93" s="14">
        <f t="shared" ca="1" si="172"/>
        <v>0</v>
      </c>
      <c r="AM93" s="14">
        <f t="shared" ca="1" si="172"/>
        <v>0</v>
      </c>
      <c r="AN93" s="14">
        <f t="shared" ca="1" si="172"/>
        <v>0</v>
      </c>
      <c r="AO93" s="14">
        <f t="shared" ca="1" si="172"/>
        <v>0</v>
      </c>
      <c r="AP93" s="14">
        <f t="shared" ca="1" si="172"/>
        <v>0</v>
      </c>
      <c r="AQ93" s="14">
        <f t="shared" ca="1" si="172"/>
        <v>0</v>
      </c>
      <c r="AR93" s="14">
        <f t="shared" ca="1" si="172"/>
        <v>0</v>
      </c>
      <c r="AS93" s="14">
        <f t="shared" ca="1" si="172"/>
        <v>0</v>
      </c>
      <c r="AT93" s="14">
        <f t="shared" ca="1" si="172"/>
        <v>0</v>
      </c>
      <c r="AU93" s="14">
        <f t="shared" ca="1" si="172"/>
        <v>0</v>
      </c>
    </row>
    <row r="94" spans="1:47" s="12" customFormat="1">
      <c r="A94" s="12">
        <f t="shared" si="167"/>
        <v>8</v>
      </c>
      <c r="B94"/>
      <c r="C94" t="str">
        <f>$F86</f>
        <v>Tanglewood Health and Rehabilitation</v>
      </c>
      <c r="D94" s="1" t="str">
        <f t="shared" si="154"/>
        <v>T_EBITDAR - EBITDAR</v>
      </c>
      <c r="E94"/>
      <c r="F94" s="19" t="str">
        <f>_xll.EVDES(D94)</f>
        <v>EBITDAR</v>
      </c>
      <c r="G94" s="61">
        <f ca="1">SUMIFS(OFFSET('BPC Data'!$F:$F,0,Summary!G$2),'BPC Data'!$E:$E,Summary!$D94,'BPC Data'!$B:$B,Summary!$C94)</f>
        <v>-25740.92</v>
      </c>
      <c r="H94" s="65">
        <f ca="1">SUMIFS(OFFSET('BPC Data'!$F:$F,0,Summary!H$2),'BPC Data'!$E:$E,Summary!$D94,'BPC Data'!$B:$B,Summary!$C94)</f>
        <v>3769</v>
      </c>
      <c r="I94" s="61">
        <f ca="1">SUMIFS(OFFSET('BPC Data'!$F:$F,0,Summary!I$2),'BPC Data'!$E:$E,Summary!$D94,'BPC Data'!$B:$B,Summary!$C94)</f>
        <v>87209</v>
      </c>
      <c r="J94" s="65">
        <f ca="1">SUMIFS(OFFSET('BPC Data'!$F:$F,0,Summary!J$2),'BPC Data'!$E:$E,Summary!$D94,'BPC Data'!$B:$B,Summary!$C94)</f>
        <v>42933</v>
      </c>
      <c r="K94" s="61">
        <f ca="1">SUMIFS(OFFSET('BPC Data'!$F:$F,0,Summary!K$2),'BPC Data'!$E:$E,Summary!$D94,'BPC Data'!$B:$B,Summary!$C94)</f>
        <v>27866</v>
      </c>
      <c r="L94" s="65">
        <f ca="1">SUMIFS(OFFSET('BPC Data'!$F:$F,0,Summary!L$2),'BPC Data'!$E:$E,Summary!$D94,'BPC Data'!$B:$B,Summary!$C94)</f>
        <v>69012</v>
      </c>
      <c r="M94" s="61">
        <f ca="1">SUMIFS(OFFSET('BPC Data'!$F:$F,0,Summary!M$2),'BPC Data'!$E:$E,Summary!$D94,'BPC Data'!$B:$B,Summary!$C94)</f>
        <v>25127</v>
      </c>
      <c r="N94" s="65">
        <f ca="1">SUMIFS(OFFSET('BPC Data'!$F:$F,0,Summary!N$2),'BPC Data'!$E:$E,Summary!$D94,'BPC Data'!$B:$B,Summary!$C94)</f>
        <v>-6577</v>
      </c>
      <c r="O94" s="61">
        <f ca="1">SUMIFS(OFFSET('BPC Data'!$F:$F,0,Summary!O$2),'BPC Data'!$E:$E,Summary!$D94,'BPC Data'!$B:$B,Summary!$C94)</f>
        <v>16867</v>
      </c>
      <c r="P94" s="65">
        <f ca="1">SUMIFS(OFFSET('BPC Data'!$F:$F,0,Summary!P$2),'BPC Data'!$E:$E,Summary!$D94,'BPC Data'!$B:$B,Summary!$C94)</f>
        <v>1385</v>
      </c>
      <c r="Q94" s="61">
        <f ca="1">SUMIFS(OFFSET('BPC Data'!$F:$F,0,Summary!Q$2),'BPC Data'!$E:$E,Summary!$D94,'BPC Data'!$B:$B,Summary!$C94)</f>
        <v>6405</v>
      </c>
      <c r="R94" s="65">
        <f ca="1">SUMIFS(OFFSET('BPC Data'!$F:$F,0,Summary!R$2),'BPC Data'!$E:$E,Summary!$D94,'BPC Data'!$B:$B,Summary!$C94)</f>
        <v>71687</v>
      </c>
      <c r="S94" s="23">
        <f t="shared" ca="1" si="168"/>
        <v>319942.08</v>
      </c>
      <c r="T94" s="74">
        <f ca="1">SUM(W94:AH94)</f>
        <v>201948.57000000012</v>
      </c>
      <c r="U94" s="54">
        <f ca="1">T94-S94</f>
        <v>-117993.50999999989</v>
      </c>
      <c r="W94" s="50">
        <f t="shared" ref="W94:AB94" ca="1" si="173">W92-W93</f>
        <v>-25739.919999999925</v>
      </c>
      <c r="X94" s="50">
        <f t="shared" ca="1" si="173"/>
        <v>3769.8599999997532</v>
      </c>
      <c r="Y94" s="50">
        <f t="shared" ca="1" si="173"/>
        <v>87207.649999999849</v>
      </c>
      <c r="Z94" s="50">
        <f t="shared" ca="1" si="173"/>
        <v>42931.430000000051</v>
      </c>
      <c r="AA94" s="50">
        <f t="shared" ca="1" si="173"/>
        <v>-90123.849999999919</v>
      </c>
      <c r="AB94" s="50">
        <f t="shared" ca="1" si="173"/>
        <v>69010.610000000743</v>
      </c>
      <c r="AC94" s="50">
        <f t="shared" ref="AC94:AH94" ca="1" si="174">AC92-AC93</f>
        <v>25128.929999999993</v>
      </c>
      <c r="AD94" s="50">
        <f t="shared" ca="1" si="174"/>
        <v>-6577.350000000617</v>
      </c>
      <c r="AE94" s="50">
        <f t="shared" ca="1" si="174"/>
        <v>16866.299999999872</v>
      </c>
      <c r="AF94" s="50">
        <f t="shared" ca="1" si="174"/>
        <v>1384.2799999999697</v>
      </c>
      <c r="AG94" s="50">
        <f t="shared" ca="1" si="174"/>
        <v>6404.6000000000931</v>
      </c>
      <c r="AH94" s="50">
        <f t="shared" ca="1" si="174"/>
        <v>71686.030000000261</v>
      </c>
      <c r="AJ94" s="14">
        <f t="shared" ca="1" si="172"/>
        <v>1.0000000000727596</v>
      </c>
      <c r="AK94" s="14">
        <f t="shared" ca="1" si="172"/>
        <v>0.85999999975319952</v>
      </c>
      <c r="AL94" s="14">
        <f t="shared" ca="1" si="172"/>
        <v>-1.3500000001513399</v>
      </c>
      <c r="AM94" s="14">
        <f t="shared" ca="1" si="172"/>
        <v>-1.5699999999487773</v>
      </c>
      <c r="AN94" s="14">
        <f t="shared" ca="1" si="172"/>
        <v>-117989.84999999992</v>
      </c>
      <c r="AO94" s="14">
        <f t="shared" ca="1" si="172"/>
        <v>-1.3899999992572702</v>
      </c>
      <c r="AP94" s="14">
        <f t="shared" ca="1" si="172"/>
        <v>1.9299999999930151</v>
      </c>
      <c r="AQ94" s="14">
        <f t="shared" ca="1" si="172"/>
        <v>-0.35000000061700121</v>
      </c>
      <c r="AR94" s="14">
        <f t="shared" ca="1" si="172"/>
        <v>-0.70000000012805685</v>
      </c>
      <c r="AS94" s="14">
        <f t="shared" ca="1" si="172"/>
        <v>-0.72000000003026798</v>
      </c>
      <c r="AT94" s="14">
        <f t="shared" ca="1" si="172"/>
        <v>-0.39999999990686774</v>
      </c>
      <c r="AU94" s="14">
        <f t="shared" ca="1" si="172"/>
        <v>-0.96999999973922968</v>
      </c>
    </row>
    <row r="95" spans="1:47" s="12" customFormat="1">
      <c r="A95" s="12">
        <f t="shared" si="167"/>
        <v>8</v>
      </c>
      <c r="B95"/>
      <c r="C95" t="str">
        <f>$F86</f>
        <v>Tanglewood Health and Rehabilitation</v>
      </c>
      <c r="D95" s="1" t="str">
        <f t="shared" si="154"/>
        <v>T_RENT_EXP - Tenant Rent Expense</v>
      </c>
      <c r="E95"/>
      <c r="F95" s="19" t="str">
        <f>_xll.EVDES(D95)</f>
        <v>Tenant Rent Expense</v>
      </c>
      <c r="G95" s="61">
        <f ca="1">SUMIFS(OFFSET('BPC Data'!$F:$F,0,Summary!G$2),'BPC Data'!$E:$E,Summary!$D95,'BPC Data'!$B:$B,Summary!$C95)</f>
        <v>28379</v>
      </c>
      <c r="H95" s="65">
        <f ca="1">SUMIFS(OFFSET('BPC Data'!$F:$F,0,Summary!H$2),'BPC Data'!$E:$E,Summary!$D95,'BPC Data'!$B:$B,Summary!$C95)</f>
        <v>29158</v>
      </c>
      <c r="I95" s="61">
        <f ca="1">SUMIFS(OFFSET('BPC Data'!$F:$F,0,Summary!I$2),'BPC Data'!$E:$E,Summary!$D95,'BPC Data'!$B:$B,Summary!$C95)</f>
        <v>29158</v>
      </c>
      <c r="J95" s="65">
        <f ca="1">SUMIFS(OFFSET('BPC Data'!$F:$F,0,Summary!J$2),'BPC Data'!$E:$E,Summary!$D95,'BPC Data'!$B:$B,Summary!$C95)</f>
        <v>29158</v>
      </c>
      <c r="K95" s="61">
        <f ca="1">SUMIFS(OFFSET('BPC Data'!$F:$F,0,Summary!K$2),'BPC Data'!$E:$E,Summary!$D95,'BPC Data'!$B:$B,Summary!$C95)</f>
        <v>29158</v>
      </c>
      <c r="L95" s="65">
        <f ca="1">SUMIFS(OFFSET('BPC Data'!$F:$F,0,Summary!L$2),'BPC Data'!$E:$E,Summary!$D95,'BPC Data'!$B:$B,Summary!$C95)</f>
        <v>29158</v>
      </c>
      <c r="M95" s="61">
        <f ca="1">SUMIFS(OFFSET('BPC Data'!$F:$F,0,Summary!M$2),'BPC Data'!$E:$E,Summary!$D95,'BPC Data'!$B:$B,Summary!$C95)</f>
        <v>29158</v>
      </c>
      <c r="N95" s="65">
        <f ca="1">SUMIFS(OFFSET('BPC Data'!$F:$F,0,Summary!N$2),'BPC Data'!$E:$E,Summary!$D95,'BPC Data'!$B:$B,Summary!$C95)</f>
        <v>29158</v>
      </c>
      <c r="O95" s="61">
        <f ca="1">SUMIFS(OFFSET('BPC Data'!$F:$F,0,Summary!O$2),'BPC Data'!$E:$E,Summary!$D95,'BPC Data'!$B:$B,Summary!$C95)</f>
        <v>29158</v>
      </c>
      <c r="P95" s="65">
        <f ca="1">SUMIFS(OFFSET('BPC Data'!$F:$F,0,Summary!P$2),'BPC Data'!$E:$E,Summary!$D95,'BPC Data'!$B:$B,Summary!$C95)</f>
        <v>29158</v>
      </c>
      <c r="Q95" s="61">
        <f ca="1">SUMIFS(OFFSET('BPC Data'!$F:$F,0,Summary!Q$2),'BPC Data'!$E:$E,Summary!$D95,'BPC Data'!$B:$B,Summary!$C95)</f>
        <v>29157</v>
      </c>
      <c r="R95" s="65">
        <f ca="1">SUMIFS(OFFSET('BPC Data'!$F:$F,0,Summary!R$2),'BPC Data'!$E:$E,Summary!$D95,'BPC Data'!$B:$B,Summary!$C95)</f>
        <v>31617</v>
      </c>
      <c r="S95" s="23">
        <f t="shared" ca="1" si="168"/>
        <v>351575</v>
      </c>
      <c r="T95" s="74">
        <f ca="1">SUM(W95:AH95)</f>
        <v>351572.0400000001</v>
      </c>
      <c r="U95" s="54">
        <f ca="1">T95-S95</f>
        <v>-2.9599999999045394</v>
      </c>
      <c r="W95" s="4">
        <f ca="1">SUMIFS(INDIRECT("'"&amp;$W$85&amp;"'"&amp;"!$B$64:$B$5000"),INDIRECT("'"&amp;$W$85&amp;"'"&amp;"!$A$64:$A$5000"),$W$3)+SUMIFS(INDIRECT("'"&amp;$W$85&amp;"'"&amp;"!$B$64:$B$5000"),INDIRECT("'"&amp;$W$85&amp;"'"&amp;"!$A$64:$A$5000"),$W$4)</f>
        <v>28379</v>
      </c>
      <c r="X95" s="4">
        <f ca="1">SUMIFS(INDIRECT("'"&amp;$W$85&amp;"'"&amp;"!$c$64:$c$5000"),INDIRECT("'"&amp;$W$85&amp;"'"&amp;"!$A$64:$A$5000"),$W$3)+SUMIFS(INDIRECT("'"&amp;$W$85&amp;"'"&amp;"!$c$64:$c$5000"),INDIRECT("'"&amp;$W$85&amp;"'"&amp;"!$A$64:$A$5000"),$W$4)</f>
        <v>29157.58</v>
      </c>
      <c r="Y95" s="4">
        <f ca="1">SUMIFS(INDIRECT("'"&amp;$W$85&amp;"'"&amp;"!$d$64:$d$5000"),INDIRECT("'"&amp;$W$85&amp;"'"&amp;"!$A$64:$A$5000"),$W$3)+SUMIFS(INDIRECT("'"&amp;$W$85&amp;"'"&amp;"!$d$64:$d$5000"),INDIRECT("'"&amp;$W$85&amp;"'"&amp;"!$A$64:$A$5000"),$W$4)</f>
        <v>29157.58</v>
      </c>
      <c r="Z95" s="4">
        <f ca="1">SUMIFS(INDIRECT("'"&amp;$W$85&amp;"'"&amp;"!$e$64:$e$5000"),INDIRECT("'"&amp;$W$85&amp;"'"&amp;"!$A$64:$A$5000"),$W$3)+SUMIFS(INDIRECT("'"&amp;$W$85&amp;"'"&amp;"!$e$64:$e$5000"),INDIRECT("'"&amp;$W$85&amp;"'"&amp;"!$A$64:$A$5000"),$W$4)</f>
        <v>29157.58</v>
      </c>
      <c r="AA95" s="4">
        <f ca="1">SUMIFS(INDIRECT("'"&amp;$W$85&amp;"'"&amp;"!$f$64:$f$5000"),INDIRECT("'"&amp;$W$85&amp;"'"&amp;"!$A$64:$A$5000"),$W$3)+SUMIFS(INDIRECT("'"&amp;$W$85&amp;"'"&amp;"!$f$64:$f$5000"),INDIRECT("'"&amp;$W$85&amp;"'"&amp;"!$A$64:$A$5000"),$W$4)</f>
        <v>29157.58</v>
      </c>
      <c r="AB95" s="4">
        <f ca="1">SUMIFS(INDIRECT("'"&amp;$W$85&amp;"'"&amp;"!$g$64:$g$5000"),INDIRECT("'"&amp;$W$85&amp;"'"&amp;"!$A$64:$A$5000"),$W$3)+SUMIFS(INDIRECT("'"&amp;$W$85&amp;"'"&amp;"!$g$64:$g$5000"),INDIRECT("'"&amp;$W$85&amp;"'"&amp;"!$A$64:$A$5000"),$W$4)</f>
        <v>29157.58</v>
      </c>
      <c r="AC95" s="4">
        <f ca="1">SUMIFS(INDIRECT("'"&amp;$W$85&amp;"'"&amp;"!$h$64:$h$5000"),INDIRECT("'"&amp;$W$85&amp;"'"&amp;"!$A$64:$A$5000"),$W$3)+SUMIFS(INDIRECT("'"&amp;$W$85&amp;"'"&amp;"!$h$64:$h$5000"),INDIRECT("'"&amp;$W$85&amp;"'"&amp;"!$A$64:$A$5000"),$W$4)</f>
        <v>29157.58</v>
      </c>
      <c r="AD95" s="4">
        <f ca="1">SUMIFS(INDIRECT("'"&amp;$W$85&amp;"'"&amp;"!$i$64:$i$5000"),INDIRECT("'"&amp;$W$85&amp;"'"&amp;"!$A$64:$A$5000"),$W$3)+SUMIFS(INDIRECT("'"&amp;$W$85&amp;"'"&amp;"!$i$64:$i$5000"),INDIRECT("'"&amp;$W$85&amp;"'"&amp;"!$A$64:$A$5000"),$W$4)</f>
        <v>29157.58</v>
      </c>
      <c r="AE95" s="4">
        <f ca="1">SUMIFS(INDIRECT("'"&amp;$W$85&amp;"'"&amp;"!$j$64:$j$5000"),INDIRECT("'"&amp;$W$85&amp;"'"&amp;"!$A$64:$A$5000"),$W$3)+SUMIFS(INDIRECT("'"&amp;$W$85&amp;"'"&amp;"!$j$64:$j$5000"),INDIRECT("'"&amp;$W$85&amp;"'"&amp;"!$A$64:$A$5000"),$W$4)</f>
        <v>29157.58</v>
      </c>
      <c r="AF95" s="4">
        <f ca="1">SUMIFS(INDIRECT("'"&amp;$W$85&amp;"'"&amp;"!$k$64:$k$5000"),INDIRECT("'"&amp;$W$85&amp;"'"&amp;"!$A$64:$A$5000"),$W$3)+SUMIFS(INDIRECT("'"&amp;$W$85&amp;"'"&amp;"!$k$64:$k$5000"),INDIRECT("'"&amp;$W$85&amp;"'"&amp;"!$A$64:$A$5000"),$W$4)</f>
        <v>29157.58</v>
      </c>
      <c r="AG95" s="4">
        <f ca="1">SUMIFS(INDIRECT("'"&amp;$W$85&amp;"'"&amp;"!$l$64:$l$5000"),INDIRECT("'"&amp;$W$85&amp;"'"&amp;"!$A$64:$A$5000"),$W$3)+SUMIFS(INDIRECT("'"&amp;$W$85&amp;"'"&amp;"!$l$64:$l$5000"),INDIRECT("'"&amp;$W$85&amp;"'"&amp;"!$A$64:$A$5000"),$W$4)</f>
        <v>29157.58</v>
      </c>
      <c r="AH95" s="4">
        <f ca="1">SUMIFS(INDIRECT("'"&amp;$W$85&amp;"'"&amp;"!$m$64:$m$5000"),INDIRECT("'"&amp;$W$85&amp;"'"&amp;"!$A$64:$A$5000"),$W$3)+SUMIFS(INDIRECT("'"&amp;$W$85&amp;"'"&amp;"!$m$64:$m$5000"),INDIRECT("'"&amp;$W$85&amp;"'"&amp;"!$A$64:$A$5000"),$W$4)</f>
        <v>31617.24</v>
      </c>
      <c r="AJ95" s="14">
        <f t="shared" ca="1" si="172"/>
        <v>0</v>
      </c>
      <c r="AK95" s="14">
        <f t="shared" ca="1" si="172"/>
        <v>-0.41999999999825377</v>
      </c>
      <c r="AL95" s="14">
        <f t="shared" ca="1" si="172"/>
        <v>-0.41999999999825377</v>
      </c>
      <c r="AM95" s="14">
        <f t="shared" ca="1" si="172"/>
        <v>-0.41999999999825377</v>
      </c>
      <c r="AN95" s="14">
        <f t="shared" ca="1" si="172"/>
        <v>-0.41999999999825377</v>
      </c>
      <c r="AO95" s="14">
        <f t="shared" ca="1" si="172"/>
        <v>-0.41999999999825377</v>
      </c>
      <c r="AP95" s="14">
        <f t="shared" ca="1" si="172"/>
        <v>-0.41999999999825377</v>
      </c>
      <c r="AQ95" s="14">
        <f t="shared" ca="1" si="172"/>
        <v>-0.41999999999825377</v>
      </c>
      <c r="AR95" s="14">
        <f t="shared" ca="1" si="172"/>
        <v>-0.41999999999825377</v>
      </c>
      <c r="AS95" s="14">
        <f t="shared" ca="1" si="172"/>
        <v>-0.41999999999825377</v>
      </c>
      <c r="AT95" s="14">
        <f t="shared" ca="1" si="172"/>
        <v>0.58000000000174623</v>
      </c>
      <c r="AU95" s="14">
        <f t="shared" ca="1" si="172"/>
        <v>0.24000000000160071</v>
      </c>
    </row>
    <row r="96" spans="1:47" s="12" customFormat="1">
      <c r="A96" s="12">
        <f t="shared" si="167"/>
        <v>8</v>
      </c>
      <c r="B96"/>
      <c r="C96"/>
      <c r="D96" s="1" t="str">
        <f t="shared" ref="D96:D149" si="175">$D85</f>
        <v>x</v>
      </c>
      <c r="E96"/>
      <c r="F96" s="19" t="s">
        <v>0</v>
      </c>
      <c r="G96" s="61">
        <f ca="1">SUMIFS(OFFSET('BPC Data'!$F:$F,0,Summary!G$2),'BPC Data'!$E:$E,Summary!$D96,'BPC Data'!$B:$B,Summary!$C96)</f>
        <v>0</v>
      </c>
      <c r="H96" s="65">
        <f ca="1">SUMIFS(OFFSET('BPC Data'!$F:$F,0,Summary!H$2),'BPC Data'!$E:$E,Summary!$D96,'BPC Data'!$B:$B,Summary!$C96)</f>
        <v>0</v>
      </c>
      <c r="I96" s="61">
        <f ca="1">SUMIFS(OFFSET('BPC Data'!$F:$F,0,Summary!I$2),'BPC Data'!$E:$E,Summary!$D96,'BPC Data'!$B:$B,Summary!$C96)</f>
        <v>0</v>
      </c>
      <c r="J96" s="65">
        <f ca="1">SUMIFS(OFFSET('BPC Data'!$F:$F,0,Summary!J$2),'BPC Data'!$E:$E,Summary!$D96,'BPC Data'!$B:$B,Summary!$C96)</f>
        <v>0</v>
      </c>
      <c r="K96" s="61">
        <f ca="1">SUMIFS(OFFSET('BPC Data'!$F:$F,0,Summary!K$2),'BPC Data'!$E:$E,Summary!$D96,'BPC Data'!$B:$B,Summary!$C96)</f>
        <v>0</v>
      </c>
      <c r="L96" s="65">
        <f ca="1">SUMIFS(OFFSET('BPC Data'!$F:$F,0,Summary!L$2),'BPC Data'!$E:$E,Summary!$D96,'BPC Data'!$B:$B,Summary!$C96)</f>
        <v>0</v>
      </c>
      <c r="M96" s="61">
        <f ca="1">SUMIFS(OFFSET('BPC Data'!$F:$F,0,Summary!M$2),'BPC Data'!$E:$E,Summary!$D96,'BPC Data'!$B:$B,Summary!$C96)</f>
        <v>0</v>
      </c>
      <c r="N96" s="65">
        <f ca="1">SUMIFS(OFFSET('BPC Data'!$F:$F,0,Summary!N$2),'BPC Data'!$E:$E,Summary!$D96,'BPC Data'!$B:$B,Summary!$C96)</f>
        <v>0</v>
      </c>
      <c r="O96" s="61">
        <f ca="1">SUMIFS(OFFSET('BPC Data'!$F:$F,0,Summary!O$2),'BPC Data'!$E:$E,Summary!$D96,'BPC Data'!$B:$B,Summary!$C96)</f>
        <v>0</v>
      </c>
      <c r="P96" s="65">
        <f ca="1">SUMIFS(OFFSET('BPC Data'!$F:$F,0,Summary!P$2),'BPC Data'!$E:$E,Summary!$D96,'BPC Data'!$B:$B,Summary!$C96)</f>
        <v>0</v>
      </c>
      <c r="Q96" s="61">
        <f ca="1">SUMIFS(OFFSET('BPC Data'!$F:$F,0,Summary!Q$2),'BPC Data'!$E:$E,Summary!$D96,'BPC Data'!$B:$B,Summary!$C96)</f>
        <v>0</v>
      </c>
      <c r="R96" s="65">
        <f ca="1">SUMIFS(OFFSET('BPC Data'!$F:$F,0,Summary!R$2),'BPC Data'!$E:$E,Summary!$D96,'BPC Data'!$B:$B,Summary!$C96)</f>
        <v>0</v>
      </c>
      <c r="S96" s="23">
        <f ca="1">SUM(G96:M96)</f>
        <v>0</v>
      </c>
      <c r="T96" s="76"/>
      <c r="W96" t="s">
        <v>302</v>
      </c>
      <c r="X96"/>
      <c r="Y96"/>
      <c r="Z96"/>
      <c r="AA96"/>
      <c r="AB96"/>
      <c r="AC96"/>
      <c r="AD96"/>
      <c r="AE96"/>
      <c r="AF96"/>
      <c r="AG96"/>
      <c r="AH96"/>
      <c r="AI96"/>
      <c r="AJ96" s="14"/>
      <c r="AK96" s="49"/>
      <c r="AL96" s="49"/>
      <c r="AM96" s="49"/>
      <c r="AN96" s="49"/>
      <c r="AO96" s="49"/>
      <c r="AP96" s="49"/>
      <c r="AQ96" s="49"/>
      <c r="AR96" s="49"/>
      <c r="AS96" s="49"/>
      <c r="AT96" s="49"/>
      <c r="AU96" s="49"/>
    </row>
    <row r="97" spans="1:47" s="12" customFormat="1">
      <c r="A97" s="12">
        <f>IF(AND(D97&lt;&gt;"",C97=""),A96+1,A96)</f>
        <v>9</v>
      </c>
      <c r="B97" s="5"/>
      <c r="C97" s="5"/>
      <c r="D97" s="5" t="str">
        <f t="shared" si="175"/>
        <v>x</v>
      </c>
      <c r="E97" s="5"/>
      <c r="F97" s="18" t="str">
        <f>INDEX(PropertyList!$D:$D,MATCH(Summary!$A97,PropertyList!$C:$C,0))</f>
        <v>Smoky Hill Health and Rehbilitation</v>
      </c>
      <c r="G97" s="61">
        <f ca="1">SUMIFS(OFFSET('BPC Data'!$F:$F,0,Summary!G$2),'BPC Data'!$E:$E,Summary!$D97,'BPC Data'!$B:$B,Summary!$C97)</f>
        <v>0</v>
      </c>
      <c r="H97" s="65">
        <f ca="1">SUMIFS(OFFSET('BPC Data'!$F:$F,0,Summary!H$2),'BPC Data'!$E:$E,Summary!$D97,'BPC Data'!$B:$B,Summary!$C97)</f>
        <v>0</v>
      </c>
      <c r="I97" s="61">
        <f ca="1">SUMIFS(OFFSET('BPC Data'!$F:$F,0,Summary!I$2),'BPC Data'!$E:$E,Summary!$D97,'BPC Data'!$B:$B,Summary!$C97)</f>
        <v>0</v>
      </c>
      <c r="J97" s="65">
        <f ca="1">SUMIFS(OFFSET('BPC Data'!$F:$F,0,Summary!J$2),'BPC Data'!$E:$E,Summary!$D97,'BPC Data'!$B:$B,Summary!$C97)</f>
        <v>0</v>
      </c>
      <c r="K97" s="61">
        <f ca="1">SUMIFS(OFFSET('BPC Data'!$F:$F,0,Summary!K$2),'BPC Data'!$E:$E,Summary!$D97,'BPC Data'!$B:$B,Summary!$C97)</f>
        <v>0</v>
      </c>
      <c r="L97" s="65">
        <f ca="1">SUMIFS(OFFSET('BPC Data'!$F:$F,0,Summary!L$2),'BPC Data'!$E:$E,Summary!$D97,'BPC Data'!$B:$B,Summary!$C97)</f>
        <v>0</v>
      </c>
      <c r="M97" s="61">
        <f ca="1">SUMIFS(OFFSET('BPC Data'!$F:$F,0,Summary!M$2),'BPC Data'!$E:$E,Summary!$D97,'BPC Data'!$B:$B,Summary!$C97)</f>
        <v>0</v>
      </c>
      <c r="N97" s="65">
        <f ca="1">SUMIFS(OFFSET('BPC Data'!$F:$F,0,Summary!N$2),'BPC Data'!$E:$E,Summary!$D97,'BPC Data'!$B:$B,Summary!$C97)</f>
        <v>0</v>
      </c>
      <c r="O97" s="61">
        <f ca="1">SUMIFS(OFFSET('BPC Data'!$F:$F,0,Summary!O$2),'BPC Data'!$E:$E,Summary!$D97,'BPC Data'!$B:$B,Summary!$C97)</f>
        <v>0</v>
      </c>
      <c r="P97" s="65">
        <f ca="1">SUMIFS(OFFSET('BPC Data'!$F:$F,0,Summary!P$2),'BPC Data'!$E:$E,Summary!$D97,'BPC Data'!$B:$B,Summary!$C97)</f>
        <v>0</v>
      </c>
      <c r="Q97" s="61">
        <f ca="1">SUMIFS(OFFSET('BPC Data'!$F:$F,0,Summary!Q$2),'BPC Data'!$E:$E,Summary!$D97,'BPC Data'!$B:$B,Summary!$C97)</f>
        <v>0</v>
      </c>
      <c r="R97" s="65">
        <f ca="1">SUMIFS(OFFSET('BPC Data'!$F:$F,0,Summary!R$2),'BPC Data'!$E:$E,Summary!$D97,'BPC Data'!$B:$B,Summary!$C97)</f>
        <v>0</v>
      </c>
      <c r="S97" s="23">
        <f ca="1">SUM(G97:M97)</f>
        <v>0</v>
      </c>
      <c r="T97" s="76"/>
      <c r="W97" s="5" t="str">
        <f t="shared" ref="W97:AH97" si="176">+G$8</f>
        <v>Aug 2021</v>
      </c>
      <c r="X97" s="5" t="str">
        <f t="shared" si="176"/>
        <v>Sep 2021</v>
      </c>
      <c r="Y97" s="5" t="str">
        <f t="shared" si="176"/>
        <v>Oct 2021</v>
      </c>
      <c r="Z97" s="5" t="str">
        <f t="shared" si="176"/>
        <v>Nov 2021</v>
      </c>
      <c r="AA97" s="5" t="str">
        <f t="shared" si="176"/>
        <v>Dec 2021</v>
      </c>
      <c r="AB97" s="5" t="str">
        <f t="shared" si="176"/>
        <v>Jan 2022</v>
      </c>
      <c r="AC97" s="5" t="str">
        <f t="shared" si="176"/>
        <v>Feb 2022</v>
      </c>
      <c r="AD97" s="5" t="str">
        <f t="shared" si="176"/>
        <v>Mar 2022</v>
      </c>
      <c r="AE97" s="5" t="str">
        <f t="shared" si="176"/>
        <v>Apr 2022</v>
      </c>
      <c r="AF97" s="5" t="str">
        <f t="shared" si="176"/>
        <v>May 2022</v>
      </c>
      <c r="AG97" s="5" t="str">
        <f t="shared" si="176"/>
        <v>Jun 2022</v>
      </c>
      <c r="AH97" s="5" t="str">
        <f t="shared" si="176"/>
        <v>Jul 2022</v>
      </c>
      <c r="AI97" s="5"/>
      <c r="AJ97" s="174" t="str">
        <f>W$9</f>
        <v>Aug 2021</v>
      </c>
      <c r="AK97" s="174" t="str">
        <f t="shared" ref="AK97" si="177">X$9</f>
        <v>Sep 2021</v>
      </c>
      <c r="AL97" s="174" t="str">
        <f t="shared" ref="AL97" si="178">Y$9</f>
        <v>Oct 2021</v>
      </c>
      <c r="AM97" s="174" t="str">
        <f t="shared" ref="AM97" si="179">Z$9</f>
        <v>Nov 2021</v>
      </c>
      <c r="AN97" s="174" t="str">
        <f t="shared" ref="AN97:AO97" si="180">AA$9</f>
        <v>Dec 2021</v>
      </c>
      <c r="AO97" s="174" t="str">
        <f t="shared" si="180"/>
        <v>Jan 2022</v>
      </c>
      <c r="AP97" s="174" t="str">
        <f t="shared" ref="AP97" si="181">AC$9</f>
        <v>Feb 2022</v>
      </c>
      <c r="AQ97" s="174" t="str">
        <f t="shared" ref="AQ97" si="182">AD$9</f>
        <v>Mar 2022</v>
      </c>
      <c r="AR97" s="174" t="str">
        <f t="shared" ref="AR97" si="183">AE$9</f>
        <v>Apr 2022</v>
      </c>
      <c r="AS97" s="174" t="str">
        <f t="shared" ref="AS97" si="184">AF$9</f>
        <v>May 2022</v>
      </c>
      <c r="AT97" s="174" t="str">
        <f t="shared" ref="AT97" si="185">AG$9</f>
        <v>Jun 2022</v>
      </c>
      <c r="AU97" s="174" t="str">
        <f t="shared" ref="AU97" si="186">AH$9</f>
        <v>Jul 2022</v>
      </c>
    </row>
    <row r="98" spans="1:47" s="12" customFormat="1">
      <c r="A98" s="12">
        <f>IF(AND(F98&lt;&gt;"",D98=""),A97+1,A97)</f>
        <v>9</v>
      </c>
      <c r="C98" t="str">
        <f>$F97</f>
        <v>Smoky Hill Health and Rehbilitation</v>
      </c>
      <c r="D98" s="3" t="str">
        <f t="shared" si="175"/>
        <v>PAY_PAT_DAYS - Total Payor Patient Days</v>
      </c>
      <c r="E98" s="12" t="s">
        <v>384</v>
      </c>
      <c r="F98" s="19" t="str">
        <f>_xll.EVDES(D98)</f>
        <v>Total Payor Patient Days</v>
      </c>
      <c r="G98" s="61">
        <f ca="1">SUMIFS(OFFSET('BPC Data'!$F:$F,0,Summary!G$2),'BPC Data'!$E:$E,Summary!$D98,'BPC Data'!$B:$B,Summary!$C98)</f>
        <v>1834</v>
      </c>
      <c r="H98" s="65">
        <f ca="1">SUMIFS(OFFSET('BPC Data'!$F:$F,0,Summary!H$2),'BPC Data'!$E:$E,Summary!$D98,'BPC Data'!$B:$B,Summary!$C98)</f>
        <v>1793</v>
      </c>
      <c r="I98" s="61">
        <f ca="1">SUMIFS(OFFSET('BPC Data'!$F:$F,0,Summary!I$2),'BPC Data'!$E:$E,Summary!$D98,'BPC Data'!$B:$B,Summary!$C98)</f>
        <v>1869</v>
      </c>
      <c r="J98" s="65">
        <f ca="1">SUMIFS(OFFSET('BPC Data'!$F:$F,0,Summary!J$2),'BPC Data'!$E:$E,Summary!$D98,'BPC Data'!$B:$B,Summary!$C98)</f>
        <v>1859</v>
      </c>
      <c r="K98" s="61">
        <f ca="1">SUMIFS(OFFSET('BPC Data'!$F:$F,0,Summary!K$2),'BPC Data'!$E:$E,Summary!$D98,'BPC Data'!$B:$B,Summary!$C98)</f>
        <v>1902</v>
      </c>
      <c r="L98" s="65">
        <f ca="1">SUMIFS(OFFSET('BPC Data'!$F:$F,0,Summary!L$2),'BPC Data'!$E:$E,Summary!$D98,'BPC Data'!$B:$B,Summary!$C98)</f>
        <v>1945</v>
      </c>
      <c r="M98" s="61">
        <f ca="1">SUMIFS(OFFSET('BPC Data'!$F:$F,0,Summary!M$2),'BPC Data'!$E:$E,Summary!$D98,'BPC Data'!$B:$B,Summary!$C98)</f>
        <v>1727</v>
      </c>
      <c r="N98" s="65">
        <f ca="1">SUMIFS(OFFSET('BPC Data'!$F:$F,0,Summary!N$2),'BPC Data'!$E:$E,Summary!$D98,'BPC Data'!$B:$B,Summary!$C98)</f>
        <v>1736</v>
      </c>
      <c r="O98" s="61">
        <f ca="1">SUMIFS(OFFSET('BPC Data'!$F:$F,0,Summary!O$2),'BPC Data'!$E:$E,Summary!$D98,'BPC Data'!$B:$B,Summary!$C98)</f>
        <v>1938</v>
      </c>
      <c r="P98" s="65">
        <f ca="1">SUMIFS(OFFSET('BPC Data'!$F:$F,0,Summary!P$2),'BPC Data'!$E:$E,Summary!$D98,'BPC Data'!$B:$B,Summary!$C98)</f>
        <v>1967</v>
      </c>
      <c r="Q98" s="61">
        <f ca="1">SUMIFS(OFFSET('BPC Data'!$F:$F,0,Summary!Q$2),'BPC Data'!$E:$E,Summary!$D98,'BPC Data'!$B:$B,Summary!$C98)</f>
        <v>1802</v>
      </c>
      <c r="R98" s="65">
        <f ca="1">SUMIFS(OFFSET('BPC Data'!$F:$F,0,Summary!R$2),'BPC Data'!$E:$E,Summary!$D98,'BPC Data'!$B:$B,Summary!$C98)</f>
        <v>1970</v>
      </c>
      <c r="S98" s="23">
        <f ca="1">SUM(G98:R98)</f>
        <v>22342</v>
      </c>
      <c r="T98" s="74">
        <f ca="1">SUM(W98:AH98)</f>
        <v>22342</v>
      </c>
      <c r="U98" s="54">
        <f ca="1">T98-S98</f>
        <v>0</v>
      </c>
      <c r="W98" s="4">
        <f ca="1">SUMIFS(INDIRECT("'"&amp;$W$96&amp;"'"&amp;"!$B$1:$B$5000"),INDIRECT("'"&amp;$W$96&amp;"'"&amp;"!$A$1:$A$5000"),$W$2)</f>
        <v>1834</v>
      </c>
      <c r="X98" s="4">
        <f ca="1">SUMIFS(INDIRECT("'"&amp;$W$96&amp;"'"&amp;"!$c$1:$c$5000"),INDIRECT("'"&amp;$W$96&amp;"'"&amp;"!$A$1:$A$5000"),$W$2)</f>
        <v>1793</v>
      </c>
      <c r="Y98" s="4">
        <f ca="1">SUMIFS(INDIRECT("'"&amp;$W$96&amp;"'"&amp;"!$d$1:$d$5000"),INDIRECT("'"&amp;$W$96&amp;"'"&amp;"!$A$1:$A$5000"),$W$2)</f>
        <v>1869</v>
      </c>
      <c r="Z98" s="4">
        <f ca="1">SUMIFS(INDIRECT("'"&amp;$W$96&amp;"'"&amp;"!$e$1:$e$5000"),INDIRECT("'"&amp;$W$96&amp;"'"&amp;"!$A$1:$A$5000"),$W$2)</f>
        <v>1859</v>
      </c>
      <c r="AA98" s="4">
        <f ca="1">SUMIFS(INDIRECT("'"&amp;$W$96&amp;"'"&amp;"!$f$1:$f$5000"),INDIRECT("'"&amp;$W$96&amp;"'"&amp;"!$A$1:$A$5000"),$W$2)</f>
        <v>1902</v>
      </c>
      <c r="AB98" s="4">
        <f ca="1">SUMIFS(INDIRECT("'"&amp;$W$96&amp;"'"&amp;"!$g$1:$g$5000"),INDIRECT("'"&amp;$W$96&amp;"'"&amp;"!$A$1:$A$5000"),$W$2)</f>
        <v>1945</v>
      </c>
      <c r="AC98" s="4">
        <f ca="1">SUMIFS(INDIRECT("'"&amp;$W$96&amp;"'"&amp;"!$h$1:$h$5000"),INDIRECT("'"&amp;$W$96&amp;"'"&amp;"!$A$1:$A$5000"),$W$2)</f>
        <v>1727</v>
      </c>
      <c r="AD98" s="4">
        <f ca="1">SUMIFS(INDIRECT("'"&amp;$W$96&amp;"'"&amp;"!$i$1:$i$5000"),INDIRECT("'"&amp;$W$96&amp;"'"&amp;"!$A$1:$A$5000"),$W$2)</f>
        <v>1736</v>
      </c>
      <c r="AE98" s="4">
        <f ca="1">SUMIFS(INDIRECT("'"&amp;$W$96&amp;"'"&amp;"!$j$1:$j$5000"),INDIRECT("'"&amp;$W$96&amp;"'"&amp;"!$A$1:$A$5000"),$W$2)</f>
        <v>1938</v>
      </c>
      <c r="AF98" s="4">
        <f ca="1">SUMIFS(INDIRECT("'"&amp;$W$96&amp;"'"&amp;"!$k$1:$k$5000"),INDIRECT("'"&amp;$W$96&amp;"'"&amp;"!$A$1:$A$5000"),$W$2)</f>
        <v>1967</v>
      </c>
      <c r="AG98" s="4">
        <f ca="1">SUMIFS(INDIRECT("'"&amp;$W$96&amp;"'"&amp;"!$l$1:$l$5000"),INDIRECT("'"&amp;$W$96&amp;"'"&amp;"!$A$1:$A$5000"),$W$2)</f>
        <v>1802</v>
      </c>
      <c r="AH98" s="4">
        <f ca="1">SUMIFS(INDIRECT("'"&amp;$W$96&amp;"'"&amp;"!$m$1:$m$5000"),INDIRECT("'"&amp;$W$96&amp;"'"&amp;"!$A$1:$A$5000"),$W$2)</f>
        <v>1970</v>
      </c>
      <c r="AJ98" s="14">
        <f t="shared" ref="AJ98:AU98" ca="1" si="187">W98-G98</f>
        <v>0</v>
      </c>
      <c r="AK98" s="14">
        <f t="shared" ca="1" si="187"/>
        <v>0</v>
      </c>
      <c r="AL98" s="14">
        <f t="shared" ca="1" si="187"/>
        <v>0</v>
      </c>
      <c r="AM98" s="14">
        <f t="shared" ca="1" si="187"/>
        <v>0</v>
      </c>
      <c r="AN98" s="14">
        <f t="shared" ca="1" si="187"/>
        <v>0</v>
      </c>
      <c r="AO98" s="14">
        <f t="shared" ca="1" si="187"/>
        <v>0</v>
      </c>
      <c r="AP98" s="14">
        <f t="shared" ca="1" si="187"/>
        <v>0</v>
      </c>
      <c r="AQ98" s="14">
        <f t="shared" ca="1" si="187"/>
        <v>0</v>
      </c>
      <c r="AR98" s="14">
        <f t="shared" ca="1" si="187"/>
        <v>0</v>
      </c>
      <c r="AS98" s="14">
        <f t="shared" ca="1" si="187"/>
        <v>0</v>
      </c>
      <c r="AT98" s="14">
        <f t="shared" ca="1" si="187"/>
        <v>0</v>
      </c>
      <c r="AU98" s="14">
        <f t="shared" ca="1" si="187"/>
        <v>0</v>
      </c>
    </row>
    <row r="99" spans="1:47" s="12" customFormat="1">
      <c r="A99" s="12">
        <f t="shared" ref="A99:A107" si="188">IF(AND(F99&lt;&gt;"",D99=""),A98+1,A98)</f>
        <v>9</v>
      </c>
      <c r="C99" t="str">
        <f>$F97</f>
        <v>Smoky Hill Health and Rehbilitation</v>
      </c>
      <c r="D99" s="3" t="str">
        <f t="shared" si="175"/>
        <v>A_BEDS_TOTAL - Total Available Beds</v>
      </c>
      <c r="F99" s="19" t="str">
        <f>_xll.EVDES(D99)</f>
        <v>Total Available Beds</v>
      </c>
      <c r="G99" s="61">
        <f ca="1">SUMIFS(OFFSET('BPC Data'!$F:$F,0,Summary!G$2),'BPC Data'!$E:$E,Summary!$D99,'BPC Data'!$B:$B,Summary!$C99)</f>
        <v>90</v>
      </c>
      <c r="H99" s="65">
        <f ca="1">SUMIFS(OFFSET('BPC Data'!$F:$F,0,Summary!H$2),'BPC Data'!$E:$E,Summary!$D99,'BPC Data'!$B:$B,Summary!$C99)</f>
        <v>90</v>
      </c>
      <c r="I99" s="61">
        <f ca="1">SUMIFS(OFFSET('BPC Data'!$F:$F,0,Summary!I$2),'BPC Data'!$E:$E,Summary!$D99,'BPC Data'!$B:$B,Summary!$C99)</f>
        <v>90</v>
      </c>
      <c r="J99" s="65">
        <f ca="1">SUMIFS(OFFSET('BPC Data'!$F:$F,0,Summary!J$2),'BPC Data'!$E:$E,Summary!$D99,'BPC Data'!$B:$B,Summary!$C99)</f>
        <v>90</v>
      </c>
      <c r="K99" s="61">
        <f ca="1">SUMIFS(OFFSET('BPC Data'!$F:$F,0,Summary!K$2),'BPC Data'!$E:$E,Summary!$D99,'BPC Data'!$B:$B,Summary!$C99)</f>
        <v>90</v>
      </c>
      <c r="L99" s="65">
        <f ca="1">SUMIFS(OFFSET('BPC Data'!$F:$F,0,Summary!L$2),'BPC Data'!$E:$E,Summary!$D99,'BPC Data'!$B:$B,Summary!$C99)</f>
        <v>90</v>
      </c>
      <c r="M99" s="61">
        <f ca="1">SUMIFS(OFFSET('BPC Data'!$F:$F,0,Summary!M$2),'BPC Data'!$E:$E,Summary!$D99,'BPC Data'!$B:$B,Summary!$C99)</f>
        <v>90</v>
      </c>
      <c r="N99" s="65">
        <f ca="1">SUMIFS(OFFSET('BPC Data'!$F:$F,0,Summary!N$2),'BPC Data'!$E:$E,Summary!$D99,'BPC Data'!$B:$B,Summary!$C99)</f>
        <v>90</v>
      </c>
      <c r="O99" s="61">
        <f ca="1">SUMIFS(OFFSET('BPC Data'!$F:$F,0,Summary!O$2),'BPC Data'!$E:$E,Summary!$D99,'BPC Data'!$B:$B,Summary!$C99)</f>
        <v>90</v>
      </c>
      <c r="P99" s="65">
        <f ca="1">SUMIFS(OFFSET('BPC Data'!$F:$F,0,Summary!P$2),'BPC Data'!$E:$E,Summary!$D99,'BPC Data'!$B:$B,Summary!$C99)</f>
        <v>90</v>
      </c>
      <c r="Q99" s="61">
        <f ca="1">SUMIFS(OFFSET('BPC Data'!$F:$F,0,Summary!Q$2),'BPC Data'!$E:$E,Summary!$D99,'BPC Data'!$B:$B,Summary!$C99)</f>
        <v>90</v>
      </c>
      <c r="R99" s="65">
        <f ca="1">SUMIFS(OFFSET('BPC Data'!$F:$F,0,Summary!R$2),'BPC Data'!$E:$E,Summary!$D99,'BPC Data'!$B:$B,Summary!$C99)</f>
        <v>90</v>
      </c>
      <c r="S99" s="23">
        <f ca="1">+R99</f>
        <v>90</v>
      </c>
      <c r="T99" s="74"/>
      <c r="U99" s="54"/>
      <c r="AJ99" s="49"/>
      <c r="AK99" s="49"/>
      <c r="AL99" s="49"/>
      <c r="AM99" s="49"/>
      <c r="AN99" s="49"/>
      <c r="AO99" s="49"/>
      <c r="AP99" s="49"/>
      <c r="AQ99" s="49"/>
      <c r="AR99" s="49"/>
      <c r="AS99" s="49"/>
      <c r="AT99" s="49"/>
      <c r="AU99" s="49"/>
    </row>
    <row r="100" spans="1:47" s="12" customFormat="1">
      <c r="A100" s="12">
        <f t="shared" si="188"/>
        <v>9</v>
      </c>
      <c r="B100"/>
      <c r="C100" t="str">
        <f>$F97</f>
        <v>Smoky Hill Health and Rehbilitation</v>
      </c>
      <c r="D100" s="3" t="str">
        <f t="shared" si="175"/>
        <v>T_REVENUES - Total Tenant Revenues</v>
      </c>
      <c r="E100"/>
      <c r="F100" s="19" t="str">
        <f>_xll.EVDES(D100)</f>
        <v>Total Tenant Revenues</v>
      </c>
      <c r="G100" s="61">
        <f ca="1">SUMIFS(OFFSET('BPC Data'!$F:$F,0,Summary!G$2),'BPC Data'!$E:$E,Summary!$D100,'BPC Data'!$B:$B,Summary!$C100)</f>
        <v>423441</v>
      </c>
      <c r="H100" s="65">
        <f ca="1">SUMIFS(OFFSET('BPC Data'!$F:$F,0,Summary!H$2),'BPC Data'!$E:$E,Summary!$D100,'BPC Data'!$B:$B,Summary!$C100)</f>
        <v>499954</v>
      </c>
      <c r="I100" s="61">
        <f ca="1">SUMIFS(OFFSET('BPC Data'!$F:$F,0,Summary!I$2),'BPC Data'!$E:$E,Summary!$D100,'BPC Data'!$B:$B,Summary!$C100)</f>
        <v>469995</v>
      </c>
      <c r="J100" s="65">
        <f ca="1">SUMIFS(OFFSET('BPC Data'!$F:$F,0,Summary!J$2),'BPC Data'!$E:$E,Summary!$D100,'BPC Data'!$B:$B,Summary!$C100)</f>
        <v>449396</v>
      </c>
      <c r="K100" s="61">
        <f ca="1">SUMIFS(OFFSET('BPC Data'!$F:$F,0,Summary!K$2),'BPC Data'!$E:$E,Summary!$D100,'BPC Data'!$B:$B,Summary!$C100)</f>
        <v>444517</v>
      </c>
      <c r="L100" s="65">
        <f ca="1">SUMIFS(OFFSET('BPC Data'!$F:$F,0,Summary!L$2),'BPC Data'!$E:$E,Summary!$D100,'BPC Data'!$B:$B,Summary!$C100)</f>
        <v>474910</v>
      </c>
      <c r="M100" s="61">
        <f ca="1">SUMIFS(OFFSET('BPC Data'!$F:$F,0,Summary!M$2),'BPC Data'!$E:$E,Summary!$D100,'BPC Data'!$B:$B,Summary!$C100)</f>
        <v>439829</v>
      </c>
      <c r="N100" s="65">
        <f ca="1">SUMIFS(OFFSET('BPC Data'!$F:$F,0,Summary!N$2),'BPC Data'!$E:$E,Summary!$D100,'BPC Data'!$B:$B,Summary!$C100)</f>
        <v>460413</v>
      </c>
      <c r="O100" s="61">
        <f ca="1">SUMIFS(OFFSET('BPC Data'!$F:$F,0,Summary!O$2),'BPC Data'!$E:$E,Summary!$D100,'BPC Data'!$B:$B,Summary!$C100)</f>
        <v>516195</v>
      </c>
      <c r="P100" s="65">
        <f ca="1">SUMIFS(OFFSET('BPC Data'!$F:$F,0,Summary!P$2),'BPC Data'!$E:$E,Summary!$D100,'BPC Data'!$B:$B,Summary!$C100)</f>
        <v>539893</v>
      </c>
      <c r="Q100" s="61">
        <f ca="1">SUMIFS(OFFSET('BPC Data'!$F:$F,0,Summary!Q$2),'BPC Data'!$E:$E,Summary!$D100,'BPC Data'!$B:$B,Summary!$C100)</f>
        <v>487234</v>
      </c>
      <c r="R100" s="65">
        <f ca="1">SUMIFS(OFFSET('BPC Data'!$F:$F,0,Summary!R$2),'BPC Data'!$E:$E,Summary!$D100,'BPC Data'!$B:$B,Summary!$C100)</f>
        <v>704732</v>
      </c>
      <c r="S100" s="23">
        <f t="shared" ref="S100:S106" ca="1" si="189">SUM(G100:R100)</f>
        <v>5910509</v>
      </c>
      <c r="T100" s="74">
        <f ca="1">SUM(W100:AH100)</f>
        <v>5910512.0800000001</v>
      </c>
      <c r="U100" s="54">
        <f ca="1">T100-S100</f>
        <v>3.0800000000745058</v>
      </c>
      <c r="W100" s="4">
        <f ca="1">SUMIFS(INDIRECT("'"&amp;$W$96&amp;"'"&amp;"!$B$64:$B$5000"),INDIRECT("'"&amp;$W$96&amp;"'"&amp;"!$A$64:$A$5000"),$V$1)-SUMIFS(INDIRECT("'"&amp;$W$96&amp;"'"&amp;"!$B$64:$B$5000"),INDIRECT("'"&amp;$W$96&amp;"'"&amp;"!$A$64:$A$5000"),$V$2)-SUMIFS(INDIRECT("'"&amp;$W$96&amp;"'"&amp;"!$B$64:$B$5000"),INDIRECT("'"&amp;$W$96&amp;"'"&amp;"!$A$64:$A$5000"),$V$3)-SUMIFS(INDIRECT("'"&amp;$W$96&amp;"'"&amp;"!$B$64:$B$5000"),INDIRECT("'"&amp;$W$96&amp;"'"&amp;"!$A$64:$A$5000"),$X$4)-SUMIFS(INDIRECT("'"&amp;$W$96&amp;"'"&amp;"!$B$64:$B$5000"),INDIRECT("'"&amp;$W$96&amp;"'"&amp;"!$A$64:$A$5000"),$X$3)</f>
        <v>423441.34999999939</v>
      </c>
      <c r="X100" s="4">
        <f ca="1">SUMIFS(INDIRECT("'"&amp;$W$96&amp;"'"&amp;"!$c$64:$c$5000"),INDIRECT("'"&amp;$W$96&amp;"'"&amp;"!$A$64:$A$5000"),$V$1)-SUMIFS(INDIRECT("'"&amp;$W$96&amp;"'"&amp;"!$c$64:$c$5000"),INDIRECT("'"&amp;$W$96&amp;"'"&amp;"!$A$64:$A$5000"),$V$2)-SUMIFS(INDIRECT("'"&amp;$W$96&amp;"'"&amp;"!$c$64:$c$5000"),INDIRECT("'"&amp;$W$96&amp;"'"&amp;"!$A$64:$A$5000"),$V$3)-SUMIFS(INDIRECT("'"&amp;$W$96&amp;"'"&amp;"!$c$64:$c$5000"),INDIRECT("'"&amp;$W$96&amp;"'"&amp;"!$A$64:$A$5000"),$X$4)-SUMIFS(INDIRECT("'"&amp;$W$96&amp;"'"&amp;"!$c$64:$c$5000"),INDIRECT("'"&amp;$W$96&amp;"'"&amp;"!$A$64:$A$5000"),$X$3)</f>
        <v>499954.39</v>
      </c>
      <c r="Y100" s="4">
        <f ca="1">SUMIFS(INDIRECT("'"&amp;$W$96&amp;"'"&amp;"!$d$64:$d$5000"),INDIRECT("'"&amp;$W$96&amp;"'"&amp;"!$A$64:$A$5000"),$V$1)-SUMIFS(INDIRECT("'"&amp;$W$96&amp;"'"&amp;"!$d$64:$d$5000"),INDIRECT("'"&amp;$W$96&amp;"'"&amp;"!$A$64:$A$5000"),$V$2)-SUMIFS(INDIRECT("'"&amp;$W$96&amp;"'"&amp;"!$d$64:$d$5000"),INDIRECT("'"&amp;$W$96&amp;"'"&amp;"!$A$64:$A$5000"),$V$3)-SUMIFS(INDIRECT("'"&amp;$W$96&amp;"'"&amp;"!$d$64:$d$5000"),INDIRECT("'"&amp;$W$96&amp;"'"&amp;"!$A$64:$A$5000"),$X$4)-SUMIFS(INDIRECT("'"&amp;$W$96&amp;"'"&amp;"!$d$64:$d$5000"),INDIRECT("'"&amp;$W$96&amp;"'"&amp;"!$A$64:$A$5000"),$X$3)</f>
        <v>469995.18999999936</v>
      </c>
      <c r="Z100" s="4">
        <f ca="1">SUMIFS(INDIRECT("'"&amp;$W$96&amp;"'"&amp;"!$e$64:$e$5000"),INDIRECT("'"&amp;$W$96&amp;"'"&amp;"!$A$64:$A$5000"),$V$1)-SUMIFS(INDIRECT("'"&amp;$W$96&amp;"'"&amp;"!$e$64:$e$5000"),INDIRECT("'"&amp;$W$96&amp;"'"&amp;"!$A$64:$A$5000"),$V$2)-SUMIFS(INDIRECT("'"&amp;$W$96&amp;"'"&amp;"!$e$64:$e$5000"),INDIRECT("'"&amp;$W$96&amp;"'"&amp;"!$A$64:$A$5000"),$V$3)-SUMIFS(INDIRECT("'"&amp;$W$96&amp;"'"&amp;"!$e$64:$e$5000"),INDIRECT("'"&amp;$W$96&amp;"'"&amp;"!$A$64:$A$5000"),$X$4)-SUMIFS(INDIRECT("'"&amp;$W$96&amp;"'"&amp;"!$e$64:$e$5000"),INDIRECT("'"&amp;$W$96&amp;"'"&amp;"!$A$64:$A$5000"),$X$3)</f>
        <v>449396.01999999984</v>
      </c>
      <c r="AA100" s="4">
        <f ca="1">SUMIFS(INDIRECT("'"&amp;$W$96&amp;"'"&amp;"!$f$64:$f$5000"),INDIRECT("'"&amp;$W$96&amp;"'"&amp;"!$A$64:$A$5000"),$V$1)-SUMIFS(INDIRECT("'"&amp;$W$96&amp;"'"&amp;"!$f$64:$f$5000"),INDIRECT("'"&amp;$W$96&amp;"'"&amp;"!$A$64:$A$5000"),$V$2)-SUMIFS(INDIRECT("'"&amp;$W$96&amp;"'"&amp;"!$f$64:$f$5000"),INDIRECT("'"&amp;$W$96&amp;"'"&amp;"!$A$64:$A$5000"),$V$3)-SUMIFS(INDIRECT("'"&amp;$W$96&amp;"'"&amp;"!$f$64:$f$5000"),INDIRECT("'"&amp;$W$96&amp;"'"&amp;"!$A$64:$A$5000"),$X$4)-SUMIFS(INDIRECT("'"&amp;$W$96&amp;"'"&amp;"!$f$64:$f$5000"),INDIRECT("'"&amp;$W$96&amp;"'"&amp;"!$A$64:$A$5000"),$X$3)</f>
        <v>444517.54000000039</v>
      </c>
      <c r="AB100" s="4">
        <f ca="1">SUMIFS(INDIRECT("'"&amp;$W$96&amp;"'"&amp;"!$g$64:$g$5000"),INDIRECT("'"&amp;$W$96&amp;"'"&amp;"!$A$64:$A$5000"),$V$1)-SUMIFS(INDIRECT("'"&amp;$W$96&amp;"'"&amp;"!$g$64:$g$5000"),INDIRECT("'"&amp;$W$96&amp;"'"&amp;"!$A$64:$A$5000"),$V$2)-SUMIFS(INDIRECT("'"&amp;$W$96&amp;"'"&amp;"!$g$64:$g$5000"),INDIRECT("'"&amp;$W$96&amp;"'"&amp;"!$A$64:$A$5000"),$V$3)-SUMIFS(INDIRECT("'"&amp;$W$96&amp;"'"&amp;"!$g$64:$g$5000"),INDIRECT("'"&amp;$W$96&amp;"'"&amp;"!$A$64:$A$5000"),$X$4)-SUMIFS(INDIRECT("'"&amp;$W$96&amp;"'"&amp;"!$g$64:$g$5000"),INDIRECT("'"&amp;$W$96&amp;"'"&amp;"!$A$64:$A$5000"),$X$3)</f>
        <v>474909.94000000035</v>
      </c>
      <c r="AC100" s="4">
        <f ca="1">SUMIFS(INDIRECT("'"&amp;$W$96&amp;"'"&amp;"!$h$64:$h$5000"),INDIRECT("'"&amp;$W$96&amp;"'"&amp;"!$A$64:$A$5000"),$V$1)-SUMIFS(INDIRECT("'"&amp;$W$96&amp;"'"&amp;"!$h$64:$h$5000"),INDIRECT("'"&amp;$W$96&amp;"'"&amp;"!$A$64:$A$5000"),$V$2)-SUMIFS(INDIRECT("'"&amp;$W$96&amp;"'"&amp;"!$h$64:$h$5000"),INDIRECT("'"&amp;$W$96&amp;"'"&amp;"!$A$64:$A$5000"),$V$3)-SUMIFS(INDIRECT("'"&amp;$W$96&amp;"'"&amp;"!$h$64:$h$5000"),INDIRECT("'"&amp;$W$96&amp;"'"&amp;"!$A$64:$A$5000"),$X$4)-SUMIFS(INDIRECT("'"&amp;$W$96&amp;"'"&amp;"!$h$64:$h$5000"),INDIRECT("'"&amp;$W$96&amp;"'"&amp;"!$A$64:$A$5000"),$X$3)</f>
        <v>439829.43000000011</v>
      </c>
      <c r="AD100" s="4">
        <f ca="1">SUMIFS(INDIRECT("'"&amp;$W$96&amp;"'"&amp;"!$i$64:$i$5000"),INDIRECT("'"&amp;$W$96&amp;"'"&amp;"!$A$64:$A$5000"),$V$1)-SUMIFS(INDIRECT("'"&amp;$W$96&amp;"'"&amp;"!$i$64:$i$5000"),INDIRECT("'"&amp;$W$96&amp;"'"&amp;"!$A$64:$A$5000"),$V$2)-SUMIFS(INDIRECT("'"&amp;$W$96&amp;"'"&amp;"!$i$64:$i$5000"),INDIRECT("'"&amp;$W$96&amp;"'"&amp;"!$A$64:$A$5000"),$V$3)-SUMIFS(INDIRECT("'"&amp;$W$96&amp;"'"&amp;"!$i$64:$i$5000"),INDIRECT("'"&amp;$W$96&amp;"'"&amp;"!$A$64:$A$5000"),$X$4)-SUMIFS(INDIRECT("'"&amp;$W$96&amp;"'"&amp;"!$i$64:$i$5000"),INDIRECT("'"&amp;$W$96&amp;"'"&amp;"!$A$64:$A$5000"),$X$3)</f>
        <v>460412.85000000021</v>
      </c>
      <c r="AE100" s="4">
        <f ca="1">SUMIFS(INDIRECT("'"&amp;$W$96&amp;"'"&amp;"!$j$64:$j$5000"),INDIRECT("'"&amp;$W$96&amp;"'"&amp;"!$A$64:$A$5000"),$V$1)-SUMIFS(INDIRECT("'"&amp;$W$96&amp;"'"&amp;"!$j$64:$j$5000"),INDIRECT("'"&amp;$W$96&amp;"'"&amp;"!$A$64:$A$5000"),$V$2)-SUMIFS(INDIRECT("'"&amp;$W$96&amp;"'"&amp;"!$j$64:$j$5000"),INDIRECT("'"&amp;$W$96&amp;"'"&amp;"!$A$64:$A$5000"),$V$3)-SUMIFS(INDIRECT("'"&amp;$W$96&amp;"'"&amp;"!$j$64:$j$5000"),INDIRECT("'"&amp;$W$96&amp;"'"&amp;"!$A$64:$A$5000"),$X$4)-SUMIFS(INDIRECT("'"&amp;$W$96&amp;"'"&amp;"!$j$64:$j$5000"),INDIRECT("'"&amp;$W$96&amp;"'"&amp;"!$A$64:$A$5000"),$X$3)</f>
        <v>516195.8</v>
      </c>
      <c r="AF100" s="4">
        <f ca="1">SUMIFS(INDIRECT("'"&amp;$W$96&amp;"'"&amp;"!$k$64:$k$5000"),INDIRECT("'"&amp;$W$96&amp;"'"&amp;"!$A$64:$A$5000"),$V$1)-SUMIFS(INDIRECT("'"&amp;$W$96&amp;"'"&amp;"!$k$64:$k$5000"),INDIRECT("'"&amp;$W$96&amp;"'"&amp;"!$A$64:$A$5000"),$V$2)-SUMIFS(INDIRECT("'"&amp;$W$96&amp;"'"&amp;"!$k$64:$k$5000"),INDIRECT("'"&amp;$W$96&amp;"'"&amp;"!$A$64:$A$5000"),$V$3)-SUMIFS(INDIRECT("'"&amp;$W$96&amp;"'"&amp;"!$k$64:$k$5000"),INDIRECT("'"&amp;$W$96&amp;"'"&amp;"!$A$64:$A$5000"),$X$4)-SUMIFS(INDIRECT("'"&amp;$W$96&amp;"'"&amp;"!$k$64:$k$5000"),INDIRECT("'"&amp;$W$96&amp;"'"&amp;"!$A$64:$A$5000"),$X$3)</f>
        <v>539893.64000000036</v>
      </c>
      <c r="AG100" s="4">
        <f ca="1">SUMIFS(INDIRECT("'"&amp;$W$96&amp;"'"&amp;"!$l$64:$l$5000"),INDIRECT("'"&amp;$W$96&amp;"'"&amp;"!$A$64:$A$5000"),$V$1)-SUMIFS(INDIRECT("'"&amp;$W$96&amp;"'"&amp;"!$l$64:$l$5000"),INDIRECT("'"&amp;$W$96&amp;"'"&amp;"!$A$64:$A$5000"),$V$2)-SUMIFS(INDIRECT("'"&amp;$W$96&amp;"'"&amp;"!$l$64:$l$5000"),INDIRECT("'"&amp;$W$96&amp;"'"&amp;"!$A$64:$A$5000"),$V$3)-SUMIFS(INDIRECT("'"&amp;$W$96&amp;"'"&amp;"!$l$64:$l$5000"),INDIRECT("'"&amp;$W$96&amp;"'"&amp;"!$A$64:$A$5000"),$X$4)-SUMIFS(INDIRECT("'"&amp;$W$96&amp;"'"&amp;"!$l$64:$l$5000"),INDIRECT("'"&amp;$W$96&amp;"'"&amp;"!$A$64:$A$5000"),$X$3)</f>
        <v>487233.74000000034</v>
      </c>
      <c r="AH100" s="4">
        <f ca="1">SUMIFS(INDIRECT("'"&amp;$W$96&amp;"'"&amp;"!$m$64:$m$5000"),INDIRECT("'"&amp;$W$96&amp;"'"&amp;"!$A$64:$A$5000"),$V$1)-SUMIFS(INDIRECT("'"&amp;$W$96&amp;"'"&amp;"!$m$64:$m$5000"),INDIRECT("'"&amp;$W$96&amp;"'"&amp;"!$A$64:$A$5000"),$V$2)-SUMIFS(INDIRECT("'"&amp;$W$96&amp;"'"&amp;"!$m$64:$m$5000"),INDIRECT("'"&amp;$W$96&amp;"'"&amp;"!$A$64:$A$5000"),$V$3)-SUMIFS(INDIRECT("'"&amp;$W$96&amp;"'"&amp;"!$m$64:$m$5000"),INDIRECT("'"&amp;$W$96&amp;"'"&amp;"!$A$64:$A$5000"),$X$4)-SUMIFS(INDIRECT("'"&amp;$W$96&amp;"'"&amp;"!$m$64:$m$5000"),INDIRECT("'"&amp;$W$96&amp;"'"&amp;"!$A$64:$A$5000"),$X$3)</f>
        <v>704732.19000000088</v>
      </c>
      <c r="AJ100" s="14">
        <f t="shared" ref="AJ100:AU101" ca="1" si="190">W100-G100</f>
        <v>0.34999999939464033</v>
      </c>
      <c r="AK100" s="14">
        <f t="shared" ca="1" si="190"/>
        <v>0.39000000001396984</v>
      </c>
      <c r="AL100" s="14">
        <f t="shared" ca="1" si="190"/>
        <v>0.18999999936204404</v>
      </c>
      <c r="AM100" s="14">
        <f t="shared" ca="1" si="190"/>
        <v>1.9999999844003469E-2</v>
      </c>
      <c r="AN100" s="14">
        <f t="shared" ca="1" si="190"/>
        <v>0.54000000038649887</v>
      </c>
      <c r="AO100" s="14">
        <f t="shared" ca="1" si="190"/>
        <v>-5.9999999648425728E-2</v>
      </c>
      <c r="AP100" s="14">
        <f t="shared" ca="1" si="190"/>
        <v>0.4300000001094304</v>
      </c>
      <c r="AQ100" s="14">
        <f t="shared" ca="1" si="190"/>
        <v>-0.14999999979045242</v>
      </c>
      <c r="AR100" s="14">
        <f t="shared" ca="1" si="190"/>
        <v>0.79999999998835847</v>
      </c>
      <c r="AS100" s="14">
        <f t="shared" ca="1" si="190"/>
        <v>0.6400000003632158</v>
      </c>
      <c r="AT100" s="14">
        <f t="shared" ca="1" si="190"/>
        <v>-0.25999999966006726</v>
      </c>
      <c r="AU100" s="14">
        <f t="shared" ca="1" si="190"/>
        <v>0.19000000087544322</v>
      </c>
    </row>
    <row r="101" spans="1:47" s="12" customFormat="1">
      <c r="A101" s="12">
        <f t="shared" si="188"/>
        <v>9</v>
      </c>
      <c r="B101"/>
      <c r="C101" t="str">
        <f>$F97</f>
        <v>Smoky Hill Health and Rehbilitation</v>
      </c>
      <c r="D101" s="3" t="str">
        <f t="shared" si="175"/>
        <v>T_OPEX - Tenant Operating Expenses</v>
      </c>
      <c r="E101"/>
      <c r="F101" s="19" t="str">
        <f>_xll.EVDES(D101)</f>
        <v>Tenant Operating Expenses</v>
      </c>
      <c r="G101" s="61">
        <f ca="1">SUMIFS(OFFSET('BPC Data'!$F:$F,0,Summary!G$2),'BPC Data'!$E:$E,Summary!$D101,'BPC Data'!$B:$B,Summary!$C101)</f>
        <v>401652</v>
      </c>
      <c r="H101" s="65">
        <f ca="1">SUMIFS(OFFSET('BPC Data'!$F:$F,0,Summary!H$2),'BPC Data'!$E:$E,Summary!$D101,'BPC Data'!$B:$B,Summary!$C101)</f>
        <v>397674</v>
      </c>
      <c r="I101" s="61">
        <f ca="1">SUMIFS(OFFSET('BPC Data'!$F:$F,0,Summary!I$2),'BPC Data'!$E:$E,Summary!$D101,'BPC Data'!$B:$B,Summary!$C101)</f>
        <v>374835</v>
      </c>
      <c r="J101" s="65">
        <f ca="1">SUMIFS(OFFSET('BPC Data'!$F:$F,0,Summary!J$2),'BPC Data'!$E:$E,Summary!$D101,'BPC Data'!$B:$B,Summary!$C101)</f>
        <v>363096</v>
      </c>
      <c r="K101" s="61">
        <f ca="1">SUMIFS(OFFSET('BPC Data'!$F:$F,0,Summary!K$2),'BPC Data'!$E:$E,Summary!$D101,'BPC Data'!$B:$B,Summary!$C101)</f>
        <v>316725</v>
      </c>
      <c r="L101" s="65">
        <f ca="1">SUMIFS(OFFSET('BPC Data'!$F:$F,0,Summary!L$2),'BPC Data'!$E:$E,Summary!$D101,'BPC Data'!$B:$B,Summary!$C101)</f>
        <v>382293</v>
      </c>
      <c r="M101" s="61">
        <f ca="1">SUMIFS(OFFSET('BPC Data'!$F:$F,0,Summary!M$2),'BPC Data'!$E:$E,Summary!$D101,'BPC Data'!$B:$B,Summary!$C101)</f>
        <v>359703</v>
      </c>
      <c r="N101" s="65">
        <f ca="1">SUMIFS(OFFSET('BPC Data'!$F:$F,0,Summary!N$2),'BPC Data'!$E:$E,Summary!$D101,'BPC Data'!$B:$B,Summary!$C101)</f>
        <v>400851</v>
      </c>
      <c r="O101" s="61">
        <f ca="1">SUMIFS(OFFSET('BPC Data'!$F:$F,0,Summary!O$2),'BPC Data'!$E:$E,Summary!$D101,'BPC Data'!$B:$B,Summary!$C101)</f>
        <v>430116</v>
      </c>
      <c r="P101" s="65">
        <f ca="1">SUMIFS(OFFSET('BPC Data'!$F:$F,0,Summary!P$2),'BPC Data'!$E:$E,Summary!$D101,'BPC Data'!$B:$B,Summary!$C101)</f>
        <v>414959</v>
      </c>
      <c r="Q101" s="61">
        <f ca="1">SUMIFS(OFFSET('BPC Data'!$F:$F,0,Summary!Q$2),'BPC Data'!$E:$E,Summary!$D101,'BPC Data'!$B:$B,Summary!$C101)</f>
        <v>412752</v>
      </c>
      <c r="R101" s="65">
        <f ca="1">SUMIFS(OFFSET('BPC Data'!$F:$F,0,Summary!R$2),'BPC Data'!$E:$E,Summary!$D101,'BPC Data'!$B:$B,Summary!$C101)</f>
        <v>437112</v>
      </c>
      <c r="S101" s="23">
        <f t="shared" ca="1" si="189"/>
        <v>4691768</v>
      </c>
      <c r="T101" s="74">
        <f ca="1">SUM(W101:AH101)</f>
        <v>4691803.6999999993</v>
      </c>
      <c r="U101" s="54">
        <f ca="1">T101-S101</f>
        <v>35.699999999254942</v>
      </c>
      <c r="W101" s="4">
        <f ca="1">SUMIFS(INDIRECT("'"&amp;$W$96&amp;"'"&amp;"!$B$64:$B$5000"),INDIRECT("'"&amp;$W$96&amp;"'"&amp;"!$A$64:$A$5000"),$V$4)-SUMIFS(INDIRECT("'"&amp;$W$96&amp;"'"&amp;"!$B$64:$B$5000"),INDIRECT("'"&amp;$W$96&amp;"'"&amp;"!$A$64:$A$5000"),$V$5)-SUMIFS(INDIRECT("'"&amp;$W$96&amp;"'"&amp;"!$B$64:$B$5000"),INDIRECT("'"&amp;$W$96&amp;"'"&amp;"!$A$64:$A$5000"),$V$6)-SUMIFS(INDIRECT("'"&amp;$W$96&amp;"'"&amp;"!$B$64:$B$5000"),INDIRECT("'"&amp;$W$96&amp;"'"&amp;"!$A$64:$A$5000"),$W$6)-SUMIFS(INDIRECT("'"&amp;$W$96&amp;"'"&amp;"!$B$64:$B$5000"),INDIRECT("'"&amp;$W$96&amp;"'"&amp;"!$A$64:$A$5000"),$W$7)-SUMIFS(INDIRECT("'"&amp;$W$96&amp;"'"&amp;"!$B$64:$B$5000"),INDIRECT("'"&amp;$W$96&amp;"'"&amp;"!$A$64:$A$5000"),$X$3)-W106-W104</f>
        <v>401652.03000000044</v>
      </c>
      <c r="X101" s="4">
        <f ca="1">SUMIFS(INDIRECT("'"&amp;$W$96&amp;"'"&amp;"!$c$64:$c$5000"),INDIRECT("'"&amp;$W$96&amp;"'"&amp;"!$A$64:$A$5000"),$V$4)-SUMIFS(INDIRECT("'"&amp;$W$96&amp;"'"&amp;"!$c$64:$c$5000"),INDIRECT("'"&amp;$W$96&amp;"'"&amp;"!$A$64:$A$5000"),$V$5)-SUMIFS(INDIRECT("'"&amp;$W$96&amp;"'"&amp;"!$c$64:$c$5000"),INDIRECT("'"&amp;$W$96&amp;"'"&amp;"!$A$64:$A$5000"),$V$6)-SUMIFS(INDIRECT("'"&amp;$W$96&amp;"'"&amp;"!$c$64:$c$5000"),INDIRECT("'"&amp;$W$96&amp;"'"&amp;"!$A$64:$A$5000"),$W$6)-SUMIFS(INDIRECT("'"&amp;$W$96&amp;"'"&amp;"!$c$64:$c$5000"),INDIRECT("'"&amp;$W$96&amp;"'"&amp;"!$A$64:$A$5000"),$W$7)-SUMIFS(INDIRECT("'"&amp;$W$96&amp;"'"&amp;"!$c$64:$c$5000"),INDIRECT("'"&amp;$W$96&amp;"'"&amp;"!$A$64:$A$5000"),$X$3)-X106-X104</f>
        <v>397674.34999999963</v>
      </c>
      <c r="Y101" s="4">
        <f ca="1">SUMIFS(INDIRECT("'"&amp;$W$96&amp;"'"&amp;"!$d$64:$d$5000"),INDIRECT("'"&amp;$W$96&amp;"'"&amp;"!$A$64:$A$5000"),$V$4)-SUMIFS(INDIRECT("'"&amp;$W$96&amp;"'"&amp;"!$d$64:$d$5000"),INDIRECT("'"&amp;$W$96&amp;"'"&amp;"!$A$64:$A$5000"),$V$5)-SUMIFS(INDIRECT("'"&amp;$W$96&amp;"'"&amp;"!$d$64:$d$5000"),INDIRECT("'"&amp;$W$96&amp;"'"&amp;"!$A$64:$A$5000"),$V$6)-SUMIFS(INDIRECT("'"&amp;$W$96&amp;"'"&amp;"!$d$64:$d$5000"),INDIRECT("'"&amp;$W$96&amp;"'"&amp;"!$A$64:$A$5000"),$W$6)-SUMIFS(INDIRECT("'"&amp;$W$96&amp;"'"&amp;"!$d$64:$d$5000"),INDIRECT("'"&amp;$W$96&amp;"'"&amp;"!$A$64:$A$5000"),$W$7)-SUMIFS(INDIRECT("'"&amp;$W$96&amp;"'"&amp;"!$d$64:$d$5000"),INDIRECT("'"&amp;$W$96&amp;"'"&amp;"!$A$64:$A$5000"),$X$3)-Y106-Y104</f>
        <v>374835.8899999999</v>
      </c>
      <c r="Z101" s="4">
        <f ca="1">SUMIFS(INDIRECT("'"&amp;$W$96&amp;"'"&amp;"!$e$64:$e$5000"),INDIRECT("'"&amp;$W$96&amp;"'"&amp;"!$A$64:$A$5000"),$V$4)-SUMIFS(INDIRECT("'"&amp;$W$96&amp;"'"&amp;"!$e$64:$e$5000"),INDIRECT("'"&amp;$W$96&amp;"'"&amp;"!$A$64:$A$5000"),$V$5)-SUMIFS(INDIRECT("'"&amp;$W$96&amp;"'"&amp;"!$e$64:$e$5000"),INDIRECT("'"&amp;$W$96&amp;"'"&amp;"!$A$64:$A$5000"),$V$6)-SUMIFS(INDIRECT("'"&amp;$W$96&amp;"'"&amp;"!$e$64:$e$5000"),INDIRECT("'"&amp;$W$96&amp;"'"&amp;"!$A$64:$A$5000"),$W$6)-SUMIFS(INDIRECT("'"&amp;$W$96&amp;"'"&amp;"!$e$64:$e$5000"),INDIRECT("'"&amp;$W$96&amp;"'"&amp;"!$A$64:$A$5000"),$W$7)-SUMIFS(INDIRECT("'"&amp;$W$96&amp;"'"&amp;"!$e$64:$e$5000"),INDIRECT("'"&amp;$W$96&amp;"'"&amp;"!$A$64:$A$5000"),$X$3)-Z106-Z104</f>
        <v>363094.69000000018</v>
      </c>
      <c r="AA101" s="4">
        <f ca="1">SUMIFS(INDIRECT("'"&amp;$W$96&amp;"'"&amp;"!$f$64:$f$5000"),INDIRECT("'"&amp;$W$96&amp;"'"&amp;"!$A$64:$A$5000"),$V$4)-SUMIFS(INDIRECT("'"&amp;$W$96&amp;"'"&amp;"!$f$64:$f$5000"),INDIRECT("'"&amp;$W$96&amp;"'"&amp;"!$A$64:$A$5000"),$V$5)-SUMIFS(INDIRECT("'"&amp;$W$96&amp;"'"&amp;"!$f$64:$f$5000"),INDIRECT("'"&amp;$W$96&amp;"'"&amp;"!$A$64:$A$5000"),$V$6)-SUMIFS(INDIRECT("'"&amp;$W$96&amp;"'"&amp;"!$f$64:$f$5000"),INDIRECT("'"&amp;$W$96&amp;"'"&amp;"!$A$64:$A$5000"),$W$6)-SUMIFS(INDIRECT("'"&amp;$W$96&amp;"'"&amp;"!$f$64:$f$5000"),INDIRECT("'"&amp;$W$96&amp;"'"&amp;"!$A$64:$A$5000"),$W$7)-SUMIFS(INDIRECT("'"&amp;$W$96&amp;"'"&amp;"!$f$64:$f$5000"),INDIRECT("'"&amp;$W$96&amp;"'"&amp;"!$A$64:$A$5000"),$X$3)-AA106-AA104</f>
        <v>316757.66999999975</v>
      </c>
      <c r="AB101" s="4">
        <f ca="1">SUMIFS(INDIRECT("'"&amp;$W$96&amp;"'"&amp;"!$g$64:$g$5000"),INDIRECT("'"&amp;$W$96&amp;"'"&amp;"!$A$64:$A$5000"),$V$4)-SUMIFS(INDIRECT("'"&amp;$W$96&amp;"'"&amp;"!$g$64:$g$5000"),INDIRECT("'"&amp;$W$96&amp;"'"&amp;"!$A$64:$A$5000"),$V$5)-SUMIFS(INDIRECT("'"&amp;$W$96&amp;"'"&amp;"!$g$64:$g$5000"),INDIRECT("'"&amp;$W$96&amp;"'"&amp;"!$A$64:$A$5000"),$V$6)-SUMIFS(INDIRECT("'"&amp;$W$96&amp;"'"&amp;"!$g$64:$g$5000"),INDIRECT("'"&amp;$W$96&amp;"'"&amp;"!$A$64:$A$5000"),$W$6)-SUMIFS(INDIRECT("'"&amp;$W$96&amp;"'"&amp;"!$g$64:$g$5000"),INDIRECT("'"&amp;$W$96&amp;"'"&amp;"!$A$64:$A$5000"),$W$7)-SUMIFS(INDIRECT("'"&amp;$W$96&amp;"'"&amp;"!$g$64:$g$5000"),INDIRECT("'"&amp;$W$96&amp;"'"&amp;"!$A$64:$A$5000"),$X$3)-AB106-AB104</f>
        <v>382292.99999999977</v>
      </c>
      <c r="AC101" s="4">
        <f ca="1">SUMIFS(INDIRECT("'"&amp;$W$96&amp;"'"&amp;"!$h$64:$h$5000"),INDIRECT("'"&amp;$W$96&amp;"'"&amp;"!$A$64:$A$5000"),$V$4)-SUMIFS(INDIRECT("'"&amp;$W$96&amp;"'"&amp;"!$h$64:$h$5000"),INDIRECT("'"&amp;$W$96&amp;"'"&amp;"!$A$64:$A$5000"),$V$5)-SUMIFS(INDIRECT("'"&amp;$W$96&amp;"'"&amp;"!$h$64:$h$5000"),INDIRECT("'"&amp;$W$96&amp;"'"&amp;"!$A$64:$A$5000"),$V$6)-SUMIFS(INDIRECT("'"&amp;$W$96&amp;"'"&amp;"!$h$64:$h$5000"),INDIRECT("'"&amp;$W$96&amp;"'"&amp;"!$A$64:$A$5000"),$W$6)-SUMIFS(INDIRECT("'"&amp;$W$96&amp;"'"&amp;"!$h$64:$h$5000"),INDIRECT("'"&amp;$W$96&amp;"'"&amp;"!$A$64:$A$5000"),$W$7)-SUMIFS(INDIRECT("'"&amp;$W$96&amp;"'"&amp;"!$h$64:$h$5000"),INDIRECT("'"&amp;$W$96&amp;"'"&amp;"!$A$64:$A$5000"),$X$3)-AC106-AC104</f>
        <v>359702.18999999989</v>
      </c>
      <c r="AD101" s="4">
        <f ca="1">SUMIFS(INDIRECT("'"&amp;$W$96&amp;"'"&amp;"!$i$64:$i$5000"),INDIRECT("'"&amp;$W$96&amp;"'"&amp;"!$A$64:$A$5000"),$V$4)-SUMIFS(INDIRECT("'"&amp;$W$96&amp;"'"&amp;"!$i$64:$i$5000"),INDIRECT("'"&amp;$W$96&amp;"'"&amp;"!$A$64:$A$5000"),$V$5)-SUMIFS(INDIRECT("'"&amp;$W$96&amp;"'"&amp;"!$i$64:$i$5000"),INDIRECT("'"&amp;$W$96&amp;"'"&amp;"!$A$64:$A$5000"),$V$6)-SUMIFS(INDIRECT("'"&amp;$W$96&amp;"'"&amp;"!$i$64:$i$5000"),INDIRECT("'"&amp;$W$96&amp;"'"&amp;"!$A$64:$A$5000"),$W$6)-SUMIFS(INDIRECT("'"&amp;$W$96&amp;"'"&amp;"!$i$64:$i$5000"),INDIRECT("'"&amp;$W$96&amp;"'"&amp;"!$A$64:$A$5000"),$W$7)-SUMIFS(INDIRECT("'"&amp;$W$96&amp;"'"&amp;"!$i$64:$i$5000"),INDIRECT("'"&amp;$W$96&amp;"'"&amp;"!$A$64:$A$5000"),$X$3)-AD106-AD104</f>
        <v>400851.32999999973</v>
      </c>
      <c r="AE101" s="4">
        <f ca="1">SUMIFS(INDIRECT("'"&amp;$W$96&amp;"'"&amp;"!$j$64:$j$5000"),INDIRECT("'"&amp;$W$96&amp;"'"&amp;"!$A$64:$A$5000"),$V$4)-SUMIFS(INDIRECT("'"&amp;$W$96&amp;"'"&amp;"!$j$64:$j$5000"),INDIRECT("'"&amp;$W$96&amp;"'"&amp;"!$A$64:$A$5000"),$V$5)-SUMIFS(INDIRECT("'"&amp;$W$96&amp;"'"&amp;"!$j$64:$j$5000"),INDIRECT("'"&amp;$W$96&amp;"'"&amp;"!$A$64:$A$5000"),$V$6)-SUMIFS(INDIRECT("'"&amp;$W$96&amp;"'"&amp;"!$j$64:$j$5000"),INDIRECT("'"&amp;$W$96&amp;"'"&amp;"!$A$64:$A$5000"),$W$6)-SUMIFS(INDIRECT("'"&amp;$W$96&amp;"'"&amp;"!$j$64:$j$5000"),INDIRECT("'"&amp;$W$96&amp;"'"&amp;"!$A$64:$A$5000"),$W$7)-SUMIFS(INDIRECT("'"&amp;$W$96&amp;"'"&amp;"!$j$64:$j$5000"),INDIRECT("'"&amp;$W$96&amp;"'"&amp;"!$A$64:$A$5000"),$X$3)-AE106-AE104</f>
        <v>430116.12000000011</v>
      </c>
      <c r="AF101" s="4">
        <f ca="1">SUMIFS(INDIRECT("'"&amp;$W$96&amp;"'"&amp;"!$k$64:$k$5000"),INDIRECT("'"&amp;$W$96&amp;"'"&amp;"!$A$64:$A$5000"),$V$4)-SUMIFS(INDIRECT("'"&amp;$W$96&amp;"'"&amp;"!$k$64:$k$5000"),INDIRECT("'"&amp;$W$96&amp;"'"&amp;"!$A$64:$A$5000"),$V$5)-SUMIFS(INDIRECT("'"&amp;$W$96&amp;"'"&amp;"!$k$64:$k$5000"),INDIRECT("'"&amp;$W$96&amp;"'"&amp;"!$A$64:$A$5000"),$V$6)-SUMIFS(INDIRECT("'"&amp;$W$96&amp;"'"&amp;"!$k$64:$k$5000"),INDIRECT("'"&amp;$W$96&amp;"'"&amp;"!$A$64:$A$5000"),$W$6)-SUMIFS(INDIRECT("'"&amp;$W$96&amp;"'"&amp;"!$k$64:$k$5000"),INDIRECT("'"&amp;$W$96&amp;"'"&amp;"!$A$64:$A$5000"),$W$7)-SUMIFS(INDIRECT("'"&amp;$W$96&amp;"'"&amp;"!$k$64:$k$5000"),INDIRECT("'"&amp;$W$96&amp;"'"&amp;"!$A$64:$A$5000"),$X$3)-AF106-AF104</f>
        <v>414959.06000000035</v>
      </c>
      <c r="AG101" s="4">
        <f ca="1">SUMIFS(INDIRECT("'"&amp;$W$96&amp;"'"&amp;"!$l$64:$l$5000"),INDIRECT("'"&amp;$W$96&amp;"'"&amp;"!$A$64:$A$5000"),$V$4)-SUMIFS(INDIRECT("'"&amp;$W$96&amp;"'"&amp;"!$l$64:$l$5000"),INDIRECT("'"&amp;$W$96&amp;"'"&amp;"!$A$64:$A$5000"),$V$5)-SUMIFS(INDIRECT("'"&amp;$W$96&amp;"'"&amp;"!$l$64:$l$5000"),INDIRECT("'"&amp;$W$96&amp;"'"&amp;"!$A$64:$A$5000"),$V$6)-SUMIFS(INDIRECT("'"&amp;$W$96&amp;"'"&amp;"!$l$64:$l$5000"),INDIRECT("'"&amp;$W$96&amp;"'"&amp;"!$A$64:$A$5000"),$W$6)-SUMIFS(INDIRECT("'"&amp;$W$96&amp;"'"&amp;"!$l$64:$l$5000"),INDIRECT("'"&amp;$W$96&amp;"'"&amp;"!$A$64:$A$5000"),$W$7)-SUMIFS(INDIRECT("'"&amp;$W$96&amp;"'"&amp;"!$l$64:$l$5000"),INDIRECT("'"&amp;$W$96&amp;"'"&amp;"!$A$64:$A$5000"),$X$3)-AG106-AG104</f>
        <v>412752.80000000022</v>
      </c>
      <c r="AH101" s="4">
        <f ca="1">SUMIFS(INDIRECT("'"&amp;$W$96&amp;"'"&amp;"!$m$64:$m$5000"),INDIRECT("'"&amp;$W$96&amp;"'"&amp;"!$A$64:$A$5000"),$V$4)-SUMIFS(INDIRECT("'"&amp;$W$96&amp;"'"&amp;"!$m$64:$m$5000"),INDIRECT("'"&amp;$W$96&amp;"'"&amp;"!$A$64:$A$5000"),$V$5)-SUMIFS(INDIRECT("'"&amp;$W$96&amp;"'"&amp;"!$m$64:$m$5000"),INDIRECT("'"&amp;$W$96&amp;"'"&amp;"!$A$64:$A$5000"),$V$6)-SUMIFS(INDIRECT("'"&amp;$W$96&amp;"'"&amp;"!$m$64:$m$5000"),INDIRECT("'"&amp;$W$96&amp;"'"&amp;"!$A$64:$A$5000"),$W$6)-SUMIFS(INDIRECT("'"&amp;$W$96&amp;"'"&amp;"!$m$64:$m$5000"),INDIRECT("'"&amp;$W$96&amp;"'"&amp;"!$A$64:$A$5000"),$W$7)-SUMIFS(INDIRECT("'"&amp;$W$96&amp;"'"&amp;"!$m$64:$m$5000"),INDIRECT("'"&amp;$W$96&amp;"'"&amp;"!$A$64:$A$5000"),$X$3)-AH106-AH104</f>
        <v>437114.56999999972</v>
      </c>
      <c r="AJ101" s="14">
        <f t="shared" ca="1" si="190"/>
        <v>3.0000000435393304E-2</v>
      </c>
      <c r="AK101" s="14">
        <f t="shared" ca="1" si="190"/>
        <v>0.34999999962747097</v>
      </c>
      <c r="AL101" s="14">
        <f t="shared" ca="1" si="190"/>
        <v>0.88999999989755452</v>
      </c>
      <c r="AM101" s="14">
        <f t="shared" ca="1" si="190"/>
        <v>-1.3099999998230487</v>
      </c>
      <c r="AN101" s="14">
        <f t="shared" ca="1" si="190"/>
        <v>32.669999999750871</v>
      </c>
      <c r="AO101" s="14">
        <f t="shared" ca="1" si="190"/>
        <v>0</v>
      </c>
      <c r="AP101" s="14">
        <f t="shared" ca="1" si="190"/>
        <v>-0.81000000011408702</v>
      </c>
      <c r="AQ101" s="14">
        <f t="shared" ca="1" si="190"/>
        <v>0.32999999972525984</v>
      </c>
      <c r="AR101" s="14">
        <f t="shared" ca="1" si="190"/>
        <v>0.12000000011175871</v>
      </c>
      <c r="AS101" s="14">
        <f t="shared" ca="1" si="190"/>
        <v>6.0000000346917659E-2</v>
      </c>
      <c r="AT101" s="14">
        <f t="shared" ca="1" si="190"/>
        <v>0.80000000022118911</v>
      </c>
      <c r="AU101" s="14">
        <f t="shared" ca="1" si="190"/>
        <v>2.5699999997159466</v>
      </c>
    </row>
    <row r="102" spans="1:47" s="12" customFormat="1">
      <c r="A102" s="12">
        <f t="shared" si="188"/>
        <v>9</v>
      </c>
      <c r="B102"/>
      <c r="C102" t="str">
        <f>$F97</f>
        <v>Smoky Hill Health and Rehbilitation</v>
      </c>
      <c r="D102" s="3" t="str">
        <f t="shared" si="175"/>
        <v>T_BAD_DEBT - Tenant Bad Debt Expense</v>
      </c>
      <c r="E102"/>
      <c r="F102" s="19" t="str">
        <f>_xll.EVDES(D102)</f>
        <v>Tenant Bad Debt Expense</v>
      </c>
      <c r="G102" s="61">
        <f ca="1">SUMIFS(OFFSET('BPC Data'!$F:$F,0,Summary!G$2),'BPC Data'!$E:$E,Summary!$D102,'BPC Data'!$B:$B,Summary!$C102)</f>
        <v>8262</v>
      </c>
      <c r="H102" s="65">
        <f ca="1">SUMIFS(OFFSET('BPC Data'!$F:$F,0,Summary!H$2),'BPC Data'!$E:$E,Summary!$D102,'BPC Data'!$B:$B,Summary!$C102)</f>
        <v>12153</v>
      </c>
      <c r="I102" s="61">
        <f ca="1">SUMIFS(OFFSET('BPC Data'!$F:$F,0,Summary!I$2),'BPC Data'!$E:$E,Summary!$D102,'BPC Data'!$B:$B,Summary!$C102)</f>
        <v>17196</v>
      </c>
      <c r="J102" s="65">
        <f ca="1">SUMIFS(OFFSET('BPC Data'!$F:$F,0,Summary!J$2),'BPC Data'!$E:$E,Summary!$D102,'BPC Data'!$B:$B,Summary!$C102)</f>
        <v>8658</v>
      </c>
      <c r="K102" s="61">
        <f ca="1">SUMIFS(OFFSET('BPC Data'!$F:$F,0,Summary!K$2),'BPC Data'!$E:$E,Summary!$D102,'BPC Data'!$B:$B,Summary!$C102)</f>
        <v>17048</v>
      </c>
      <c r="L102" s="65">
        <f ca="1">SUMIFS(OFFSET('BPC Data'!$F:$F,0,Summary!L$2),'BPC Data'!$E:$E,Summary!$D102,'BPC Data'!$B:$B,Summary!$C102)</f>
        <v>17101</v>
      </c>
      <c r="M102" s="61">
        <f ca="1">SUMIFS(OFFSET('BPC Data'!$F:$F,0,Summary!M$2),'BPC Data'!$E:$E,Summary!$D102,'BPC Data'!$B:$B,Summary!$C102)</f>
        <v>7987</v>
      </c>
      <c r="N102" s="65">
        <f ca="1">SUMIFS(OFFSET('BPC Data'!$F:$F,0,Summary!N$2),'BPC Data'!$E:$E,Summary!$D102,'BPC Data'!$B:$B,Summary!$C102)</f>
        <v>20319</v>
      </c>
      <c r="O102" s="61">
        <f ca="1">SUMIFS(OFFSET('BPC Data'!$F:$F,0,Summary!O$2),'BPC Data'!$E:$E,Summary!$D102,'BPC Data'!$B:$B,Summary!$C102)</f>
        <v>9193</v>
      </c>
      <c r="P102" s="65">
        <f ca="1">SUMIFS(OFFSET('BPC Data'!$F:$F,0,Summary!P$2),'BPC Data'!$E:$E,Summary!$D102,'BPC Data'!$B:$B,Summary!$C102)</f>
        <v>14051</v>
      </c>
      <c r="Q102" s="61">
        <f ca="1">SUMIFS(OFFSET('BPC Data'!$F:$F,0,Summary!Q$2),'BPC Data'!$E:$E,Summary!$D102,'BPC Data'!$B:$B,Summary!$C102)</f>
        <v>11127</v>
      </c>
      <c r="R102" s="65">
        <f ca="1">SUMIFS(OFFSET('BPC Data'!$F:$F,0,Summary!R$2),'BPC Data'!$E:$E,Summary!$D102,'BPC Data'!$B:$B,Summary!$C102)</f>
        <v>21422</v>
      </c>
      <c r="S102" s="23">
        <f t="shared" ca="1" si="189"/>
        <v>164517</v>
      </c>
      <c r="T102" s="75"/>
      <c r="U102" s="4"/>
      <c r="W102"/>
      <c r="X102"/>
      <c r="Y102"/>
      <c r="Z102"/>
      <c r="AA102"/>
      <c r="AB102"/>
      <c r="AC102"/>
      <c r="AD102"/>
      <c r="AE102"/>
      <c r="AF102"/>
      <c r="AG102"/>
      <c r="AH102"/>
      <c r="AJ102" s="14"/>
      <c r="AK102" s="49"/>
      <c r="AL102" s="49"/>
      <c r="AM102" s="49"/>
      <c r="AN102" s="49"/>
      <c r="AO102" s="49"/>
      <c r="AP102" s="49"/>
      <c r="AQ102" s="49"/>
      <c r="AR102" s="49"/>
      <c r="AS102" s="49"/>
      <c r="AT102" s="49"/>
      <c r="AU102" s="49"/>
    </row>
    <row r="103" spans="1:47" s="12" customFormat="1">
      <c r="A103" s="12">
        <f t="shared" si="188"/>
        <v>9</v>
      </c>
      <c r="B103"/>
      <c r="C103" t="str">
        <f>$F97</f>
        <v>Smoky Hill Health and Rehbilitation</v>
      </c>
      <c r="D103" s="2" t="str">
        <f t="shared" si="175"/>
        <v>T_EBITDARM - EBITDARM</v>
      </c>
      <c r="E103"/>
      <c r="F103" s="19" t="str">
        <f>_xll.EVDES(D103)</f>
        <v>EBITDARM</v>
      </c>
      <c r="G103" s="61">
        <f ca="1">SUMIFS(OFFSET('BPC Data'!$F:$F,0,Summary!G$2),'BPC Data'!$E:$E,Summary!$D103,'BPC Data'!$B:$B,Summary!$C103)</f>
        <v>21789</v>
      </c>
      <c r="H103" s="65">
        <f ca="1">SUMIFS(OFFSET('BPC Data'!$F:$F,0,Summary!H$2),'BPC Data'!$E:$E,Summary!$D103,'BPC Data'!$B:$B,Summary!$C103)</f>
        <v>102280</v>
      </c>
      <c r="I103" s="61">
        <f ca="1">SUMIFS(OFFSET('BPC Data'!$F:$F,0,Summary!I$2),'BPC Data'!$E:$E,Summary!$D103,'BPC Data'!$B:$B,Summary!$C103)</f>
        <v>95160</v>
      </c>
      <c r="J103" s="65">
        <f ca="1">SUMIFS(OFFSET('BPC Data'!$F:$F,0,Summary!J$2),'BPC Data'!$E:$E,Summary!$D103,'BPC Data'!$B:$B,Summary!$C103)</f>
        <v>86300</v>
      </c>
      <c r="K103" s="61">
        <f ca="1">SUMIFS(OFFSET('BPC Data'!$F:$F,0,Summary!K$2),'BPC Data'!$E:$E,Summary!$D103,'BPC Data'!$B:$B,Summary!$C103)</f>
        <v>127792</v>
      </c>
      <c r="L103" s="65">
        <f ca="1">SUMIFS(OFFSET('BPC Data'!$F:$F,0,Summary!L$2),'BPC Data'!$E:$E,Summary!$D103,'BPC Data'!$B:$B,Summary!$C103)</f>
        <v>92617</v>
      </c>
      <c r="M103" s="61">
        <f ca="1">SUMIFS(OFFSET('BPC Data'!$F:$F,0,Summary!M$2),'BPC Data'!$E:$E,Summary!$D103,'BPC Data'!$B:$B,Summary!$C103)</f>
        <v>80126</v>
      </c>
      <c r="N103" s="65">
        <f ca="1">SUMIFS(OFFSET('BPC Data'!$F:$F,0,Summary!N$2),'BPC Data'!$E:$E,Summary!$D103,'BPC Data'!$B:$B,Summary!$C103)</f>
        <v>59562</v>
      </c>
      <c r="O103" s="61">
        <f ca="1">SUMIFS(OFFSET('BPC Data'!$F:$F,0,Summary!O$2),'BPC Data'!$E:$E,Summary!$D103,'BPC Data'!$B:$B,Summary!$C103)</f>
        <v>86079</v>
      </c>
      <c r="P103" s="65">
        <f ca="1">SUMIFS(OFFSET('BPC Data'!$F:$F,0,Summary!P$2),'BPC Data'!$E:$E,Summary!$D103,'BPC Data'!$B:$B,Summary!$C103)</f>
        <v>124934</v>
      </c>
      <c r="Q103" s="61">
        <f ca="1">SUMIFS(OFFSET('BPC Data'!$F:$F,0,Summary!Q$2),'BPC Data'!$E:$E,Summary!$D103,'BPC Data'!$B:$B,Summary!$C103)</f>
        <v>74482</v>
      </c>
      <c r="R103" s="65">
        <f ca="1">SUMIFS(OFFSET('BPC Data'!$F:$F,0,Summary!R$2),'BPC Data'!$E:$E,Summary!$D103,'BPC Data'!$B:$B,Summary!$C103)</f>
        <v>267620</v>
      </c>
      <c r="S103" s="23">
        <f t="shared" ca="1" si="189"/>
        <v>1218741</v>
      </c>
      <c r="T103" s="74">
        <f ca="1">SUM(W103:AH103)</f>
        <v>1218708.3800000018</v>
      </c>
      <c r="U103" s="54">
        <f ca="1">T103-S103</f>
        <v>-32.619999998249114</v>
      </c>
      <c r="W103" s="50">
        <f t="shared" ref="W103:AB103" ca="1" si="191">W100-W101</f>
        <v>21789.319999998959</v>
      </c>
      <c r="X103" s="50">
        <f t="shared" ca="1" si="191"/>
        <v>102280.04000000039</v>
      </c>
      <c r="Y103" s="50">
        <f t="shared" ca="1" si="191"/>
        <v>95159.299999999464</v>
      </c>
      <c r="Z103" s="50">
        <f t="shared" ca="1" si="191"/>
        <v>86301.329999999667</v>
      </c>
      <c r="AA103" s="50">
        <f t="shared" ca="1" si="191"/>
        <v>127759.87000000064</v>
      </c>
      <c r="AB103" s="50">
        <f t="shared" ca="1" si="191"/>
        <v>92616.940000000584</v>
      </c>
      <c r="AC103" s="50">
        <f t="shared" ref="AC103:AH103" ca="1" si="192">AC100-AC101</f>
        <v>80127.240000000224</v>
      </c>
      <c r="AD103" s="50">
        <f t="shared" ca="1" si="192"/>
        <v>59561.520000000484</v>
      </c>
      <c r="AE103" s="50">
        <f t="shared" ca="1" si="192"/>
        <v>86079.679999999877</v>
      </c>
      <c r="AF103" s="50">
        <f t="shared" ca="1" si="192"/>
        <v>124934.58000000002</v>
      </c>
      <c r="AG103" s="50">
        <f t="shared" ca="1" si="192"/>
        <v>74480.940000000119</v>
      </c>
      <c r="AH103" s="50">
        <f t="shared" ca="1" si="192"/>
        <v>267617.62000000116</v>
      </c>
      <c r="AJ103" s="14">
        <f t="shared" ref="AJ103:AU106" ca="1" si="193">W103-G103</f>
        <v>0.31999999895924702</v>
      </c>
      <c r="AK103" s="14">
        <f t="shared" ca="1" si="193"/>
        <v>4.0000000386498868E-2</v>
      </c>
      <c r="AL103" s="14">
        <f t="shared" ca="1" si="193"/>
        <v>-0.70000000053551048</v>
      </c>
      <c r="AM103" s="14">
        <f t="shared" ca="1" si="193"/>
        <v>1.3299999996670522</v>
      </c>
      <c r="AN103" s="14">
        <f t="shared" ca="1" si="193"/>
        <v>-32.129999999364372</v>
      </c>
      <c r="AO103" s="14">
        <f t="shared" ca="1" si="193"/>
        <v>-5.9999999415595084E-2</v>
      </c>
      <c r="AP103" s="14">
        <f t="shared" ca="1" si="193"/>
        <v>1.2400000002235174</v>
      </c>
      <c r="AQ103" s="14">
        <f t="shared" ca="1" si="193"/>
        <v>-0.47999999951571226</v>
      </c>
      <c r="AR103" s="14">
        <f t="shared" ca="1" si="193"/>
        <v>0.67999999987659976</v>
      </c>
      <c r="AS103" s="14">
        <f t="shared" ca="1" si="193"/>
        <v>0.58000000001629815</v>
      </c>
      <c r="AT103" s="14">
        <f t="shared" ca="1" si="193"/>
        <v>-1.0599999998812564</v>
      </c>
      <c r="AU103" s="14">
        <f t="shared" ca="1" si="193"/>
        <v>-2.3799999988405034</v>
      </c>
    </row>
    <row r="104" spans="1:47" s="12" customFormat="1">
      <c r="A104" s="12">
        <f t="shared" si="188"/>
        <v>9</v>
      </c>
      <c r="B104"/>
      <c r="C104" t="str">
        <f>$F97</f>
        <v>Smoky Hill Health and Rehbilitation</v>
      </c>
      <c r="D104" s="2" t="str">
        <f t="shared" si="175"/>
        <v>T_MGMT_FEE - Tenant Management Fee - Actual</v>
      </c>
      <c r="E104"/>
      <c r="F104" s="19" t="str">
        <f>_xll.EVDES(D104)</f>
        <v>Tenant Management Fee - Actual</v>
      </c>
      <c r="G104" s="61">
        <f ca="1">SUMIFS(OFFSET('BPC Data'!$F:$F,0,Summary!G$2),'BPC Data'!$E:$E,Summary!$D104,'BPC Data'!$B:$B,Summary!$C104)</f>
        <v>20654</v>
      </c>
      <c r="H104" s="65">
        <f ca="1">SUMIFS(OFFSET('BPC Data'!$F:$F,0,Summary!H$2),'BPC Data'!$E:$E,Summary!$D104,'BPC Data'!$B:$B,Summary!$C104)</f>
        <v>20157</v>
      </c>
      <c r="I104" s="61">
        <f ca="1">SUMIFS(OFFSET('BPC Data'!$F:$F,0,Summary!I$2),'BPC Data'!$E:$E,Summary!$D104,'BPC Data'!$B:$B,Summary!$C104)</f>
        <v>22670</v>
      </c>
      <c r="J104" s="65">
        <f ca="1">SUMIFS(OFFSET('BPC Data'!$F:$F,0,Summary!J$2),'BPC Data'!$E:$E,Summary!$D104,'BPC Data'!$B:$B,Summary!$C104)</f>
        <v>21644</v>
      </c>
      <c r="K104" s="61">
        <f ca="1">SUMIFS(OFFSET('BPC Data'!$F:$F,0,Summary!K$2),'BPC Data'!$E:$E,Summary!$D104,'BPC Data'!$B:$B,Summary!$C104)</f>
        <v>23305</v>
      </c>
      <c r="L104" s="65">
        <f ca="1">SUMIFS(OFFSET('BPC Data'!$F:$F,0,Summary!L$2),'BPC Data'!$E:$E,Summary!$D104,'BPC Data'!$B:$B,Summary!$C104)</f>
        <v>23238</v>
      </c>
      <c r="M104" s="61">
        <f ca="1">SUMIFS(OFFSET('BPC Data'!$F:$F,0,Summary!M$2),'BPC Data'!$E:$E,Summary!$D104,'BPC Data'!$B:$B,Summary!$C104)</f>
        <v>19968</v>
      </c>
      <c r="N104" s="65">
        <f ca="1">SUMIFS(OFFSET('BPC Data'!$F:$F,0,Summary!N$2),'BPC Data'!$E:$E,Summary!$D104,'BPC Data'!$B:$B,Summary!$C104)</f>
        <v>18777</v>
      </c>
      <c r="O104" s="61">
        <f ca="1">SUMIFS(OFFSET('BPC Data'!$F:$F,0,Summary!O$2),'BPC Data'!$E:$E,Summary!$D104,'BPC Data'!$B:$B,Summary!$C104)</f>
        <v>22981</v>
      </c>
      <c r="P104" s="65">
        <f ca="1">SUMIFS(OFFSET('BPC Data'!$F:$F,0,Summary!P$2),'BPC Data'!$E:$E,Summary!$D104,'BPC Data'!$B:$B,Summary!$C104)</f>
        <v>24406</v>
      </c>
      <c r="Q104" s="61">
        <f ca="1">SUMIFS(OFFSET('BPC Data'!$F:$F,0,Summary!Q$2),'BPC Data'!$E:$E,Summary!$D104,'BPC Data'!$B:$B,Summary!$C104)</f>
        <v>22543</v>
      </c>
      <c r="R104" s="65">
        <f ca="1">SUMIFS(OFFSET('BPC Data'!$F:$F,0,Summary!R$2),'BPC Data'!$E:$E,Summary!$D104,'BPC Data'!$B:$B,Summary!$C104)</f>
        <v>32793</v>
      </c>
      <c r="S104" s="23">
        <f t="shared" ca="1" si="189"/>
        <v>273136</v>
      </c>
      <c r="T104" s="74">
        <f ca="1">SUM(W104:AH104)</f>
        <v>273136</v>
      </c>
      <c r="U104" s="54">
        <f ca="1">T104-S104</f>
        <v>0</v>
      </c>
      <c r="W104" s="4">
        <f ca="1">SUMIFS(INDIRECT("'"&amp;$W$96&amp;"'"&amp;"!$B$64:$B$5000"),INDIRECT("'"&amp;$W$96&amp;"'"&amp;"!$A$64:$A$5000"),$V$7)</f>
        <v>20654</v>
      </c>
      <c r="X104" s="4">
        <f ca="1">SUMIFS(INDIRECT("'"&amp;$W$96&amp;"'"&amp;"!$c$64:$c$5000"),INDIRECT("'"&amp;$W$96&amp;"'"&amp;"!$A$64:$A$5000"),$V$7)</f>
        <v>20157</v>
      </c>
      <c r="Y104" s="4">
        <f ca="1">SUMIFS(INDIRECT("'"&amp;$W$96&amp;"'"&amp;"!$d$64:$d$5000"),INDIRECT("'"&amp;$W$96&amp;"'"&amp;"!$A$64:$A$5000"),$V$7)</f>
        <v>22670</v>
      </c>
      <c r="Z104" s="4">
        <f ca="1">SUMIFS(INDIRECT("'"&amp;$W$96&amp;"'"&amp;"!$e$64:$e$5000"),INDIRECT("'"&amp;$W$96&amp;"'"&amp;"!$A$64:$A$5000"),$V$7)</f>
        <v>21644</v>
      </c>
      <c r="AA104" s="4">
        <f ca="1">SUMIFS(INDIRECT("'"&amp;$W$96&amp;"'"&amp;"!$f$64:$f$5000"),INDIRECT("'"&amp;$W$96&amp;"'"&amp;"!$A$64:$A$5000"),$V$7)</f>
        <v>23305</v>
      </c>
      <c r="AB104" s="4">
        <f ca="1">SUMIFS(INDIRECT("'"&amp;$W$96&amp;"'"&amp;"!$g$64:$g$5000"),INDIRECT("'"&amp;$W$96&amp;"'"&amp;"!$A$64:$A$5000"),$V$7)</f>
        <v>23238</v>
      </c>
      <c r="AC104" s="4">
        <f ca="1">SUMIFS(INDIRECT("'"&amp;$W$96&amp;"'"&amp;"!$h$64:$h$5000"),INDIRECT("'"&amp;$W$96&amp;"'"&amp;"!$A$64:$A$5000"),$V$7)</f>
        <v>19968</v>
      </c>
      <c r="AD104" s="4">
        <f ca="1">SUMIFS(INDIRECT("'"&amp;$W$96&amp;"'"&amp;"!$i$64:$i$5000"),INDIRECT("'"&amp;$W$96&amp;"'"&amp;"!$A$64:$A$5000"),$V$7)</f>
        <v>18777</v>
      </c>
      <c r="AE104" s="4">
        <f ca="1">SUMIFS(INDIRECT("'"&amp;$W$96&amp;"'"&amp;"!$j$64:$j$5000"),INDIRECT("'"&amp;$W$96&amp;"'"&amp;"!$A$64:$A$5000"),$V$7)</f>
        <v>22981</v>
      </c>
      <c r="AF104" s="4">
        <f ca="1">SUMIFS(INDIRECT("'"&amp;$W$96&amp;"'"&amp;"!$k$64:$k$5000"),INDIRECT("'"&amp;$W$96&amp;"'"&amp;"!$A$64:$A$5000"),$V$7)</f>
        <v>24406</v>
      </c>
      <c r="AG104" s="4">
        <f ca="1">SUMIFS(INDIRECT("'"&amp;$W$96&amp;"'"&amp;"!$l$64:$l$5000"),INDIRECT("'"&amp;$W$96&amp;"'"&amp;"!$A$64:$A$5000"),$V$7)</f>
        <v>22543</v>
      </c>
      <c r="AH104" s="4">
        <f ca="1">SUMIFS(INDIRECT("'"&amp;$W$96&amp;"'"&amp;"!$m$64:$m$5000"),INDIRECT("'"&amp;$W$96&amp;"'"&amp;"!$A$64:$A$5000"),$V$7)</f>
        <v>32793</v>
      </c>
      <c r="AJ104" s="14">
        <f t="shared" ca="1" si="193"/>
        <v>0</v>
      </c>
      <c r="AK104" s="14">
        <f t="shared" ca="1" si="193"/>
        <v>0</v>
      </c>
      <c r="AL104" s="14">
        <f t="shared" ca="1" si="193"/>
        <v>0</v>
      </c>
      <c r="AM104" s="14">
        <f t="shared" ca="1" si="193"/>
        <v>0</v>
      </c>
      <c r="AN104" s="14">
        <f t="shared" ca="1" si="193"/>
        <v>0</v>
      </c>
      <c r="AO104" s="14">
        <f t="shared" ca="1" si="193"/>
        <v>0</v>
      </c>
      <c r="AP104" s="14">
        <f t="shared" ca="1" si="193"/>
        <v>0</v>
      </c>
      <c r="AQ104" s="14">
        <f t="shared" ca="1" si="193"/>
        <v>0</v>
      </c>
      <c r="AR104" s="14">
        <f t="shared" ca="1" si="193"/>
        <v>0</v>
      </c>
      <c r="AS104" s="14">
        <f t="shared" ca="1" si="193"/>
        <v>0</v>
      </c>
      <c r="AT104" s="14">
        <f t="shared" ca="1" si="193"/>
        <v>0</v>
      </c>
      <c r="AU104" s="14">
        <f t="shared" ca="1" si="193"/>
        <v>0</v>
      </c>
    </row>
    <row r="105" spans="1:47" s="12" customFormat="1">
      <c r="A105" s="12">
        <f t="shared" si="188"/>
        <v>9</v>
      </c>
      <c r="B105"/>
      <c r="C105" t="str">
        <f>$F97</f>
        <v>Smoky Hill Health and Rehbilitation</v>
      </c>
      <c r="D105" s="1" t="str">
        <f t="shared" si="175"/>
        <v>T_EBITDAR - EBITDAR</v>
      </c>
      <c r="E105"/>
      <c r="F105" s="19" t="str">
        <f>_xll.EVDES(D105)</f>
        <v>EBITDAR</v>
      </c>
      <c r="G105" s="61">
        <f ca="1">SUMIFS(OFFSET('BPC Data'!$F:$F,0,Summary!G$2),'BPC Data'!$E:$E,Summary!$D105,'BPC Data'!$B:$B,Summary!$C105)</f>
        <v>1135</v>
      </c>
      <c r="H105" s="65">
        <f ca="1">SUMIFS(OFFSET('BPC Data'!$F:$F,0,Summary!H$2),'BPC Data'!$E:$E,Summary!$D105,'BPC Data'!$B:$B,Summary!$C105)</f>
        <v>82123</v>
      </c>
      <c r="I105" s="61">
        <f ca="1">SUMIFS(OFFSET('BPC Data'!$F:$F,0,Summary!I$2),'BPC Data'!$E:$E,Summary!$D105,'BPC Data'!$B:$B,Summary!$C105)</f>
        <v>72490</v>
      </c>
      <c r="J105" s="65">
        <f ca="1">SUMIFS(OFFSET('BPC Data'!$F:$F,0,Summary!J$2),'BPC Data'!$E:$E,Summary!$D105,'BPC Data'!$B:$B,Summary!$C105)</f>
        <v>64656</v>
      </c>
      <c r="K105" s="61">
        <f ca="1">SUMIFS(OFFSET('BPC Data'!$F:$F,0,Summary!K$2),'BPC Data'!$E:$E,Summary!$D105,'BPC Data'!$B:$B,Summary!$C105)</f>
        <v>104487</v>
      </c>
      <c r="L105" s="65">
        <f ca="1">SUMIFS(OFFSET('BPC Data'!$F:$F,0,Summary!L$2),'BPC Data'!$E:$E,Summary!$D105,'BPC Data'!$B:$B,Summary!$C105)</f>
        <v>69379</v>
      </c>
      <c r="M105" s="61">
        <f ca="1">SUMIFS(OFFSET('BPC Data'!$F:$F,0,Summary!M$2),'BPC Data'!$E:$E,Summary!$D105,'BPC Data'!$B:$B,Summary!$C105)</f>
        <v>60158</v>
      </c>
      <c r="N105" s="65">
        <f ca="1">SUMIFS(OFFSET('BPC Data'!$F:$F,0,Summary!N$2),'BPC Data'!$E:$E,Summary!$D105,'BPC Data'!$B:$B,Summary!$C105)</f>
        <v>40785</v>
      </c>
      <c r="O105" s="61">
        <f ca="1">SUMIFS(OFFSET('BPC Data'!$F:$F,0,Summary!O$2),'BPC Data'!$E:$E,Summary!$D105,'BPC Data'!$B:$B,Summary!$C105)</f>
        <v>63098</v>
      </c>
      <c r="P105" s="65">
        <f ca="1">SUMIFS(OFFSET('BPC Data'!$F:$F,0,Summary!P$2),'BPC Data'!$E:$E,Summary!$D105,'BPC Data'!$B:$B,Summary!$C105)</f>
        <v>100528</v>
      </c>
      <c r="Q105" s="61">
        <f ca="1">SUMIFS(OFFSET('BPC Data'!$F:$F,0,Summary!Q$2),'BPC Data'!$E:$E,Summary!$D105,'BPC Data'!$B:$B,Summary!$C105)</f>
        <v>51939</v>
      </c>
      <c r="R105" s="65">
        <f ca="1">SUMIFS(OFFSET('BPC Data'!$F:$F,0,Summary!R$2),'BPC Data'!$E:$E,Summary!$D105,'BPC Data'!$B:$B,Summary!$C105)</f>
        <v>234827</v>
      </c>
      <c r="S105" s="23">
        <f t="shared" ca="1" si="189"/>
        <v>945605</v>
      </c>
      <c r="T105" s="74">
        <f ca="1">SUM(W105:AH105)</f>
        <v>945572.38000000163</v>
      </c>
      <c r="U105" s="54">
        <f ca="1">T105-S105</f>
        <v>-32.619999998365529</v>
      </c>
      <c r="W105" s="50">
        <f t="shared" ref="W105:AB105" ca="1" si="194">W103-W104</f>
        <v>1135.3199999989592</v>
      </c>
      <c r="X105" s="50">
        <f t="shared" ca="1" si="194"/>
        <v>82123.040000000386</v>
      </c>
      <c r="Y105" s="50">
        <f t="shared" ca="1" si="194"/>
        <v>72489.299999999464</v>
      </c>
      <c r="Z105" s="50">
        <f t="shared" ca="1" si="194"/>
        <v>64657.329999999667</v>
      </c>
      <c r="AA105" s="50">
        <f t="shared" ca="1" si="194"/>
        <v>104454.87000000064</v>
      </c>
      <c r="AB105" s="50">
        <f t="shared" ca="1" si="194"/>
        <v>69378.940000000584</v>
      </c>
      <c r="AC105" s="50">
        <f t="shared" ref="AC105:AH105" ca="1" si="195">AC103-AC104</f>
        <v>60159.240000000224</v>
      </c>
      <c r="AD105" s="50">
        <f t="shared" ca="1" si="195"/>
        <v>40784.520000000484</v>
      </c>
      <c r="AE105" s="50">
        <f t="shared" ca="1" si="195"/>
        <v>63098.679999999877</v>
      </c>
      <c r="AF105" s="50">
        <f t="shared" ca="1" si="195"/>
        <v>100528.58000000002</v>
      </c>
      <c r="AG105" s="50">
        <f t="shared" ca="1" si="195"/>
        <v>51937.940000000119</v>
      </c>
      <c r="AH105" s="50">
        <f t="shared" ca="1" si="195"/>
        <v>234824.62000000116</v>
      </c>
      <c r="AJ105" s="14">
        <f t="shared" ca="1" si="193"/>
        <v>0.31999999895924702</v>
      </c>
      <c r="AK105" s="14">
        <f t="shared" ca="1" si="193"/>
        <v>4.0000000386498868E-2</v>
      </c>
      <c r="AL105" s="14">
        <f t="shared" ca="1" si="193"/>
        <v>-0.70000000053551048</v>
      </c>
      <c r="AM105" s="14">
        <f t="shared" ca="1" si="193"/>
        <v>1.3299999996670522</v>
      </c>
      <c r="AN105" s="14">
        <f t="shared" ca="1" si="193"/>
        <v>-32.129999999364372</v>
      </c>
      <c r="AO105" s="14">
        <f t="shared" ca="1" si="193"/>
        <v>-5.9999999415595084E-2</v>
      </c>
      <c r="AP105" s="14">
        <f t="shared" ca="1" si="193"/>
        <v>1.2400000002235174</v>
      </c>
      <c r="AQ105" s="14">
        <f t="shared" ca="1" si="193"/>
        <v>-0.47999999951571226</v>
      </c>
      <c r="AR105" s="14">
        <f t="shared" ca="1" si="193"/>
        <v>0.67999999987659976</v>
      </c>
      <c r="AS105" s="14">
        <f t="shared" ca="1" si="193"/>
        <v>0.58000000001629815</v>
      </c>
      <c r="AT105" s="14">
        <f t="shared" ca="1" si="193"/>
        <v>-1.0599999998812564</v>
      </c>
      <c r="AU105" s="14">
        <f t="shared" ca="1" si="193"/>
        <v>-2.3799999988405034</v>
      </c>
    </row>
    <row r="106" spans="1:47" s="12" customFormat="1">
      <c r="A106" s="12">
        <f t="shared" si="188"/>
        <v>9</v>
      </c>
      <c r="B106"/>
      <c r="C106" t="str">
        <f>$F97</f>
        <v>Smoky Hill Health and Rehbilitation</v>
      </c>
      <c r="D106" s="1" t="str">
        <f t="shared" si="175"/>
        <v>T_RENT_EXP - Tenant Rent Expense</v>
      </c>
      <c r="E106"/>
      <c r="F106" s="19" t="str">
        <f>_xll.EVDES(D106)</f>
        <v>Tenant Rent Expense</v>
      </c>
      <c r="G106" s="61">
        <f ca="1">SUMIFS(OFFSET('BPC Data'!$F:$F,0,Summary!G$2),'BPC Data'!$E:$E,Summary!$D106,'BPC Data'!$B:$B,Summary!$C106)</f>
        <v>29629</v>
      </c>
      <c r="H106" s="65">
        <f ca="1">SUMIFS(OFFSET('BPC Data'!$F:$F,0,Summary!H$2),'BPC Data'!$E:$E,Summary!$D106,'BPC Data'!$B:$B,Summary!$C106)</f>
        <v>30433</v>
      </c>
      <c r="I106" s="61">
        <f ca="1">SUMIFS(OFFSET('BPC Data'!$F:$F,0,Summary!I$2),'BPC Data'!$E:$E,Summary!$D106,'BPC Data'!$B:$B,Summary!$C106)</f>
        <v>30433</v>
      </c>
      <c r="J106" s="65">
        <f ca="1">SUMIFS(OFFSET('BPC Data'!$F:$F,0,Summary!J$2),'BPC Data'!$E:$E,Summary!$D106,'BPC Data'!$B:$B,Summary!$C106)</f>
        <v>30433</v>
      </c>
      <c r="K106" s="61">
        <f ca="1">SUMIFS(OFFSET('BPC Data'!$F:$F,0,Summary!K$2),'BPC Data'!$E:$E,Summary!$D106,'BPC Data'!$B:$B,Summary!$C106)</f>
        <v>30433</v>
      </c>
      <c r="L106" s="65">
        <f ca="1">SUMIFS(OFFSET('BPC Data'!$F:$F,0,Summary!L$2),'BPC Data'!$E:$E,Summary!$D106,'BPC Data'!$B:$B,Summary!$C106)</f>
        <v>30433</v>
      </c>
      <c r="M106" s="61">
        <f ca="1">SUMIFS(OFFSET('BPC Data'!$F:$F,0,Summary!M$2),'BPC Data'!$E:$E,Summary!$D106,'BPC Data'!$B:$B,Summary!$C106)</f>
        <v>30433</v>
      </c>
      <c r="N106" s="65">
        <f ca="1">SUMIFS(OFFSET('BPC Data'!$F:$F,0,Summary!N$2),'BPC Data'!$E:$E,Summary!$D106,'BPC Data'!$B:$B,Summary!$C106)</f>
        <v>30433</v>
      </c>
      <c r="O106" s="61">
        <f ca="1">SUMIFS(OFFSET('BPC Data'!$F:$F,0,Summary!O$2),'BPC Data'!$E:$E,Summary!$D106,'BPC Data'!$B:$B,Summary!$C106)</f>
        <v>30433</v>
      </c>
      <c r="P106" s="65">
        <f ca="1">SUMIFS(OFFSET('BPC Data'!$F:$F,0,Summary!P$2),'BPC Data'!$E:$E,Summary!$D106,'BPC Data'!$B:$B,Summary!$C106)</f>
        <v>30433</v>
      </c>
      <c r="Q106" s="61">
        <f ca="1">SUMIFS(OFFSET('BPC Data'!$F:$F,0,Summary!Q$2),'BPC Data'!$E:$E,Summary!$D106,'BPC Data'!$B:$B,Summary!$C106)</f>
        <v>30433</v>
      </c>
      <c r="R106" s="65">
        <f ca="1">SUMIFS(OFFSET('BPC Data'!$F:$F,0,Summary!R$2),'BPC Data'!$E:$E,Summary!$D106,'BPC Data'!$B:$B,Summary!$C106)</f>
        <v>33092</v>
      </c>
      <c r="S106" s="23">
        <f t="shared" ca="1" si="189"/>
        <v>367051</v>
      </c>
      <c r="T106" s="74">
        <f ca="1">SUM(W106:AH106)</f>
        <v>367046.68000000011</v>
      </c>
      <c r="U106" s="54">
        <f ca="1">T106-S106</f>
        <v>-4.3199999998905696</v>
      </c>
      <c r="W106" s="4">
        <f ca="1">SUMIFS(INDIRECT("'"&amp;$W$96&amp;"'"&amp;"!$B$64:$B$5000"),INDIRECT("'"&amp;$W$96&amp;"'"&amp;"!$A$64:$A$5000"),$W$3)+SUMIFS(INDIRECT("'"&amp;$W$96&amp;"'"&amp;"!$B$64:$B$5000"),INDIRECT("'"&amp;$W$96&amp;"'"&amp;"!$A$64:$A$5000"),$W$4)</f>
        <v>29629</v>
      </c>
      <c r="X106" s="4">
        <f ca="1">SUMIFS(INDIRECT("'"&amp;$W$96&amp;"'"&amp;"!$c$64:$c$5000"),INDIRECT("'"&amp;$W$96&amp;"'"&amp;"!$A$64:$A$5000"),$W$3)+SUMIFS(INDIRECT("'"&amp;$W$96&amp;"'"&amp;"!$c$64:$c$5000"),INDIRECT("'"&amp;$W$96&amp;"'"&amp;"!$A$64:$A$5000"),$W$4)</f>
        <v>30432.58</v>
      </c>
      <c r="Y106" s="4">
        <f ca="1">SUMIFS(INDIRECT("'"&amp;$W$96&amp;"'"&amp;"!$d$64:$d$5000"),INDIRECT("'"&amp;$W$96&amp;"'"&amp;"!$A$64:$A$5000"),$W$3)+SUMIFS(INDIRECT("'"&amp;$W$96&amp;"'"&amp;"!$d$64:$d$5000"),INDIRECT("'"&amp;$W$96&amp;"'"&amp;"!$A$64:$A$5000"),$W$4)</f>
        <v>30432.58</v>
      </c>
      <c r="Z106" s="4">
        <f ca="1">SUMIFS(INDIRECT("'"&amp;$W$96&amp;"'"&amp;"!$e$64:$e$5000"),INDIRECT("'"&amp;$W$96&amp;"'"&amp;"!$A$64:$A$5000"),$W$3)+SUMIFS(INDIRECT("'"&amp;$W$96&amp;"'"&amp;"!$e$64:$e$5000"),INDIRECT("'"&amp;$W$96&amp;"'"&amp;"!$A$64:$A$5000"),$W$4)</f>
        <v>30432.58</v>
      </c>
      <c r="AA106" s="4">
        <f ca="1">SUMIFS(INDIRECT("'"&amp;$W$96&amp;"'"&amp;"!$f$64:$f$5000"),INDIRECT("'"&amp;$W$96&amp;"'"&amp;"!$A$64:$A$5000"),$W$3)+SUMIFS(INDIRECT("'"&amp;$W$96&amp;"'"&amp;"!$f$64:$f$5000"),INDIRECT("'"&amp;$W$96&amp;"'"&amp;"!$A$64:$A$5000"),$W$4)</f>
        <v>30432.58</v>
      </c>
      <c r="AB106" s="4">
        <f ca="1">SUMIFS(INDIRECT("'"&amp;$W$96&amp;"'"&amp;"!$g$64:$g$5000"),INDIRECT("'"&amp;$W$96&amp;"'"&amp;"!$A$64:$A$5000"),$W$3)+SUMIFS(INDIRECT("'"&amp;$W$96&amp;"'"&amp;"!$g$64:$g$5000"),INDIRECT("'"&amp;$W$96&amp;"'"&amp;"!$A$64:$A$5000"),$W$4)</f>
        <v>30432.58</v>
      </c>
      <c r="AC106" s="4">
        <f ca="1">SUMIFS(INDIRECT("'"&amp;$W$96&amp;"'"&amp;"!$h$64:$h$5000"),INDIRECT("'"&amp;$W$96&amp;"'"&amp;"!$A$64:$A$5000"),$W$3)+SUMIFS(INDIRECT("'"&amp;$W$96&amp;"'"&amp;"!$h$64:$h$5000"),INDIRECT("'"&amp;$W$96&amp;"'"&amp;"!$A$64:$A$5000"),$W$4)</f>
        <v>30432.58</v>
      </c>
      <c r="AD106" s="4">
        <f ca="1">SUMIFS(INDIRECT("'"&amp;$W$96&amp;"'"&amp;"!$i$64:$i$5000"),INDIRECT("'"&amp;$W$96&amp;"'"&amp;"!$A$64:$A$5000"),$W$3)+SUMIFS(INDIRECT("'"&amp;$W$96&amp;"'"&amp;"!$i$64:$i$5000"),INDIRECT("'"&amp;$W$96&amp;"'"&amp;"!$A$64:$A$5000"),$W$4)</f>
        <v>30432.58</v>
      </c>
      <c r="AE106" s="4">
        <f ca="1">SUMIFS(INDIRECT("'"&amp;$W$96&amp;"'"&amp;"!$j$64:$j$5000"),INDIRECT("'"&amp;$W$96&amp;"'"&amp;"!$A$64:$A$5000"),$W$3)+SUMIFS(INDIRECT("'"&amp;$W$96&amp;"'"&amp;"!$j$64:$j$5000"),INDIRECT("'"&amp;$W$96&amp;"'"&amp;"!$A$64:$A$5000"),$W$4)</f>
        <v>30432.58</v>
      </c>
      <c r="AF106" s="4">
        <f ca="1">SUMIFS(INDIRECT("'"&amp;$W$96&amp;"'"&amp;"!$k$64:$k$5000"),INDIRECT("'"&amp;$W$96&amp;"'"&amp;"!$A$64:$A$5000"),$W$3)+SUMIFS(INDIRECT("'"&amp;$W$96&amp;"'"&amp;"!$k$64:$k$5000"),INDIRECT("'"&amp;$W$96&amp;"'"&amp;"!$A$64:$A$5000"),$W$4)</f>
        <v>30432.58</v>
      </c>
      <c r="AG106" s="4">
        <f ca="1">SUMIFS(INDIRECT("'"&amp;$W$96&amp;"'"&amp;"!$l$64:$l$5000"),INDIRECT("'"&amp;$W$96&amp;"'"&amp;"!$A$64:$A$5000"),$W$3)+SUMIFS(INDIRECT("'"&amp;$W$96&amp;"'"&amp;"!$l$64:$l$5000"),INDIRECT("'"&amp;$W$96&amp;"'"&amp;"!$A$64:$A$5000"),$W$4)</f>
        <v>30432.58</v>
      </c>
      <c r="AH106" s="4">
        <f ca="1">SUMIFS(INDIRECT("'"&amp;$W$96&amp;"'"&amp;"!$m$64:$m$5000"),INDIRECT("'"&amp;$W$96&amp;"'"&amp;"!$A$64:$A$5000"),$W$3)+SUMIFS(INDIRECT("'"&amp;$W$96&amp;"'"&amp;"!$m$64:$m$5000"),INDIRECT("'"&amp;$W$96&amp;"'"&amp;"!$A$64:$A$5000"),$W$4)</f>
        <v>33091.879999999997</v>
      </c>
      <c r="AJ106" s="14">
        <f t="shared" ca="1" si="193"/>
        <v>0</v>
      </c>
      <c r="AK106" s="14">
        <f t="shared" ca="1" si="193"/>
        <v>-0.41999999999825377</v>
      </c>
      <c r="AL106" s="14">
        <f t="shared" ca="1" si="193"/>
        <v>-0.41999999999825377</v>
      </c>
      <c r="AM106" s="14">
        <f t="shared" ca="1" si="193"/>
        <v>-0.41999999999825377</v>
      </c>
      <c r="AN106" s="14">
        <f t="shared" ca="1" si="193"/>
        <v>-0.41999999999825377</v>
      </c>
      <c r="AO106" s="14">
        <f t="shared" ca="1" si="193"/>
        <v>-0.41999999999825377</v>
      </c>
      <c r="AP106" s="14">
        <f t="shared" ca="1" si="193"/>
        <v>-0.41999999999825377</v>
      </c>
      <c r="AQ106" s="14">
        <f t="shared" ca="1" si="193"/>
        <v>-0.41999999999825377</v>
      </c>
      <c r="AR106" s="14">
        <f t="shared" ca="1" si="193"/>
        <v>-0.41999999999825377</v>
      </c>
      <c r="AS106" s="14">
        <f t="shared" ca="1" si="193"/>
        <v>-0.41999999999825377</v>
      </c>
      <c r="AT106" s="14">
        <f t="shared" ca="1" si="193"/>
        <v>-0.41999999999825377</v>
      </c>
      <c r="AU106" s="14">
        <f t="shared" ca="1" si="193"/>
        <v>-0.12000000000261934</v>
      </c>
    </row>
    <row r="107" spans="1:47" s="12" customFormat="1">
      <c r="A107" s="12">
        <f t="shared" si="188"/>
        <v>9</v>
      </c>
      <c r="B107"/>
      <c r="C107"/>
      <c r="D107" s="1" t="str">
        <f t="shared" si="175"/>
        <v>x</v>
      </c>
      <c r="E107"/>
      <c r="F107" s="19" t="s">
        <v>0</v>
      </c>
      <c r="G107" s="61">
        <f ca="1">SUMIFS(OFFSET('BPC Data'!$F:$F,0,Summary!G$2),'BPC Data'!$E:$E,Summary!$D107,'BPC Data'!$B:$B,Summary!$C107)</f>
        <v>0</v>
      </c>
      <c r="H107" s="65">
        <f ca="1">SUMIFS(OFFSET('BPC Data'!$F:$F,0,Summary!H$2),'BPC Data'!$E:$E,Summary!$D107,'BPC Data'!$B:$B,Summary!$C107)</f>
        <v>0</v>
      </c>
      <c r="I107" s="61">
        <f ca="1">SUMIFS(OFFSET('BPC Data'!$F:$F,0,Summary!I$2),'BPC Data'!$E:$E,Summary!$D107,'BPC Data'!$B:$B,Summary!$C107)</f>
        <v>0</v>
      </c>
      <c r="J107" s="65">
        <f ca="1">SUMIFS(OFFSET('BPC Data'!$F:$F,0,Summary!J$2),'BPC Data'!$E:$E,Summary!$D107,'BPC Data'!$B:$B,Summary!$C107)</f>
        <v>0</v>
      </c>
      <c r="K107" s="61">
        <f ca="1">SUMIFS(OFFSET('BPC Data'!$F:$F,0,Summary!K$2),'BPC Data'!$E:$E,Summary!$D107,'BPC Data'!$B:$B,Summary!$C107)</f>
        <v>0</v>
      </c>
      <c r="L107" s="65">
        <f ca="1">SUMIFS(OFFSET('BPC Data'!$F:$F,0,Summary!L$2),'BPC Data'!$E:$E,Summary!$D107,'BPC Data'!$B:$B,Summary!$C107)</f>
        <v>0</v>
      </c>
      <c r="M107" s="61">
        <f ca="1">SUMIFS(OFFSET('BPC Data'!$F:$F,0,Summary!M$2),'BPC Data'!$E:$E,Summary!$D107,'BPC Data'!$B:$B,Summary!$C107)</f>
        <v>0</v>
      </c>
      <c r="N107" s="65">
        <f ca="1">SUMIFS(OFFSET('BPC Data'!$F:$F,0,Summary!N$2),'BPC Data'!$E:$E,Summary!$D107,'BPC Data'!$B:$B,Summary!$C107)</f>
        <v>0</v>
      </c>
      <c r="O107" s="61">
        <f ca="1">SUMIFS(OFFSET('BPC Data'!$F:$F,0,Summary!O$2),'BPC Data'!$E:$E,Summary!$D107,'BPC Data'!$B:$B,Summary!$C107)</f>
        <v>0</v>
      </c>
      <c r="P107" s="65">
        <f ca="1">SUMIFS(OFFSET('BPC Data'!$F:$F,0,Summary!P$2),'BPC Data'!$E:$E,Summary!$D107,'BPC Data'!$B:$B,Summary!$C107)</f>
        <v>0</v>
      </c>
      <c r="Q107" s="61">
        <f ca="1">SUMIFS(OFFSET('BPC Data'!$F:$F,0,Summary!Q$2),'BPC Data'!$E:$E,Summary!$D107,'BPC Data'!$B:$B,Summary!$C107)</f>
        <v>0</v>
      </c>
      <c r="R107" s="65">
        <f ca="1">SUMIFS(OFFSET('BPC Data'!$F:$F,0,Summary!R$2),'BPC Data'!$E:$E,Summary!$D107,'BPC Data'!$B:$B,Summary!$C107)</f>
        <v>0</v>
      </c>
      <c r="S107" s="23">
        <f ca="1">SUM(G107:M107)</f>
        <v>0</v>
      </c>
      <c r="T107" s="76"/>
      <c r="W107" t="s">
        <v>303</v>
      </c>
      <c r="X107"/>
      <c r="Y107"/>
      <c r="Z107"/>
      <c r="AA107"/>
      <c r="AB107"/>
      <c r="AC107"/>
      <c r="AD107"/>
      <c r="AE107"/>
      <c r="AF107"/>
      <c r="AG107"/>
      <c r="AJ107" s="49"/>
      <c r="AK107" s="49"/>
      <c r="AL107" s="49"/>
      <c r="AM107" s="49"/>
      <c r="AN107" s="49"/>
      <c r="AO107" s="49"/>
      <c r="AP107" s="49"/>
      <c r="AQ107" s="49"/>
      <c r="AR107" s="49"/>
      <c r="AS107" s="49"/>
      <c r="AT107" s="49"/>
      <c r="AU107" s="49"/>
    </row>
    <row r="108" spans="1:47" s="12" customFormat="1">
      <c r="A108" s="12">
        <f>IF(AND(D108&lt;&gt;"",C108=""),A107+1,A107)</f>
        <v>10</v>
      </c>
      <c r="B108" s="5"/>
      <c r="C108" s="5"/>
      <c r="D108" s="5" t="str">
        <f t="shared" si="175"/>
        <v>x</v>
      </c>
      <c r="E108" s="5"/>
      <c r="F108" s="18" t="str">
        <f>INDEX(PropertyList!$D:$D,MATCH(Summary!$A108,PropertyList!$C:$C,0))</f>
        <v>Belleville Health Center</v>
      </c>
      <c r="G108" s="61">
        <f ca="1">SUMIFS(OFFSET('BPC Data'!$F:$F,0,Summary!G$2),'BPC Data'!$E:$E,Summary!$D108,'BPC Data'!$B:$B,Summary!$C108)</f>
        <v>0</v>
      </c>
      <c r="H108" s="65">
        <f ca="1">SUMIFS(OFFSET('BPC Data'!$F:$F,0,Summary!H$2),'BPC Data'!$E:$E,Summary!$D108,'BPC Data'!$B:$B,Summary!$C108)</f>
        <v>0</v>
      </c>
      <c r="I108" s="61">
        <f ca="1">SUMIFS(OFFSET('BPC Data'!$F:$F,0,Summary!I$2),'BPC Data'!$E:$E,Summary!$D108,'BPC Data'!$B:$B,Summary!$C108)</f>
        <v>0</v>
      </c>
      <c r="J108" s="65">
        <f ca="1">SUMIFS(OFFSET('BPC Data'!$F:$F,0,Summary!J$2),'BPC Data'!$E:$E,Summary!$D108,'BPC Data'!$B:$B,Summary!$C108)</f>
        <v>0</v>
      </c>
      <c r="K108" s="61">
        <f ca="1">SUMIFS(OFFSET('BPC Data'!$F:$F,0,Summary!K$2),'BPC Data'!$E:$E,Summary!$D108,'BPC Data'!$B:$B,Summary!$C108)</f>
        <v>0</v>
      </c>
      <c r="L108" s="65">
        <f ca="1">SUMIFS(OFFSET('BPC Data'!$F:$F,0,Summary!L$2),'BPC Data'!$E:$E,Summary!$D108,'BPC Data'!$B:$B,Summary!$C108)</f>
        <v>0</v>
      </c>
      <c r="M108" s="61">
        <f ca="1">SUMIFS(OFFSET('BPC Data'!$F:$F,0,Summary!M$2),'BPC Data'!$E:$E,Summary!$D108,'BPC Data'!$B:$B,Summary!$C108)</f>
        <v>0</v>
      </c>
      <c r="N108" s="65">
        <f ca="1">SUMIFS(OFFSET('BPC Data'!$F:$F,0,Summary!N$2),'BPC Data'!$E:$E,Summary!$D108,'BPC Data'!$B:$B,Summary!$C108)</f>
        <v>0</v>
      </c>
      <c r="O108" s="61">
        <f ca="1">SUMIFS(OFFSET('BPC Data'!$F:$F,0,Summary!O$2),'BPC Data'!$E:$E,Summary!$D108,'BPC Data'!$B:$B,Summary!$C108)</f>
        <v>0</v>
      </c>
      <c r="P108" s="65">
        <f ca="1">SUMIFS(OFFSET('BPC Data'!$F:$F,0,Summary!P$2),'BPC Data'!$E:$E,Summary!$D108,'BPC Data'!$B:$B,Summary!$C108)</f>
        <v>0</v>
      </c>
      <c r="Q108" s="61">
        <f ca="1">SUMIFS(OFFSET('BPC Data'!$F:$F,0,Summary!Q$2),'BPC Data'!$E:$E,Summary!$D108,'BPC Data'!$B:$B,Summary!$C108)</f>
        <v>0</v>
      </c>
      <c r="R108" s="65">
        <f ca="1">SUMIFS(OFFSET('BPC Data'!$F:$F,0,Summary!R$2),'BPC Data'!$E:$E,Summary!$D108,'BPC Data'!$B:$B,Summary!$C108)</f>
        <v>0</v>
      </c>
      <c r="S108" s="23">
        <f ca="1">SUM(G108:M108)</f>
        <v>0</v>
      </c>
      <c r="T108" s="76"/>
      <c r="W108" s="5" t="str">
        <f t="shared" ref="W108:AH108" si="196">+G$8</f>
        <v>Aug 2021</v>
      </c>
      <c r="X108" s="5" t="str">
        <f t="shared" si="196"/>
        <v>Sep 2021</v>
      </c>
      <c r="Y108" s="5" t="str">
        <f t="shared" si="196"/>
        <v>Oct 2021</v>
      </c>
      <c r="Z108" s="5" t="str">
        <f t="shared" si="196"/>
        <v>Nov 2021</v>
      </c>
      <c r="AA108" s="5" t="str">
        <f t="shared" si="196"/>
        <v>Dec 2021</v>
      </c>
      <c r="AB108" s="5" t="str">
        <f t="shared" si="196"/>
        <v>Jan 2022</v>
      </c>
      <c r="AC108" s="5" t="str">
        <f t="shared" si="196"/>
        <v>Feb 2022</v>
      </c>
      <c r="AD108" s="5" t="str">
        <f t="shared" si="196"/>
        <v>Mar 2022</v>
      </c>
      <c r="AE108" s="5" t="str">
        <f t="shared" si="196"/>
        <v>Apr 2022</v>
      </c>
      <c r="AF108" s="5" t="str">
        <f t="shared" si="196"/>
        <v>May 2022</v>
      </c>
      <c r="AG108" s="5" t="str">
        <f t="shared" si="196"/>
        <v>Jun 2022</v>
      </c>
      <c r="AH108" s="5" t="str">
        <f t="shared" si="196"/>
        <v>Jul 2022</v>
      </c>
      <c r="AJ108" s="174" t="str">
        <f>W$9</f>
        <v>Aug 2021</v>
      </c>
      <c r="AK108" s="174" t="str">
        <f t="shared" ref="AK108" si="197">X$9</f>
        <v>Sep 2021</v>
      </c>
      <c r="AL108" s="174" t="str">
        <f t="shared" ref="AL108" si="198">Y$9</f>
        <v>Oct 2021</v>
      </c>
      <c r="AM108" s="174" t="str">
        <f t="shared" ref="AM108" si="199">Z$9</f>
        <v>Nov 2021</v>
      </c>
      <c r="AN108" s="174" t="str">
        <f t="shared" ref="AN108:AO108" si="200">AA$9</f>
        <v>Dec 2021</v>
      </c>
      <c r="AO108" s="174" t="str">
        <f t="shared" si="200"/>
        <v>Jan 2022</v>
      </c>
      <c r="AP108" s="174" t="str">
        <f t="shared" ref="AP108" si="201">AC$9</f>
        <v>Feb 2022</v>
      </c>
      <c r="AQ108" s="174" t="str">
        <f t="shared" ref="AQ108" si="202">AD$9</f>
        <v>Mar 2022</v>
      </c>
      <c r="AR108" s="174" t="str">
        <f t="shared" ref="AR108" si="203">AE$9</f>
        <v>Apr 2022</v>
      </c>
      <c r="AS108" s="174" t="str">
        <f t="shared" ref="AS108" si="204">AF$9</f>
        <v>May 2022</v>
      </c>
      <c r="AT108" s="174" t="str">
        <f t="shared" ref="AT108" si="205">AG$9</f>
        <v>Jun 2022</v>
      </c>
      <c r="AU108" s="174" t="str">
        <f t="shared" ref="AU108" si="206">AH$9</f>
        <v>Jul 2022</v>
      </c>
    </row>
    <row r="109" spans="1:47" s="12" customFormat="1">
      <c r="A109" s="12">
        <f>IF(AND(F109&lt;&gt;"",D109=""),A108+1,A108)</f>
        <v>10</v>
      </c>
      <c r="C109" t="str">
        <f>$F108</f>
        <v>Belleville Health Center</v>
      </c>
      <c r="D109" s="3" t="str">
        <f t="shared" si="175"/>
        <v>PAY_PAT_DAYS - Total Payor Patient Days</v>
      </c>
      <c r="F109" s="19" t="str">
        <f>_xll.EVDES(D109)</f>
        <v>Total Payor Patient Days</v>
      </c>
      <c r="G109" s="61">
        <f ca="1">SUMIFS(OFFSET('BPC Data'!$F:$F,0,Summary!G$2),'BPC Data'!$E:$E,Summary!$D109,'BPC Data'!$B:$B,Summary!$C109)</f>
        <v>0</v>
      </c>
      <c r="H109" s="65">
        <f ca="1">SUMIFS(OFFSET('BPC Data'!$F:$F,0,Summary!H$2),'BPC Data'!$E:$E,Summary!$D109,'BPC Data'!$B:$B,Summary!$C109)</f>
        <v>0</v>
      </c>
      <c r="I109" s="61">
        <f ca="1">SUMIFS(OFFSET('BPC Data'!$F:$F,0,Summary!I$2),'BPC Data'!$E:$E,Summary!$D109,'BPC Data'!$B:$B,Summary!$C109)</f>
        <v>0</v>
      </c>
      <c r="J109" s="65">
        <f ca="1">SUMIFS(OFFSET('BPC Data'!$F:$F,0,Summary!J$2),'BPC Data'!$E:$E,Summary!$D109,'BPC Data'!$B:$B,Summary!$C109)</f>
        <v>0</v>
      </c>
      <c r="K109" s="61">
        <f ca="1">SUMIFS(OFFSET('BPC Data'!$F:$F,0,Summary!K$2),'BPC Data'!$E:$E,Summary!$D109,'BPC Data'!$B:$B,Summary!$C109)</f>
        <v>0</v>
      </c>
      <c r="L109" s="65">
        <f ca="1">SUMIFS(OFFSET('BPC Data'!$F:$F,0,Summary!L$2),'BPC Data'!$E:$E,Summary!$D109,'BPC Data'!$B:$B,Summary!$C109)</f>
        <v>0</v>
      </c>
      <c r="M109" s="61">
        <f ca="1">SUMIFS(OFFSET('BPC Data'!$F:$F,0,Summary!M$2),'BPC Data'!$E:$E,Summary!$D109,'BPC Data'!$B:$B,Summary!$C109)</f>
        <v>0</v>
      </c>
      <c r="N109" s="65">
        <f ca="1">SUMIFS(OFFSET('BPC Data'!$F:$F,0,Summary!N$2),'BPC Data'!$E:$E,Summary!$D109,'BPC Data'!$B:$B,Summary!$C109)</f>
        <v>0</v>
      </c>
      <c r="O109" s="61">
        <f ca="1">SUMIFS(OFFSET('BPC Data'!$F:$F,0,Summary!O$2),'BPC Data'!$E:$E,Summary!$D109,'BPC Data'!$B:$B,Summary!$C109)</f>
        <v>0</v>
      </c>
      <c r="P109" s="65">
        <f ca="1">SUMIFS(OFFSET('BPC Data'!$F:$F,0,Summary!P$2),'BPC Data'!$E:$E,Summary!$D109,'BPC Data'!$B:$B,Summary!$C109)</f>
        <v>0</v>
      </c>
      <c r="Q109" s="61">
        <f ca="1">SUMIFS(OFFSET('BPC Data'!$F:$F,0,Summary!Q$2),'BPC Data'!$E:$E,Summary!$D109,'BPC Data'!$B:$B,Summary!$C109)</f>
        <v>0</v>
      </c>
      <c r="R109" s="65">
        <f ca="1">SUMIFS(OFFSET('BPC Data'!$F:$F,0,Summary!R$2),'BPC Data'!$E:$E,Summary!$D109,'BPC Data'!$B:$B,Summary!$C109)</f>
        <v>0</v>
      </c>
      <c r="S109" s="23">
        <f ca="1">SUM(G109:R109)</f>
        <v>0</v>
      </c>
      <c r="T109" s="74">
        <f ca="1">SUM(W109:AH109)</f>
        <v>0</v>
      </c>
      <c r="U109" s="54">
        <f ca="1">T109-S109</f>
        <v>0</v>
      </c>
      <c r="W109" s="4">
        <f ca="1">SUMIFS(INDIRECT("'"&amp;$W$107&amp;"'"&amp;"!$B$1:$B$5000"),INDIRECT("'"&amp;$W$107&amp;"'"&amp;"!$A$1:$A$5000"),$W$2)</f>
        <v>0</v>
      </c>
      <c r="X109" s="4"/>
      <c r="Y109" s="4">
        <f ca="1">SUMIFS(INDIRECT("'"&amp;$W$107&amp;"'"&amp;"!$d$1:$d$5000"),INDIRECT("'"&amp;$W$107&amp;"'"&amp;"!$A$1:$A$5000"),$W$2)</f>
        <v>0</v>
      </c>
      <c r="Z109" s="4">
        <f ca="1">SUMIFS(INDIRECT("'"&amp;$W$107&amp;"'"&amp;"!$e$1:$e$5000"),INDIRECT("'"&amp;$W$107&amp;"'"&amp;"!$A$1:$A$5000"),$W$2)</f>
        <v>0</v>
      </c>
      <c r="AA109" s="4">
        <f ca="1">SUMIFS(INDIRECT("'"&amp;$W$107&amp;"'"&amp;"!$f$1:$f$5000"),INDIRECT("'"&amp;$W$107&amp;"'"&amp;"!$A$1:$A$5000"),$W$2)</f>
        <v>0</v>
      </c>
      <c r="AB109" s="4">
        <f ca="1">SUMIFS(INDIRECT("'"&amp;$W$107&amp;"'"&amp;"!$g$1:$g$5000"),INDIRECT("'"&amp;$W$107&amp;"'"&amp;"!$A$1:$A$5000"),$W$2)</f>
        <v>0</v>
      </c>
      <c r="AC109" s="4">
        <f ca="1">SUMIFS(INDIRECT("'"&amp;$W$107&amp;"'"&amp;"!$h$1:$h$5000"),INDIRECT("'"&amp;$W$107&amp;"'"&amp;"!$A$1:$A$5000"),$W$2)</f>
        <v>0</v>
      </c>
      <c r="AD109" s="4">
        <f ca="1">SUMIFS(INDIRECT("'"&amp;$W$107&amp;"'"&amp;"!$i$1:$i$5000"),INDIRECT("'"&amp;$W$107&amp;"'"&amp;"!$A$1:$A$5000"),$W$2)</f>
        <v>0</v>
      </c>
      <c r="AE109" s="4"/>
      <c r="AF109" s="4">
        <f ca="1">SUMIFS(INDIRECT("'"&amp;$W$107&amp;"'"&amp;"!$k$1:$k$5000"),INDIRECT("'"&amp;$W$107&amp;"'"&amp;"!$A$1:$A$5000"),$W$2)</f>
        <v>0</v>
      </c>
      <c r="AG109" s="4">
        <f ca="1">SUMIFS(INDIRECT("'"&amp;$W$107&amp;"'"&amp;"!$l$1:$l$5000"),INDIRECT("'"&amp;$W$107&amp;"'"&amp;"!$A$1:$A$5000"),$W$2)</f>
        <v>0</v>
      </c>
      <c r="AH109" s="4">
        <f ca="1">SUMIFS(INDIRECT("'"&amp;$W$107&amp;"'"&amp;"!$m$1:$m$5000"),INDIRECT("'"&amp;$W$107&amp;"'"&amp;"!$A$1:$A$5000"),$W$2)</f>
        <v>0</v>
      </c>
      <c r="AJ109" s="14">
        <f t="shared" ref="AJ109:AU109" ca="1" si="207">W109-G109</f>
        <v>0</v>
      </c>
      <c r="AK109" s="14">
        <f t="shared" ca="1" si="207"/>
        <v>0</v>
      </c>
      <c r="AL109" s="14">
        <f t="shared" ca="1" si="207"/>
        <v>0</v>
      </c>
      <c r="AM109" s="14">
        <f t="shared" ca="1" si="207"/>
        <v>0</v>
      </c>
      <c r="AN109" s="14">
        <f t="shared" ca="1" si="207"/>
        <v>0</v>
      </c>
      <c r="AO109" s="14">
        <f t="shared" ca="1" si="207"/>
        <v>0</v>
      </c>
      <c r="AP109" s="14">
        <f t="shared" ca="1" si="207"/>
        <v>0</v>
      </c>
      <c r="AQ109" s="14">
        <f t="shared" ca="1" si="207"/>
        <v>0</v>
      </c>
      <c r="AR109" s="14">
        <f t="shared" ca="1" si="207"/>
        <v>0</v>
      </c>
      <c r="AS109" s="14">
        <f t="shared" ca="1" si="207"/>
        <v>0</v>
      </c>
      <c r="AT109" s="14">
        <f t="shared" ca="1" si="207"/>
        <v>0</v>
      </c>
      <c r="AU109" s="14">
        <f t="shared" ca="1" si="207"/>
        <v>0</v>
      </c>
    </row>
    <row r="110" spans="1:47" s="12" customFormat="1">
      <c r="A110" s="12">
        <f t="shared" ref="A110:A118" si="208">IF(AND(F110&lt;&gt;"",D110=""),A109+1,A109)</f>
        <v>10</v>
      </c>
      <c r="C110" t="str">
        <f>$F108</f>
        <v>Belleville Health Center</v>
      </c>
      <c r="D110" s="3" t="str">
        <f t="shared" si="175"/>
        <v>A_BEDS_TOTAL - Total Available Beds</v>
      </c>
      <c r="F110" s="19" t="str">
        <f>_xll.EVDES(D110)</f>
        <v>Total Available Beds</v>
      </c>
      <c r="G110" s="61">
        <f ca="1">SUMIFS(OFFSET('BPC Data'!$F:$F,0,Summary!G$2),'BPC Data'!$E:$E,Summary!$D110,'BPC Data'!$B:$B,Summary!$C110)</f>
        <v>0</v>
      </c>
      <c r="H110" s="65">
        <f ca="1">SUMIFS(OFFSET('BPC Data'!$F:$F,0,Summary!H$2),'BPC Data'!$E:$E,Summary!$D110,'BPC Data'!$B:$B,Summary!$C110)</f>
        <v>0</v>
      </c>
      <c r="I110" s="61">
        <f ca="1">SUMIFS(OFFSET('BPC Data'!$F:$F,0,Summary!I$2),'BPC Data'!$E:$E,Summary!$D110,'BPC Data'!$B:$B,Summary!$C110)</f>
        <v>0</v>
      </c>
      <c r="J110" s="65">
        <f ca="1">SUMIFS(OFFSET('BPC Data'!$F:$F,0,Summary!J$2),'BPC Data'!$E:$E,Summary!$D110,'BPC Data'!$B:$B,Summary!$C110)</f>
        <v>0</v>
      </c>
      <c r="K110" s="61">
        <f ca="1">SUMIFS(OFFSET('BPC Data'!$F:$F,0,Summary!K$2),'BPC Data'!$E:$E,Summary!$D110,'BPC Data'!$B:$B,Summary!$C110)</f>
        <v>0</v>
      </c>
      <c r="L110" s="65">
        <f ca="1">SUMIFS(OFFSET('BPC Data'!$F:$F,0,Summary!L$2),'BPC Data'!$E:$E,Summary!$D110,'BPC Data'!$B:$B,Summary!$C110)</f>
        <v>0</v>
      </c>
      <c r="M110" s="61">
        <f ca="1">SUMIFS(OFFSET('BPC Data'!$F:$F,0,Summary!M$2),'BPC Data'!$E:$E,Summary!$D110,'BPC Data'!$B:$B,Summary!$C110)</f>
        <v>0</v>
      </c>
      <c r="N110" s="65">
        <f ca="1">SUMIFS(OFFSET('BPC Data'!$F:$F,0,Summary!N$2),'BPC Data'!$E:$E,Summary!$D110,'BPC Data'!$B:$B,Summary!$C110)</f>
        <v>0</v>
      </c>
      <c r="O110" s="61">
        <f ca="1">SUMIFS(OFFSET('BPC Data'!$F:$F,0,Summary!O$2),'BPC Data'!$E:$E,Summary!$D110,'BPC Data'!$B:$B,Summary!$C110)</f>
        <v>0</v>
      </c>
      <c r="P110" s="65">
        <f ca="1">SUMIFS(OFFSET('BPC Data'!$F:$F,0,Summary!P$2),'BPC Data'!$E:$E,Summary!$D110,'BPC Data'!$B:$B,Summary!$C110)</f>
        <v>0</v>
      </c>
      <c r="Q110" s="61">
        <f ca="1">SUMIFS(OFFSET('BPC Data'!$F:$F,0,Summary!Q$2),'BPC Data'!$E:$E,Summary!$D110,'BPC Data'!$B:$B,Summary!$C110)</f>
        <v>0</v>
      </c>
      <c r="R110" s="65">
        <f ca="1">SUMIFS(OFFSET('BPC Data'!$F:$F,0,Summary!R$2),'BPC Data'!$E:$E,Summary!$D110,'BPC Data'!$B:$B,Summary!$C110)</f>
        <v>0</v>
      </c>
      <c r="S110" s="23">
        <f ca="1">+R110</f>
        <v>0</v>
      </c>
      <c r="T110" s="74"/>
      <c r="U110" s="54"/>
      <c r="AJ110" s="49"/>
      <c r="AK110" s="49"/>
      <c r="AL110" s="49"/>
      <c r="AM110" s="49"/>
      <c r="AN110" s="49"/>
      <c r="AO110" s="49"/>
      <c r="AP110" s="49"/>
      <c r="AQ110" s="49"/>
      <c r="AR110" s="49"/>
      <c r="AS110" s="49"/>
      <c r="AT110" s="49"/>
      <c r="AU110" s="49"/>
    </row>
    <row r="111" spans="1:47" s="12" customFormat="1">
      <c r="A111" s="12">
        <f t="shared" si="208"/>
        <v>10</v>
      </c>
      <c r="B111"/>
      <c r="C111" t="str">
        <f>$F108</f>
        <v>Belleville Health Center</v>
      </c>
      <c r="D111" s="3" t="str">
        <f t="shared" si="175"/>
        <v>T_REVENUES - Total Tenant Revenues</v>
      </c>
      <c r="E111"/>
      <c r="F111" s="19" t="str">
        <f>_xll.EVDES(D111)</f>
        <v>Total Tenant Revenues</v>
      </c>
      <c r="G111" s="61">
        <f ca="1">SUMIFS(OFFSET('BPC Data'!$F:$F,0,Summary!G$2),'BPC Data'!$E:$E,Summary!$D111,'BPC Data'!$B:$B,Summary!$C111)</f>
        <v>0</v>
      </c>
      <c r="H111" s="65">
        <f ca="1">SUMIFS(OFFSET('BPC Data'!$F:$F,0,Summary!H$2),'BPC Data'!$E:$E,Summary!$D111,'BPC Data'!$B:$B,Summary!$C111)</f>
        <v>0</v>
      </c>
      <c r="I111" s="61">
        <f ca="1">SUMIFS(OFFSET('BPC Data'!$F:$F,0,Summary!I$2),'BPC Data'!$E:$E,Summary!$D111,'BPC Data'!$B:$B,Summary!$C111)</f>
        <v>0</v>
      </c>
      <c r="J111" s="65">
        <f ca="1">SUMIFS(OFFSET('BPC Data'!$F:$F,0,Summary!J$2),'BPC Data'!$E:$E,Summary!$D111,'BPC Data'!$B:$B,Summary!$C111)</f>
        <v>0</v>
      </c>
      <c r="K111" s="61">
        <f ca="1">SUMIFS(OFFSET('BPC Data'!$F:$F,0,Summary!K$2),'BPC Data'!$E:$E,Summary!$D111,'BPC Data'!$B:$B,Summary!$C111)</f>
        <v>0</v>
      </c>
      <c r="L111" s="65">
        <f ca="1">SUMIFS(OFFSET('BPC Data'!$F:$F,0,Summary!L$2),'BPC Data'!$E:$E,Summary!$D111,'BPC Data'!$B:$B,Summary!$C111)</f>
        <v>0</v>
      </c>
      <c r="M111" s="61">
        <f ca="1">SUMIFS(OFFSET('BPC Data'!$F:$F,0,Summary!M$2),'BPC Data'!$E:$E,Summary!$D111,'BPC Data'!$B:$B,Summary!$C111)</f>
        <v>0</v>
      </c>
      <c r="N111" s="65">
        <f ca="1">SUMIFS(OFFSET('BPC Data'!$F:$F,0,Summary!N$2),'BPC Data'!$E:$E,Summary!$D111,'BPC Data'!$B:$B,Summary!$C111)</f>
        <v>0</v>
      </c>
      <c r="O111" s="61">
        <f ca="1">SUMIFS(OFFSET('BPC Data'!$F:$F,0,Summary!O$2),'BPC Data'!$E:$E,Summary!$D111,'BPC Data'!$B:$B,Summary!$C111)</f>
        <v>0</v>
      </c>
      <c r="P111" s="65">
        <f ca="1">SUMIFS(OFFSET('BPC Data'!$F:$F,0,Summary!P$2),'BPC Data'!$E:$E,Summary!$D111,'BPC Data'!$B:$B,Summary!$C111)</f>
        <v>0</v>
      </c>
      <c r="Q111" s="61">
        <f ca="1">SUMIFS(OFFSET('BPC Data'!$F:$F,0,Summary!Q$2),'BPC Data'!$E:$E,Summary!$D111,'BPC Data'!$B:$B,Summary!$C111)</f>
        <v>0</v>
      </c>
      <c r="R111" s="65">
        <f ca="1">SUMIFS(OFFSET('BPC Data'!$F:$F,0,Summary!R$2),'BPC Data'!$E:$E,Summary!$D111,'BPC Data'!$B:$B,Summary!$C111)</f>
        <v>0</v>
      </c>
      <c r="S111" s="23">
        <f t="shared" ref="S111:S117" ca="1" si="209">SUM(G111:R111)</f>
        <v>0</v>
      </c>
      <c r="T111" s="74">
        <f>SUM(W111:AH111)</f>
        <v>0</v>
      </c>
      <c r="U111" s="54">
        <f ca="1">T111-S111</f>
        <v>0</v>
      </c>
      <c r="W111" s="4"/>
      <c r="X111" s="4"/>
      <c r="Y111" s="4"/>
      <c r="Z111" s="4"/>
      <c r="AA111" s="4"/>
      <c r="AB111" s="4"/>
      <c r="AC111" s="4"/>
      <c r="AD111" s="4"/>
      <c r="AE111" s="4"/>
      <c r="AF111" s="4"/>
      <c r="AG111" s="4"/>
      <c r="AH111" s="50"/>
      <c r="AJ111" s="14">
        <f ca="1">W111-G111</f>
        <v>0</v>
      </c>
      <c r="AK111" s="14">
        <f t="shared" ref="AJ111:AU112" ca="1" si="210">X111-H111</f>
        <v>0</v>
      </c>
      <c r="AL111" s="14">
        <f t="shared" ca="1" si="210"/>
        <v>0</v>
      </c>
      <c r="AM111" s="14">
        <f t="shared" ca="1" si="210"/>
        <v>0</v>
      </c>
      <c r="AN111" s="14">
        <f t="shared" ca="1" si="210"/>
        <v>0</v>
      </c>
      <c r="AO111" s="14">
        <f ca="1">AB111-L111</f>
        <v>0</v>
      </c>
      <c r="AP111" s="14">
        <f t="shared" ca="1" si="210"/>
        <v>0</v>
      </c>
      <c r="AQ111" s="14">
        <f t="shared" ca="1" si="210"/>
        <v>0</v>
      </c>
      <c r="AR111" s="14">
        <f t="shared" ca="1" si="210"/>
        <v>0</v>
      </c>
      <c r="AS111" s="14">
        <f t="shared" ca="1" si="210"/>
        <v>0</v>
      </c>
      <c r="AT111" s="14">
        <f t="shared" ca="1" si="210"/>
        <v>0</v>
      </c>
      <c r="AU111" s="14">
        <f t="shared" ca="1" si="210"/>
        <v>0</v>
      </c>
    </row>
    <row r="112" spans="1:47" s="12" customFormat="1">
      <c r="A112" s="12">
        <f t="shared" si="208"/>
        <v>10</v>
      </c>
      <c r="B112"/>
      <c r="C112" t="str">
        <f>$F108</f>
        <v>Belleville Health Center</v>
      </c>
      <c r="D112" s="3" t="str">
        <f t="shared" si="175"/>
        <v>T_OPEX - Tenant Operating Expenses</v>
      </c>
      <c r="E112"/>
      <c r="F112" s="19" t="str">
        <f>_xll.EVDES(D112)</f>
        <v>Tenant Operating Expenses</v>
      </c>
      <c r="G112" s="61">
        <f ca="1">SUMIFS(OFFSET('BPC Data'!$F:$F,0,Summary!G$2),'BPC Data'!$E:$E,Summary!$D112,'BPC Data'!$B:$B,Summary!$C112)</f>
        <v>0</v>
      </c>
      <c r="H112" s="65">
        <f ca="1">SUMIFS(OFFSET('BPC Data'!$F:$F,0,Summary!H$2),'BPC Data'!$E:$E,Summary!$D112,'BPC Data'!$B:$B,Summary!$C112)</f>
        <v>0</v>
      </c>
      <c r="I112" s="61">
        <f ca="1">SUMIFS(OFFSET('BPC Data'!$F:$F,0,Summary!I$2),'BPC Data'!$E:$E,Summary!$D112,'BPC Data'!$B:$B,Summary!$C112)</f>
        <v>0</v>
      </c>
      <c r="J112" s="65">
        <f ca="1">SUMIFS(OFFSET('BPC Data'!$F:$F,0,Summary!J$2),'BPC Data'!$E:$E,Summary!$D112,'BPC Data'!$B:$B,Summary!$C112)</f>
        <v>0</v>
      </c>
      <c r="K112" s="61">
        <f ca="1">SUMIFS(OFFSET('BPC Data'!$F:$F,0,Summary!K$2),'BPC Data'!$E:$E,Summary!$D112,'BPC Data'!$B:$B,Summary!$C112)</f>
        <v>0</v>
      </c>
      <c r="L112" s="65">
        <f ca="1">SUMIFS(OFFSET('BPC Data'!$F:$F,0,Summary!L$2),'BPC Data'!$E:$E,Summary!$D112,'BPC Data'!$B:$B,Summary!$C112)</f>
        <v>0</v>
      </c>
      <c r="M112" s="61">
        <f ca="1">SUMIFS(OFFSET('BPC Data'!$F:$F,0,Summary!M$2),'BPC Data'!$E:$E,Summary!$D112,'BPC Data'!$B:$B,Summary!$C112)</f>
        <v>0</v>
      </c>
      <c r="N112" s="65">
        <f ca="1">SUMIFS(OFFSET('BPC Data'!$F:$F,0,Summary!N$2),'BPC Data'!$E:$E,Summary!$D112,'BPC Data'!$B:$B,Summary!$C112)</f>
        <v>0</v>
      </c>
      <c r="O112" s="61">
        <f ca="1">SUMIFS(OFFSET('BPC Data'!$F:$F,0,Summary!O$2),'BPC Data'!$E:$E,Summary!$D112,'BPC Data'!$B:$B,Summary!$C112)</f>
        <v>0</v>
      </c>
      <c r="P112" s="65">
        <f ca="1">SUMIFS(OFFSET('BPC Data'!$F:$F,0,Summary!P$2),'BPC Data'!$E:$E,Summary!$D112,'BPC Data'!$B:$B,Summary!$C112)</f>
        <v>0</v>
      </c>
      <c r="Q112" s="61">
        <f ca="1">SUMIFS(OFFSET('BPC Data'!$F:$F,0,Summary!Q$2),'BPC Data'!$E:$E,Summary!$D112,'BPC Data'!$B:$B,Summary!$C112)</f>
        <v>0</v>
      </c>
      <c r="R112" s="65">
        <f ca="1">SUMIFS(OFFSET('BPC Data'!$F:$F,0,Summary!R$2),'BPC Data'!$E:$E,Summary!$D112,'BPC Data'!$B:$B,Summary!$C112)</f>
        <v>0</v>
      </c>
      <c r="S112" s="23">
        <f t="shared" ca="1" si="209"/>
        <v>0</v>
      </c>
      <c r="T112" s="74">
        <f>SUM(W112:AH112)</f>
        <v>0</v>
      </c>
      <c r="U112" s="54">
        <f ca="1">T112-S112</f>
        <v>0</v>
      </c>
      <c r="W112" s="4"/>
      <c r="X112" s="4"/>
      <c r="Y112" s="4"/>
      <c r="Z112" s="4"/>
      <c r="AA112" s="4"/>
      <c r="AB112" s="4"/>
      <c r="AC112" s="4"/>
      <c r="AD112" s="4"/>
      <c r="AE112" s="4"/>
      <c r="AF112" s="4"/>
      <c r="AG112" s="4"/>
      <c r="AH112" s="50"/>
      <c r="AJ112" s="14">
        <f t="shared" ca="1" si="210"/>
        <v>0</v>
      </c>
      <c r="AK112" s="14">
        <f t="shared" ca="1" si="210"/>
        <v>0</v>
      </c>
      <c r="AL112" s="14">
        <f t="shared" ca="1" si="210"/>
        <v>0</v>
      </c>
      <c r="AM112" s="14">
        <f t="shared" ca="1" si="210"/>
        <v>0</v>
      </c>
      <c r="AN112" s="14">
        <f t="shared" ca="1" si="210"/>
        <v>0</v>
      </c>
      <c r="AO112" s="14">
        <f t="shared" ca="1" si="210"/>
        <v>0</v>
      </c>
      <c r="AP112" s="14">
        <f t="shared" ca="1" si="210"/>
        <v>0</v>
      </c>
      <c r="AQ112" s="14">
        <f t="shared" ca="1" si="210"/>
        <v>0</v>
      </c>
      <c r="AR112" s="14">
        <f t="shared" ca="1" si="210"/>
        <v>0</v>
      </c>
      <c r="AS112" s="14">
        <f t="shared" ca="1" si="210"/>
        <v>0</v>
      </c>
      <c r="AT112" s="14">
        <f t="shared" ca="1" si="210"/>
        <v>0</v>
      </c>
      <c r="AU112" s="14">
        <f t="shared" ca="1" si="210"/>
        <v>0</v>
      </c>
    </row>
    <row r="113" spans="1:47" s="12" customFormat="1">
      <c r="A113" s="12">
        <f t="shared" si="208"/>
        <v>10</v>
      </c>
      <c r="B113"/>
      <c r="C113" t="str">
        <f>$F108</f>
        <v>Belleville Health Center</v>
      </c>
      <c r="D113" s="3" t="str">
        <f t="shared" si="175"/>
        <v>T_BAD_DEBT - Tenant Bad Debt Expense</v>
      </c>
      <c r="E113"/>
      <c r="F113" s="19" t="str">
        <f>_xll.EVDES(D113)</f>
        <v>Tenant Bad Debt Expense</v>
      </c>
      <c r="G113" s="61">
        <f ca="1">SUMIFS(OFFSET('BPC Data'!$F:$F,0,Summary!G$2),'BPC Data'!$E:$E,Summary!$D113,'BPC Data'!$B:$B,Summary!$C113)</f>
        <v>0</v>
      </c>
      <c r="H113" s="65">
        <f ca="1">SUMIFS(OFFSET('BPC Data'!$F:$F,0,Summary!H$2),'BPC Data'!$E:$E,Summary!$D113,'BPC Data'!$B:$B,Summary!$C113)</f>
        <v>0</v>
      </c>
      <c r="I113" s="61">
        <f ca="1">SUMIFS(OFFSET('BPC Data'!$F:$F,0,Summary!I$2),'BPC Data'!$E:$E,Summary!$D113,'BPC Data'!$B:$B,Summary!$C113)</f>
        <v>0</v>
      </c>
      <c r="J113" s="65">
        <f ca="1">SUMIFS(OFFSET('BPC Data'!$F:$F,0,Summary!J$2),'BPC Data'!$E:$E,Summary!$D113,'BPC Data'!$B:$B,Summary!$C113)</f>
        <v>0</v>
      </c>
      <c r="K113" s="61">
        <f ca="1">SUMIFS(OFFSET('BPC Data'!$F:$F,0,Summary!K$2),'BPC Data'!$E:$E,Summary!$D113,'BPC Data'!$B:$B,Summary!$C113)</f>
        <v>0</v>
      </c>
      <c r="L113" s="65">
        <f ca="1">SUMIFS(OFFSET('BPC Data'!$F:$F,0,Summary!L$2),'BPC Data'!$E:$E,Summary!$D113,'BPC Data'!$B:$B,Summary!$C113)</f>
        <v>0</v>
      </c>
      <c r="M113" s="61">
        <f ca="1">SUMIFS(OFFSET('BPC Data'!$F:$F,0,Summary!M$2),'BPC Data'!$E:$E,Summary!$D113,'BPC Data'!$B:$B,Summary!$C113)</f>
        <v>0</v>
      </c>
      <c r="N113" s="65">
        <f ca="1">SUMIFS(OFFSET('BPC Data'!$F:$F,0,Summary!N$2),'BPC Data'!$E:$E,Summary!$D113,'BPC Data'!$B:$B,Summary!$C113)</f>
        <v>0</v>
      </c>
      <c r="O113" s="61">
        <f ca="1">SUMIFS(OFFSET('BPC Data'!$F:$F,0,Summary!O$2),'BPC Data'!$E:$E,Summary!$D113,'BPC Data'!$B:$B,Summary!$C113)</f>
        <v>0</v>
      </c>
      <c r="P113" s="65">
        <f ca="1">SUMIFS(OFFSET('BPC Data'!$F:$F,0,Summary!P$2),'BPC Data'!$E:$E,Summary!$D113,'BPC Data'!$B:$B,Summary!$C113)</f>
        <v>0</v>
      </c>
      <c r="Q113" s="61">
        <f ca="1">SUMIFS(OFFSET('BPC Data'!$F:$F,0,Summary!Q$2),'BPC Data'!$E:$E,Summary!$D113,'BPC Data'!$B:$B,Summary!$C113)</f>
        <v>0</v>
      </c>
      <c r="R113" s="65">
        <f ca="1">SUMIFS(OFFSET('BPC Data'!$F:$F,0,Summary!R$2),'BPC Data'!$E:$E,Summary!$D113,'BPC Data'!$B:$B,Summary!$C113)</f>
        <v>0</v>
      </c>
      <c r="S113" s="23">
        <f t="shared" ca="1" si="209"/>
        <v>0</v>
      </c>
      <c r="T113" s="75"/>
      <c r="U113" s="4"/>
      <c r="W113"/>
      <c r="X113"/>
      <c r="Y113"/>
      <c r="Z113"/>
      <c r="AA113"/>
      <c r="AB113"/>
      <c r="AC113"/>
      <c r="AD113"/>
      <c r="AE113"/>
      <c r="AF113"/>
      <c r="AG113"/>
      <c r="AH113"/>
      <c r="AJ113" s="14"/>
      <c r="AK113" s="49"/>
      <c r="AL113" s="49"/>
      <c r="AM113" s="49"/>
      <c r="AN113" s="49"/>
      <c r="AO113" s="49"/>
      <c r="AP113" s="49"/>
      <c r="AQ113" s="49"/>
      <c r="AR113" s="49"/>
      <c r="AS113" s="49"/>
      <c r="AT113" s="49"/>
      <c r="AU113" s="49"/>
    </row>
    <row r="114" spans="1:47" s="12" customFormat="1">
      <c r="A114" s="12">
        <f t="shared" si="208"/>
        <v>10</v>
      </c>
      <c r="B114"/>
      <c r="C114" t="str">
        <f>$F108</f>
        <v>Belleville Health Center</v>
      </c>
      <c r="D114" s="2" t="str">
        <f t="shared" si="175"/>
        <v>T_EBITDARM - EBITDARM</v>
      </c>
      <c r="E114"/>
      <c r="F114" s="19" t="str">
        <f>_xll.EVDES(D114)</f>
        <v>EBITDARM</v>
      </c>
      <c r="G114" s="61">
        <f ca="1">SUMIFS(OFFSET('BPC Data'!$F:$F,0,Summary!G$2),'BPC Data'!$E:$E,Summary!$D114,'BPC Data'!$B:$B,Summary!$C114)</f>
        <v>0</v>
      </c>
      <c r="H114" s="65">
        <f ca="1">SUMIFS(OFFSET('BPC Data'!$F:$F,0,Summary!H$2),'BPC Data'!$E:$E,Summary!$D114,'BPC Data'!$B:$B,Summary!$C114)</f>
        <v>0</v>
      </c>
      <c r="I114" s="61">
        <f ca="1">SUMIFS(OFFSET('BPC Data'!$F:$F,0,Summary!I$2),'BPC Data'!$E:$E,Summary!$D114,'BPC Data'!$B:$B,Summary!$C114)</f>
        <v>0</v>
      </c>
      <c r="J114" s="65">
        <f ca="1">SUMIFS(OFFSET('BPC Data'!$F:$F,0,Summary!J$2),'BPC Data'!$E:$E,Summary!$D114,'BPC Data'!$B:$B,Summary!$C114)</f>
        <v>0</v>
      </c>
      <c r="K114" s="61">
        <f ca="1">SUMIFS(OFFSET('BPC Data'!$F:$F,0,Summary!K$2),'BPC Data'!$E:$E,Summary!$D114,'BPC Data'!$B:$B,Summary!$C114)</f>
        <v>0</v>
      </c>
      <c r="L114" s="65">
        <f ca="1">SUMIFS(OFFSET('BPC Data'!$F:$F,0,Summary!L$2),'BPC Data'!$E:$E,Summary!$D114,'BPC Data'!$B:$B,Summary!$C114)</f>
        <v>0</v>
      </c>
      <c r="M114" s="61">
        <f ca="1">SUMIFS(OFFSET('BPC Data'!$F:$F,0,Summary!M$2),'BPC Data'!$E:$E,Summary!$D114,'BPC Data'!$B:$B,Summary!$C114)</f>
        <v>0</v>
      </c>
      <c r="N114" s="65">
        <f ca="1">SUMIFS(OFFSET('BPC Data'!$F:$F,0,Summary!N$2),'BPC Data'!$E:$E,Summary!$D114,'BPC Data'!$B:$B,Summary!$C114)</f>
        <v>0</v>
      </c>
      <c r="O114" s="61">
        <f ca="1">SUMIFS(OFFSET('BPC Data'!$F:$F,0,Summary!O$2),'BPC Data'!$E:$E,Summary!$D114,'BPC Data'!$B:$B,Summary!$C114)</f>
        <v>0</v>
      </c>
      <c r="P114" s="65">
        <f ca="1">SUMIFS(OFFSET('BPC Data'!$F:$F,0,Summary!P$2),'BPC Data'!$E:$E,Summary!$D114,'BPC Data'!$B:$B,Summary!$C114)</f>
        <v>0</v>
      </c>
      <c r="Q114" s="61">
        <f ca="1">SUMIFS(OFFSET('BPC Data'!$F:$F,0,Summary!Q$2),'BPC Data'!$E:$E,Summary!$D114,'BPC Data'!$B:$B,Summary!$C114)</f>
        <v>0</v>
      </c>
      <c r="R114" s="65">
        <f ca="1">SUMIFS(OFFSET('BPC Data'!$F:$F,0,Summary!R$2),'BPC Data'!$E:$E,Summary!$D114,'BPC Data'!$B:$B,Summary!$C114)</f>
        <v>0</v>
      </c>
      <c r="S114" s="23">
        <f t="shared" ca="1" si="209"/>
        <v>0</v>
      </c>
      <c r="T114" s="74">
        <f>SUM(W114:AH114)</f>
        <v>0</v>
      </c>
      <c r="U114" s="54">
        <f ca="1">T114-S114</f>
        <v>0</v>
      </c>
      <c r="W114" s="50"/>
      <c r="X114" s="50"/>
      <c r="Y114" s="50"/>
      <c r="Z114" s="50"/>
      <c r="AA114" s="50"/>
      <c r="AB114" s="50"/>
      <c r="AC114" s="50"/>
      <c r="AD114" s="50"/>
      <c r="AE114" s="50"/>
      <c r="AF114" s="50"/>
      <c r="AG114" s="50"/>
      <c r="AH114" s="50"/>
      <c r="AJ114" s="14">
        <f t="shared" ref="AJ114:AU117" ca="1" si="211">W114-G114</f>
        <v>0</v>
      </c>
      <c r="AK114" s="14">
        <f t="shared" ca="1" si="211"/>
        <v>0</v>
      </c>
      <c r="AL114" s="14">
        <f t="shared" ca="1" si="211"/>
        <v>0</v>
      </c>
      <c r="AM114" s="14">
        <f t="shared" ca="1" si="211"/>
        <v>0</v>
      </c>
      <c r="AN114" s="14">
        <f t="shared" ca="1" si="211"/>
        <v>0</v>
      </c>
      <c r="AO114" s="14">
        <f t="shared" ca="1" si="211"/>
        <v>0</v>
      </c>
      <c r="AP114" s="14">
        <f t="shared" ca="1" si="211"/>
        <v>0</v>
      </c>
      <c r="AQ114" s="14">
        <f t="shared" ca="1" si="211"/>
        <v>0</v>
      </c>
      <c r="AR114" s="14">
        <f t="shared" ca="1" si="211"/>
        <v>0</v>
      </c>
      <c r="AS114" s="14">
        <f t="shared" ca="1" si="211"/>
        <v>0</v>
      </c>
      <c r="AT114" s="14">
        <f t="shared" ca="1" si="211"/>
        <v>0</v>
      </c>
      <c r="AU114" s="14">
        <f t="shared" ca="1" si="211"/>
        <v>0</v>
      </c>
    </row>
    <row r="115" spans="1:47" s="12" customFormat="1">
      <c r="A115" s="12">
        <f t="shared" si="208"/>
        <v>10</v>
      </c>
      <c r="B115"/>
      <c r="C115" t="str">
        <f>$F108</f>
        <v>Belleville Health Center</v>
      </c>
      <c r="D115" s="2" t="str">
        <f t="shared" si="175"/>
        <v>T_MGMT_FEE - Tenant Management Fee - Actual</v>
      </c>
      <c r="E115"/>
      <c r="F115" s="19" t="str">
        <f>_xll.EVDES(D115)</f>
        <v>Tenant Management Fee - Actual</v>
      </c>
      <c r="G115" s="61">
        <f ca="1">SUMIFS(OFFSET('BPC Data'!$F:$F,0,Summary!G$2),'BPC Data'!$E:$E,Summary!$D115,'BPC Data'!$B:$B,Summary!$C115)</f>
        <v>0</v>
      </c>
      <c r="H115" s="65">
        <f ca="1">SUMIFS(OFFSET('BPC Data'!$F:$F,0,Summary!H$2),'BPC Data'!$E:$E,Summary!$D115,'BPC Data'!$B:$B,Summary!$C115)</f>
        <v>0</v>
      </c>
      <c r="I115" s="61">
        <f ca="1">SUMIFS(OFFSET('BPC Data'!$F:$F,0,Summary!I$2),'BPC Data'!$E:$E,Summary!$D115,'BPC Data'!$B:$B,Summary!$C115)</f>
        <v>0</v>
      </c>
      <c r="J115" s="65">
        <f ca="1">SUMIFS(OFFSET('BPC Data'!$F:$F,0,Summary!J$2),'BPC Data'!$E:$E,Summary!$D115,'BPC Data'!$B:$B,Summary!$C115)</f>
        <v>0</v>
      </c>
      <c r="K115" s="61">
        <f ca="1">SUMIFS(OFFSET('BPC Data'!$F:$F,0,Summary!K$2),'BPC Data'!$E:$E,Summary!$D115,'BPC Data'!$B:$B,Summary!$C115)</f>
        <v>0</v>
      </c>
      <c r="L115" s="65">
        <f ca="1">SUMIFS(OFFSET('BPC Data'!$F:$F,0,Summary!L$2),'BPC Data'!$E:$E,Summary!$D115,'BPC Data'!$B:$B,Summary!$C115)</f>
        <v>0</v>
      </c>
      <c r="M115" s="61">
        <f ca="1">SUMIFS(OFFSET('BPC Data'!$F:$F,0,Summary!M$2),'BPC Data'!$E:$E,Summary!$D115,'BPC Data'!$B:$B,Summary!$C115)</f>
        <v>0</v>
      </c>
      <c r="N115" s="65">
        <f ca="1">SUMIFS(OFFSET('BPC Data'!$F:$F,0,Summary!N$2),'BPC Data'!$E:$E,Summary!$D115,'BPC Data'!$B:$B,Summary!$C115)</f>
        <v>0</v>
      </c>
      <c r="O115" s="61">
        <f ca="1">SUMIFS(OFFSET('BPC Data'!$F:$F,0,Summary!O$2),'BPC Data'!$E:$E,Summary!$D115,'BPC Data'!$B:$B,Summary!$C115)</f>
        <v>0</v>
      </c>
      <c r="P115" s="65">
        <f ca="1">SUMIFS(OFFSET('BPC Data'!$F:$F,0,Summary!P$2),'BPC Data'!$E:$E,Summary!$D115,'BPC Data'!$B:$B,Summary!$C115)</f>
        <v>0</v>
      </c>
      <c r="Q115" s="61">
        <f ca="1">SUMIFS(OFFSET('BPC Data'!$F:$F,0,Summary!Q$2),'BPC Data'!$E:$E,Summary!$D115,'BPC Data'!$B:$B,Summary!$C115)</f>
        <v>0</v>
      </c>
      <c r="R115" s="65">
        <f ca="1">SUMIFS(OFFSET('BPC Data'!$F:$F,0,Summary!R$2),'BPC Data'!$E:$E,Summary!$D115,'BPC Data'!$B:$B,Summary!$C115)</f>
        <v>0</v>
      </c>
      <c r="S115" s="23">
        <f t="shared" ca="1" si="209"/>
        <v>0</v>
      </c>
      <c r="T115" s="74">
        <f>SUM(W115:AH115)</f>
        <v>0</v>
      </c>
      <c r="U115" s="54">
        <f ca="1">T115-S115</f>
        <v>0</v>
      </c>
      <c r="W115" s="4"/>
      <c r="X115" s="4"/>
      <c r="Y115" s="4"/>
      <c r="Z115" s="4"/>
      <c r="AA115" s="4"/>
      <c r="AB115" s="4"/>
      <c r="AC115" s="4"/>
      <c r="AD115" s="4"/>
      <c r="AE115" s="4"/>
      <c r="AF115" s="4"/>
      <c r="AG115" s="4"/>
      <c r="AH115" s="4"/>
      <c r="AJ115" s="14">
        <f t="shared" ca="1" si="211"/>
        <v>0</v>
      </c>
      <c r="AK115" s="14">
        <f t="shared" ca="1" si="211"/>
        <v>0</v>
      </c>
      <c r="AL115" s="14">
        <f t="shared" ca="1" si="211"/>
        <v>0</v>
      </c>
      <c r="AM115" s="14">
        <f t="shared" ca="1" si="211"/>
        <v>0</v>
      </c>
      <c r="AN115" s="14">
        <f t="shared" ca="1" si="211"/>
        <v>0</v>
      </c>
      <c r="AO115" s="14">
        <f t="shared" ca="1" si="211"/>
        <v>0</v>
      </c>
      <c r="AP115" s="14">
        <f t="shared" ca="1" si="211"/>
        <v>0</v>
      </c>
      <c r="AQ115" s="14">
        <f t="shared" ca="1" si="211"/>
        <v>0</v>
      </c>
      <c r="AR115" s="14">
        <f t="shared" ca="1" si="211"/>
        <v>0</v>
      </c>
      <c r="AS115" s="14">
        <f t="shared" ca="1" si="211"/>
        <v>0</v>
      </c>
      <c r="AT115" s="14">
        <f t="shared" ca="1" si="211"/>
        <v>0</v>
      </c>
      <c r="AU115" s="14">
        <f t="shared" ca="1" si="211"/>
        <v>0</v>
      </c>
    </row>
    <row r="116" spans="1:47" s="12" customFormat="1">
      <c r="A116" s="12">
        <f t="shared" si="208"/>
        <v>10</v>
      </c>
      <c r="B116"/>
      <c r="C116" t="str">
        <f>$F108</f>
        <v>Belleville Health Center</v>
      </c>
      <c r="D116" s="1" t="str">
        <f t="shared" si="175"/>
        <v>T_EBITDAR - EBITDAR</v>
      </c>
      <c r="E116"/>
      <c r="F116" s="19" t="str">
        <f>_xll.EVDES(D116)</f>
        <v>EBITDAR</v>
      </c>
      <c r="G116" s="61">
        <f ca="1">SUMIFS(OFFSET('BPC Data'!$F:$F,0,Summary!G$2),'BPC Data'!$E:$E,Summary!$D116,'BPC Data'!$B:$B,Summary!$C116)</f>
        <v>0</v>
      </c>
      <c r="H116" s="65">
        <f ca="1">SUMIFS(OFFSET('BPC Data'!$F:$F,0,Summary!H$2),'BPC Data'!$E:$E,Summary!$D116,'BPC Data'!$B:$B,Summary!$C116)</f>
        <v>0</v>
      </c>
      <c r="I116" s="61">
        <f ca="1">SUMIFS(OFFSET('BPC Data'!$F:$F,0,Summary!I$2),'BPC Data'!$E:$E,Summary!$D116,'BPC Data'!$B:$B,Summary!$C116)</f>
        <v>0</v>
      </c>
      <c r="J116" s="65">
        <f ca="1">SUMIFS(OFFSET('BPC Data'!$F:$F,0,Summary!J$2),'BPC Data'!$E:$E,Summary!$D116,'BPC Data'!$B:$B,Summary!$C116)</f>
        <v>0</v>
      </c>
      <c r="K116" s="61">
        <f ca="1">SUMIFS(OFFSET('BPC Data'!$F:$F,0,Summary!K$2),'BPC Data'!$E:$E,Summary!$D116,'BPC Data'!$B:$B,Summary!$C116)</f>
        <v>0</v>
      </c>
      <c r="L116" s="65">
        <f ca="1">SUMIFS(OFFSET('BPC Data'!$F:$F,0,Summary!L$2),'BPC Data'!$E:$E,Summary!$D116,'BPC Data'!$B:$B,Summary!$C116)</f>
        <v>0</v>
      </c>
      <c r="M116" s="61">
        <f ca="1">SUMIFS(OFFSET('BPC Data'!$F:$F,0,Summary!M$2),'BPC Data'!$E:$E,Summary!$D116,'BPC Data'!$B:$B,Summary!$C116)</f>
        <v>0</v>
      </c>
      <c r="N116" s="65">
        <f ca="1">SUMIFS(OFFSET('BPC Data'!$F:$F,0,Summary!N$2),'BPC Data'!$E:$E,Summary!$D116,'BPC Data'!$B:$B,Summary!$C116)</f>
        <v>0</v>
      </c>
      <c r="O116" s="61">
        <f ca="1">SUMIFS(OFFSET('BPC Data'!$F:$F,0,Summary!O$2),'BPC Data'!$E:$E,Summary!$D116,'BPC Data'!$B:$B,Summary!$C116)</f>
        <v>0</v>
      </c>
      <c r="P116" s="65">
        <f ca="1">SUMIFS(OFFSET('BPC Data'!$F:$F,0,Summary!P$2),'BPC Data'!$E:$E,Summary!$D116,'BPC Data'!$B:$B,Summary!$C116)</f>
        <v>0</v>
      </c>
      <c r="Q116" s="61">
        <f ca="1">SUMIFS(OFFSET('BPC Data'!$F:$F,0,Summary!Q$2),'BPC Data'!$E:$E,Summary!$D116,'BPC Data'!$B:$B,Summary!$C116)</f>
        <v>0</v>
      </c>
      <c r="R116" s="65">
        <f ca="1">SUMIFS(OFFSET('BPC Data'!$F:$F,0,Summary!R$2),'BPC Data'!$E:$E,Summary!$D116,'BPC Data'!$B:$B,Summary!$C116)</f>
        <v>0</v>
      </c>
      <c r="S116" s="23">
        <f t="shared" ca="1" si="209"/>
        <v>0</v>
      </c>
      <c r="T116" s="74">
        <f>SUM(W116:AH116)</f>
        <v>0</v>
      </c>
      <c r="U116" s="54">
        <f ca="1">T116-S116</f>
        <v>0</v>
      </c>
      <c r="W116" s="50"/>
      <c r="X116" s="50"/>
      <c r="Y116" s="50"/>
      <c r="Z116" s="50"/>
      <c r="AA116" s="50"/>
      <c r="AB116" s="50"/>
      <c r="AC116" s="50"/>
      <c r="AD116" s="50"/>
      <c r="AE116" s="50"/>
      <c r="AF116" s="50"/>
      <c r="AG116" s="50"/>
      <c r="AH116" s="50"/>
      <c r="AJ116" s="14">
        <f t="shared" ca="1" si="211"/>
        <v>0</v>
      </c>
      <c r="AK116" s="14">
        <f t="shared" ca="1" si="211"/>
        <v>0</v>
      </c>
      <c r="AL116" s="14">
        <f t="shared" ca="1" si="211"/>
        <v>0</v>
      </c>
      <c r="AM116" s="14">
        <f t="shared" ca="1" si="211"/>
        <v>0</v>
      </c>
      <c r="AN116" s="14">
        <f t="shared" ca="1" si="211"/>
        <v>0</v>
      </c>
      <c r="AO116" s="14">
        <f t="shared" ca="1" si="211"/>
        <v>0</v>
      </c>
      <c r="AP116" s="14">
        <f t="shared" ca="1" si="211"/>
        <v>0</v>
      </c>
      <c r="AQ116" s="14">
        <f t="shared" ca="1" si="211"/>
        <v>0</v>
      </c>
      <c r="AR116" s="14">
        <f t="shared" ca="1" si="211"/>
        <v>0</v>
      </c>
      <c r="AS116" s="14">
        <f t="shared" ca="1" si="211"/>
        <v>0</v>
      </c>
      <c r="AT116" s="14">
        <f t="shared" ca="1" si="211"/>
        <v>0</v>
      </c>
      <c r="AU116" s="14">
        <f t="shared" ca="1" si="211"/>
        <v>0</v>
      </c>
    </row>
    <row r="117" spans="1:47" s="12" customFormat="1">
      <c r="A117" s="12">
        <f t="shared" si="208"/>
        <v>10</v>
      </c>
      <c r="B117"/>
      <c r="C117" t="str">
        <f>$F108</f>
        <v>Belleville Health Center</v>
      </c>
      <c r="D117" s="1" t="str">
        <f t="shared" si="175"/>
        <v>T_RENT_EXP - Tenant Rent Expense</v>
      </c>
      <c r="E117"/>
      <c r="F117" s="19" t="str">
        <f>_xll.EVDES(D117)</f>
        <v>Tenant Rent Expense</v>
      </c>
      <c r="G117" s="61">
        <f ca="1">SUMIFS(OFFSET('BPC Data'!$F:$F,0,Summary!G$2),'BPC Data'!$E:$E,Summary!$D117,'BPC Data'!$B:$B,Summary!$C117)</f>
        <v>0</v>
      </c>
      <c r="H117" s="65">
        <f ca="1">SUMIFS(OFFSET('BPC Data'!$F:$F,0,Summary!H$2),'BPC Data'!$E:$E,Summary!$D117,'BPC Data'!$B:$B,Summary!$C117)</f>
        <v>0</v>
      </c>
      <c r="I117" s="61">
        <f ca="1">SUMIFS(OFFSET('BPC Data'!$F:$F,0,Summary!I$2),'BPC Data'!$E:$E,Summary!$D117,'BPC Data'!$B:$B,Summary!$C117)</f>
        <v>0</v>
      </c>
      <c r="J117" s="65">
        <f ca="1">SUMIFS(OFFSET('BPC Data'!$F:$F,0,Summary!J$2),'BPC Data'!$E:$E,Summary!$D117,'BPC Data'!$B:$B,Summary!$C117)</f>
        <v>0</v>
      </c>
      <c r="K117" s="61">
        <f ca="1">SUMIFS(OFFSET('BPC Data'!$F:$F,0,Summary!K$2),'BPC Data'!$E:$E,Summary!$D117,'BPC Data'!$B:$B,Summary!$C117)</f>
        <v>0</v>
      </c>
      <c r="L117" s="65">
        <f ca="1">SUMIFS(OFFSET('BPC Data'!$F:$F,0,Summary!L$2),'BPC Data'!$E:$E,Summary!$D117,'BPC Data'!$B:$B,Summary!$C117)</f>
        <v>0</v>
      </c>
      <c r="M117" s="61">
        <f ca="1">SUMIFS(OFFSET('BPC Data'!$F:$F,0,Summary!M$2),'BPC Data'!$E:$E,Summary!$D117,'BPC Data'!$B:$B,Summary!$C117)</f>
        <v>0</v>
      </c>
      <c r="N117" s="65">
        <f ca="1">SUMIFS(OFFSET('BPC Data'!$F:$F,0,Summary!N$2),'BPC Data'!$E:$E,Summary!$D117,'BPC Data'!$B:$B,Summary!$C117)</f>
        <v>0</v>
      </c>
      <c r="O117" s="61">
        <f ca="1">SUMIFS(OFFSET('BPC Data'!$F:$F,0,Summary!O$2),'BPC Data'!$E:$E,Summary!$D117,'BPC Data'!$B:$B,Summary!$C117)</f>
        <v>0</v>
      </c>
      <c r="P117" s="65">
        <f ca="1">SUMIFS(OFFSET('BPC Data'!$F:$F,0,Summary!P$2),'BPC Data'!$E:$E,Summary!$D117,'BPC Data'!$B:$B,Summary!$C117)</f>
        <v>0</v>
      </c>
      <c r="Q117" s="61">
        <f ca="1">SUMIFS(OFFSET('BPC Data'!$F:$F,0,Summary!Q$2),'BPC Data'!$E:$E,Summary!$D117,'BPC Data'!$B:$B,Summary!$C117)</f>
        <v>0</v>
      </c>
      <c r="R117" s="65">
        <f ca="1">SUMIFS(OFFSET('BPC Data'!$F:$F,0,Summary!R$2),'BPC Data'!$E:$E,Summary!$D117,'BPC Data'!$B:$B,Summary!$C117)</f>
        <v>0</v>
      </c>
      <c r="S117" s="23">
        <f t="shared" ca="1" si="209"/>
        <v>0</v>
      </c>
      <c r="T117" s="74">
        <f ca="1">SUM(W117:AH117)</f>
        <v>0</v>
      </c>
      <c r="U117" s="54">
        <f ca="1">T117-S117</f>
        <v>0</v>
      </c>
      <c r="W117" s="4"/>
      <c r="X117" s="4"/>
      <c r="Y117" s="4"/>
      <c r="Z117" s="4"/>
      <c r="AA117" s="4"/>
      <c r="AB117" s="4"/>
      <c r="AC117" s="4"/>
      <c r="AD117" s="4"/>
      <c r="AE117" s="4"/>
      <c r="AF117" s="4"/>
      <c r="AG117" s="4">
        <f ca="1">SUMIFS(INDIRECT("'"&amp;$W$107&amp;"'"&amp;"!$l$64:$l$5000"),INDIRECT("'"&amp;$W$107&amp;"'"&amp;"!$A$64:$A$5000"),$W$3)+SUMIFS(INDIRECT("'"&amp;$W$107&amp;"'"&amp;"!$l$64:$l$5000"),INDIRECT("'"&amp;$W$107&amp;"'"&amp;"!$A$64:$A$5000"),$W$4)</f>
        <v>0</v>
      </c>
      <c r="AH117" s="4">
        <f ca="1">SUMIFS(INDIRECT("'"&amp;$W$107&amp;"'"&amp;"!$m$64:$m$5000"),INDIRECT("'"&amp;$W$107&amp;"'"&amp;"!$A$64:$A$5000"),$W$3)+SUMIFS(INDIRECT("'"&amp;$W$107&amp;"'"&amp;"!$m$64:$m$5000"),INDIRECT("'"&amp;$W$107&amp;"'"&amp;"!$A$64:$A$5000"),$W$4)</f>
        <v>0</v>
      </c>
      <c r="AJ117" s="14">
        <f t="shared" ca="1" si="211"/>
        <v>0</v>
      </c>
      <c r="AK117" s="14">
        <f t="shared" ca="1" si="211"/>
        <v>0</v>
      </c>
      <c r="AL117" s="14">
        <f t="shared" ca="1" si="211"/>
        <v>0</v>
      </c>
      <c r="AM117" s="14">
        <f t="shared" ca="1" si="211"/>
        <v>0</v>
      </c>
      <c r="AN117" s="14">
        <f t="shared" ca="1" si="211"/>
        <v>0</v>
      </c>
      <c r="AO117" s="14">
        <f t="shared" ca="1" si="211"/>
        <v>0</v>
      </c>
      <c r="AP117" s="14">
        <f t="shared" ca="1" si="211"/>
        <v>0</v>
      </c>
      <c r="AQ117" s="14">
        <f t="shared" ca="1" si="211"/>
        <v>0</v>
      </c>
      <c r="AR117" s="14">
        <f t="shared" ca="1" si="211"/>
        <v>0</v>
      </c>
      <c r="AS117" s="14">
        <f t="shared" ca="1" si="211"/>
        <v>0</v>
      </c>
      <c r="AT117" s="14">
        <f t="shared" ca="1" si="211"/>
        <v>0</v>
      </c>
      <c r="AU117" s="14">
        <f t="shared" ca="1" si="211"/>
        <v>0</v>
      </c>
    </row>
    <row r="118" spans="1:47" s="12" customFormat="1">
      <c r="A118" s="12">
        <f t="shared" si="208"/>
        <v>10</v>
      </c>
      <c r="B118"/>
      <c r="C118"/>
      <c r="D118" s="1" t="str">
        <f t="shared" si="175"/>
        <v>x</v>
      </c>
      <c r="E118"/>
      <c r="F118" s="19" t="s">
        <v>0</v>
      </c>
      <c r="G118" s="61">
        <f ca="1">SUMIFS(OFFSET('BPC Data'!$F:$F,0,Summary!G$2),'BPC Data'!$E:$E,Summary!$D118,'BPC Data'!$B:$B,Summary!$C118)</f>
        <v>0</v>
      </c>
      <c r="H118" s="65">
        <f ca="1">SUMIFS(OFFSET('BPC Data'!$F:$F,0,Summary!H$2),'BPC Data'!$E:$E,Summary!$D118,'BPC Data'!$B:$B,Summary!$C118)</f>
        <v>0</v>
      </c>
      <c r="I118" s="61">
        <f ca="1">SUMIFS(OFFSET('BPC Data'!$F:$F,0,Summary!I$2),'BPC Data'!$E:$E,Summary!$D118,'BPC Data'!$B:$B,Summary!$C118)</f>
        <v>0</v>
      </c>
      <c r="J118" s="65">
        <f ca="1">SUMIFS(OFFSET('BPC Data'!$F:$F,0,Summary!J$2),'BPC Data'!$E:$E,Summary!$D118,'BPC Data'!$B:$B,Summary!$C118)</f>
        <v>0</v>
      </c>
      <c r="K118" s="61">
        <f ca="1">SUMIFS(OFFSET('BPC Data'!$F:$F,0,Summary!K$2),'BPC Data'!$E:$E,Summary!$D118,'BPC Data'!$B:$B,Summary!$C118)</f>
        <v>0</v>
      </c>
      <c r="L118" s="65">
        <f ca="1">SUMIFS(OFFSET('BPC Data'!$F:$F,0,Summary!L$2),'BPC Data'!$E:$E,Summary!$D118,'BPC Data'!$B:$B,Summary!$C118)</f>
        <v>0</v>
      </c>
      <c r="M118" s="61">
        <f ca="1">SUMIFS(OFFSET('BPC Data'!$F:$F,0,Summary!M$2),'BPC Data'!$E:$E,Summary!$D118,'BPC Data'!$B:$B,Summary!$C118)</f>
        <v>0</v>
      </c>
      <c r="N118" s="65">
        <f ca="1">SUMIFS(OFFSET('BPC Data'!$F:$F,0,Summary!N$2),'BPC Data'!$E:$E,Summary!$D118,'BPC Data'!$B:$B,Summary!$C118)</f>
        <v>0</v>
      </c>
      <c r="O118" s="61">
        <f ca="1">SUMIFS(OFFSET('BPC Data'!$F:$F,0,Summary!O$2),'BPC Data'!$E:$E,Summary!$D118,'BPC Data'!$B:$B,Summary!$C118)</f>
        <v>0</v>
      </c>
      <c r="P118" s="65">
        <f ca="1">SUMIFS(OFFSET('BPC Data'!$F:$F,0,Summary!P$2),'BPC Data'!$E:$E,Summary!$D118,'BPC Data'!$B:$B,Summary!$C118)</f>
        <v>0</v>
      </c>
      <c r="Q118" s="61">
        <f ca="1">SUMIFS(OFFSET('BPC Data'!$F:$F,0,Summary!Q$2),'BPC Data'!$E:$E,Summary!$D118,'BPC Data'!$B:$B,Summary!$C118)</f>
        <v>0</v>
      </c>
      <c r="R118" s="65">
        <f ca="1">SUMIFS(OFFSET('BPC Data'!$F:$F,0,Summary!R$2),'BPC Data'!$E:$E,Summary!$D118,'BPC Data'!$B:$B,Summary!$C118)</f>
        <v>0</v>
      </c>
      <c r="S118" s="23">
        <f ca="1">SUM(G118:M118)</f>
        <v>0</v>
      </c>
      <c r="T118" s="76"/>
      <c r="W118" t="s">
        <v>304</v>
      </c>
      <c r="X118"/>
      <c r="Y118"/>
      <c r="Z118"/>
      <c r="AA118"/>
      <c r="AB118"/>
      <c r="AC118"/>
      <c r="AD118"/>
      <c r="AE118"/>
      <c r="AF118"/>
      <c r="AG118"/>
      <c r="AH118"/>
      <c r="AJ118" s="49"/>
      <c r="AK118" s="49"/>
      <c r="AL118" s="49"/>
      <c r="AM118" s="49"/>
      <c r="AN118" s="49"/>
      <c r="AO118" s="49"/>
      <c r="AP118" s="49"/>
      <c r="AQ118" s="49"/>
      <c r="AR118" s="49"/>
      <c r="AS118" s="49"/>
      <c r="AT118" s="49"/>
      <c r="AU118" s="49"/>
    </row>
    <row r="119" spans="1:47" s="12" customFormat="1">
      <c r="A119" s="12">
        <f>IF(AND(D119&lt;&gt;"",C119=""),A118+1,A118)</f>
        <v>11</v>
      </c>
      <c r="B119" s="5"/>
      <c r="C119" s="5"/>
      <c r="D119" s="5" t="str">
        <f t="shared" si="175"/>
        <v>x</v>
      </c>
      <c r="E119" s="5"/>
      <c r="F119" s="18" t="str">
        <f>INDEX(PropertyList!$D:$D,MATCH(Summary!$A119,PropertyList!$C:$C,0))</f>
        <v>Arbor Court Retirement Community at Alvamar</v>
      </c>
      <c r="G119" s="61">
        <f ca="1">SUMIFS(OFFSET('BPC Data'!$F:$F,0,Summary!G$2),'BPC Data'!$E:$E,Summary!$D119,'BPC Data'!$B:$B,Summary!$C119)</f>
        <v>0</v>
      </c>
      <c r="H119" s="65">
        <f ca="1">SUMIFS(OFFSET('BPC Data'!$F:$F,0,Summary!H$2),'BPC Data'!$E:$E,Summary!$D119,'BPC Data'!$B:$B,Summary!$C119)</f>
        <v>0</v>
      </c>
      <c r="I119" s="61">
        <f ca="1">SUMIFS(OFFSET('BPC Data'!$F:$F,0,Summary!I$2),'BPC Data'!$E:$E,Summary!$D119,'BPC Data'!$B:$B,Summary!$C119)</f>
        <v>0</v>
      </c>
      <c r="J119" s="65">
        <f ca="1">SUMIFS(OFFSET('BPC Data'!$F:$F,0,Summary!J$2),'BPC Data'!$E:$E,Summary!$D119,'BPC Data'!$B:$B,Summary!$C119)</f>
        <v>0</v>
      </c>
      <c r="K119" s="61">
        <f ca="1">SUMIFS(OFFSET('BPC Data'!$F:$F,0,Summary!K$2),'BPC Data'!$E:$E,Summary!$D119,'BPC Data'!$B:$B,Summary!$C119)</f>
        <v>0</v>
      </c>
      <c r="L119" s="65">
        <f ca="1">SUMIFS(OFFSET('BPC Data'!$F:$F,0,Summary!L$2),'BPC Data'!$E:$E,Summary!$D119,'BPC Data'!$B:$B,Summary!$C119)</f>
        <v>0</v>
      </c>
      <c r="M119" s="61">
        <f ca="1">SUMIFS(OFFSET('BPC Data'!$F:$F,0,Summary!M$2),'BPC Data'!$E:$E,Summary!$D119,'BPC Data'!$B:$B,Summary!$C119)</f>
        <v>0</v>
      </c>
      <c r="N119" s="65">
        <f ca="1">SUMIFS(OFFSET('BPC Data'!$F:$F,0,Summary!N$2),'BPC Data'!$E:$E,Summary!$D119,'BPC Data'!$B:$B,Summary!$C119)</f>
        <v>0</v>
      </c>
      <c r="O119" s="61">
        <f ca="1">SUMIFS(OFFSET('BPC Data'!$F:$F,0,Summary!O$2),'BPC Data'!$E:$E,Summary!$D119,'BPC Data'!$B:$B,Summary!$C119)</f>
        <v>0</v>
      </c>
      <c r="P119" s="65">
        <f ca="1">SUMIFS(OFFSET('BPC Data'!$F:$F,0,Summary!P$2),'BPC Data'!$E:$E,Summary!$D119,'BPC Data'!$B:$B,Summary!$C119)</f>
        <v>0</v>
      </c>
      <c r="Q119" s="61">
        <f ca="1">SUMIFS(OFFSET('BPC Data'!$F:$F,0,Summary!Q$2),'BPC Data'!$E:$E,Summary!$D119,'BPC Data'!$B:$B,Summary!$C119)</f>
        <v>0</v>
      </c>
      <c r="R119" s="65">
        <f ca="1">SUMIFS(OFFSET('BPC Data'!$F:$F,0,Summary!R$2),'BPC Data'!$E:$E,Summary!$D119,'BPC Data'!$B:$B,Summary!$C119)</f>
        <v>0</v>
      </c>
      <c r="S119" s="23">
        <f ca="1">SUM(G119:M119)</f>
        <v>0</v>
      </c>
      <c r="T119" s="76"/>
      <c r="W119" s="5" t="str">
        <f t="shared" ref="W119:AH119" si="212">+G$8</f>
        <v>Aug 2021</v>
      </c>
      <c r="X119" s="5" t="str">
        <f t="shared" si="212"/>
        <v>Sep 2021</v>
      </c>
      <c r="Y119" s="5" t="str">
        <f t="shared" si="212"/>
        <v>Oct 2021</v>
      </c>
      <c r="Z119" s="5" t="str">
        <f t="shared" si="212"/>
        <v>Nov 2021</v>
      </c>
      <c r="AA119" s="5" t="str">
        <f t="shared" si="212"/>
        <v>Dec 2021</v>
      </c>
      <c r="AB119" s="5" t="str">
        <f t="shared" si="212"/>
        <v>Jan 2022</v>
      </c>
      <c r="AC119" s="5" t="str">
        <f t="shared" si="212"/>
        <v>Feb 2022</v>
      </c>
      <c r="AD119" s="5" t="str">
        <f t="shared" si="212"/>
        <v>Mar 2022</v>
      </c>
      <c r="AE119" s="5" t="str">
        <f t="shared" si="212"/>
        <v>Apr 2022</v>
      </c>
      <c r="AF119" s="5" t="str">
        <f t="shared" si="212"/>
        <v>May 2022</v>
      </c>
      <c r="AG119" s="5" t="str">
        <f t="shared" si="212"/>
        <v>Jun 2022</v>
      </c>
      <c r="AH119" s="5" t="str">
        <f t="shared" si="212"/>
        <v>Jul 2022</v>
      </c>
      <c r="AJ119" s="174" t="str">
        <f>W$9</f>
        <v>Aug 2021</v>
      </c>
      <c r="AK119" s="174" t="str">
        <f t="shared" ref="AK119" si="213">X$9</f>
        <v>Sep 2021</v>
      </c>
      <c r="AL119" s="174" t="str">
        <f t="shared" ref="AL119" si="214">Y$9</f>
        <v>Oct 2021</v>
      </c>
      <c r="AM119" s="174" t="str">
        <f t="shared" ref="AM119" si="215">Z$9</f>
        <v>Nov 2021</v>
      </c>
      <c r="AN119" s="174" t="str">
        <f t="shared" ref="AN119:AO119" si="216">AA$9</f>
        <v>Dec 2021</v>
      </c>
      <c r="AO119" s="174" t="str">
        <f t="shared" si="216"/>
        <v>Jan 2022</v>
      </c>
      <c r="AP119" s="174" t="str">
        <f t="shared" ref="AP119" si="217">AC$9</f>
        <v>Feb 2022</v>
      </c>
      <c r="AQ119" s="174" t="str">
        <f t="shared" ref="AQ119" si="218">AD$9</f>
        <v>Mar 2022</v>
      </c>
      <c r="AR119" s="174" t="str">
        <f t="shared" ref="AR119" si="219">AE$9</f>
        <v>Apr 2022</v>
      </c>
      <c r="AS119" s="174" t="str">
        <f t="shared" ref="AS119" si="220">AF$9</f>
        <v>May 2022</v>
      </c>
      <c r="AT119" s="174" t="str">
        <f t="shared" ref="AT119" si="221">AG$9</f>
        <v>Jun 2022</v>
      </c>
      <c r="AU119" s="174" t="str">
        <f t="shared" ref="AU119" si="222">AH$9</f>
        <v>Jul 2022</v>
      </c>
    </row>
    <row r="120" spans="1:47" s="12" customFormat="1">
      <c r="A120" s="12">
        <f>IF(AND(F120&lt;&gt;"",D120=""),A119+1,A119)</f>
        <v>11</v>
      </c>
      <c r="C120" t="str">
        <f>$F119</f>
        <v>Arbor Court Retirement Community at Alvamar</v>
      </c>
      <c r="D120" s="3" t="str">
        <f t="shared" si="175"/>
        <v>PAY_PAT_DAYS - Total Payor Patient Days</v>
      </c>
      <c r="F120" s="19" t="str">
        <f>_xll.EVDES(D120)</f>
        <v>Total Payor Patient Days</v>
      </c>
      <c r="G120" s="61">
        <f ca="1">SUMIFS(OFFSET('BPC Data'!$F:$F,0,Summary!G$2),'BPC Data'!$E:$E,Summary!$D120,'BPC Data'!$B:$B,Summary!$C120)</f>
        <v>1786</v>
      </c>
      <c r="H120" s="65">
        <f ca="1">SUMIFS(OFFSET('BPC Data'!$F:$F,0,Summary!H$2),'BPC Data'!$E:$E,Summary!$D120,'BPC Data'!$B:$B,Summary!$C120)</f>
        <v>1710</v>
      </c>
      <c r="I120" s="61">
        <f ca="1">SUMIFS(OFFSET('BPC Data'!$F:$F,0,Summary!I$2),'BPC Data'!$E:$E,Summary!$D120,'BPC Data'!$B:$B,Summary!$C120)</f>
        <v>974</v>
      </c>
      <c r="J120" s="65">
        <f ca="1">SUMIFS(OFFSET('BPC Data'!$F:$F,0,Summary!J$2),'BPC Data'!$E:$E,Summary!$D120,'BPC Data'!$B:$B,Summary!$C120)</f>
        <v>1672</v>
      </c>
      <c r="K120" s="61">
        <f ca="1">SUMIFS(OFFSET('BPC Data'!$F:$F,0,Summary!K$2),'BPC Data'!$E:$E,Summary!$D120,'BPC Data'!$B:$B,Summary!$C120)</f>
        <v>1767</v>
      </c>
      <c r="L120" s="65">
        <f ca="1">SUMIFS(OFFSET('BPC Data'!$F:$F,0,Summary!L$2),'BPC Data'!$E:$E,Summary!$D120,'BPC Data'!$B:$B,Summary!$C120)</f>
        <v>1760</v>
      </c>
      <c r="M120" s="61">
        <f ca="1">SUMIFS(OFFSET('BPC Data'!$F:$F,0,Summary!M$2),'BPC Data'!$E:$E,Summary!$D120,'BPC Data'!$B:$B,Summary!$C120)</f>
        <v>1621</v>
      </c>
      <c r="N120" s="65">
        <f ca="1">SUMIFS(OFFSET('BPC Data'!$F:$F,0,Summary!N$2),'BPC Data'!$E:$E,Summary!$D120,'BPC Data'!$B:$B,Summary!$C120)</f>
        <v>1822</v>
      </c>
      <c r="O120" s="61">
        <f ca="1">SUMIFS(OFFSET('BPC Data'!$F:$F,0,Summary!O$2),'BPC Data'!$E:$E,Summary!$D120,'BPC Data'!$B:$B,Summary!$C120)</f>
        <v>1783</v>
      </c>
      <c r="P120" s="65">
        <f ca="1">SUMIFS(OFFSET('BPC Data'!$F:$F,0,Summary!P$2),'BPC Data'!$E:$E,Summary!$D120,'BPC Data'!$B:$B,Summary!$C120)</f>
        <v>1841</v>
      </c>
      <c r="Q120" s="61">
        <f ca="1">SUMIFS(OFFSET('BPC Data'!$F:$F,0,Summary!Q$2),'BPC Data'!$E:$E,Summary!$D120,'BPC Data'!$B:$B,Summary!$C120)</f>
        <v>1876</v>
      </c>
      <c r="R120" s="65">
        <f ca="1">SUMIFS(OFFSET('BPC Data'!$F:$F,0,Summary!R$2),'BPC Data'!$E:$E,Summary!$D120,'BPC Data'!$B:$B,Summary!$C120)</f>
        <v>1969</v>
      </c>
      <c r="S120" s="23">
        <f ca="1">SUM(G120:R120)</f>
        <v>20581</v>
      </c>
      <c r="T120" s="74">
        <f ca="1">SUM(W120:AH120)</f>
        <v>20581</v>
      </c>
      <c r="U120" s="54">
        <f ca="1">T120-S120</f>
        <v>0</v>
      </c>
      <c r="W120" s="4">
        <f ca="1">SUMIFS(INDIRECT("'"&amp;$W$118&amp;"'"&amp;"!$B$1:$B$5000"),INDIRECT("'"&amp;$W$118&amp;"'"&amp;"!$A$1:$A$5000"),$W$2)</f>
        <v>1786</v>
      </c>
      <c r="X120" s="4">
        <f ca="1">SUMIFS(INDIRECT("'"&amp;$W$118&amp;"'"&amp;"!$c$1:$c$5000"),INDIRECT("'"&amp;$W$118&amp;"'"&amp;"!$A$1:$A$5000"),$W$2)</f>
        <v>1710</v>
      </c>
      <c r="Y120" s="4">
        <f ca="1">SUMIFS(INDIRECT("'"&amp;$W$118&amp;"'"&amp;"!$d$1:$d$5000"),INDIRECT("'"&amp;$W$118&amp;"'"&amp;"!$A$1:$A$5000"),$W$2)</f>
        <v>974</v>
      </c>
      <c r="Z120" s="4">
        <f ca="1">SUMIFS(INDIRECT("'"&amp;$W$118&amp;"'"&amp;"!$e$1:$e$5000"),INDIRECT("'"&amp;$W$118&amp;"'"&amp;"!$A$1:$A$5000"),$W$2)</f>
        <v>1672</v>
      </c>
      <c r="AA120" s="4">
        <f ca="1">SUMIFS(INDIRECT("'"&amp;$W$118&amp;"'"&amp;"!$f$1:$f$5000"),INDIRECT("'"&amp;$W$118&amp;"'"&amp;"!$A$1:$A$5000"),$W$2)</f>
        <v>1767</v>
      </c>
      <c r="AB120" s="4">
        <f ca="1">SUMIFS(INDIRECT("'"&amp;$W$118&amp;"'"&amp;"!$g$1:$g$5000"),INDIRECT("'"&amp;$W$118&amp;"'"&amp;"!$A$1:$A$5000"),$W$2)</f>
        <v>1760</v>
      </c>
      <c r="AC120" s="4">
        <f ca="1">SUMIFS(INDIRECT("'"&amp;$W$118&amp;"'"&amp;"!$h$1:$h$5000"),INDIRECT("'"&amp;$W$118&amp;"'"&amp;"!$A$1:$A$5000"),$W$2)</f>
        <v>1621</v>
      </c>
      <c r="AD120" s="4">
        <f ca="1">SUMIFS(INDIRECT("'"&amp;$W$118&amp;"'"&amp;"!$i$1:$i$5000"),INDIRECT("'"&amp;$W$118&amp;"'"&amp;"!$A$1:$A$5000"),$W$2)</f>
        <v>1822</v>
      </c>
      <c r="AE120" s="4">
        <f ca="1">SUMIFS(INDIRECT("'"&amp;$W$118&amp;"'"&amp;"!$j$1:$j$5000"),INDIRECT("'"&amp;$W$118&amp;"'"&amp;"!$A$1:$A$5000"),$W$2)</f>
        <v>1783</v>
      </c>
      <c r="AF120" s="4">
        <f ca="1">SUMIFS(INDIRECT("'"&amp;$W$118&amp;"'"&amp;"!$k$1:$k$5000"),INDIRECT("'"&amp;$W$118&amp;"'"&amp;"!$A$1:$A$5000"),$W$2)</f>
        <v>1841</v>
      </c>
      <c r="AG120" s="4">
        <f ca="1">SUMIFS(INDIRECT("'"&amp;$W$118&amp;"'"&amp;"!$l$1:$l$5000"),INDIRECT("'"&amp;$W$118&amp;"'"&amp;"!$A$1:$A$5000"),$W$2)</f>
        <v>1876</v>
      </c>
      <c r="AH120" s="4">
        <f ca="1">SUMIFS(INDIRECT("'"&amp;$W$118&amp;"'"&amp;"!$m$1:$m$5000"),INDIRECT("'"&amp;$W$118&amp;"'"&amp;"!$A$1:$A$5000"),$W$2)</f>
        <v>1969</v>
      </c>
      <c r="AJ120" s="14">
        <f t="shared" ref="AJ120:AU120" ca="1" si="223">W120-G120</f>
        <v>0</v>
      </c>
      <c r="AK120" s="14">
        <f t="shared" ca="1" si="223"/>
        <v>0</v>
      </c>
      <c r="AL120" s="14">
        <f t="shared" ca="1" si="223"/>
        <v>0</v>
      </c>
      <c r="AM120" s="14">
        <f t="shared" ca="1" si="223"/>
        <v>0</v>
      </c>
      <c r="AN120" s="14">
        <f t="shared" ca="1" si="223"/>
        <v>0</v>
      </c>
      <c r="AO120" s="14">
        <f t="shared" ca="1" si="223"/>
        <v>0</v>
      </c>
      <c r="AP120" s="14">
        <f t="shared" ca="1" si="223"/>
        <v>0</v>
      </c>
      <c r="AQ120" s="14">
        <f t="shared" ca="1" si="223"/>
        <v>0</v>
      </c>
      <c r="AR120" s="14">
        <f t="shared" ca="1" si="223"/>
        <v>0</v>
      </c>
      <c r="AS120" s="14">
        <f t="shared" ca="1" si="223"/>
        <v>0</v>
      </c>
      <c r="AT120" s="14">
        <f t="shared" ca="1" si="223"/>
        <v>0</v>
      </c>
      <c r="AU120" s="14">
        <f t="shared" ca="1" si="223"/>
        <v>0</v>
      </c>
    </row>
    <row r="121" spans="1:47" s="12" customFormat="1">
      <c r="A121" s="12">
        <f t="shared" ref="A121:A129" si="224">IF(AND(F121&lt;&gt;"",D121=""),A120+1,A120)</f>
        <v>11</v>
      </c>
      <c r="C121" t="str">
        <f>$F119</f>
        <v>Arbor Court Retirement Community at Alvamar</v>
      </c>
      <c r="D121" s="3" t="str">
        <f t="shared" si="175"/>
        <v>A_BEDS_TOTAL - Total Available Beds</v>
      </c>
      <c r="F121" s="19" t="str">
        <f>_xll.EVDES(D121)</f>
        <v>Total Available Beds</v>
      </c>
      <c r="G121" s="61">
        <f ca="1">SUMIFS(OFFSET('BPC Data'!$F:$F,0,Summary!G$2),'BPC Data'!$E:$E,Summary!$D121,'BPC Data'!$B:$B,Summary!$C121)</f>
        <v>66</v>
      </c>
      <c r="H121" s="65">
        <f ca="1">SUMIFS(OFFSET('BPC Data'!$F:$F,0,Summary!H$2),'BPC Data'!$E:$E,Summary!$D121,'BPC Data'!$B:$B,Summary!$C121)</f>
        <v>66</v>
      </c>
      <c r="I121" s="61">
        <f ca="1">SUMIFS(OFFSET('BPC Data'!$F:$F,0,Summary!I$2),'BPC Data'!$E:$E,Summary!$D121,'BPC Data'!$B:$B,Summary!$C121)</f>
        <v>66</v>
      </c>
      <c r="J121" s="65">
        <f ca="1">SUMIFS(OFFSET('BPC Data'!$F:$F,0,Summary!J$2),'BPC Data'!$E:$E,Summary!$D121,'BPC Data'!$B:$B,Summary!$C121)</f>
        <v>66</v>
      </c>
      <c r="K121" s="61">
        <f ca="1">SUMIFS(OFFSET('BPC Data'!$F:$F,0,Summary!K$2),'BPC Data'!$E:$E,Summary!$D121,'BPC Data'!$B:$B,Summary!$C121)</f>
        <v>66</v>
      </c>
      <c r="L121" s="65">
        <f ca="1">SUMIFS(OFFSET('BPC Data'!$F:$F,0,Summary!L$2),'BPC Data'!$E:$E,Summary!$D121,'BPC Data'!$B:$B,Summary!$C121)</f>
        <v>66</v>
      </c>
      <c r="M121" s="61">
        <f ca="1">SUMIFS(OFFSET('BPC Data'!$F:$F,0,Summary!M$2),'BPC Data'!$E:$E,Summary!$D121,'BPC Data'!$B:$B,Summary!$C121)</f>
        <v>66</v>
      </c>
      <c r="N121" s="65">
        <f ca="1">SUMIFS(OFFSET('BPC Data'!$F:$F,0,Summary!N$2),'BPC Data'!$E:$E,Summary!$D121,'BPC Data'!$B:$B,Summary!$C121)</f>
        <v>66</v>
      </c>
      <c r="O121" s="61">
        <f ca="1">SUMIFS(OFFSET('BPC Data'!$F:$F,0,Summary!O$2),'BPC Data'!$E:$E,Summary!$D121,'BPC Data'!$B:$B,Summary!$C121)</f>
        <v>66</v>
      </c>
      <c r="P121" s="65">
        <f ca="1">SUMIFS(OFFSET('BPC Data'!$F:$F,0,Summary!P$2),'BPC Data'!$E:$E,Summary!$D121,'BPC Data'!$B:$B,Summary!$C121)</f>
        <v>66</v>
      </c>
      <c r="Q121" s="61">
        <f ca="1">SUMIFS(OFFSET('BPC Data'!$F:$F,0,Summary!Q$2),'BPC Data'!$E:$E,Summary!$D121,'BPC Data'!$B:$B,Summary!$C121)</f>
        <v>66</v>
      </c>
      <c r="R121" s="65">
        <f ca="1">SUMIFS(OFFSET('BPC Data'!$F:$F,0,Summary!R$2),'BPC Data'!$E:$E,Summary!$D121,'BPC Data'!$B:$B,Summary!$C121)</f>
        <v>66</v>
      </c>
      <c r="S121" s="23">
        <f ca="1">+R121</f>
        <v>66</v>
      </c>
      <c r="T121" s="74"/>
      <c r="U121" s="54"/>
      <c r="AJ121" s="49"/>
      <c r="AK121" s="49"/>
      <c r="AL121" s="49"/>
      <c r="AM121" s="49"/>
      <c r="AN121" s="49"/>
      <c r="AO121" s="49"/>
      <c r="AP121" s="49"/>
      <c r="AQ121" s="49"/>
      <c r="AR121" s="49"/>
      <c r="AS121" s="49"/>
      <c r="AT121" s="49"/>
      <c r="AU121" s="49"/>
    </row>
    <row r="122" spans="1:47" s="12" customFormat="1">
      <c r="A122" s="12">
        <f t="shared" si="224"/>
        <v>11</v>
      </c>
      <c r="B122"/>
      <c r="C122" t="str">
        <f>$F119</f>
        <v>Arbor Court Retirement Community at Alvamar</v>
      </c>
      <c r="D122" s="3" t="str">
        <f t="shared" si="175"/>
        <v>T_REVENUES - Total Tenant Revenues</v>
      </c>
      <c r="E122"/>
      <c r="F122" s="19" t="str">
        <f>_xll.EVDES(D122)</f>
        <v>Total Tenant Revenues</v>
      </c>
      <c r="G122" s="61">
        <f ca="1">SUMIFS(OFFSET('BPC Data'!$F:$F,0,Summary!G$2),'BPC Data'!$E:$E,Summary!$D122,'BPC Data'!$B:$B,Summary!$C122)</f>
        <v>121662</v>
      </c>
      <c r="H122" s="65">
        <f ca="1">SUMIFS(OFFSET('BPC Data'!$F:$F,0,Summary!H$2),'BPC Data'!$E:$E,Summary!$D122,'BPC Data'!$B:$B,Summary!$C122)</f>
        <v>118040</v>
      </c>
      <c r="I122" s="61">
        <f ca="1">SUMIFS(OFFSET('BPC Data'!$F:$F,0,Summary!I$2),'BPC Data'!$E:$E,Summary!$D122,'BPC Data'!$B:$B,Summary!$C122)</f>
        <v>116278</v>
      </c>
      <c r="J122" s="65">
        <f ca="1">SUMIFS(OFFSET('BPC Data'!$F:$F,0,Summary!J$2),'BPC Data'!$E:$E,Summary!$D122,'BPC Data'!$B:$B,Summary!$C122)</f>
        <v>120895</v>
      </c>
      <c r="K122" s="61">
        <f ca="1">SUMIFS(OFFSET('BPC Data'!$F:$F,0,Summary!K$2),'BPC Data'!$E:$E,Summary!$D122,'BPC Data'!$B:$B,Summary!$C122)</f>
        <v>121618</v>
      </c>
      <c r="L122" s="65">
        <f ca="1">SUMIFS(OFFSET('BPC Data'!$F:$F,0,Summary!L$2),'BPC Data'!$E:$E,Summary!$D122,'BPC Data'!$B:$B,Summary!$C122)</f>
        <v>133857</v>
      </c>
      <c r="M122" s="61">
        <f ca="1">SUMIFS(OFFSET('BPC Data'!$F:$F,0,Summary!M$2),'BPC Data'!$E:$E,Summary!$D122,'BPC Data'!$B:$B,Summary!$C122)</f>
        <v>120533</v>
      </c>
      <c r="N122" s="65">
        <f ca="1">SUMIFS(OFFSET('BPC Data'!$F:$F,0,Summary!N$2),'BPC Data'!$E:$E,Summary!$D122,'BPC Data'!$B:$B,Summary!$C122)</f>
        <v>131098</v>
      </c>
      <c r="O122" s="61">
        <f ca="1">SUMIFS(OFFSET('BPC Data'!$F:$F,0,Summary!O$2),'BPC Data'!$E:$E,Summary!$D122,'BPC Data'!$B:$B,Summary!$C122)</f>
        <v>132590</v>
      </c>
      <c r="P122" s="65">
        <f ca="1">SUMIFS(OFFSET('BPC Data'!$F:$F,0,Summary!P$2),'BPC Data'!$E:$E,Summary!$D122,'BPC Data'!$B:$B,Summary!$C122)</f>
        <v>134168</v>
      </c>
      <c r="Q122" s="61">
        <f ca="1">SUMIFS(OFFSET('BPC Data'!$F:$F,0,Summary!Q$2),'BPC Data'!$E:$E,Summary!$D122,'BPC Data'!$B:$B,Summary!$C122)</f>
        <v>140051</v>
      </c>
      <c r="R122" s="65">
        <f ca="1">SUMIFS(OFFSET('BPC Data'!$F:$F,0,Summary!R$2),'BPC Data'!$E:$E,Summary!$D122,'BPC Data'!$B:$B,Summary!$C122)</f>
        <v>143542</v>
      </c>
      <c r="S122" s="23">
        <f t="shared" ref="S122:S128" ca="1" si="225">SUM(G122:R122)</f>
        <v>1534332</v>
      </c>
      <c r="T122" s="74">
        <f ca="1">SUM(W122:AH122)</f>
        <v>1534331.3699999999</v>
      </c>
      <c r="U122" s="54">
        <f ca="1">T122-S122</f>
        <v>-0.63000000012107193</v>
      </c>
      <c r="V122" s="53"/>
      <c r="W122" s="4">
        <f ca="1">SUMIFS(INDIRECT("'"&amp;$W$118&amp;"'"&amp;"!$B$64:$B$5000"),INDIRECT("'"&amp;$W$118&amp;"'"&amp;"!$A$64:$A$5000"),$V$1)-SUMIFS(INDIRECT("'"&amp;$W$118&amp;"'"&amp;"!$B$64:$B$5000"),INDIRECT("'"&amp;$W$118&amp;"'"&amp;"!$A$64:$A$5000"),$V$2)-SUMIFS(INDIRECT("'"&amp;$W$118&amp;"'"&amp;"!$B$64:$B$5000"),INDIRECT("'"&amp;$W$118&amp;"'"&amp;"!$A$64:$A$5000"),$V$3)-SUMIFS(INDIRECT("'"&amp;$W$118&amp;"'"&amp;"!$B$64:$B$5000"),INDIRECT("'"&amp;$W$118&amp;"'"&amp;"!$A$64:$A$5000"),$X$4)-SUMIFS(INDIRECT("'"&amp;$W$118&amp;"'"&amp;"!$B$64:$B$5000"),INDIRECT("'"&amp;$W$118&amp;"'"&amp;"!$A$64:$A$5000"),$X$3)</f>
        <v>121661.5</v>
      </c>
      <c r="X122" s="4">
        <f ca="1">SUMIFS(INDIRECT("'"&amp;$W$118&amp;"'"&amp;"!$c$64:$c$5000"),INDIRECT("'"&amp;$W$118&amp;"'"&amp;"!$A$64:$A$5000"),$V$1)-SUMIFS(INDIRECT("'"&amp;$W$118&amp;"'"&amp;"!$c$64:$c$5000"),INDIRECT("'"&amp;$W$118&amp;"'"&amp;"!$A$64:$A$5000"),$V$2)-SUMIFS(INDIRECT("'"&amp;$W$118&amp;"'"&amp;"!$c$64:$c$5000"),INDIRECT("'"&amp;$W$118&amp;"'"&amp;"!$A$64:$A$5000"),$V$3)-SUMIFS(INDIRECT("'"&amp;$W$118&amp;"'"&amp;"!$c$64:$c$5000"),INDIRECT("'"&amp;$W$118&amp;"'"&amp;"!$A$64:$A$5000"),$X$4)-SUMIFS(INDIRECT("'"&amp;$W$118&amp;"'"&amp;"!$c$64:$c$5000"),INDIRECT("'"&amp;$W$118&amp;"'"&amp;"!$A$64:$A$5000"),$X$3)</f>
        <v>118039.49999999997</v>
      </c>
      <c r="Y122" s="4">
        <f ca="1">SUMIFS(INDIRECT("'"&amp;$W$118&amp;"'"&amp;"!$d$64:$d$5000"),INDIRECT("'"&amp;$W$118&amp;"'"&amp;"!$A$64:$A$5000"),$V$1)-SUMIFS(INDIRECT("'"&amp;$W$118&amp;"'"&amp;"!$d$64:$d$5000"),INDIRECT("'"&amp;$W$118&amp;"'"&amp;"!$A$64:$A$5000"),$V$2)-SUMIFS(INDIRECT("'"&amp;$W$118&amp;"'"&amp;"!$d$64:$d$5000"),INDIRECT("'"&amp;$W$118&amp;"'"&amp;"!$A$64:$A$5000"),$V$3)-SUMIFS(INDIRECT("'"&amp;$W$118&amp;"'"&amp;"!$d$64:$d$5000"),INDIRECT("'"&amp;$W$118&amp;"'"&amp;"!$A$64:$A$5000"),$X$4)-SUMIFS(INDIRECT("'"&amp;$W$118&amp;"'"&amp;"!$d$64:$d$5000"),INDIRECT("'"&amp;$W$118&amp;"'"&amp;"!$A$64:$A$5000"),$X$3)</f>
        <v>116277.5</v>
      </c>
      <c r="Z122" s="4">
        <f ca="1">SUMIFS(INDIRECT("'"&amp;$W$118&amp;"'"&amp;"!$e$64:$e$5000"),INDIRECT("'"&amp;$W$118&amp;"'"&amp;"!$A$64:$A$5000"),$V$1)-SUMIFS(INDIRECT("'"&amp;$W$118&amp;"'"&amp;"!$e$64:$e$5000"),INDIRECT("'"&amp;$W$118&amp;"'"&amp;"!$A$64:$A$5000"),$V$2)-SUMIFS(INDIRECT("'"&amp;$W$118&amp;"'"&amp;"!$e$64:$e$5000"),INDIRECT("'"&amp;$W$118&amp;"'"&amp;"!$A$64:$A$5000"),$V$3)-SUMIFS(INDIRECT("'"&amp;$W$118&amp;"'"&amp;"!$e$64:$e$5000"),INDIRECT("'"&amp;$W$118&amp;"'"&amp;"!$A$64:$A$5000"),$X$4)-SUMIFS(INDIRECT("'"&amp;$W$118&amp;"'"&amp;"!$e$64:$e$5000"),INDIRECT("'"&amp;$W$118&amp;"'"&amp;"!$A$64:$A$5000"),$X$3)</f>
        <v>120894.5</v>
      </c>
      <c r="AA122" s="4">
        <f ca="1">SUMIFS(INDIRECT("'"&amp;$W$118&amp;"'"&amp;"!$f$64:$f$5000"),INDIRECT("'"&amp;$W$118&amp;"'"&amp;"!$A$64:$A$5000"),$V$1)-SUMIFS(INDIRECT("'"&amp;$W$118&amp;"'"&amp;"!$f$64:$f$5000"),INDIRECT("'"&amp;$W$118&amp;"'"&amp;"!$A$64:$A$5000"),$V$2)-SUMIFS(INDIRECT("'"&amp;$W$118&amp;"'"&amp;"!$f$64:$f$5000"),INDIRECT("'"&amp;$W$118&amp;"'"&amp;"!$A$64:$A$5000"),$V$3)-SUMIFS(INDIRECT("'"&amp;$W$118&amp;"'"&amp;"!$f$64:$f$5000"),INDIRECT("'"&amp;$W$118&amp;"'"&amp;"!$A$64:$A$5000"),$X$4)-SUMIFS(INDIRECT("'"&amp;$W$118&amp;"'"&amp;"!$f$64:$f$5000"),INDIRECT("'"&amp;$W$118&amp;"'"&amp;"!$A$64:$A$5000"),$X$3)</f>
        <v>121618.69</v>
      </c>
      <c r="AB122" s="4">
        <f ca="1">SUMIFS(INDIRECT("'"&amp;$W$118&amp;"'"&amp;"!$g$64:$g$5000"),INDIRECT("'"&amp;$W$118&amp;"'"&amp;"!$A$64:$A$5000"),$V$1)-SUMIFS(INDIRECT("'"&amp;$W$118&amp;"'"&amp;"!$g$64:$g$5000"),INDIRECT("'"&amp;$W$118&amp;"'"&amp;"!$A$64:$A$5000"),$V$2)-SUMIFS(INDIRECT("'"&amp;$W$118&amp;"'"&amp;"!$g$64:$g$5000"),INDIRECT("'"&amp;$W$118&amp;"'"&amp;"!$A$64:$A$5000"),$V$3)-SUMIFS(INDIRECT("'"&amp;$W$118&amp;"'"&amp;"!$g$64:$g$5000"),INDIRECT("'"&amp;$W$118&amp;"'"&amp;"!$A$64:$A$5000"),$X$4)-SUMIFS(INDIRECT("'"&amp;$W$118&amp;"'"&amp;"!$g$64:$g$5000"),INDIRECT("'"&amp;$W$118&amp;"'"&amp;"!$A$64:$A$5000"),$X$3)</f>
        <v>133856.87000000005</v>
      </c>
      <c r="AC122" s="4">
        <f ca="1">SUMIFS(INDIRECT("'"&amp;$W$118&amp;"'"&amp;"!$h$64:$h$5000"),INDIRECT("'"&amp;$W$118&amp;"'"&amp;"!$A$64:$A$5000"),$V$1)-SUMIFS(INDIRECT("'"&amp;$W$118&amp;"'"&amp;"!$h$64:$h$5000"),INDIRECT("'"&amp;$W$118&amp;"'"&amp;"!$A$64:$A$5000"),$V$2)-SUMIFS(INDIRECT("'"&amp;$W$118&amp;"'"&amp;"!$h$64:$h$5000"),INDIRECT("'"&amp;$W$118&amp;"'"&amp;"!$A$64:$A$5000"),$V$3)-SUMIFS(INDIRECT("'"&amp;$W$118&amp;"'"&amp;"!$h$64:$h$5000"),INDIRECT("'"&amp;$W$118&amp;"'"&amp;"!$A$64:$A$5000"),$X$4)-SUMIFS(INDIRECT("'"&amp;$W$118&amp;"'"&amp;"!$h$64:$h$5000"),INDIRECT("'"&amp;$W$118&amp;"'"&amp;"!$A$64:$A$5000"),$X$3)</f>
        <v>120532.40000000004</v>
      </c>
      <c r="AD122" s="4">
        <f ca="1">SUMIFS(INDIRECT("'"&amp;$W$118&amp;"'"&amp;"!$i$64:$i$5000"),INDIRECT("'"&amp;$W$118&amp;"'"&amp;"!$A$64:$A$5000"),$V$1)-SUMIFS(INDIRECT("'"&amp;$W$118&amp;"'"&amp;"!$i$64:$i$5000"),INDIRECT("'"&amp;$W$118&amp;"'"&amp;"!$A$64:$A$5000"),$V$2)-SUMIFS(INDIRECT("'"&amp;$W$118&amp;"'"&amp;"!$i$64:$i$5000"),INDIRECT("'"&amp;$W$118&amp;"'"&amp;"!$A$64:$A$5000"),$V$3)-SUMIFS(INDIRECT("'"&amp;$W$118&amp;"'"&amp;"!$i$64:$i$5000"),INDIRECT("'"&amp;$W$118&amp;"'"&amp;"!$A$64:$A$5000"),$X$4)-SUMIFS(INDIRECT("'"&amp;$W$118&amp;"'"&amp;"!$i$64:$i$5000"),INDIRECT("'"&amp;$W$118&amp;"'"&amp;"!$A$64:$A$5000"),$X$3)</f>
        <v>131098.10000000003</v>
      </c>
      <c r="AE122" s="4">
        <f ca="1">SUMIFS(INDIRECT("'"&amp;$W$118&amp;"'"&amp;"!$j$64:$j$5000"),INDIRECT("'"&amp;$W$118&amp;"'"&amp;"!$A$64:$A$5000"),$V$1)-SUMIFS(INDIRECT("'"&amp;$W$118&amp;"'"&amp;"!$j$64:$j$5000"),INDIRECT("'"&amp;$W$118&amp;"'"&amp;"!$A$64:$A$5000"),$V$2)-SUMIFS(INDIRECT("'"&amp;$W$118&amp;"'"&amp;"!$j$64:$j$5000"),INDIRECT("'"&amp;$W$118&amp;"'"&amp;"!$A$64:$A$5000"),$V$3)-SUMIFS(INDIRECT("'"&amp;$W$118&amp;"'"&amp;"!$j$64:$j$5000"),INDIRECT("'"&amp;$W$118&amp;"'"&amp;"!$A$64:$A$5000"),$X$4)-SUMIFS(INDIRECT("'"&amp;$W$118&amp;"'"&amp;"!$j$64:$j$5000"),INDIRECT("'"&amp;$W$118&amp;"'"&amp;"!$A$64:$A$5000"),$X$3)</f>
        <v>132590.40999999995</v>
      </c>
      <c r="AF122" s="4">
        <f ca="1">SUMIFS(INDIRECT("'"&amp;$W$118&amp;"'"&amp;"!$k$64:$k$5000"),INDIRECT("'"&amp;$W$118&amp;"'"&amp;"!$A$64:$A$5000"),$V$1)-SUMIFS(INDIRECT("'"&amp;$W$118&amp;"'"&amp;"!$k$64:$k$5000"),INDIRECT("'"&amp;$W$118&amp;"'"&amp;"!$A$64:$A$5000"),$V$2)-SUMIFS(INDIRECT("'"&amp;$W$118&amp;"'"&amp;"!$k$64:$k$5000"),INDIRECT("'"&amp;$W$118&amp;"'"&amp;"!$A$64:$A$5000"),$V$3)-SUMIFS(INDIRECT("'"&amp;$W$118&amp;"'"&amp;"!$k$64:$k$5000"),INDIRECT("'"&amp;$W$118&amp;"'"&amp;"!$A$64:$A$5000"),$X$4)-SUMIFS(INDIRECT("'"&amp;$W$118&amp;"'"&amp;"!$k$64:$k$5000"),INDIRECT("'"&amp;$W$118&amp;"'"&amp;"!$A$64:$A$5000"),$X$3)</f>
        <v>134167.99</v>
      </c>
      <c r="AG122" s="4">
        <f ca="1">SUMIFS(INDIRECT("'"&amp;$W$118&amp;"'"&amp;"!$l$64:$l$5000"),INDIRECT("'"&amp;$W$118&amp;"'"&amp;"!$A$64:$A$5000"),$V$1)-SUMIFS(INDIRECT("'"&amp;$W$118&amp;"'"&amp;"!$l$64:$l$5000"),INDIRECT("'"&amp;$W$118&amp;"'"&amp;"!$A$64:$A$5000"),$V$2)-SUMIFS(INDIRECT("'"&amp;$W$118&amp;"'"&amp;"!$l$64:$l$5000"),INDIRECT("'"&amp;$W$118&amp;"'"&amp;"!$A$64:$A$5000"),$V$3)-SUMIFS(INDIRECT("'"&amp;$W$118&amp;"'"&amp;"!$l$64:$l$5000"),INDIRECT("'"&amp;$W$118&amp;"'"&amp;"!$A$64:$A$5000"),$X$4)-SUMIFS(INDIRECT("'"&amp;$W$118&amp;"'"&amp;"!$l$64:$l$5000"),INDIRECT("'"&amp;$W$118&amp;"'"&amp;"!$A$64:$A$5000"),$X$3)</f>
        <v>140051.49</v>
      </c>
      <c r="AH122" s="4">
        <f ca="1">SUMIFS(INDIRECT("'"&amp;$W$118&amp;"'"&amp;"!$m$64:$m$5000"),INDIRECT("'"&amp;$W$118&amp;"'"&amp;"!$A$64:$A$5000"),$V$1)-SUMIFS(INDIRECT("'"&amp;$W$118&amp;"'"&amp;"!$m$64:$m$5000"),INDIRECT("'"&amp;$W$118&amp;"'"&amp;"!$A$64:$A$5000"),$V$2)-SUMIFS(INDIRECT("'"&amp;$W$118&amp;"'"&amp;"!$m$64:$m$5000"),INDIRECT("'"&amp;$W$118&amp;"'"&amp;"!$A$64:$A$5000"),$V$3)-SUMIFS(INDIRECT("'"&amp;$W$118&amp;"'"&amp;"!$m$64:$m$5000"),INDIRECT("'"&amp;$W$118&amp;"'"&amp;"!$A$64:$A$5000"),$X$4)-SUMIFS(INDIRECT("'"&amp;$W$118&amp;"'"&amp;"!$m$64:$m$5000"),INDIRECT("'"&amp;$W$118&amp;"'"&amp;"!$A$64:$A$5000"),$X$3)</f>
        <v>143542.41999999995</v>
      </c>
      <c r="AJ122" s="14">
        <f t="shared" ref="AJ122:AU123" ca="1" si="226">W122-G122</f>
        <v>-0.5</v>
      </c>
      <c r="AK122" s="14">
        <f t="shared" ca="1" si="226"/>
        <v>-0.50000000002910383</v>
      </c>
      <c r="AL122" s="14">
        <f t="shared" ca="1" si="226"/>
        <v>-0.5</v>
      </c>
      <c r="AM122" s="14">
        <f t="shared" ca="1" si="226"/>
        <v>-0.5</v>
      </c>
      <c r="AN122" s="14">
        <f t="shared" ca="1" si="226"/>
        <v>0.69000000000232831</v>
      </c>
      <c r="AO122" s="14">
        <f t="shared" ca="1" si="226"/>
        <v>-0.12999999994644895</v>
      </c>
      <c r="AP122" s="14">
        <f t="shared" ca="1" si="226"/>
        <v>-0.59999999996216502</v>
      </c>
      <c r="AQ122" s="14">
        <f t="shared" ca="1" si="226"/>
        <v>0.1000000000349246</v>
      </c>
      <c r="AR122" s="14">
        <f t="shared" ca="1" si="226"/>
        <v>0.4099999999452848</v>
      </c>
      <c r="AS122" s="14">
        <f t="shared" ca="1" si="226"/>
        <v>-1.0000000009313226E-2</v>
      </c>
      <c r="AT122" s="14">
        <f t="shared" ca="1" si="226"/>
        <v>0.48999999999068677</v>
      </c>
      <c r="AU122" s="14">
        <f t="shared" ca="1" si="226"/>
        <v>0.41999999995459802</v>
      </c>
    </row>
    <row r="123" spans="1:47" s="12" customFormat="1">
      <c r="A123" s="12">
        <f t="shared" si="224"/>
        <v>11</v>
      </c>
      <c r="B123"/>
      <c r="C123" t="str">
        <f>$F119</f>
        <v>Arbor Court Retirement Community at Alvamar</v>
      </c>
      <c r="D123" s="3" t="str">
        <f t="shared" si="175"/>
        <v>T_OPEX - Tenant Operating Expenses</v>
      </c>
      <c r="E123"/>
      <c r="F123" s="19" t="str">
        <f>_xll.EVDES(D123)</f>
        <v>Tenant Operating Expenses</v>
      </c>
      <c r="G123" s="61">
        <f ca="1">SUMIFS(OFFSET('BPC Data'!$F:$F,0,Summary!G$2),'BPC Data'!$E:$E,Summary!$D123,'BPC Data'!$B:$B,Summary!$C123)</f>
        <v>76711</v>
      </c>
      <c r="H123" s="65">
        <f ca="1">SUMIFS(OFFSET('BPC Data'!$F:$F,0,Summary!H$2),'BPC Data'!$E:$E,Summary!$D123,'BPC Data'!$B:$B,Summary!$C123)</f>
        <v>76708</v>
      </c>
      <c r="I123" s="61">
        <f ca="1">SUMIFS(OFFSET('BPC Data'!$F:$F,0,Summary!I$2),'BPC Data'!$E:$E,Summary!$D123,'BPC Data'!$B:$B,Summary!$C123)</f>
        <v>73531</v>
      </c>
      <c r="J123" s="65">
        <f ca="1">SUMIFS(OFFSET('BPC Data'!$F:$F,0,Summary!J$2),'BPC Data'!$E:$E,Summary!$D123,'BPC Data'!$B:$B,Summary!$C123)</f>
        <v>71748</v>
      </c>
      <c r="K123" s="61">
        <f ca="1">SUMIFS(OFFSET('BPC Data'!$F:$F,0,Summary!K$2),'BPC Data'!$E:$E,Summary!$D123,'BPC Data'!$B:$B,Summary!$C123)</f>
        <v>75928</v>
      </c>
      <c r="L123" s="65">
        <f ca="1">SUMIFS(OFFSET('BPC Data'!$F:$F,0,Summary!L$2),'BPC Data'!$E:$E,Summary!$D123,'BPC Data'!$B:$B,Summary!$C123)</f>
        <v>75417</v>
      </c>
      <c r="M123" s="61">
        <f ca="1">SUMIFS(OFFSET('BPC Data'!$F:$F,0,Summary!M$2),'BPC Data'!$E:$E,Summary!$D123,'BPC Data'!$B:$B,Summary!$C123)</f>
        <v>63311</v>
      </c>
      <c r="N123" s="65">
        <f ca="1">SUMIFS(OFFSET('BPC Data'!$F:$F,0,Summary!N$2),'BPC Data'!$E:$E,Summary!$D123,'BPC Data'!$B:$B,Summary!$C123)</f>
        <v>77298</v>
      </c>
      <c r="O123" s="61">
        <f ca="1">SUMIFS(OFFSET('BPC Data'!$F:$F,0,Summary!O$2),'BPC Data'!$E:$E,Summary!$D123,'BPC Data'!$B:$B,Summary!$C123)</f>
        <v>72885</v>
      </c>
      <c r="P123" s="65">
        <f ca="1">SUMIFS(OFFSET('BPC Data'!$F:$F,0,Summary!P$2),'BPC Data'!$E:$E,Summary!$D123,'BPC Data'!$B:$B,Summary!$C123)</f>
        <v>74461</v>
      </c>
      <c r="Q123" s="61">
        <f ca="1">SUMIFS(OFFSET('BPC Data'!$F:$F,0,Summary!Q$2),'BPC Data'!$E:$E,Summary!$D123,'BPC Data'!$B:$B,Summary!$C123)</f>
        <v>74036</v>
      </c>
      <c r="R123" s="65">
        <f ca="1">SUMIFS(OFFSET('BPC Data'!$F:$F,0,Summary!R$2),'BPC Data'!$E:$E,Summary!$D123,'BPC Data'!$B:$B,Summary!$C123)</f>
        <v>80117</v>
      </c>
      <c r="S123" s="23">
        <f t="shared" ca="1" si="225"/>
        <v>892151</v>
      </c>
      <c r="T123" s="74">
        <f ca="1">SUM(W123:AH123)</f>
        <v>892147.80999999959</v>
      </c>
      <c r="U123" s="54">
        <f ca="1">T123-S123</f>
        <v>-3.1900000004097819</v>
      </c>
      <c r="W123" s="4">
        <f ca="1">SUMIFS(INDIRECT("'"&amp;$W$118&amp;"'"&amp;"!$B$64:$B$5000"),INDIRECT("'"&amp;$W$118&amp;"'"&amp;"!$A$64:$A$5000"),$V$4)-SUMIFS(INDIRECT("'"&amp;$W$118&amp;"'"&amp;"!$B$64:$B$5000"),INDIRECT("'"&amp;$W$118&amp;"'"&amp;"!$A$64:$A$5000"),$V$5)-SUMIFS(INDIRECT("'"&amp;$W$118&amp;"'"&amp;"!$B$64:$B$5000"),INDIRECT("'"&amp;$W$118&amp;"'"&amp;"!$A$64:$A$5000"),$V$6)-SUMIFS(INDIRECT("'"&amp;$W$118&amp;"'"&amp;"!$B$64:$B$5000"),INDIRECT("'"&amp;$W$118&amp;"'"&amp;"!$A$64:$A$5000"),$W$6)-SUMIFS(INDIRECT("'"&amp;$W$118&amp;"'"&amp;"!$B$64:$B$5000"),INDIRECT("'"&amp;$W$118&amp;"'"&amp;"!$A$64:$A$5000"),$W$7)-SUMIFS(INDIRECT("'"&amp;$W$118&amp;"'"&amp;"!$B$64:$B$5000"),INDIRECT("'"&amp;$W$118&amp;"'"&amp;"!$A$64:$A$5000"),$X$3)-W128-W126</f>
        <v>76710.109999999957</v>
      </c>
      <c r="X123" s="4">
        <f ca="1">SUMIFS(INDIRECT("'"&amp;$W$118&amp;"'"&amp;"!$c$64:$c$5000"),INDIRECT("'"&amp;$W$118&amp;"'"&amp;"!$A$64:$A$5000"),$V$4)-SUMIFS(INDIRECT("'"&amp;$W$118&amp;"'"&amp;"!$c$64:$c$5000"),INDIRECT("'"&amp;$W$118&amp;"'"&amp;"!$A$64:$A$5000"),$V$5)-SUMIFS(INDIRECT("'"&amp;$W$118&amp;"'"&amp;"!$c$64:$c$5000"),INDIRECT("'"&amp;$W$118&amp;"'"&amp;"!$A$64:$A$5000"),$V$6)-SUMIFS(INDIRECT("'"&amp;$W$118&amp;"'"&amp;"!$c$64:$c$5000"),INDIRECT("'"&amp;$W$118&amp;"'"&amp;"!$A$64:$A$5000"),$W$6)-SUMIFS(INDIRECT("'"&amp;$W$118&amp;"'"&amp;"!$c$64:$c$5000"),INDIRECT("'"&amp;$W$118&amp;"'"&amp;"!$A$64:$A$5000"),$W$7)-SUMIFS(INDIRECT("'"&amp;$W$118&amp;"'"&amp;"!$c$64:$c$5000"),INDIRECT("'"&amp;$W$118&amp;"'"&amp;"!$A$64:$A$5000"),$X$3)-X128-X126</f>
        <v>76707.749999999971</v>
      </c>
      <c r="Y123" s="4">
        <f ca="1">SUMIFS(INDIRECT("'"&amp;$W$118&amp;"'"&amp;"!$d$64:$d$5000"),INDIRECT("'"&amp;$W$118&amp;"'"&amp;"!$A$64:$A$5000"),$V$4)-SUMIFS(INDIRECT("'"&amp;$W$118&amp;"'"&amp;"!$d$64:$d$5000"),INDIRECT("'"&amp;$W$118&amp;"'"&amp;"!$A$64:$A$5000"),$V$5)-SUMIFS(INDIRECT("'"&amp;$W$118&amp;"'"&amp;"!$d$64:$d$5000"),INDIRECT("'"&amp;$W$118&amp;"'"&amp;"!$A$64:$A$5000"),$V$6)-SUMIFS(INDIRECT("'"&amp;$W$118&amp;"'"&amp;"!$d$64:$d$5000"),INDIRECT("'"&amp;$W$118&amp;"'"&amp;"!$A$64:$A$5000"),$W$6)-SUMIFS(INDIRECT("'"&amp;$W$118&amp;"'"&amp;"!$d$64:$d$5000"),INDIRECT("'"&amp;$W$118&amp;"'"&amp;"!$A$64:$A$5000"),$W$7)-SUMIFS(INDIRECT("'"&amp;$W$118&amp;"'"&amp;"!$d$64:$d$5000"),INDIRECT("'"&amp;$W$118&amp;"'"&amp;"!$A$64:$A$5000"),$X$3)-Y128-Y126</f>
        <v>73530.869999999923</v>
      </c>
      <c r="Z123" s="4">
        <f ca="1">SUMIFS(INDIRECT("'"&amp;$W$118&amp;"'"&amp;"!$e$64:$e$5000"),INDIRECT("'"&amp;$W$118&amp;"'"&amp;"!$A$64:$A$5000"),$V$4)-SUMIFS(INDIRECT("'"&amp;$W$118&amp;"'"&amp;"!$e$64:$e$5000"),INDIRECT("'"&amp;$W$118&amp;"'"&amp;"!$A$64:$A$5000"),$V$5)-SUMIFS(INDIRECT("'"&amp;$W$118&amp;"'"&amp;"!$e$64:$e$5000"),INDIRECT("'"&amp;$W$118&amp;"'"&amp;"!$A$64:$A$5000"),$V$6)-SUMIFS(INDIRECT("'"&amp;$W$118&amp;"'"&amp;"!$e$64:$e$5000"),INDIRECT("'"&amp;$W$118&amp;"'"&amp;"!$A$64:$A$5000"),$W$6)-SUMIFS(INDIRECT("'"&amp;$W$118&amp;"'"&amp;"!$e$64:$e$5000"),INDIRECT("'"&amp;$W$118&amp;"'"&amp;"!$A$64:$A$5000"),$W$7)-SUMIFS(INDIRECT("'"&amp;$W$118&amp;"'"&amp;"!$e$64:$e$5000"),INDIRECT("'"&amp;$W$118&amp;"'"&amp;"!$A$64:$A$5000"),$X$3)-Z128-Z126</f>
        <v>71747.699999999968</v>
      </c>
      <c r="AA123" s="4">
        <f ca="1">SUMIFS(INDIRECT("'"&amp;$W$118&amp;"'"&amp;"!$f$64:$f$5000"),INDIRECT("'"&amp;$W$118&amp;"'"&amp;"!$A$64:$A$5000"),$V$4)-SUMIFS(INDIRECT("'"&amp;$W$118&amp;"'"&amp;"!$f$64:$f$5000"),INDIRECT("'"&amp;$W$118&amp;"'"&amp;"!$A$64:$A$5000"),$V$5)-SUMIFS(INDIRECT("'"&amp;$W$118&amp;"'"&amp;"!$f$64:$f$5000"),INDIRECT("'"&amp;$W$118&amp;"'"&amp;"!$A$64:$A$5000"),$V$6)-SUMIFS(INDIRECT("'"&amp;$W$118&amp;"'"&amp;"!$f$64:$f$5000"),INDIRECT("'"&amp;$W$118&amp;"'"&amp;"!$A$64:$A$5000"),$W$6)-SUMIFS(INDIRECT("'"&amp;$W$118&amp;"'"&amp;"!$f$64:$f$5000"),INDIRECT("'"&amp;$W$118&amp;"'"&amp;"!$A$64:$A$5000"),$W$7)-SUMIFS(INDIRECT("'"&amp;$W$118&amp;"'"&amp;"!$f$64:$f$5000"),INDIRECT("'"&amp;$W$118&amp;"'"&amp;"!$A$64:$A$5000"),$X$3)-AA128-AA126</f>
        <v>75929.039999999994</v>
      </c>
      <c r="AB123" s="4">
        <f ca="1">SUMIFS(INDIRECT("'"&amp;$W$118&amp;"'"&amp;"!$g$64:$g$5000"),INDIRECT("'"&amp;$W$118&amp;"'"&amp;"!$A$64:$A$5000"),$V$4)-SUMIFS(INDIRECT("'"&amp;$W$118&amp;"'"&amp;"!$g$64:$g$5000"),INDIRECT("'"&amp;$W$118&amp;"'"&amp;"!$A$64:$A$5000"),$V$5)-SUMIFS(INDIRECT("'"&amp;$W$118&amp;"'"&amp;"!$g$64:$g$5000"),INDIRECT("'"&amp;$W$118&amp;"'"&amp;"!$A$64:$A$5000"),$V$6)-SUMIFS(INDIRECT("'"&amp;$W$118&amp;"'"&amp;"!$g$64:$g$5000"),INDIRECT("'"&amp;$W$118&amp;"'"&amp;"!$A$64:$A$5000"),$W$6)-SUMIFS(INDIRECT("'"&amp;$W$118&amp;"'"&amp;"!$g$64:$g$5000"),INDIRECT("'"&amp;$W$118&amp;"'"&amp;"!$A$64:$A$5000"),$W$7)-SUMIFS(INDIRECT("'"&amp;$W$118&amp;"'"&amp;"!$g$64:$g$5000"),INDIRECT("'"&amp;$W$118&amp;"'"&amp;"!$A$64:$A$5000"),$X$3)-AB128-AB126</f>
        <v>75417.079999999987</v>
      </c>
      <c r="AC123" s="4">
        <f ca="1">SUMIFS(INDIRECT("'"&amp;$W$118&amp;"'"&amp;"!$h$64:$h$5000"),INDIRECT("'"&amp;$W$118&amp;"'"&amp;"!$A$64:$A$5000"),$V$4)-SUMIFS(INDIRECT("'"&amp;$W$118&amp;"'"&amp;"!$h$64:$h$5000"),INDIRECT("'"&amp;$W$118&amp;"'"&amp;"!$A$64:$A$5000"),$V$5)-SUMIFS(INDIRECT("'"&amp;$W$118&amp;"'"&amp;"!$h$64:$h$5000"),INDIRECT("'"&amp;$W$118&amp;"'"&amp;"!$A$64:$A$5000"),$V$6)-SUMIFS(INDIRECT("'"&amp;$W$118&amp;"'"&amp;"!$h$64:$h$5000"),INDIRECT("'"&amp;$W$118&amp;"'"&amp;"!$A$64:$A$5000"),$W$6)-SUMIFS(INDIRECT("'"&amp;$W$118&amp;"'"&amp;"!$h$64:$h$5000"),INDIRECT("'"&amp;$W$118&amp;"'"&amp;"!$A$64:$A$5000"),$W$7)-SUMIFS(INDIRECT("'"&amp;$W$118&amp;"'"&amp;"!$h$64:$h$5000"),INDIRECT("'"&amp;$W$118&amp;"'"&amp;"!$A$64:$A$5000"),$X$3)-AC128-AC126</f>
        <v>63310.49000000002</v>
      </c>
      <c r="AD123" s="4">
        <f ca="1">SUMIFS(INDIRECT("'"&amp;$W$118&amp;"'"&amp;"!$i$64:$i$5000"),INDIRECT("'"&amp;$W$118&amp;"'"&amp;"!$A$64:$A$5000"),$V$4)-SUMIFS(INDIRECT("'"&amp;$W$118&amp;"'"&amp;"!$i$64:$i$5000"),INDIRECT("'"&amp;$W$118&amp;"'"&amp;"!$A$64:$A$5000"),$V$5)-SUMIFS(INDIRECT("'"&amp;$W$118&amp;"'"&amp;"!$i$64:$i$5000"),INDIRECT("'"&amp;$W$118&amp;"'"&amp;"!$A$64:$A$5000"),$V$6)-SUMIFS(INDIRECT("'"&amp;$W$118&amp;"'"&amp;"!$i$64:$i$5000"),INDIRECT("'"&amp;$W$118&amp;"'"&amp;"!$A$64:$A$5000"),$W$6)-SUMIFS(INDIRECT("'"&amp;$W$118&amp;"'"&amp;"!$i$64:$i$5000"),INDIRECT("'"&amp;$W$118&amp;"'"&amp;"!$A$64:$A$5000"),$W$7)-SUMIFS(INDIRECT("'"&amp;$W$118&amp;"'"&amp;"!$i$64:$i$5000"),INDIRECT("'"&amp;$W$118&amp;"'"&amp;"!$A$64:$A$5000"),$X$3)-AD128-AD126</f>
        <v>77298.249999999985</v>
      </c>
      <c r="AE123" s="4">
        <f ca="1">SUMIFS(INDIRECT("'"&amp;$W$118&amp;"'"&amp;"!$j$64:$j$5000"),INDIRECT("'"&amp;$W$118&amp;"'"&amp;"!$A$64:$A$5000"),$V$4)-SUMIFS(INDIRECT("'"&amp;$W$118&amp;"'"&amp;"!$j$64:$j$5000"),INDIRECT("'"&amp;$W$118&amp;"'"&amp;"!$A$64:$A$5000"),$V$5)-SUMIFS(INDIRECT("'"&amp;$W$118&amp;"'"&amp;"!$j$64:$j$5000"),INDIRECT("'"&amp;$W$118&amp;"'"&amp;"!$A$64:$A$5000"),$V$6)-SUMIFS(INDIRECT("'"&amp;$W$118&amp;"'"&amp;"!$j$64:$j$5000"),INDIRECT("'"&amp;$W$118&amp;"'"&amp;"!$A$64:$A$5000"),$W$6)-SUMIFS(INDIRECT("'"&amp;$W$118&amp;"'"&amp;"!$j$64:$j$5000"),INDIRECT("'"&amp;$W$118&amp;"'"&amp;"!$A$64:$A$5000"),$W$7)-SUMIFS(INDIRECT("'"&amp;$W$118&amp;"'"&amp;"!$j$64:$j$5000"),INDIRECT("'"&amp;$W$118&amp;"'"&amp;"!$A$64:$A$5000"),$X$3)-AE128-AE126</f>
        <v>72884.769999999946</v>
      </c>
      <c r="AF123" s="4">
        <f ca="1">SUMIFS(INDIRECT("'"&amp;$W$118&amp;"'"&amp;"!$k$64:$k$5000"),INDIRECT("'"&amp;$W$118&amp;"'"&amp;"!$A$64:$A$5000"),$V$4)-SUMIFS(INDIRECT("'"&amp;$W$118&amp;"'"&amp;"!$k$64:$k$5000"),INDIRECT("'"&amp;$W$118&amp;"'"&amp;"!$A$64:$A$5000"),$V$5)-SUMIFS(INDIRECT("'"&amp;$W$118&amp;"'"&amp;"!$k$64:$k$5000"),INDIRECT("'"&amp;$W$118&amp;"'"&amp;"!$A$64:$A$5000"),$V$6)-SUMIFS(INDIRECT("'"&amp;$W$118&amp;"'"&amp;"!$k$64:$k$5000"),INDIRECT("'"&amp;$W$118&amp;"'"&amp;"!$A$64:$A$5000"),$W$6)-SUMIFS(INDIRECT("'"&amp;$W$118&amp;"'"&amp;"!$k$64:$k$5000"),INDIRECT("'"&amp;$W$118&amp;"'"&amp;"!$A$64:$A$5000"),$W$7)-SUMIFS(INDIRECT("'"&amp;$W$118&amp;"'"&amp;"!$k$64:$k$5000"),INDIRECT("'"&amp;$W$118&amp;"'"&amp;"!$A$64:$A$5000"),$X$3)-AF128-AF126</f>
        <v>74460.789999999935</v>
      </c>
      <c r="AG123" s="4">
        <f ca="1">SUMIFS(INDIRECT("'"&amp;$W$118&amp;"'"&amp;"!$l$64:$l$5000"),INDIRECT("'"&amp;$W$118&amp;"'"&amp;"!$A$64:$A$5000"),$V$4)-SUMIFS(INDIRECT("'"&amp;$W$118&amp;"'"&amp;"!$l$64:$l$5000"),INDIRECT("'"&amp;$W$118&amp;"'"&amp;"!$A$64:$A$5000"),$V$5)-SUMIFS(INDIRECT("'"&amp;$W$118&amp;"'"&amp;"!$l$64:$l$5000"),INDIRECT("'"&amp;$W$118&amp;"'"&amp;"!$A$64:$A$5000"),$V$6)-SUMIFS(INDIRECT("'"&amp;$W$118&amp;"'"&amp;"!$l$64:$l$5000"),INDIRECT("'"&amp;$W$118&amp;"'"&amp;"!$A$64:$A$5000"),$W$6)-SUMIFS(INDIRECT("'"&amp;$W$118&amp;"'"&amp;"!$l$64:$l$5000"),INDIRECT("'"&amp;$W$118&amp;"'"&amp;"!$A$64:$A$5000"),$W$7)-SUMIFS(INDIRECT("'"&amp;$W$118&amp;"'"&amp;"!$l$64:$l$5000"),INDIRECT("'"&amp;$W$118&amp;"'"&amp;"!$A$64:$A$5000"),$X$3)-AG128-AG126</f>
        <v>74034.939999999988</v>
      </c>
      <c r="AH123" s="4">
        <f ca="1">SUMIFS(INDIRECT("'"&amp;$W$118&amp;"'"&amp;"!$m$64:$m$5000"),INDIRECT("'"&amp;$W$118&amp;"'"&amp;"!$A$64:$A$5000"),$V$4)-SUMIFS(INDIRECT("'"&amp;$W$118&amp;"'"&amp;"!$m$64:$m$5000"),INDIRECT("'"&amp;$W$118&amp;"'"&amp;"!$A$64:$A$5000"),$V$5)-SUMIFS(INDIRECT("'"&amp;$W$118&amp;"'"&amp;"!$m$64:$m$5000"),INDIRECT("'"&amp;$W$118&amp;"'"&amp;"!$A$64:$A$5000"),$V$6)-SUMIFS(INDIRECT("'"&amp;$W$118&amp;"'"&amp;"!$m$64:$m$5000"),INDIRECT("'"&amp;$W$118&amp;"'"&amp;"!$A$64:$A$5000"),$W$6)-SUMIFS(INDIRECT("'"&amp;$W$118&amp;"'"&amp;"!$m$64:$m$5000"),INDIRECT("'"&amp;$W$118&amp;"'"&amp;"!$A$64:$A$5000"),$W$7)-SUMIFS(INDIRECT("'"&amp;$W$118&amp;"'"&amp;"!$m$64:$m$5000"),INDIRECT("'"&amp;$W$118&amp;"'"&amp;"!$A$64:$A$5000"),$X$3)-AH128-AH126</f>
        <v>80116.01999999996</v>
      </c>
      <c r="AJ123" s="14">
        <f t="shared" ca="1" si="226"/>
        <v>-0.89000000004307367</v>
      </c>
      <c r="AK123" s="14">
        <f t="shared" ca="1" si="226"/>
        <v>-0.25000000002910383</v>
      </c>
      <c r="AL123" s="14">
        <f t="shared" ca="1" si="226"/>
        <v>-0.13000000007741619</v>
      </c>
      <c r="AM123" s="14">
        <f t="shared" ca="1" si="226"/>
        <v>-0.30000000003201421</v>
      </c>
      <c r="AN123" s="14">
        <f t="shared" ca="1" si="226"/>
        <v>1.0399999999935972</v>
      </c>
      <c r="AO123" s="14">
        <f t="shared" ca="1" si="226"/>
        <v>7.9999999987194315E-2</v>
      </c>
      <c r="AP123" s="14">
        <f t="shared" ca="1" si="226"/>
        <v>-0.5099999999802094</v>
      </c>
      <c r="AQ123" s="14">
        <f t="shared" ca="1" si="226"/>
        <v>0.24999999998544808</v>
      </c>
      <c r="AR123" s="14">
        <f t="shared" ca="1" si="226"/>
        <v>-0.23000000005413312</v>
      </c>
      <c r="AS123" s="14">
        <f t="shared" ca="1" si="226"/>
        <v>-0.2100000000646105</v>
      </c>
      <c r="AT123" s="14">
        <f t="shared" ca="1" si="226"/>
        <v>-1.0600000000122236</v>
      </c>
      <c r="AU123" s="14">
        <f t="shared" ca="1" si="226"/>
        <v>-0.98000000003958121</v>
      </c>
    </row>
    <row r="124" spans="1:47" s="12" customFormat="1">
      <c r="A124" s="12">
        <f t="shared" si="224"/>
        <v>11</v>
      </c>
      <c r="B124"/>
      <c r="C124" t="str">
        <f>$F119</f>
        <v>Arbor Court Retirement Community at Alvamar</v>
      </c>
      <c r="D124" s="3" t="str">
        <f t="shared" si="175"/>
        <v>T_BAD_DEBT - Tenant Bad Debt Expense</v>
      </c>
      <c r="E124"/>
      <c r="F124" s="19" t="str">
        <f>_xll.EVDES(D124)</f>
        <v>Tenant Bad Debt Expense</v>
      </c>
      <c r="G124" s="61">
        <f ca="1">SUMIFS(OFFSET('BPC Data'!$F:$F,0,Summary!G$2),'BPC Data'!$E:$E,Summary!$D124,'BPC Data'!$B:$B,Summary!$C124)</f>
        <v>0</v>
      </c>
      <c r="H124" s="65">
        <f ca="1">SUMIFS(OFFSET('BPC Data'!$F:$F,0,Summary!H$2),'BPC Data'!$E:$E,Summary!$D124,'BPC Data'!$B:$B,Summary!$C124)</f>
        <v>0</v>
      </c>
      <c r="I124" s="61">
        <f ca="1">SUMIFS(OFFSET('BPC Data'!$F:$F,0,Summary!I$2),'BPC Data'!$E:$E,Summary!$D124,'BPC Data'!$B:$B,Summary!$C124)</f>
        <v>0</v>
      </c>
      <c r="J124" s="65">
        <f ca="1">SUMIFS(OFFSET('BPC Data'!$F:$F,0,Summary!J$2),'BPC Data'!$E:$E,Summary!$D124,'BPC Data'!$B:$B,Summary!$C124)</f>
        <v>0</v>
      </c>
      <c r="K124" s="61">
        <f ca="1">SUMIFS(OFFSET('BPC Data'!$F:$F,0,Summary!K$2),'BPC Data'!$E:$E,Summary!$D124,'BPC Data'!$B:$B,Summary!$C124)</f>
        <v>0</v>
      </c>
      <c r="L124" s="65">
        <f ca="1">SUMIFS(OFFSET('BPC Data'!$F:$F,0,Summary!L$2),'BPC Data'!$E:$E,Summary!$D124,'BPC Data'!$B:$B,Summary!$C124)</f>
        <v>0</v>
      </c>
      <c r="M124" s="61">
        <f ca="1">SUMIFS(OFFSET('BPC Data'!$F:$F,0,Summary!M$2),'BPC Data'!$E:$E,Summary!$D124,'BPC Data'!$B:$B,Summary!$C124)</f>
        <v>0</v>
      </c>
      <c r="N124" s="65">
        <f ca="1">SUMIFS(OFFSET('BPC Data'!$F:$F,0,Summary!N$2),'BPC Data'!$E:$E,Summary!$D124,'BPC Data'!$B:$B,Summary!$C124)</f>
        <v>0</v>
      </c>
      <c r="O124" s="61">
        <f ca="1">SUMIFS(OFFSET('BPC Data'!$F:$F,0,Summary!O$2),'BPC Data'!$E:$E,Summary!$D124,'BPC Data'!$B:$B,Summary!$C124)</f>
        <v>0</v>
      </c>
      <c r="P124" s="65">
        <f ca="1">SUMIFS(OFFSET('BPC Data'!$F:$F,0,Summary!P$2),'BPC Data'!$E:$E,Summary!$D124,'BPC Data'!$B:$B,Summary!$C124)</f>
        <v>0</v>
      </c>
      <c r="Q124" s="61">
        <f ca="1">SUMIFS(OFFSET('BPC Data'!$F:$F,0,Summary!Q$2),'BPC Data'!$E:$E,Summary!$D124,'BPC Data'!$B:$B,Summary!$C124)</f>
        <v>0</v>
      </c>
      <c r="R124" s="65">
        <f ca="1">SUMIFS(OFFSET('BPC Data'!$F:$F,0,Summary!R$2),'BPC Data'!$E:$E,Summary!$D124,'BPC Data'!$B:$B,Summary!$C124)</f>
        <v>0</v>
      </c>
      <c r="S124" s="23">
        <f t="shared" ca="1" si="225"/>
        <v>0</v>
      </c>
      <c r="T124" s="75"/>
      <c r="U124" s="4"/>
      <c r="W124"/>
      <c r="X124"/>
      <c r="Y124"/>
      <c r="Z124"/>
      <c r="AA124"/>
      <c r="AB124"/>
      <c r="AC124"/>
      <c r="AD124"/>
      <c r="AE124"/>
      <c r="AF124"/>
      <c r="AG124"/>
      <c r="AH124"/>
      <c r="AJ124" s="14"/>
      <c r="AK124" s="49"/>
      <c r="AL124" s="49"/>
      <c r="AM124" s="49"/>
      <c r="AN124" s="49"/>
      <c r="AO124" s="49"/>
      <c r="AP124" s="49"/>
      <c r="AQ124" s="49"/>
      <c r="AR124" s="49"/>
      <c r="AS124" s="49"/>
      <c r="AT124" s="49"/>
      <c r="AU124" s="49"/>
    </row>
    <row r="125" spans="1:47" s="12" customFormat="1">
      <c r="A125" s="12">
        <f t="shared" si="224"/>
        <v>11</v>
      </c>
      <c r="B125"/>
      <c r="C125" t="str">
        <f>$F119</f>
        <v>Arbor Court Retirement Community at Alvamar</v>
      </c>
      <c r="D125" s="2" t="str">
        <f t="shared" si="175"/>
        <v>T_EBITDARM - EBITDARM</v>
      </c>
      <c r="E125"/>
      <c r="F125" s="19" t="str">
        <f>_xll.EVDES(D125)</f>
        <v>EBITDARM</v>
      </c>
      <c r="G125" s="61">
        <f ca="1">SUMIFS(OFFSET('BPC Data'!$F:$F,0,Summary!G$2),'BPC Data'!$E:$E,Summary!$D125,'BPC Data'!$B:$B,Summary!$C125)</f>
        <v>44951</v>
      </c>
      <c r="H125" s="65">
        <f ca="1">SUMIFS(OFFSET('BPC Data'!$F:$F,0,Summary!H$2),'BPC Data'!$E:$E,Summary!$D125,'BPC Data'!$B:$B,Summary!$C125)</f>
        <v>41332</v>
      </c>
      <c r="I125" s="61">
        <f ca="1">SUMIFS(OFFSET('BPC Data'!$F:$F,0,Summary!I$2),'BPC Data'!$E:$E,Summary!$D125,'BPC Data'!$B:$B,Summary!$C125)</f>
        <v>42747</v>
      </c>
      <c r="J125" s="65">
        <f ca="1">SUMIFS(OFFSET('BPC Data'!$F:$F,0,Summary!J$2),'BPC Data'!$E:$E,Summary!$D125,'BPC Data'!$B:$B,Summary!$C125)</f>
        <v>49147</v>
      </c>
      <c r="K125" s="61">
        <f ca="1">SUMIFS(OFFSET('BPC Data'!$F:$F,0,Summary!K$2),'BPC Data'!$E:$E,Summary!$D125,'BPC Data'!$B:$B,Summary!$C125)</f>
        <v>45690</v>
      </c>
      <c r="L125" s="65">
        <f ca="1">SUMIFS(OFFSET('BPC Data'!$F:$F,0,Summary!L$2),'BPC Data'!$E:$E,Summary!$D125,'BPC Data'!$B:$B,Summary!$C125)</f>
        <v>58440</v>
      </c>
      <c r="M125" s="61">
        <f ca="1">SUMIFS(OFFSET('BPC Data'!$F:$F,0,Summary!M$2),'BPC Data'!$E:$E,Summary!$D125,'BPC Data'!$B:$B,Summary!$C125)</f>
        <v>57222</v>
      </c>
      <c r="N125" s="65">
        <f ca="1">SUMIFS(OFFSET('BPC Data'!$F:$F,0,Summary!N$2),'BPC Data'!$E:$E,Summary!$D125,'BPC Data'!$B:$B,Summary!$C125)</f>
        <v>53800</v>
      </c>
      <c r="O125" s="61">
        <f ca="1">SUMIFS(OFFSET('BPC Data'!$F:$F,0,Summary!O$2),'BPC Data'!$E:$E,Summary!$D125,'BPC Data'!$B:$B,Summary!$C125)</f>
        <v>59705</v>
      </c>
      <c r="P125" s="65">
        <f ca="1">SUMIFS(OFFSET('BPC Data'!$F:$F,0,Summary!P$2),'BPC Data'!$E:$E,Summary!$D125,'BPC Data'!$B:$B,Summary!$C125)</f>
        <v>59707</v>
      </c>
      <c r="Q125" s="61">
        <f ca="1">SUMIFS(OFFSET('BPC Data'!$F:$F,0,Summary!Q$2),'BPC Data'!$E:$E,Summary!$D125,'BPC Data'!$B:$B,Summary!$C125)</f>
        <v>66015</v>
      </c>
      <c r="R125" s="65">
        <f ca="1">SUMIFS(OFFSET('BPC Data'!$F:$F,0,Summary!R$2),'BPC Data'!$E:$E,Summary!$D125,'BPC Data'!$B:$B,Summary!$C125)</f>
        <v>63425</v>
      </c>
      <c r="S125" s="23">
        <f t="shared" ca="1" si="225"/>
        <v>642181</v>
      </c>
      <c r="T125" s="74">
        <f ca="1">SUM(W125:AH125)</f>
        <v>642183.56000000041</v>
      </c>
      <c r="U125" s="54">
        <f ca="1">T125-S125</f>
        <v>2.5600000004051253</v>
      </c>
      <c r="W125" s="50">
        <f t="shared" ref="W125:AB125" ca="1" si="227">W122-W123</f>
        <v>44951.390000000043</v>
      </c>
      <c r="X125" s="50">
        <f t="shared" ca="1" si="227"/>
        <v>41331.75</v>
      </c>
      <c r="Y125" s="50">
        <f t="shared" ca="1" si="227"/>
        <v>42746.630000000077</v>
      </c>
      <c r="Z125" s="50">
        <f t="shared" ca="1" si="227"/>
        <v>49146.800000000032</v>
      </c>
      <c r="AA125" s="50">
        <f t="shared" ca="1" si="227"/>
        <v>45689.650000000009</v>
      </c>
      <c r="AB125" s="50">
        <f t="shared" ca="1" si="227"/>
        <v>58439.790000000066</v>
      </c>
      <c r="AC125" s="50">
        <f t="shared" ref="AC125:AH125" ca="1" si="228">AC122-AC123</f>
        <v>57221.910000000018</v>
      </c>
      <c r="AD125" s="50">
        <f t="shared" ca="1" si="228"/>
        <v>53799.850000000049</v>
      </c>
      <c r="AE125" s="50">
        <f t="shared" ca="1" si="228"/>
        <v>59705.64</v>
      </c>
      <c r="AF125" s="50">
        <f t="shared" ca="1" si="228"/>
        <v>59707.200000000055</v>
      </c>
      <c r="AG125" s="50">
        <f t="shared" ca="1" si="228"/>
        <v>66016.55</v>
      </c>
      <c r="AH125" s="50">
        <f t="shared" ca="1" si="228"/>
        <v>63426.399999999994</v>
      </c>
      <c r="AJ125" s="14">
        <f t="shared" ref="AJ125:AU128" ca="1" si="229">W125-G125</f>
        <v>0.39000000004307367</v>
      </c>
      <c r="AK125" s="14">
        <f t="shared" ca="1" si="229"/>
        <v>-0.25</v>
      </c>
      <c r="AL125" s="14">
        <f t="shared" ca="1" si="229"/>
        <v>-0.36999999992258381</v>
      </c>
      <c r="AM125" s="14">
        <f t="shared" ca="1" si="229"/>
        <v>-0.19999999996798579</v>
      </c>
      <c r="AN125" s="14">
        <f t="shared" ca="1" si="229"/>
        <v>-0.34999999999126885</v>
      </c>
      <c r="AO125" s="14">
        <f t="shared" ca="1" si="229"/>
        <v>-0.20999999993364327</v>
      </c>
      <c r="AP125" s="14">
        <f t="shared" ca="1" si="229"/>
        <v>-8.9999999981955625E-2</v>
      </c>
      <c r="AQ125" s="14">
        <f t="shared" ca="1" si="229"/>
        <v>-0.14999999995052349</v>
      </c>
      <c r="AR125" s="14">
        <f t="shared" ca="1" si="229"/>
        <v>0.63999999999941792</v>
      </c>
      <c r="AS125" s="14">
        <f t="shared" ca="1" si="229"/>
        <v>0.20000000005529728</v>
      </c>
      <c r="AT125" s="14">
        <f t="shared" ca="1" si="229"/>
        <v>1.5500000000029104</v>
      </c>
      <c r="AU125" s="14">
        <f t="shared" ca="1" si="229"/>
        <v>1.3999999999941792</v>
      </c>
    </row>
    <row r="126" spans="1:47" s="12" customFormat="1">
      <c r="A126" s="12">
        <f t="shared" si="224"/>
        <v>11</v>
      </c>
      <c r="B126"/>
      <c r="C126" t="str">
        <f>$F119</f>
        <v>Arbor Court Retirement Community at Alvamar</v>
      </c>
      <c r="D126" s="2" t="str">
        <f t="shared" si="175"/>
        <v>T_MGMT_FEE - Tenant Management Fee - Actual</v>
      </c>
      <c r="E126"/>
      <c r="F126" s="19" t="str">
        <f>_xll.EVDES(D126)</f>
        <v>Tenant Management Fee - Actual</v>
      </c>
      <c r="G126" s="61">
        <f ca="1">SUMIFS(OFFSET('BPC Data'!$F:$F,0,Summary!G$2),'BPC Data'!$E:$E,Summary!$D126,'BPC Data'!$B:$B,Summary!$C126)</f>
        <v>6246</v>
      </c>
      <c r="H126" s="65">
        <f ca="1">SUMIFS(OFFSET('BPC Data'!$F:$F,0,Summary!H$2),'BPC Data'!$E:$E,Summary!$D126,'BPC Data'!$B:$B,Summary!$C126)</f>
        <v>5953</v>
      </c>
      <c r="I126" s="61">
        <f ca="1">SUMIFS(OFFSET('BPC Data'!$F:$F,0,Summary!I$2),'BPC Data'!$E:$E,Summary!$D126,'BPC Data'!$B:$B,Summary!$C126)</f>
        <v>5814</v>
      </c>
      <c r="J126" s="65">
        <f ca="1">SUMIFS(OFFSET('BPC Data'!$F:$F,0,Summary!J$2),'BPC Data'!$E:$E,Summary!$D126,'BPC Data'!$B:$B,Summary!$C126)</f>
        <v>6195</v>
      </c>
      <c r="K126" s="61">
        <f ca="1">SUMIFS(OFFSET('BPC Data'!$F:$F,0,Summary!K$2),'BPC Data'!$E:$E,Summary!$D126,'BPC Data'!$B:$B,Summary!$C126)</f>
        <v>6233</v>
      </c>
      <c r="L126" s="65">
        <f ca="1">SUMIFS(OFFSET('BPC Data'!$F:$F,0,Summary!L$2),'BPC Data'!$E:$E,Summary!$D126,'BPC Data'!$B:$B,Summary!$C126)</f>
        <v>7000</v>
      </c>
      <c r="M126" s="61">
        <f ca="1">SUMIFS(OFFSET('BPC Data'!$F:$F,0,Summary!M$2),'BPC Data'!$E:$E,Summary!$D126,'BPC Data'!$B:$B,Summary!$C126)</f>
        <v>6177</v>
      </c>
      <c r="N126" s="65">
        <f ca="1">SUMIFS(OFFSET('BPC Data'!$F:$F,0,Summary!N$2),'BPC Data'!$E:$E,Summary!$D126,'BPC Data'!$B:$B,Summary!$C126)</f>
        <v>6681</v>
      </c>
      <c r="O126" s="61">
        <f ca="1">SUMIFS(OFFSET('BPC Data'!$F:$F,0,Summary!O$2),'BPC Data'!$E:$E,Summary!$D126,'BPC Data'!$B:$B,Summary!$C126)</f>
        <v>6630</v>
      </c>
      <c r="P126" s="65">
        <f ca="1">SUMIFS(OFFSET('BPC Data'!$F:$F,0,Summary!P$2),'BPC Data'!$E:$E,Summary!$D126,'BPC Data'!$B:$B,Summary!$C126)</f>
        <v>6883</v>
      </c>
      <c r="Q126" s="61">
        <f ca="1">SUMIFS(OFFSET('BPC Data'!$F:$F,0,Summary!Q$2),'BPC Data'!$E:$E,Summary!$D126,'BPC Data'!$B:$B,Summary!$C126)</f>
        <v>7190</v>
      </c>
      <c r="R126" s="65">
        <f ca="1">SUMIFS(OFFSET('BPC Data'!$F:$F,0,Summary!R$2),'BPC Data'!$E:$E,Summary!$D126,'BPC Data'!$B:$B,Summary!$C126)</f>
        <v>7277</v>
      </c>
      <c r="S126" s="23">
        <f t="shared" ca="1" si="225"/>
        <v>78279</v>
      </c>
      <c r="T126" s="74">
        <f ca="1">SUM(W126:AH126)</f>
        <v>78279</v>
      </c>
      <c r="U126" s="54">
        <f ca="1">T126-S126</f>
        <v>0</v>
      </c>
      <c r="W126" s="4">
        <f ca="1">SUMIFS(INDIRECT("'"&amp;$W$118&amp;"'"&amp;"!$B$64:$B$5000"),INDIRECT("'"&amp;$W$118&amp;"'"&amp;"!$A$64:$A$5000"),$V$7)</f>
        <v>6246</v>
      </c>
      <c r="X126" s="4">
        <f ca="1">SUMIFS(INDIRECT("'"&amp;$W$118&amp;"'"&amp;"!$c$64:$c$5000"),INDIRECT("'"&amp;$W$118&amp;"'"&amp;"!$A$64:$A$5000"),$V$7)</f>
        <v>5953</v>
      </c>
      <c r="Y126" s="4">
        <f ca="1">SUMIFS(INDIRECT("'"&amp;$W$118&amp;"'"&amp;"!$d$64:$d$5000"),INDIRECT("'"&amp;$W$118&amp;"'"&amp;"!$A$64:$A$5000"),$V$7)</f>
        <v>5814</v>
      </c>
      <c r="Z126" s="4">
        <f ca="1">SUMIFS(INDIRECT("'"&amp;$W$118&amp;"'"&amp;"!$e$64:$e$5000"),INDIRECT("'"&amp;$W$118&amp;"'"&amp;"!$A$64:$A$5000"),$V$7)</f>
        <v>6195</v>
      </c>
      <c r="AA126" s="4">
        <f ca="1">SUMIFS(INDIRECT("'"&amp;$W$118&amp;"'"&amp;"!$f$64:$f$5000"),INDIRECT("'"&amp;$W$118&amp;"'"&amp;"!$A$64:$A$5000"),$V$7)</f>
        <v>6233</v>
      </c>
      <c r="AB126" s="4">
        <f ca="1">SUMIFS(INDIRECT("'"&amp;$W$118&amp;"'"&amp;"!$g$64:$g$5000"),INDIRECT("'"&amp;$W$118&amp;"'"&amp;"!$A$64:$A$5000"),$V$7)</f>
        <v>7000</v>
      </c>
      <c r="AC126" s="4">
        <f ca="1">SUMIFS(INDIRECT("'"&amp;$W$118&amp;"'"&amp;"!$h$64:$h$5000"),INDIRECT("'"&amp;$W$118&amp;"'"&amp;"!$A$64:$A$5000"),$V$7)</f>
        <v>6177</v>
      </c>
      <c r="AD126" s="4">
        <f ca="1">SUMIFS(INDIRECT("'"&amp;$W$118&amp;"'"&amp;"!$i$64:$i$5000"),INDIRECT("'"&amp;$W$118&amp;"'"&amp;"!$A$64:$A$5000"),$V$7)</f>
        <v>6681</v>
      </c>
      <c r="AE126" s="4">
        <f ca="1">SUMIFS(INDIRECT("'"&amp;$W$118&amp;"'"&amp;"!$j$64:$j$5000"),INDIRECT("'"&amp;$W$118&amp;"'"&amp;"!$A$64:$A$5000"),$V$7)</f>
        <v>6630</v>
      </c>
      <c r="AF126" s="4">
        <f ca="1">SUMIFS(INDIRECT("'"&amp;$W$118&amp;"'"&amp;"!$k$64:$k$5000"),INDIRECT("'"&amp;$W$118&amp;"'"&amp;"!$A$64:$A$5000"),$V$7)</f>
        <v>6883</v>
      </c>
      <c r="AG126" s="4">
        <f ca="1">SUMIFS(INDIRECT("'"&amp;$W$118&amp;"'"&amp;"!$l$64:$l$5000"),INDIRECT("'"&amp;$W$118&amp;"'"&amp;"!$A$64:$A$5000"),$V$7)</f>
        <v>7190</v>
      </c>
      <c r="AH126" s="4">
        <f ca="1">SUMIFS(INDIRECT("'"&amp;$W$118&amp;"'"&amp;"!$m$64:$m$5000"),INDIRECT("'"&amp;$W$118&amp;"'"&amp;"!$A$64:$A$5000"),$V$7)</f>
        <v>7277</v>
      </c>
      <c r="AJ126" s="14">
        <f t="shared" ca="1" si="229"/>
        <v>0</v>
      </c>
      <c r="AK126" s="14">
        <f t="shared" ca="1" si="229"/>
        <v>0</v>
      </c>
      <c r="AL126" s="14">
        <f t="shared" ca="1" si="229"/>
        <v>0</v>
      </c>
      <c r="AM126" s="14">
        <f t="shared" ca="1" si="229"/>
        <v>0</v>
      </c>
      <c r="AN126" s="14">
        <f t="shared" ca="1" si="229"/>
        <v>0</v>
      </c>
      <c r="AO126" s="14">
        <f t="shared" ca="1" si="229"/>
        <v>0</v>
      </c>
      <c r="AP126" s="14">
        <f t="shared" ca="1" si="229"/>
        <v>0</v>
      </c>
      <c r="AQ126" s="14">
        <f t="shared" ca="1" si="229"/>
        <v>0</v>
      </c>
      <c r="AR126" s="14">
        <f t="shared" ca="1" si="229"/>
        <v>0</v>
      </c>
      <c r="AS126" s="14">
        <f t="shared" ca="1" si="229"/>
        <v>0</v>
      </c>
      <c r="AT126" s="14">
        <f t="shared" ca="1" si="229"/>
        <v>0</v>
      </c>
      <c r="AU126" s="14">
        <f t="shared" ca="1" si="229"/>
        <v>0</v>
      </c>
    </row>
    <row r="127" spans="1:47" s="12" customFormat="1">
      <c r="A127" s="12">
        <f t="shared" si="224"/>
        <v>11</v>
      </c>
      <c r="B127"/>
      <c r="C127" t="str">
        <f>$F119</f>
        <v>Arbor Court Retirement Community at Alvamar</v>
      </c>
      <c r="D127" s="1" t="str">
        <f t="shared" si="175"/>
        <v>T_EBITDAR - EBITDAR</v>
      </c>
      <c r="E127"/>
      <c r="F127" s="19" t="str">
        <f>_xll.EVDES(D127)</f>
        <v>EBITDAR</v>
      </c>
      <c r="G127" s="61">
        <f ca="1">SUMIFS(OFFSET('BPC Data'!$F:$F,0,Summary!G$2),'BPC Data'!$E:$E,Summary!$D127,'BPC Data'!$B:$B,Summary!$C127)</f>
        <v>38705</v>
      </c>
      <c r="H127" s="65">
        <f ca="1">SUMIFS(OFFSET('BPC Data'!$F:$F,0,Summary!H$2),'BPC Data'!$E:$E,Summary!$D127,'BPC Data'!$B:$B,Summary!$C127)</f>
        <v>35379</v>
      </c>
      <c r="I127" s="61">
        <f ca="1">SUMIFS(OFFSET('BPC Data'!$F:$F,0,Summary!I$2),'BPC Data'!$E:$E,Summary!$D127,'BPC Data'!$B:$B,Summary!$C127)</f>
        <v>36933</v>
      </c>
      <c r="J127" s="65">
        <f ca="1">SUMIFS(OFFSET('BPC Data'!$F:$F,0,Summary!J$2),'BPC Data'!$E:$E,Summary!$D127,'BPC Data'!$B:$B,Summary!$C127)</f>
        <v>42952</v>
      </c>
      <c r="K127" s="61">
        <f ca="1">SUMIFS(OFFSET('BPC Data'!$F:$F,0,Summary!K$2),'BPC Data'!$E:$E,Summary!$D127,'BPC Data'!$B:$B,Summary!$C127)</f>
        <v>39457</v>
      </c>
      <c r="L127" s="65">
        <f ca="1">SUMIFS(OFFSET('BPC Data'!$F:$F,0,Summary!L$2),'BPC Data'!$E:$E,Summary!$D127,'BPC Data'!$B:$B,Summary!$C127)</f>
        <v>51440</v>
      </c>
      <c r="M127" s="61">
        <f ca="1">SUMIFS(OFFSET('BPC Data'!$F:$F,0,Summary!M$2),'BPC Data'!$E:$E,Summary!$D127,'BPC Data'!$B:$B,Summary!$C127)</f>
        <v>51045</v>
      </c>
      <c r="N127" s="65">
        <f ca="1">SUMIFS(OFFSET('BPC Data'!$F:$F,0,Summary!N$2),'BPC Data'!$E:$E,Summary!$D127,'BPC Data'!$B:$B,Summary!$C127)</f>
        <v>47119</v>
      </c>
      <c r="O127" s="61">
        <f ca="1">SUMIFS(OFFSET('BPC Data'!$F:$F,0,Summary!O$2),'BPC Data'!$E:$E,Summary!$D127,'BPC Data'!$B:$B,Summary!$C127)</f>
        <v>53075</v>
      </c>
      <c r="P127" s="65">
        <f ca="1">SUMIFS(OFFSET('BPC Data'!$F:$F,0,Summary!P$2),'BPC Data'!$E:$E,Summary!$D127,'BPC Data'!$B:$B,Summary!$C127)</f>
        <v>52824</v>
      </c>
      <c r="Q127" s="61">
        <f ca="1">SUMIFS(OFFSET('BPC Data'!$F:$F,0,Summary!Q$2),'BPC Data'!$E:$E,Summary!$D127,'BPC Data'!$B:$B,Summary!$C127)</f>
        <v>58825</v>
      </c>
      <c r="R127" s="65">
        <f ca="1">SUMIFS(OFFSET('BPC Data'!$F:$F,0,Summary!R$2),'BPC Data'!$E:$E,Summary!$D127,'BPC Data'!$B:$B,Summary!$C127)</f>
        <v>56148</v>
      </c>
      <c r="S127" s="23">
        <f t="shared" ca="1" si="225"/>
        <v>563902</v>
      </c>
      <c r="T127" s="74">
        <f ca="1">SUM(W127:AH127)</f>
        <v>563904.56000000029</v>
      </c>
      <c r="U127" s="54">
        <f ca="1">T127-S127</f>
        <v>2.56000000028871</v>
      </c>
      <c r="W127" s="50">
        <f t="shared" ref="W127:AB127" ca="1" si="230">W125-W126</f>
        <v>38705.390000000043</v>
      </c>
      <c r="X127" s="50">
        <f t="shared" ca="1" si="230"/>
        <v>35378.75</v>
      </c>
      <c r="Y127" s="50">
        <f t="shared" ca="1" si="230"/>
        <v>36932.630000000077</v>
      </c>
      <c r="Z127" s="50">
        <f t="shared" ca="1" si="230"/>
        <v>42951.800000000032</v>
      </c>
      <c r="AA127" s="50">
        <f t="shared" ca="1" si="230"/>
        <v>39456.650000000009</v>
      </c>
      <c r="AB127" s="50">
        <f t="shared" ca="1" si="230"/>
        <v>51439.790000000066</v>
      </c>
      <c r="AC127" s="50">
        <f t="shared" ref="AC127:AH127" ca="1" si="231">AC125-AC126</f>
        <v>51044.910000000018</v>
      </c>
      <c r="AD127" s="50">
        <f t="shared" ca="1" si="231"/>
        <v>47118.850000000049</v>
      </c>
      <c r="AE127" s="50">
        <f t="shared" ca="1" si="231"/>
        <v>53075.64</v>
      </c>
      <c r="AF127" s="50">
        <f t="shared" ca="1" si="231"/>
        <v>52824.200000000055</v>
      </c>
      <c r="AG127" s="50">
        <f t="shared" ca="1" si="231"/>
        <v>58826.55</v>
      </c>
      <c r="AH127" s="50">
        <f t="shared" ca="1" si="231"/>
        <v>56149.399999999994</v>
      </c>
      <c r="AJ127" s="14">
        <f t="shared" ca="1" si="229"/>
        <v>0.39000000004307367</v>
      </c>
      <c r="AK127" s="14">
        <f t="shared" ca="1" si="229"/>
        <v>-0.25</v>
      </c>
      <c r="AL127" s="14">
        <f t="shared" ca="1" si="229"/>
        <v>-0.36999999992258381</v>
      </c>
      <c r="AM127" s="14">
        <f t="shared" ca="1" si="229"/>
        <v>-0.19999999996798579</v>
      </c>
      <c r="AN127" s="14">
        <f t="shared" ca="1" si="229"/>
        <v>-0.34999999999126885</v>
      </c>
      <c r="AO127" s="14">
        <f t="shared" ca="1" si="229"/>
        <v>-0.20999999993364327</v>
      </c>
      <c r="AP127" s="14">
        <f t="shared" ca="1" si="229"/>
        <v>-8.9999999981955625E-2</v>
      </c>
      <c r="AQ127" s="14">
        <f t="shared" ca="1" si="229"/>
        <v>-0.14999999995052349</v>
      </c>
      <c r="AR127" s="14">
        <f t="shared" ca="1" si="229"/>
        <v>0.63999999999941792</v>
      </c>
      <c r="AS127" s="14">
        <f t="shared" ca="1" si="229"/>
        <v>0.20000000005529728</v>
      </c>
      <c r="AT127" s="14">
        <f t="shared" ca="1" si="229"/>
        <v>1.5500000000029104</v>
      </c>
      <c r="AU127" s="14">
        <f t="shared" ca="1" si="229"/>
        <v>1.3999999999941792</v>
      </c>
    </row>
    <row r="128" spans="1:47" s="12" customFormat="1">
      <c r="A128" s="12">
        <f t="shared" si="224"/>
        <v>11</v>
      </c>
      <c r="B128"/>
      <c r="C128" t="str">
        <f>$F119</f>
        <v>Arbor Court Retirement Community at Alvamar</v>
      </c>
      <c r="D128" s="1" t="str">
        <f t="shared" si="175"/>
        <v>T_RENT_EXP - Tenant Rent Expense</v>
      </c>
      <c r="E128"/>
      <c r="F128" s="19" t="str">
        <f>_xll.EVDES(D128)</f>
        <v>Tenant Rent Expense</v>
      </c>
      <c r="G128" s="61">
        <f ca="1">SUMIFS(OFFSET('BPC Data'!$F:$F,0,Summary!G$2),'BPC Data'!$E:$E,Summary!$D128,'BPC Data'!$B:$B,Summary!$C128)</f>
        <v>34444</v>
      </c>
      <c r="H128" s="65">
        <f ca="1">SUMIFS(OFFSET('BPC Data'!$F:$F,0,Summary!H$2),'BPC Data'!$E:$E,Summary!$D128,'BPC Data'!$B:$B,Summary!$C128)</f>
        <v>35344</v>
      </c>
      <c r="I128" s="61">
        <f ca="1">SUMIFS(OFFSET('BPC Data'!$F:$F,0,Summary!I$2),'BPC Data'!$E:$E,Summary!$D128,'BPC Data'!$B:$B,Summary!$C128)</f>
        <v>35344</v>
      </c>
      <c r="J128" s="65">
        <f ca="1">SUMIFS(OFFSET('BPC Data'!$F:$F,0,Summary!J$2),'BPC Data'!$E:$E,Summary!$D128,'BPC Data'!$B:$B,Summary!$C128)</f>
        <v>35344</v>
      </c>
      <c r="K128" s="61">
        <f ca="1">SUMIFS(OFFSET('BPC Data'!$F:$F,0,Summary!K$2),'BPC Data'!$E:$E,Summary!$D128,'BPC Data'!$B:$B,Summary!$C128)</f>
        <v>35344</v>
      </c>
      <c r="L128" s="65">
        <f ca="1">SUMIFS(OFFSET('BPC Data'!$F:$F,0,Summary!L$2),'BPC Data'!$E:$E,Summary!$D128,'BPC Data'!$B:$B,Summary!$C128)</f>
        <v>35344</v>
      </c>
      <c r="M128" s="61">
        <f ca="1">SUMIFS(OFFSET('BPC Data'!$F:$F,0,Summary!M$2),'BPC Data'!$E:$E,Summary!$D128,'BPC Data'!$B:$B,Summary!$C128)</f>
        <v>35344</v>
      </c>
      <c r="N128" s="65">
        <f ca="1">SUMIFS(OFFSET('BPC Data'!$F:$F,0,Summary!N$2),'BPC Data'!$E:$E,Summary!$D128,'BPC Data'!$B:$B,Summary!$C128)</f>
        <v>35344</v>
      </c>
      <c r="O128" s="61">
        <f ca="1">SUMIFS(OFFSET('BPC Data'!$F:$F,0,Summary!O$2),'BPC Data'!$E:$E,Summary!$D128,'BPC Data'!$B:$B,Summary!$C128)</f>
        <v>35344</v>
      </c>
      <c r="P128" s="65">
        <f ca="1">SUMIFS(OFFSET('BPC Data'!$F:$F,0,Summary!P$2),'BPC Data'!$E:$E,Summary!$D128,'BPC Data'!$B:$B,Summary!$C128)</f>
        <v>35344</v>
      </c>
      <c r="Q128" s="61">
        <f ca="1">SUMIFS(OFFSET('BPC Data'!$F:$F,0,Summary!Q$2),'BPC Data'!$E:$E,Summary!$D128,'BPC Data'!$B:$B,Summary!$C128)</f>
        <v>35344</v>
      </c>
      <c r="R128" s="65">
        <f ca="1">SUMIFS(OFFSET('BPC Data'!$F:$F,0,Summary!R$2),'BPC Data'!$E:$E,Summary!$D128,'BPC Data'!$B:$B,Summary!$C128)</f>
        <v>38579</v>
      </c>
      <c r="S128" s="23">
        <f t="shared" ca="1" si="225"/>
        <v>426463</v>
      </c>
      <c r="T128" s="74">
        <f ca="1">SUM(W128:AH128)</f>
        <v>426461.10999999987</v>
      </c>
      <c r="U128" s="54">
        <f ca="1">T128-S128</f>
        <v>-1.8900000001303852</v>
      </c>
      <c r="W128" s="4">
        <f ca="1">SUMIFS(INDIRECT("'"&amp;$W$118&amp;"'"&amp;"!$B$64:$B$5000"),INDIRECT("'"&amp;$W$118&amp;"'"&amp;"!$A$64:$A$5000"),$W$3)+SUMIFS(INDIRECT("'"&amp;$W$118&amp;"'"&amp;"!$B$64:$B$5000"),INDIRECT("'"&amp;$W$118&amp;"'"&amp;"!$A$64:$A$5000"),$W$4)</f>
        <v>34443.980000000003</v>
      </c>
      <c r="X128" s="4">
        <f ca="1">SUMIFS(INDIRECT("'"&amp;$W$118&amp;"'"&amp;"!$c$64:$c$5000"),INDIRECT("'"&amp;$W$118&amp;"'"&amp;"!$A$64:$A$5000"),$W$3)+SUMIFS(INDIRECT("'"&amp;$W$118&amp;"'"&amp;"!$c$64:$c$5000"),INDIRECT("'"&amp;$W$118&amp;"'"&amp;"!$A$64:$A$5000"),$W$4)</f>
        <v>35343.86</v>
      </c>
      <c r="Y128" s="4">
        <f ca="1">SUMIFS(INDIRECT("'"&amp;$W$118&amp;"'"&amp;"!$d$64:$d$5000"),INDIRECT("'"&amp;$W$118&amp;"'"&amp;"!$A$64:$A$5000"),$W$3)+SUMIFS(INDIRECT("'"&amp;$W$118&amp;"'"&amp;"!$d$64:$d$5000"),INDIRECT("'"&amp;$W$118&amp;"'"&amp;"!$A$64:$A$5000"),$W$4)</f>
        <v>35343.86</v>
      </c>
      <c r="Z128" s="4">
        <f ca="1">SUMIFS(INDIRECT("'"&amp;$W$118&amp;"'"&amp;"!$e$64:$e$5000"),INDIRECT("'"&amp;$W$118&amp;"'"&amp;"!$A$64:$A$5000"),$W$3)+SUMIFS(INDIRECT("'"&amp;$W$118&amp;"'"&amp;"!$e$64:$e$5000"),INDIRECT("'"&amp;$W$118&amp;"'"&amp;"!$A$64:$A$5000"),$W$4)</f>
        <v>35343.86</v>
      </c>
      <c r="AA128" s="4">
        <f ca="1">SUMIFS(INDIRECT("'"&amp;$W$118&amp;"'"&amp;"!$f$64:$f$5000"),INDIRECT("'"&amp;$W$118&amp;"'"&amp;"!$A$64:$A$5000"),$W$3)+SUMIFS(INDIRECT("'"&amp;$W$118&amp;"'"&amp;"!$f$64:$f$5000"),INDIRECT("'"&amp;$W$118&amp;"'"&amp;"!$A$64:$A$5000"),$W$4)</f>
        <v>35343.86</v>
      </c>
      <c r="AB128" s="4">
        <f ca="1">SUMIFS(INDIRECT("'"&amp;$W$118&amp;"'"&amp;"!$g$64:$g$5000"),INDIRECT("'"&amp;$W$118&amp;"'"&amp;"!$A$64:$A$5000"),$W$3)+SUMIFS(INDIRECT("'"&amp;$W$118&amp;"'"&amp;"!$g$64:$g$5000"),INDIRECT("'"&amp;$W$118&amp;"'"&amp;"!$A$64:$A$5000"),$W$4)</f>
        <v>35343.86</v>
      </c>
      <c r="AC128" s="4">
        <f ca="1">SUMIFS(INDIRECT("'"&amp;$W$118&amp;"'"&amp;"!$h$64:$h$5000"),INDIRECT("'"&amp;$W$118&amp;"'"&amp;"!$A$64:$A$5000"),$W$3)+SUMIFS(INDIRECT("'"&amp;$W$118&amp;"'"&amp;"!$h$64:$h$5000"),INDIRECT("'"&amp;$W$118&amp;"'"&amp;"!$A$64:$A$5000"),$W$4)</f>
        <v>35343.86</v>
      </c>
      <c r="AD128" s="4">
        <f ca="1">SUMIFS(INDIRECT("'"&amp;$W$118&amp;"'"&amp;"!$i$64:$i$5000"),INDIRECT("'"&amp;$W$118&amp;"'"&amp;"!$A$64:$A$5000"),$W$3)+SUMIFS(INDIRECT("'"&amp;$W$118&amp;"'"&amp;"!$i$64:$i$5000"),INDIRECT("'"&amp;$W$118&amp;"'"&amp;"!$A$64:$A$5000"),$W$4)</f>
        <v>35343.86</v>
      </c>
      <c r="AE128" s="4">
        <f ca="1">SUMIFS(INDIRECT("'"&amp;$W$118&amp;"'"&amp;"!$j$64:$j$5000"),INDIRECT("'"&amp;$W$118&amp;"'"&amp;"!$A$64:$A$5000"),$W$3)+SUMIFS(INDIRECT("'"&amp;$W$118&amp;"'"&amp;"!$j$64:$j$5000"),INDIRECT("'"&amp;$W$118&amp;"'"&amp;"!$A$64:$A$5000"),$W$4)</f>
        <v>35343.86</v>
      </c>
      <c r="AF128" s="4">
        <f ca="1">SUMIFS(INDIRECT("'"&amp;$W$118&amp;"'"&amp;"!$k$64:$k$5000"),INDIRECT("'"&amp;$W$118&amp;"'"&amp;"!$A$64:$A$5000"),$W$3)+SUMIFS(INDIRECT("'"&amp;$W$118&amp;"'"&amp;"!$k$64:$k$5000"),INDIRECT("'"&amp;$W$118&amp;"'"&amp;"!$A$64:$A$5000"),$W$4)</f>
        <v>35343.86</v>
      </c>
      <c r="AG128" s="4">
        <f ca="1">SUMIFS(INDIRECT("'"&amp;$W$118&amp;"'"&amp;"!$l$64:$l$5000"),INDIRECT("'"&amp;$W$118&amp;"'"&amp;"!$A$64:$A$5000"),$W$3)+SUMIFS(INDIRECT("'"&amp;$W$118&amp;"'"&amp;"!$l$64:$l$5000"),INDIRECT("'"&amp;$W$118&amp;"'"&amp;"!$A$64:$A$5000"),$W$4)</f>
        <v>35343.86</v>
      </c>
      <c r="AH128" s="4">
        <f ca="1">SUMIFS(INDIRECT("'"&amp;$W$118&amp;"'"&amp;"!$m$64:$m$5000"),INDIRECT("'"&amp;$W$118&amp;"'"&amp;"!$A$64:$A$5000"),$W$3)+SUMIFS(INDIRECT("'"&amp;$W$118&amp;"'"&amp;"!$m$64:$m$5000"),INDIRECT("'"&amp;$W$118&amp;"'"&amp;"!$A$64:$A$5000"),$W$4)</f>
        <v>38578.53</v>
      </c>
      <c r="AJ128" s="14">
        <f t="shared" ca="1" si="229"/>
        <v>-1.9999999996798579E-2</v>
      </c>
      <c r="AK128" s="14">
        <f t="shared" ca="1" si="229"/>
        <v>-0.13999999999941792</v>
      </c>
      <c r="AL128" s="14">
        <f t="shared" ca="1" si="229"/>
        <v>-0.13999999999941792</v>
      </c>
      <c r="AM128" s="14">
        <f t="shared" ca="1" si="229"/>
        <v>-0.13999999999941792</v>
      </c>
      <c r="AN128" s="14">
        <f t="shared" ca="1" si="229"/>
        <v>-0.13999999999941792</v>
      </c>
      <c r="AO128" s="14">
        <f t="shared" ca="1" si="229"/>
        <v>-0.13999999999941792</v>
      </c>
      <c r="AP128" s="14">
        <f t="shared" ca="1" si="229"/>
        <v>-0.13999999999941792</v>
      </c>
      <c r="AQ128" s="14">
        <f t="shared" ca="1" si="229"/>
        <v>-0.13999999999941792</v>
      </c>
      <c r="AR128" s="14">
        <f t="shared" ca="1" si="229"/>
        <v>-0.13999999999941792</v>
      </c>
      <c r="AS128" s="14">
        <f t="shared" ca="1" si="229"/>
        <v>-0.13999999999941792</v>
      </c>
      <c r="AT128" s="14">
        <f t="shared" ca="1" si="229"/>
        <v>-0.13999999999941792</v>
      </c>
      <c r="AU128" s="14">
        <f t="shared" ca="1" si="229"/>
        <v>-0.47000000000116415</v>
      </c>
    </row>
    <row r="129" spans="1:47" s="12" customFormat="1">
      <c r="A129" s="12">
        <f t="shared" si="224"/>
        <v>11</v>
      </c>
      <c r="B129"/>
      <c r="C129"/>
      <c r="D129" s="1" t="str">
        <f t="shared" si="175"/>
        <v>x</v>
      </c>
      <c r="E129"/>
      <c r="F129" s="19" t="s">
        <v>0</v>
      </c>
      <c r="G129" s="61">
        <f ca="1">SUMIFS(OFFSET('BPC Data'!$F:$F,0,Summary!G$2),'BPC Data'!$E:$E,Summary!$D129,'BPC Data'!$B:$B,Summary!$C129)</f>
        <v>0</v>
      </c>
      <c r="H129" s="65">
        <f ca="1">SUMIFS(OFFSET('BPC Data'!$F:$F,0,Summary!H$2),'BPC Data'!$E:$E,Summary!$D129,'BPC Data'!$B:$B,Summary!$C129)</f>
        <v>0</v>
      </c>
      <c r="I129" s="61">
        <f ca="1">SUMIFS(OFFSET('BPC Data'!$F:$F,0,Summary!I$2),'BPC Data'!$E:$E,Summary!$D129,'BPC Data'!$B:$B,Summary!$C129)</f>
        <v>0</v>
      </c>
      <c r="J129" s="65">
        <f ca="1">SUMIFS(OFFSET('BPC Data'!$F:$F,0,Summary!J$2),'BPC Data'!$E:$E,Summary!$D129,'BPC Data'!$B:$B,Summary!$C129)</f>
        <v>0</v>
      </c>
      <c r="K129" s="61">
        <f ca="1">SUMIFS(OFFSET('BPC Data'!$F:$F,0,Summary!K$2),'BPC Data'!$E:$E,Summary!$D129,'BPC Data'!$B:$B,Summary!$C129)</f>
        <v>0</v>
      </c>
      <c r="L129" s="65">
        <f ca="1">SUMIFS(OFFSET('BPC Data'!$F:$F,0,Summary!L$2),'BPC Data'!$E:$E,Summary!$D129,'BPC Data'!$B:$B,Summary!$C129)</f>
        <v>0</v>
      </c>
      <c r="M129" s="61">
        <f ca="1">SUMIFS(OFFSET('BPC Data'!$F:$F,0,Summary!M$2),'BPC Data'!$E:$E,Summary!$D129,'BPC Data'!$B:$B,Summary!$C129)</f>
        <v>0</v>
      </c>
      <c r="N129" s="65">
        <f ca="1">SUMIFS(OFFSET('BPC Data'!$F:$F,0,Summary!N$2),'BPC Data'!$E:$E,Summary!$D129,'BPC Data'!$B:$B,Summary!$C129)</f>
        <v>0</v>
      </c>
      <c r="O129" s="61">
        <f ca="1">SUMIFS(OFFSET('BPC Data'!$F:$F,0,Summary!O$2),'BPC Data'!$E:$E,Summary!$D129,'BPC Data'!$B:$B,Summary!$C129)</f>
        <v>0</v>
      </c>
      <c r="P129" s="65">
        <f ca="1">SUMIFS(OFFSET('BPC Data'!$F:$F,0,Summary!P$2),'BPC Data'!$E:$E,Summary!$D129,'BPC Data'!$B:$B,Summary!$C129)</f>
        <v>0</v>
      </c>
      <c r="Q129" s="61">
        <f ca="1">SUMIFS(OFFSET('BPC Data'!$F:$F,0,Summary!Q$2),'BPC Data'!$E:$E,Summary!$D129,'BPC Data'!$B:$B,Summary!$C129)</f>
        <v>0</v>
      </c>
      <c r="R129" s="65">
        <f ca="1">SUMIFS(OFFSET('BPC Data'!$F:$F,0,Summary!R$2),'BPC Data'!$E:$E,Summary!$D129,'BPC Data'!$B:$B,Summary!$C129)</f>
        <v>0</v>
      </c>
      <c r="S129" s="23">
        <f ca="1">SUM(G129:M129)</f>
        <v>0</v>
      </c>
      <c r="T129" s="76"/>
      <c r="W129" t="s">
        <v>305</v>
      </c>
      <c r="X129"/>
      <c r="Y129"/>
      <c r="Z129"/>
      <c r="AA129"/>
      <c r="AB129"/>
      <c r="AC129"/>
      <c r="AD129"/>
      <c r="AE129"/>
      <c r="AF129"/>
      <c r="AG129"/>
      <c r="AJ129" s="49"/>
      <c r="AK129" s="49"/>
      <c r="AL129" s="49"/>
      <c r="AM129" s="49"/>
      <c r="AN129" s="49"/>
      <c r="AO129" s="49"/>
      <c r="AP129" s="49"/>
      <c r="AQ129" s="49"/>
      <c r="AR129" s="49"/>
      <c r="AS129" s="49"/>
      <c r="AT129" s="49"/>
      <c r="AU129" s="49"/>
    </row>
    <row r="130" spans="1:47" s="12" customFormat="1">
      <c r="A130" s="12">
        <f>IF(AND(D130&lt;&gt;"",C130=""),A129+1,A129)</f>
        <v>12</v>
      </c>
      <c r="B130" s="5"/>
      <c r="C130" s="5"/>
      <c r="D130" s="5" t="str">
        <f t="shared" si="175"/>
        <v>x</v>
      </c>
      <c r="E130" s="5"/>
      <c r="F130" s="18" t="str">
        <f>INDEX(PropertyList!$D:$D,MATCH(Summary!$A130,PropertyList!$C:$C,0))</f>
        <v>Arbor Court Retirement Community at Salina</v>
      </c>
      <c r="G130" s="61">
        <f ca="1">SUMIFS(OFFSET('BPC Data'!$F:$F,0,Summary!G$2),'BPC Data'!$E:$E,Summary!$D130,'BPC Data'!$B:$B,Summary!$C130)</f>
        <v>0</v>
      </c>
      <c r="H130" s="65">
        <f ca="1">SUMIFS(OFFSET('BPC Data'!$F:$F,0,Summary!H$2),'BPC Data'!$E:$E,Summary!$D130,'BPC Data'!$B:$B,Summary!$C130)</f>
        <v>0</v>
      </c>
      <c r="I130" s="61">
        <f ca="1">SUMIFS(OFFSET('BPC Data'!$F:$F,0,Summary!I$2),'BPC Data'!$E:$E,Summary!$D130,'BPC Data'!$B:$B,Summary!$C130)</f>
        <v>0</v>
      </c>
      <c r="J130" s="65">
        <f ca="1">SUMIFS(OFFSET('BPC Data'!$F:$F,0,Summary!J$2),'BPC Data'!$E:$E,Summary!$D130,'BPC Data'!$B:$B,Summary!$C130)</f>
        <v>0</v>
      </c>
      <c r="K130" s="61">
        <f ca="1">SUMIFS(OFFSET('BPC Data'!$F:$F,0,Summary!K$2),'BPC Data'!$E:$E,Summary!$D130,'BPC Data'!$B:$B,Summary!$C130)</f>
        <v>0</v>
      </c>
      <c r="L130" s="65">
        <f ca="1">SUMIFS(OFFSET('BPC Data'!$F:$F,0,Summary!L$2),'BPC Data'!$E:$E,Summary!$D130,'BPC Data'!$B:$B,Summary!$C130)</f>
        <v>0</v>
      </c>
      <c r="M130" s="61">
        <f ca="1">SUMIFS(OFFSET('BPC Data'!$F:$F,0,Summary!M$2),'BPC Data'!$E:$E,Summary!$D130,'BPC Data'!$B:$B,Summary!$C130)</f>
        <v>0</v>
      </c>
      <c r="N130" s="65">
        <f ca="1">SUMIFS(OFFSET('BPC Data'!$F:$F,0,Summary!N$2),'BPC Data'!$E:$E,Summary!$D130,'BPC Data'!$B:$B,Summary!$C130)</f>
        <v>0</v>
      </c>
      <c r="O130" s="61">
        <f ca="1">SUMIFS(OFFSET('BPC Data'!$F:$F,0,Summary!O$2),'BPC Data'!$E:$E,Summary!$D130,'BPC Data'!$B:$B,Summary!$C130)</f>
        <v>0</v>
      </c>
      <c r="P130" s="65">
        <f ca="1">SUMIFS(OFFSET('BPC Data'!$F:$F,0,Summary!P$2),'BPC Data'!$E:$E,Summary!$D130,'BPC Data'!$B:$B,Summary!$C130)</f>
        <v>0</v>
      </c>
      <c r="Q130" s="61">
        <f ca="1">SUMIFS(OFFSET('BPC Data'!$F:$F,0,Summary!Q$2),'BPC Data'!$E:$E,Summary!$D130,'BPC Data'!$B:$B,Summary!$C130)</f>
        <v>0</v>
      </c>
      <c r="R130" s="65">
        <f ca="1">SUMIFS(OFFSET('BPC Data'!$F:$F,0,Summary!R$2),'BPC Data'!$E:$E,Summary!$D130,'BPC Data'!$B:$B,Summary!$C130)</f>
        <v>0</v>
      </c>
      <c r="S130" s="23">
        <f ca="1">SUM(G130:M130)</f>
        <v>0</v>
      </c>
      <c r="T130" s="76"/>
      <c r="W130" s="5" t="str">
        <f t="shared" ref="W130:AH130" si="232">+G$8</f>
        <v>Aug 2021</v>
      </c>
      <c r="X130" s="5" t="str">
        <f t="shared" si="232"/>
        <v>Sep 2021</v>
      </c>
      <c r="Y130" s="5" t="str">
        <f t="shared" si="232"/>
        <v>Oct 2021</v>
      </c>
      <c r="Z130" s="5" t="str">
        <f t="shared" si="232"/>
        <v>Nov 2021</v>
      </c>
      <c r="AA130" s="5" t="str">
        <f t="shared" si="232"/>
        <v>Dec 2021</v>
      </c>
      <c r="AB130" s="5" t="str">
        <f t="shared" si="232"/>
        <v>Jan 2022</v>
      </c>
      <c r="AC130" s="5" t="str">
        <f t="shared" si="232"/>
        <v>Feb 2022</v>
      </c>
      <c r="AD130" s="5" t="str">
        <f t="shared" si="232"/>
        <v>Mar 2022</v>
      </c>
      <c r="AE130" s="5" t="str">
        <f t="shared" si="232"/>
        <v>Apr 2022</v>
      </c>
      <c r="AF130" s="5" t="str">
        <f t="shared" si="232"/>
        <v>May 2022</v>
      </c>
      <c r="AG130" s="5" t="str">
        <f t="shared" si="232"/>
        <v>Jun 2022</v>
      </c>
      <c r="AH130" s="5" t="str">
        <f t="shared" si="232"/>
        <v>Jul 2022</v>
      </c>
      <c r="AJ130" s="174" t="str">
        <f>W$9</f>
        <v>Aug 2021</v>
      </c>
      <c r="AK130" s="174" t="str">
        <f t="shared" ref="AK130" si="233">X$9</f>
        <v>Sep 2021</v>
      </c>
      <c r="AL130" s="174" t="str">
        <f t="shared" ref="AL130" si="234">Y$9</f>
        <v>Oct 2021</v>
      </c>
      <c r="AM130" s="174" t="str">
        <f t="shared" ref="AM130" si="235">Z$9</f>
        <v>Nov 2021</v>
      </c>
      <c r="AN130" s="174" t="str">
        <f t="shared" ref="AN130:AO130" si="236">AA$9</f>
        <v>Dec 2021</v>
      </c>
      <c r="AO130" s="174" t="str">
        <f t="shared" si="236"/>
        <v>Jan 2022</v>
      </c>
      <c r="AP130" s="174" t="str">
        <f t="shared" ref="AP130" si="237">AC$9</f>
        <v>Feb 2022</v>
      </c>
      <c r="AQ130" s="174" t="str">
        <f t="shared" ref="AQ130" si="238">AD$9</f>
        <v>Mar 2022</v>
      </c>
      <c r="AR130" s="174" t="str">
        <f t="shared" ref="AR130" si="239">AE$9</f>
        <v>Apr 2022</v>
      </c>
      <c r="AS130" s="174" t="str">
        <f t="shared" ref="AS130" si="240">AF$9</f>
        <v>May 2022</v>
      </c>
      <c r="AT130" s="174" t="str">
        <f t="shared" ref="AT130" si="241">AG$9</f>
        <v>Jun 2022</v>
      </c>
      <c r="AU130" s="174" t="str">
        <f t="shared" ref="AU130" si="242">AH$9</f>
        <v>Jul 2022</v>
      </c>
    </row>
    <row r="131" spans="1:47" s="12" customFormat="1">
      <c r="A131" s="12">
        <f>IF(AND(F131&lt;&gt;"",D131=""),A130+1,A130)</f>
        <v>12</v>
      </c>
      <c r="C131" t="str">
        <f>$F130</f>
        <v>Arbor Court Retirement Community at Salina</v>
      </c>
      <c r="D131" s="3" t="str">
        <f t="shared" si="175"/>
        <v>PAY_PAT_DAYS - Total Payor Patient Days</v>
      </c>
      <c r="F131" s="19" t="str">
        <f>_xll.EVDES(D131)</f>
        <v>Total Payor Patient Days</v>
      </c>
      <c r="G131" s="61">
        <f ca="1">SUMIFS(OFFSET('BPC Data'!$F:$F,0,Summary!G$2),'BPC Data'!$E:$E,Summary!$D131,'BPC Data'!$B:$B,Summary!$C131)</f>
        <v>1193</v>
      </c>
      <c r="H131" s="65">
        <f ca="1">SUMIFS(OFFSET('BPC Data'!$F:$F,0,Summary!H$2),'BPC Data'!$E:$E,Summary!$D131,'BPC Data'!$B:$B,Summary!$C131)</f>
        <v>1200</v>
      </c>
      <c r="I131" s="61">
        <f ca="1">SUMIFS(OFFSET('BPC Data'!$F:$F,0,Summary!I$2),'BPC Data'!$E:$E,Summary!$D131,'BPC Data'!$B:$B,Summary!$C131)</f>
        <v>1240</v>
      </c>
      <c r="J131" s="65">
        <f ca="1">SUMIFS(OFFSET('BPC Data'!$F:$F,0,Summary!J$2),'BPC Data'!$E:$E,Summary!$D131,'BPC Data'!$B:$B,Summary!$C131)</f>
        <v>1200</v>
      </c>
      <c r="K131" s="61">
        <f ca="1">SUMIFS(OFFSET('BPC Data'!$F:$F,0,Summary!K$2),'BPC Data'!$E:$E,Summary!$D131,'BPC Data'!$B:$B,Summary!$C131)</f>
        <v>1209</v>
      </c>
      <c r="L131" s="65">
        <f ca="1">SUMIFS(OFFSET('BPC Data'!$F:$F,0,Summary!L$2),'BPC Data'!$E:$E,Summary!$D131,'BPC Data'!$B:$B,Summary!$C131)</f>
        <v>1209</v>
      </c>
      <c r="M131" s="61">
        <f ca="1">SUMIFS(OFFSET('BPC Data'!$F:$F,0,Summary!M$2),'BPC Data'!$E:$E,Summary!$D131,'BPC Data'!$B:$B,Summary!$C131)</f>
        <v>1092</v>
      </c>
      <c r="N131" s="65">
        <f ca="1">SUMIFS(OFFSET('BPC Data'!$F:$F,0,Summary!N$2),'BPC Data'!$E:$E,Summary!$D131,'BPC Data'!$B:$B,Summary!$C131)</f>
        <v>1240</v>
      </c>
      <c r="O131" s="61">
        <f ca="1">SUMIFS(OFFSET('BPC Data'!$F:$F,0,Summary!O$2),'BPC Data'!$E:$E,Summary!$D131,'BPC Data'!$B:$B,Summary!$C131)</f>
        <v>1140</v>
      </c>
      <c r="P131" s="65">
        <f ca="1">SUMIFS(OFFSET('BPC Data'!$F:$F,0,Summary!P$2),'BPC Data'!$E:$E,Summary!$D131,'BPC Data'!$B:$B,Summary!$C131)</f>
        <v>1271</v>
      </c>
      <c r="Q131" s="61">
        <f ca="1">SUMIFS(OFFSET('BPC Data'!$F:$F,0,Summary!Q$2),'BPC Data'!$E:$E,Summary!$D131,'BPC Data'!$B:$B,Summary!$C131)</f>
        <v>1260</v>
      </c>
      <c r="R131" s="65">
        <f ca="1">SUMIFS(OFFSET('BPC Data'!$F:$F,0,Summary!R$2),'BPC Data'!$E:$E,Summary!$D131,'BPC Data'!$B:$B,Summary!$C131)</f>
        <v>1209</v>
      </c>
      <c r="S131" s="23">
        <f ca="1">SUM(G131:R131)</f>
        <v>14463</v>
      </c>
      <c r="T131" s="74">
        <f ca="1">SUM(W131:AH131)</f>
        <v>14463</v>
      </c>
      <c r="U131" s="54">
        <f ca="1">T131-S131</f>
        <v>0</v>
      </c>
      <c r="W131" s="4">
        <f ca="1">SUMIFS(INDIRECT("'"&amp;$W$129&amp;"'"&amp;"!$B$1:$B$5000"),INDIRECT("'"&amp;$W$129&amp;"'"&amp;"!$A$1:$A$5000"),$W$2)</f>
        <v>1193</v>
      </c>
      <c r="X131" s="4">
        <f ca="1">SUMIFS(INDIRECT("'"&amp;$W$129&amp;"'"&amp;"!$c$1:$c$5000"),INDIRECT("'"&amp;$W$129&amp;"'"&amp;"!$A$1:$A$5000"),$W$2)</f>
        <v>1200</v>
      </c>
      <c r="Y131" s="4">
        <f ca="1">SUMIFS(INDIRECT("'"&amp;$W$129&amp;"'"&amp;"!$d$1:$d$5000"),INDIRECT("'"&amp;$W$129&amp;"'"&amp;"!$A$1:$A$5000"),$W$2)</f>
        <v>1240</v>
      </c>
      <c r="Z131" s="4">
        <f ca="1">SUMIFS(INDIRECT("'"&amp;$W$129&amp;"'"&amp;"!$e$1:$e$5000"),INDIRECT("'"&amp;$W$129&amp;"'"&amp;"!$A$1:$A$5000"),$W$2)</f>
        <v>1200</v>
      </c>
      <c r="AA131" s="4">
        <f ca="1">SUMIFS(INDIRECT("'"&amp;$W$129&amp;"'"&amp;"!$f$1:$f$5000"),INDIRECT("'"&amp;$W$129&amp;"'"&amp;"!$A$1:$A$5000"),$W$2)</f>
        <v>1209</v>
      </c>
      <c r="AB131" s="4">
        <f ca="1">SUMIFS(INDIRECT("'"&amp;$W$129&amp;"'"&amp;"!$g$1:$g$5000"),INDIRECT("'"&amp;$W$129&amp;"'"&amp;"!$A$1:$A$5000"),$W$2)</f>
        <v>1209</v>
      </c>
      <c r="AC131" s="4">
        <f ca="1">SUMIFS(INDIRECT("'"&amp;$W$129&amp;"'"&amp;"!$h$1:$h$5000"),INDIRECT("'"&amp;$W$129&amp;"'"&amp;"!$A$1:$A$5000"),$W$2)</f>
        <v>1092</v>
      </c>
      <c r="AD131" s="4">
        <f ca="1">SUMIFS(INDIRECT("'"&amp;$W$129&amp;"'"&amp;"!$i$1:$i$5000"),INDIRECT("'"&amp;$W$129&amp;"'"&amp;"!$A$1:$A$5000"),$W$2)</f>
        <v>1240</v>
      </c>
      <c r="AE131" s="4">
        <f ca="1">SUMIFS(INDIRECT("'"&amp;$W$129&amp;"'"&amp;"!$j$1:$j$5000"),INDIRECT("'"&amp;$W$129&amp;"'"&amp;"!$A$1:$A$5000"),$W$2)</f>
        <v>1140</v>
      </c>
      <c r="AF131" s="4">
        <f ca="1">SUMIFS(INDIRECT("'"&amp;$W$129&amp;"'"&amp;"!$k$1:$k$5000"),INDIRECT("'"&amp;$W$129&amp;"'"&amp;"!$A$1:$A$5000"),$W$2)</f>
        <v>1271</v>
      </c>
      <c r="AG131" s="4">
        <f ca="1">SUMIFS(INDIRECT("'"&amp;$W$129&amp;"'"&amp;"!$l$1:$l$5000"),INDIRECT("'"&amp;$W$129&amp;"'"&amp;"!$A$1:$A$5000"),$W$2)</f>
        <v>1260</v>
      </c>
      <c r="AH131" s="4">
        <f ca="1">SUMIFS(INDIRECT("'"&amp;$W$129&amp;"'"&amp;"!$m$1:$m$5000"),INDIRECT("'"&amp;$W$129&amp;"'"&amp;"!$A$1:$A$5000"),$W$2)</f>
        <v>1209</v>
      </c>
      <c r="AJ131" s="14">
        <f t="shared" ref="AJ131:AU131" ca="1" si="243">W131-G131</f>
        <v>0</v>
      </c>
      <c r="AK131" s="14">
        <f t="shared" ca="1" si="243"/>
        <v>0</v>
      </c>
      <c r="AL131" s="14">
        <f t="shared" ca="1" si="243"/>
        <v>0</v>
      </c>
      <c r="AM131" s="14">
        <f t="shared" ca="1" si="243"/>
        <v>0</v>
      </c>
      <c r="AN131" s="14">
        <f t="shared" ca="1" si="243"/>
        <v>0</v>
      </c>
      <c r="AO131" s="14">
        <f t="shared" ca="1" si="243"/>
        <v>0</v>
      </c>
      <c r="AP131" s="14">
        <f t="shared" ca="1" si="243"/>
        <v>0</v>
      </c>
      <c r="AQ131" s="14">
        <f t="shared" ca="1" si="243"/>
        <v>0</v>
      </c>
      <c r="AR131" s="14">
        <f t="shared" ca="1" si="243"/>
        <v>0</v>
      </c>
      <c r="AS131" s="14">
        <f t="shared" ca="1" si="243"/>
        <v>0</v>
      </c>
      <c r="AT131" s="14">
        <f t="shared" ca="1" si="243"/>
        <v>0</v>
      </c>
      <c r="AU131" s="14">
        <f t="shared" ca="1" si="243"/>
        <v>0</v>
      </c>
    </row>
    <row r="132" spans="1:47" s="12" customFormat="1">
      <c r="A132" s="12">
        <f t="shared" ref="A132:A140" si="244">IF(AND(F132&lt;&gt;"",D132=""),A131+1,A131)</f>
        <v>12</v>
      </c>
      <c r="C132" t="str">
        <f>$F130</f>
        <v>Arbor Court Retirement Community at Salina</v>
      </c>
      <c r="D132" s="3" t="str">
        <f t="shared" si="175"/>
        <v>A_BEDS_TOTAL - Total Available Beds</v>
      </c>
      <c r="F132" s="19" t="str">
        <f>_xll.EVDES(D132)</f>
        <v>Total Available Beds</v>
      </c>
      <c r="G132" s="61">
        <f ca="1">SUMIFS(OFFSET('BPC Data'!$F:$F,0,Summary!G$2),'BPC Data'!$E:$E,Summary!$D132,'BPC Data'!$B:$B,Summary!$C132)</f>
        <v>57</v>
      </c>
      <c r="H132" s="65">
        <f ca="1">SUMIFS(OFFSET('BPC Data'!$F:$F,0,Summary!H$2),'BPC Data'!$E:$E,Summary!$D132,'BPC Data'!$B:$B,Summary!$C132)</f>
        <v>57</v>
      </c>
      <c r="I132" s="61">
        <f ca="1">SUMIFS(OFFSET('BPC Data'!$F:$F,0,Summary!I$2),'BPC Data'!$E:$E,Summary!$D132,'BPC Data'!$B:$B,Summary!$C132)</f>
        <v>57</v>
      </c>
      <c r="J132" s="65">
        <f ca="1">SUMIFS(OFFSET('BPC Data'!$F:$F,0,Summary!J$2),'BPC Data'!$E:$E,Summary!$D132,'BPC Data'!$B:$B,Summary!$C132)</f>
        <v>57</v>
      </c>
      <c r="K132" s="61">
        <f ca="1">SUMIFS(OFFSET('BPC Data'!$F:$F,0,Summary!K$2),'BPC Data'!$E:$E,Summary!$D132,'BPC Data'!$B:$B,Summary!$C132)</f>
        <v>57</v>
      </c>
      <c r="L132" s="65">
        <f ca="1">SUMIFS(OFFSET('BPC Data'!$F:$F,0,Summary!L$2),'BPC Data'!$E:$E,Summary!$D132,'BPC Data'!$B:$B,Summary!$C132)</f>
        <v>57</v>
      </c>
      <c r="M132" s="61">
        <f ca="1">SUMIFS(OFFSET('BPC Data'!$F:$F,0,Summary!M$2),'BPC Data'!$E:$E,Summary!$D132,'BPC Data'!$B:$B,Summary!$C132)</f>
        <v>57</v>
      </c>
      <c r="N132" s="65">
        <f ca="1">SUMIFS(OFFSET('BPC Data'!$F:$F,0,Summary!N$2),'BPC Data'!$E:$E,Summary!$D132,'BPC Data'!$B:$B,Summary!$C132)</f>
        <v>57</v>
      </c>
      <c r="O132" s="61">
        <f ca="1">SUMIFS(OFFSET('BPC Data'!$F:$F,0,Summary!O$2),'BPC Data'!$E:$E,Summary!$D132,'BPC Data'!$B:$B,Summary!$C132)</f>
        <v>57</v>
      </c>
      <c r="P132" s="65">
        <f ca="1">SUMIFS(OFFSET('BPC Data'!$F:$F,0,Summary!P$2),'BPC Data'!$E:$E,Summary!$D132,'BPC Data'!$B:$B,Summary!$C132)</f>
        <v>57</v>
      </c>
      <c r="Q132" s="61">
        <f ca="1">SUMIFS(OFFSET('BPC Data'!$F:$F,0,Summary!Q$2),'BPC Data'!$E:$E,Summary!$D132,'BPC Data'!$B:$B,Summary!$C132)</f>
        <v>57</v>
      </c>
      <c r="R132" s="65">
        <f ca="1">SUMIFS(OFFSET('BPC Data'!$F:$F,0,Summary!R$2),'BPC Data'!$E:$E,Summary!$D132,'BPC Data'!$B:$B,Summary!$C132)</f>
        <v>57</v>
      </c>
      <c r="S132" s="23">
        <f ca="1">+R132</f>
        <v>57</v>
      </c>
      <c r="T132" s="74"/>
      <c r="U132" s="54"/>
      <c r="AJ132" s="49"/>
      <c r="AK132" s="49"/>
      <c r="AL132" s="49"/>
      <c r="AM132" s="49"/>
      <c r="AN132" s="49"/>
      <c r="AO132" s="49"/>
      <c r="AP132" s="49"/>
      <c r="AQ132" s="49"/>
      <c r="AR132" s="49"/>
      <c r="AS132" s="49"/>
      <c r="AT132" s="49"/>
      <c r="AU132" s="49"/>
    </row>
    <row r="133" spans="1:47" s="12" customFormat="1">
      <c r="A133" s="12">
        <f t="shared" si="244"/>
        <v>12</v>
      </c>
      <c r="B133"/>
      <c r="C133" t="str">
        <f>$F130</f>
        <v>Arbor Court Retirement Community at Salina</v>
      </c>
      <c r="D133" s="3" t="str">
        <f t="shared" si="175"/>
        <v>T_REVENUES - Total Tenant Revenues</v>
      </c>
      <c r="E133"/>
      <c r="F133" s="19" t="str">
        <f>_xll.EVDES(D133)</f>
        <v>Total Tenant Revenues</v>
      </c>
      <c r="G133" s="61">
        <f ca="1">SUMIFS(OFFSET('BPC Data'!$F:$F,0,Summary!G$2),'BPC Data'!$E:$E,Summary!$D133,'BPC Data'!$B:$B,Summary!$C133)</f>
        <v>71492</v>
      </c>
      <c r="H133" s="65">
        <f ca="1">SUMIFS(OFFSET('BPC Data'!$F:$F,0,Summary!H$2),'BPC Data'!$E:$E,Summary!$D133,'BPC Data'!$B:$B,Summary!$C133)</f>
        <v>76300</v>
      </c>
      <c r="I133" s="61">
        <f ca="1">SUMIFS(OFFSET('BPC Data'!$F:$F,0,Summary!I$2),'BPC Data'!$E:$E,Summary!$D133,'BPC Data'!$B:$B,Summary!$C133)</f>
        <v>76800</v>
      </c>
      <c r="J133" s="65">
        <f ca="1">SUMIFS(OFFSET('BPC Data'!$F:$F,0,Summary!J$2),'BPC Data'!$E:$E,Summary!$D133,'BPC Data'!$B:$B,Summary!$C133)</f>
        <v>76375</v>
      </c>
      <c r="K133" s="61">
        <f ca="1">SUMIFS(OFFSET('BPC Data'!$F:$F,0,Summary!K$2),'BPC Data'!$E:$E,Summary!$D133,'BPC Data'!$B:$B,Summary!$C133)</f>
        <v>74356</v>
      </c>
      <c r="L133" s="65">
        <f ca="1">SUMIFS(OFFSET('BPC Data'!$F:$F,0,Summary!L$2),'BPC Data'!$E:$E,Summary!$D133,'BPC Data'!$B:$B,Summary!$C133)</f>
        <v>74450</v>
      </c>
      <c r="M133" s="61">
        <f ca="1">SUMIFS(OFFSET('BPC Data'!$F:$F,0,Summary!M$2),'BPC Data'!$E:$E,Summary!$D133,'BPC Data'!$B:$B,Summary!$C133)</f>
        <v>74775</v>
      </c>
      <c r="N133" s="65">
        <f ca="1">SUMIFS(OFFSET('BPC Data'!$F:$F,0,Summary!N$2),'BPC Data'!$E:$E,Summary!$D133,'BPC Data'!$B:$B,Summary!$C133)</f>
        <v>78185</v>
      </c>
      <c r="O133" s="61">
        <f ca="1">SUMIFS(OFFSET('BPC Data'!$F:$F,0,Summary!O$2),'BPC Data'!$E:$E,Summary!$D133,'BPC Data'!$B:$B,Summary!$C133)</f>
        <v>74110</v>
      </c>
      <c r="P133" s="65">
        <f ca="1">SUMIFS(OFFSET('BPC Data'!$F:$F,0,Summary!P$2),'BPC Data'!$E:$E,Summary!$D133,'BPC Data'!$B:$B,Summary!$C133)</f>
        <v>80835</v>
      </c>
      <c r="Q133" s="61">
        <f ca="1">SUMIFS(OFFSET('BPC Data'!$F:$F,0,Summary!Q$2),'BPC Data'!$E:$E,Summary!$D133,'BPC Data'!$B:$B,Summary!$C133)</f>
        <v>81860</v>
      </c>
      <c r="R133" s="65">
        <f ca="1">SUMIFS(OFFSET('BPC Data'!$F:$F,0,Summary!R$2),'BPC Data'!$E:$E,Summary!$D133,'BPC Data'!$B:$B,Summary!$C133)</f>
        <v>76335</v>
      </c>
      <c r="S133" s="23">
        <f t="shared" ref="S133:S139" ca="1" si="245">SUM(G133:R133)</f>
        <v>915873</v>
      </c>
      <c r="T133" s="74">
        <f ca="1">SUM(W133:AH133)</f>
        <v>915872.59000000008</v>
      </c>
      <c r="U133" s="54">
        <f ca="1">T133-S133</f>
        <v>-0.40999999991618097</v>
      </c>
      <c r="W133" s="4">
        <f ca="1">SUMIFS(INDIRECT("'"&amp;$W$129&amp;"'"&amp;"!$B$64:$B$5000"),INDIRECT("'"&amp;$W$129&amp;"'"&amp;"!$A$64:$A$5000"),$V$1)-SUMIFS(INDIRECT("'"&amp;$W$129&amp;"'"&amp;"!$B$64:$B$5000"),INDIRECT("'"&amp;$W$129&amp;"'"&amp;"!$A$64:$A$5000"),$V$2)-SUMIFS(INDIRECT("'"&amp;$W$129&amp;"'"&amp;"!$B$64:$B$5000"),INDIRECT("'"&amp;$W$129&amp;"'"&amp;"!$A$64:$A$5000"),$V$3)-SUMIFS(INDIRECT("'"&amp;$W$129&amp;"'"&amp;"!$B$64:$B$5000"),INDIRECT("'"&amp;$W$129&amp;"'"&amp;"!$A$64:$A$5000"),$X$4)-SUMIFS(INDIRECT("'"&amp;$W$129&amp;"'"&amp;"!$B$64:$B$5000"),INDIRECT("'"&amp;$W$129&amp;"'"&amp;"!$A$64:$A$5000"),$X$3)</f>
        <v>71491.800000000032</v>
      </c>
      <c r="X133" s="4">
        <f ca="1">SUMIFS(INDIRECT("'"&amp;$W$129&amp;"'"&amp;"!$c$64:$c$5000"),INDIRECT("'"&amp;$W$129&amp;"'"&amp;"!$A$64:$A$5000"),$V$1)-SUMIFS(INDIRECT("'"&amp;$W$129&amp;"'"&amp;"!$c$64:$c$5000"),INDIRECT("'"&amp;$W$129&amp;"'"&amp;"!$A$64:$A$5000"),$V$2)-SUMIFS(INDIRECT("'"&amp;$W$129&amp;"'"&amp;"!$c$64:$c$5000"),INDIRECT("'"&amp;$W$129&amp;"'"&amp;"!$A$64:$A$5000"),$V$3)-SUMIFS(INDIRECT("'"&amp;$W$129&amp;"'"&amp;"!$c$64:$c$5000"),INDIRECT("'"&amp;$W$129&amp;"'"&amp;"!$A$64:$A$5000"),$X$4)-SUMIFS(INDIRECT("'"&amp;$W$129&amp;"'"&amp;"!$c$64:$c$5000"),INDIRECT("'"&amp;$W$129&amp;"'"&amp;"!$A$64:$A$5000"),$X$3)</f>
        <v>76300</v>
      </c>
      <c r="Y133" s="4">
        <f ca="1">SUMIFS(INDIRECT("'"&amp;$W$129&amp;"'"&amp;"!$d$64:$d$5000"),INDIRECT("'"&amp;$W$129&amp;"'"&amp;"!$A$64:$A$5000"),$V$1)-SUMIFS(INDIRECT("'"&amp;$W$129&amp;"'"&amp;"!$d$64:$d$5000"),INDIRECT("'"&amp;$W$129&amp;"'"&amp;"!$A$64:$A$5000"),$V$2)-SUMIFS(INDIRECT("'"&amp;$W$129&amp;"'"&amp;"!$d$64:$d$5000"),INDIRECT("'"&amp;$W$129&amp;"'"&amp;"!$A$64:$A$5000"),$V$3)-SUMIFS(INDIRECT("'"&amp;$W$129&amp;"'"&amp;"!$d$64:$d$5000"),INDIRECT("'"&amp;$W$129&amp;"'"&amp;"!$A$64:$A$5000"),$X$4)-SUMIFS(INDIRECT("'"&amp;$W$129&amp;"'"&amp;"!$d$64:$d$5000"),INDIRECT("'"&amp;$W$129&amp;"'"&amp;"!$A$64:$A$5000"),$X$3)</f>
        <v>76800</v>
      </c>
      <c r="Z133" s="4">
        <f ca="1">SUMIFS(INDIRECT("'"&amp;$W$129&amp;"'"&amp;"!$e$64:$e$5000"),INDIRECT("'"&amp;$W$129&amp;"'"&amp;"!$A$64:$A$5000"),$V$1)-SUMIFS(INDIRECT("'"&amp;$W$129&amp;"'"&amp;"!$e$64:$e$5000"),INDIRECT("'"&amp;$W$129&amp;"'"&amp;"!$A$64:$A$5000"),$V$2)-SUMIFS(INDIRECT("'"&amp;$W$129&amp;"'"&amp;"!$e$64:$e$5000"),INDIRECT("'"&amp;$W$129&amp;"'"&amp;"!$A$64:$A$5000"),$V$3)-SUMIFS(INDIRECT("'"&amp;$W$129&amp;"'"&amp;"!$e$64:$e$5000"),INDIRECT("'"&amp;$W$129&amp;"'"&amp;"!$A$64:$A$5000"),$X$4)-SUMIFS(INDIRECT("'"&amp;$W$129&amp;"'"&amp;"!$e$64:$e$5000"),INDIRECT("'"&amp;$W$129&amp;"'"&amp;"!$A$64:$A$5000"),$X$3)</f>
        <v>76375</v>
      </c>
      <c r="AA133" s="4">
        <f ca="1">SUMIFS(INDIRECT("'"&amp;$W$129&amp;"'"&amp;"!$f$64:$f$5000"),INDIRECT("'"&amp;$W$129&amp;"'"&amp;"!$A$64:$A$5000"),$V$1)-SUMIFS(INDIRECT("'"&amp;$W$129&amp;"'"&amp;"!$f$64:$f$5000"),INDIRECT("'"&amp;$W$129&amp;"'"&amp;"!$A$64:$A$5000"),$V$2)-SUMIFS(INDIRECT("'"&amp;$W$129&amp;"'"&amp;"!$f$64:$f$5000"),INDIRECT("'"&amp;$W$129&amp;"'"&amp;"!$A$64:$A$5000"),$V$3)-SUMIFS(INDIRECT("'"&amp;$W$129&amp;"'"&amp;"!$f$64:$f$5000"),INDIRECT("'"&amp;$W$129&amp;"'"&amp;"!$A$64:$A$5000"),$X$4)-SUMIFS(INDIRECT("'"&amp;$W$129&amp;"'"&amp;"!$f$64:$f$5000"),INDIRECT("'"&amp;$W$129&amp;"'"&amp;"!$A$64:$A$5000"),$X$3)</f>
        <v>74355.790000000037</v>
      </c>
      <c r="AB133" s="4">
        <f ca="1">SUMIFS(INDIRECT("'"&amp;$W$129&amp;"'"&amp;"!$g$64:$g$5000"),INDIRECT("'"&amp;$W$129&amp;"'"&amp;"!$A$64:$A$5000"),$V$1)-SUMIFS(INDIRECT("'"&amp;$W$129&amp;"'"&amp;"!$g$64:$g$5000"),INDIRECT("'"&amp;$W$129&amp;"'"&amp;"!$A$64:$A$5000"),$V$2)-SUMIFS(INDIRECT("'"&amp;$W$129&amp;"'"&amp;"!$g$64:$g$5000"),INDIRECT("'"&amp;$W$129&amp;"'"&amp;"!$A$64:$A$5000"),$V$3)-SUMIFS(INDIRECT("'"&amp;$W$129&amp;"'"&amp;"!$g$64:$g$5000"),INDIRECT("'"&amp;$W$129&amp;"'"&amp;"!$A$64:$A$5000"),$X$4)-SUMIFS(INDIRECT("'"&amp;$W$129&amp;"'"&amp;"!$g$64:$g$5000"),INDIRECT("'"&amp;$W$129&amp;"'"&amp;"!$A$64:$A$5000"),$X$3)</f>
        <v>74450</v>
      </c>
      <c r="AC133" s="4">
        <f ca="1">SUMIFS(INDIRECT("'"&amp;$W$129&amp;"'"&amp;"!$h$64:$h$5000"),INDIRECT("'"&amp;$W$129&amp;"'"&amp;"!$A$64:$A$5000"),$V$1)-SUMIFS(INDIRECT("'"&amp;$W$129&amp;"'"&amp;"!$h$64:$h$5000"),INDIRECT("'"&amp;$W$129&amp;"'"&amp;"!$A$64:$A$5000"),$V$2)-SUMIFS(INDIRECT("'"&amp;$W$129&amp;"'"&amp;"!$h$64:$h$5000"),INDIRECT("'"&amp;$W$129&amp;"'"&amp;"!$A$64:$A$5000"),$V$3)-SUMIFS(INDIRECT("'"&amp;$W$129&amp;"'"&amp;"!$h$64:$h$5000"),INDIRECT("'"&amp;$W$129&amp;"'"&amp;"!$A$64:$A$5000"),$X$4)-SUMIFS(INDIRECT("'"&amp;$W$129&amp;"'"&amp;"!$h$64:$h$5000"),INDIRECT("'"&amp;$W$129&amp;"'"&amp;"!$A$64:$A$5000"),$X$3)</f>
        <v>74775</v>
      </c>
      <c r="AD133" s="4">
        <f ca="1">SUMIFS(INDIRECT("'"&amp;$W$129&amp;"'"&amp;"!$i$64:$i$5000"),INDIRECT("'"&amp;$W$129&amp;"'"&amp;"!$A$64:$A$5000"),$V$1)-SUMIFS(INDIRECT("'"&amp;$W$129&amp;"'"&amp;"!$i$64:$i$5000"),INDIRECT("'"&amp;$W$129&amp;"'"&amp;"!$A$64:$A$5000"),$V$2)-SUMIFS(INDIRECT("'"&amp;$W$129&amp;"'"&amp;"!$i$64:$i$5000"),INDIRECT("'"&amp;$W$129&amp;"'"&amp;"!$A$64:$A$5000"),$V$3)-SUMIFS(INDIRECT("'"&amp;$W$129&amp;"'"&amp;"!$i$64:$i$5000"),INDIRECT("'"&amp;$W$129&amp;"'"&amp;"!$A$64:$A$5000"),$X$4)-SUMIFS(INDIRECT("'"&amp;$W$129&amp;"'"&amp;"!$i$64:$i$5000"),INDIRECT("'"&amp;$W$129&amp;"'"&amp;"!$A$64:$A$5000"),$X$3)</f>
        <v>78185</v>
      </c>
      <c r="AE133" s="4">
        <f ca="1">SUMIFS(INDIRECT("'"&amp;$W$129&amp;"'"&amp;"!$j$64:$j$5000"),INDIRECT("'"&amp;$W$129&amp;"'"&amp;"!$A$64:$A$5000"),$V$1)-SUMIFS(INDIRECT("'"&amp;$W$129&amp;"'"&amp;"!$j$64:$j$5000"),INDIRECT("'"&amp;$W$129&amp;"'"&amp;"!$A$64:$A$5000"),$V$2)-SUMIFS(INDIRECT("'"&amp;$W$129&amp;"'"&amp;"!$j$64:$j$5000"),INDIRECT("'"&amp;$W$129&amp;"'"&amp;"!$A$64:$A$5000"),$V$3)-SUMIFS(INDIRECT("'"&amp;$W$129&amp;"'"&amp;"!$j$64:$j$5000"),INDIRECT("'"&amp;$W$129&amp;"'"&amp;"!$A$64:$A$5000"),$X$4)-SUMIFS(INDIRECT("'"&amp;$W$129&amp;"'"&amp;"!$j$64:$j$5000"),INDIRECT("'"&amp;$W$129&amp;"'"&amp;"!$A$64:$A$5000"),$X$3)</f>
        <v>74110</v>
      </c>
      <c r="AF133" s="4">
        <f ca="1">SUMIFS(INDIRECT("'"&amp;$W$129&amp;"'"&amp;"!$k$64:$k$5000"),INDIRECT("'"&amp;$W$129&amp;"'"&amp;"!$A$64:$A$5000"),$V$1)-SUMIFS(INDIRECT("'"&amp;$W$129&amp;"'"&amp;"!$k$64:$k$5000"),INDIRECT("'"&amp;$W$129&amp;"'"&amp;"!$A$64:$A$5000"),$V$2)-SUMIFS(INDIRECT("'"&amp;$W$129&amp;"'"&amp;"!$k$64:$k$5000"),INDIRECT("'"&amp;$W$129&amp;"'"&amp;"!$A$64:$A$5000"),$V$3)-SUMIFS(INDIRECT("'"&amp;$W$129&amp;"'"&amp;"!$k$64:$k$5000"),INDIRECT("'"&amp;$W$129&amp;"'"&amp;"!$A$64:$A$5000"),$X$4)-SUMIFS(INDIRECT("'"&amp;$W$129&amp;"'"&amp;"!$k$64:$k$5000"),INDIRECT("'"&amp;$W$129&amp;"'"&amp;"!$A$64:$A$5000"),$X$3)</f>
        <v>80835</v>
      </c>
      <c r="AG133" s="4">
        <f ca="1">SUMIFS(INDIRECT("'"&amp;$W$129&amp;"'"&amp;"!$l$64:$l$5000"),INDIRECT("'"&amp;$W$129&amp;"'"&amp;"!$A$64:$A$5000"),$V$1)-SUMIFS(INDIRECT("'"&amp;$W$129&amp;"'"&amp;"!$l$64:$l$5000"),INDIRECT("'"&amp;$W$129&amp;"'"&amp;"!$A$64:$A$5000"),$V$2)-SUMIFS(INDIRECT("'"&amp;$W$129&amp;"'"&amp;"!$l$64:$l$5000"),INDIRECT("'"&amp;$W$129&amp;"'"&amp;"!$A$64:$A$5000"),$V$3)-SUMIFS(INDIRECT("'"&amp;$W$129&amp;"'"&amp;"!$l$64:$l$5000"),INDIRECT("'"&amp;$W$129&amp;"'"&amp;"!$A$64:$A$5000"),$X$4)-SUMIFS(INDIRECT("'"&amp;$W$129&amp;"'"&amp;"!$l$64:$l$5000"),INDIRECT("'"&amp;$W$129&amp;"'"&amp;"!$A$64:$A$5000"),$X$3)</f>
        <v>81860.000000000029</v>
      </c>
      <c r="AH133" s="4">
        <f ca="1">SUMIFS(INDIRECT("'"&amp;$W$129&amp;"'"&amp;"!$m$64:$m$5000"),INDIRECT("'"&amp;$W$129&amp;"'"&amp;"!$A$64:$A$5000"),$V$1)-SUMIFS(INDIRECT("'"&amp;$W$129&amp;"'"&amp;"!$m$64:$m$5000"),INDIRECT("'"&amp;$W$129&amp;"'"&amp;"!$A$64:$A$5000"),$V$2)-SUMIFS(INDIRECT("'"&amp;$W$129&amp;"'"&amp;"!$m$64:$m$5000"),INDIRECT("'"&amp;$W$129&amp;"'"&amp;"!$A$64:$A$5000"),$V$3)-SUMIFS(INDIRECT("'"&amp;$W$129&amp;"'"&amp;"!$m$64:$m$5000"),INDIRECT("'"&amp;$W$129&amp;"'"&amp;"!$A$64:$A$5000"),$X$4)-SUMIFS(INDIRECT("'"&amp;$W$129&amp;"'"&amp;"!$m$64:$m$5000"),INDIRECT("'"&amp;$W$129&amp;"'"&amp;"!$A$64:$A$5000"),$X$3)</f>
        <v>76335</v>
      </c>
      <c r="AJ133" s="14">
        <f t="shared" ref="AJ133:AU134" ca="1" si="246">W133-G133</f>
        <v>-0.19999999996798579</v>
      </c>
      <c r="AK133" s="14">
        <f t="shared" ca="1" si="246"/>
        <v>0</v>
      </c>
      <c r="AL133" s="14">
        <f t="shared" ca="1" si="246"/>
        <v>0</v>
      </c>
      <c r="AM133" s="14">
        <f t="shared" ca="1" si="246"/>
        <v>0</v>
      </c>
      <c r="AN133" s="14">
        <f t="shared" ca="1" si="246"/>
        <v>-0.2099999999627471</v>
      </c>
      <c r="AO133" s="14">
        <f t="shared" ca="1" si="246"/>
        <v>0</v>
      </c>
      <c r="AP133" s="14">
        <f t="shared" ca="1" si="246"/>
        <v>0</v>
      </c>
      <c r="AQ133" s="14">
        <f t="shared" ca="1" si="246"/>
        <v>0</v>
      </c>
      <c r="AR133" s="14">
        <f t="shared" ca="1" si="246"/>
        <v>0</v>
      </c>
      <c r="AS133" s="14">
        <f t="shared" ca="1" si="246"/>
        <v>0</v>
      </c>
      <c r="AT133" s="14">
        <f t="shared" ca="1" si="246"/>
        <v>0</v>
      </c>
      <c r="AU133" s="14">
        <f t="shared" ca="1" si="246"/>
        <v>0</v>
      </c>
    </row>
    <row r="134" spans="1:47" s="12" customFormat="1">
      <c r="A134" s="12">
        <f t="shared" si="244"/>
        <v>12</v>
      </c>
      <c r="B134"/>
      <c r="C134" t="str">
        <f>$F130</f>
        <v>Arbor Court Retirement Community at Salina</v>
      </c>
      <c r="D134" s="3" t="str">
        <f t="shared" si="175"/>
        <v>T_OPEX - Tenant Operating Expenses</v>
      </c>
      <c r="E134"/>
      <c r="F134" s="19" t="str">
        <f>_xll.EVDES(D134)</f>
        <v>Tenant Operating Expenses</v>
      </c>
      <c r="G134" s="61">
        <f ca="1">SUMIFS(OFFSET('BPC Data'!$F:$F,0,Summary!G$2),'BPC Data'!$E:$E,Summary!$D134,'BPC Data'!$B:$B,Summary!$C134)</f>
        <v>51892</v>
      </c>
      <c r="H134" s="65">
        <f ca="1">SUMIFS(OFFSET('BPC Data'!$F:$F,0,Summary!H$2),'BPC Data'!$E:$E,Summary!$D134,'BPC Data'!$B:$B,Summary!$C134)</f>
        <v>51135</v>
      </c>
      <c r="I134" s="61">
        <f ca="1">SUMIFS(OFFSET('BPC Data'!$F:$F,0,Summary!I$2),'BPC Data'!$E:$E,Summary!$D134,'BPC Data'!$B:$B,Summary!$C134)</f>
        <v>58407</v>
      </c>
      <c r="J134" s="65">
        <f ca="1">SUMIFS(OFFSET('BPC Data'!$F:$F,0,Summary!J$2),'BPC Data'!$E:$E,Summary!$D134,'BPC Data'!$B:$B,Summary!$C134)</f>
        <v>52706</v>
      </c>
      <c r="K134" s="61">
        <f ca="1">SUMIFS(OFFSET('BPC Data'!$F:$F,0,Summary!K$2),'BPC Data'!$E:$E,Summary!$D134,'BPC Data'!$B:$B,Summary!$C134)</f>
        <v>46699</v>
      </c>
      <c r="L134" s="65">
        <f ca="1">SUMIFS(OFFSET('BPC Data'!$F:$F,0,Summary!L$2),'BPC Data'!$E:$E,Summary!$D134,'BPC Data'!$B:$B,Summary!$C134)</f>
        <v>52238</v>
      </c>
      <c r="M134" s="61">
        <f ca="1">SUMIFS(OFFSET('BPC Data'!$F:$F,0,Summary!M$2),'BPC Data'!$E:$E,Summary!$D134,'BPC Data'!$B:$B,Summary!$C134)</f>
        <v>44052</v>
      </c>
      <c r="N134" s="65">
        <f ca="1">SUMIFS(OFFSET('BPC Data'!$F:$F,0,Summary!N$2),'BPC Data'!$E:$E,Summary!$D134,'BPC Data'!$B:$B,Summary!$C134)</f>
        <v>55145</v>
      </c>
      <c r="O134" s="61">
        <f ca="1">SUMIFS(OFFSET('BPC Data'!$F:$F,0,Summary!O$2),'BPC Data'!$E:$E,Summary!$D134,'BPC Data'!$B:$B,Summary!$C134)</f>
        <v>55379</v>
      </c>
      <c r="P134" s="65">
        <f ca="1">SUMIFS(OFFSET('BPC Data'!$F:$F,0,Summary!P$2),'BPC Data'!$E:$E,Summary!$D134,'BPC Data'!$B:$B,Summary!$C134)</f>
        <v>59198</v>
      </c>
      <c r="Q134" s="61">
        <f ca="1">SUMIFS(OFFSET('BPC Data'!$F:$F,0,Summary!Q$2),'BPC Data'!$E:$E,Summary!$D134,'BPC Data'!$B:$B,Summary!$C134)</f>
        <v>52143</v>
      </c>
      <c r="R134" s="65">
        <f ca="1">SUMIFS(OFFSET('BPC Data'!$F:$F,0,Summary!R$2),'BPC Data'!$E:$E,Summary!$D134,'BPC Data'!$B:$B,Summary!$C134)</f>
        <v>53347</v>
      </c>
      <c r="S134" s="23">
        <f t="shared" ca="1" si="245"/>
        <v>632341</v>
      </c>
      <c r="T134" s="74">
        <f ca="1">SUM(W134:AH134)</f>
        <v>632339.15</v>
      </c>
      <c r="U134" s="54">
        <f ca="1">T134-S134</f>
        <v>-1.8499999999767169</v>
      </c>
      <c r="W134" s="4">
        <f ca="1">SUMIFS(INDIRECT("'"&amp;$W$129&amp;"'"&amp;"!$B$64:$B$5000"),INDIRECT("'"&amp;$W$129&amp;"'"&amp;"!$A$64:$A$5000"),$V$4)-SUMIFS(INDIRECT("'"&amp;$W$129&amp;"'"&amp;"!$B$64:$B$5000"),INDIRECT("'"&amp;$W$129&amp;"'"&amp;"!$A$64:$A$5000"),$V$5)-SUMIFS(INDIRECT("'"&amp;$W$129&amp;"'"&amp;"!$B$64:$B$5000"),INDIRECT("'"&amp;$W$129&amp;"'"&amp;"!$A$64:$A$5000"),$V$6)-SUMIFS(INDIRECT("'"&amp;$W$129&amp;"'"&amp;"!$B$64:$B$5000"),INDIRECT("'"&amp;$W$129&amp;"'"&amp;"!$A$64:$A$5000"),$W$6)-SUMIFS(INDIRECT("'"&amp;$W$129&amp;"'"&amp;"!$B$64:$B$5000"),INDIRECT("'"&amp;$W$129&amp;"'"&amp;"!$A$64:$A$5000"),$W$7)-SUMIFS(INDIRECT("'"&amp;$W$129&amp;"'"&amp;"!$B$64:$B$5000"),INDIRECT("'"&amp;$W$129&amp;"'"&amp;"!$A$64:$A$5000"),$X$3)-W139-W137</f>
        <v>51891.09</v>
      </c>
      <c r="X134" s="4">
        <f ca="1">SUMIFS(INDIRECT("'"&amp;$W$129&amp;"'"&amp;"!$c$64:$c$5000"),INDIRECT("'"&amp;$W$129&amp;"'"&amp;"!$A$64:$A$5000"),$V$4)-SUMIFS(INDIRECT("'"&amp;$W$129&amp;"'"&amp;"!$c$64:$c$5000"),INDIRECT("'"&amp;$W$129&amp;"'"&amp;"!$A$64:$A$5000"),$V$5)-SUMIFS(INDIRECT("'"&amp;$W$129&amp;"'"&amp;"!$c$64:$c$5000"),INDIRECT("'"&amp;$W$129&amp;"'"&amp;"!$A$64:$A$5000"),$V$6)-SUMIFS(INDIRECT("'"&amp;$W$129&amp;"'"&amp;"!$c$64:$c$5000"),INDIRECT("'"&amp;$W$129&amp;"'"&amp;"!$A$64:$A$5000"),$W$6)-SUMIFS(INDIRECT("'"&amp;$W$129&amp;"'"&amp;"!$c$64:$c$5000"),INDIRECT("'"&amp;$W$129&amp;"'"&amp;"!$A$64:$A$5000"),$W$7)-SUMIFS(INDIRECT("'"&amp;$W$129&amp;"'"&amp;"!$c$64:$c$5000"),INDIRECT("'"&amp;$W$129&amp;"'"&amp;"!$A$64:$A$5000"),$X$3)-X139-X137</f>
        <v>51135.420000000042</v>
      </c>
      <c r="Y134" s="4">
        <f ca="1">SUMIFS(INDIRECT("'"&amp;$W$129&amp;"'"&amp;"!$d$64:$d$5000"),INDIRECT("'"&amp;$W$129&amp;"'"&amp;"!$A$64:$A$5000"),$V$4)-SUMIFS(INDIRECT("'"&amp;$W$129&amp;"'"&amp;"!$d$64:$d$5000"),INDIRECT("'"&amp;$W$129&amp;"'"&amp;"!$A$64:$A$5000"),$V$5)-SUMIFS(INDIRECT("'"&amp;$W$129&amp;"'"&amp;"!$d$64:$d$5000"),INDIRECT("'"&amp;$W$129&amp;"'"&amp;"!$A$64:$A$5000"),$V$6)-SUMIFS(INDIRECT("'"&amp;$W$129&amp;"'"&amp;"!$d$64:$d$5000"),INDIRECT("'"&amp;$W$129&amp;"'"&amp;"!$A$64:$A$5000"),$W$6)-SUMIFS(INDIRECT("'"&amp;$W$129&amp;"'"&amp;"!$d$64:$d$5000"),INDIRECT("'"&amp;$W$129&amp;"'"&amp;"!$A$64:$A$5000"),$W$7)-SUMIFS(INDIRECT("'"&amp;$W$129&amp;"'"&amp;"!$d$64:$d$5000"),INDIRECT("'"&amp;$W$129&amp;"'"&amp;"!$A$64:$A$5000"),$X$3)-Y139-Y137</f>
        <v>58406.589999999982</v>
      </c>
      <c r="Z134" s="4">
        <f ca="1">SUMIFS(INDIRECT("'"&amp;$W$129&amp;"'"&amp;"!$e$64:$e$5000"),INDIRECT("'"&amp;$W$129&amp;"'"&amp;"!$A$64:$A$5000"),$V$4)-SUMIFS(INDIRECT("'"&amp;$W$129&amp;"'"&amp;"!$e$64:$e$5000"),INDIRECT("'"&amp;$W$129&amp;"'"&amp;"!$A$64:$A$5000"),$V$5)-SUMIFS(INDIRECT("'"&amp;$W$129&amp;"'"&amp;"!$e$64:$e$5000"),INDIRECT("'"&amp;$W$129&amp;"'"&amp;"!$A$64:$A$5000"),$V$6)-SUMIFS(INDIRECT("'"&amp;$W$129&amp;"'"&amp;"!$e$64:$e$5000"),INDIRECT("'"&amp;$W$129&amp;"'"&amp;"!$A$64:$A$5000"),$W$6)-SUMIFS(INDIRECT("'"&amp;$W$129&amp;"'"&amp;"!$e$64:$e$5000"),INDIRECT("'"&amp;$W$129&amp;"'"&amp;"!$A$64:$A$5000"),$W$7)-SUMIFS(INDIRECT("'"&amp;$W$129&amp;"'"&amp;"!$e$64:$e$5000"),INDIRECT("'"&amp;$W$129&amp;"'"&amp;"!$A$64:$A$5000"),$X$3)-Z139-Z137</f>
        <v>52706.549999999959</v>
      </c>
      <c r="AA134" s="4">
        <f ca="1">SUMIFS(INDIRECT("'"&amp;$W$129&amp;"'"&amp;"!$f$64:$f$5000"),INDIRECT("'"&amp;$W$129&amp;"'"&amp;"!$A$64:$A$5000"),$V$4)-SUMIFS(INDIRECT("'"&amp;$W$129&amp;"'"&amp;"!$f$64:$f$5000"),INDIRECT("'"&amp;$W$129&amp;"'"&amp;"!$A$64:$A$5000"),$V$5)-SUMIFS(INDIRECT("'"&amp;$W$129&amp;"'"&amp;"!$f$64:$f$5000"),INDIRECT("'"&amp;$W$129&amp;"'"&amp;"!$A$64:$A$5000"),$V$6)-SUMIFS(INDIRECT("'"&amp;$W$129&amp;"'"&amp;"!$f$64:$f$5000"),INDIRECT("'"&amp;$W$129&amp;"'"&amp;"!$A$64:$A$5000"),$W$6)-SUMIFS(INDIRECT("'"&amp;$W$129&amp;"'"&amp;"!$f$64:$f$5000"),INDIRECT("'"&amp;$W$129&amp;"'"&amp;"!$A$64:$A$5000"),$W$7)-SUMIFS(INDIRECT("'"&amp;$W$129&amp;"'"&amp;"!$f$64:$f$5000"),INDIRECT("'"&amp;$W$129&amp;"'"&amp;"!$A$64:$A$5000"),$X$3)-AA139-AA137</f>
        <v>46699.189999999959</v>
      </c>
      <c r="AB134" s="4">
        <f ca="1">SUMIFS(INDIRECT("'"&amp;$W$129&amp;"'"&amp;"!$g$64:$g$5000"),INDIRECT("'"&amp;$W$129&amp;"'"&amp;"!$A$64:$A$5000"),$V$4)-SUMIFS(INDIRECT("'"&amp;$W$129&amp;"'"&amp;"!$g$64:$g$5000"),INDIRECT("'"&amp;$W$129&amp;"'"&amp;"!$A$64:$A$5000"),$V$5)-SUMIFS(INDIRECT("'"&amp;$W$129&amp;"'"&amp;"!$g$64:$g$5000"),INDIRECT("'"&amp;$W$129&amp;"'"&amp;"!$A$64:$A$5000"),$V$6)-SUMIFS(INDIRECT("'"&amp;$W$129&amp;"'"&amp;"!$g$64:$g$5000"),INDIRECT("'"&amp;$W$129&amp;"'"&amp;"!$A$64:$A$5000"),$W$6)-SUMIFS(INDIRECT("'"&amp;$W$129&amp;"'"&amp;"!$g$64:$g$5000"),INDIRECT("'"&amp;$W$129&amp;"'"&amp;"!$A$64:$A$5000"),$W$7)-SUMIFS(INDIRECT("'"&amp;$W$129&amp;"'"&amp;"!$g$64:$g$5000"),INDIRECT("'"&amp;$W$129&amp;"'"&amp;"!$A$64:$A$5000"),$X$3)-AB139-AB137</f>
        <v>52238.85000000002</v>
      </c>
      <c r="AC134" s="4">
        <f ca="1">SUMIFS(INDIRECT("'"&amp;$W$129&amp;"'"&amp;"!$h$64:$h$5000"),INDIRECT("'"&amp;$W$129&amp;"'"&amp;"!$A$64:$A$5000"),$V$4)-SUMIFS(INDIRECT("'"&amp;$W$129&amp;"'"&amp;"!$h$64:$h$5000"),INDIRECT("'"&amp;$W$129&amp;"'"&amp;"!$A$64:$A$5000"),$V$5)-SUMIFS(INDIRECT("'"&amp;$W$129&amp;"'"&amp;"!$h$64:$h$5000"),INDIRECT("'"&amp;$W$129&amp;"'"&amp;"!$A$64:$A$5000"),$V$6)-SUMIFS(INDIRECT("'"&amp;$W$129&amp;"'"&amp;"!$h$64:$h$5000"),INDIRECT("'"&amp;$W$129&amp;"'"&amp;"!$A$64:$A$5000"),$W$6)-SUMIFS(INDIRECT("'"&amp;$W$129&amp;"'"&amp;"!$h$64:$h$5000"),INDIRECT("'"&amp;$W$129&amp;"'"&amp;"!$A$64:$A$5000"),$W$7)-SUMIFS(INDIRECT("'"&amp;$W$129&amp;"'"&amp;"!$h$64:$h$5000"),INDIRECT("'"&amp;$W$129&amp;"'"&amp;"!$A$64:$A$5000"),$X$3)-AC139-AC137</f>
        <v>44052.19</v>
      </c>
      <c r="AD134" s="4">
        <f ca="1">SUMIFS(INDIRECT("'"&amp;$W$129&amp;"'"&amp;"!$i$64:$i$5000"),INDIRECT("'"&amp;$W$129&amp;"'"&amp;"!$A$64:$A$5000"),$V$4)-SUMIFS(INDIRECT("'"&amp;$W$129&amp;"'"&amp;"!$i$64:$i$5000"),INDIRECT("'"&amp;$W$129&amp;"'"&amp;"!$A$64:$A$5000"),$V$5)-SUMIFS(INDIRECT("'"&amp;$W$129&amp;"'"&amp;"!$i$64:$i$5000"),INDIRECT("'"&amp;$W$129&amp;"'"&amp;"!$A$64:$A$5000"),$V$6)-SUMIFS(INDIRECT("'"&amp;$W$129&amp;"'"&amp;"!$i$64:$i$5000"),INDIRECT("'"&amp;$W$129&amp;"'"&amp;"!$A$64:$A$5000"),$W$6)-SUMIFS(INDIRECT("'"&amp;$W$129&amp;"'"&amp;"!$i$64:$i$5000"),INDIRECT("'"&amp;$W$129&amp;"'"&amp;"!$A$64:$A$5000"),$W$7)-SUMIFS(INDIRECT("'"&amp;$W$129&amp;"'"&amp;"!$i$64:$i$5000"),INDIRECT("'"&amp;$W$129&amp;"'"&amp;"!$A$64:$A$5000"),$X$3)-AD139-AD137</f>
        <v>55145.190000000017</v>
      </c>
      <c r="AE134" s="4">
        <f ca="1">SUMIFS(INDIRECT("'"&amp;$W$129&amp;"'"&amp;"!$j$64:$j$5000"),INDIRECT("'"&amp;$W$129&amp;"'"&amp;"!$A$64:$A$5000"),$V$4)-SUMIFS(INDIRECT("'"&amp;$W$129&amp;"'"&amp;"!$j$64:$j$5000"),INDIRECT("'"&amp;$W$129&amp;"'"&amp;"!$A$64:$A$5000"),$V$5)-SUMIFS(INDIRECT("'"&amp;$W$129&amp;"'"&amp;"!$j$64:$j$5000"),INDIRECT("'"&amp;$W$129&amp;"'"&amp;"!$A$64:$A$5000"),$V$6)-SUMIFS(INDIRECT("'"&amp;$W$129&amp;"'"&amp;"!$j$64:$j$5000"),INDIRECT("'"&amp;$W$129&amp;"'"&amp;"!$A$64:$A$5000"),$W$6)-SUMIFS(INDIRECT("'"&amp;$W$129&amp;"'"&amp;"!$j$64:$j$5000"),INDIRECT("'"&amp;$W$129&amp;"'"&amp;"!$A$64:$A$5000"),$W$7)-SUMIFS(INDIRECT("'"&amp;$W$129&amp;"'"&amp;"!$j$64:$j$5000"),INDIRECT("'"&amp;$W$129&amp;"'"&amp;"!$A$64:$A$5000"),$X$3)-AE139-AE137</f>
        <v>55378.949999999983</v>
      </c>
      <c r="AF134" s="4">
        <f ca="1">SUMIFS(INDIRECT("'"&amp;$W$129&amp;"'"&amp;"!$k$64:$k$5000"),INDIRECT("'"&amp;$W$129&amp;"'"&amp;"!$A$64:$A$5000"),$V$4)-SUMIFS(INDIRECT("'"&amp;$W$129&amp;"'"&amp;"!$k$64:$k$5000"),INDIRECT("'"&amp;$W$129&amp;"'"&amp;"!$A$64:$A$5000"),$V$5)-SUMIFS(INDIRECT("'"&amp;$W$129&amp;"'"&amp;"!$k$64:$k$5000"),INDIRECT("'"&amp;$W$129&amp;"'"&amp;"!$A$64:$A$5000"),$V$6)-SUMIFS(INDIRECT("'"&amp;$W$129&amp;"'"&amp;"!$k$64:$k$5000"),INDIRECT("'"&amp;$W$129&amp;"'"&amp;"!$A$64:$A$5000"),$W$6)-SUMIFS(INDIRECT("'"&amp;$W$129&amp;"'"&amp;"!$k$64:$k$5000"),INDIRECT("'"&amp;$W$129&amp;"'"&amp;"!$A$64:$A$5000"),$W$7)-SUMIFS(INDIRECT("'"&amp;$W$129&amp;"'"&amp;"!$k$64:$k$5000"),INDIRECT("'"&amp;$W$129&amp;"'"&amp;"!$A$64:$A$5000"),$X$3)-AF139-AF137</f>
        <v>59197.55</v>
      </c>
      <c r="AG134" s="4">
        <f ca="1">SUMIFS(INDIRECT("'"&amp;$W$129&amp;"'"&amp;"!$l$64:$l$5000"),INDIRECT("'"&amp;$W$129&amp;"'"&amp;"!$A$64:$A$5000"),$V$4)-SUMIFS(INDIRECT("'"&amp;$W$129&amp;"'"&amp;"!$l$64:$l$5000"),INDIRECT("'"&amp;$W$129&amp;"'"&amp;"!$A$64:$A$5000"),$V$5)-SUMIFS(INDIRECT("'"&amp;$W$129&amp;"'"&amp;"!$l$64:$l$5000"),INDIRECT("'"&amp;$W$129&amp;"'"&amp;"!$A$64:$A$5000"),$V$6)-SUMIFS(INDIRECT("'"&amp;$W$129&amp;"'"&amp;"!$l$64:$l$5000"),INDIRECT("'"&amp;$W$129&amp;"'"&amp;"!$A$64:$A$5000"),$W$6)-SUMIFS(INDIRECT("'"&amp;$W$129&amp;"'"&amp;"!$l$64:$l$5000"),INDIRECT("'"&amp;$W$129&amp;"'"&amp;"!$A$64:$A$5000"),$W$7)-SUMIFS(INDIRECT("'"&amp;$W$129&amp;"'"&amp;"!$l$64:$l$5000"),INDIRECT("'"&amp;$W$129&amp;"'"&amp;"!$A$64:$A$5000"),$X$3)-AG139-AG137</f>
        <v>52141.08</v>
      </c>
      <c r="AH134" s="4">
        <f ca="1">SUMIFS(INDIRECT("'"&amp;$W$129&amp;"'"&amp;"!$m$64:$m$5000"),INDIRECT("'"&amp;$W$129&amp;"'"&amp;"!$A$64:$A$5000"),$V$4)-SUMIFS(INDIRECT("'"&amp;$W$129&amp;"'"&amp;"!$m$64:$m$5000"),INDIRECT("'"&amp;$W$129&amp;"'"&amp;"!$A$64:$A$5000"),$V$5)-SUMIFS(INDIRECT("'"&amp;$W$129&amp;"'"&amp;"!$m$64:$m$5000"),INDIRECT("'"&amp;$W$129&amp;"'"&amp;"!$A$64:$A$5000"),$V$6)-SUMIFS(INDIRECT("'"&amp;$W$129&amp;"'"&amp;"!$m$64:$m$5000"),INDIRECT("'"&amp;$W$129&amp;"'"&amp;"!$A$64:$A$5000"),$W$6)-SUMIFS(INDIRECT("'"&amp;$W$129&amp;"'"&amp;"!$m$64:$m$5000"),INDIRECT("'"&amp;$W$129&amp;"'"&amp;"!$A$64:$A$5000"),$W$7)-SUMIFS(INDIRECT("'"&amp;$W$129&amp;"'"&amp;"!$m$64:$m$5000"),INDIRECT("'"&amp;$W$129&amp;"'"&amp;"!$A$64:$A$5000"),$X$3)-AH139-AH137</f>
        <v>53346.500000000015</v>
      </c>
      <c r="AJ134" s="14">
        <f t="shared" ca="1" si="246"/>
        <v>-0.91000000000349246</v>
      </c>
      <c r="AK134" s="14">
        <f t="shared" ca="1" si="246"/>
        <v>0.42000000004190952</v>
      </c>
      <c r="AL134" s="14">
        <f t="shared" ca="1" si="246"/>
        <v>-0.41000000001804437</v>
      </c>
      <c r="AM134" s="14">
        <f t="shared" ca="1" si="246"/>
        <v>0.54999999995925464</v>
      </c>
      <c r="AN134" s="14">
        <f t="shared" ca="1" si="246"/>
        <v>0.18999999995867256</v>
      </c>
      <c r="AO134" s="14">
        <f t="shared" ca="1" si="246"/>
        <v>0.85000000002037268</v>
      </c>
      <c r="AP134" s="14">
        <f t="shared" ca="1" si="246"/>
        <v>0.19000000000232831</v>
      </c>
      <c r="AQ134" s="14">
        <f t="shared" ca="1" si="246"/>
        <v>0.19000000001688022</v>
      </c>
      <c r="AR134" s="14">
        <f t="shared" ca="1" si="246"/>
        <v>-5.0000000017462298E-2</v>
      </c>
      <c r="AS134" s="14">
        <f t="shared" ca="1" si="246"/>
        <v>-0.44999999999708962</v>
      </c>
      <c r="AT134" s="14">
        <f t="shared" ca="1" si="246"/>
        <v>-1.9199999999982538</v>
      </c>
      <c r="AU134" s="14">
        <f t="shared" ca="1" si="246"/>
        <v>-0.49999999998544808</v>
      </c>
    </row>
    <row r="135" spans="1:47" s="12" customFormat="1">
      <c r="A135" s="12">
        <f t="shared" si="244"/>
        <v>12</v>
      </c>
      <c r="B135"/>
      <c r="C135" t="str">
        <f>$F130</f>
        <v>Arbor Court Retirement Community at Salina</v>
      </c>
      <c r="D135" s="3" t="str">
        <f t="shared" si="175"/>
        <v>T_BAD_DEBT - Tenant Bad Debt Expense</v>
      </c>
      <c r="E135"/>
      <c r="F135" s="19" t="str">
        <f>_xll.EVDES(D135)</f>
        <v>Tenant Bad Debt Expense</v>
      </c>
      <c r="G135" s="61">
        <f ca="1">SUMIFS(OFFSET('BPC Data'!$F:$F,0,Summary!G$2),'BPC Data'!$E:$E,Summary!$D135,'BPC Data'!$B:$B,Summary!$C135)</f>
        <v>0</v>
      </c>
      <c r="H135" s="65">
        <f ca="1">SUMIFS(OFFSET('BPC Data'!$F:$F,0,Summary!H$2),'BPC Data'!$E:$E,Summary!$D135,'BPC Data'!$B:$B,Summary!$C135)</f>
        <v>0</v>
      </c>
      <c r="I135" s="61">
        <f ca="1">SUMIFS(OFFSET('BPC Data'!$F:$F,0,Summary!I$2),'BPC Data'!$E:$E,Summary!$D135,'BPC Data'!$B:$B,Summary!$C135)</f>
        <v>6541</v>
      </c>
      <c r="J135" s="65">
        <f ca="1">SUMIFS(OFFSET('BPC Data'!$F:$F,0,Summary!J$2),'BPC Data'!$E:$E,Summary!$D135,'BPC Data'!$B:$B,Summary!$C135)</f>
        <v>0</v>
      </c>
      <c r="K135" s="61">
        <f ca="1">SUMIFS(OFFSET('BPC Data'!$F:$F,0,Summary!K$2),'BPC Data'!$E:$E,Summary!$D135,'BPC Data'!$B:$B,Summary!$C135)</f>
        <v>0</v>
      </c>
      <c r="L135" s="65">
        <f ca="1">SUMIFS(OFFSET('BPC Data'!$F:$F,0,Summary!L$2),'BPC Data'!$E:$E,Summary!$D135,'BPC Data'!$B:$B,Summary!$C135)</f>
        <v>0</v>
      </c>
      <c r="M135" s="61">
        <f ca="1">SUMIFS(OFFSET('BPC Data'!$F:$F,0,Summary!M$2),'BPC Data'!$E:$E,Summary!$D135,'BPC Data'!$B:$B,Summary!$C135)</f>
        <v>0</v>
      </c>
      <c r="N135" s="65">
        <f ca="1">SUMIFS(OFFSET('BPC Data'!$F:$F,0,Summary!N$2),'BPC Data'!$E:$E,Summary!$D135,'BPC Data'!$B:$B,Summary!$C135)</f>
        <v>0</v>
      </c>
      <c r="O135" s="61">
        <f ca="1">SUMIFS(OFFSET('BPC Data'!$F:$F,0,Summary!O$2),'BPC Data'!$E:$E,Summary!$D135,'BPC Data'!$B:$B,Summary!$C135)</f>
        <v>0</v>
      </c>
      <c r="P135" s="65">
        <f ca="1">SUMIFS(OFFSET('BPC Data'!$F:$F,0,Summary!P$2),'BPC Data'!$E:$E,Summary!$D135,'BPC Data'!$B:$B,Summary!$C135)</f>
        <v>0</v>
      </c>
      <c r="Q135" s="61">
        <f ca="1">SUMIFS(OFFSET('BPC Data'!$F:$F,0,Summary!Q$2),'BPC Data'!$E:$E,Summary!$D135,'BPC Data'!$B:$B,Summary!$C135)</f>
        <v>0</v>
      </c>
      <c r="R135" s="65">
        <f ca="1">SUMIFS(OFFSET('BPC Data'!$F:$F,0,Summary!R$2),'BPC Data'!$E:$E,Summary!$D135,'BPC Data'!$B:$B,Summary!$C135)</f>
        <v>0</v>
      </c>
      <c r="S135" s="23">
        <f t="shared" ca="1" si="245"/>
        <v>6541</v>
      </c>
      <c r="T135" s="75"/>
      <c r="U135" s="4"/>
      <c r="W135"/>
      <c r="X135"/>
      <c r="Y135"/>
      <c r="Z135"/>
      <c r="AA135"/>
      <c r="AB135"/>
      <c r="AC135"/>
      <c r="AD135"/>
      <c r="AE135"/>
      <c r="AF135"/>
      <c r="AG135"/>
      <c r="AH135"/>
      <c r="AJ135" s="14"/>
      <c r="AK135" s="49"/>
      <c r="AL135" s="49"/>
      <c r="AM135" s="49"/>
      <c r="AN135" s="49"/>
      <c r="AO135" s="49"/>
      <c r="AP135" s="49"/>
      <c r="AQ135" s="49"/>
      <c r="AR135" s="49"/>
      <c r="AS135" s="49"/>
      <c r="AT135" s="49"/>
      <c r="AU135" s="49"/>
    </row>
    <row r="136" spans="1:47" s="12" customFormat="1">
      <c r="A136" s="12">
        <f t="shared" si="244"/>
        <v>12</v>
      </c>
      <c r="B136"/>
      <c r="C136" t="str">
        <f>$F130</f>
        <v>Arbor Court Retirement Community at Salina</v>
      </c>
      <c r="D136" s="2" t="str">
        <f t="shared" si="175"/>
        <v>T_EBITDARM - EBITDARM</v>
      </c>
      <c r="E136"/>
      <c r="F136" s="19" t="str">
        <f>_xll.EVDES(D136)</f>
        <v>EBITDARM</v>
      </c>
      <c r="G136" s="61">
        <f ca="1">SUMIFS(OFFSET('BPC Data'!$F:$F,0,Summary!G$2),'BPC Data'!$E:$E,Summary!$D136,'BPC Data'!$B:$B,Summary!$C136)</f>
        <v>19600</v>
      </c>
      <c r="H136" s="65">
        <f ca="1">SUMIFS(OFFSET('BPC Data'!$F:$F,0,Summary!H$2),'BPC Data'!$E:$E,Summary!$D136,'BPC Data'!$B:$B,Summary!$C136)</f>
        <v>25165</v>
      </c>
      <c r="I136" s="61">
        <f ca="1">SUMIFS(OFFSET('BPC Data'!$F:$F,0,Summary!I$2),'BPC Data'!$E:$E,Summary!$D136,'BPC Data'!$B:$B,Summary!$C136)</f>
        <v>18393</v>
      </c>
      <c r="J136" s="65">
        <f ca="1">SUMIFS(OFFSET('BPC Data'!$F:$F,0,Summary!J$2),'BPC Data'!$E:$E,Summary!$D136,'BPC Data'!$B:$B,Summary!$C136)</f>
        <v>23669</v>
      </c>
      <c r="K136" s="61">
        <f ca="1">SUMIFS(OFFSET('BPC Data'!$F:$F,0,Summary!K$2),'BPC Data'!$E:$E,Summary!$D136,'BPC Data'!$B:$B,Summary!$C136)</f>
        <v>27657</v>
      </c>
      <c r="L136" s="65">
        <f ca="1">SUMIFS(OFFSET('BPC Data'!$F:$F,0,Summary!L$2),'BPC Data'!$E:$E,Summary!$D136,'BPC Data'!$B:$B,Summary!$C136)</f>
        <v>22212</v>
      </c>
      <c r="M136" s="61">
        <f ca="1">SUMIFS(OFFSET('BPC Data'!$F:$F,0,Summary!M$2),'BPC Data'!$E:$E,Summary!$D136,'BPC Data'!$B:$B,Summary!$C136)</f>
        <v>30723</v>
      </c>
      <c r="N136" s="65">
        <f ca="1">SUMIFS(OFFSET('BPC Data'!$F:$F,0,Summary!N$2),'BPC Data'!$E:$E,Summary!$D136,'BPC Data'!$B:$B,Summary!$C136)</f>
        <v>23040</v>
      </c>
      <c r="O136" s="61">
        <f ca="1">SUMIFS(OFFSET('BPC Data'!$F:$F,0,Summary!O$2),'BPC Data'!$E:$E,Summary!$D136,'BPC Data'!$B:$B,Summary!$C136)</f>
        <v>18731</v>
      </c>
      <c r="P136" s="65">
        <f ca="1">SUMIFS(OFFSET('BPC Data'!$F:$F,0,Summary!P$2),'BPC Data'!$E:$E,Summary!$D136,'BPC Data'!$B:$B,Summary!$C136)</f>
        <v>21637</v>
      </c>
      <c r="Q136" s="61">
        <f ca="1">SUMIFS(OFFSET('BPC Data'!$F:$F,0,Summary!Q$2),'BPC Data'!$E:$E,Summary!$D136,'BPC Data'!$B:$B,Summary!$C136)</f>
        <v>29717</v>
      </c>
      <c r="R136" s="65">
        <f ca="1">SUMIFS(OFFSET('BPC Data'!$F:$F,0,Summary!R$2),'BPC Data'!$E:$E,Summary!$D136,'BPC Data'!$B:$B,Summary!$C136)</f>
        <v>22988</v>
      </c>
      <c r="S136" s="23">
        <f t="shared" ca="1" si="245"/>
        <v>283532</v>
      </c>
      <c r="T136" s="74">
        <f ca="1">SUM(W136:AH136)</f>
        <v>283533.44000000012</v>
      </c>
      <c r="U136" s="54">
        <f ca="1">T136-S136</f>
        <v>1.4400000001187436</v>
      </c>
      <c r="W136" s="50">
        <f t="shared" ref="W136:AB136" ca="1" si="247">W133-W134</f>
        <v>19600.710000000036</v>
      </c>
      <c r="X136" s="50">
        <f t="shared" ca="1" si="247"/>
        <v>25164.579999999958</v>
      </c>
      <c r="Y136" s="50">
        <f t="shared" ca="1" si="247"/>
        <v>18393.410000000018</v>
      </c>
      <c r="Z136" s="50">
        <f t="shared" ca="1" si="247"/>
        <v>23668.450000000041</v>
      </c>
      <c r="AA136" s="50">
        <f t="shared" ca="1" si="247"/>
        <v>27656.600000000079</v>
      </c>
      <c r="AB136" s="50">
        <f t="shared" ca="1" si="247"/>
        <v>22211.14999999998</v>
      </c>
      <c r="AC136" s="50">
        <f t="shared" ref="AC136:AH136" ca="1" si="248">AC133-AC134</f>
        <v>30722.809999999998</v>
      </c>
      <c r="AD136" s="50">
        <f t="shared" ca="1" si="248"/>
        <v>23039.809999999983</v>
      </c>
      <c r="AE136" s="50">
        <f t="shared" ca="1" si="248"/>
        <v>18731.050000000017</v>
      </c>
      <c r="AF136" s="50">
        <f t="shared" ca="1" si="248"/>
        <v>21637.449999999997</v>
      </c>
      <c r="AG136" s="50">
        <f t="shared" ca="1" si="248"/>
        <v>29718.920000000027</v>
      </c>
      <c r="AH136" s="50">
        <f t="shared" ca="1" si="248"/>
        <v>22988.499999999985</v>
      </c>
      <c r="AJ136" s="14">
        <f t="shared" ref="AJ136:AU139" ca="1" si="249">W136-G136</f>
        <v>0.71000000003550667</v>
      </c>
      <c r="AK136" s="14">
        <f t="shared" ca="1" si="249"/>
        <v>-0.42000000004190952</v>
      </c>
      <c r="AL136" s="14">
        <f t="shared" ca="1" si="249"/>
        <v>0.41000000001804437</v>
      </c>
      <c r="AM136" s="14">
        <f t="shared" ca="1" si="249"/>
        <v>-0.54999999995925464</v>
      </c>
      <c r="AN136" s="14">
        <f t="shared" ca="1" si="249"/>
        <v>-0.39999999992141966</v>
      </c>
      <c r="AO136" s="14">
        <f t="shared" ca="1" si="249"/>
        <v>-0.85000000002037268</v>
      </c>
      <c r="AP136" s="14">
        <f t="shared" ca="1" si="249"/>
        <v>-0.19000000000232831</v>
      </c>
      <c r="AQ136" s="14">
        <f t="shared" ca="1" si="249"/>
        <v>-0.19000000001688022</v>
      </c>
      <c r="AR136" s="14">
        <f t="shared" ca="1" si="249"/>
        <v>5.0000000017462298E-2</v>
      </c>
      <c r="AS136" s="14">
        <f t="shared" ca="1" si="249"/>
        <v>0.44999999999708962</v>
      </c>
      <c r="AT136" s="14">
        <f t="shared" ca="1" si="249"/>
        <v>1.9200000000273576</v>
      </c>
      <c r="AU136" s="14">
        <f t="shared" ca="1" si="249"/>
        <v>0.49999999998544808</v>
      </c>
    </row>
    <row r="137" spans="1:47" s="12" customFormat="1">
      <c r="A137" s="12">
        <f t="shared" si="244"/>
        <v>12</v>
      </c>
      <c r="B137"/>
      <c r="C137" t="str">
        <f>$F130</f>
        <v>Arbor Court Retirement Community at Salina</v>
      </c>
      <c r="D137" s="2" t="str">
        <f t="shared" si="175"/>
        <v>T_MGMT_FEE - Tenant Management Fee - Actual</v>
      </c>
      <c r="E137"/>
      <c r="F137" s="19" t="str">
        <f>_xll.EVDES(D137)</f>
        <v>Tenant Management Fee - Actual</v>
      </c>
      <c r="G137" s="61">
        <f ca="1">SUMIFS(OFFSET('BPC Data'!$F:$F,0,Summary!G$2),'BPC Data'!$E:$E,Summary!$D137,'BPC Data'!$B:$B,Summary!$C137)</f>
        <v>3725</v>
      </c>
      <c r="H137" s="65">
        <f ca="1">SUMIFS(OFFSET('BPC Data'!$F:$F,0,Summary!H$2),'BPC Data'!$E:$E,Summary!$D137,'BPC Data'!$B:$B,Summary!$C137)</f>
        <v>3890</v>
      </c>
      <c r="I137" s="61">
        <f ca="1">SUMIFS(OFFSET('BPC Data'!$F:$F,0,Summary!I$2),'BPC Data'!$E:$E,Summary!$D137,'BPC Data'!$B:$B,Summary!$C137)</f>
        <v>3840</v>
      </c>
      <c r="J137" s="65">
        <f ca="1">SUMIFS(OFFSET('BPC Data'!$F:$F,0,Summary!J$2),'BPC Data'!$E:$E,Summary!$D137,'BPC Data'!$B:$B,Summary!$C137)</f>
        <v>3977</v>
      </c>
      <c r="K137" s="61">
        <f ca="1">SUMIFS(OFFSET('BPC Data'!$F:$F,0,Summary!K$2),'BPC Data'!$E:$E,Summary!$D137,'BPC Data'!$B:$B,Summary!$C137)</f>
        <v>3719</v>
      </c>
      <c r="L137" s="65">
        <f ca="1">SUMIFS(OFFSET('BPC Data'!$F:$F,0,Summary!L$2),'BPC Data'!$E:$E,Summary!$D137,'BPC Data'!$B:$B,Summary!$C137)</f>
        <v>3948</v>
      </c>
      <c r="M137" s="61">
        <f ca="1">SUMIFS(OFFSET('BPC Data'!$F:$F,0,Summary!M$2),'BPC Data'!$E:$E,Summary!$D137,'BPC Data'!$B:$B,Summary!$C137)</f>
        <v>3784</v>
      </c>
      <c r="N137" s="65">
        <f ca="1">SUMIFS(OFFSET('BPC Data'!$F:$F,0,Summary!N$2),'BPC Data'!$E:$E,Summary!$D137,'BPC Data'!$B:$B,Summary!$C137)</f>
        <v>4024</v>
      </c>
      <c r="O137" s="61">
        <f ca="1">SUMIFS(OFFSET('BPC Data'!$F:$F,0,Summary!O$2),'BPC Data'!$E:$E,Summary!$D137,'BPC Data'!$B:$B,Summary!$C137)</f>
        <v>4037</v>
      </c>
      <c r="P137" s="65">
        <f ca="1">SUMIFS(OFFSET('BPC Data'!$F:$F,0,Summary!P$2),'BPC Data'!$E:$E,Summary!$D137,'BPC Data'!$B:$B,Summary!$C137)</f>
        <v>4227</v>
      </c>
      <c r="Q137" s="61">
        <f ca="1">SUMIFS(OFFSET('BPC Data'!$F:$F,0,Summary!Q$2),'BPC Data'!$E:$E,Summary!$D137,'BPC Data'!$B:$B,Summary!$C137)</f>
        <v>4230</v>
      </c>
      <c r="R137" s="65">
        <f ca="1">SUMIFS(OFFSET('BPC Data'!$F:$F,0,Summary!R$2),'BPC Data'!$E:$E,Summary!$D137,'BPC Data'!$B:$B,Summary!$C137)</f>
        <v>3841</v>
      </c>
      <c r="S137" s="23">
        <f t="shared" ca="1" si="245"/>
        <v>47242</v>
      </c>
      <c r="T137" s="74">
        <f ca="1">SUM(W137:AH137)</f>
        <v>47242</v>
      </c>
      <c r="U137" s="54">
        <f ca="1">T137-S137</f>
        <v>0</v>
      </c>
      <c r="W137" s="4">
        <f ca="1">SUMIFS(INDIRECT("'"&amp;$W$129&amp;"'"&amp;"!$B$64:$B$5000"),INDIRECT("'"&amp;$W$129&amp;"'"&amp;"!$A$64:$A$5000"),$V$7)</f>
        <v>3725</v>
      </c>
      <c r="X137" s="4">
        <f ca="1">SUMIFS(INDIRECT("'"&amp;$W$129&amp;"'"&amp;"!$c$64:$c$5000"),INDIRECT("'"&amp;$W$129&amp;"'"&amp;"!$A$64:$A$5000"),$V$7)</f>
        <v>3890</v>
      </c>
      <c r="Y137" s="4">
        <f ca="1">SUMIFS(INDIRECT("'"&amp;$W$129&amp;"'"&amp;"!$d$64:$d$5000"),INDIRECT("'"&amp;$W$129&amp;"'"&amp;"!$A$64:$A$5000"),$V$7)</f>
        <v>3840</v>
      </c>
      <c r="Z137" s="4">
        <f ca="1">SUMIFS(INDIRECT("'"&amp;$W$129&amp;"'"&amp;"!$e$64:$e$5000"),INDIRECT("'"&amp;$W$129&amp;"'"&amp;"!$A$64:$A$5000"),$V$7)</f>
        <v>3977</v>
      </c>
      <c r="AA137" s="4">
        <f ca="1">SUMIFS(INDIRECT("'"&amp;$W$129&amp;"'"&amp;"!$f$64:$f$5000"),INDIRECT("'"&amp;$W$129&amp;"'"&amp;"!$A$64:$A$5000"),$V$7)</f>
        <v>3719</v>
      </c>
      <c r="AB137" s="4">
        <f ca="1">SUMIFS(INDIRECT("'"&amp;$W$129&amp;"'"&amp;"!$g$64:$g$5000"),INDIRECT("'"&amp;$W$129&amp;"'"&amp;"!$A$64:$A$5000"),$V$7)</f>
        <v>3948</v>
      </c>
      <c r="AC137" s="4">
        <f ca="1">SUMIFS(INDIRECT("'"&amp;$W$129&amp;"'"&amp;"!$h$64:$h$5000"),INDIRECT("'"&amp;$W$129&amp;"'"&amp;"!$A$64:$A$5000"),$V$7)</f>
        <v>3784</v>
      </c>
      <c r="AD137" s="4">
        <f ca="1">SUMIFS(INDIRECT("'"&amp;$W$129&amp;"'"&amp;"!$i$64:$i$5000"),INDIRECT("'"&amp;$W$129&amp;"'"&amp;"!$A$64:$A$5000"),$V$7)</f>
        <v>4024</v>
      </c>
      <c r="AE137" s="4">
        <f ca="1">SUMIFS(INDIRECT("'"&amp;$W$129&amp;"'"&amp;"!$j$64:$j$5000"),INDIRECT("'"&amp;$W$129&amp;"'"&amp;"!$A$64:$A$5000"),$V$7)</f>
        <v>4037</v>
      </c>
      <c r="AF137" s="4">
        <f ca="1">SUMIFS(INDIRECT("'"&amp;$W$129&amp;"'"&amp;"!$k$64:$k$5000"),INDIRECT("'"&amp;$W$129&amp;"'"&amp;"!$A$64:$A$5000"),$V$7)</f>
        <v>4227</v>
      </c>
      <c r="AG137" s="4">
        <f ca="1">SUMIFS(INDIRECT("'"&amp;$W$129&amp;"'"&amp;"!$l$64:$l$5000"),INDIRECT("'"&amp;$W$129&amp;"'"&amp;"!$A$64:$A$5000"),$V$7)</f>
        <v>4230</v>
      </c>
      <c r="AH137" s="4">
        <f ca="1">SUMIFS(INDIRECT("'"&amp;$W$129&amp;"'"&amp;"!$m$64:$m$5000"),INDIRECT("'"&amp;$W$129&amp;"'"&amp;"!$A$64:$A$5000"),$V$7)</f>
        <v>3841</v>
      </c>
      <c r="AJ137" s="14">
        <f t="shared" ca="1" si="249"/>
        <v>0</v>
      </c>
      <c r="AK137" s="14">
        <f t="shared" ca="1" si="249"/>
        <v>0</v>
      </c>
      <c r="AL137" s="14">
        <f t="shared" ca="1" si="249"/>
        <v>0</v>
      </c>
      <c r="AM137" s="14">
        <f t="shared" ca="1" si="249"/>
        <v>0</v>
      </c>
      <c r="AN137" s="14">
        <f t="shared" ca="1" si="249"/>
        <v>0</v>
      </c>
      <c r="AO137" s="14">
        <f t="shared" ca="1" si="249"/>
        <v>0</v>
      </c>
      <c r="AP137" s="14">
        <f t="shared" ca="1" si="249"/>
        <v>0</v>
      </c>
      <c r="AQ137" s="14">
        <f t="shared" ca="1" si="249"/>
        <v>0</v>
      </c>
      <c r="AR137" s="14">
        <f t="shared" ca="1" si="249"/>
        <v>0</v>
      </c>
      <c r="AS137" s="14">
        <f t="shared" ca="1" si="249"/>
        <v>0</v>
      </c>
      <c r="AT137" s="14">
        <f t="shared" ca="1" si="249"/>
        <v>0</v>
      </c>
      <c r="AU137" s="14">
        <f t="shared" ca="1" si="249"/>
        <v>0</v>
      </c>
    </row>
    <row r="138" spans="1:47" s="12" customFormat="1">
      <c r="A138" s="12">
        <f t="shared" si="244"/>
        <v>12</v>
      </c>
      <c r="B138"/>
      <c r="C138" t="str">
        <f>$F130</f>
        <v>Arbor Court Retirement Community at Salina</v>
      </c>
      <c r="D138" s="1" t="str">
        <f t="shared" si="175"/>
        <v>T_EBITDAR - EBITDAR</v>
      </c>
      <c r="E138"/>
      <c r="F138" s="19" t="str">
        <f>_xll.EVDES(D138)</f>
        <v>EBITDAR</v>
      </c>
      <c r="G138" s="61">
        <f ca="1">SUMIFS(OFFSET('BPC Data'!$F:$F,0,Summary!G$2),'BPC Data'!$E:$E,Summary!$D138,'BPC Data'!$B:$B,Summary!$C138)</f>
        <v>15875</v>
      </c>
      <c r="H138" s="65">
        <f ca="1">SUMIFS(OFFSET('BPC Data'!$F:$F,0,Summary!H$2),'BPC Data'!$E:$E,Summary!$D138,'BPC Data'!$B:$B,Summary!$C138)</f>
        <v>21275</v>
      </c>
      <c r="I138" s="61">
        <f ca="1">SUMIFS(OFFSET('BPC Data'!$F:$F,0,Summary!I$2),'BPC Data'!$E:$E,Summary!$D138,'BPC Data'!$B:$B,Summary!$C138)</f>
        <v>14553</v>
      </c>
      <c r="J138" s="65">
        <f ca="1">SUMIFS(OFFSET('BPC Data'!$F:$F,0,Summary!J$2),'BPC Data'!$E:$E,Summary!$D138,'BPC Data'!$B:$B,Summary!$C138)</f>
        <v>19692</v>
      </c>
      <c r="K138" s="61">
        <f ca="1">SUMIFS(OFFSET('BPC Data'!$F:$F,0,Summary!K$2),'BPC Data'!$E:$E,Summary!$D138,'BPC Data'!$B:$B,Summary!$C138)</f>
        <v>23938</v>
      </c>
      <c r="L138" s="65">
        <f ca="1">SUMIFS(OFFSET('BPC Data'!$F:$F,0,Summary!L$2),'BPC Data'!$E:$E,Summary!$D138,'BPC Data'!$B:$B,Summary!$C138)</f>
        <v>18264</v>
      </c>
      <c r="M138" s="61">
        <f ca="1">SUMIFS(OFFSET('BPC Data'!$F:$F,0,Summary!M$2),'BPC Data'!$E:$E,Summary!$D138,'BPC Data'!$B:$B,Summary!$C138)</f>
        <v>26939</v>
      </c>
      <c r="N138" s="65">
        <f ca="1">SUMIFS(OFFSET('BPC Data'!$F:$F,0,Summary!N$2),'BPC Data'!$E:$E,Summary!$D138,'BPC Data'!$B:$B,Summary!$C138)</f>
        <v>19016</v>
      </c>
      <c r="O138" s="61">
        <f ca="1">SUMIFS(OFFSET('BPC Data'!$F:$F,0,Summary!O$2),'BPC Data'!$E:$E,Summary!$D138,'BPC Data'!$B:$B,Summary!$C138)</f>
        <v>14694</v>
      </c>
      <c r="P138" s="65">
        <f ca="1">SUMIFS(OFFSET('BPC Data'!$F:$F,0,Summary!P$2),'BPC Data'!$E:$E,Summary!$D138,'BPC Data'!$B:$B,Summary!$C138)</f>
        <v>17410</v>
      </c>
      <c r="Q138" s="61">
        <f ca="1">SUMIFS(OFFSET('BPC Data'!$F:$F,0,Summary!Q$2),'BPC Data'!$E:$E,Summary!$D138,'BPC Data'!$B:$B,Summary!$C138)</f>
        <v>25487</v>
      </c>
      <c r="R138" s="65">
        <f ca="1">SUMIFS(OFFSET('BPC Data'!$F:$F,0,Summary!R$2),'BPC Data'!$E:$E,Summary!$D138,'BPC Data'!$B:$B,Summary!$C138)</f>
        <v>19147</v>
      </c>
      <c r="S138" s="23">
        <f t="shared" ca="1" si="245"/>
        <v>236290</v>
      </c>
      <c r="T138" s="74">
        <f ca="1">SUM(W138:AH138)</f>
        <v>236291.44000000012</v>
      </c>
      <c r="U138" s="54">
        <f ca="1">T138-S138</f>
        <v>1.4400000001187436</v>
      </c>
      <c r="W138" s="50">
        <f t="shared" ref="W138:AB138" ca="1" si="250">W136-W137</f>
        <v>15875.710000000036</v>
      </c>
      <c r="X138" s="50">
        <f t="shared" ca="1" si="250"/>
        <v>21274.579999999958</v>
      </c>
      <c r="Y138" s="50">
        <f t="shared" ca="1" si="250"/>
        <v>14553.410000000018</v>
      </c>
      <c r="Z138" s="50">
        <f t="shared" ca="1" si="250"/>
        <v>19691.450000000041</v>
      </c>
      <c r="AA138" s="50">
        <f t="shared" ca="1" si="250"/>
        <v>23937.600000000079</v>
      </c>
      <c r="AB138" s="50">
        <f t="shared" ca="1" si="250"/>
        <v>18263.14999999998</v>
      </c>
      <c r="AC138" s="50">
        <f t="shared" ref="AC138:AH138" ca="1" si="251">AC136-AC137</f>
        <v>26938.809999999998</v>
      </c>
      <c r="AD138" s="50">
        <f t="shared" ca="1" si="251"/>
        <v>19015.809999999983</v>
      </c>
      <c r="AE138" s="50">
        <f t="shared" ca="1" si="251"/>
        <v>14694.050000000017</v>
      </c>
      <c r="AF138" s="50">
        <f t="shared" ca="1" si="251"/>
        <v>17410.449999999997</v>
      </c>
      <c r="AG138" s="50">
        <f t="shared" ca="1" si="251"/>
        <v>25488.920000000027</v>
      </c>
      <c r="AH138" s="50">
        <f t="shared" ca="1" si="251"/>
        <v>19147.499999999985</v>
      </c>
      <c r="AJ138" s="14">
        <f t="shared" ca="1" si="249"/>
        <v>0.71000000003550667</v>
      </c>
      <c r="AK138" s="14">
        <f t="shared" ca="1" si="249"/>
        <v>-0.42000000004190952</v>
      </c>
      <c r="AL138" s="14">
        <f t="shared" ca="1" si="249"/>
        <v>0.41000000001804437</v>
      </c>
      <c r="AM138" s="14">
        <f t="shared" ca="1" si="249"/>
        <v>-0.54999999995925464</v>
      </c>
      <c r="AN138" s="14">
        <f t="shared" ca="1" si="249"/>
        <v>-0.39999999992141966</v>
      </c>
      <c r="AO138" s="14">
        <f t="shared" ca="1" si="249"/>
        <v>-0.85000000002037268</v>
      </c>
      <c r="AP138" s="14">
        <f t="shared" ca="1" si="249"/>
        <v>-0.19000000000232831</v>
      </c>
      <c r="AQ138" s="14">
        <f t="shared" ca="1" si="249"/>
        <v>-0.19000000001688022</v>
      </c>
      <c r="AR138" s="14">
        <f t="shared" ca="1" si="249"/>
        <v>5.0000000017462298E-2</v>
      </c>
      <c r="AS138" s="14">
        <f t="shared" ca="1" si="249"/>
        <v>0.44999999999708962</v>
      </c>
      <c r="AT138" s="14">
        <f t="shared" ca="1" si="249"/>
        <v>1.9200000000273576</v>
      </c>
      <c r="AU138" s="14">
        <f t="shared" ca="1" si="249"/>
        <v>0.49999999998544808</v>
      </c>
    </row>
    <row r="139" spans="1:47" s="12" customFormat="1">
      <c r="A139" s="12">
        <f t="shared" si="244"/>
        <v>12</v>
      </c>
      <c r="B139"/>
      <c r="C139" t="str">
        <f>$F130</f>
        <v>Arbor Court Retirement Community at Salina</v>
      </c>
      <c r="D139" s="1" t="str">
        <f t="shared" si="175"/>
        <v>T_RENT_EXP - Tenant Rent Expense</v>
      </c>
      <c r="E139"/>
      <c r="F139" s="19" t="str">
        <f>_xll.EVDES(D139)</f>
        <v>Tenant Rent Expense</v>
      </c>
      <c r="G139" s="61">
        <f ca="1">SUMIFS(OFFSET('BPC Data'!$F:$F,0,Summary!G$2),'BPC Data'!$E:$E,Summary!$D139,'BPC Data'!$B:$B,Summary!$C139)</f>
        <v>30329</v>
      </c>
      <c r="H139" s="65">
        <f ca="1">SUMIFS(OFFSET('BPC Data'!$F:$F,0,Summary!H$2),'BPC Data'!$E:$E,Summary!$D139,'BPC Data'!$B:$B,Summary!$C139)</f>
        <v>31147</v>
      </c>
      <c r="I139" s="61">
        <f ca="1">SUMIFS(OFFSET('BPC Data'!$F:$F,0,Summary!I$2),'BPC Data'!$E:$E,Summary!$D139,'BPC Data'!$B:$B,Summary!$C139)</f>
        <v>31147</v>
      </c>
      <c r="J139" s="65">
        <f ca="1">SUMIFS(OFFSET('BPC Data'!$F:$F,0,Summary!J$2),'BPC Data'!$E:$E,Summary!$D139,'BPC Data'!$B:$B,Summary!$C139)</f>
        <v>31147</v>
      </c>
      <c r="K139" s="61">
        <f ca="1">SUMIFS(OFFSET('BPC Data'!$F:$F,0,Summary!K$2),'BPC Data'!$E:$E,Summary!$D139,'BPC Data'!$B:$B,Summary!$C139)</f>
        <v>31147</v>
      </c>
      <c r="L139" s="65">
        <f ca="1">SUMIFS(OFFSET('BPC Data'!$F:$F,0,Summary!L$2),'BPC Data'!$E:$E,Summary!$D139,'BPC Data'!$B:$B,Summary!$C139)</f>
        <v>31147</v>
      </c>
      <c r="M139" s="61">
        <f ca="1">SUMIFS(OFFSET('BPC Data'!$F:$F,0,Summary!M$2),'BPC Data'!$E:$E,Summary!$D139,'BPC Data'!$B:$B,Summary!$C139)</f>
        <v>31147</v>
      </c>
      <c r="N139" s="65">
        <f ca="1">SUMIFS(OFFSET('BPC Data'!$F:$F,0,Summary!N$2),'BPC Data'!$E:$E,Summary!$D139,'BPC Data'!$B:$B,Summary!$C139)</f>
        <v>31147</v>
      </c>
      <c r="O139" s="61">
        <f ca="1">SUMIFS(OFFSET('BPC Data'!$F:$F,0,Summary!O$2),'BPC Data'!$E:$E,Summary!$D139,'BPC Data'!$B:$B,Summary!$C139)</f>
        <v>31147</v>
      </c>
      <c r="P139" s="65">
        <f ca="1">SUMIFS(OFFSET('BPC Data'!$F:$F,0,Summary!P$2),'BPC Data'!$E:$E,Summary!$D139,'BPC Data'!$B:$B,Summary!$C139)</f>
        <v>31147</v>
      </c>
      <c r="Q139" s="61">
        <f ca="1">SUMIFS(OFFSET('BPC Data'!$F:$F,0,Summary!Q$2),'BPC Data'!$E:$E,Summary!$D139,'BPC Data'!$B:$B,Summary!$C139)</f>
        <v>31147</v>
      </c>
      <c r="R139" s="65">
        <f ca="1">SUMIFS(OFFSET('BPC Data'!$F:$F,0,Summary!R$2),'BPC Data'!$E:$E,Summary!$D139,'BPC Data'!$B:$B,Summary!$C139)</f>
        <v>33861</v>
      </c>
      <c r="S139" s="23">
        <f t="shared" ca="1" si="245"/>
        <v>375660</v>
      </c>
      <c r="T139" s="74">
        <f ca="1">SUM(W139:AH139)</f>
        <v>375655.71000000008</v>
      </c>
      <c r="U139" s="54">
        <f ca="1">T139-S139</f>
        <v>-4.2899999999208376</v>
      </c>
      <c r="W139" s="4">
        <f ca="1">SUMIFS(INDIRECT("'"&amp;$W$129&amp;"'"&amp;"!$B$64:$B$5000"),INDIRECT("'"&amp;$W$129&amp;"'"&amp;"!$A$64:$A$5000"),$W$3)+SUMIFS(INDIRECT("'"&amp;$W$129&amp;"'"&amp;"!$B$64:$B$5000"),INDIRECT("'"&amp;$W$129&amp;"'"&amp;"!$A$64:$A$5000"),$W$4)</f>
        <v>30329</v>
      </c>
      <c r="X139" s="4">
        <f ca="1">SUMIFS(INDIRECT("'"&amp;$W$129&amp;"'"&amp;"!$c$64:$c$5000"),INDIRECT("'"&amp;$W$129&amp;"'"&amp;"!$A$64:$A$5000"),$W$3)+SUMIFS(INDIRECT("'"&amp;$W$129&amp;"'"&amp;"!$c$64:$c$5000"),INDIRECT("'"&amp;$W$129&amp;"'"&amp;"!$A$64:$A$5000"),$W$4)</f>
        <v>31146.58</v>
      </c>
      <c r="Y139" s="4">
        <f ca="1">SUMIFS(INDIRECT("'"&amp;$W$129&amp;"'"&amp;"!$d$64:$d$5000"),INDIRECT("'"&amp;$W$129&amp;"'"&amp;"!$A$64:$A$5000"),$W$3)+SUMIFS(INDIRECT("'"&amp;$W$129&amp;"'"&amp;"!$d$64:$d$5000"),INDIRECT("'"&amp;$W$129&amp;"'"&amp;"!$A$64:$A$5000"),$W$4)</f>
        <v>31146.58</v>
      </c>
      <c r="Z139" s="4">
        <f ca="1">SUMIFS(INDIRECT("'"&amp;$W$129&amp;"'"&amp;"!$e$64:$e$5000"),INDIRECT("'"&amp;$W$129&amp;"'"&amp;"!$A$64:$A$5000"),$W$3)+SUMIFS(INDIRECT("'"&amp;$W$129&amp;"'"&amp;"!$e$64:$e$5000"),INDIRECT("'"&amp;$W$129&amp;"'"&amp;"!$A$64:$A$5000"),$W$4)</f>
        <v>31146.58</v>
      </c>
      <c r="AA139" s="4">
        <f ca="1">SUMIFS(INDIRECT("'"&amp;$W$129&amp;"'"&amp;"!$f$64:$f$5000"),INDIRECT("'"&amp;$W$129&amp;"'"&amp;"!$A$64:$A$5000"),$W$3)+SUMIFS(INDIRECT("'"&amp;$W$129&amp;"'"&amp;"!$f$64:$f$5000"),INDIRECT("'"&amp;$W$129&amp;"'"&amp;"!$A$64:$A$5000"),$W$4)</f>
        <v>31146.58</v>
      </c>
      <c r="AB139" s="4">
        <f ca="1">SUMIFS(INDIRECT("'"&amp;$W$129&amp;"'"&amp;"!$g$64:$g$5000"),INDIRECT("'"&amp;$W$129&amp;"'"&amp;"!$A$64:$A$5000"),$W$3)+SUMIFS(INDIRECT("'"&amp;$W$129&amp;"'"&amp;"!$g$64:$g$5000"),INDIRECT("'"&amp;$W$129&amp;"'"&amp;"!$A$64:$A$5000"),$W$4)</f>
        <v>31146.58</v>
      </c>
      <c r="AC139" s="4">
        <f ca="1">SUMIFS(INDIRECT("'"&amp;$W$129&amp;"'"&amp;"!$h$64:$h$5000"),INDIRECT("'"&amp;$W$129&amp;"'"&amp;"!$A$64:$A$5000"),$W$3)+SUMIFS(INDIRECT("'"&amp;$W$129&amp;"'"&amp;"!$h$64:$h$5000"),INDIRECT("'"&amp;$W$129&amp;"'"&amp;"!$A$64:$A$5000"),$W$4)</f>
        <v>31146.58</v>
      </c>
      <c r="AD139" s="4">
        <f ca="1">SUMIFS(INDIRECT("'"&amp;$W$129&amp;"'"&amp;"!$i$64:$i$5000"),INDIRECT("'"&amp;$W$129&amp;"'"&amp;"!$A$64:$A$5000"),$W$3)+SUMIFS(INDIRECT("'"&amp;$W$129&amp;"'"&amp;"!$i$64:$i$5000"),INDIRECT("'"&amp;$W$129&amp;"'"&amp;"!$A$64:$A$5000"),$W$4)</f>
        <v>31146.58</v>
      </c>
      <c r="AE139" s="4">
        <f ca="1">SUMIFS(INDIRECT("'"&amp;$W$129&amp;"'"&amp;"!$j$64:$j$5000"),INDIRECT("'"&amp;$W$129&amp;"'"&amp;"!$A$64:$A$5000"),$W$3)+SUMIFS(INDIRECT("'"&amp;$W$129&amp;"'"&amp;"!$j$64:$j$5000"),INDIRECT("'"&amp;$W$129&amp;"'"&amp;"!$A$64:$A$5000"),$W$4)</f>
        <v>31146.58</v>
      </c>
      <c r="AF139" s="4">
        <f ca="1">SUMIFS(INDIRECT("'"&amp;$W$129&amp;"'"&amp;"!$k$64:$k$5000"),INDIRECT("'"&amp;$W$129&amp;"'"&amp;"!$A$64:$A$5000"),$W$3)+SUMIFS(INDIRECT("'"&amp;$W$129&amp;"'"&amp;"!$k$64:$k$5000"),INDIRECT("'"&amp;$W$129&amp;"'"&amp;"!$A$64:$A$5000"),$W$4)</f>
        <v>31146.58</v>
      </c>
      <c r="AG139" s="4">
        <f ca="1">SUMIFS(INDIRECT("'"&amp;$W$129&amp;"'"&amp;"!$l$64:$l$5000"),INDIRECT("'"&amp;$W$129&amp;"'"&amp;"!$A$64:$A$5000"),$W$3)+SUMIFS(INDIRECT("'"&amp;$W$129&amp;"'"&amp;"!$l$64:$l$5000"),INDIRECT("'"&amp;$W$129&amp;"'"&amp;"!$A$64:$A$5000"),$W$4)</f>
        <v>31146.58</v>
      </c>
      <c r="AH139" s="4">
        <f ca="1">SUMIFS(INDIRECT("'"&amp;$W$129&amp;"'"&amp;"!$m$64:$m$5000"),INDIRECT("'"&amp;$W$129&amp;"'"&amp;"!$A$64:$A$5000"),$W$3)+SUMIFS(INDIRECT("'"&amp;$W$129&amp;"'"&amp;"!$m$64:$m$5000"),INDIRECT("'"&amp;$W$129&amp;"'"&amp;"!$A$64:$A$5000"),$W$4)</f>
        <v>33860.910000000003</v>
      </c>
      <c r="AJ139" s="14">
        <f t="shared" ca="1" si="249"/>
        <v>0</v>
      </c>
      <c r="AK139" s="14">
        <f t="shared" ca="1" si="249"/>
        <v>-0.41999999999825377</v>
      </c>
      <c r="AL139" s="14">
        <f t="shared" ca="1" si="249"/>
        <v>-0.41999999999825377</v>
      </c>
      <c r="AM139" s="14">
        <f t="shared" ca="1" si="249"/>
        <v>-0.41999999999825377</v>
      </c>
      <c r="AN139" s="14">
        <f t="shared" ca="1" si="249"/>
        <v>-0.41999999999825377</v>
      </c>
      <c r="AO139" s="14">
        <f t="shared" ca="1" si="249"/>
        <v>-0.41999999999825377</v>
      </c>
      <c r="AP139" s="14">
        <f t="shared" ca="1" si="249"/>
        <v>-0.41999999999825377</v>
      </c>
      <c r="AQ139" s="14">
        <f t="shared" ca="1" si="249"/>
        <v>-0.41999999999825377</v>
      </c>
      <c r="AR139" s="14">
        <f t="shared" ca="1" si="249"/>
        <v>-0.41999999999825377</v>
      </c>
      <c r="AS139" s="14">
        <f t="shared" ca="1" si="249"/>
        <v>-0.41999999999825377</v>
      </c>
      <c r="AT139" s="14">
        <f t="shared" ca="1" si="249"/>
        <v>-0.41999999999825377</v>
      </c>
      <c r="AU139" s="14">
        <f t="shared" ca="1" si="249"/>
        <v>-8.999999999650754E-2</v>
      </c>
    </row>
    <row r="140" spans="1:47" s="12" customFormat="1">
      <c r="A140" s="12">
        <f t="shared" si="244"/>
        <v>12</v>
      </c>
      <c r="B140"/>
      <c r="C140"/>
      <c r="D140" s="1" t="str">
        <f t="shared" si="175"/>
        <v>x</v>
      </c>
      <c r="E140"/>
      <c r="F140" s="19" t="s">
        <v>0</v>
      </c>
      <c r="G140" s="61">
        <f ca="1">SUMIFS(OFFSET('BPC Data'!$F:$F,0,Summary!G$2),'BPC Data'!$E:$E,Summary!$D140,'BPC Data'!$B:$B,Summary!$C140)</f>
        <v>0</v>
      </c>
      <c r="H140" s="65">
        <f ca="1">SUMIFS(OFFSET('BPC Data'!$F:$F,0,Summary!H$2),'BPC Data'!$E:$E,Summary!$D140,'BPC Data'!$B:$B,Summary!$C140)</f>
        <v>0</v>
      </c>
      <c r="I140" s="61">
        <f ca="1">SUMIFS(OFFSET('BPC Data'!$F:$F,0,Summary!I$2),'BPC Data'!$E:$E,Summary!$D140,'BPC Data'!$B:$B,Summary!$C140)</f>
        <v>0</v>
      </c>
      <c r="J140" s="65">
        <f ca="1">SUMIFS(OFFSET('BPC Data'!$F:$F,0,Summary!J$2),'BPC Data'!$E:$E,Summary!$D140,'BPC Data'!$B:$B,Summary!$C140)</f>
        <v>0</v>
      </c>
      <c r="K140" s="61">
        <f ca="1">SUMIFS(OFFSET('BPC Data'!$F:$F,0,Summary!K$2),'BPC Data'!$E:$E,Summary!$D140,'BPC Data'!$B:$B,Summary!$C140)</f>
        <v>0</v>
      </c>
      <c r="L140" s="65">
        <f ca="1">SUMIFS(OFFSET('BPC Data'!$F:$F,0,Summary!L$2),'BPC Data'!$E:$E,Summary!$D140,'BPC Data'!$B:$B,Summary!$C140)</f>
        <v>0</v>
      </c>
      <c r="M140" s="61">
        <f ca="1">SUMIFS(OFFSET('BPC Data'!$F:$F,0,Summary!M$2),'BPC Data'!$E:$E,Summary!$D140,'BPC Data'!$B:$B,Summary!$C140)</f>
        <v>0</v>
      </c>
      <c r="N140" s="65">
        <f ca="1">SUMIFS(OFFSET('BPC Data'!$F:$F,0,Summary!N$2),'BPC Data'!$E:$E,Summary!$D140,'BPC Data'!$B:$B,Summary!$C140)</f>
        <v>0</v>
      </c>
      <c r="O140" s="61">
        <f ca="1">SUMIFS(OFFSET('BPC Data'!$F:$F,0,Summary!O$2),'BPC Data'!$E:$E,Summary!$D140,'BPC Data'!$B:$B,Summary!$C140)</f>
        <v>0</v>
      </c>
      <c r="P140" s="65">
        <f ca="1">SUMIFS(OFFSET('BPC Data'!$F:$F,0,Summary!P$2),'BPC Data'!$E:$E,Summary!$D140,'BPC Data'!$B:$B,Summary!$C140)</f>
        <v>0</v>
      </c>
      <c r="Q140" s="61">
        <f ca="1">SUMIFS(OFFSET('BPC Data'!$F:$F,0,Summary!Q$2),'BPC Data'!$E:$E,Summary!$D140,'BPC Data'!$B:$B,Summary!$C140)</f>
        <v>0</v>
      </c>
      <c r="R140" s="65">
        <f ca="1">SUMIFS(OFFSET('BPC Data'!$F:$F,0,Summary!R$2),'BPC Data'!$E:$E,Summary!$D140,'BPC Data'!$B:$B,Summary!$C140)</f>
        <v>0</v>
      </c>
      <c r="S140" s="23">
        <f ca="1">SUM(G140:M140)</f>
        <v>0</v>
      </c>
      <c r="T140" s="76"/>
      <c r="W140" t="s">
        <v>306</v>
      </c>
      <c r="X140"/>
      <c r="Y140"/>
      <c r="Z140"/>
      <c r="AA140"/>
      <c r="AB140"/>
      <c r="AC140"/>
      <c r="AD140"/>
      <c r="AE140"/>
      <c r="AF140"/>
      <c r="AG140"/>
      <c r="AJ140" s="49"/>
      <c r="AK140" s="49"/>
      <c r="AL140" s="49"/>
      <c r="AM140" s="49"/>
      <c r="AN140" s="49"/>
      <c r="AO140" s="49"/>
      <c r="AP140" s="49"/>
      <c r="AQ140" s="49"/>
      <c r="AR140" s="49"/>
      <c r="AS140" s="49"/>
      <c r="AT140" s="49"/>
      <c r="AU140" s="49"/>
    </row>
    <row r="141" spans="1:47" s="12" customFormat="1">
      <c r="A141" s="12">
        <f>IF(AND(D141&lt;&gt;"",C141=""),A140+1,A140)</f>
        <v>13</v>
      </c>
      <c r="B141" s="5"/>
      <c r="C141" s="5"/>
      <c r="D141" s="5" t="str">
        <f t="shared" si="175"/>
        <v>x</v>
      </c>
      <c r="E141" s="5"/>
      <c r="F141" s="18" t="str">
        <f>INDEX(PropertyList!$D:$D,MATCH(Summary!$A141,PropertyList!$C:$C,0))</f>
        <v>Arbor Court Retirement Community at Topeka</v>
      </c>
      <c r="G141" s="61">
        <f ca="1">SUMIFS(OFFSET('BPC Data'!$F:$F,0,Summary!G$2),'BPC Data'!$E:$E,Summary!$D141,'BPC Data'!$B:$B,Summary!$C141)</f>
        <v>0</v>
      </c>
      <c r="H141" s="65">
        <f ca="1">SUMIFS(OFFSET('BPC Data'!$F:$F,0,Summary!H$2),'BPC Data'!$E:$E,Summary!$D141,'BPC Data'!$B:$B,Summary!$C141)</f>
        <v>0</v>
      </c>
      <c r="I141" s="61">
        <f ca="1">SUMIFS(OFFSET('BPC Data'!$F:$F,0,Summary!I$2),'BPC Data'!$E:$E,Summary!$D141,'BPC Data'!$B:$B,Summary!$C141)</f>
        <v>0</v>
      </c>
      <c r="J141" s="65">
        <f ca="1">SUMIFS(OFFSET('BPC Data'!$F:$F,0,Summary!J$2),'BPC Data'!$E:$E,Summary!$D141,'BPC Data'!$B:$B,Summary!$C141)</f>
        <v>0</v>
      </c>
      <c r="K141" s="61">
        <f ca="1">SUMIFS(OFFSET('BPC Data'!$F:$F,0,Summary!K$2),'BPC Data'!$E:$E,Summary!$D141,'BPC Data'!$B:$B,Summary!$C141)</f>
        <v>0</v>
      </c>
      <c r="L141" s="65">
        <f ca="1">SUMIFS(OFFSET('BPC Data'!$F:$F,0,Summary!L$2),'BPC Data'!$E:$E,Summary!$D141,'BPC Data'!$B:$B,Summary!$C141)</f>
        <v>0</v>
      </c>
      <c r="M141" s="61">
        <f ca="1">SUMIFS(OFFSET('BPC Data'!$F:$F,0,Summary!M$2),'BPC Data'!$E:$E,Summary!$D141,'BPC Data'!$B:$B,Summary!$C141)</f>
        <v>0</v>
      </c>
      <c r="N141" s="65">
        <f ca="1">SUMIFS(OFFSET('BPC Data'!$F:$F,0,Summary!N$2),'BPC Data'!$E:$E,Summary!$D141,'BPC Data'!$B:$B,Summary!$C141)</f>
        <v>0</v>
      </c>
      <c r="O141" s="61">
        <f ca="1">SUMIFS(OFFSET('BPC Data'!$F:$F,0,Summary!O$2),'BPC Data'!$E:$E,Summary!$D141,'BPC Data'!$B:$B,Summary!$C141)</f>
        <v>0</v>
      </c>
      <c r="P141" s="65">
        <f ca="1">SUMIFS(OFFSET('BPC Data'!$F:$F,0,Summary!P$2),'BPC Data'!$E:$E,Summary!$D141,'BPC Data'!$B:$B,Summary!$C141)</f>
        <v>0</v>
      </c>
      <c r="Q141" s="61">
        <f ca="1">SUMIFS(OFFSET('BPC Data'!$F:$F,0,Summary!Q$2),'BPC Data'!$E:$E,Summary!$D141,'BPC Data'!$B:$B,Summary!$C141)</f>
        <v>0</v>
      </c>
      <c r="R141" s="65">
        <f ca="1">SUMIFS(OFFSET('BPC Data'!$F:$F,0,Summary!R$2),'BPC Data'!$E:$E,Summary!$D141,'BPC Data'!$B:$B,Summary!$C141)</f>
        <v>0</v>
      </c>
      <c r="S141" s="23">
        <f ca="1">SUM(G141:M141)</f>
        <v>0</v>
      </c>
      <c r="T141" s="76"/>
      <c r="W141" s="5" t="str">
        <f t="shared" ref="W141:AH141" si="252">+G$8</f>
        <v>Aug 2021</v>
      </c>
      <c r="X141" s="5" t="str">
        <f t="shared" si="252"/>
        <v>Sep 2021</v>
      </c>
      <c r="Y141" s="5" t="str">
        <f t="shared" si="252"/>
        <v>Oct 2021</v>
      </c>
      <c r="Z141" s="5" t="str">
        <f t="shared" si="252"/>
        <v>Nov 2021</v>
      </c>
      <c r="AA141" s="5" t="str">
        <f t="shared" si="252"/>
        <v>Dec 2021</v>
      </c>
      <c r="AB141" s="5" t="str">
        <f t="shared" si="252"/>
        <v>Jan 2022</v>
      </c>
      <c r="AC141" s="5" t="str">
        <f t="shared" si="252"/>
        <v>Feb 2022</v>
      </c>
      <c r="AD141" s="5" t="str">
        <f t="shared" si="252"/>
        <v>Mar 2022</v>
      </c>
      <c r="AE141" s="5" t="str">
        <f t="shared" si="252"/>
        <v>Apr 2022</v>
      </c>
      <c r="AF141" s="5" t="str">
        <f t="shared" si="252"/>
        <v>May 2022</v>
      </c>
      <c r="AG141" s="5" t="str">
        <f t="shared" si="252"/>
        <v>Jun 2022</v>
      </c>
      <c r="AH141" s="5" t="str">
        <f t="shared" si="252"/>
        <v>Jul 2022</v>
      </c>
      <c r="AJ141" s="174" t="str">
        <f>W$9</f>
        <v>Aug 2021</v>
      </c>
      <c r="AK141" s="174" t="str">
        <f t="shared" ref="AK141" si="253">X$9</f>
        <v>Sep 2021</v>
      </c>
      <c r="AL141" s="174" t="str">
        <f t="shared" ref="AL141" si="254">Y$9</f>
        <v>Oct 2021</v>
      </c>
      <c r="AM141" s="174" t="str">
        <f t="shared" ref="AM141" si="255">Z$9</f>
        <v>Nov 2021</v>
      </c>
      <c r="AN141" s="174" t="str">
        <f t="shared" ref="AN141:AO141" si="256">AA$9</f>
        <v>Dec 2021</v>
      </c>
      <c r="AO141" s="174" t="str">
        <f t="shared" si="256"/>
        <v>Jan 2022</v>
      </c>
      <c r="AP141" s="174" t="str">
        <f t="shared" ref="AP141" si="257">AC$9</f>
        <v>Feb 2022</v>
      </c>
      <c r="AQ141" s="174" t="str">
        <f t="shared" ref="AQ141" si="258">AD$9</f>
        <v>Mar 2022</v>
      </c>
      <c r="AR141" s="174" t="str">
        <f t="shared" ref="AR141" si="259">AE$9</f>
        <v>Apr 2022</v>
      </c>
      <c r="AS141" s="174" t="str">
        <f t="shared" ref="AS141" si="260">AF$9</f>
        <v>May 2022</v>
      </c>
      <c r="AT141" s="174" t="str">
        <f t="shared" ref="AT141" si="261">AG$9</f>
        <v>Jun 2022</v>
      </c>
      <c r="AU141" s="174" t="str">
        <f t="shared" ref="AU141" si="262">AH$9</f>
        <v>Jul 2022</v>
      </c>
    </row>
    <row r="142" spans="1:47" s="12" customFormat="1">
      <c r="A142" s="12">
        <f>IF(AND(F142&lt;&gt;"",D142=""),A141+1,A141)</f>
        <v>13</v>
      </c>
      <c r="C142" t="str">
        <f>$F141</f>
        <v>Arbor Court Retirement Community at Topeka</v>
      </c>
      <c r="D142" s="3" t="str">
        <f t="shared" si="175"/>
        <v>PAY_PAT_DAYS - Total Payor Patient Days</v>
      </c>
      <c r="F142" s="19" t="str">
        <f>_xll.EVDES(D142)</f>
        <v>Total Payor Patient Days</v>
      </c>
      <c r="G142" s="61">
        <f ca="1">SUMIFS(OFFSET('BPC Data'!$F:$F,0,Summary!G$2),'BPC Data'!$E:$E,Summary!$D142,'BPC Data'!$B:$B,Summary!$C142)</f>
        <v>1499</v>
      </c>
      <c r="H142" s="65">
        <f ca="1">SUMIFS(OFFSET('BPC Data'!$F:$F,0,Summary!H$2),'BPC Data'!$E:$E,Summary!$D142,'BPC Data'!$B:$B,Summary!$C142)</f>
        <v>1380</v>
      </c>
      <c r="I142" s="61">
        <f ca="1">SUMIFS(OFFSET('BPC Data'!$F:$F,0,Summary!I$2),'BPC Data'!$E:$E,Summary!$D142,'BPC Data'!$B:$B,Summary!$C142)</f>
        <v>1519</v>
      </c>
      <c r="J142" s="65">
        <f ca="1">SUMIFS(OFFSET('BPC Data'!$F:$F,0,Summary!J$2),'BPC Data'!$E:$E,Summary!$D142,'BPC Data'!$B:$B,Summary!$C142)</f>
        <v>1530</v>
      </c>
      <c r="K142" s="61">
        <f ca="1">SUMIFS(OFFSET('BPC Data'!$F:$F,0,Summary!K$2),'BPC Data'!$E:$E,Summary!$D142,'BPC Data'!$B:$B,Summary!$C142)</f>
        <v>1612</v>
      </c>
      <c r="L142" s="65">
        <f ca="1">SUMIFS(OFFSET('BPC Data'!$F:$F,0,Summary!L$2),'BPC Data'!$E:$E,Summary!$D142,'BPC Data'!$B:$B,Summary!$C142)</f>
        <v>1659</v>
      </c>
      <c r="M142" s="61">
        <f ca="1">SUMIFS(OFFSET('BPC Data'!$F:$F,0,Summary!M$2),'BPC Data'!$E:$E,Summary!$D142,'BPC Data'!$B:$B,Summary!$C142)</f>
        <v>1458</v>
      </c>
      <c r="N142" s="65">
        <f ca="1">SUMIFS(OFFSET('BPC Data'!$F:$F,0,Summary!N$2),'BPC Data'!$E:$E,Summary!$D142,'BPC Data'!$B:$B,Summary!$C142)</f>
        <v>1674</v>
      </c>
      <c r="O142" s="61">
        <f ca="1">SUMIFS(OFFSET('BPC Data'!$F:$F,0,Summary!O$2),'BPC Data'!$E:$E,Summary!$D142,'BPC Data'!$B:$B,Summary!$C142)</f>
        <v>1590</v>
      </c>
      <c r="P142" s="65">
        <f ca="1">SUMIFS(OFFSET('BPC Data'!$F:$F,0,Summary!P$2),'BPC Data'!$E:$E,Summary!$D142,'BPC Data'!$B:$B,Summary!$C142)</f>
        <v>1674</v>
      </c>
      <c r="Q142" s="61">
        <f ca="1">SUMIFS(OFFSET('BPC Data'!$F:$F,0,Summary!Q$2),'BPC Data'!$E:$E,Summary!$D142,'BPC Data'!$B:$B,Summary!$C142)</f>
        <v>1650</v>
      </c>
      <c r="R142" s="65">
        <f ca="1">SUMIFS(OFFSET('BPC Data'!$F:$F,0,Summary!R$2),'BPC Data'!$E:$E,Summary!$D142,'BPC Data'!$B:$B,Summary!$C142)</f>
        <v>1705</v>
      </c>
      <c r="S142" s="23">
        <f ca="1">SUM(G142:R142)</f>
        <v>18950</v>
      </c>
      <c r="T142" s="74">
        <f ca="1">SUM(W142:AH142)</f>
        <v>18950</v>
      </c>
      <c r="U142" s="54">
        <f ca="1">T142-S142</f>
        <v>0</v>
      </c>
      <c r="W142" s="4">
        <f ca="1">SUMIFS(INDIRECT("'"&amp;$W$140&amp;"'"&amp;"!$B$1:$B$5000"),INDIRECT("'"&amp;$W$140&amp;"'"&amp;"!$A$1:$A$5000"),$W$2)</f>
        <v>1499</v>
      </c>
      <c r="X142" s="4">
        <f ca="1">SUMIFS(INDIRECT("'"&amp;$W$140&amp;"'"&amp;"!$c$1:$c$5000"),INDIRECT("'"&amp;$W$140&amp;"'"&amp;"!$A$1:$A$5000"),$W$2)</f>
        <v>1380</v>
      </c>
      <c r="Y142" s="4">
        <f ca="1">SUMIFS(INDIRECT("'"&amp;$W$140&amp;"'"&amp;"!$d$1:$d$5000"),INDIRECT("'"&amp;$W$140&amp;"'"&amp;"!$A$1:$A$5000"),$W$2)</f>
        <v>1519</v>
      </c>
      <c r="Z142" s="4">
        <f ca="1">SUMIFS(INDIRECT("'"&amp;$W$140&amp;"'"&amp;"!$e$1:$e$5000"),INDIRECT("'"&amp;$W$140&amp;"'"&amp;"!$A$1:$A$5000"),$W$2)</f>
        <v>1530</v>
      </c>
      <c r="AA142" s="4">
        <f ca="1">SUMIFS(INDIRECT("'"&amp;$W$140&amp;"'"&amp;"!$f$1:$f$5000"),INDIRECT("'"&amp;$W$140&amp;"'"&amp;"!$A$1:$A$5000"),$W$2)</f>
        <v>1612</v>
      </c>
      <c r="AB142" s="4">
        <f ca="1">SUMIFS(INDIRECT("'"&amp;$W$140&amp;"'"&amp;"!$g$1:$g$5000"),INDIRECT("'"&amp;$W$140&amp;"'"&amp;"!$A$1:$A$5000"),$W$2)</f>
        <v>1659</v>
      </c>
      <c r="AC142" s="4">
        <f ca="1">SUMIFS(INDIRECT("'"&amp;$W$140&amp;"'"&amp;"!$h$1:$h$5000"),INDIRECT("'"&amp;$W$140&amp;"'"&amp;"!$A$1:$A$5000"),$W$2)</f>
        <v>1458</v>
      </c>
      <c r="AD142" s="4">
        <f ca="1">SUMIFS(INDIRECT("'"&amp;$W$140&amp;"'"&amp;"!$i$1:$i$5000"),INDIRECT("'"&amp;$W$140&amp;"'"&amp;"!$A$1:$A$5000"),$W$2)</f>
        <v>1674</v>
      </c>
      <c r="AE142" s="4">
        <f ca="1">SUMIFS(INDIRECT("'"&amp;$W$140&amp;"'"&amp;"!$j$1:$j$5000"),INDIRECT("'"&amp;$W$140&amp;"'"&amp;"!$A$1:$A$5000"),$W$2)</f>
        <v>1590</v>
      </c>
      <c r="AF142" s="4">
        <f ca="1">SUMIFS(INDIRECT("'"&amp;$W$140&amp;"'"&amp;"!$k$1:$k$5000"),INDIRECT("'"&amp;$W$140&amp;"'"&amp;"!$A$1:$A$5000"),$W$2)</f>
        <v>1674</v>
      </c>
      <c r="AG142" s="4">
        <f ca="1">SUMIFS(INDIRECT("'"&amp;$W$140&amp;"'"&amp;"!$l$1:$l$5000"),INDIRECT("'"&amp;$W$140&amp;"'"&amp;"!$A$1:$A$5000"),$W$2)</f>
        <v>1650</v>
      </c>
      <c r="AH142" s="4">
        <f ca="1">SUMIFS(INDIRECT("'"&amp;$W$140&amp;"'"&amp;"!$m$1:$m$5000"),INDIRECT("'"&amp;$W$140&amp;"'"&amp;"!$A$1:$A$5000"),$W$2)</f>
        <v>1705</v>
      </c>
      <c r="AJ142" s="14">
        <f t="shared" ref="AJ142:AU142" ca="1" si="263">W142-G142</f>
        <v>0</v>
      </c>
      <c r="AK142" s="14">
        <f t="shared" ca="1" si="263"/>
        <v>0</v>
      </c>
      <c r="AL142" s="14">
        <f t="shared" ca="1" si="263"/>
        <v>0</v>
      </c>
      <c r="AM142" s="14">
        <f t="shared" ca="1" si="263"/>
        <v>0</v>
      </c>
      <c r="AN142" s="14">
        <f t="shared" ca="1" si="263"/>
        <v>0</v>
      </c>
      <c r="AO142" s="14">
        <f t="shared" ca="1" si="263"/>
        <v>0</v>
      </c>
      <c r="AP142" s="14">
        <f t="shared" ca="1" si="263"/>
        <v>0</v>
      </c>
      <c r="AQ142" s="14">
        <f t="shared" ca="1" si="263"/>
        <v>0</v>
      </c>
      <c r="AR142" s="14">
        <f t="shared" ca="1" si="263"/>
        <v>0</v>
      </c>
      <c r="AS142" s="14">
        <f t="shared" ca="1" si="263"/>
        <v>0</v>
      </c>
      <c r="AT142" s="14">
        <f t="shared" ca="1" si="263"/>
        <v>0</v>
      </c>
      <c r="AU142" s="14">
        <f t="shared" ca="1" si="263"/>
        <v>0</v>
      </c>
    </row>
    <row r="143" spans="1:47" s="12" customFormat="1">
      <c r="A143" s="12">
        <f t="shared" ref="A143:A151" si="264">IF(AND(F143&lt;&gt;"",D143=""),A142+1,A142)</f>
        <v>13</v>
      </c>
      <c r="C143" t="str">
        <f>$F141</f>
        <v>Arbor Court Retirement Community at Topeka</v>
      </c>
      <c r="D143" s="3" t="str">
        <f t="shared" si="175"/>
        <v>A_BEDS_TOTAL - Total Available Beds</v>
      </c>
      <c r="F143" s="19" t="str">
        <f>_xll.EVDES(D143)</f>
        <v>Total Available Beds</v>
      </c>
      <c r="G143" s="61">
        <f ca="1">SUMIFS(OFFSET('BPC Data'!$F:$F,0,Summary!G$2),'BPC Data'!$E:$E,Summary!$D143,'BPC Data'!$B:$B,Summary!$C143)</f>
        <v>61</v>
      </c>
      <c r="H143" s="65">
        <f ca="1">SUMIFS(OFFSET('BPC Data'!$F:$F,0,Summary!H$2),'BPC Data'!$E:$E,Summary!$D143,'BPC Data'!$B:$B,Summary!$C143)</f>
        <v>61</v>
      </c>
      <c r="I143" s="61">
        <f ca="1">SUMIFS(OFFSET('BPC Data'!$F:$F,0,Summary!I$2),'BPC Data'!$E:$E,Summary!$D143,'BPC Data'!$B:$B,Summary!$C143)</f>
        <v>61</v>
      </c>
      <c r="J143" s="65">
        <f ca="1">SUMIFS(OFFSET('BPC Data'!$F:$F,0,Summary!J$2),'BPC Data'!$E:$E,Summary!$D143,'BPC Data'!$B:$B,Summary!$C143)</f>
        <v>61</v>
      </c>
      <c r="K143" s="61">
        <f ca="1">SUMIFS(OFFSET('BPC Data'!$F:$F,0,Summary!K$2),'BPC Data'!$E:$E,Summary!$D143,'BPC Data'!$B:$B,Summary!$C143)</f>
        <v>61</v>
      </c>
      <c r="L143" s="65">
        <f ca="1">SUMIFS(OFFSET('BPC Data'!$F:$F,0,Summary!L$2),'BPC Data'!$E:$E,Summary!$D143,'BPC Data'!$B:$B,Summary!$C143)</f>
        <v>61</v>
      </c>
      <c r="M143" s="61">
        <f ca="1">SUMIFS(OFFSET('BPC Data'!$F:$F,0,Summary!M$2),'BPC Data'!$E:$E,Summary!$D143,'BPC Data'!$B:$B,Summary!$C143)</f>
        <v>61</v>
      </c>
      <c r="N143" s="65">
        <f ca="1">SUMIFS(OFFSET('BPC Data'!$F:$F,0,Summary!N$2),'BPC Data'!$E:$E,Summary!$D143,'BPC Data'!$B:$B,Summary!$C143)</f>
        <v>61</v>
      </c>
      <c r="O143" s="61">
        <f ca="1">SUMIFS(OFFSET('BPC Data'!$F:$F,0,Summary!O$2),'BPC Data'!$E:$E,Summary!$D143,'BPC Data'!$B:$B,Summary!$C143)</f>
        <v>61</v>
      </c>
      <c r="P143" s="65">
        <f ca="1">SUMIFS(OFFSET('BPC Data'!$F:$F,0,Summary!P$2),'BPC Data'!$E:$E,Summary!$D143,'BPC Data'!$B:$B,Summary!$C143)</f>
        <v>61</v>
      </c>
      <c r="Q143" s="61">
        <f ca="1">SUMIFS(OFFSET('BPC Data'!$F:$F,0,Summary!Q$2),'BPC Data'!$E:$E,Summary!$D143,'BPC Data'!$B:$B,Summary!$C143)</f>
        <v>61</v>
      </c>
      <c r="R143" s="65">
        <f ca="1">SUMIFS(OFFSET('BPC Data'!$F:$F,0,Summary!R$2),'BPC Data'!$E:$E,Summary!$D143,'BPC Data'!$B:$B,Summary!$C143)</f>
        <v>61</v>
      </c>
      <c r="S143" s="23">
        <f ca="1">+R143</f>
        <v>61</v>
      </c>
      <c r="T143" s="74"/>
      <c r="U143" s="54"/>
      <c r="AJ143" s="49"/>
      <c r="AK143" s="49"/>
      <c r="AL143" s="49"/>
      <c r="AM143" s="49"/>
      <c r="AN143" s="49"/>
      <c r="AO143" s="49"/>
      <c r="AP143" s="49"/>
      <c r="AQ143" s="49"/>
      <c r="AR143" s="49"/>
      <c r="AS143" s="49"/>
      <c r="AT143" s="49"/>
      <c r="AU143" s="49"/>
    </row>
    <row r="144" spans="1:47" s="12" customFormat="1">
      <c r="A144" s="12">
        <f t="shared" si="264"/>
        <v>13</v>
      </c>
      <c r="B144"/>
      <c r="C144" t="str">
        <f>$F141</f>
        <v>Arbor Court Retirement Community at Topeka</v>
      </c>
      <c r="D144" s="3" t="str">
        <f t="shared" si="175"/>
        <v>T_REVENUES - Total Tenant Revenues</v>
      </c>
      <c r="E144"/>
      <c r="F144" s="19" t="str">
        <f>_xll.EVDES(D144)</f>
        <v>Total Tenant Revenues</v>
      </c>
      <c r="G144" s="61">
        <f ca="1">SUMIFS(OFFSET('BPC Data'!$F:$F,0,Summary!G$2),'BPC Data'!$E:$E,Summary!$D144,'BPC Data'!$B:$B,Summary!$C144)</f>
        <v>88213</v>
      </c>
      <c r="H144" s="65">
        <f ca="1">SUMIFS(OFFSET('BPC Data'!$F:$F,0,Summary!H$2),'BPC Data'!$E:$E,Summary!$D144,'BPC Data'!$B:$B,Summary!$C144)</f>
        <v>88714</v>
      </c>
      <c r="I144" s="61">
        <f ca="1">SUMIFS(OFFSET('BPC Data'!$F:$F,0,Summary!I$2),'BPC Data'!$E:$E,Summary!$D144,'BPC Data'!$B:$B,Summary!$C144)</f>
        <v>95079</v>
      </c>
      <c r="J144" s="65">
        <f ca="1">SUMIFS(OFFSET('BPC Data'!$F:$F,0,Summary!J$2),'BPC Data'!$E:$E,Summary!$D144,'BPC Data'!$B:$B,Summary!$C144)</f>
        <v>97331</v>
      </c>
      <c r="K144" s="61">
        <f ca="1">SUMIFS(OFFSET('BPC Data'!$F:$F,0,Summary!K$2),'BPC Data'!$E:$E,Summary!$D144,'BPC Data'!$B:$B,Summary!$C144)</f>
        <v>100785</v>
      </c>
      <c r="L144" s="65">
        <f ca="1">SUMIFS(OFFSET('BPC Data'!$F:$F,0,Summary!L$2),'BPC Data'!$E:$E,Summary!$D144,'BPC Data'!$B:$B,Summary!$C144)</f>
        <v>102711</v>
      </c>
      <c r="M144" s="61">
        <f ca="1">SUMIFS(OFFSET('BPC Data'!$F:$F,0,Summary!M$2),'BPC Data'!$E:$E,Summary!$D144,'BPC Data'!$B:$B,Summary!$C144)</f>
        <v>100100</v>
      </c>
      <c r="N144" s="65">
        <f ca="1">SUMIFS(OFFSET('BPC Data'!$F:$F,0,Summary!N$2),'BPC Data'!$E:$E,Summary!$D144,'BPC Data'!$B:$B,Summary!$C144)</f>
        <v>105905</v>
      </c>
      <c r="O144" s="61">
        <f ca="1">SUMIFS(OFFSET('BPC Data'!$F:$F,0,Summary!O$2),'BPC Data'!$E:$E,Summary!$D144,'BPC Data'!$B:$B,Summary!$C144)</f>
        <v>102295</v>
      </c>
      <c r="P144" s="65">
        <f ca="1">SUMIFS(OFFSET('BPC Data'!$F:$F,0,Summary!P$2),'BPC Data'!$E:$E,Summary!$D144,'BPC Data'!$B:$B,Summary!$C144)</f>
        <v>104395</v>
      </c>
      <c r="Q144" s="61">
        <f ca="1">SUMIFS(OFFSET('BPC Data'!$F:$F,0,Summary!Q$2),'BPC Data'!$E:$E,Summary!$D144,'BPC Data'!$B:$B,Summary!$C144)</f>
        <v>106595</v>
      </c>
      <c r="R144" s="65">
        <f ca="1">SUMIFS(OFFSET('BPC Data'!$F:$F,0,Summary!R$2),'BPC Data'!$E:$E,Summary!$D144,'BPC Data'!$B:$B,Summary!$C144)</f>
        <v>104526</v>
      </c>
      <c r="S144" s="23">
        <f t="shared" ref="S144:S150" ca="1" si="265">SUM(G144:R144)</f>
        <v>1196649</v>
      </c>
      <c r="T144" s="74">
        <f ca="1">SUM(W144:AH144)</f>
        <v>1196646.71</v>
      </c>
      <c r="U144" s="54">
        <f ca="1">T144-S144</f>
        <v>-2.2900000000372529</v>
      </c>
      <c r="W144" s="4">
        <f ca="1">SUMIFS(INDIRECT("'"&amp;$W$140&amp;"'"&amp;"!$B$64:$B$5000"),INDIRECT("'"&amp;$W$140&amp;"'"&amp;"!$A$64:$A$5000"),$V$1)-SUMIFS(INDIRECT("'"&amp;$W$140&amp;"'"&amp;"!$B$64:$B$5000"),INDIRECT("'"&amp;$W$140&amp;"'"&amp;"!$A$64:$A$5000"),$V$2)-SUMIFS(INDIRECT("'"&amp;$W$140&amp;"'"&amp;"!$B$64:$B$5000"),INDIRECT("'"&amp;$W$140&amp;"'"&amp;"!$A$64:$A$5000"),$V$3)-SUMIFS(INDIRECT("'"&amp;$W$140&amp;"'"&amp;"!$B$64:$B$5000"),INDIRECT("'"&amp;$W$140&amp;"'"&amp;"!$A$64:$A$5000"),$X$4)-SUMIFS(INDIRECT("'"&amp;$W$140&amp;"'"&amp;"!$B$64:$B$5000"),INDIRECT("'"&amp;$W$140&amp;"'"&amp;"!$A$64:$A$5000"),$X$3)</f>
        <v>88213.230000000083</v>
      </c>
      <c r="X144" s="4">
        <f ca="1">SUMIFS(INDIRECT("'"&amp;$W$140&amp;"'"&amp;"!$c$64:$c$5000"),INDIRECT("'"&amp;$W$140&amp;"'"&amp;"!$A$64:$A$5000"),$V$1)-SUMIFS(INDIRECT("'"&amp;$W$140&amp;"'"&amp;"!$c$64:$c$5000"),INDIRECT("'"&amp;$W$140&amp;"'"&amp;"!$A$64:$A$5000"),$V$2)-SUMIFS(INDIRECT("'"&amp;$W$140&amp;"'"&amp;"!$c$64:$c$5000"),INDIRECT("'"&amp;$W$140&amp;"'"&amp;"!$A$64:$A$5000"),$V$3)-SUMIFS(INDIRECT("'"&amp;$W$140&amp;"'"&amp;"!$c$64:$c$5000"),INDIRECT("'"&amp;$W$140&amp;"'"&amp;"!$A$64:$A$5000"),$X$4)-SUMIFS(INDIRECT("'"&amp;$W$140&amp;"'"&amp;"!$c$64:$c$5000"),INDIRECT("'"&amp;$W$140&amp;"'"&amp;"!$A$64:$A$5000"),$X$3)</f>
        <v>88714.19999999991</v>
      </c>
      <c r="Y144" s="4">
        <f ca="1">SUMIFS(INDIRECT("'"&amp;$W$140&amp;"'"&amp;"!$d$64:$d$5000"),INDIRECT("'"&amp;$W$140&amp;"'"&amp;"!$A$64:$A$5000"),$V$1)-SUMIFS(INDIRECT("'"&amp;$W$140&amp;"'"&amp;"!$d$64:$d$5000"),INDIRECT("'"&amp;$W$140&amp;"'"&amp;"!$A$64:$A$5000"),$V$2)-SUMIFS(INDIRECT("'"&amp;$W$140&amp;"'"&amp;"!$d$64:$d$5000"),INDIRECT("'"&amp;$W$140&amp;"'"&amp;"!$A$64:$A$5000"),$V$3)-SUMIFS(INDIRECT("'"&amp;$W$140&amp;"'"&amp;"!$d$64:$d$5000"),INDIRECT("'"&amp;$W$140&amp;"'"&amp;"!$A$64:$A$5000"),$X$4)-SUMIFS(INDIRECT("'"&amp;$W$140&amp;"'"&amp;"!$d$64:$d$5000"),INDIRECT("'"&amp;$W$140&amp;"'"&amp;"!$A$64:$A$5000"),$X$3)</f>
        <v>95078.540000000095</v>
      </c>
      <c r="Z144" s="4">
        <f ca="1">SUMIFS(INDIRECT("'"&amp;$W$140&amp;"'"&amp;"!$e$64:$e$5000"),INDIRECT("'"&amp;$W$140&amp;"'"&amp;"!$A$64:$A$5000"),$V$1)-SUMIFS(INDIRECT("'"&amp;$W$140&amp;"'"&amp;"!$e$64:$e$5000"),INDIRECT("'"&amp;$W$140&amp;"'"&amp;"!$A$64:$A$5000"),$V$2)-SUMIFS(INDIRECT("'"&amp;$W$140&amp;"'"&amp;"!$e$64:$e$5000"),INDIRECT("'"&amp;$W$140&amp;"'"&amp;"!$A$64:$A$5000"),$V$3)-SUMIFS(INDIRECT("'"&amp;$W$140&amp;"'"&amp;"!$e$64:$e$5000"),INDIRECT("'"&amp;$W$140&amp;"'"&amp;"!$A$64:$A$5000"),$X$4)-SUMIFS(INDIRECT("'"&amp;$W$140&amp;"'"&amp;"!$e$64:$e$5000"),INDIRECT("'"&amp;$W$140&amp;"'"&amp;"!$A$64:$A$5000"),$X$3)</f>
        <v>97330</v>
      </c>
      <c r="AA144" s="4">
        <f ca="1">SUMIFS(INDIRECT("'"&amp;$W$140&amp;"'"&amp;"!$f$64:$f$5000"),INDIRECT("'"&amp;$W$140&amp;"'"&amp;"!$A$64:$A$5000"),$V$1)-SUMIFS(INDIRECT("'"&amp;$W$140&amp;"'"&amp;"!$f$64:$f$5000"),INDIRECT("'"&amp;$W$140&amp;"'"&amp;"!$A$64:$A$5000"),$V$2)-SUMIFS(INDIRECT("'"&amp;$W$140&amp;"'"&amp;"!$f$64:$f$5000"),INDIRECT("'"&amp;$W$140&amp;"'"&amp;"!$A$64:$A$5000"),$V$3)-SUMIFS(INDIRECT("'"&amp;$W$140&amp;"'"&amp;"!$f$64:$f$5000"),INDIRECT("'"&amp;$W$140&amp;"'"&amp;"!$A$64:$A$5000"),$X$4)-SUMIFS(INDIRECT("'"&amp;$W$140&amp;"'"&amp;"!$f$64:$f$5000"),INDIRECT("'"&amp;$W$140&amp;"'"&amp;"!$A$64:$A$5000"),$X$3)</f>
        <v>100785</v>
      </c>
      <c r="AB144" s="4">
        <f ca="1">SUMIFS(INDIRECT("'"&amp;$W$140&amp;"'"&amp;"!$g$64:$g$5000"),INDIRECT("'"&amp;$W$140&amp;"'"&amp;"!$A$64:$A$5000"),$V$1)-SUMIFS(INDIRECT("'"&amp;$W$140&amp;"'"&amp;"!$g$64:$g$5000"),INDIRECT("'"&amp;$W$140&amp;"'"&amp;"!$A$64:$A$5000"),$V$2)-SUMIFS(INDIRECT("'"&amp;$W$140&amp;"'"&amp;"!$g$64:$g$5000"),INDIRECT("'"&amp;$W$140&amp;"'"&amp;"!$A$64:$A$5000"),$V$3)-SUMIFS(INDIRECT("'"&amp;$W$140&amp;"'"&amp;"!$g$64:$g$5000"),INDIRECT("'"&amp;$W$140&amp;"'"&amp;"!$A$64:$A$5000"),$X$4)-SUMIFS(INDIRECT("'"&amp;$W$140&amp;"'"&amp;"!$g$64:$g$5000"),INDIRECT("'"&amp;$W$140&amp;"'"&amp;"!$A$64:$A$5000"),$X$3)</f>
        <v>102710.54000000002</v>
      </c>
      <c r="AC144" s="4">
        <f ca="1">SUMIFS(INDIRECT("'"&amp;$W$140&amp;"'"&amp;"!$h$64:$h$5000"),INDIRECT("'"&amp;$W$140&amp;"'"&amp;"!$A$64:$A$5000"),$V$1)-SUMIFS(INDIRECT("'"&amp;$W$140&amp;"'"&amp;"!$h$64:$h$5000"),INDIRECT("'"&amp;$W$140&amp;"'"&amp;"!$A$64:$A$5000"),$V$2)-SUMIFS(INDIRECT("'"&amp;$W$140&amp;"'"&amp;"!$h$64:$h$5000"),INDIRECT("'"&amp;$W$140&amp;"'"&amp;"!$A$64:$A$5000"),$V$3)-SUMIFS(INDIRECT("'"&amp;$W$140&amp;"'"&amp;"!$h$64:$h$5000"),INDIRECT("'"&amp;$W$140&amp;"'"&amp;"!$A$64:$A$5000"),$X$4)-SUMIFS(INDIRECT("'"&amp;$W$140&amp;"'"&amp;"!$h$64:$h$5000"),INDIRECT("'"&amp;$W$140&amp;"'"&amp;"!$A$64:$A$5000"),$X$3)</f>
        <v>100099.69999999998</v>
      </c>
      <c r="AD144" s="4">
        <f ca="1">SUMIFS(INDIRECT("'"&amp;$W$140&amp;"'"&amp;"!$i$64:$i$5000"),INDIRECT("'"&amp;$W$140&amp;"'"&amp;"!$A$64:$A$5000"),$V$1)-SUMIFS(INDIRECT("'"&amp;$W$140&amp;"'"&amp;"!$i$64:$i$5000"),INDIRECT("'"&amp;$W$140&amp;"'"&amp;"!$A$64:$A$5000"),$V$2)-SUMIFS(INDIRECT("'"&amp;$W$140&amp;"'"&amp;"!$i$64:$i$5000"),INDIRECT("'"&amp;$W$140&amp;"'"&amp;"!$A$64:$A$5000"),$V$3)-SUMIFS(INDIRECT("'"&amp;$W$140&amp;"'"&amp;"!$i$64:$i$5000"),INDIRECT("'"&amp;$W$140&amp;"'"&amp;"!$A$64:$A$5000"),$X$4)-SUMIFS(INDIRECT("'"&amp;$W$140&amp;"'"&amp;"!$i$64:$i$5000"),INDIRECT("'"&amp;$W$140&amp;"'"&amp;"!$A$64:$A$5000"),$X$3)</f>
        <v>105905</v>
      </c>
      <c r="AE144" s="4">
        <f ca="1">SUMIFS(INDIRECT("'"&amp;$W$140&amp;"'"&amp;"!$j$64:$j$5000"),INDIRECT("'"&amp;$W$140&amp;"'"&amp;"!$A$64:$A$5000"),$V$1)-SUMIFS(INDIRECT("'"&amp;$W$140&amp;"'"&amp;"!$j$64:$j$5000"),INDIRECT("'"&amp;$W$140&amp;"'"&amp;"!$A$64:$A$5000"),$V$2)-SUMIFS(INDIRECT("'"&amp;$W$140&amp;"'"&amp;"!$j$64:$j$5000"),INDIRECT("'"&amp;$W$140&amp;"'"&amp;"!$A$64:$A$5000"),$V$3)-SUMIFS(INDIRECT("'"&amp;$W$140&amp;"'"&amp;"!$j$64:$j$5000"),INDIRECT("'"&amp;$W$140&amp;"'"&amp;"!$A$64:$A$5000"),$X$4)-SUMIFS(INDIRECT("'"&amp;$W$140&amp;"'"&amp;"!$j$64:$j$5000"),INDIRECT("'"&amp;$W$140&amp;"'"&amp;"!$A$64:$A$5000"),$X$3)</f>
        <v>102295</v>
      </c>
      <c r="AF144" s="4">
        <f ca="1">SUMIFS(INDIRECT("'"&amp;$W$140&amp;"'"&amp;"!$k$64:$k$5000"),INDIRECT("'"&amp;$W$140&amp;"'"&amp;"!$A$64:$A$5000"),$V$1)-SUMIFS(INDIRECT("'"&amp;$W$140&amp;"'"&amp;"!$k$64:$k$5000"),INDIRECT("'"&amp;$W$140&amp;"'"&amp;"!$A$64:$A$5000"),$V$2)-SUMIFS(INDIRECT("'"&amp;$W$140&amp;"'"&amp;"!$k$64:$k$5000"),INDIRECT("'"&amp;$W$140&amp;"'"&amp;"!$A$64:$A$5000"),$V$3)-SUMIFS(INDIRECT("'"&amp;$W$140&amp;"'"&amp;"!$k$64:$k$5000"),INDIRECT("'"&amp;$W$140&amp;"'"&amp;"!$A$64:$A$5000"),$X$4)-SUMIFS(INDIRECT("'"&amp;$W$140&amp;"'"&amp;"!$k$64:$k$5000"),INDIRECT("'"&amp;$W$140&amp;"'"&amp;"!$A$64:$A$5000"),$X$3)</f>
        <v>104394.99999999997</v>
      </c>
      <c r="AG144" s="4">
        <f ca="1">SUMIFS(INDIRECT("'"&amp;$W$140&amp;"'"&amp;"!$l$64:$l$5000"),INDIRECT("'"&amp;$W$140&amp;"'"&amp;"!$A$64:$A$5000"),$V$1)-SUMIFS(INDIRECT("'"&amp;$W$140&amp;"'"&amp;"!$l$64:$l$5000"),INDIRECT("'"&amp;$W$140&amp;"'"&amp;"!$A$64:$A$5000"),$V$2)-SUMIFS(INDIRECT("'"&amp;$W$140&amp;"'"&amp;"!$l$64:$l$5000"),INDIRECT("'"&amp;$W$140&amp;"'"&amp;"!$A$64:$A$5000"),$V$3)-SUMIFS(INDIRECT("'"&amp;$W$140&amp;"'"&amp;"!$l$64:$l$5000"),INDIRECT("'"&amp;$W$140&amp;"'"&amp;"!$A$64:$A$5000"),$X$4)-SUMIFS(INDIRECT("'"&amp;$W$140&amp;"'"&amp;"!$l$64:$l$5000"),INDIRECT("'"&amp;$W$140&amp;"'"&amp;"!$A$64:$A$5000"),$X$3)</f>
        <v>106594.89999999994</v>
      </c>
      <c r="AH144" s="4">
        <f ca="1">SUMIFS(INDIRECT("'"&amp;$W$140&amp;"'"&amp;"!$m$64:$m$5000"),INDIRECT("'"&amp;$W$140&amp;"'"&amp;"!$A$64:$A$5000"),$V$1)-SUMIFS(INDIRECT("'"&amp;$W$140&amp;"'"&amp;"!$m$64:$m$5000"),INDIRECT("'"&amp;$W$140&amp;"'"&amp;"!$A$64:$A$5000"),$V$2)-SUMIFS(INDIRECT("'"&amp;$W$140&amp;"'"&amp;"!$m$64:$m$5000"),INDIRECT("'"&amp;$W$140&amp;"'"&amp;"!$A$64:$A$5000"),$V$3)-SUMIFS(INDIRECT("'"&amp;$W$140&amp;"'"&amp;"!$m$64:$m$5000"),INDIRECT("'"&amp;$W$140&amp;"'"&amp;"!$A$64:$A$5000"),$X$4)</f>
        <v>104525.59999999998</v>
      </c>
      <c r="AJ144" s="14">
        <f t="shared" ref="AJ144:AU145" ca="1" si="266">W144-G144</f>
        <v>0.23000000008323696</v>
      </c>
      <c r="AK144" s="14">
        <f t="shared" ca="1" si="266"/>
        <v>0.19999999990977813</v>
      </c>
      <c r="AL144" s="14">
        <f t="shared" ca="1" si="266"/>
        <v>-0.45999999990453944</v>
      </c>
      <c r="AM144" s="14">
        <f t="shared" ca="1" si="266"/>
        <v>-1</v>
      </c>
      <c r="AN144" s="14">
        <f t="shared" ca="1" si="266"/>
        <v>0</v>
      </c>
      <c r="AO144" s="14">
        <f t="shared" ca="1" si="266"/>
        <v>-0.45999999997729901</v>
      </c>
      <c r="AP144" s="14">
        <f t="shared" ca="1" si="266"/>
        <v>-0.3000000000174623</v>
      </c>
      <c r="AQ144" s="14">
        <f t="shared" ca="1" si="266"/>
        <v>0</v>
      </c>
      <c r="AR144" s="14">
        <f t="shared" ca="1" si="266"/>
        <v>0</v>
      </c>
      <c r="AS144" s="14">
        <f t="shared" ca="1" si="266"/>
        <v>0</v>
      </c>
      <c r="AT144" s="14">
        <f t="shared" ca="1" si="266"/>
        <v>-0.10000000006402843</v>
      </c>
      <c r="AU144" s="14">
        <f t="shared" ca="1" si="266"/>
        <v>-0.40000000002328306</v>
      </c>
    </row>
    <row r="145" spans="1:47" s="12" customFormat="1">
      <c r="A145" s="12">
        <f t="shared" si="264"/>
        <v>13</v>
      </c>
      <c r="B145"/>
      <c r="C145" t="str">
        <f>$F141</f>
        <v>Arbor Court Retirement Community at Topeka</v>
      </c>
      <c r="D145" s="3" t="str">
        <f t="shared" si="175"/>
        <v>T_OPEX - Tenant Operating Expenses</v>
      </c>
      <c r="E145"/>
      <c r="F145" s="19" t="str">
        <f>_xll.EVDES(D145)</f>
        <v>Tenant Operating Expenses</v>
      </c>
      <c r="G145" s="61">
        <f ca="1">SUMIFS(OFFSET('BPC Data'!$F:$F,0,Summary!G$2),'BPC Data'!$E:$E,Summary!$D145,'BPC Data'!$B:$B,Summary!$C145)</f>
        <v>63070</v>
      </c>
      <c r="H145" s="65">
        <f ca="1">SUMIFS(OFFSET('BPC Data'!$F:$F,0,Summary!H$2),'BPC Data'!$E:$E,Summary!$D145,'BPC Data'!$B:$B,Summary!$C145)</f>
        <v>59652</v>
      </c>
      <c r="I145" s="61">
        <f ca="1">SUMIFS(OFFSET('BPC Data'!$F:$F,0,Summary!I$2),'BPC Data'!$E:$E,Summary!$D145,'BPC Data'!$B:$B,Summary!$C145)</f>
        <v>58817</v>
      </c>
      <c r="J145" s="65">
        <f ca="1">SUMIFS(OFFSET('BPC Data'!$F:$F,0,Summary!J$2),'BPC Data'!$E:$E,Summary!$D145,'BPC Data'!$B:$B,Summary!$C145)</f>
        <v>57959</v>
      </c>
      <c r="K145" s="61">
        <f ca="1">SUMIFS(OFFSET('BPC Data'!$F:$F,0,Summary!K$2),'BPC Data'!$E:$E,Summary!$D145,'BPC Data'!$B:$B,Summary!$C145)</f>
        <v>64889</v>
      </c>
      <c r="L145" s="65">
        <f ca="1">SUMIFS(OFFSET('BPC Data'!$F:$F,0,Summary!L$2),'BPC Data'!$E:$E,Summary!$D145,'BPC Data'!$B:$B,Summary!$C145)</f>
        <v>60674</v>
      </c>
      <c r="M145" s="61">
        <f ca="1">SUMIFS(OFFSET('BPC Data'!$F:$F,0,Summary!M$2),'BPC Data'!$E:$E,Summary!$D145,'BPC Data'!$B:$B,Summary!$C145)</f>
        <v>55149</v>
      </c>
      <c r="N145" s="65">
        <f ca="1">SUMIFS(OFFSET('BPC Data'!$F:$F,0,Summary!N$2),'BPC Data'!$E:$E,Summary!$D145,'BPC Data'!$B:$B,Summary!$C145)</f>
        <v>56583</v>
      </c>
      <c r="O145" s="61">
        <f ca="1">SUMIFS(OFFSET('BPC Data'!$F:$F,0,Summary!O$2),'BPC Data'!$E:$E,Summary!$D145,'BPC Data'!$B:$B,Summary!$C145)</f>
        <v>68035</v>
      </c>
      <c r="P145" s="65">
        <f ca="1">SUMIFS(OFFSET('BPC Data'!$F:$F,0,Summary!P$2),'BPC Data'!$E:$E,Summary!$D145,'BPC Data'!$B:$B,Summary!$C145)</f>
        <v>65341</v>
      </c>
      <c r="Q145" s="61">
        <f ca="1">SUMIFS(OFFSET('BPC Data'!$F:$F,0,Summary!Q$2),'BPC Data'!$E:$E,Summary!$D145,'BPC Data'!$B:$B,Summary!$C145)</f>
        <v>69422</v>
      </c>
      <c r="R145" s="65">
        <f ca="1">SUMIFS(OFFSET('BPC Data'!$F:$F,0,Summary!R$2),'BPC Data'!$E:$E,Summary!$D145,'BPC Data'!$B:$B,Summary!$C145)</f>
        <v>72057</v>
      </c>
      <c r="S145" s="23">
        <f t="shared" ca="1" si="265"/>
        <v>751648</v>
      </c>
      <c r="T145" s="74">
        <f ca="1">SUM(W145:AH145)</f>
        <v>751649.59000000008</v>
      </c>
      <c r="U145" s="54">
        <f ca="1">T145-S145</f>
        <v>1.590000000083819</v>
      </c>
      <c r="W145" s="4">
        <f ca="1">SUMIFS(INDIRECT("'"&amp;$W$140&amp;"'"&amp;"!$B$64:$B$5000"),INDIRECT("'"&amp;$W$140&amp;"'"&amp;"!$A$64:$A$5000"),$V$4)-SUMIFS(INDIRECT("'"&amp;$W$140&amp;"'"&amp;"!$B$64:$B$5000"),INDIRECT("'"&amp;$W$140&amp;"'"&amp;"!$A$64:$A$5000"),$V$5)-SUMIFS(INDIRECT("'"&amp;$W$140&amp;"'"&amp;"!$B$64:$B$5000"),INDIRECT("'"&amp;$W$140&amp;"'"&amp;"!$A$64:$A$5000"),$V$6)-SUMIFS(INDIRECT("'"&amp;$W$140&amp;"'"&amp;"!$B$64:$B$5000"),INDIRECT("'"&amp;$W$140&amp;"'"&amp;"!$A$64:$A$5000"),$W$6)-SUMIFS(INDIRECT("'"&amp;$W$140&amp;"'"&amp;"!$B$64:$B$5000"),INDIRECT("'"&amp;$W$140&amp;"'"&amp;"!$A$64:$A$5000"),$W$7)-SUMIFS(INDIRECT("'"&amp;$W$140&amp;"'"&amp;"!$B$64:$B$5000"),INDIRECT("'"&amp;$W$140&amp;"'"&amp;"!$A$64:$A$5000"),$X$3)-W150-W148</f>
        <v>63071.490000000005</v>
      </c>
      <c r="X145" s="4">
        <f ca="1">SUMIFS(INDIRECT("'"&amp;$W$140&amp;"'"&amp;"!$c$64:$c$5000"),INDIRECT("'"&amp;$W$140&amp;"'"&amp;"!$A$64:$A$5000"),$V$4)-SUMIFS(INDIRECT("'"&amp;$W$140&amp;"'"&amp;"!$c$64:$c$5000"),INDIRECT("'"&amp;$W$140&amp;"'"&amp;"!$A$64:$A$5000"),$V$5)-SUMIFS(INDIRECT("'"&amp;$W$140&amp;"'"&amp;"!$c$64:$c$5000"),INDIRECT("'"&amp;$W$140&amp;"'"&amp;"!$A$64:$A$5000"),$V$6)-SUMIFS(INDIRECT("'"&amp;$W$140&amp;"'"&amp;"!$c$64:$c$5000"),INDIRECT("'"&amp;$W$140&amp;"'"&amp;"!$A$64:$A$5000"),$W$6)-SUMIFS(INDIRECT("'"&amp;$W$140&amp;"'"&amp;"!$c$64:$c$5000"),INDIRECT("'"&amp;$W$140&amp;"'"&amp;"!$A$64:$A$5000"),$W$7)-SUMIFS(INDIRECT("'"&amp;$W$140&amp;"'"&amp;"!$c$64:$c$5000"),INDIRECT("'"&amp;$W$140&amp;"'"&amp;"!$A$64:$A$5000"),$X$3)-X150-X148</f>
        <v>59652.010000000038</v>
      </c>
      <c r="Y145" s="4">
        <f ca="1">SUMIFS(INDIRECT("'"&amp;$W$140&amp;"'"&amp;"!$d$64:$d$5000"),INDIRECT("'"&amp;$W$140&amp;"'"&amp;"!$A$64:$A$5000"),$V$4)-SUMIFS(INDIRECT("'"&amp;$W$140&amp;"'"&amp;"!$d$64:$d$5000"),INDIRECT("'"&amp;$W$140&amp;"'"&amp;"!$A$64:$A$5000"),$V$5)-SUMIFS(INDIRECT("'"&amp;$W$140&amp;"'"&amp;"!$d$64:$d$5000"),INDIRECT("'"&amp;$W$140&amp;"'"&amp;"!$A$64:$A$5000"),$V$6)-SUMIFS(INDIRECT("'"&amp;$W$140&amp;"'"&amp;"!$d$64:$d$5000"),INDIRECT("'"&amp;$W$140&amp;"'"&amp;"!$A$64:$A$5000"),$W$6)-SUMIFS(INDIRECT("'"&amp;$W$140&amp;"'"&amp;"!$d$64:$d$5000"),INDIRECT("'"&amp;$W$140&amp;"'"&amp;"!$A$64:$A$5000"),$W$7)-SUMIFS(INDIRECT("'"&amp;$W$140&amp;"'"&amp;"!$d$64:$d$5000"),INDIRECT("'"&amp;$W$140&amp;"'"&amp;"!$A$64:$A$5000"),$X$3)-Y150-Y148</f>
        <v>58816.459999999963</v>
      </c>
      <c r="Z145" s="4">
        <f ca="1">SUMIFS(INDIRECT("'"&amp;$W$140&amp;"'"&amp;"!$e$64:$e$5000"),INDIRECT("'"&amp;$W$140&amp;"'"&amp;"!$A$64:$A$5000"),$V$4)-SUMIFS(INDIRECT("'"&amp;$W$140&amp;"'"&amp;"!$e$64:$e$5000"),INDIRECT("'"&amp;$W$140&amp;"'"&amp;"!$A$64:$A$5000"),$V$5)-SUMIFS(INDIRECT("'"&amp;$W$140&amp;"'"&amp;"!$e$64:$e$5000"),INDIRECT("'"&amp;$W$140&amp;"'"&amp;"!$A$64:$A$5000"),$V$6)-SUMIFS(INDIRECT("'"&amp;$W$140&amp;"'"&amp;"!$e$64:$e$5000"),INDIRECT("'"&amp;$W$140&amp;"'"&amp;"!$A$64:$A$5000"),$W$6)-SUMIFS(INDIRECT("'"&amp;$W$140&amp;"'"&amp;"!$e$64:$e$5000"),INDIRECT("'"&amp;$W$140&amp;"'"&amp;"!$A$64:$A$5000"),$W$7)-SUMIFS(INDIRECT("'"&amp;$W$140&amp;"'"&amp;"!$e$64:$e$5000"),INDIRECT("'"&amp;$W$140&amp;"'"&amp;"!$A$64:$A$5000"),$X$3)-Z150-Z148</f>
        <v>57958.73000000004</v>
      </c>
      <c r="AA145" s="4">
        <f ca="1">SUMIFS(INDIRECT("'"&amp;$W$140&amp;"'"&amp;"!$f$64:$f$5000"),INDIRECT("'"&amp;$W$140&amp;"'"&amp;"!$A$64:$A$5000"),$V$4)-SUMIFS(INDIRECT("'"&amp;$W$140&amp;"'"&amp;"!$f$64:$f$5000"),INDIRECT("'"&amp;$W$140&amp;"'"&amp;"!$A$64:$A$5000"),$V$5)-SUMIFS(INDIRECT("'"&amp;$W$140&amp;"'"&amp;"!$f$64:$f$5000"),INDIRECT("'"&amp;$W$140&amp;"'"&amp;"!$A$64:$A$5000"),$V$6)-SUMIFS(INDIRECT("'"&amp;$W$140&amp;"'"&amp;"!$f$64:$f$5000"),INDIRECT("'"&amp;$W$140&amp;"'"&amp;"!$A$64:$A$5000"),$W$6)-SUMIFS(INDIRECT("'"&amp;$W$140&amp;"'"&amp;"!$f$64:$f$5000"),INDIRECT("'"&amp;$W$140&amp;"'"&amp;"!$A$64:$A$5000"),$W$7)-SUMIFS(INDIRECT("'"&amp;$W$140&amp;"'"&amp;"!$f$64:$f$5000"),INDIRECT("'"&amp;$W$140&amp;"'"&amp;"!$A$64:$A$5000"),$X$3)-AA150-AA148</f>
        <v>64889.989999999991</v>
      </c>
      <c r="AB145" s="4">
        <f ca="1">SUMIFS(INDIRECT("'"&amp;$W$140&amp;"'"&amp;"!$g$64:$g$5000"),INDIRECT("'"&amp;$W$140&amp;"'"&amp;"!$A$64:$A$5000"),$V$4)-SUMIFS(INDIRECT("'"&amp;$W$140&amp;"'"&amp;"!$g$64:$g$5000"),INDIRECT("'"&amp;$W$140&amp;"'"&amp;"!$A$64:$A$5000"),$V$5)-SUMIFS(INDIRECT("'"&amp;$W$140&amp;"'"&amp;"!$g$64:$g$5000"),INDIRECT("'"&amp;$W$140&amp;"'"&amp;"!$A$64:$A$5000"),$V$6)-SUMIFS(INDIRECT("'"&amp;$W$140&amp;"'"&amp;"!$g$64:$g$5000"),INDIRECT("'"&amp;$W$140&amp;"'"&amp;"!$A$64:$A$5000"),$W$6)-SUMIFS(INDIRECT("'"&amp;$W$140&amp;"'"&amp;"!$g$64:$g$5000"),INDIRECT("'"&amp;$W$140&amp;"'"&amp;"!$A$64:$A$5000"),$W$7)-SUMIFS(INDIRECT("'"&amp;$W$140&amp;"'"&amp;"!$g$64:$g$5000"),INDIRECT("'"&amp;$W$140&amp;"'"&amp;"!$A$64:$A$5000"),$X$3)-AB150-AB148</f>
        <v>60674.460000000021</v>
      </c>
      <c r="AC145" s="4">
        <f ca="1">SUMIFS(INDIRECT("'"&amp;$W$140&amp;"'"&amp;"!$h$64:$h$5000"),INDIRECT("'"&amp;$W$140&amp;"'"&amp;"!$A$64:$A$5000"),$V$4)-SUMIFS(INDIRECT("'"&amp;$W$140&amp;"'"&amp;"!$h$64:$h$5000"),INDIRECT("'"&amp;$W$140&amp;"'"&amp;"!$A$64:$A$5000"),$V$5)-SUMIFS(INDIRECT("'"&amp;$W$140&amp;"'"&amp;"!$h$64:$h$5000"),INDIRECT("'"&amp;$W$140&amp;"'"&amp;"!$A$64:$A$5000"),$V$6)-SUMIFS(INDIRECT("'"&amp;$W$140&amp;"'"&amp;"!$h$64:$h$5000"),INDIRECT("'"&amp;$W$140&amp;"'"&amp;"!$A$64:$A$5000"),$W$6)-SUMIFS(INDIRECT("'"&amp;$W$140&amp;"'"&amp;"!$h$64:$h$5000"),INDIRECT("'"&amp;$W$140&amp;"'"&amp;"!$A$64:$A$5000"),$W$7)-SUMIFS(INDIRECT("'"&amp;$W$140&amp;"'"&amp;"!$h$64:$h$5000"),INDIRECT("'"&amp;$W$140&amp;"'"&amp;"!$A$64:$A$5000"),$X$3)-AC150-AC148</f>
        <v>55147.729999999967</v>
      </c>
      <c r="AD145" s="4">
        <f ca="1">SUMIFS(INDIRECT("'"&amp;$W$140&amp;"'"&amp;"!$i$64:$i$5000"),INDIRECT("'"&amp;$W$140&amp;"'"&amp;"!$A$64:$A$5000"),$V$4)-SUMIFS(INDIRECT("'"&amp;$W$140&amp;"'"&amp;"!$i$64:$i$5000"),INDIRECT("'"&amp;$W$140&amp;"'"&amp;"!$A$64:$A$5000"),$V$5)-SUMIFS(INDIRECT("'"&amp;$W$140&amp;"'"&amp;"!$i$64:$i$5000"),INDIRECT("'"&amp;$W$140&amp;"'"&amp;"!$A$64:$A$5000"),$V$6)-SUMIFS(INDIRECT("'"&amp;$W$140&amp;"'"&amp;"!$i$64:$i$5000"),INDIRECT("'"&amp;$W$140&amp;"'"&amp;"!$A$64:$A$5000"),$W$6)-SUMIFS(INDIRECT("'"&amp;$W$140&amp;"'"&amp;"!$i$64:$i$5000"),INDIRECT("'"&amp;$W$140&amp;"'"&amp;"!$A$64:$A$5000"),$W$7)-SUMIFS(INDIRECT("'"&amp;$W$140&amp;"'"&amp;"!$i$64:$i$5000"),INDIRECT("'"&amp;$W$140&amp;"'"&amp;"!$A$64:$A$5000"),$X$3)-AD150-AD148</f>
        <v>56583.830000000031</v>
      </c>
      <c r="AE145" s="4">
        <f ca="1">SUMIFS(INDIRECT("'"&amp;$W$140&amp;"'"&amp;"!$j$64:$j$5000"),INDIRECT("'"&amp;$W$140&amp;"'"&amp;"!$A$64:$A$5000"),$V$4)-SUMIFS(INDIRECT("'"&amp;$W$140&amp;"'"&amp;"!$j$64:$j$5000"),INDIRECT("'"&amp;$W$140&amp;"'"&amp;"!$A$64:$A$5000"),$V$5)-SUMIFS(INDIRECT("'"&amp;$W$140&amp;"'"&amp;"!$j$64:$j$5000"),INDIRECT("'"&amp;$W$140&amp;"'"&amp;"!$A$64:$A$5000"),$V$6)-SUMIFS(INDIRECT("'"&amp;$W$140&amp;"'"&amp;"!$j$64:$j$5000"),INDIRECT("'"&amp;$W$140&amp;"'"&amp;"!$A$64:$A$5000"),$W$6)-SUMIFS(INDIRECT("'"&amp;$W$140&amp;"'"&amp;"!$j$64:$j$5000"),INDIRECT("'"&amp;$W$140&amp;"'"&amp;"!$A$64:$A$5000"),$W$7)-SUMIFS(INDIRECT("'"&amp;$W$140&amp;"'"&amp;"!$j$64:$j$5000"),INDIRECT("'"&amp;$W$140&amp;"'"&amp;"!$A$64:$A$5000"),$X$3)-AE150-AE148</f>
        <v>68036.05</v>
      </c>
      <c r="AF145" s="4">
        <f ca="1">SUMIFS(INDIRECT("'"&amp;$W$140&amp;"'"&amp;"!$k$64:$k$5000"),INDIRECT("'"&amp;$W$140&amp;"'"&amp;"!$A$64:$A$5000"),$V$4)-SUMIFS(INDIRECT("'"&amp;$W$140&amp;"'"&amp;"!$k$64:$k$5000"),INDIRECT("'"&amp;$W$140&amp;"'"&amp;"!$A$64:$A$5000"),$V$5)-SUMIFS(INDIRECT("'"&amp;$W$140&amp;"'"&amp;"!$k$64:$k$5000"),INDIRECT("'"&amp;$W$140&amp;"'"&amp;"!$A$64:$A$5000"),$V$6)-SUMIFS(INDIRECT("'"&amp;$W$140&amp;"'"&amp;"!$k$64:$k$5000"),INDIRECT("'"&amp;$W$140&amp;"'"&amp;"!$A$64:$A$5000"),$W$6)-SUMIFS(INDIRECT("'"&amp;$W$140&amp;"'"&amp;"!$k$64:$k$5000"),INDIRECT("'"&amp;$W$140&amp;"'"&amp;"!$A$64:$A$5000"),$W$7)-SUMIFS(INDIRECT("'"&amp;$W$140&amp;"'"&amp;"!$k$64:$k$5000"),INDIRECT("'"&amp;$W$140&amp;"'"&amp;"!$A$64:$A$5000"),$X$3)-AF150-AF148</f>
        <v>65341.279999999955</v>
      </c>
      <c r="AG145" s="4">
        <f ca="1">SUMIFS(INDIRECT("'"&amp;$W$140&amp;"'"&amp;"!$l$64:$l$5000"),INDIRECT("'"&amp;$W$140&amp;"'"&amp;"!$A$64:$A$5000"),$V$4)-SUMIFS(INDIRECT("'"&amp;$W$140&amp;"'"&amp;"!$l$64:$l$5000"),INDIRECT("'"&amp;$W$140&amp;"'"&amp;"!$A$64:$A$5000"),$V$5)-SUMIFS(INDIRECT("'"&amp;$W$140&amp;"'"&amp;"!$l$64:$l$5000"),INDIRECT("'"&amp;$W$140&amp;"'"&amp;"!$A$64:$A$5000"),$V$6)-SUMIFS(INDIRECT("'"&amp;$W$140&amp;"'"&amp;"!$l$64:$l$5000"),INDIRECT("'"&amp;$W$140&amp;"'"&amp;"!$A$64:$A$5000"),$W$6)-SUMIFS(INDIRECT("'"&amp;$W$140&amp;"'"&amp;"!$l$64:$l$5000"),INDIRECT("'"&amp;$W$140&amp;"'"&amp;"!$A$64:$A$5000"),$W$7)-SUMIFS(INDIRECT("'"&amp;$W$140&amp;"'"&amp;"!$l$64:$l$5000"),INDIRECT("'"&amp;$W$140&amp;"'"&amp;"!$A$64:$A$5000"),$X$3)-AG150-AG148</f>
        <v>69421.800000000017</v>
      </c>
      <c r="AH145" s="4">
        <f ca="1">SUMIFS(INDIRECT("'"&amp;$W$140&amp;"'"&amp;"!$m$64:$m$5000"),INDIRECT("'"&amp;$W$140&amp;"'"&amp;"!$A$64:$A$5000"),$V$4)-SUMIFS(INDIRECT("'"&amp;$W$140&amp;"'"&amp;"!$m$64:$m$5000"),INDIRECT("'"&amp;$W$140&amp;"'"&amp;"!$A$64:$A$5000"),$V$5)-SUMIFS(INDIRECT("'"&amp;$W$140&amp;"'"&amp;"!$m$64:$m$5000"),INDIRECT("'"&amp;$W$140&amp;"'"&amp;"!$A$64:$A$5000"),$V$6)-SUMIFS(INDIRECT("'"&amp;$W$140&amp;"'"&amp;"!$m$64:$m$5000"),INDIRECT("'"&amp;$W$140&amp;"'"&amp;"!$A$64:$A$5000"),$W$6)-SUMIFS(INDIRECT("'"&amp;$W$140&amp;"'"&amp;"!$m$64:$m$5000"),INDIRECT("'"&amp;$W$140&amp;"'"&amp;"!$A$64:$A$5000"),$W$7)-AH150-AH148</f>
        <v>72055.759999999995</v>
      </c>
      <c r="AJ145" s="14">
        <f t="shared" ca="1" si="266"/>
        <v>1.4900000000052387</v>
      </c>
      <c r="AK145" s="14">
        <f t="shared" ca="1" si="266"/>
        <v>1.0000000038417056E-2</v>
      </c>
      <c r="AL145" s="14">
        <f t="shared" ca="1" si="266"/>
        <v>-0.5400000000372529</v>
      </c>
      <c r="AM145" s="14">
        <f t="shared" ca="1" si="266"/>
        <v>-0.26999999996041879</v>
      </c>
      <c r="AN145" s="14">
        <f t="shared" ca="1" si="266"/>
        <v>0.98999999999068677</v>
      </c>
      <c r="AO145" s="14">
        <f t="shared" ca="1" si="266"/>
        <v>0.46000000002095476</v>
      </c>
      <c r="AP145" s="14">
        <f t="shared" ca="1" si="266"/>
        <v>-1.2700000000331784</v>
      </c>
      <c r="AQ145" s="14">
        <f t="shared" ca="1" si="266"/>
        <v>0.83000000003085006</v>
      </c>
      <c r="AR145" s="14">
        <f t="shared" ca="1" si="266"/>
        <v>1.0500000000029104</v>
      </c>
      <c r="AS145" s="14">
        <f t="shared" ca="1" si="266"/>
        <v>0.2799999999551801</v>
      </c>
      <c r="AT145" s="14">
        <f t="shared" ca="1" si="266"/>
        <v>-0.1999999999825377</v>
      </c>
      <c r="AU145" s="14">
        <f t="shared" ca="1" si="266"/>
        <v>-1.2400000000052387</v>
      </c>
    </row>
    <row r="146" spans="1:47" s="12" customFormat="1">
      <c r="A146" s="12">
        <f t="shared" si="264"/>
        <v>13</v>
      </c>
      <c r="B146"/>
      <c r="C146" t="str">
        <f>$F141</f>
        <v>Arbor Court Retirement Community at Topeka</v>
      </c>
      <c r="D146" s="3" t="str">
        <f t="shared" si="175"/>
        <v>T_BAD_DEBT - Tenant Bad Debt Expense</v>
      </c>
      <c r="E146"/>
      <c r="F146" s="19" t="str">
        <f>_xll.EVDES(D146)</f>
        <v>Tenant Bad Debt Expense</v>
      </c>
      <c r="G146" s="61">
        <f ca="1">SUMIFS(OFFSET('BPC Data'!$F:$F,0,Summary!G$2),'BPC Data'!$E:$E,Summary!$D146,'BPC Data'!$B:$B,Summary!$C146)</f>
        <v>0</v>
      </c>
      <c r="H146" s="65">
        <f ca="1">SUMIFS(OFFSET('BPC Data'!$F:$F,0,Summary!H$2),'BPC Data'!$E:$E,Summary!$D146,'BPC Data'!$B:$B,Summary!$C146)</f>
        <v>0</v>
      </c>
      <c r="I146" s="61">
        <f ca="1">SUMIFS(OFFSET('BPC Data'!$F:$F,0,Summary!I$2),'BPC Data'!$E:$E,Summary!$D146,'BPC Data'!$B:$B,Summary!$C146)</f>
        <v>0</v>
      </c>
      <c r="J146" s="65">
        <f ca="1">SUMIFS(OFFSET('BPC Data'!$F:$F,0,Summary!J$2),'BPC Data'!$E:$E,Summary!$D146,'BPC Data'!$B:$B,Summary!$C146)</f>
        <v>0</v>
      </c>
      <c r="K146" s="61">
        <f ca="1">SUMIFS(OFFSET('BPC Data'!$F:$F,0,Summary!K$2),'BPC Data'!$E:$E,Summary!$D146,'BPC Data'!$B:$B,Summary!$C146)</f>
        <v>0</v>
      </c>
      <c r="L146" s="65">
        <f ca="1">SUMIFS(OFFSET('BPC Data'!$F:$F,0,Summary!L$2),'BPC Data'!$E:$E,Summary!$D146,'BPC Data'!$B:$B,Summary!$C146)</f>
        <v>0</v>
      </c>
      <c r="M146" s="61">
        <f ca="1">SUMIFS(OFFSET('BPC Data'!$F:$F,0,Summary!M$2),'BPC Data'!$E:$E,Summary!$D146,'BPC Data'!$B:$B,Summary!$C146)</f>
        <v>0</v>
      </c>
      <c r="N146" s="65">
        <f ca="1">SUMIFS(OFFSET('BPC Data'!$F:$F,0,Summary!N$2),'BPC Data'!$E:$E,Summary!$D146,'BPC Data'!$B:$B,Summary!$C146)</f>
        <v>0</v>
      </c>
      <c r="O146" s="61">
        <f ca="1">SUMIFS(OFFSET('BPC Data'!$F:$F,0,Summary!O$2),'BPC Data'!$E:$E,Summary!$D146,'BPC Data'!$B:$B,Summary!$C146)</f>
        <v>0</v>
      </c>
      <c r="P146" s="65">
        <f ca="1">SUMIFS(OFFSET('BPC Data'!$F:$F,0,Summary!P$2),'BPC Data'!$E:$E,Summary!$D146,'BPC Data'!$B:$B,Summary!$C146)</f>
        <v>0</v>
      </c>
      <c r="Q146" s="61">
        <f ca="1">SUMIFS(OFFSET('BPC Data'!$F:$F,0,Summary!Q$2),'BPC Data'!$E:$E,Summary!$D146,'BPC Data'!$B:$B,Summary!$C146)</f>
        <v>0</v>
      </c>
      <c r="R146" s="65">
        <f ca="1">SUMIFS(OFFSET('BPC Data'!$F:$F,0,Summary!R$2),'BPC Data'!$E:$E,Summary!$D146,'BPC Data'!$B:$B,Summary!$C146)</f>
        <v>0</v>
      </c>
      <c r="S146" s="23">
        <f t="shared" ca="1" si="265"/>
        <v>0</v>
      </c>
      <c r="T146" s="75"/>
      <c r="U146" s="4"/>
      <c r="W146"/>
      <c r="X146"/>
      <c r="Y146"/>
      <c r="Z146"/>
      <c r="AA146"/>
      <c r="AB146"/>
      <c r="AC146"/>
      <c r="AD146"/>
      <c r="AE146"/>
      <c r="AF146"/>
      <c r="AG146"/>
      <c r="AH146"/>
      <c r="AJ146" s="14"/>
      <c r="AK146" s="49"/>
      <c r="AL146" s="49"/>
      <c r="AM146" s="49"/>
      <c r="AN146" s="49"/>
      <c r="AO146" s="49"/>
      <c r="AP146" s="49"/>
      <c r="AQ146" s="49"/>
      <c r="AR146" s="49"/>
      <c r="AS146" s="49"/>
      <c r="AT146" s="49"/>
      <c r="AU146" s="49"/>
    </row>
    <row r="147" spans="1:47" s="12" customFormat="1">
      <c r="A147" s="12">
        <f t="shared" si="264"/>
        <v>13</v>
      </c>
      <c r="B147"/>
      <c r="C147" t="str">
        <f>$F141</f>
        <v>Arbor Court Retirement Community at Topeka</v>
      </c>
      <c r="D147" s="2" t="str">
        <f t="shared" si="175"/>
        <v>T_EBITDARM - EBITDARM</v>
      </c>
      <c r="E147"/>
      <c r="F147" s="19" t="str">
        <f>_xll.EVDES(D147)</f>
        <v>EBITDARM</v>
      </c>
      <c r="G147" s="61">
        <f ca="1">SUMIFS(OFFSET('BPC Data'!$F:$F,0,Summary!G$2),'BPC Data'!$E:$E,Summary!$D147,'BPC Data'!$B:$B,Summary!$C147)</f>
        <v>25143</v>
      </c>
      <c r="H147" s="65">
        <f ca="1">SUMIFS(OFFSET('BPC Data'!$F:$F,0,Summary!H$2),'BPC Data'!$E:$E,Summary!$D147,'BPC Data'!$B:$B,Summary!$C147)</f>
        <v>29062</v>
      </c>
      <c r="I147" s="61">
        <f ca="1">SUMIFS(OFFSET('BPC Data'!$F:$F,0,Summary!I$2),'BPC Data'!$E:$E,Summary!$D147,'BPC Data'!$B:$B,Summary!$C147)</f>
        <v>36262</v>
      </c>
      <c r="J147" s="65">
        <f ca="1">SUMIFS(OFFSET('BPC Data'!$F:$F,0,Summary!J$2),'BPC Data'!$E:$E,Summary!$D147,'BPC Data'!$B:$B,Summary!$C147)</f>
        <v>39372</v>
      </c>
      <c r="K147" s="61">
        <f ca="1">SUMIFS(OFFSET('BPC Data'!$F:$F,0,Summary!K$2),'BPC Data'!$E:$E,Summary!$D147,'BPC Data'!$B:$B,Summary!$C147)</f>
        <v>35896</v>
      </c>
      <c r="L147" s="65">
        <f ca="1">SUMIFS(OFFSET('BPC Data'!$F:$F,0,Summary!L$2),'BPC Data'!$E:$E,Summary!$D147,'BPC Data'!$B:$B,Summary!$C147)</f>
        <v>42037</v>
      </c>
      <c r="M147" s="61">
        <f ca="1">SUMIFS(OFFSET('BPC Data'!$F:$F,0,Summary!M$2),'BPC Data'!$E:$E,Summary!$D147,'BPC Data'!$B:$B,Summary!$C147)</f>
        <v>44951</v>
      </c>
      <c r="N147" s="65">
        <f ca="1">SUMIFS(OFFSET('BPC Data'!$F:$F,0,Summary!N$2),'BPC Data'!$E:$E,Summary!$D147,'BPC Data'!$B:$B,Summary!$C147)</f>
        <v>49322</v>
      </c>
      <c r="O147" s="61">
        <f ca="1">SUMIFS(OFFSET('BPC Data'!$F:$F,0,Summary!O$2),'BPC Data'!$E:$E,Summary!$D147,'BPC Data'!$B:$B,Summary!$C147)</f>
        <v>34260</v>
      </c>
      <c r="P147" s="65">
        <f ca="1">SUMIFS(OFFSET('BPC Data'!$F:$F,0,Summary!P$2),'BPC Data'!$E:$E,Summary!$D147,'BPC Data'!$B:$B,Summary!$C147)</f>
        <v>39054</v>
      </c>
      <c r="Q147" s="61">
        <f ca="1">SUMIFS(OFFSET('BPC Data'!$F:$F,0,Summary!Q$2),'BPC Data'!$E:$E,Summary!$D147,'BPC Data'!$B:$B,Summary!$C147)</f>
        <v>37173</v>
      </c>
      <c r="R147" s="65">
        <f ca="1">SUMIFS(OFFSET('BPC Data'!$F:$F,0,Summary!R$2),'BPC Data'!$E:$E,Summary!$D147,'BPC Data'!$B:$B,Summary!$C147)</f>
        <v>32469</v>
      </c>
      <c r="S147" s="23">
        <f t="shared" ca="1" si="265"/>
        <v>445001</v>
      </c>
      <c r="T147" s="74">
        <f ca="1">SUM(W147:AH147)</f>
        <v>444997.12</v>
      </c>
      <c r="U147" s="54">
        <f ca="1">T147-S147</f>
        <v>-3.8800000000046566</v>
      </c>
      <c r="W147" s="50">
        <f t="shared" ref="W147:AB147" ca="1" si="267">W144-W145</f>
        <v>25141.740000000078</v>
      </c>
      <c r="X147" s="50">
        <f t="shared" ca="1" si="267"/>
        <v>29062.189999999871</v>
      </c>
      <c r="Y147" s="50">
        <f t="shared" ca="1" si="267"/>
        <v>36262.080000000133</v>
      </c>
      <c r="Z147" s="50">
        <f t="shared" ca="1" si="267"/>
        <v>39371.26999999996</v>
      </c>
      <c r="AA147" s="50">
        <f t="shared" ca="1" si="267"/>
        <v>35895.010000000009</v>
      </c>
      <c r="AB147" s="50">
        <f t="shared" ca="1" si="267"/>
        <v>42036.08</v>
      </c>
      <c r="AC147" s="50">
        <f t="shared" ref="AC147:AH147" ca="1" si="268">AC144-AC145</f>
        <v>44951.970000000016</v>
      </c>
      <c r="AD147" s="50">
        <f t="shared" ca="1" si="268"/>
        <v>49321.169999999969</v>
      </c>
      <c r="AE147" s="50">
        <f t="shared" ca="1" si="268"/>
        <v>34258.949999999997</v>
      </c>
      <c r="AF147" s="50">
        <f t="shared" ca="1" si="268"/>
        <v>39053.720000000016</v>
      </c>
      <c r="AG147" s="50">
        <f t="shared" ca="1" si="268"/>
        <v>37173.099999999919</v>
      </c>
      <c r="AH147" s="50">
        <f t="shared" ca="1" si="268"/>
        <v>32469.839999999982</v>
      </c>
      <c r="AJ147" s="14">
        <f t="shared" ref="AJ147:AU150" ca="1" si="269">W147-G147</f>
        <v>-1.2599999999220017</v>
      </c>
      <c r="AK147" s="14">
        <f t="shared" ca="1" si="269"/>
        <v>0.18999999987136107</v>
      </c>
      <c r="AL147" s="14">
        <f t="shared" ca="1" si="269"/>
        <v>8.0000000132713467E-2</v>
      </c>
      <c r="AM147" s="14">
        <f t="shared" ca="1" si="269"/>
        <v>-0.73000000003958121</v>
      </c>
      <c r="AN147" s="14">
        <f t="shared" ca="1" si="269"/>
        <v>-0.98999999999068677</v>
      </c>
      <c r="AO147" s="14">
        <f t="shared" ca="1" si="269"/>
        <v>-0.91999999999825377</v>
      </c>
      <c r="AP147" s="14">
        <f t="shared" ca="1" si="269"/>
        <v>0.97000000001571607</v>
      </c>
      <c r="AQ147" s="14">
        <f t="shared" ca="1" si="269"/>
        <v>-0.83000000003085006</v>
      </c>
      <c r="AR147" s="14">
        <f t="shared" ca="1" si="269"/>
        <v>-1.0500000000029104</v>
      </c>
      <c r="AS147" s="14">
        <f t="shared" ca="1" si="269"/>
        <v>-0.27999999998428393</v>
      </c>
      <c r="AT147" s="14">
        <f t="shared" ca="1" si="269"/>
        <v>9.9999999918509275E-2</v>
      </c>
      <c r="AU147" s="14">
        <f t="shared" ca="1" si="269"/>
        <v>0.83999999998195563</v>
      </c>
    </row>
    <row r="148" spans="1:47" s="12" customFormat="1">
      <c r="A148" s="12">
        <f t="shared" si="264"/>
        <v>13</v>
      </c>
      <c r="B148"/>
      <c r="C148" t="str">
        <f>$F141</f>
        <v>Arbor Court Retirement Community at Topeka</v>
      </c>
      <c r="D148" s="2" t="str">
        <f t="shared" si="175"/>
        <v>T_MGMT_FEE - Tenant Management Fee - Actual</v>
      </c>
      <c r="E148"/>
      <c r="F148" s="19" t="str">
        <f>_xll.EVDES(D148)</f>
        <v>Tenant Management Fee - Actual</v>
      </c>
      <c r="G148" s="61">
        <f ca="1">SUMIFS(OFFSET('BPC Data'!$F:$F,0,Summary!G$2),'BPC Data'!$E:$E,Summary!$D148,'BPC Data'!$B:$B,Summary!$C148)</f>
        <v>4431</v>
      </c>
      <c r="H148" s="65">
        <f ca="1">SUMIFS(OFFSET('BPC Data'!$F:$F,0,Summary!H$2),'BPC Data'!$E:$E,Summary!$D148,'BPC Data'!$B:$B,Summary!$C148)</f>
        <v>4617</v>
      </c>
      <c r="I148" s="61">
        <f ca="1">SUMIFS(OFFSET('BPC Data'!$F:$F,0,Summary!I$2),'BPC Data'!$E:$E,Summary!$D148,'BPC Data'!$B:$B,Summary!$C148)</f>
        <v>4970</v>
      </c>
      <c r="J148" s="65">
        <f ca="1">SUMIFS(OFFSET('BPC Data'!$F:$F,0,Summary!J$2),'BPC Data'!$E:$E,Summary!$D148,'BPC Data'!$B:$B,Summary!$C148)</f>
        <v>4963</v>
      </c>
      <c r="K148" s="61">
        <f ca="1">SUMIFS(OFFSET('BPC Data'!$F:$F,0,Summary!K$2),'BPC Data'!$E:$E,Summary!$D148,'BPC Data'!$B:$B,Summary!$C148)</f>
        <v>5129</v>
      </c>
      <c r="L148" s="65">
        <f ca="1">SUMIFS(OFFSET('BPC Data'!$F:$F,0,Summary!L$2),'BPC Data'!$E:$E,Summary!$D148,'BPC Data'!$B:$B,Summary!$C148)</f>
        <v>5227</v>
      </c>
      <c r="M148" s="61">
        <f ca="1">SUMIFS(OFFSET('BPC Data'!$F:$F,0,Summary!M$2),'BPC Data'!$E:$E,Summary!$D148,'BPC Data'!$B:$B,Summary!$C148)</f>
        <v>5513</v>
      </c>
      <c r="N148" s="65">
        <f ca="1">SUMIFS(OFFSET('BPC Data'!$F:$F,0,Summary!N$2),'BPC Data'!$E:$E,Summary!$D148,'BPC Data'!$B:$B,Summary!$C148)</f>
        <v>5503</v>
      </c>
      <c r="O148" s="61">
        <f ca="1">SUMIFS(OFFSET('BPC Data'!$F:$F,0,Summary!O$2),'BPC Data'!$E:$E,Summary!$D148,'BPC Data'!$B:$B,Summary!$C148)</f>
        <v>5313</v>
      </c>
      <c r="P148" s="65">
        <f ca="1">SUMIFS(OFFSET('BPC Data'!$F:$F,0,Summary!P$2),'BPC Data'!$E:$E,Summary!$D148,'BPC Data'!$B:$B,Summary!$C148)</f>
        <v>5265</v>
      </c>
      <c r="Q148" s="61">
        <f ca="1">SUMIFS(OFFSET('BPC Data'!$F:$F,0,Summary!Q$2),'BPC Data'!$E:$E,Summary!$D148,'BPC Data'!$B:$B,Summary!$C148)</f>
        <v>5521</v>
      </c>
      <c r="R148" s="65">
        <f ca="1">SUMIFS(OFFSET('BPC Data'!$F:$F,0,Summary!R$2),'BPC Data'!$E:$E,Summary!$D148,'BPC Data'!$B:$B,Summary!$C148)</f>
        <v>5336</v>
      </c>
      <c r="S148" s="23">
        <f t="shared" ca="1" si="265"/>
        <v>61788</v>
      </c>
      <c r="T148" s="74">
        <f ca="1">SUM(W148:AH148)</f>
        <v>61788</v>
      </c>
      <c r="U148" s="54">
        <f ca="1">T148-S148</f>
        <v>0</v>
      </c>
      <c r="W148" s="4">
        <f ca="1">SUMIFS(INDIRECT("'"&amp;$W$140&amp;"'"&amp;"!$B$64:$B$5000"),INDIRECT("'"&amp;$W$140&amp;"'"&amp;"!$A$64:$A$5000"),$V$7)</f>
        <v>4431</v>
      </c>
      <c r="X148" s="4">
        <f ca="1">SUMIFS(INDIRECT("'"&amp;$W$140&amp;"'"&amp;"!$c$64:$c$5000"),INDIRECT("'"&amp;$W$140&amp;"'"&amp;"!$A$64:$A$5000"),$V$7)</f>
        <v>4617</v>
      </c>
      <c r="Y148" s="4">
        <f ca="1">SUMIFS(INDIRECT("'"&amp;$W$140&amp;"'"&amp;"!$d$64:$d$5000"),INDIRECT("'"&amp;$W$140&amp;"'"&amp;"!$A$64:$A$5000"),$V$7)</f>
        <v>4970</v>
      </c>
      <c r="Z148" s="4">
        <f ca="1">SUMIFS(INDIRECT("'"&amp;$W$140&amp;"'"&amp;"!$e$64:$e$5000"),INDIRECT("'"&amp;$W$140&amp;"'"&amp;"!$A$64:$A$5000"),$V$7)</f>
        <v>4963</v>
      </c>
      <c r="AA148" s="4">
        <f ca="1">SUMIFS(INDIRECT("'"&amp;$W$140&amp;"'"&amp;"!$f$64:$f$5000"),INDIRECT("'"&amp;$W$140&amp;"'"&amp;"!$A$64:$A$5000"),$V$7)</f>
        <v>5129</v>
      </c>
      <c r="AB148" s="4">
        <f ca="1">SUMIFS(INDIRECT("'"&amp;$W$140&amp;"'"&amp;"!$g$64:$g$5000"),INDIRECT("'"&amp;$W$140&amp;"'"&amp;"!$A$64:$A$5000"),$V$7)</f>
        <v>5227</v>
      </c>
      <c r="AC148" s="4">
        <f ca="1">SUMIFS(INDIRECT("'"&amp;$W$140&amp;"'"&amp;"!$h$64:$h$5000"),INDIRECT("'"&amp;$W$140&amp;"'"&amp;"!$A$64:$A$5000"),$V$7)</f>
        <v>5513</v>
      </c>
      <c r="AD148" s="4">
        <f ca="1">SUMIFS(INDIRECT("'"&amp;$W$140&amp;"'"&amp;"!$i$64:$i$5000"),INDIRECT("'"&amp;$W$140&amp;"'"&amp;"!$A$64:$A$5000"),$V$7)</f>
        <v>5503</v>
      </c>
      <c r="AE148" s="4">
        <f ca="1">SUMIFS(INDIRECT("'"&amp;$W$140&amp;"'"&amp;"!$j$64:$j$5000"),INDIRECT("'"&amp;$W$140&amp;"'"&amp;"!$A$64:$A$5000"),$V$7)</f>
        <v>5313</v>
      </c>
      <c r="AF148" s="4">
        <f ca="1">SUMIFS(INDIRECT("'"&amp;$W$140&amp;"'"&amp;"!$k$64:$k$5000"),INDIRECT("'"&amp;$W$140&amp;"'"&amp;"!$A$64:$A$5000"),$V$7)</f>
        <v>5265</v>
      </c>
      <c r="AG148" s="4">
        <f ca="1">SUMIFS(INDIRECT("'"&amp;$W$140&amp;"'"&amp;"!$l$64:$l$5000"),INDIRECT("'"&amp;$W$140&amp;"'"&amp;"!$A$64:$A$5000"),$V$7)</f>
        <v>5521</v>
      </c>
      <c r="AH148" s="4">
        <f ca="1">SUMIFS(INDIRECT("'"&amp;$W$140&amp;"'"&amp;"!$m$64:$m$5000"),INDIRECT("'"&amp;$W$140&amp;"'"&amp;"!$A$64:$A$5000"),$V$7)</f>
        <v>5336</v>
      </c>
      <c r="AJ148" s="14">
        <f t="shared" ca="1" si="269"/>
        <v>0</v>
      </c>
      <c r="AK148" s="14">
        <f t="shared" ca="1" si="269"/>
        <v>0</v>
      </c>
      <c r="AL148" s="14">
        <f t="shared" ca="1" si="269"/>
        <v>0</v>
      </c>
      <c r="AM148" s="14">
        <f t="shared" ca="1" si="269"/>
        <v>0</v>
      </c>
      <c r="AN148" s="14">
        <f t="shared" ca="1" si="269"/>
        <v>0</v>
      </c>
      <c r="AO148" s="14">
        <f t="shared" ca="1" si="269"/>
        <v>0</v>
      </c>
      <c r="AP148" s="14">
        <f t="shared" ca="1" si="269"/>
        <v>0</v>
      </c>
      <c r="AQ148" s="14">
        <f t="shared" ca="1" si="269"/>
        <v>0</v>
      </c>
      <c r="AR148" s="14">
        <f t="shared" ca="1" si="269"/>
        <v>0</v>
      </c>
      <c r="AS148" s="14">
        <f t="shared" ca="1" si="269"/>
        <v>0</v>
      </c>
      <c r="AT148" s="14">
        <f t="shared" ca="1" si="269"/>
        <v>0</v>
      </c>
      <c r="AU148" s="14">
        <f t="shared" ca="1" si="269"/>
        <v>0</v>
      </c>
    </row>
    <row r="149" spans="1:47" s="12" customFormat="1">
      <c r="A149" s="12">
        <f t="shared" si="264"/>
        <v>13</v>
      </c>
      <c r="B149"/>
      <c r="C149" t="str">
        <f>$F141</f>
        <v>Arbor Court Retirement Community at Topeka</v>
      </c>
      <c r="D149" s="1" t="str">
        <f t="shared" si="175"/>
        <v>T_EBITDAR - EBITDAR</v>
      </c>
      <c r="E149"/>
      <c r="F149" s="19" t="str">
        <f>_xll.EVDES(D149)</f>
        <v>EBITDAR</v>
      </c>
      <c r="G149" s="61">
        <f ca="1">SUMIFS(OFFSET('BPC Data'!$F:$F,0,Summary!G$2),'BPC Data'!$E:$E,Summary!$D149,'BPC Data'!$B:$B,Summary!$C149)</f>
        <v>20712</v>
      </c>
      <c r="H149" s="65">
        <f ca="1">SUMIFS(OFFSET('BPC Data'!$F:$F,0,Summary!H$2),'BPC Data'!$E:$E,Summary!$D149,'BPC Data'!$B:$B,Summary!$C149)</f>
        <v>24445</v>
      </c>
      <c r="I149" s="61">
        <f ca="1">SUMIFS(OFFSET('BPC Data'!$F:$F,0,Summary!I$2),'BPC Data'!$E:$E,Summary!$D149,'BPC Data'!$B:$B,Summary!$C149)</f>
        <v>31292</v>
      </c>
      <c r="J149" s="65">
        <f ca="1">SUMIFS(OFFSET('BPC Data'!$F:$F,0,Summary!J$2),'BPC Data'!$E:$E,Summary!$D149,'BPC Data'!$B:$B,Summary!$C149)</f>
        <v>34409</v>
      </c>
      <c r="K149" s="61">
        <f ca="1">SUMIFS(OFFSET('BPC Data'!$F:$F,0,Summary!K$2),'BPC Data'!$E:$E,Summary!$D149,'BPC Data'!$B:$B,Summary!$C149)</f>
        <v>30767</v>
      </c>
      <c r="L149" s="65">
        <f ca="1">SUMIFS(OFFSET('BPC Data'!$F:$F,0,Summary!L$2),'BPC Data'!$E:$E,Summary!$D149,'BPC Data'!$B:$B,Summary!$C149)</f>
        <v>36810</v>
      </c>
      <c r="M149" s="61">
        <f ca="1">SUMIFS(OFFSET('BPC Data'!$F:$F,0,Summary!M$2),'BPC Data'!$E:$E,Summary!$D149,'BPC Data'!$B:$B,Summary!$C149)</f>
        <v>39438</v>
      </c>
      <c r="N149" s="65">
        <f ca="1">SUMIFS(OFFSET('BPC Data'!$F:$F,0,Summary!N$2),'BPC Data'!$E:$E,Summary!$D149,'BPC Data'!$B:$B,Summary!$C149)</f>
        <v>43819</v>
      </c>
      <c r="O149" s="61">
        <f ca="1">SUMIFS(OFFSET('BPC Data'!$F:$F,0,Summary!O$2),'BPC Data'!$E:$E,Summary!$D149,'BPC Data'!$B:$B,Summary!$C149)</f>
        <v>28947</v>
      </c>
      <c r="P149" s="65">
        <f ca="1">SUMIFS(OFFSET('BPC Data'!$F:$F,0,Summary!P$2),'BPC Data'!$E:$E,Summary!$D149,'BPC Data'!$B:$B,Summary!$C149)</f>
        <v>33789</v>
      </c>
      <c r="Q149" s="61">
        <f ca="1">SUMIFS(OFFSET('BPC Data'!$F:$F,0,Summary!Q$2),'BPC Data'!$E:$E,Summary!$D149,'BPC Data'!$B:$B,Summary!$C149)</f>
        <v>31652</v>
      </c>
      <c r="R149" s="65">
        <f ca="1">SUMIFS(OFFSET('BPC Data'!$F:$F,0,Summary!R$2),'BPC Data'!$E:$E,Summary!$D149,'BPC Data'!$B:$B,Summary!$C149)</f>
        <v>27133</v>
      </c>
      <c r="S149" s="23">
        <f t="shared" ca="1" si="265"/>
        <v>383213</v>
      </c>
      <c r="T149" s="74">
        <f ca="1">SUM(W149:AH149)</f>
        <v>383209.12</v>
      </c>
      <c r="U149" s="54">
        <f ca="1">T149-S149</f>
        <v>-3.8800000000046566</v>
      </c>
      <c r="W149" s="50">
        <f t="shared" ref="W149:AB149" ca="1" si="270">W147-W148</f>
        <v>20710.740000000078</v>
      </c>
      <c r="X149" s="50">
        <f t="shared" ca="1" si="270"/>
        <v>24445.189999999871</v>
      </c>
      <c r="Y149" s="50">
        <f t="shared" ca="1" si="270"/>
        <v>31292.080000000133</v>
      </c>
      <c r="Z149" s="50">
        <f t="shared" ca="1" si="270"/>
        <v>34408.26999999996</v>
      </c>
      <c r="AA149" s="50">
        <f t="shared" ca="1" si="270"/>
        <v>30766.010000000009</v>
      </c>
      <c r="AB149" s="50">
        <f t="shared" ca="1" si="270"/>
        <v>36809.08</v>
      </c>
      <c r="AC149" s="50">
        <f t="shared" ref="AC149:AH149" ca="1" si="271">AC147-AC148</f>
        <v>39438.970000000016</v>
      </c>
      <c r="AD149" s="50">
        <f t="shared" ca="1" si="271"/>
        <v>43818.169999999969</v>
      </c>
      <c r="AE149" s="50">
        <f t="shared" ca="1" si="271"/>
        <v>28945.949999999997</v>
      </c>
      <c r="AF149" s="50">
        <f t="shared" ca="1" si="271"/>
        <v>33788.720000000016</v>
      </c>
      <c r="AG149" s="50">
        <f t="shared" ca="1" si="271"/>
        <v>31652.099999999919</v>
      </c>
      <c r="AH149" s="50">
        <f t="shared" ca="1" si="271"/>
        <v>27133.839999999982</v>
      </c>
      <c r="AJ149" s="14">
        <f t="shared" ca="1" si="269"/>
        <v>-1.2599999999220017</v>
      </c>
      <c r="AK149" s="14">
        <f t="shared" ca="1" si="269"/>
        <v>0.18999999987136107</v>
      </c>
      <c r="AL149" s="14">
        <f t="shared" ca="1" si="269"/>
        <v>8.0000000132713467E-2</v>
      </c>
      <c r="AM149" s="14">
        <f t="shared" ca="1" si="269"/>
        <v>-0.73000000003958121</v>
      </c>
      <c r="AN149" s="14">
        <f t="shared" ca="1" si="269"/>
        <v>-0.98999999999068677</v>
      </c>
      <c r="AO149" s="14">
        <f t="shared" ca="1" si="269"/>
        <v>-0.91999999999825377</v>
      </c>
      <c r="AP149" s="14">
        <f t="shared" ca="1" si="269"/>
        <v>0.97000000001571607</v>
      </c>
      <c r="AQ149" s="14">
        <f t="shared" ca="1" si="269"/>
        <v>-0.83000000003085006</v>
      </c>
      <c r="AR149" s="14">
        <f t="shared" ca="1" si="269"/>
        <v>-1.0500000000029104</v>
      </c>
      <c r="AS149" s="14">
        <f t="shared" ca="1" si="269"/>
        <v>-0.27999999998428393</v>
      </c>
      <c r="AT149" s="14">
        <f t="shared" ca="1" si="269"/>
        <v>9.9999999918509275E-2</v>
      </c>
      <c r="AU149" s="14">
        <f t="shared" ca="1" si="269"/>
        <v>0.83999999998195563</v>
      </c>
    </row>
    <row r="150" spans="1:47" s="12" customFormat="1">
      <c r="A150" s="12">
        <f t="shared" si="264"/>
        <v>13</v>
      </c>
      <c r="B150"/>
      <c r="C150" t="str">
        <f>$F141</f>
        <v>Arbor Court Retirement Community at Topeka</v>
      </c>
      <c r="D150" s="1" t="str">
        <f t="shared" ref="D150:D213" si="272">$D139</f>
        <v>T_RENT_EXP - Tenant Rent Expense</v>
      </c>
      <c r="E150"/>
      <c r="F150" s="19" t="str">
        <f>_xll.EVDES(D150)</f>
        <v>Tenant Rent Expense</v>
      </c>
      <c r="G150" s="61">
        <f ca="1">SUMIFS(OFFSET('BPC Data'!$F:$F,0,Summary!G$2),'BPC Data'!$E:$E,Summary!$D150,'BPC Data'!$B:$B,Summary!$C150)</f>
        <v>33429</v>
      </c>
      <c r="H150" s="65">
        <f ca="1">SUMIFS(OFFSET('BPC Data'!$F:$F,0,Summary!H$2),'BPC Data'!$E:$E,Summary!$D150,'BPC Data'!$B:$B,Summary!$C150)</f>
        <v>34309</v>
      </c>
      <c r="I150" s="61">
        <f ca="1">SUMIFS(OFFSET('BPC Data'!$F:$F,0,Summary!I$2),'BPC Data'!$E:$E,Summary!$D150,'BPC Data'!$B:$B,Summary!$C150)</f>
        <v>34309</v>
      </c>
      <c r="J150" s="65">
        <f ca="1">SUMIFS(OFFSET('BPC Data'!$F:$F,0,Summary!J$2),'BPC Data'!$E:$E,Summary!$D150,'BPC Data'!$B:$B,Summary!$C150)</f>
        <v>34309</v>
      </c>
      <c r="K150" s="61">
        <f ca="1">SUMIFS(OFFSET('BPC Data'!$F:$F,0,Summary!K$2),'BPC Data'!$E:$E,Summary!$D150,'BPC Data'!$B:$B,Summary!$C150)</f>
        <v>34309</v>
      </c>
      <c r="L150" s="65">
        <f ca="1">SUMIFS(OFFSET('BPC Data'!$F:$F,0,Summary!L$2),'BPC Data'!$E:$E,Summary!$D150,'BPC Data'!$B:$B,Summary!$C150)</f>
        <v>34309</v>
      </c>
      <c r="M150" s="61">
        <f ca="1">SUMIFS(OFFSET('BPC Data'!$F:$F,0,Summary!M$2),'BPC Data'!$E:$E,Summary!$D150,'BPC Data'!$B:$B,Summary!$C150)</f>
        <v>34309</v>
      </c>
      <c r="N150" s="65">
        <f ca="1">SUMIFS(OFFSET('BPC Data'!$F:$F,0,Summary!N$2),'BPC Data'!$E:$E,Summary!$D150,'BPC Data'!$B:$B,Summary!$C150)</f>
        <v>34309</v>
      </c>
      <c r="O150" s="61">
        <f ca="1">SUMIFS(OFFSET('BPC Data'!$F:$F,0,Summary!O$2),'BPC Data'!$E:$E,Summary!$D150,'BPC Data'!$B:$B,Summary!$C150)</f>
        <v>34309</v>
      </c>
      <c r="P150" s="65">
        <f ca="1">SUMIFS(OFFSET('BPC Data'!$F:$F,0,Summary!P$2),'BPC Data'!$E:$E,Summary!$D150,'BPC Data'!$B:$B,Summary!$C150)</f>
        <v>34309</v>
      </c>
      <c r="Q150" s="61">
        <f ca="1">SUMIFS(OFFSET('BPC Data'!$F:$F,0,Summary!Q$2),'BPC Data'!$E:$E,Summary!$D150,'BPC Data'!$B:$B,Summary!$C150)</f>
        <v>34309</v>
      </c>
      <c r="R150" s="65">
        <f ca="1">SUMIFS(OFFSET('BPC Data'!$F:$F,0,Summary!R$2),'BPC Data'!$E:$E,Summary!$D150,'BPC Data'!$B:$B,Summary!$C150)</f>
        <v>37395</v>
      </c>
      <c r="S150" s="23">
        <f t="shared" ca="1" si="265"/>
        <v>413914</v>
      </c>
      <c r="T150" s="74">
        <f ca="1">SUM(W150:AH150)</f>
        <v>413910.25000000012</v>
      </c>
      <c r="U150" s="54">
        <f ca="1">T150-S150</f>
        <v>-3.7499999998835847</v>
      </c>
      <c r="W150" s="4">
        <f ca="1">SUMIFS(INDIRECT("'"&amp;$W$140&amp;"'"&amp;"!$B$64:$B$5000"),INDIRECT("'"&amp;$W$140&amp;"'"&amp;"!$A$64:$A$5000"),$W$3)+SUMIFS(INDIRECT("'"&amp;$W$140&amp;"'"&amp;"!$B$64:$B$5000"),INDIRECT("'"&amp;$W$140&amp;"'"&amp;"!$A$64:$A$5000"),$W$4)</f>
        <v>33429</v>
      </c>
      <c r="X150" s="4">
        <f ca="1">SUMIFS(INDIRECT("'"&amp;$W$140&amp;"'"&amp;"!$c$64:$c$5000"),INDIRECT("'"&amp;$W$140&amp;"'"&amp;"!$A$64:$A$5000"),$W$3)+SUMIFS(INDIRECT("'"&amp;$W$140&amp;"'"&amp;"!$c$64:$c$5000"),INDIRECT("'"&amp;$W$140&amp;"'"&amp;"!$A$64:$A$5000"),$W$4)</f>
        <v>34308.58</v>
      </c>
      <c r="Y150" s="4">
        <f ca="1">SUMIFS(INDIRECT("'"&amp;$W$140&amp;"'"&amp;"!$d$64:$d$5000"),INDIRECT("'"&amp;$W$140&amp;"'"&amp;"!$A$64:$A$5000"),$W$3)+SUMIFS(INDIRECT("'"&amp;$W$140&amp;"'"&amp;"!$d$64:$d$5000"),INDIRECT("'"&amp;$W$140&amp;"'"&amp;"!$A$64:$A$5000"),$W$4)</f>
        <v>34308.58</v>
      </c>
      <c r="Z150" s="4">
        <f ca="1">SUMIFS(INDIRECT("'"&amp;$W$140&amp;"'"&amp;"!$e$64:$e$5000"),INDIRECT("'"&amp;$W$140&amp;"'"&amp;"!$A$64:$A$5000"),$W$3)+SUMIFS(INDIRECT("'"&amp;$W$140&amp;"'"&amp;"!$e$64:$e$5000"),INDIRECT("'"&amp;$W$140&amp;"'"&amp;"!$A$64:$A$5000"),$W$4)</f>
        <v>34308.58</v>
      </c>
      <c r="AA150" s="4">
        <f ca="1">SUMIFS(INDIRECT("'"&amp;$W$140&amp;"'"&amp;"!$f$64:$f$5000"),INDIRECT("'"&amp;$W$140&amp;"'"&amp;"!$A$64:$A$5000"),$W$3)+SUMIFS(INDIRECT("'"&amp;$W$140&amp;"'"&amp;"!$f$64:$f$5000"),INDIRECT("'"&amp;$W$140&amp;"'"&amp;"!$A$64:$A$5000"),$W$4)</f>
        <v>34308.58</v>
      </c>
      <c r="AB150" s="4">
        <f ca="1">SUMIFS(INDIRECT("'"&amp;$W$140&amp;"'"&amp;"!$g$64:$g$5000"),INDIRECT("'"&amp;$W$140&amp;"'"&amp;"!$A$64:$A$5000"),$W$3)+SUMIFS(INDIRECT("'"&amp;$W$140&amp;"'"&amp;"!$g$64:$g$5000"),INDIRECT("'"&amp;$W$140&amp;"'"&amp;"!$A$64:$A$5000"),$W$4)</f>
        <v>34308.58</v>
      </c>
      <c r="AC150" s="4">
        <f ca="1">SUMIFS(INDIRECT("'"&amp;$W$140&amp;"'"&amp;"!$h$64:$h$5000"),INDIRECT("'"&amp;$W$140&amp;"'"&amp;"!$A$64:$A$5000"),$W$3)+SUMIFS(INDIRECT("'"&amp;$W$140&amp;"'"&amp;"!$h$64:$h$5000"),INDIRECT("'"&amp;$W$140&amp;"'"&amp;"!$A$64:$A$5000"),$W$4)</f>
        <v>34308.58</v>
      </c>
      <c r="AD150" s="4">
        <f ca="1">SUMIFS(INDIRECT("'"&amp;$W$140&amp;"'"&amp;"!$i$64:$i$5000"),INDIRECT("'"&amp;$W$140&amp;"'"&amp;"!$A$64:$A$5000"),$W$3)+SUMIFS(INDIRECT("'"&amp;$W$140&amp;"'"&amp;"!$i$64:$i$5000"),INDIRECT("'"&amp;$W$140&amp;"'"&amp;"!$A$64:$A$5000"),$W$4)</f>
        <v>34308.58</v>
      </c>
      <c r="AE150" s="4">
        <f ca="1">SUMIFS(INDIRECT("'"&amp;$W$140&amp;"'"&amp;"!$j$64:$j$5000"),INDIRECT("'"&amp;$W$140&amp;"'"&amp;"!$A$64:$A$5000"),$W$3)+SUMIFS(INDIRECT("'"&amp;$W$140&amp;"'"&amp;"!$j$64:$j$5000"),INDIRECT("'"&amp;$W$140&amp;"'"&amp;"!$A$64:$A$5000"),$W$4)</f>
        <v>34308.58</v>
      </c>
      <c r="AF150" s="4">
        <f ca="1">SUMIFS(INDIRECT("'"&amp;$W$140&amp;"'"&amp;"!$k$64:$k$5000"),INDIRECT("'"&amp;$W$140&amp;"'"&amp;"!$A$64:$A$5000"),$W$3)+SUMIFS(INDIRECT("'"&amp;$W$140&amp;"'"&amp;"!$k$64:$k$5000"),INDIRECT("'"&amp;$W$140&amp;"'"&amp;"!$A$64:$A$5000"),$W$4)</f>
        <v>34308.58</v>
      </c>
      <c r="AG150" s="4">
        <f ca="1">SUMIFS(INDIRECT("'"&amp;$W$140&amp;"'"&amp;"!$l$64:$l$5000"),INDIRECT("'"&amp;$W$140&amp;"'"&amp;"!$A$64:$A$5000"),$W$3)+SUMIFS(INDIRECT("'"&amp;$W$140&amp;"'"&amp;"!$l$64:$l$5000"),INDIRECT("'"&amp;$W$140&amp;"'"&amp;"!$A$64:$A$5000"),$W$4)</f>
        <v>34308.58</v>
      </c>
      <c r="AH150" s="4">
        <f ca="1">SUMIFS(INDIRECT("'"&amp;$W$140&amp;"'"&amp;"!$m$64:$m$5000"),INDIRECT("'"&amp;$W$140&amp;"'"&amp;"!$A$64:$A$5000"),$W$3)+SUMIFS(INDIRECT("'"&amp;$W$140&amp;"'"&amp;"!$m$64:$m$5000"),INDIRECT("'"&amp;$W$140&amp;"'"&amp;"!$A$64:$A$5000"),$W$4)</f>
        <v>37395.449999999997</v>
      </c>
      <c r="AJ150" s="14">
        <f t="shared" ca="1" si="269"/>
        <v>0</v>
      </c>
      <c r="AK150" s="14">
        <f t="shared" ca="1" si="269"/>
        <v>-0.41999999999825377</v>
      </c>
      <c r="AL150" s="14">
        <f t="shared" ca="1" si="269"/>
        <v>-0.41999999999825377</v>
      </c>
      <c r="AM150" s="14">
        <f t="shared" ca="1" si="269"/>
        <v>-0.41999999999825377</v>
      </c>
      <c r="AN150" s="14">
        <f t="shared" ca="1" si="269"/>
        <v>-0.41999999999825377</v>
      </c>
      <c r="AO150" s="14">
        <f t="shared" ca="1" si="269"/>
        <v>-0.41999999999825377</v>
      </c>
      <c r="AP150" s="14">
        <f t="shared" ca="1" si="269"/>
        <v>-0.41999999999825377</v>
      </c>
      <c r="AQ150" s="14">
        <f t="shared" ca="1" si="269"/>
        <v>-0.41999999999825377</v>
      </c>
      <c r="AR150" s="14">
        <f t="shared" ca="1" si="269"/>
        <v>-0.41999999999825377</v>
      </c>
      <c r="AS150" s="14">
        <f t="shared" ca="1" si="269"/>
        <v>-0.41999999999825377</v>
      </c>
      <c r="AT150" s="14">
        <f t="shared" ca="1" si="269"/>
        <v>-0.41999999999825377</v>
      </c>
      <c r="AU150" s="14">
        <f t="shared" ca="1" si="269"/>
        <v>0.44999999999708962</v>
      </c>
    </row>
    <row r="151" spans="1:47" s="12" customFormat="1">
      <c r="A151" s="12">
        <f t="shared" si="264"/>
        <v>13</v>
      </c>
      <c r="B151"/>
      <c r="C151"/>
      <c r="D151" s="1" t="str">
        <f t="shared" si="272"/>
        <v>x</v>
      </c>
      <c r="E151"/>
      <c r="F151" s="19" t="s">
        <v>0</v>
      </c>
      <c r="G151" s="61">
        <f ca="1">SUMIFS(OFFSET('BPC Data'!$F:$F,0,Summary!G$2),'BPC Data'!$E:$E,Summary!$D151,'BPC Data'!$B:$B,Summary!$C151)</f>
        <v>0</v>
      </c>
      <c r="H151" s="65">
        <f ca="1">SUMIFS(OFFSET('BPC Data'!$F:$F,0,Summary!H$2),'BPC Data'!$E:$E,Summary!$D151,'BPC Data'!$B:$B,Summary!$C151)</f>
        <v>0</v>
      </c>
      <c r="I151" s="61">
        <f ca="1">SUMIFS(OFFSET('BPC Data'!$F:$F,0,Summary!I$2),'BPC Data'!$E:$E,Summary!$D151,'BPC Data'!$B:$B,Summary!$C151)</f>
        <v>0</v>
      </c>
      <c r="J151" s="65">
        <f ca="1">SUMIFS(OFFSET('BPC Data'!$F:$F,0,Summary!J$2),'BPC Data'!$E:$E,Summary!$D151,'BPC Data'!$B:$B,Summary!$C151)</f>
        <v>0</v>
      </c>
      <c r="K151" s="61">
        <f ca="1">SUMIFS(OFFSET('BPC Data'!$F:$F,0,Summary!K$2),'BPC Data'!$E:$E,Summary!$D151,'BPC Data'!$B:$B,Summary!$C151)</f>
        <v>0</v>
      </c>
      <c r="L151" s="65">
        <f ca="1">SUMIFS(OFFSET('BPC Data'!$F:$F,0,Summary!L$2),'BPC Data'!$E:$E,Summary!$D151,'BPC Data'!$B:$B,Summary!$C151)</f>
        <v>0</v>
      </c>
      <c r="M151" s="61">
        <f ca="1">SUMIFS(OFFSET('BPC Data'!$F:$F,0,Summary!M$2),'BPC Data'!$E:$E,Summary!$D151,'BPC Data'!$B:$B,Summary!$C151)</f>
        <v>0</v>
      </c>
      <c r="N151" s="65">
        <f ca="1">SUMIFS(OFFSET('BPC Data'!$F:$F,0,Summary!N$2),'BPC Data'!$E:$E,Summary!$D151,'BPC Data'!$B:$B,Summary!$C151)</f>
        <v>0</v>
      </c>
      <c r="O151" s="61">
        <f ca="1">SUMIFS(OFFSET('BPC Data'!$F:$F,0,Summary!O$2),'BPC Data'!$E:$E,Summary!$D151,'BPC Data'!$B:$B,Summary!$C151)</f>
        <v>0</v>
      </c>
      <c r="P151" s="65">
        <f ca="1">SUMIFS(OFFSET('BPC Data'!$F:$F,0,Summary!P$2),'BPC Data'!$E:$E,Summary!$D151,'BPC Data'!$B:$B,Summary!$C151)</f>
        <v>0</v>
      </c>
      <c r="Q151" s="61">
        <f ca="1">SUMIFS(OFFSET('BPC Data'!$F:$F,0,Summary!Q$2),'BPC Data'!$E:$E,Summary!$D151,'BPC Data'!$B:$B,Summary!$C151)</f>
        <v>0</v>
      </c>
      <c r="R151" s="65">
        <f ca="1">SUMIFS(OFFSET('BPC Data'!$F:$F,0,Summary!R$2),'BPC Data'!$E:$E,Summary!$D151,'BPC Data'!$B:$B,Summary!$C151)</f>
        <v>0</v>
      </c>
      <c r="S151" s="23">
        <f ca="1">SUM(G151:M151)</f>
        <v>0</v>
      </c>
      <c r="T151" s="76"/>
      <c r="W151" t="s">
        <v>307</v>
      </c>
      <c r="X151"/>
      <c r="Y151"/>
      <c r="Z151"/>
      <c r="AA151"/>
      <c r="AB151"/>
      <c r="AC151"/>
      <c r="AD151"/>
      <c r="AE151"/>
      <c r="AF151"/>
      <c r="AG151"/>
      <c r="AJ151" s="49"/>
      <c r="AK151" s="49"/>
      <c r="AL151" s="49"/>
      <c r="AM151" s="49"/>
      <c r="AN151" s="49"/>
      <c r="AO151" s="49"/>
      <c r="AP151" s="49"/>
      <c r="AQ151" s="49"/>
      <c r="AR151" s="49"/>
      <c r="AS151" s="49"/>
      <c r="AT151" s="49"/>
      <c r="AU151" s="49"/>
    </row>
    <row r="152" spans="1:47" s="12" customFormat="1">
      <c r="A152" s="12">
        <f>IF(AND(D152&lt;&gt;"",C152=""),A151+1,A151)</f>
        <v>14</v>
      </c>
      <c r="B152" s="5"/>
      <c r="C152" s="5"/>
      <c r="D152" s="5" t="str">
        <f t="shared" si="272"/>
        <v>x</v>
      </c>
      <c r="E152" s="5"/>
      <c r="F152" s="18" t="str">
        <f>INDEX(PropertyList!$D:$D,MATCH(Summary!$A152,PropertyList!$C:$C,0))</f>
        <v>Bedford Preferred Equity (HMG)</v>
      </c>
      <c r="G152" s="61">
        <f ca="1">SUMIFS(OFFSET('BPC Data'!$F:$F,0,Summary!G$2),'BPC Data'!$E:$E,Summary!$D152,'BPC Data'!$B:$B,Summary!$C152)</f>
        <v>0</v>
      </c>
      <c r="H152" s="65">
        <f ca="1">SUMIFS(OFFSET('BPC Data'!$F:$F,0,Summary!H$2),'BPC Data'!$E:$E,Summary!$D152,'BPC Data'!$B:$B,Summary!$C152)</f>
        <v>0</v>
      </c>
      <c r="I152" s="61">
        <f ca="1">SUMIFS(OFFSET('BPC Data'!$F:$F,0,Summary!I$2),'BPC Data'!$E:$E,Summary!$D152,'BPC Data'!$B:$B,Summary!$C152)</f>
        <v>0</v>
      </c>
      <c r="J152" s="65">
        <f ca="1">SUMIFS(OFFSET('BPC Data'!$F:$F,0,Summary!J$2),'BPC Data'!$E:$E,Summary!$D152,'BPC Data'!$B:$B,Summary!$C152)</f>
        <v>0</v>
      </c>
      <c r="K152" s="61">
        <f ca="1">SUMIFS(OFFSET('BPC Data'!$F:$F,0,Summary!K$2),'BPC Data'!$E:$E,Summary!$D152,'BPC Data'!$B:$B,Summary!$C152)</f>
        <v>0</v>
      </c>
      <c r="L152" s="65">
        <f ca="1">SUMIFS(OFFSET('BPC Data'!$F:$F,0,Summary!L$2),'BPC Data'!$E:$E,Summary!$D152,'BPC Data'!$B:$B,Summary!$C152)</f>
        <v>0</v>
      </c>
      <c r="M152" s="61">
        <f ca="1">SUMIFS(OFFSET('BPC Data'!$F:$F,0,Summary!M$2),'BPC Data'!$E:$E,Summary!$D152,'BPC Data'!$B:$B,Summary!$C152)</f>
        <v>0</v>
      </c>
      <c r="N152" s="65">
        <f ca="1">SUMIFS(OFFSET('BPC Data'!$F:$F,0,Summary!N$2),'BPC Data'!$E:$E,Summary!$D152,'BPC Data'!$B:$B,Summary!$C152)</f>
        <v>0</v>
      </c>
      <c r="O152" s="61">
        <f ca="1">SUMIFS(OFFSET('BPC Data'!$F:$F,0,Summary!O$2),'BPC Data'!$E:$E,Summary!$D152,'BPC Data'!$B:$B,Summary!$C152)</f>
        <v>0</v>
      </c>
      <c r="P152" s="65">
        <f ca="1">SUMIFS(OFFSET('BPC Data'!$F:$F,0,Summary!P$2),'BPC Data'!$E:$E,Summary!$D152,'BPC Data'!$B:$B,Summary!$C152)</f>
        <v>0</v>
      </c>
      <c r="Q152" s="61">
        <f ca="1">SUMIFS(OFFSET('BPC Data'!$F:$F,0,Summary!Q$2),'BPC Data'!$E:$E,Summary!$D152,'BPC Data'!$B:$B,Summary!$C152)</f>
        <v>0</v>
      </c>
      <c r="R152" s="65">
        <f ca="1">SUMIFS(OFFSET('BPC Data'!$F:$F,0,Summary!R$2),'BPC Data'!$E:$E,Summary!$D152,'BPC Data'!$B:$B,Summary!$C152)</f>
        <v>0</v>
      </c>
      <c r="S152" s="23">
        <f ca="1">SUM(G152:M152)</f>
        <v>0</v>
      </c>
      <c r="T152" s="76"/>
      <c r="W152" s="5" t="str">
        <f t="shared" ref="W152:AH152" si="273">+G$8</f>
        <v>Aug 2021</v>
      </c>
      <c r="X152" s="5" t="str">
        <f t="shared" si="273"/>
        <v>Sep 2021</v>
      </c>
      <c r="Y152" s="5" t="str">
        <f t="shared" si="273"/>
        <v>Oct 2021</v>
      </c>
      <c r="Z152" s="5" t="str">
        <f t="shared" si="273"/>
        <v>Nov 2021</v>
      </c>
      <c r="AA152" s="5" t="str">
        <f t="shared" si="273"/>
        <v>Dec 2021</v>
      </c>
      <c r="AB152" s="5" t="str">
        <f t="shared" si="273"/>
        <v>Jan 2022</v>
      </c>
      <c r="AC152" s="5" t="str">
        <f t="shared" si="273"/>
        <v>Feb 2022</v>
      </c>
      <c r="AD152" s="5" t="str">
        <f t="shared" si="273"/>
        <v>Mar 2022</v>
      </c>
      <c r="AE152" s="5" t="str">
        <f t="shared" si="273"/>
        <v>Apr 2022</v>
      </c>
      <c r="AF152" s="5" t="str">
        <f t="shared" si="273"/>
        <v>May 2022</v>
      </c>
      <c r="AG152" s="5" t="str">
        <f t="shared" si="273"/>
        <v>Jun 2022</v>
      </c>
      <c r="AH152" s="5" t="str">
        <f t="shared" si="273"/>
        <v>Jul 2022</v>
      </c>
      <c r="AJ152" s="174" t="str">
        <f>W$9</f>
        <v>Aug 2021</v>
      </c>
      <c r="AK152" s="174" t="str">
        <f t="shared" ref="AK152" si="274">X$9</f>
        <v>Sep 2021</v>
      </c>
      <c r="AL152" s="174" t="str">
        <f t="shared" ref="AL152" si="275">Y$9</f>
        <v>Oct 2021</v>
      </c>
      <c r="AM152" s="174" t="str">
        <f t="shared" ref="AM152" si="276">Z$9</f>
        <v>Nov 2021</v>
      </c>
      <c r="AN152" s="174" t="str">
        <f t="shared" ref="AN152:AO152" si="277">AA$9</f>
        <v>Dec 2021</v>
      </c>
      <c r="AO152" s="174" t="str">
        <f t="shared" si="277"/>
        <v>Jan 2022</v>
      </c>
      <c r="AP152" s="174" t="str">
        <f t="shared" ref="AP152" si="278">AC$9</f>
        <v>Feb 2022</v>
      </c>
      <c r="AQ152" s="174" t="str">
        <f t="shared" ref="AQ152" si="279">AD$9</f>
        <v>Mar 2022</v>
      </c>
      <c r="AR152" s="174" t="str">
        <f t="shared" ref="AR152" si="280">AE$9</f>
        <v>Apr 2022</v>
      </c>
      <c r="AS152" s="174" t="str">
        <f t="shared" ref="AS152" si="281">AF$9</f>
        <v>May 2022</v>
      </c>
      <c r="AT152" s="174" t="str">
        <f t="shared" ref="AT152" si="282">AG$9</f>
        <v>Jun 2022</v>
      </c>
      <c r="AU152" s="174" t="str">
        <f t="shared" ref="AU152" si="283">AH$9</f>
        <v>Jul 2022</v>
      </c>
    </row>
    <row r="153" spans="1:47" s="12" customFormat="1">
      <c r="A153" s="12">
        <f>IF(AND(F153&lt;&gt;"",D153=""),A152+1,A152)</f>
        <v>14</v>
      </c>
      <c r="C153" t="str">
        <f>$F152</f>
        <v>Bedford Preferred Equity (HMG)</v>
      </c>
      <c r="D153" s="3" t="str">
        <f t="shared" si="272"/>
        <v>PAY_PAT_DAYS - Total Payor Patient Days</v>
      </c>
      <c r="F153" s="19" t="str">
        <f>_xll.EVDES(D153)</f>
        <v>Total Payor Patient Days</v>
      </c>
      <c r="G153" s="61">
        <f ca="1">SUMIFS(OFFSET('BPC Data'!$F:$F,0,Summary!G$2),'BPC Data'!$E:$E,Summary!$D153,'BPC Data'!$B:$B,Summary!$C153)</f>
        <v>2523</v>
      </c>
      <c r="H153" s="65">
        <f ca="1">SUMIFS(OFFSET('BPC Data'!$F:$F,0,Summary!H$2),'BPC Data'!$E:$E,Summary!$D153,'BPC Data'!$B:$B,Summary!$C153)</f>
        <v>2386</v>
      </c>
      <c r="I153" s="61">
        <f ca="1">SUMIFS(OFFSET('BPC Data'!$F:$F,0,Summary!I$2),'BPC Data'!$E:$E,Summary!$D153,'BPC Data'!$B:$B,Summary!$C153)</f>
        <v>2691</v>
      </c>
      <c r="J153" s="65">
        <f ca="1">SUMIFS(OFFSET('BPC Data'!$F:$F,0,Summary!J$2),'BPC Data'!$E:$E,Summary!$D153,'BPC Data'!$B:$B,Summary!$C153)</f>
        <v>2691</v>
      </c>
      <c r="K153" s="61">
        <f ca="1">SUMIFS(OFFSET('BPC Data'!$F:$F,0,Summary!K$2),'BPC Data'!$E:$E,Summary!$D153,'BPC Data'!$B:$B,Summary!$C153)</f>
        <v>2829</v>
      </c>
      <c r="L153" s="65">
        <f ca="1">SUMIFS(OFFSET('BPC Data'!$F:$F,0,Summary!L$2),'BPC Data'!$E:$E,Summary!$D153,'BPC Data'!$B:$B,Summary!$C153)</f>
        <v>2704</v>
      </c>
      <c r="M153" s="61">
        <f ca="1">SUMIFS(OFFSET('BPC Data'!$F:$F,0,Summary!M$2),'BPC Data'!$E:$E,Summary!$D153,'BPC Data'!$B:$B,Summary!$C153)</f>
        <v>2484</v>
      </c>
      <c r="N153" s="65">
        <f ca="1">SUMIFS(OFFSET('BPC Data'!$F:$F,0,Summary!N$2),'BPC Data'!$E:$E,Summary!$D153,'BPC Data'!$B:$B,Summary!$C153)</f>
        <v>2716</v>
      </c>
      <c r="O153" s="61">
        <f ca="1">SUMIFS(OFFSET('BPC Data'!$F:$F,0,Summary!O$2),'BPC Data'!$E:$E,Summary!$D153,'BPC Data'!$B:$B,Summary!$C153)</f>
        <v>2610</v>
      </c>
      <c r="P153" s="65">
        <f ca="1">SUMIFS(OFFSET('BPC Data'!$F:$F,0,Summary!P$2),'BPC Data'!$E:$E,Summary!$D153,'BPC Data'!$B:$B,Summary!$C153)</f>
        <v>2623</v>
      </c>
      <c r="Q153" s="61">
        <f ca="1">SUMIFS(OFFSET('BPC Data'!$F:$F,0,Summary!Q$2),'BPC Data'!$E:$E,Summary!$D153,'BPC Data'!$B:$B,Summary!$C153)</f>
        <v>2688</v>
      </c>
      <c r="R153" s="65">
        <f ca="1">SUMIFS(OFFSET('BPC Data'!$F:$F,0,Summary!R$2),'BPC Data'!$E:$E,Summary!$D153,'BPC Data'!$B:$B,Summary!$C153)</f>
        <v>2932</v>
      </c>
      <c r="S153" s="23">
        <f ca="1">SUM(G153:R153)</f>
        <v>31877</v>
      </c>
      <c r="T153" s="74">
        <f ca="1">SUM(W153:AH153)</f>
        <v>31877</v>
      </c>
      <c r="U153" s="54">
        <f ca="1">T153-S153</f>
        <v>0</v>
      </c>
      <c r="W153" s="4">
        <f ca="1">SUMIFS(INDIRECT("'"&amp;$W$151&amp;"'"&amp;"!$B$1:$B$5000"),INDIRECT("'"&amp;$W$151&amp;"'"&amp;"!$A$1:$A$5000"),$W$2)</f>
        <v>2523</v>
      </c>
      <c r="X153" s="4">
        <f ca="1">SUMIFS(INDIRECT("'"&amp;$W$151&amp;"'"&amp;"!$C$1:$C$5000"),INDIRECT("'"&amp;$W$151&amp;"'"&amp;"!$A$1:$A$5000"),$W$2)</f>
        <v>2386</v>
      </c>
      <c r="Y153" s="4">
        <f ca="1">SUMIFS(INDIRECT("'"&amp;$W$151&amp;"'"&amp;"!$d$1:$d$5000"),INDIRECT("'"&amp;$W$151&amp;"'"&amp;"!$A$1:$A$5000"),$W$2)</f>
        <v>2691</v>
      </c>
      <c r="Z153" s="4">
        <f ca="1">SUMIFS(INDIRECT("'"&amp;$W$151&amp;"'"&amp;"!$E$1:$E$5000"),INDIRECT("'"&amp;$W$151&amp;"'"&amp;"!$A$1:$A$5000"),$W$2)</f>
        <v>2691</v>
      </c>
      <c r="AA153" s="4">
        <f ca="1">SUMIFS(INDIRECT("'"&amp;$W$151&amp;"'"&amp;"!$F$1:$F$5000"),INDIRECT("'"&amp;$W$151&amp;"'"&amp;"!$A$1:$A$5000"),$W$2)</f>
        <v>2829</v>
      </c>
      <c r="AB153" s="4">
        <f ca="1">SUMIFS(INDIRECT("'"&amp;$W$151&amp;"'"&amp;"!$g$1:$g$5000"),INDIRECT("'"&amp;$W$151&amp;"'"&amp;"!$A$1:$A$5000"),$W$2)</f>
        <v>2704</v>
      </c>
      <c r="AC153" s="4">
        <f ca="1">SUMIFS(INDIRECT("'"&amp;$W$151&amp;"'"&amp;"!$H$1:$H$5000"),INDIRECT("'"&amp;$W$151&amp;"'"&amp;"!$A$1:$A$5000"),$W$2)</f>
        <v>2484</v>
      </c>
      <c r="AD153" s="4">
        <f ca="1">SUMIFS(INDIRECT("'"&amp;$W$151&amp;"'"&amp;"!$i$1:$i$5000"),INDIRECT("'"&amp;$W$151&amp;"'"&amp;"!$A$1:$A$5000"),$W$2)</f>
        <v>2716</v>
      </c>
      <c r="AE153" s="4">
        <f ca="1">SUMIFS(INDIRECT("'"&amp;$W$151&amp;"'"&amp;"!$j$1:$j$5000"),INDIRECT("'"&amp;$W$151&amp;"'"&amp;"!$A$1:$A$5000"),$W$2)</f>
        <v>2610</v>
      </c>
      <c r="AF153" s="4">
        <f ca="1">SUMIFS(INDIRECT("'"&amp;$W$151&amp;"'"&amp;"!$k$1:$k$5000"),INDIRECT("'"&amp;$W$151&amp;"'"&amp;"!$A$1:$A$5000"),$W$2)</f>
        <v>2623</v>
      </c>
      <c r="AG153" s="4">
        <f ca="1">SUMIFS(INDIRECT("'"&amp;$W$151&amp;"'"&amp;"!$l$1:$l$5000"),INDIRECT("'"&amp;$W$151&amp;"'"&amp;"!$A$1:$A$5000"),$W$2)</f>
        <v>2688</v>
      </c>
      <c r="AH153" s="4">
        <f ca="1">SUMIFS(INDIRECT("'"&amp;$W$151&amp;"'"&amp;"!$m$1:$m$5000"),INDIRECT("'"&amp;$W$151&amp;"'"&amp;"!$A$1:$A$5000"),$W$2)</f>
        <v>2932</v>
      </c>
      <c r="AJ153" s="14">
        <f t="shared" ref="AJ153:AU153" ca="1" si="284">W153-G153</f>
        <v>0</v>
      </c>
      <c r="AK153" s="14">
        <f t="shared" ca="1" si="284"/>
        <v>0</v>
      </c>
      <c r="AL153" s="14">
        <f t="shared" ca="1" si="284"/>
        <v>0</v>
      </c>
      <c r="AM153" s="14">
        <f t="shared" ca="1" si="284"/>
        <v>0</v>
      </c>
      <c r="AN153" s="14">
        <f t="shared" ca="1" si="284"/>
        <v>0</v>
      </c>
      <c r="AO153" s="14">
        <f t="shared" ca="1" si="284"/>
        <v>0</v>
      </c>
      <c r="AP153" s="14">
        <f t="shared" ca="1" si="284"/>
        <v>0</v>
      </c>
      <c r="AQ153" s="14">
        <f t="shared" ca="1" si="284"/>
        <v>0</v>
      </c>
      <c r="AR153" s="14">
        <f t="shared" ca="1" si="284"/>
        <v>0</v>
      </c>
      <c r="AS153" s="14">
        <f t="shared" ca="1" si="284"/>
        <v>0</v>
      </c>
      <c r="AT153" s="14">
        <f t="shared" ca="1" si="284"/>
        <v>0</v>
      </c>
      <c r="AU153" s="14">
        <f t="shared" ca="1" si="284"/>
        <v>0</v>
      </c>
    </row>
    <row r="154" spans="1:47" s="12" customFormat="1">
      <c r="A154" s="12">
        <f t="shared" ref="A154:A162" si="285">IF(AND(F154&lt;&gt;"",D154=""),A153+1,A153)</f>
        <v>14</v>
      </c>
      <c r="C154" t="str">
        <f>$F152</f>
        <v>Bedford Preferred Equity (HMG)</v>
      </c>
      <c r="D154" s="3" t="str">
        <f t="shared" si="272"/>
        <v>A_BEDS_TOTAL - Total Available Beds</v>
      </c>
      <c r="F154" s="19" t="str">
        <f>_xll.EVDES(D154)</f>
        <v>Total Available Beds</v>
      </c>
      <c r="G154" s="61">
        <f ca="1">SUMIFS(OFFSET('BPC Data'!$F:$F,0,Summary!G$2),'BPC Data'!$E:$E,Summary!$D154,'BPC Data'!$B:$B,Summary!$C154)</f>
        <v>140</v>
      </c>
      <c r="H154" s="65">
        <f ca="1">SUMIFS(OFFSET('BPC Data'!$F:$F,0,Summary!H$2),'BPC Data'!$E:$E,Summary!$D154,'BPC Data'!$B:$B,Summary!$C154)</f>
        <v>140</v>
      </c>
      <c r="I154" s="61">
        <f ca="1">SUMIFS(OFFSET('BPC Data'!$F:$F,0,Summary!I$2),'BPC Data'!$E:$E,Summary!$D154,'BPC Data'!$B:$B,Summary!$C154)</f>
        <v>140</v>
      </c>
      <c r="J154" s="65">
        <f ca="1">SUMIFS(OFFSET('BPC Data'!$F:$F,0,Summary!J$2),'BPC Data'!$E:$E,Summary!$D154,'BPC Data'!$B:$B,Summary!$C154)</f>
        <v>140</v>
      </c>
      <c r="K154" s="61">
        <f ca="1">SUMIFS(OFFSET('BPC Data'!$F:$F,0,Summary!K$2),'BPC Data'!$E:$E,Summary!$D154,'BPC Data'!$B:$B,Summary!$C154)</f>
        <v>140</v>
      </c>
      <c r="L154" s="65">
        <f ca="1">SUMIFS(OFFSET('BPC Data'!$F:$F,0,Summary!L$2),'BPC Data'!$E:$E,Summary!$D154,'BPC Data'!$B:$B,Summary!$C154)</f>
        <v>140</v>
      </c>
      <c r="M154" s="61">
        <f ca="1">SUMIFS(OFFSET('BPC Data'!$F:$F,0,Summary!M$2),'BPC Data'!$E:$E,Summary!$D154,'BPC Data'!$B:$B,Summary!$C154)</f>
        <v>140</v>
      </c>
      <c r="N154" s="65">
        <f ca="1">SUMIFS(OFFSET('BPC Data'!$F:$F,0,Summary!N$2),'BPC Data'!$E:$E,Summary!$D154,'BPC Data'!$B:$B,Summary!$C154)</f>
        <v>140</v>
      </c>
      <c r="O154" s="61">
        <f ca="1">SUMIFS(OFFSET('BPC Data'!$F:$F,0,Summary!O$2),'BPC Data'!$E:$E,Summary!$D154,'BPC Data'!$B:$B,Summary!$C154)</f>
        <v>140</v>
      </c>
      <c r="P154" s="65">
        <f ca="1">SUMIFS(OFFSET('BPC Data'!$F:$F,0,Summary!P$2),'BPC Data'!$E:$E,Summary!$D154,'BPC Data'!$B:$B,Summary!$C154)</f>
        <v>140</v>
      </c>
      <c r="Q154" s="61">
        <f ca="1">SUMIFS(OFFSET('BPC Data'!$F:$F,0,Summary!Q$2),'BPC Data'!$E:$E,Summary!$D154,'BPC Data'!$B:$B,Summary!$C154)</f>
        <v>140</v>
      </c>
      <c r="R154" s="65">
        <f ca="1">SUMIFS(OFFSET('BPC Data'!$F:$F,0,Summary!R$2),'BPC Data'!$E:$E,Summary!$D154,'BPC Data'!$B:$B,Summary!$C154)</f>
        <v>140</v>
      </c>
      <c r="S154" s="23">
        <f ca="1">+R154</f>
        <v>140</v>
      </c>
      <c r="T154" s="74"/>
      <c r="U154" s="54"/>
      <c r="AJ154" s="49"/>
      <c r="AK154" s="49"/>
      <c r="AL154" s="49"/>
      <c r="AM154" s="49"/>
      <c r="AN154" s="49"/>
      <c r="AO154" s="49"/>
      <c r="AP154" s="49"/>
      <c r="AQ154" s="49"/>
      <c r="AR154" s="49"/>
      <c r="AS154" s="49"/>
      <c r="AT154" s="49"/>
      <c r="AU154" s="49"/>
    </row>
    <row r="155" spans="1:47" s="12" customFormat="1">
      <c r="A155" s="12">
        <f t="shared" si="285"/>
        <v>14</v>
      </c>
      <c r="B155"/>
      <c r="C155" t="str">
        <f>$F152</f>
        <v>Bedford Preferred Equity (HMG)</v>
      </c>
      <c r="D155" s="3" t="str">
        <f t="shared" si="272"/>
        <v>T_REVENUES - Total Tenant Revenues</v>
      </c>
      <c r="E155"/>
      <c r="F155" s="19" t="str">
        <f>_xll.EVDES(D155)</f>
        <v>Total Tenant Revenues</v>
      </c>
      <c r="G155" s="61">
        <f ca="1">SUMIFS(OFFSET('BPC Data'!$F:$F,0,Summary!G$2),'BPC Data'!$E:$E,Summary!$D155,'BPC Data'!$B:$B,Summary!$C155)</f>
        <v>819623</v>
      </c>
      <c r="H155" s="65">
        <f ca="1">SUMIFS(OFFSET('BPC Data'!$F:$F,0,Summary!H$2),'BPC Data'!$E:$E,Summary!$D155,'BPC Data'!$B:$B,Summary!$C155)</f>
        <v>782005</v>
      </c>
      <c r="I155" s="61">
        <f ca="1">SUMIFS(OFFSET('BPC Data'!$F:$F,0,Summary!I$2),'BPC Data'!$E:$E,Summary!$D155,'BPC Data'!$B:$B,Summary!$C155)</f>
        <v>801619</v>
      </c>
      <c r="J155" s="65">
        <f ca="1">SUMIFS(OFFSET('BPC Data'!$F:$F,0,Summary!J$2),'BPC Data'!$E:$E,Summary!$D155,'BPC Data'!$B:$B,Summary!$C155)</f>
        <v>759812</v>
      </c>
      <c r="K155" s="61">
        <f ca="1">SUMIFS(OFFSET('BPC Data'!$F:$F,0,Summary!K$2),'BPC Data'!$E:$E,Summary!$D155,'BPC Data'!$B:$B,Summary!$C155)</f>
        <v>831918</v>
      </c>
      <c r="L155" s="65">
        <f ca="1">SUMIFS(OFFSET('BPC Data'!$F:$F,0,Summary!L$2),'BPC Data'!$E:$E,Summary!$D155,'BPC Data'!$B:$B,Summary!$C155)</f>
        <v>914458</v>
      </c>
      <c r="M155" s="61">
        <f ca="1">SUMIFS(OFFSET('BPC Data'!$F:$F,0,Summary!M$2),'BPC Data'!$E:$E,Summary!$D155,'BPC Data'!$B:$B,Summary!$C155)</f>
        <v>876372</v>
      </c>
      <c r="N155" s="65">
        <f ca="1">SUMIFS(OFFSET('BPC Data'!$F:$F,0,Summary!N$2),'BPC Data'!$E:$E,Summary!$D155,'BPC Data'!$B:$B,Summary!$C155)</f>
        <v>943566</v>
      </c>
      <c r="O155" s="61">
        <f ca="1">SUMIFS(OFFSET('BPC Data'!$F:$F,0,Summary!O$2),'BPC Data'!$E:$E,Summary!$D155,'BPC Data'!$B:$B,Summary!$C155)</f>
        <v>909783</v>
      </c>
      <c r="P155" s="65">
        <f ca="1">SUMIFS(OFFSET('BPC Data'!$F:$F,0,Summary!P$2),'BPC Data'!$E:$E,Summary!$D155,'BPC Data'!$B:$B,Summary!$C155)</f>
        <v>1002585</v>
      </c>
      <c r="Q155" s="61">
        <f ca="1">SUMIFS(OFFSET('BPC Data'!$F:$F,0,Summary!Q$2),'BPC Data'!$E:$E,Summary!$D155,'BPC Data'!$B:$B,Summary!$C155)</f>
        <v>929277</v>
      </c>
      <c r="R155" s="65">
        <f ca="1">SUMIFS(OFFSET('BPC Data'!$F:$F,0,Summary!R$2),'BPC Data'!$E:$E,Summary!$D155,'BPC Data'!$B:$B,Summary!$C155)</f>
        <v>944102</v>
      </c>
      <c r="S155" s="23">
        <f t="shared" ref="S155:S161" ca="1" si="286">SUM(G155:R155)</f>
        <v>10515120</v>
      </c>
      <c r="T155" s="74">
        <f ca="1">SUM(W155:AH155)</f>
        <v>9974167.2699999977</v>
      </c>
      <c r="U155" s="54">
        <f ca="1">T155-S155</f>
        <v>-540952.73000000231</v>
      </c>
      <c r="W155" s="4">
        <f ca="1">SUMIFS(INDIRECT("'"&amp;$W$151&amp;"'"&amp;"!$B$64:$B$5000"),INDIRECT("'"&amp;$W$151&amp;"'"&amp;"!$A$64:$A$5000"),$V$1)-SUMIFS(INDIRECT("'"&amp;$W$151&amp;"'"&amp;"!$B$64:$B$5000"),INDIRECT("'"&amp;$W$151&amp;"'"&amp;"!$A$64:$A$5000"),$V$2)-SUMIFS(INDIRECT("'"&amp;$W$151&amp;"'"&amp;"!$B$64:$B$5000"),INDIRECT("'"&amp;$W$151&amp;"'"&amp;"!$A$64:$A$5000"),$V$3)-SUMIFS(INDIRECT("'"&amp;$W$151&amp;"'"&amp;"!$B$64:$B$5000"),INDIRECT("'"&amp;$W$151&amp;"'"&amp;"!$A$64:$A$5000"),$X$4)-SUMIFS(INDIRECT("'"&amp;$W$151&amp;"'"&amp;"!$B$64:$B$5000"),INDIRECT("'"&amp;$W$151&amp;"'"&amp;"!$A$64:$A$5000"),$X$3)</f>
        <v>819622.47999999952</v>
      </c>
      <c r="X155" s="4">
        <f ca="1">SUMIFS(INDIRECT("'"&amp;$W$151&amp;"'"&amp;"!$C$64:$C$5000"),INDIRECT("'"&amp;$W$151&amp;"'"&amp;"!$A$64:$A$5000"),$V$1)-SUMIFS(INDIRECT("'"&amp;$W$151&amp;"'"&amp;"!$C$64:$C$5000"),INDIRECT("'"&amp;$W$151&amp;"'"&amp;"!$A$64:$A$5000"),$V$2)-SUMIFS(INDIRECT("'"&amp;$W$151&amp;"'"&amp;"!$C$64:$C$5000"),INDIRECT("'"&amp;$W$151&amp;"'"&amp;"!$A$64:$A$5000"),$V$3)-SUMIFS(INDIRECT("'"&amp;$W$151&amp;"'"&amp;"!$C$64:$C$5000"),INDIRECT("'"&amp;$W$151&amp;"'"&amp;"!$A$64:$A$5000"),$X$4)-SUMIFS(INDIRECT("'"&amp;$W$151&amp;"'"&amp;"!$C$64:$C$5000"),INDIRECT("'"&amp;$W$151&amp;"'"&amp;"!$A$64:$A$5000"),$X$3)</f>
        <v>782004.53999999899</v>
      </c>
      <c r="Y155" s="4">
        <f ca="1">SUMIFS(INDIRECT("'"&amp;$W$151&amp;"'"&amp;"!$d$64:$d$5000"),INDIRECT("'"&amp;$W$151&amp;"'"&amp;"!$A$64:$A$5000"),$V$1)-SUMIFS(INDIRECT("'"&amp;$W$151&amp;"'"&amp;"!$d$64:$d$5000"),INDIRECT("'"&amp;$W$151&amp;"'"&amp;"!$A$64:$A$5000"),$V$2)-SUMIFS(INDIRECT("'"&amp;$W$151&amp;"'"&amp;"!$d$64:$d$5000"),INDIRECT("'"&amp;$W$151&amp;"'"&amp;"!$A$64:$A$5000"),$V$3)-SUMIFS(INDIRECT("'"&amp;$W$151&amp;"'"&amp;"!$d$64:$d$5000"),INDIRECT("'"&amp;$W$151&amp;"'"&amp;"!$A$64:$A$5000"),$X$4)-SUMIFS(INDIRECT("'"&amp;$W$151&amp;"'"&amp;"!$d$64:$d$5000"),INDIRECT("'"&amp;$W$151&amp;"'"&amp;"!$A$64:$A$5000"),$X$3)</f>
        <v>801620.12000000081</v>
      </c>
      <c r="Z155" s="4">
        <f ca="1">SUMIFS(INDIRECT("'"&amp;$W$151&amp;"'"&amp;"!$e$64:$e$5000"),INDIRECT("'"&amp;$W$151&amp;"'"&amp;"!$A$64:$A$5000"),$V$1)-SUMIFS(INDIRECT("'"&amp;$W$151&amp;"'"&amp;"!$e$64:$e$5000"),INDIRECT("'"&amp;$W$151&amp;"'"&amp;"!$A$64:$A$5000"),$V$2)-SUMIFS(INDIRECT("'"&amp;$W$151&amp;"'"&amp;"!$e$64:$e$5000"),INDIRECT("'"&amp;$W$151&amp;"'"&amp;"!$A$64:$A$5000"),$V$3)-SUMIFS(INDIRECT("'"&amp;$W$151&amp;"'"&amp;"!$e$64:$e$5000"),INDIRECT("'"&amp;$W$151&amp;"'"&amp;"!$A$64:$A$5000"),$X$4)-SUMIFS(INDIRECT("'"&amp;$W$151&amp;"'"&amp;"!$e$64:$e$5000"),INDIRECT("'"&amp;$W$151&amp;"'"&amp;"!$A$64:$A$5000"),$X$3)</f>
        <v>759810.48000000184</v>
      </c>
      <c r="AA155" s="4">
        <f ca="1">SUMIFS(INDIRECT("'"&amp;$W$151&amp;"'"&amp;"!$f$64:$f$5000"),INDIRECT("'"&amp;$W$151&amp;"'"&amp;"!$A$64:$A$5000"),$V$1)-SUMIFS(INDIRECT("'"&amp;$W$151&amp;"'"&amp;"!$f$64:$f$5000"),INDIRECT("'"&amp;$W$151&amp;"'"&amp;"!$A$64:$A$5000"),$V$2)-SUMIFS(INDIRECT("'"&amp;$W$151&amp;"'"&amp;"!$f$64:$f$5000"),INDIRECT("'"&amp;$W$151&amp;"'"&amp;"!$A$64:$A$5000"),$V$3)-SUMIFS(INDIRECT("'"&amp;$W$151&amp;"'"&amp;"!$f$64:$f$5000"),INDIRECT("'"&amp;$W$151&amp;"'"&amp;"!$A$64:$A$5000"),$X$4)-SUMIFS(INDIRECT("'"&amp;$W$151&amp;"'"&amp;"!$f$64:$f$5000"),INDIRECT("'"&amp;$W$151&amp;"'"&amp;"!$A$64:$A$5000"),$X$3)</f>
        <v>290964.82999999967</v>
      </c>
      <c r="AB155" s="4">
        <f ca="1">SUMIFS(INDIRECT("'"&amp;$W$151&amp;"'"&amp;"!$g$64:$g$5000"),INDIRECT("'"&amp;$W$151&amp;"'"&amp;"!$A$64:$A$5000"),$V$1)-SUMIFS(INDIRECT("'"&amp;$W$151&amp;"'"&amp;"!$g$64:$g$5000"),INDIRECT("'"&amp;$W$151&amp;"'"&amp;"!$A$64:$A$5000"),$V$2)-SUMIFS(INDIRECT("'"&amp;$W$151&amp;"'"&amp;"!$g$64:$g$5000"),INDIRECT("'"&amp;$W$151&amp;"'"&amp;"!$A$64:$A$5000"),$V$3)-SUMIFS(INDIRECT("'"&amp;$W$151&amp;"'"&amp;"!$g$64:$g$5000"),INDIRECT("'"&amp;$W$151&amp;"'"&amp;"!$A$64:$A$5000"),$X$4)-SUMIFS(INDIRECT("'"&amp;$W$151&amp;"'"&amp;"!$g$64:$g$5000"),INDIRECT("'"&amp;$W$151&amp;"'"&amp;"!$A$64:$A$5000"),$X$3)</f>
        <v>914457.75</v>
      </c>
      <c r="AC155" s="4">
        <f ca="1">SUMIFS(INDIRECT("'"&amp;$W$151&amp;"'"&amp;"!$h$64:$h$5000"),INDIRECT("'"&amp;$W$151&amp;"'"&amp;"!$A$64:$A$5000"),$V$1)-SUMIFS(INDIRECT("'"&amp;$W$151&amp;"'"&amp;"!$h$64:$h$5000"),INDIRECT("'"&amp;$W$151&amp;"'"&amp;"!$A$64:$A$5000"),$V$2)-SUMIFS(INDIRECT("'"&amp;$W$151&amp;"'"&amp;"!$h$64:$h$5000"),INDIRECT("'"&amp;$W$151&amp;"'"&amp;"!$A$64:$A$5000"),$V$3)-SUMIFS(INDIRECT("'"&amp;$W$151&amp;"'"&amp;"!$h$64:$h$5000"),INDIRECT("'"&amp;$W$151&amp;"'"&amp;"!$A$64:$A$5000"),$X$4)-SUMIFS(INDIRECT("'"&amp;$W$151&amp;"'"&amp;"!$h$64:$h$5000"),INDIRECT("'"&amp;$W$151&amp;"'"&amp;"!$A$64:$A$5000"),$X$3)</f>
        <v>876371.73999999964</v>
      </c>
      <c r="AD155" s="4">
        <f ca="1">SUMIFS(INDIRECT("'"&amp;$W$151&amp;"'"&amp;"!$i$64:$i$5000"),INDIRECT("'"&amp;$W$151&amp;"'"&amp;"!$A$64:$A$5000"),$V$1)-SUMIFS(INDIRECT("'"&amp;$W$151&amp;"'"&amp;"!$i$64:$i$5000"),INDIRECT("'"&amp;$W$151&amp;"'"&amp;"!$A$64:$A$5000"),$V$2)-SUMIFS(INDIRECT("'"&amp;$W$151&amp;"'"&amp;"!$i$64:$i$5000"),INDIRECT("'"&amp;$W$151&amp;"'"&amp;"!$A$64:$A$5000"),$V$3)-SUMIFS(INDIRECT("'"&amp;$W$151&amp;"'"&amp;"!$i$64:$i$5000"),INDIRECT("'"&amp;$W$151&amp;"'"&amp;"!$A$64:$A$5000"),$X$4)-SUMIFS(INDIRECT("'"&amp;$W$151&amp;"'"&amp;"!$i$64:$i$5000"),INDIRECT("'"&amp;$W$151&amp;"'"&amp;"!$A$64:$A$5000"),$X$3)</f>
        <v>943565.48999999836</v>
      </c>
      <c r="AE155" s="4">
        <f ca="1">SUMIFS(INDIRECT("'"&amp;$W$151&amp;"'"&amp;"!$j$64:$j$5000"),INDIRECT("'"&amp;$W$151&amp;"'"&amp;"!$A$64:$A$5000"),$V$1)-SUMIFS(INDIRECT("'"&amp;$W$151&amp;"'"&amp;"!$j$64:$j$5000"),INDIRECT("'"&amp;$W$151&amp;"'"&amp;"!$A$64:$A$5000"),$V$2)-SUMIFS(INDIRECT("'"&amp;$W$151&amp;"'"&amp;"!$j$64:$j$5000"),INDIRECT("'"&amp;$W$151&amp;"'"&amp;"!$A$64:$A$5000"),$V$3)-SUMIFS(INDIRECT("'"&amp;$W$151&amp;"'"&amp;"!$j$64:$j$5000"),INDIRECT("'"&amp;$W$151&amp;"'"&amp;"!$A$64:$A$5000"),$X$4)-SUMIFS(INDIRECT("'"&amp;$W$151&amp;"'"&amp;"!$j$64:$j$5000"),INDIRECT("'"&amp;$W$151&amp;"'"&amp;"!$A$64:$A$5000"),$X$3)</f>
        <v>909783.41999999911</v>
      </c>
      <c r="AF155" s="4">
        <f ca="1">SUMIFS(INDIRECT("'"&amp;$W$151&amp;"'"&amp;"!$k$64:$k$5000"),INDIRECT("'"&amp;$W$151&amp;"'"&amp;"!$A$64:$A$5000"),$V$1)-SUMIFS(INDIRECT("'"&amp;$W$151&amp;"'"&amp;"!$k$64:$k$5000"),INDIRECT("'"&amp;$W$151&amp;"'"&amp;"!$A$64:$A$5000"),$V$2)-SUMIFS(INDIRECT("'"&amp;$W$151&amp;"'"&amp;"!$k$64:$k$5000"),INDIRECT("'"&amp;$W$151&amp;"'"&amp;"!$A$64:$A$5000"),$V$3)-SUMIFS(INDIRECT("'"&amp;$W$151&amp;"'"&amp;"!$k$64:$k$5000"),INDIRECT("'"&amp;$W$151&amp;"'"&amp;"!$A$64:$A$5000"),$X$4)-SUMIFS(INDIRECT("'"&amp;$W$151&amp;"'"&amp;"!$k$64:$k$5000"),INDIRECT("'"&amp;$W$151&amp;"'"&amp;"!$A$64:$A$5000"),$X$3)</f>
        <v>1002586.0499999989</v>
      </c>
      <c r="AG155" s="4">
        <f ca="1">SUMIFS(INDIRECT("'"&amp;$W$151&amp;"'"&amp;"!$l$64:$l$5000"),INDIRECT("'"&amp;$W$151&amp;"'"&amp;"!$A$64:$A$5000"),$V$1)-SUMIFS(INDIRECT("'"&amp;$W$151&amp;"'"&amp;"!$l$64:$l$5000"),INDIRECT("'"&amp;$W$151&amp;"'"&amp;"!$A$64:$A$5000"),$V$2)-SUMIFS(INDIRECT("'"&amp;$W$151&amp;"'"&amp;"!$l$64:$l$5000"),INDIRECT("'"&amp;$W$151&amp;"'"&amp;"!$A$64:$A$5000"),$V$3)-SUMIFS(INDIRECT("'"&amp;$W$151&amp;"'"&amp;"!$l$64:$l$5000"),INDIRECT("'"&amp;$W$151&amp;"'"&amp;"!$A$64:$A$5000"),$X$4)-SUMIFS(INDIRECT("'"&amp;$W$151&amp;"'"&amp;"!$l$64:$l$5000"),INDIRECT("'"&amp;$W$151&amp;"'"&amp;"!$A$64:$A$5000"),$X$3)</f>
        <v>929277.91</v>
      </c>
      <c r="AH155" s="4">
        <f ca="1">SUMIFS(INDIRECT("'"&amp;$W$151&amp;"'"&amp;"!$m$64:$m$5000"),INDIRECT("'"&amp;$W$151&amp;"'"&amp;"!$A$64:$A$5000"),$V$1)-SUMIFS(INDIRECT("'"&amp;$W$151&amp;"'"&amp;"!$m$64:$m$5000"),INDIRECT("'"&amp;$W$151&amp;"'"&amp;"!$A$64:$A$5000"),$V$2)-SUMIFS(INDIRECT("'"&amp;$W$151&amp;"'"&amp;"!$m$64:$m$5000"),INDIRECT("'"&amp;$W$151&amp;"'"&amp;"!$A$64:$A$5000"),$V$3)-SUMIFS(INDIRECT("'"&amp;$W$151&amp;"'"&amp;"!$m$64:$m$5000"),INDIRECT("'"&amp;$W$151&amp;"'"&amp;"!$A$64:$A$5000"),$X$4)-SUMIFS(INDIRECT("'"&amp;$W$151&amp;"'"&amp;"!$m$64:$m$5000"),INDIRECT("'"&amp;$W$151&amp;"'"&amp;"!$A$64:$A$5000"),$X$3)</f>
        <v>944102.46000000031</v>
      </c>
      <c r="AJ155" s="14">
        <f t="shared" ref="AJ155:AU156" ca="1" si="287">W155-G155</f>
        <v>-0.52000000048428774</v>
      </c>
      <c r="AK155" s="14">
        <f t="shared" ca="1" si="287"/>
        <v>-0.46000000101048499</v>
      </c>
      <c r="AL155" s="14">
        <f t="shared" ca="1" si="287"/>
        <v>1.1200000008102506</v>
      </c>
      <c r="AM155" s="14">
        <f t="shared" ca="1" si="287"/>
        <v>-1.5199999981559813</v>
      </c>
      <c r="AN155" s="14">
        <f t="shared" ca="1" si="287"/>
        <v>-540953.17000000039</v>
      </c>
      <c r="AO155" s="14">
        <f t="shared" ca="1" si="287"/>
        <v>-0.25</v>
      </c>
      <c r="AP155" s="14">
        <f t="shared" ca="1" si="287"/>
        <v>-0.26000000035855919</v>
      </c>
      <c r="AQ155" s="14">
        <f t="shared" ca="1" si="287"/>
        <v>-0.51000000163912773</v>
      </c>
      <c r="AR155" s="14">
        <f t="shared" ca="1" si="287"/>
        <v>0.41999999911058694</v>
      </c>
      <c r="AS155" s="14">
        <f t="shared" ca="1" si="287"/>
        <v>1.0499999988824129</v>
      </c>
      <c r="AT155" s="14">
        <f t="shared" ca="1" si="287"/>
        <v>0.91000000003259629</v>
      </c>
      <c r="AU155" s="14">
        <f t="shared" ca="1" si="287"/>
        <v>0.46000000031199306</v>
      </c>
    </row>
    <row r="156" spans="1:47" s="12" customFormat="1">
      <c r="A156" s="12">
        <f t="shared" si="285"/>
        <v>14</v>
      </c>
      <c r="B156"/>
      <c r="C156" t="str">
        <f>$F152</f>
        <v>Bedford Preferred Equity (HMG)</v>
      </c>
      <c r="D156" s="3" t="str">
        <f t="shared" si="272"/>
        <v>T_OPEX - Tenant Operating Expenses</v>
      </c>
      <c r="E156"/>
      <c r="F156" s="19" t="str">
        <f>_xll.EVDES(D156)</f>
        <v>Tenant Operating Expenses</v>
      </c>
      <c r="G156" s="61">
        <f ca="1">SUMIFS(OFFSET('BPC Data'!$F:$F,0,Summary!G$2),'BPC Data'!$E:$E,Summary!$D156,'BPC Data'!$B:$B,Summary!$C156)</f>
        <v>730518</v>
      </c>
      <c r="H156" s="65">
        <f ca="1">SUMIFS(OFFSET('BPC Data'!$F:$F,0,Summary!H$2),'BPC Data'!$E:$E,Summary!$D156,'BPC Data'!$B:$B,Summary!$C156)</f>
        <v>699004</v>
      </c>
      <c r="I156" s="61">
        <f ca="1">SUMIFS(OFFSET('BPC Data'!$F:$F,0,Summary!I$2),'BPC Data'!$E:$E,Summary!$D156,'BPC Data'!$B:$B,Summary!$C156)</f>
        <v>750086</v>
      </c>
      <c r="J156" s="65">
        <f ca="1">SUMIFS(OFFSET('BPC Data'!$F:$F,0,Summary!J$2),'BPC Data'!$E:$E,Summary!$D156,'BPC Data'!$B:$B,Summary!$C156)</f>
        <v>663370</v>
      </c>
      <c r="K156" s="61">
        <f ca="1">SUMIFS(OFFSET('BPC Data'!$F:$F,0,Summary!K$2),'BPC Data'!$E:$E,Summary!$D156,'BPC Data'!$B:$B,Summary!$C156)</f>
        <v>708665</v>
      </c>
      <c r="L156" s="65">
        <f ca="1">SUMIFS(OFFSET('BPC Data'!$F:$F,0,Summary!L$2),'BPC Data'!$E:$E,Summary!$D156,'BPC Data'!$B:$B,Summary!$C156)</f>
        <v>762408</v>
      </c>
      <c r="M156" s="61">
        <f ca="1">SUMIFS(OFFSET('BPC Data'!$F:$F,0,Summary!M$2),'BPC Data'!$E:$E,Summary!$D156,'BPC Data'!$B:$B,Summary!$C156)</f>
        <v>756131</v>
      </c>
      <c r="N156" s="65">
        <f ca="1">SUMIFS(OFFSET('BPC Data'!$F:$F,0,Summary!N$2),'BPC Data'!$E:$E,Summary!$D156,'BPC Data'!$B:$B,Summary!$C156)</f>
        <v>787066</v>
      </c>
      <c r="O156" s="61">
        <f ca="1">SUMIFS(OFFSET('BPC Data'!$F:$F,0,Summary!O$2),'BPC Data'!$E:$E,Summary!$D156,'BPC Data'!$B:$B,Summary!$C156)</f>
        <v>753980</v>
      </c>
      <c r="P156" s="65">
        <f ca="1">SUMIFS(OFFSET('BPC Data'!$F:$F,0,Summary!P$2),'BPC Data'!$E:$E,Summary!$D156,'BPC Data'!$B:$B,Summary!$C156)</f>
        <v>766786</v>
      </c>
      <c r="Q156" s="61">
        <f ca="1">SUMIFS(OFFSET('BPC Data'!$F:$F,0,Summary!Q$2),'BPC Data'!$E:$E,Summary!$D156,'BPC Data'!$B:$B,Summary!$C156)</f>
        <v>804104</v>
      </c>
      <c r="R156" s="65">
        <f ca="1">SUMIFS(OFFSET('BPC Data'!$F:$F,0,Summary!R$2),'BPC Data'!$E:$E,Summary!$D156,'BPC Data'!$B:$B,Summary!$C156)</f>
        <v>805109</v>
      </c>
      <c r="S156" s="23">
        <f t="shared" ca="1" si="286"/>
        <v>8987227</v>
      </c>
      <c r="T156" s="74">
        <f ca="1">SUM(W156:AH156)</f>
        <v>8905026.1500000022</v>
      </c>
      <c r="U156" s="54">
        <f ca="1">T156-S156</f>
        <v>-82200.849999997765</v>
      </c>
      <c r="W156" s="4">
        <f ca="1">SUMIFS(INDIRECT("'"&amp;$W$151&amp;"'"&amp;"!$B$64:$B$5000"),INDIRECT("'"&amp;$W$151&amp;"'"&amp;"!$A$64:$A$5000"),$V$4)-SUMIFS(INDIRECT("'"&amp;$W$151&amp;"'"&amp;"!$B$64:$B$5000"),INDIRECT("'"&amp;$W$151&amp;"'"&amp;"!$A$64:$A$5000"),$V$5)-SUMIFS(INDIRECT("'"&amp;$W$151&amp;"'"&amp;"!$B$64:$B$5000"),INDIRECT("'"&amp;$W$151&amp;"'"&amp;"!$A$64:$A$5000"),$V$6)-SUMIFS(INDIRECT("'"&amp;$W$151&amp;"'"&amp;"!$B$64:$B$5000"),INDIRECT("'"&amp;$W$151&amp;"'"&amp;"!$A$64:$A$5000"),$W$6)-SUMIFS(INDIRECT("'"&amp;$W$151&amp;"'"&amp;"!$B$64:$B$5000"),INDIRECT("'"&amp;$W$151&amp;"'"&amp;"!$A$64:$A$5000"),$W$7)-SUMIFS(INDIRECT("'"&amp;$W$151&amp;"'"&amp;"!$B$64:$B$5000"),INDIRECT("'"&amp;$W$151&amp;"'"&amp;"!$A$64:$A$5000"),$X$3)-W161-W159</f>
        <v>730517.65000000061</v>
      </c>
      <c r="X156" s="4">
        <f ca="1">SUMIFS(INDIRECT("'"&amp;$W$151&amp;"'"&amp;"!$C$64:$C$5000"),INDIRECT("'"&amp;$W$151&amp;"'"&amp;"!$A$64:$A$5000"),$V$4)-SUMIFS(INDIRECT("'"&amp;$W$151&amp;"'"&amp;"!$C$64:$C$5000"),INDIRECT("'"&amp;$W$151&amp;"'"&amp;"!$A$64:$A$5000"),$V$5)-SUMIFS(INDIRECT("'"&amp;$W$151&amp;"'"&amp;"!$C$64:$C$5000"),INDIRECT("'"&amp;$W$151&amp;"'"&amp;"!$A$64:$A$5000"),$V$6)-SUMIFS(INDIRECT("'"&amp;$W$151&amp;"'"&amp;"!$C$64:$C$5000"),INDIRECT("'"&amp;$W$151&amp;"'"&amp;"!$A$64:$A$5000"),$W$6)-SUMIFS(INDIRECT("'"&amp;$W$151&amp;"'"&amp;"!$C$64:$C$5000"),INDIRECT("'"&amp;$W$151&amp;"'"&amp;"!$A$64:$A$5000"),$W$7)-SUMIFS(INDIRECT("'"&amp;$W$151&amp;"'"&amp;"!$C$64:$C$5000"),INDIRECT("'"&amp;$W$151&amp;"'"&amp;"!$A$64:$A$5000"),$X$3)-X161-X159</f>
        <v>699003.2500000007</v>
      </c>
      <c r="Y156" s="4">
        <f ca="1">SUMIFS(INDIRECT("'"&amp;$W$151&amp;"'"&amp;"!$d$64:$d$5000"),INDIRECT("'"&amp;$W$151&amp;"'"&amp;"!$A$64:$A$5000"),$V$4)-SUMIFS(INDIRECT("'"&amp;$W$151&amp;"'"&amp;"!$d$64:$d$5000"),INDIRECT("'"&amp;$W$151&amp;"'"&amp;"!$A$64:$A$5000"),$V$5)-SUMIFS(INDIRECT("'"&amp;$W$151&amp;"'"&amp;"!$d$64:$d$5000"),INDIRECT("'"&amp;$W$151&amp;"'"&amp;"!$A$64:$A$5000"),$V$6)-SUMIFS(INDIRECT("'"&amp;$W$151&amp;"'"&amp;"!$d$64:$d$5000"),INDIRECT("'"&amp;$W$151&amp;"'"&amp;"!$A$64:$A$5000"),$W$6)-SUMIFS(INDIRECT("'"&amp;$W$151&amp;"'"&amp;"!$d$64:$d$5000"),INDIRECT("'"&amp;$W$151&amp;"'"&amp;"!$A$64:$A$5000"),$W$7)-SUMIFS(INDIRECT("'"&amp;$W$151&amp;"'"&amp;"!$d$64:$d$5000"),INDIRECT("'"&amp;$W$151&amp;"'"&amp;"!$A$64:$A$5000"),$X$3)-Y161-Y159</f>
        <v>750088.1400000006</v>
      </c>
      <c r="Z156" s="4">
        <f ca="1">SUMIFS(INDIRECT("'"&amp;$W$151&amp;"'"&amp;"!$e$64:$e$5000"),INDIRECT("'"&amp;$W$151&amp;"'"&amp;"!$A$64:$A$5000"),$V$4)-SUMIFS(INDIRECT("'"&amp;$W$151&amp;"'"&amp;"!$e$64:$e$5000"),INDIRECT("'"&amp;$W$151&amp;"'"&amp;"!$A$64:$A$5000"),$V$5)-SUMIFS(INDIRECT("'"&amp;$W$151&amp;"'"&amp;"!$e$64:$e$5000"),INDIRECT("'"&amp;$W$151&amp;"'"&amp;"!$A$64:$A$5000"),$V$6)-SUMIFS(INDIRECT("'"&amp;$W$151&amp;"'"&amp;"!$e$64:$e$5000"),INDIRECT("'"&amp;$W$151&amp;"'"&amp;"!$A$64:$A$5000"),$W$6)-SUMIFS(INDIRECT("'"&amp;$W$151&amp;"'"&amp;"!$e$64:$e$5000"),INDIRECT("'"&amp;$W$151&amp;"'"&amp;"!$A$64:$A$5000"),$W$7)-SUMIFS(INDIRECT("'"&amp;$W$151&amp;"'"&amp;"!$e$64:$e$5000"),INDIRECT("'"&amp;$W$151&amp;"'"&amp;"!$A$64:$A$5000"),$X$3)-Z161-Z159</f>
        <v>663372.09000000043</v>
      </c>
      <c r="AA156" s="4">
        <f ca="1">SUMIFS(INDIRECT("'"&amp;$W$151&amp;"'"&amp;"!$f$64:$f$5000"),INDIRECT("'"&amp;$W$151&amp;"'"&amp;"!$A$64:$A$5000"),$V$4)-SUMIFS(INDIRECT("'"&amp;$W$151&amp;"'"&amp;"!$f$64:$f$5000"),INDIRECT("'"&amp;$W$151&amp;"'"&amp;"!$A$64:$A$5000"),$V$5)-SUMIFS(INDIRECT("'"&amp;$W$151&amp;"'"&amp;"!$f$64:$f$5000"),INDIRECT("'"&amp;$W$151&amp;"'"&amp;"!$A$64:$A$5000"),$V$6)-SUMIFS(INDIRECT("'"&amp;$W$151&amp;"'"&amp;"!$f$64:$f$5000"),INDIRECT("'"&amp;$W$151&amp;"'"&amp;"!$A$64:$A$5000"),$W$6)-SUMIFS(INDIRECT("'"&amp;$W$151&amp;"'"&amp;"!$f$64:$f$5000"),INDIRECT("'"&amp;$W$151&amp;"'"&amp;"!$A$64:$A$5000"),$W$7)-SUMIFS(INDIRECT("'"&amp;$W$151&amp;"'"&amp;"!$f$64:$f$5000"),INDIRECT("'"&amp;$W$151&amp;"'"&amp;"!$A$64:$A$5000"),$X$3)-AA161-AA159</f>
        <v>626462.12999999954</v>
      </c>
      <c r="AB156" s="4">
        <f ca="1">SUMIFS(INDIRECT("'"&amp;$W$151&amp;"'"&amp;"!$g$64:$g$5000"),INDIRECT("'"&amp;$W$151&amp;"'"&amp;"!$A$64:$A$5000"),$V$4)-SUMIFS(INDIRECT("'"&amp;$W$151&amp;"'"&amp;"!$g$64:$g$5000"),INDIRECT("'"&amp;$W$151&amp;"'"&amp;"!$A$64:$A$5000"),$V$5)-SUMIFS(INDIRECT("'"&amp;$W$151&amp;"'"&amp;"!$g$64:$g$5000"),INDIRECT("'"&amp;$W$151&amp;"'"&amp;"!$A$64:$A$5000"),$V$6)-SUMIFS(INDIRECT("'"&amp;$W$151&amp;"'"&amp;"!$g$64:$g$5000"),INDIRECT("'"&amp;$W$151&amp;"'"&amp;"!$A$64:$A$5000"),$W$6)-SUMIFS(INDIRECT("'"&amp;$W$151&amp;"'"&amp;"!$g$64:$g$5000"),INDIRECT("'"&amp;$W$151&amp;"'"&amp;"!$A$64:$A$5000"),$W$7)-SUMIFS(INDIRECT("'"&amp;$W$151&amp;"'"&amp;"!$g$64:$g$5000"),INDIRECT("'"&amp;$W$151&amp;"'"&amp;"!$A$64:$A$5000"),$X$3)-AB161-AB159</f>
        <v>762407.63000000059</v>
      </c>
      <c r="AC156" s="4">
        <f ca="1">SUMIFS(INDIRECT("'"&amp;$W$151&amp;"'"&amp;"!$h$64:$h$5000"),INDIRECT("'"&amp;$W$151&amp;"'"&amp;"!$A$64:$A$5000"),$V$4)-SUMIFS(INDIRECT("'"&amp;$W$151&amp;"'"&amp;"!$h$64:$h$5000"),INDIRECT("'"&amp;$W$151&amp;"'"&amp;"!$A$64:$A$5000"),$V$5)-SUMIFS(INDIRECT("'"&amp;$W$151&amp;"'"&amp;"!$h$64:$h$5000"),INDIRECT("'"&amp;$W$151&amp;"'"&amp;"!$A$64:$A$5000"),$V$6)-SUMIFS(INDIRECT("'"&amp;$W$151&amp;"'"&amp;"!$h$64:$h$5000"),INDIRECT("'"&amp;$W$151&amp;"'"&amp;"!$A$64:$A$5000"),$W$6)-SUMIFS(INDIRECT("'"&amp;$W$151&amp;"'"&amp;"!$h$64:$h$5000"),INDIRECT("'"&amp;$W$151&amp;"'"&amp;"!$A$64:$A$5000"),$W$7)-SUMIFS(INDIRECT("'"&amp;$W$151&amp;"'"&amp;"!$h$64:$h$5000"),INDIRECT("'"&amp;$W$151&amp;"'"&amp;"!$A$64:$A$5000"),$X$3)-AC161-AC159</f>
        <v>756130.57999999984</v>
      </c>
      <c r="AD156" s="4">
        <f ca="1">SUMIFS(INDIRECT("'"&amp;$W$151&amp;"'"&amp;"!$i$64:$i$5000"),INDIRECT("'"&amp;$W$151&amp;"'"&amp;"!$A$64:$A$5000"),$V$4)-SUMIFS(INDIRECT("'"&amp;$W$151&amp;"'"&amp;"!$i$64:$i$5000"),INDIRECT("'"&amp;$W$151&amp;"'"&amp;"!$A$64:$A$5000"),$V$5)-SUMIFS(INDIRECT("'"&amp;$W$151&amp;"'"&amp;"!$i$64:$i$5000"),INDIRECT("'"&amp;$W$151&amp;"'"&amp;"!$A$64:$A$5000"),$V$6)-SUMIFS(INDIRECT("'"&amp;$W$151&amp;"'"&amp;"!$i$64:$i$5000"),INDIRECT("'"&amp;$W$151&amp;"'"&amp;"!$A$64:$A$5000"),$W$6)-SUMIFS(INDIRECT("'"&amp;$W$151&amp;"'"&amp;"!$i$64:$i$5000"),INDIRECT("'"&amp;$W$151&amp;"'"&amp;"!$A$64:$A$5000"),$W$7)-SUMIFS(INDIRECT("'"&amp;$W$151&amp;"'"&amp;"!$i$64:$i$5000"),INDIRECT("'"&amp;$W$151&amp;"'"&amp;"!$A$64:$A$5000"),$X$3)-AD161-AD159</f>
        <v>787065.79999999946</v>
      </c>
      <c r="AE156" s="4">
        <f ca="1">SUMIFS(INDIRECT("'"&amp;$W$151&amp;"'"&amp;"!$j$64:$j$5000"),INDIRECT("'"&amp;$W$151&amp;"'"&amp;"!$A$64:$A$5000"),$V$4)-SUMIFS(INDIRECT("'"&amp;$W$151&amp;"'"&amp;"!$j$64:$j$5000"),INDIRECT("'"&amp;$W$151&amp;"'"&amp;"!$A$64:$A$5000"),$V$5)-SUMIFS(INDIRECT("'"&amp;$W$151&amp;"'"&amp;"!$j$64:$j$5000"),INDIRECT("'"&amp;$W$151&amp;"'"&amp;"!$A$64:$A$5000"),$V$6)-SUMIFS(INDIRECT("'"&amp;$W$151&amp;"'"&amp;"!$j$64:$j$5000"),INDIRECT("'"&amp;$W$151&amp;"'"&amp;"!$A$64:$A$5000"),$W$6)-SUMIFS(INDIRECT("'"&amp;$W$151&amp;"'"&amp;"!$j$64:$j$5000"),INDIRECT("'"&amp;$W$151&amp;"'"&amp;"!$A$64:$A$5000"),$W$7)-SUMIFS(INDIRECT("'"&amp;$W$151&amp;"'"&amp;"!$j$64:$j$5000"),INDIRECT("'"&amp;$W$151&amp;"'"&amp;"!$A$64:$A$5000"),$X$3)-AE161-AE159</f>
        <v>753979.75999999954</v>
      </c>
      <c r="AF156" s="4">
        <f ca="1">SUMIFS(INDIRECT("'"&amp;$W$151&amp;"'"&amp;"!$k$64:$k$5000"),INDIRECT("'"&amp;$W$151&amp;"'"&amp;"!$A$64:$A$5000"),$V$4)-SUMIFS(INDIRECT("'"&amp;$W$151&amp;"'"&amp;"!$k$64:$k$5000"),INDIRECT("'"&amp;$W$151&amp;"'"&amp;"!$A$64:$A$5000"),$V$5)-SUMIFS(INDIRECT("'"&amp;$W$151&amp;"'"&amp;"!$k$64:$k$5000"),INDIRECT("'"&amp;$W$151&amp;"'"&amp;"!$A$64:$A$5000"),$V$6)-SUMIFS(INDIRECT("'"&amp;$W$151&amp;"'"&amp;"!$k$64:$k$5000"),INDIRECT("'"&amp;$W$151&amp;"'"&amp;"!$A$64:$A$5000"),$W$6)-SUMIFS(INDIRECT("'"&amp;$W$151&amp;"'"&amp;"!$k$64:$k$5000"),INDIRECT("'"&amp;$W$151&amp;"'"&amp;"!$A$64:$A$5000"),$W$7)-SUMIFS(INDIRECT("'"&amp;$W$151&amp;"'"&amp;"!$k$64:$k$5000"),INDIRECT("'"&amp;$W$151&amp;"'"&amp;"!$A$64:$A$5000"),$X$3)-AF161-AF159</f>
        <v>766787.69000000029</v>
      </c>
      <c r="AG156" s="4">
        <f ca="1">SUMIFS(INDIRECT("'"&amp;$W$151&amp;"'"&amp;"!$l$64:$l$5000"),INDIRECT("'"&amp;$W$151&amp;"'"&amp;"!$A$64:$A$5000"),$V$4)-SUMIFS(INDIRECT("'"&amp;$W$151&amp;"'"&amp;"!$l$64:$l$5000"),INDIRECT("'"&amp;$W$151&amp;"'"&amp;"!$A$64:$A$5000"),$V$5)-SUMIFS(INDIRECT("'"&amp;$W$151&amp;"'"&amp;"!$l$64:$l$5000"),INDIRECT("'"&amp;$W$151&amp;"'"&amp;"!$A$64:$A$5000"),$V$6)-SUMIFS(INDIRECT("'"&amp;$W$151&amp;"'"&amp;"!$l$64:$l$5000"),INDIRECT("'"&amp;$W$151&amp;"'"&amp;"!$A$64:$A$5000"),$W$6)-SUMIFS(INDIRECT("'"&amp;$W$151&amp;"'"&amp;"!$l$64:$l$5000"),INDIRECT("'"&amp;$W$151&amp;"'"&amp;"!$A$64:$A$5000"),$W$7)-SUMIFS(INDIRECT("'"&amp;$W$151&amp;"'"&amp;"!$l$64:$l$5000"),INDIRECT("'"&amp;$W$151&amp;"'"&amp;"!$A$64:$A$5000"),$X$3)-AG161-AG159</f>
        <v>804104.15000000084</v>
      </c>
      <c r="AH156" s="4">
        <f ca="1">SUMIFS(INDIRECT("'"&amp;$W$151&amp;"'"&amp;"!$m$64:$m$5000"),INDIRECT("'"&amp;$W$151&amp;"'"&amp;"!$A$64:$A$5000"),$V$4)-SUMIFS(INDIRECT("'"&amp;$W$151&amp;"'"&amp;"!$m$64:$m$5000"),INDIRECT("'"&amp;$W$151&amp;"'"&amp;"!$A$64:$A$5000"),$V$5)-SUMIFS(INDIRECT("'"&amp;$W$151&amp;"'"&amp;"!$m$64:$m$5000"),INDIRECT("'"&amp;$W$151&amp;"'"&amp;"!$A$64:$A$5000"),$V$6)-SUMIFS(INDIRECT("'"&amp;$W$151&amp;"'"&amp;"!$m$64:$m$5000"),INDIRECT("'"&amp;$W$151&amp;"'"&amp;"!$A$64:$A$5000"),$W$6)-SUMIFS(INDIRECT("'"&amp;$W$151&amp;"'"&amp;"!$m$64:$m$5000"),INDIRECT("'"&amp;$W$151&amp;"'"&amp;"!$A$64:$A$5000"),$W$7)-SUMIFS(INDIRECT("'"&amp;$W$151&amp;"'"&amp;"!$m$64:$m$5000"),INDIRECT("'"&amp;$W$151&amp;"'"&amp;"!$A$64:$A$5000"),$X$3)-AH161-AH159</f>
        <v>805107.28</v>
      </c>
      <c r="AJ156" s="14">
        <f t="shared" ca="1" si="287"/>
        <v>-0.34999999939464033</v>
      </c>
      <c r="AK156" s="14">
        <f t="shared" ca="1" si="287"/>
        <v>-0.74999999930150807</v>
      </c>
      <c r="AL156" s="14">
        <f t="shared" ca="1" si="287"/>
        <v>2.1400000005960464</v>
      </c>
      <c r="AM156" s="14">
        <f t="shared" ca="1" si="287"/>
        <v>2.090000000433065</v>
      </c>
      <c r="AN156" s="14">
        <f t="shared" ca="1" si="287"/>
        <v>-82202.870000000461</v>
      </c>
      <c r="AO156" s="14">
        <f t="shared" ca="1" si="287"/>
        <v>-0.36999999941326678</v>
      </c>
      <c r="AP156" s="14">
        <f t="shared" ca="1" si="287"/>
        <v>-0.42000000015832484</v>
      </c>
      <c r="AQ156" s="14">
        <f t="shared" ca="1" si="287"/>
        <v>-0.20000000053551048</v>
      </c>
      <c r="AR156" s="14">
        <f t="shared" ca="1" si="287"/>
        <v>-0.24000000045634806</v>
      </c>
      <c r="AS156" s="14">
        <f t="shared" ca="1" si="287"/>
        <v>1.6900000002933666</v>
      </c>
      <c r="AT156" s="14">
        <f t="shared" ca="1" si="287"/>
        <v>0.15000000083819032</v>
      </c>
      <c r="AU156" s="14">
        <f t="shared" ca="1" si="287"/>
        <v>-1.7199999999720603</v>
      </c>
    </row>
    <row r="157" spans="1:47" s="12" customFormat="1">
      <c r="A157" s="12">
        <f t="shared" si="285"/>
        <v>14</v>
      </c>
      <c r="B157"/>
      <c r="C157" t="str">
        <f>$F152</f>
        <v>Bedford Preferred Equity (HMG)</v>
      </c>
      <c r="D157" s="3" t="str">
        <f t="shared" si="272"/>
        <v>T_BAD_DEBT - Tenant Bad Debt Expense</v>
      </c>
      <c r="E157"/>
      <c r="F157" s="19" t="str">
        <f>_xll.EVDES(D157)</f>
        <v>Tenant Bad Debt Expense</v>
      </c>
      <c r="G157" s="61">
        <f ca="1">SUMIFS(OFFSET('BPC Data'!$F:$F,0,Summary!G$2),'BPC Data'!$E:$E,Summary!$D157,'BPC Data'!$B:$B,Summary!$C157)</f>
        <v>8193</v>
      </c>
      <c r="H157" s="65">
        <f ca="1">SUMIFS(OFFSET('BPC Data'!$F:$F,0,Summary!H$2),'BPC Data'!$E:$E,Summary!$D157,'BPC Data'!$B:$B,Summary!$C157)</f>
        <v>7451</v>
      </c>
      <c r="I157" s="61">
        <f ca="1">SUMIFS(OFFSET('BPC Data'!$F:$F,0,Summary!I$2),'BPC Data'!$E:$E,Summary!$D157,'BPC Data'!$B:$B,Summary!$C157)</f>
        <v>8170</v>
      </c>
      <c r="J157" s="65">
        <f ca="1">SUMIFS(OFFSET('BPC Data'!$F:$F,0,Summary!J$2),'BPC Data'!$E:$E,Summary!$D157,'BPC Data'!$B:$B,Summary!$C157)</f>
        <v>7566</v>
      </c>
      <c r="K157" s="61">
        <f ca="1">SUMIFS(OFFSET('BPC Data'!$F:$F,0,Summary!K$2),'BPC Data'!$E:$E,Summary!$D157,'BPC Data'!$B:$B,Summary!$C157)</f>
        <v>8454</v>
      </c>
      <c r="L157" s="65">
        <f ca="1">SUMIFS(OFFSET('BPC Data'!$F:$F,0,Summary!L$2),'BPC Data'!$E:$E,Summary!$D157,'BPC Data'!$B:$B,Summary!$C157)</f>
        <v>8620</v>
      </c>
      <c r="M157" s="61">
        <f ca="1">SUMIFS(OFFSET('BPC Data'!$F:$F,0,Summary!M$2),'BPC Data'!$E:$E,Summary!$D157,'BPC Data'!$B:$B,Summary!$C157)</f>
        <v>21378</v>
      </c>
      <c r="N157" s="65">
        <f ca="1">SUMIFS(OFFSET('BPC Data'!$F:$F,0,Summary!N$2),'BPC Data'!$E:$E,Summary!$D157,'BPC Data'!$B:$B,Summary!$C157)</f>
        <v>9092</v>
      </c>
      <c r="O157" s="61">
        <f ca="1">SUMIFS(OFFSET('BPC Data'!$F:$F,0,Summary!O$2),'BPC Data'!$E:$E,Summary!$D157,'BPC Data'!$B:$B,Summary!$C157)</f>
        <v>8995</v>
      </c>
      <c r="P157" s="65">
        <f ca="1">SUMIFS(OFFSET('BPC Data'!$F:$F,0,Summary!P$2),'BPC Data'!$E:$E,Summary!$D157,'BPC Data'!$B:$B,Summary!$C157)</f>
        <v>12187</v>
      </c>
      <c r="Q157" s="61">
        <f ca="1">SUMIFS(OFFSET('BPC Data'!$F:$F,0,Summary!Q$2),'BPC Data'!$E:$E,Summary!$D157,'BPC Data'!$B:$B,Summary!$C157)</f>
        <v>34254</v>
      </c>
      <c r="R157" s="65">
        <f ca="1">SUMIFS(OFFSET('BPC Data'!$F:$F,0,Summary!R$2),'BPC Data'!$E:$E,Summary!$D157,'BPC Data'!$B:$B,Summary!$C157)</f>
        <v>34129</v>
      </c>
      <c r="S157" s="23">
        <f t="shared" ca="1" si="286"/>
        <v>168489</v>
      </c>
      <c r="T157" s="75"/>
      <c r="U157" s="4"/>
      <c r="W157"/>
      <c r="X157"/>
      <c r="Y157"/>
      <c r="Z157"/>
      <c r="AA157"/>
      <c r="AB157"/>
      <c r="AC157"/>
      <c r="AD157"/>
      <c r="AE157"/>
      <c r="AF157"/>
      <c r="AG157"/>
      <c r="AH157"/>
      <c r="AJ157" s="14"/>
      <c r="AK157" s="49"/>
      <c r="AL157" s="49"/>
      <c r="AM157" s="49"/>
      <c r="AN157" s="49"/>
      <c r="AO157" s="49"/>
      <c r="AP157" s="49"/>
      <c r="AQ157" s="49"/>
      <c r="AR157" s="49"/>
      <c r="AS157" s="49"/>
      <c r="AT157" s="49"/>
      <c r="AU157" s="49"/>
    </row>
    <row r="158" spans="1:47" s="12" customFormat="1">
      <c r="A158" s="12">
        <f t="shared" si="285"/>
        <v>14</v>
      </c>
      <c r="B158"/>
      <c r="C158" t="str">
        <f>$F152</f>
        <v>Bedford Preferred Equity (HMG)</v>
      </c>
      <c r="D158" s="2" t="str">
        <f t="shared" si="272"/>
        <v>T_EBITDARM - EBITDARM</v>
      </c>
      <c r="E158"/>
      <c r="F158" s="19" t="str">
        <f>_xll.EVDES(D158)</f>
        <v>EBITDARM</v>
      </c>
      <c r="G158" s="61">
        <f ca="1">SUMIFS(OFFSET('BPC Data'!$F:$F,0,Summary!G$2),'BPC Data'!$E:$E,Summary!$D158,'BPC Data'!$B:$B,Summary!$C158)</f>
        <v>89105</v>
      </c>
      <c r="H158" s="65">
        <f ca="1">SUMIFS(OFFSET('BPC Data'!$F:$F,0,Summary!H$2),'BPC Data'!$E:$E,Summary!$D158,'BPC Data'!$B:$B,Summary!$C158)</f>
        <v>83001</v>
      </c>
      <c r="I158" s="61">
        <f ca="1">SUMIFS(OFFSET('BPC Data'!$F:$F,0,Summary!I$2),'BPC Data'!$E:$E,Summary!$D158,'BPC Data'!$B:$B,Summary!$C158)</f>
        <v>51533</v>
      </c>
      <c r="J158" s="65">
        <f ca="1">SUMIFS(OFFSET('BPC Data'!$F:$F,0,Summary!J$2),'BPC Data'!$E:$E,Summary!$D158,'BPC Data'!$B:$B,Summary!$C158)</f>
        <v>96442</v>
      </c>
      <c r="K158" s="61">
        <f ca="1">SUMIFS(OFFSET('BPC Data'!$F:$F,0,Summary!K$2),'BPC Data'!$E:$E,Summary!$D158,'BPC Data'!$B:$B,Summary!$C158)</f>
        <v>123253</v>
      </c>
      <c r="L158" s="65">
        <f ca="1">SUMIFS(OFFSET('BPC Data'!$F:$F,0,Summary!L$2),'BPC Data'!$E:$E,Summary!$D158,'BPC Data'!$B:$B,Summary!$C158)</f>
        <v>152050</v>
      </c>
      <c r="M158" s="61">
        <f ca="1">SUMIFS(OFFSET('BPC Data'!$F:$F,0,Summary!M$2),'BPC Data'!$E:$E,Summary!$D158,'BPC Data'!$B:$B,Summary!$C158)</f>
        <v>120241</v>
      </c>
      <c r="N158" s="65">
        <f ca="1">SUMIFS(OFFSET('BPC Data'!$F:$F,0,Summary!N$2),'BPC Data'!$E:$E,Summary!$D158,'BPC Data'!$B:$B,Summary!$C158)</f>
        <v>156500</v>
      </c>
      <c r="O158" s="61">
        <f ca="1">SUMIFS(OFFSET('BPC Data'!$F:$F,0,Summary!O$2),'BPC Data'!$E:$E,Summary!$D158,'BPC Data'!$B:$B,Summary!$C158)</f>
        <v>155803</v>
      </c>
      <c r="P158" s="65">
        <f ca="1">SUMIFS(OFFSET('BPC Data'!$F:$F,0,Summary!P$2),'BPC Data'!$E:$E,Summary!$D158,'BPC Data'!$B:$B,Summary!$C158)</f>
        <v>235799</v>
      </c>
      <c r="Q158" s="61">
        <f ca="1">SUMIFS(OFFSET('BPC Data'!$F:$F,0,Summary!Q$2),'BPC Data'!$E:$E,Summary!$D158,'BPC Data'!$B:$B,Summary!$C158)</f>
        <v>125173</v>
      </c>
      <c r="R158" s="65">
        <f ca="1">SUMIFS(OFFSET('BPC Data'!$F:$F,0,Summary!R$2),'BPC Data'!$E:$E,Summary!$D158,'BPC Data'!$B:$B,Summary!$C158)</f>
        <v>138993</v>
      </c>
      <c r="S158" s="23">
        <f t="shared" ca="1" si="286"/>
        <v>1527893</v>
      </c>
      <c r="T158" s="74">
        <f ca="1">SUM(W158:AH158)</f>
        <v>1069141.1199999945</v>
      </c>
      <c r="U158" s="54">
        <f ca="1">T158-S158</f>
        <v>-458751.88000000548</v>
      </c>
      <c r="W158" s="50">
        <f t="shared" ref="W158" ca="1" si="288">W155-W156</f>
        <v>89104.82999999891</v>
      </c>
      <c r="X158" s="50">
        <f t="shared" ref="X158:Y158" ca="1" si="289">X155-X156</f>
        <v>83001.289999998291</v>
      </c>
      <c r="Y158" s="50">
        <f t="shared" ca="1" si="289"/>
        <v>51531.980000000214</v>
      </c>
      <c r="Z158" s="50">
        <f t="shared" ref="Z158:AB158" ca="1" si="290">Z155-Z156</f>
        <v>96438.390000001411</v>
      </c>
      <c r="AA158" s="50">
        <f t="shared" ca="1" si="290"/>
        <v>-335497.29999999987</v>
      </c>
      <c r="AB158" s="50">
        <f t="shared" ca="1" si="290"/>
        <v>152050.11999999941</v>
      </c>
      <c r="AC158" s="50">
        <f t="shared" ref="AC158" ca="1" si="291">AC155-AC156</f>
        <v>120241.1599999998</v>
      </c>
      <c r="AD158" s="50">
        <f t="shared" ref="AD158:AH158" ca="1" si="292">AD155-AD156</f>
        <v>156499.6899999989</v>
      </c>
      <c r="AE158" s="50">
        <f t="shared" ca="1" si="292"/>
        <v>155803.65999999957</v>
      </c>
      <c r="AF158" s="50">
        <f t="shared" ca="1" si="292"/>
        <v>235798.35999999859</v>
      </c>
      <c r="AG158" s="50">
        <f t="shared" ca="1" si="292"/>
        <v>125173.75999999919</v>
      </c>
      <c r="AH158" s="50">
        <f t="shared" ca="1" si="292"/>
        <v>138995.18000000028</v>
      </c>
      <c r="AJ158" s="14">
        <f t="shared" ref="AJ158:AU161" ca="1" si="293">W158-G158</f>
        <v>-0.17000000108964741</v>
      </c>
      <c r="AK158" s="14">
        <f t="shared" ca="1" si="293"/>
        <v>0.28999999829102308</v>
      </c>
      <c r="AL158" s="14">
        <f t="shared" ca="1" si="293"/>
        <v>-1.0199999997857958</v>
      </c>
      <c r="AM158" s="14">
        <f t="shared" ca="1" si="293"/>
        <v>-3.6099999985890463</v>
      </c>
      <c r="AN158" s="14">
        <f t="shared" ca="1" si="293"/>
        <v>-458750.29999999987</v>
      </c>
      <c r="AO158" s="14">
        <f t="shared" ca="1" si="293"/>
        <v>0.11999999941326678</v>
      </c>
      <c r="AP158" s="14">
        <f t="shared" ca="1" si="293"/>
        <v>0.15999999979976565</v>
      </c>
      <c r="AQ158" s="14">
        <f t="shared" ca="1" si="293"/>
        <v>-0.31000000110361725</v>
      </c>
      <c r="AR158" s="14">
        <f t="shared" ca="1" si="293"/>
        <v>0.659999999566935</v>
      </c>
      <c r="AS158" s="14">
        <f t="shared" ca="1" si="293"/>
        <v>-0.6400000014109537</v>
      </c>
      <c r="AT158" s="14">
        <f t="shared" ca="1" si="293"/>
        <v>0.75999999919440597</v>
      </c>
      <c r="AU158" s="14">
        <f t="shared" ca="1" si="293"/>
        <v>2.1800000002840534</v>
      </c>
    </row>
    <row r="159" spans="1:47" s="12" customFormat="1">
      <c r="A159" s="12">
        <f t="shared" si="285"/>
        <v>14</v>
      </c>
      <c r="B159"/>
      <c r="C159" t="str">
        <f>$F152</f>
        <v>Bedford Preferred Equity (HMG)</v>
      </c>
      <c r="D159" s="2" t="str">
        <f t="shared" si="272"/>
        <v>T_MGMT_FEE - Tenant Management Fee - Actual</v>
      </c>
      <c r="E159"/>
      <c r="F159" s="19" t="str">
        <f>_xll.EVDES(D159)</f>
        <v>Tenant Management Fee - Actual</v>
      </c>
      <c r="G159" s="61">
        <f ca="1">SUMIFS(OFFSET('BPC Data'!$F:$F,0,Summary!G$2),'BPC Data'!$E:$E,Summary!$D159,'BPC Data'!$B:$B,Summary!$C159)</f>
        <v>40963</v>
      </c>
      <c r="H159" s="65">
        <f ca="1">SUMIFS(OFFSET('BPC Data'!$F:$F,0,Summary!H$2),'BPC Data'!$E:$E,Summary!$D159,'BPC Data'!$B:$B,Summary!$C159)</f>
        <v>37256</v>
      </c>
      <c r="I159" s="61">
        <f ca="1">SUMIFS(OFFSET('BPC Data'!$F:$F,0,Summary!I$2),'BPC Data'!$E:$E,Summary!$D159,'BPC Data'!$B:$B,Summary!$C159)</f>
        <v>40848</v>
      </c>
      <c r="J159" s="65">
        <f ca="1">SUMIFS(OFFSET('BPC Data'!$F:$F,0,Summary!J$2),'BPC Data'!$E:$E,Summary!$D159,'BPC Data'!$B:$B,Summary!$C159)</f>
        <v>37831</v>
      </c>
      <c r="K159" s="61">
        <f ca="1">SUMIFS(OFFSET('BPC Data'!$F:$F,0,Summary!K$2),'BPC Data'!$E:$E,Summary!$D159,'BPC Data'!$B:$B,Summary!$C159)</f>
        <v>42269</v>
      </c>
      <c r="L159" s="65">
        <f ca="1">SUMIFS(OFFSET('BPC Data'!$F:$F,0,Summary!L$2),'BPC Data'!$E:$E,Summary!$D159,'BPC Data'!$B:$B,Summary!$C159)</f>
        <v>43099</v>
      </c>
      <c r="M159" s="61">
        <f ca="1">SUMIFS(OFFSET('BPC Data'!$F:$F,0,Summary!M$2),'BPC Data'!$E:$E,Summary!$D159,'BPC Data'!$B:$B,Summary!$C159)</f>
        <v>34690</v>
      </c>
      <c r="N159" s="65">
        <f ca="1">SUMIFS(OFFSET('BPC Data'!$F:$F,0,Summary!N$2),'BPC Data'!$E:$E,Summary!$D159,'BPC Data'!$B:$B,Summary!$C159)</f>
        <v>45459</v>
      </c>
      <c r="O159" s="61">
        <f ca="1">SUMIFS(OFFSET('BPC Data'!$F:$F,0,Summary!O$2),'BPC Data'!$E:$E,Summary!$D159,'BPC Data'!$B:$B,Summary!$C159)</f>
        <v>45244</v>
      </c>
      <c r="P159" s="65">
        <f ca="1">SUMIFS(OFFSET('BPC Data'!$F:$F,0,Summary!P$2),'BPC Data'!$E:$E,Summary!$D159,'BPC Data'!$B:$B,Summary!$C159)</f>
        <v>47799</v>
      </c>
      <c r="Q159" s="61">
        <f ca="1">SUMIFS(OFFSET('BPC Data'!$F:$F,0,Summary!Q$2),'BPC Data'!$E:$E,Summary!$D159,'BPC Data'!$B:$B,Summary!$C159)</f>
        <v>46268</v>
      </c>
      <c r="R159" s="65">
        <f ca="1">SUMIFS(OFFSET('BPC Data'!$F:$F,0,Summary!R$2),'BPC Data'!$E:$E,Summary!$D159,'BPC Data'!$B:$B,Summary!$C159)</f>
        <v>45645</v>
      </c>
      <c r="S159" s="23">
        <f t="shared" ca="1" si="286"/>
        <v>507371</v>
      </c>
      <c r="T159" s="74">
        <f ca="1">SUM(W159:AH159)</f>
        <v>-85195</v>
      </c>
      <c r="U159" s="54">
        <f ca="1">T159-S159</f>
        <v>-592566</v>
      </c>
      <c r="W159" s="4">
        <f ca="1">SUMIFS(INDIRECT("'"&amp;$W$151&amp;"'"&amp;"!$B$64:$B$5000"),INDIRECT("'"&amp;$W$151&amp;"'"&amp;"!$A$64:$A$5000"),$V$7)</f>
        <v>40963</v>
      </c>
      <c r="X159" s="4">
        <f ca="1">SUMIFS(INDIRECT("'"&amp;$W$151&amp;"'"&amp;"!$C$64:$C$5000"),INDIRECT("'"&amp;$W$151&amp;"'"&amp;"!$A$64:$A$5000"),$V$7)</f>
        <v>37256</v>
      </c>
      <c r="Y159" s="4">
        <f ca="1">SUMIFS(INDIRECT("'"&amp;$W$151&amp;"'"&amp;"!$d$64:$d$5000"),INDIRECT("'"&amp;$W$151&amp;"'"&amp;"!$A$64:$A$5000"),$V$7)</f>
        <v>40848</v>
      </c>
      <c r="Z159" s="4">
        <f ca="1">SUMIFS(INDIRECT("'"&amp;$W$151&amp;"'"&amp;"!$E$64:$E$5000"),INDIRECT("'"&amp;$W$151&amp;"'"&amp;"!$A$64:$A$5000"),$V$7)</f>
        <v>37831</v>
      </c>
      <c r="AA159" s="4">
        <f ca="1">SUMIFS(INDIRECT("'"&amp;$W$151&amp;"'"&amp;"!$F$64:$F$5000"),INDIRECT("'"&amp;$W$151&amp;"'"&amp;"!$A$64:$A$5000"),$V$7)</f>
        <v>-550297</v>
      </c>
      <c r="AB159" s="4">
        <f ca="1">SUMIFS(INDIRECT("'"&amp;$W$151&amp;"'"&amp;"!$g$64:$g$5000"),INDIRECT("'"&amp;$W$151&amp;"'"&amp;"!$A$64:$A$5000"),$V$7)</f>
        <v>43099</v>
      </c>
      <c r="AC159" s="4">
        <f ca="1">SUMIFS(INDIRECT("'"&amp;$W$151&amp;"'"&amp;"!$h$64:$h$5000"),INDIRECT("'"&amp;$W$151&amp;"'"&amp;"!$A$64:$A$5000"),$V$7)</f>
        <v>34690</v>
      </c>
      <c r="AD159" s="4">
        <f ca="1">SUMIFS(INDIRECT("'"&amp;$W$151&amp;"'"&amp;"!$i$64:$i$5000"),INDIRECT("'"&amp;$W$151&amp;"'"&amp;"!$A$64:$A$5000"),$V$7)</f>
        <v>45459</v>
      </c>
      <c r="AE159" s="4">
        <f ca="1">SUMIFS(INDIRECT("'"&amp;$W$151&amp;"'"&amp;"!$j$64:$j$5000"),INDIRECT("'"&amp;$W$151&amp;"'"&amp;"!$A$64:$A$5000"),$V$7)</f>
        <v>45244</v>
      </c>
      <c r="AF159" s="4">
        <f ca="1">SUMIFS(INDIRECT("'"&amp;$W$151&amp;"'"&amp;"!$k$64:$k$5000"),INDIRECT("'"&amp;$W$151&amp;"'"&amp;"!$A$64:$A$5000"),$V$7)</f>
        <v>47799</v>
      </c>
      <c r="AG159" s="4">
        <f ca="1">SUMIFS(INDIRECT("'"&amp;$W$151&amp;"'"&amp;"!$l$64:$l$5000"),INDIRECT("'"&amp;$W$151&amp;"'"&amp;"!$A$64:$A$5000"),$V$7)</f>
        <v>46268</v>
      </c>
      <c r="AH159" s="4">
        <f ca="1">SUMIFS(INDIRECT("'"&amp;$W$151&amp;"'"&amp;"!$m$64:$m$5000"),INDIRECT("'"&amp;$W$151&amp;"'"&amp;"!$A$64:$A$5000"),$V$7)</f>
        <v>45645</v>
      </c>
      <c r="AJ159" s="14">
        <f t="shared" ca="1" si="293"/>
        <v>0</v>
      </c>
      <c r="AK159" s="14">
        <f t="shared" ca="1" si="293"/>
        <v>0</v>
      </c>
      <c r="AL159" s="14">
        <f t="shared" ca="1" si="293"/>
        <v>0</v>
      </c>
      <c r="AM159" s="14">
        <f t="shared" ca="1" si="293"/>
        <v>0</v>
      </c>
      <c r="AN159" s="14">
        <f t="shared" ca="1" si="293"/>
        <v>-592566</v>
      </c>
      <c r="AO159" s="14">
        <f t="shared" ca="1" si="293"/>
        <v>0</v>
      </c>
      <c r="AP159" s="14">
        <f t="shared" ca="1" si="293"/>
        <v>0</v>
      </c>
      <c r="AQ159" s="14">
        <f t="shared" ca="1" si="293"/>
        <v>0</v>
      </c>
      <c r="AR159" s="14">
        <f t="shared" ca="1" si="293"/>
        <v>0</v>
      </c>
      <c r="AS159" s="14">
        <f t="shared" ca="1" si="293"/>
        <v>0</v>
      </c>
      <c r="AT159" s="14">
        <f t="shared" ca="1" si="293"/>
        <v>0</v>
      </c>
      <c r="AU159" s="14">
        <f t="shared" ca="1" si="293"/>
        <v>0</v>
      </c>
    </row>
    <row r="160" spans="1:47" s="12" customFormat="1">
      <c r="A160" s="12">
        <f t="shared" si="285"/>
        <v>14</v>
      </c>
      <c r="B160"/>
      <c r="C160" t="str">
        <f>$F152</f>
        <v>Bedford Preferred Equity (HMG)</v>
      </c>
      <c r="D160" s="1" t="str">
        <f t="shared" si="272"/>
        <v>T_EBITDAR - EBITDAR</v>
      </c>
      <c r="E160"/>
      <c r="F160" s="19" t="str">
        <f>_xll.EVDES(D160)</f>
        <v>EBITDAR</v>
      </c>
      <c r="G160" s="61">
        <f ca="1">SUMIFS(OFFSET('BPC Data'!$F:$F,0,Summary!G$2),'BPC Data'!$E:$E,Summary!$D160,'BPC Data'!$B:$B,Summary!$C160)</f>
        <v>48142</v>
      </c>
      <c r="H160" s="65">
        <f ca="1">SUMIFS(OFFSET('BPC Data'!$F:$F,0,Summary!H$2),'BPC Data'!$E:$E,Summary!$D160,'BPC Data'!$B:$B,Summary!$C160)</f>
        <v>45745</v>
      </c>
      <c r="I160" s="61">
        <f ca="1">SUMIFS(OFFSET('BPC Data'!$F:$F,0,Summary!I$2),'BPC Data'!$E:$E,Summary!$D160,'BPC Data'!$B:$B,Summary!$C160)</f>
        <v>10685</v>
      </c>
      <c r="J160" s="65">
        <f ca="1">SUMIFS(OFFSET('BPC Data'!$F:$F,0,Summary!J$2),'BPC Data'!$E:$E,Summary!$D160,'BPC Data'!$B:$B,Summary!$C160)</f>
        <v>58611</v>
      </c>
      <c r="K160" s="61">
        <f ca="1">SUMIFS(OFFSET('BPC Data'!$F:$F,0,Summary!K$2),'BPC Data'!$E:$E,Summary!$D160,'BPC Data'!$B:$B,Summary!$C160)</f>
        <v>80984</v>
      </c>
      <c r="L160" s="65">
        <f ca="1">SUMIFS(OFFSET('BPC Data'!$F:$F,0,Summary!L$2),'BPC Data'!$E:$E,Summary!$D160,'BPC Data'!$B:$B,Summary!$C160)</f>
        <v>108951</v>
      </c>
      <c r="M160" s="61">
        <f ca="1">SUMIFS(OFFSET('BPC Data'!$F:$F,0,Summary!M$2),'BPC Data'!$E:$E,Summary!$D160,'BPC Data'!$B:$B,Summary!$C160)</f>
        <v>85551</v>
      </c>
      <c r="N160" s="65">
        <f ca="1">SUMIFS(OFFSET('BPC Data'!$F:$F,0,Summary!N$2),'BPC Data'!$E:$E,Summary!$D160,'BPC Data'!$B:$B,Summary!$C160)</f>
        <v>111041</v>
      </c>
      <c r="O160" s="61">
        <f ca="1">SUMIFS(OFFSET('BPC Data'!$F:$F,0,Summary!O$2),'BPC Data'!$E:$E,Summary!$D160,'BPC Data'!$B:$B,Summary!$C160)</f>
        <v>110559</v>
      </c>
      <c r="P160" s="65">
        <f ca="1">SUMIFS(OFFSET('BPC Data'!$F:$F,0,Summary!P$2),'BPC Data'!$E:$E,Summary!$D160,'BPC Data'!$B:$B,Summary!$C160)</f>
        <v>188000</v>
      </c>
      <c r="Q160" s="61">
        <f ca="1">SUMIFS(OFFSET('BPC Data'!$F:$F,0,Summary!Q$2),'BPC Data'!$E:$E,Summary!$D160,'BPC Data'!$B:$B,Summary!$C160)</f>
        <v>78905</v>
      </c>
      <c r="R160" s="65">
        <f ca="1">SUMIFS(OFFSET('BPC Data'!$F:$F,0,Summary!R$2),'BPC Data'!$E:$E,Summary!$D160,'BPC Data'!$B:$B,Summary!$C160)</f>
        <v>93348</v>
      </c>
      <c r="S160" s="23">
        <f t="shared" ca="1" si="286"/>
        <v>1020522</v>
      </c>
      <c r="T160" s="74">
        <f ca="1">SUM(W160:AH160)</f>
        <v>1154336.1199999945</v>
      </c>
      <c r="U160" s="54">
        <f ca="1">T160-S160</f>
        <v>133814.11999999452</v>
      </c>
      <c r="W160" s="50">
        <f t="shared" ref="W160" ca="1" si="294">W158-W159</f>
        <v>48141.82999999891</v>
      </c>
      <c r="X160" s="50">
        <f t="shared" ref="X160:Y160" ca="1" si="295">X158-X159</f>
        <v>45745.289999998291</v>
      </c>
      <c r="Y160" s="50">
        <f t="shared" ca="1" si="295"/>
        <v>10683.980000000214</v>
      </c>
      <c r="Z160" s="50">
        <f t="shared" ref="Z160:AB160" ca="1" si="296">Z158-Z159</f>
        <v>58607.390000001411</v>
      </c>
      <c r="AA160" s="50">
        <f t="shared" ca="1" si="296"/>
        <v>214799.70000000013</v>
      </c>
      <c r="AB160" s="50">
        <f t="shared" ca="1" si="296"/>
        <v>108951.11999999941</v>
      </c>
      <c r="AC160" s="50">
        <f t="shared" ref="AC160" ca="1" si="297">AC158-AC159</f>
        <v>85551.1599999998</v>
      </c>
      <c r="AD160" s="50">
        <f t="shared" ref="AD160:AH160" ca="1" si="298">AD158-AD159</f>
        <v>111040.6899999989</v>
      </c>
      <c r="AE160" s="50">
        <f t="shared" ca="1" si="298"/>
        <v>110559.65999999957</v>
      </c>
      <c r="AF160" s="50">
        <f t="shared" ca="1" si="298"/>
        <v>187999.35999999859</v>
      </c>
      <c r="AG160" s="50">
        <f t="shared" ca="1" si="298"/>
        <v>78905.759999999194</v>
      </c>
      <c r="AH160" s="50">
        <f t="shared" ca="1" si="298"/>
        <v>93350.180000000284</v>
      </c>
      <c r="AJ160" s="14">
        <f t="shared" ca="1" si="293"/>
        <v>-0.17000000108964741</v>
      </c>
      <c r="AK160" s="14">
        <f t="shared" ca="1" si="293"/>
        <v>0.28999999829102308</v>
      </c>
      <c r="AL160" s="14">
        <f t="shared" ca="1" si="293"/>
        <v>-1.0199999997857958</v>
      </c>
      <c r="AM160" s="14">
        <f t="shared" ca="1" si="293"/>
        <v>-3.6099999985890463</v>
      </c>
      <c r="AN160" s="14">
        <f t="shared" ca="1" si="293"/>
        <v>133815.70000000013</v>
      </c>
      <c r="AO160" s="14">
        <f t="shared" ca="1" si="293"/>
        <v>0.11999999941326678</v>
      </c>
      <c r="AP160" s="14">
        <f t="shared" ca="1" si="293"/>
        <v>0.15999999979976565</v>
      </c>
      <c r="AQ160" s="14">
        <f t="shared" ca="1" si="293"/>
        <v>-0.31000000110361725</v>
      </c>
      <c r="AR160" s="14">
        <f t="shared" ca="1" si="293"/>
        <v>0.659999999566935</v>
      </c>
      <c r="AS160" s="14">
        <f t="shared" ca="1" si="293"/>
        <v>-0.6400000014109537</v>
      </c>
      <c r="AT160" s="14">
        <f t="shared" ca="1" si="293"/>
        <v>0.75999999919440597</v>
      </c>
      <c r="AU160" s="14">
        <f t="shared" ca="1" si="293"/>
        <v>2.1800000002840534</v>
      </c>
    </row>
    <row r="161" spans="1:48" s="12" customFormat="1">
      <c r="A161" s="12">
        <f t="shared" si="285"/>
        <v>14</v>
      </c>
      <c r="B161"/>
      <c r="C161" t="str">
        <f>$F152</f>
        <v>Bedford Preferred Equity (HMG)</v>
      </c>
      <c r="D161" s="1" t="str">
        <f t="shared" si="272"/>
        <v>T_RENT_EXP - Tenant Rent Expense</v>
      </c>
      <c r="E161"/>
      <c r="F161" s="19" t="str">
        <f>_xll.EVDES(D161)</f>
        <v>Tenant Rent Expense</v>
      </c>
      <c r="G161" s="61">
        <f ca="1">SUMIFS(OFFSET('BPC Data'!$F:$F,0,Summary!G$2),'BPC Data'!$E:$E,Summary!$D161,'BPC Data'!$B:$B,Summary!$C161)</f>
        <v>90000</v>
      </c>
      <c r="H161" s="65">
        <f ca="1">SUMIFS(OFFSET('BPC Data'!$F:$F,0,Summary!H$2),'BPC Data'!$E:$E,Summary!$D161,'BPC Data'!$B:$B,Summary!$C161)</f>
        <v>90000</v>
      </c>
      <c r="I161" s="61">
        <f ca="1">SUMIFS(OFFSET('BPC Data'!$F:$F,0,Summary!I$2),'BPC Data'!$E:$E,Summary!$D161,'BPC Data'!$B:$B,Summary!$C161)</f>
        <v>90000</v>
      </c>
      <c r="J161" s="65">
        <f ca="1">SUMIFS(OFFSET('BPC Data'!$F:$F,0,Summary!J$2),'BPC Data'!$E:$E,Summary!$D161,'BPC Data'!$B:$B,Summary!$C161)</f>
        <v>90000</v>
      </c>
      <c r="K161" s="61">
        <f ca="1">SUMIFS(OFFSET('BPC Data'!$F:$F,0,Summary!K$2),'BPC Data'!$E:$E,Summary!$D161,'BPC Data'!$B:$B,Summary!$C161)</f>
        <v>90000</v>
      </c>
      <c r="L161" s="65">
        <f ca="1">SUMIFS(OFFSET('BPC Data'!$F:$F,0,Summary!L$2),'BPC Data'!$E:$E,Summary!$D161,'BPC Data'!$B:$B,Summary!$C161)</f>
        <v>90000</v>
      </c>
      <c r="M161" s="61">
        <f ca="1">SUMIFS(OFFSET('BPC Data'!$F:$F,0,Summary!M$2),'BPC Data'!$E:$E,Summary!$D161,'BPC Data'!$B:$B,Summary!$C161)</f>
        <v>90000</v>
      </c>
      <c r="N161" s="65">
        <f ca="1">SUMIFS(OFFSET('BPC Data'!$F:$F,0,Summary!N$2),'BPC Data'!$E:$E,Summary!$D161,'BPC Data'!$B:$B,Summary!$C161)</f>
        <v>90000</v>
      </c>
      <c r="O161" s="61">
        <f ca="1">SUMIFS(OFFSET('BPC Data'!$F:$F,0,Summary!O$2),'BPC Data'!$E:$E,Summary!$D161,'BPC Data'!$B:$B,Summary!$C161)</f>
        <v>90000</v>
      </c>
      <c r="P161" s="65">
        <f ca="1">SUMIFS(OFFSET('BPC Data'!$F:$F,0,Summary!P$2),'BPC Data'!$E:$E,Summary!$D161,'BPC Data'!$B:$B,Summary!$C161)</f>
        <v>90000</v>
      </c>
      <c r="Q161" s="61">
        <f ca="1">SUMIFS(OFFSET('BPC Data'!$F:$F,0,Summary!Q$2),'BPC Data'!$E:$E,Summary!$D161,'BPC Data'!$B:$B,Summary!$C161)</f>
        <v>90000</v>
      </c>
      <c r="R161" s="65">
        <f ca="1">SUMIFS(OFFSET('BPC Data'!$F:$F,0,Summary!R$2),'BPC Data'!$E:$E,Summary!$D161,'BPC Data'!$B:$B,Summary!$C161)</f>
        <v>90000</v>
      </c>
      <c r="S161" s="23">
        <f t="shared" ca="1" si="286"/>
        <v>1080000</v>
      </c>
      <c r="T161" s="74">
        <f ca="1">SUM(W161:AH161)</f>
        <v>1080000</v>
      </c>
      <c r="U161" s="54">
        <f ca="1">T161-S161</f>
        <v>0</v>
      </c>
      <c r="W161" s="4">
        <f ca="1">SUMIFS(INDIRECT("'"&amp;$W$151&amp;"'"&amp;"!$B$64:$B$5000"),INDIRECT("'"&amp;$W$151&amp;"'"&amp;"!$A$64:$A$5000"),$W$3)+SUMIFS(INDIRECT("'"&amp;$W$151&amp;"'"&amp;"!$B$64:$B$5000"),INDIRECT("'"&amp;$W$151&amp;"'"&amp;"!$A$64:$A$5000"),$W$4)</f>
        <v>90000</v>
      </c>
      <c r="X161" s="4">
        <f ca="1">SUMIFS(INDIRECT("'"&amp;$W$151&amp;"'"&amp;"!$C$64:$C$5000"),INDIRECT("'"&amp;$W$151&amp;"'"&amp;"!$A$64:$A$5000"),$W$3)+SUMIFS(INDIRECT("'"&amp;$W$151&amp;"'"&amp;"!$C$64:$C$5000"),INDIRECT("'"&amp;$W$151&amp;"'"&amp;"!$A$64:$A$5000"),$W$4)</f>
        <v>90000</v>
      </c>
      <c r="Y161" s="4">
        <f ca="1">SUMIFS(INDIRECT("'"&amp;$W$151&amp;"'"&amp;"!$d$64:$d$5000"),INDIRECT("'"&amp;$W$151&amp;"'"&amp;"!$A$64:$A$5000"),$W$3)+SUMIFS(INDIRECT("'"&amp;$W$151&amp;"'"&amp;"!$d$64:$d$5000"),INDIRECT("'"&amp;$W$151&amp;"'"&amp;"!$A$64:$A$5000"),$W$4)</f>
        <v>90000</v>
      </c>
      <c r="Z161" s="4">
        <f ca="1">SUMIFS(INDIRECT("'"&amp;$W$151&amp;"'"&amp;"!$h$64:$h$5000"),INDIRECT("'"&amp;$W$151&amp;"'"&amp;"!$A$64:$A$5000"),$W$3)+SUMIFS(INDIRECT("'"&amp;$W$151&amp;"'"&amp;"!$h$64:$h$5000"),INDIRECT("'"&amp;$W$151&amp;"'"&amp;"!$A$64:$A$5000"),$W$4)</f>
        <v>90000</v>
      </c>
      <c r="AA161" s="4">
        <f ca="1">SUMIFS(INDIRECT("'"&amp;$W$151&amp;"'"&amp;"!$h$64:$h$5000"),INDIRECT("'"&amp;$W$151&amp;"'"&amp;"!$A$64:$A$5000"),$W$3)+SUMIFS(INDIRECT("'"&amp;$W$151&amp;"'"&amp;"!$h$64:$h$5000"),INDIRECT("'"&amp;$W$151&amp;"'"&amp;"!$A$64:$A$5000"),$W$4)</f>
        <v>90000</v>
      </c>
      <c r="AB161" s="4">
        <f ca="1">SUMIFS(INDIRECT("'"&amp;$W$151&amp;"'"&amp;"!$g$64:$g$5000"),INDIRECT("'"&amp;$W$151&amp;"'"&amp;"!$A$64:$A$5000"),$W$3)+SUMIFS(INDIRECT("'"&amp;$W$151&amp;"'"&amp;"!$g$64:$g$5000"),INDIRECT("'"&amp;$W$151&amp;"'"&amp;"!$A$64:$A$5000"),$W$4)</f>
        <v>90000</v>
      </c>
      <c r="AC161" s="4">
        <f ca="1">SUMIFS(INDIRECT("'"&amp;$W$151&amp;"'"&amp;"!$h$64:$h$5000"),INDIRECT("'"&amp;$W$151&amp;"'"&amp;"!$A$64:$A$5000"),$W$3)+SUMIFS(INDIRECT("'"&amp;$W$151&amp;"'"&amp;"!$h$64:$h$5000"),INDIRECT("'"&amp;$W$151&amp;"'"&amp;"!$A$64:$A$5000"),$W$4)</f>
        <v>90000</v>
      </c>
      <c r="AD161" s="4">
        <f ca="1">SUMIFS(INDIRECT("'"&amp;$W$151&amp;"'"&amp;"!$i$64:$i$5000"),INDIRECT("'"&amp;$W$151&amp;"'"&amp;"!$A$64:$A$5000"),$W$3)+SUMIFS(INDIRECT("'"&amp;$W$151&amp;"'"&amp;"!$i$64:$i$5000"),INDIRECT("'"&amp;$W$151&amp;"'"&amp;"!$A$64:$A$5000"),$W$4)</f>
        <v>90000</v>
      </c>
      <c r="AE161" s="4">
        <f ca="1">SUMIFS(INDIRECT("'"&amp;$W$151&amp;"'"&amp;"!$j$64:$j$5000"),INDIRECT("'"&amp;$W$151&amp;"'"&amp;"!$A$64:$A$5000"),$W$3)+SUMIFS(INDIRECT("'"&amp;$W$151&amp;"'"&amp;"!$j$64:$j$5000"),INDIRECT("'"&amp;$W$151&amp;"'"&amp;"!$A$64:$A$5000"),$W$4)</f>
        <v>90000</v>
      </c>
      <c r="AF161" s="4">
        <f ca="1">SUMIFS(INDIRECT("'"&amp;$W$151&amp;"'"&amp;"!$k$64:$k$5000"),INDIRECT("'"&amp;$W$151&amp;"'"&amp;"!$A$64:$A$5000"),$W$3)+SUMIFS(INDIRECT("'"&amp;$W$151&amp;"'"&amp;"!$k$64:$k$5000"),INDIRECT("'"&amp;$W$151&amp;"'"&amp;"!$A$64:$A$5000"),$W$4)</f>
        <v>90000</v>
      </c>
      <c r="AG161" s="4">
        <f ca="1">SUMIFS(INDIRECT("'"&amp;$W$151&amp;"'"&amp;"!$l$64:$l$5000"),INDIRECT("'"&amp;$W$151&amp;"'"&amp;"!$A$64:$A$5000"),$W$3)+SUMIFS(INDIRECT("'"&amp;$W$151&amp;"'"&amp;"!$l$64:$l$5000"),INDIRECT("'"&amp;$W$151&amp;"'"&amp;"!$A$64:$A$5000"),$W$4)</f>
        <v>90000</v>
      </c>
      <c r="AH161" s="4">
        <f ca="1">SUMIFS(INDIRECT("'"&amp;$W$151&amp;"'"&amp;"!$m$64:$m$5000"),INDIRECT("'"&amp;$W$151&amp;"'"&amp;"!$A$64:$A$5000"),$W$3)+SUMIFS(INDIRECT("'"&amp;$W$151&amp;"'"&amp;"!$m$64:$m$5000"),INDIRECT("'"&amp;$W$151&amp;"'"&amp;"!$A$64:$A$5000"),$W$4)</f>
        <v>90000</v>
      </c>
      <c r="AJ161" s="14">
        <f t="shared" ca="1" si="293"/>
        <v>0</v>
      </c>
      <c r="AK161" s="14">
        <f t="shared" ca="1" si="293"/>
        <v>0</v>
      </c>
      <c r="AL161" s="14">
        <f t="shared" ca="1" si="293"/>
        <v>0</v>
      </c>
      <c r="AM161" s="14">
        <f t="shared" ca="1" si="293"/>
        <v>0</v>
      </c>
      <c r="AN161" s="14">
        <f t="shared" ca="1" si="293"/>
        <v>0</v>
      </c>
      <c r="AO161" s="14">
        <f t="shared" ca="1" si="293"/>
        <v>0</v>
      </c>
      <c r="AP161" s="14">
        <f t="shared" ca="1" si="293"/>
        <v>0</v>
      </c>
      <c r="AQ161" s="14">
        <f t="shared" ca="1" si="293"/>
        <v>0</v>
      </c>
      <c r="AR161" s="14">
        <f t="shared" ca="1" si="293"/>
        <v>0</v>
      </c>
      <c r="AS161" s="14">
        <f t="shared" ca="1" si="293"/>
        <v>0</v>
      </c>
      <c r="AT161" s="14">
        <f t="shared" ca="1" si="293"/>
        <v>0</v>
      </c>
      <c r="AU161" s="14">
        <f t="shared" ca="1" si="293"/>
        <v>0</v>
      </c>
    </row>
    <row r="162" spans="1:48" s="12" customFormat="1">
      <c r="A162" s="12">
        <f t="shared" si="285"/>
        <v>14</v>
      </c>
      <c r="B162"/>
      <c r="C162"/>
      <c r="D162" s="1" t="str">
        <f t="shared" si="272"/>
        <v>x</v>
      </c>
      <c r="E162"/>
      <c r="F162" s="19" t="s">
        <v>0</v>
      </c>
      <c r="G162" s="61">
        <f ca="1">SUMIFS(OFFSET('BPC Data'!$F:$F,0,Summary!G$2),'BPC Data'!$E:$E,Summary!$D162,'BPC Data'!$B:$B,Summary!$C162)</f>
        <v>0</v>
      </c>
      <c r="H162" s="65">
        <f ca="1">SUMIFS(OFFSET('BPC Data'!$F:$F,0,Summary!H$2),'BPC Data'!$E:$E,Summary!$D162,'BPC Data'!$B:$B,Summary!$C162)</f>
        <v>0</v>
      </c>
      <c r="I162" s="61">
        <f ca="1">SUMIFS(OFFSET('BPC Data'!$F:$F,0,Summary!I$2),'BPC Data'!$E:$E,Summary!$D162,'BPC Data'!$B:$B,Summary!$C162)</f>
        <v>0</v>
      </c>
      <c r="J162" s="65">
        <f ca="1">SUMIFS(OFFSET('BPC Data'!$F:$F,0,Summary!J$2),'BPC Data'!$E:$E,Summary!$D162,'BPC Data'!$B:$B,Summary!$C162)</f>
        <v>0</v>
      </c>
      <c r="K162" s="61">
        <f ca="1">SUMIFS(OFFSET('BPC Data'!$F:$F,0,Summary!K$2),'BPC Data'!$E:$E,Summary!$D162,'BPC Data'!$B:$B,Summary!$C162)</f>
        <v>0</v>
      </c>
      <c r="L162" s="65">
        <f ca="1">SUMIFS(OFFSET('BPC Data'!$F:$F,0,Summary!L$2),'BPC Data'!$E:$E,Summary!$D162,'BPC Data'!$B:$B,Summary!$C162)</f>
        <v>0</v>
      </c>
      <c r="M162" s="61">
        <f ca="1">SUMIFS(OFFSET('BPC Data'!$F:$F,0,Summary!M$2),'BPC Data'!$E:$E,Summary!$D162,'BPC Data'!$B:$B,Summary!$C162)</f>
        <v>0</v>
      </c>
      <c r="N162" s="65">
        <f ca="1">SUMIFS(OFFSET('BPC Data'!$F:$F,0,Summary!N$2),'BPC Data'!$E:$E,Summary!$D162,'BPC Data'!$B:$B,Summary!$C162)</f>
        <v>0</v>
      </c>
      <c r="O162" s="61">
        <f ca="1">SUMIFS(OFFSET('BPC Data'!$F:$F,0,Summary!O$2),'BPC Data'!$E:$E,Summary!$D162,'BPC Data'!$B:$B,Summary!$C162)</f>
        <v>0</v>
      </c>
      <c r="P162" s="65">
        <f ca="1">SUMIFS(OFFSET('BPC Data'!$F:$F,0,Summary!P$2),'BPC Data'!$E:$E,Summary!$D162,'BPC Data'!$B:$B,Summary!$C162)</f>
        <v>0</v>
      </c>
      <c r="Q162" s="61">
        <f ca="1">SUMIFS(OFFSET('BPC Data'!$F:$F,0,Summary!Q$2),'BPC Data'!$E:$E,Summary!$D162,'BPC Data'!$B:$B,Summary!$C162)</f>
        <v>0</v>
      </c>
      <c r="R162" s="65">
        <f ca="1">SUMIFS(OFFSET('BPC Data'!$F:$F,0,Summary!R$2),'BPC Data'!$E:$E,Summary!$D162,'BPC Data'!$B:$B,Summary!$C162)</f>
        <v>0</v>
      </c>
      <c r="S162" s="23">
        <f ca="1">SUM(G162:M162)</f>
        <v>0</v>
      </c>
      <c r="T162" s="76"/>
      <c r="W162" t="s">
        <v>308</v>
      </c>
      <c r="X162"/>
      <c r="Y162"/>
      <c r="Z162"/>
      <c r="AA162"/>
      <c r="AB162"/>
      <c r="AC162"/>
      <c r="AD162"/>
      <c r="AE162"/>
      <c r="AF162"/>
      <c r="AG162"/>
      <c r="AJ162" s="49"/>
      <c r="AK162" s="49"/>
      <c r="AL162" s="49"/>
      <c r="AM162" s="49"/>
      <c r="AN162" s="49"/>
      <c r="AO162" s="49"/>
      <c r="AP162" s="49"/>
      <c r="AQ162" s="49"/>
      <c r="AR162" s="49"/>
      <c r="AS162" s="49"/>
      <c r="AT162" s="49"/>
      <c r="AU162" s="49"/>
    </row>
    <row r="163" spans="1:48" s="12" customFormat="1">
      <c r="A163" s="12">
        <f>IF(AND(D163&lt;&gt;"",C163=""),A162+1,A162)</f>
        <v>15</v>
      </c>
      <c r="B163" s="5"/>
      <c r="C163" s="5"/>
      <c r="D163" s="5" t="str">
        <f t="shared" si="272"/>
        <v>x</v>
      </c>
      <c r="E163" s="5"/>
      <c r="F163" s="18" t="str">
        <f>INDEX(PropertyList!$D:$D,MATCH(Summary!$A163,PropertyList!$C:$C,0))</f>
        <v>Arbrook Plaza (HMG)</v>
      </c>
      <c r="G163" s="61">
        <f ca="1">SUMIFS(OFFSET('BPC Data'!$F:$F,0,Summary!G$2),'BPC Data'!$E:$E,Summary!$D163,'BPC Data'!$B:$B,Summary!$C163)</f>
        <v>0</v>
      </c>
      <c r="H163" s="65">
        <f ca="1">SUMIFS(OFFSET('BPC Data'!$F:$F,0,Summary!H$2),'BPC Data'!$E:$E,Summary!$D163,'BPC Data'!$B:$B,Summary!$C163)</f>
        <v>0</v>
      </c>
      <c r="I163" s="61">
        <f ca="1">SUMIFS(OFFSET('BPC Data'!$F:$F,0,Summary!I$2),'BPC Data'!$E:$E,Summary!$D163,'BPC Data'!$B:$B,Summary!$C163)</f>
        <v>0</v>
      </c>
      <c r="J163" s="65">
        <f ca="1">SUMIFS(OFFSET('BPC Data'!$F:$F,0,Summary!J$2),'BPC Data'!$E:$E,Summary!$D163,'BPC Data'!$B:$B,Summary!$C163)</f>
        <v>0</v>
      </c>
      <c r="K163" s="61">
        <f ca="1">SUMIFS(OFFSET('BPC Data'!$F:$F,0,Summary!K$2),'BPC Data'!$E:$E,Summary!$D163,'BPC Data'!$B:$B,Summary!$C163)</f>
        <v>0</v>
      </c>
      <c r="L163" s="65">
        <f ca="1">SUMIFS(OFFSET('BPC Data'!$F:$F,0,Summary!L$2),'BPC Data'!$E:$E,Summary!$D163,'BPC Data'!$B:$B,Summary!$C163)</f>
        <v>0</v>
      </c>
      <c r="M163" s="61">
        <f ca="1">SUMIFS(OFFSET('BPC Data'!$F:$F,0,Summary!M$2),'BPC Data'!$E:$E,Summary!$D163,'BPC Data'!$B:$B,Summary!$C163)</f>
        <v>0</v>
      </c>
      <c r="N163" s="65">
        <f ca="1">SUMIFS(OFFSET('BPC Data'!$F:$F,0,Summary!N$2),'BPC Data'!$E:$E,Summary!$D163,'BPC Data'!$B:$B,Summary!$C163)</f>
        <v>0</v>
      </c>
      <c r="O163" s="61">
        <f ca="1">SUMIFS(OFFSET('BPC Data'!$F:$F,0,Summary!O$2),'BPC Data'!$E:$E,Summary!$D163,'BPC Data'!$B:$B,Summary!$C163)</f>
        <v>0</v>
      </c>
      <c r="P163" s="65">
        <f ca="1">SUMIFS(OFFSET('BPC Data'!$F:$F,0,Summary!P$2),'BPC Data'!$E:$E,Summary!$D163,'BPC Data'!$B:$B,Summary!$C163)</f>
        <v>0</v>
      </c>
      <c r="Q163" s="61">
        <f ca="1">SUMIFS(OFFSET('BPC Data'!$F:$F,0,Summary!Q$2),'BPC Data'!$E:$E,Summary!$D163,'BPC Data'!$B:$B,Summary!$C163)</f>
        <v>0</v>
      </c>
      <c r="R163" s="65">
        <f ca="1">SUMIFS(OFFSET('BPC Data'!$F:$F,0,Summary!R$2),'BPC Data'!$E:$E,Summary!$D163,'BPC Data'!$B:$B,Summary!$C163)</f>
        <v>0</v>
      </c>
      <c r="S163" s="23">
        <f ca="1">SUM(G163:M163)</f>
        <v>0</v>
      </c>
      <c r="T163" s="76"/>
      <c r="W163" s="5" t="str">
        <f t="shared" ref="W163:AH163" si="299">+G$8</f>
        <v>Aug 2021</v>
      </c>
      <c r="X163" s="5" t="str">
        <f t="shared" si="299"/>
        <v>Sep 2021</v>
      </c>
      <c r="Y163" s="5" t="str">
        <f t="shared" si="299"/>
        <v>Oct 2021</v>
      </c>
      <c r="Z163" s="5" t="str">
        <f t="shared" si="299"/>
        <v>Nov 2021</v>
      </c>
      <c r="AA163" s="5" t="str">
        <f t="shared" si="299"/>
        <v>Dec 2021</v>
      </c>
      <c r="AB163" s="5" t="str">
        <f t="shared" si="299"/>
        <v>Jan 2022</v>
      </c>
      <c r="AC163" s="5" t="str">
        <f t="shared" si="299"/>
        <v>Feb 2022</v>
      </c>
      <c r="AD163" s="5" t="str">
        <f t="shared" si="299"/>
        <v>Mar 2022</v>
      </c>
      <c r="AE163" s="5" t="str">
        <f t="shared" si="299"/>
        <v>Apr 2022</v>
      </c>
      <c r="AF163" s="5" t="str">
        <f t="shared" si="299"/>
        <v>May 2022</v>
      </c>
      <c r="AG163" s="5" t="str">
        <f t="shared" si="299"/>
        <v>Jun 2022</v>
      </c>
      <c r="AH163" s="5" t="str">
        <f t="shared" si="299"/>
        <v>Jul 2022</v>
      </c>
      <c r="AJ163" s="174" t="str">
        <f>W$9</f>
        <v>Aug 2021</v>
      </c>
      <c r="AK163" s="174" t="str">
        <f t="shared" ref="AK163" si="300">X$9</f>
        <v>Sep 2021</v>
      </c>
      <c r="AL163" s="174" t="str">
        <f t="shared" ref="AL163" si="301">Y$9</f>
        <v>Oct 2021</v>
      </c>
      <c r="AM163" s="174" t="str">
        <f t="shared" ref="AM163" si="302">Z$9</f>
        <v>Nov 2021</v>
      </c>
      <c r="AN163" s="174" t="str">
        <f t="shared" ref="AN163:AO163" si="303">AA$9</f>
        <v>Dec 2021</v>
      </c>
      <c r="AO163" s="174" t="str">
        <f t="shared" si="303"/>
        <v>Jan 2022</v>
      </c>
      <c r="AP163" s="174" t="str">
        <f t="shared" ref="AP163" si="304">AC$9</f>
        <v>Feb 2022</v>
      </c>
      <c r="AQ163" s="174" t="str">
        <f t="shared" ref="AQ163" si="305">AD$9</f>
        <v>Mar 2022</v>
      </c>
      <c r="AR163" s="174" t="str">
        <f t="shared" ref="AR163" si="306">AE$9</f>
        <v>Apr 2022</v>
      </c>
      <c r="AS163" s="174" t="str">
        <f t="shared" ref="AS163" si="307">AF$9</f>
        <v>May 2022</v>
      </c>
      <c r="AT163" s="174" t="str">
        <f t="shared" ref="AT163" si="308">AG$9</f>
        <v>Jun 2022</v>
      </c>
      <c r="AU163" s="174" t="str">
        <f t="shared" ref="AU163" si="309">AH$9</f>
        <v>Jul 2022</v>
      </c>
    </row>
    <row r="164" spans="1:48" s="12" customFormat="1">
      <c r="A164" s="12">
        <f>IF(AND(F164&lt;&gt;"",D164=""),A163+1,A163)</f>
        <v>15</v>
      </c>
      <c r="C164" t="str">
        <f>$F163</f>
        <v>Arbrook Plaza (HMG)</v>
      </c>
      <c r="D164" s="3" t="str">
        <f t="shared" si="272"/>
        <v>PAY_PAT_DAYS - Total Payor Patient Days</v>
      </c>
      <c r="F164" s="19" t="str">
        <f>_xll.EVDES(D164)</f>
        <v>Total Payor Patient Days</v>
      </c>
      <c r="G164" s="61">
        <f ca="1">SUMIFS(OFFSET('BPC Data'!$F:$F,0,Summary!G$2),'BPC Data'!$E:$E,Summary!$D164,'BPC Data'!$B:$B,Summary!$C164)</f>
        <v>2410</v>
      </c>
      <c r="H164" s="65">
        <f ca="1">SUMIFS(OFFSET('BPC Data'!$F:$F,0,Summary!H$2),'BPC Data'!$E:$E,Summary!$D164,'BPC Data'!$B:$B,Summary!$C164)</f>
        <v>2175</v>
      </c>
      <c r="I164" s="61">
        <f ca="1">SUMIFS(OFFSET('BPC Data'!$F:$F,0,Summary!I$2),'BPC Data'!$E:$E,Summary!$D164,'BPC Data'!$B:$B,Summary!$C164)</f>
        <v>2380</v>
      </c>
      <c r="J164" s="65">
        <f ca="1">SUMIFS(OFFSET('BPC Data'!$F:$F,0,Summary!J$2),'BPC Data'!$E:$E,Summary!$D164,'BPC Data'!$B:$B,Summary!$C164)</f>
        <v>2361</v>
      </c>
      <c r="K164" s="61">
        <f ca="1">SUMIFS(OFFSET('BPC Data'!$F:$F,0,Summary!K$2),'BPC Data'!$E:$E,Summary!$D164,'BPC Data'!$B:$B,Summary!$C164)</f>
        <v>2518</v>
      </c>
      <c r="L164" s="65">
        <f ca="1">SUMIFS(OFFSET('BPC Data'!$F:$F,0,Summary!L$2),'BPC Data'!$E:$E,Summary!$D164,'BPC Data'!$B:$B,Summary!$C164)</f>
        <v>2553</v>
      </c>
      <c r="M164" s="61">
        <f ca="1">SUMIFS(OFFSET('BPC Data'!$F:$F,0,Summary!M$2),'BPC Data'!$E:$E,Summary!$D164,'BPC Data'!$B:$B,Summary!$C164)</f>
        <v>2402</v>
      </c>
      <c r="N164" s="65">
        <f ca="1">SUMIFS(OFFSET('BPC Data'!$F:$F,0,Summary!N$2),'BPC Data'!$E:$E,Summary!$D164,'BPC Data'!$B:$B,Summary!$C164)</f>
        <v>2744</v>
      </c>
      <c r="O164" s="61">
        <f ca="1">SUMIFS(OFFSET('BPC Data'!$F:$F,0,Summary!O$2),'BPC Data'!$E:$E,Summary!$D164,'BPC Data'!$B:$B,Summary!$C164)</f>
        <v>2551</v>
      </c>
      <c r="P164" s="65">
        <f ca="1">SUMIFS(OFFSET('BPC Data'!$F:$F,0,Summary!P$2),'BPC Data'!$E:$E,Summary!$D164,'BPC Data'!$B:$B,Summary!$C164)</f>
        <v>2607</v>
      </c>
      <c r="Q164" s="61">
        <f ca="1">SUMIFS(OFFSET('BPC Data'!$F:$F,0,Summary!Q$2),'BPC Data'!$E:$E,Summary!$D164,'BPC Data'!$B:$B,Summary!$C164)</f>
        <v>2580</v>
      </c>
      <c r="R164" s="65">
        <f ca="1">SUMIFS(OFFSET('BPC Data'!$F:$F,0,Summary!R$2),'BPC Data'!$E:$E,Summary!$D164,'BPC Data'!$B:$B,Summary!$C164)</f>
        <v>2749</v>
      </c>
      <c r="S164" s="23">
        <f ca="1">SUM(G164:R164)</f>
        <v>30030</v>
      </c>
      <c r="T164" s="74">
        <f ca="1">SUM(W164:AH164)</f>
        <v>30030</v>
      </c>
      <c r="U164" s="54">
        <f ca="1">T164-S164</f>
        <v>0</v>
      </c>
      <c r="W164" s="4">
        <f ca="1">SUMIFS(INDIRECT("'"&amp;$W$162&amp;"'"&amp;"!$B$1:$B$5000"),INDIRECT("'"&amp;$W$162&amp;"'"&amp;"!$A$1:$A$5000"),$W$2)</f>
        <v>2410</v>
      </c>
      <c r="X164" s="4">
        <f ca="1">SUMIFS(INDIRECT("'"&amp;$W$162&amp;"'"&amp;"!$C$1:$C$5000"),INDIRECT("'"&amp;$W$162&amp;"'"&amp;"!$A$1:$A$5000"),$W$2)</f>
        <v>2175</v>
      </c>
      <c r="Y164" s="4">
        <f ca="1">SUMIFS(INDIRECT("'"&amp;$W$162&amp;"'"&amp;"!$d$1:$d$5000"),INDIRECT("'"&amp;$W$162&amp;"'"&amp;"!$A$1:$A$5000"),$W$2)</f>
        <v>2380</v>
      </c>
      <c r="Z164" s="4">
        <f ca="1">SUMIFS(INDIRECT("'"&amp;$W$162&amp;"'"&amp;"!$E$1:$E$5000"),INDIRECT("'"&amp;$W$162&amp;"'"&amp;"!$A$1:$A$5000"),$W$2)</f>
        <v>2361</v>
      </c>
      <c r="AA164" s="4">
        <f ca="1">SUMIFS(INDIRECT("'"&amp;$W$162&amp;"'"&amp;"!$F$1:$F$5000"),INDIRECT("'"&amp;$W$162&amp;"'"&amp;"!$A$1:$A$5000"),$W$2)</f>
        <v>2518</v>
      </c>
      <c r="AB164" s="4">
        <f ca="1">SUMIFS(INDIRECT("'"&amp;$W$162&amp;"'"&amp;"!$G$1:$G$5000"),INDIRECT("'"&amp;$W$162&amp;"'"&amp;"!$A$1:$A$5000"),$W$2)</f>
        <v>2553</v>
      </c>
      <c r="AC164" s="4">
        <f ca="1">SUMIFS(INDIRECT("'"&amp;$W$162&amp;"'"&amp;"!$H$1:$H$5000"),INDIRECT("'"&amp;$W$162&amp;"'"&amp;"!$A$1:$A$5000"),$W$2)</f>
        <v>2402</v>
      </c>
      <c r="AD164" s="4">
        <f ca="1">SUMIFS(INDIRECT("'"&amp;$W$162&amp;"'"&amp;"!$i$1:$i$5000"),INDIRECT("'"&amp;$W$162&amp;"'"&amp;"!$A$1:$A$5000"),$W$2)</f>
        <v>2744</v>
      </c>
      <c r="AE164" s="4">
        <f ca="1">SUMIFS(INDIRECT("'"&amp;$W$162&amp;"'"&amp;"!$j$1:$j$5000"),INDIRECT("'"&amp;$W$162&amp;"'"&amp;"!$A$1:$A$5000"),$W$2)</f>
        <v>2551</v>
      </c>
      <c r="AF164" s="4">
        <f ca="1">SUMIFS(INDIRECT("'"&amp;$W$162&amp;"'"&amp;"!$k$1:$k$5000"),INDIRECT("'"&amp;$W$162&amp;"'"&amp;"!$A$1:$A$5000"),$W$2)</f>
        <v>2607</v>
      </c>
      <c r="AG164" s="4">
        <f ca="1">SUMIFS(INDIRECT("'"&amp;$W$162&amp;"'"&amp;"!$l$1:$l$5000"),INDIRECT("'"&amp;$W$162&amp;"'"&amp;"!$A$1:$A$5000"),$W$2)</f>
        <v>2580</v>
      </c>
      <c r="AH164" s="4">
        <f ca="1">SUMIFS(INDIRECT("'"&amp;$W$162&amp;"'"&amp;"!$m$1:$m$5000"),INDIRECT("'"&amp;$W$162&amp;"'"&amp;"!$A$1:$A$5000"),$W$2)</f>
        <v>2749</v>
      </c>
      <c r="AJ164" s="14">
        <f t="shared" ref="AJ164:AU164" ca="1" si="310">W164-G164</f>
        <v>0</v>
      </c>
      <c r="AK164" s="14">
        <f t="shared" ca="1" si="310"/>
        <v>0</v>
      </c>
      <c r="AL164" s="14">
        <f t="shared" ca="1" si="310"/>
        <v>0</v>
      </c>
      <c r="AM164" s="14">
        <f t="shared" ca="1" si="310"/>
        <v>0</v>
      </c>
      <c r="AN164" s="14">
        <f t="shared" ca="1" si="310"/>
        <v>0</v>
      </c>
      <c r="AO164" s="14">
        <f t="shared" ca="1" si="310"/>
        <v>0</v>
      </c>
      <c r="AP164" s="14">
        <f t="shared" ca="1" si="310"/>
        <v>0</v>
      </c>
      <c r="AQ164" s="14">
        <f t="shared" ca="1" si="310"/>
        <v>0</v>
      </c>
      <c r="AR164" s="14">
        <f t="shared" ca="1" si="310"/>
        <v>0</v>
      </c>
      <c r="AS164" s="14">
        <f t="shared" ca="1" si="310"/>
        <v>0</v>
      </c>
      <c r="AT164" s="14">
        <f t="shared" ca="1" si="310"/>
        <v>0</v>
      </c>
      <c r="AU164" s="14">
        <f t="shared" ca="1" si="310"/>
        <v>0</v>
      </c>
      <c r="AV164" s="50"/>
    </row>
    <row r="165" spans="1:48" s="12" customFormat="1">
      <c r="A165" s="12">
        <f t="shared" ref="A165:A173" si="311">IF(AND(F165&lt;&gt;"",D165=""),A164+1,A164)</f>
        <v>15</v>
      </c>
      <c r="C165" t="str">
        <f>$F163</f>
        <v>Arbrook Plaza (HMG)</v>
      </c>
      <c r="D165" s="3" t="str">
        <f t="shared" si="272"/>
        <v>A_BEDS_TOTAL - Total Available Beds</v>
      </c>
      <c r="F165" s="19" t="str">
        <f>_xll.EVDES(D165)</f>
        <v>Total Available Beds</v>
      </c>
      <c r="G165" s="61">
        <f ca="1">SUMIFS(OFFSET('BPC Data'!$F:$F,0,Summary!G$2),'BPC Data'!$E:$E,Summary!$D165,'BPC Data'!$B:$B,Summary!$C165)</f>
        <v>120</v>
      </c>
      <c r="H165" s="65">
        <f ca="1">SUMIFS(OFFSET('BPC Data'!$F:$F,0,Summary!H$2),'BPC Data'!$E:$E,Summary!$D165,'BPC Data'!$B:$B,Summary!$C165)</f>
        <v>120</v>
      </c>
      <c r="I165" s="61">
        <f ca="1">SUMIFS(OFFSET('BPC Data'!$F:$F,0,Summary!I$2),'BPC Data'!$E:$E,Summary!$D165,'BPC Data'!$B:$B,Summary!$C165)</f>
        <v>120</v>
      </c>
      <c r="J165" s="65">
        <f ca="1">SUMIFS(OFFSET('BPC Data'!$F:$F,0,Summary!J$2),'BPC Data'!$E:$E,Summary!$D165,'BPC Data'!$B:$B,Summary!$C165)</f>
        <v>120</v>
      </c>
      <c r="K165" s="61">
        <f ca="1">SUMIFS(OFFSET('BPC Data'!$F:$F,0,Summary!K$2),'BPC Data'!$E:$E,Summary!$D165,'BPC Data'!$B:$B,Summary!$C165)</f>
        <v>120</v>
      </c>
      <c r="L165" s="65">
        <f ca="1">SUMIFS(OFFSET('BPC Data'!$F:$F,0,Summary!L$2),'BPC Data'!$E:$E,Summary!$D165,'BPC Data'!$B:$B,Summary!$C165)</f>
        <v>120</v>
      </c>
      <c r="M165" s="61">
        <f ca="1">SUMIFS(OFFSET('BPC Data'!$F:$F,0,Summary!M$2),'BPC Data'!$E:$E,Summary!$D165,'BPC Data'!$B:$B,Summary!$C165)</f>
        <v>120</v>
      </c>
      <c r="N165" s="65">
        <f ca="1">SUMIFS(OFFSET('BPC Data'!$F:$F,0,Summary!N$2),'BPC Data'!$E:$E,Summary!$D165,'BPC Data'!$B:$B,Summary!$C165)</f>
        <v>120</v>
      </c>
      <c r="O165" s="61">
        <f ca="1">SUMIFS(OFFSET('BPC Data'!$F:$F,0,Summary!O$2),'BPC Data'!$E:$E,Summary!$D165,'BPC Data'!$B:$B,Summary!$C165)</f>
        <v>120</v>
      </c>
      <c r="P165" s="65">
        <f ca="1">SUMIFS(OFFSET('BPC Data'!$F:$F,0,Summary!P$2),'BPC Data'!$E:$E,Summary!$D165,'BPC Data'!$B:$B,Summary!$C165)</f>
        <v>120</v>
      </c>
      <c r="Q165" s="61">
        <f ca="1">SUMIFS(OFFSET('BPC Data'!$F:$F,0,Summary!Q$2),'BPC Data'!$E:$E,Summary!$D165,'BPC Data'!$B:$B,Summary!$C165)</f>
        <v>120</v>
      </c>
      <c r="R165" s="65">
        <f ca="1">SUMIFS(OFFSET('BPC Data'!$F:$F,0,Summary!R$2),'BPC Data'!$E:$E,Summary!$D165,'BPC Data'!$B:$B,Summary!$C165)</f>
        <v>120</v>
      </c>
      <c r="S165" s="23">
        <f ca="1">+R165</f>
        <v>120</v>
      </c>
      <c r="T165" s="74"/>
      <c r="U165" s="54"/>
      <c r="AJ165" s="49"/>
      <c r="AK165" s="49"/>
      <c r="AL165" s="49"/>
      <c r="AM165" s="49"/>
      <c r="AN165" s="49"/>
      <c r="AO165" s="49"/>
      <c r="AP165" s="49"/>
      <c r="AQ165" s="49"/>
      <c r="AR165" s="49"/>
      <c r="AS165" s="49"/>
      <c r="AT165" s="49"/>
      <c r="AU165" s="49"/>
    </row>
    <row r="166" spans="1:48" s="12" customFormat="1">
      <c r="A166" s="12">
        <f t="shared" si="311"/>
        <v>15</v>
      </c>
      <c r="B166"/>
      <c r="C166" t="str">
        <f>$F163</f>
        <v>Arbrook Plaza (HMG)</v>
      </c>
      <c r="D166" s="3" t="str">
        <f t="shared" si="272"/>
        <v>T_REVENUES - Total Tenant Revenues</v>
      </c>
      <c r="E166"/>
      <c r="F166" s="19" t="str">
        <f>_xll.EVDES(D166)</f>
        <v>Total Tenant Revenues</v>
      </c>
      <c r="G166" s="61">
        <f ca="1">SUMIFS(OFFSET('BPC Data'!$F:$F,0,Summary!G$2),'BPC Data'!$E:$E,Summary!$D166,'BPC Data'!$B:$B,Summary!$C166)</f>
        <v>788277</v>
      </c>
      <c r="H166" s="65">
        <f ca="1">SUMIFS(OFFSET('BPC Data'!$F:$F,0,Summary!H$2),'BPC Data'!$E:$E,Summary!$D166,'BPC Data'!$B:$B,Summary!$C166)</f>
        <v>707328</v>
      </c>
      <c r="I166" s="61">
        <f ca="1">SUMIFS(OFFSET('BPC Data'!$F:$F,0,Summary!I$2),'BPC Data'!$E:$E,Summary!$D166,'BPC Data'!$B:$B,Summary!$C166)</f>
        <v>791930</v>
      </c>
      <c r="J166" s="65">
        <f ca="1">SUMIFS(OFFSET('BPC Data'!$F:$F,0,Summary!J$2),'BPC Data'!$E:$E,Summary!$D166,'BPC Data'!$B:$B,Summary!$C166)</f>
        <v>757280</v>
      </c>
      <c r="K166" s="61">
        <f ca="1">SUMIFS(OFFSET('BPC Data'!$F:$F,0,Summary!K$2),'BPC Data'!$E:$E,Summary!$D166,'BPC Data'!$B:$B,Summary!$C166)</f>
        <v>929946</v>
      </c>
      <c r="L166" s="65">
        <f ca="1">SUMIFS(OFFSET('BPC Data'!$F:$F,0,Summary!L$2),'BPC Data'!$E:$E,Summary!$D166,'BPC Data'!$B:$B,Summary!$C166)</f>
        <v>804961</v>
      </c>
      <c r="M166" s="61">
        <f ca="1">SUMIFS(OFFSET('BPC Data'!$F:$F,0,Summary!M$2),'BPC Data'!$E:$E,Summary!$D166,'BPC Data'!$B:$B,Summary!$C166)</f>
        <v>802834</v>
      </c>
      <c r="N166" s="65">
        <f ca="1">SUMIFS(OFFSET('BPC Data'!$F:$F,0,Summary!N$2),'BPC Data'!$E:$E,Summary!$D166,'BPC Data'!$B:$B,Summary!$C166)</f>
        <v>1023346</v>
      </c>
      <c r="O166" s="61">
        <f ca="1">SUMIFS(OFFSET('BPC Data'!$F:$F,0,Summary!O$2),'BPC Data'!$E:$E,Summary!$D166,'BPC Data'!$B:$B,Summary!$C166)</f>
        <v>855956</v>
      </c>
      <c r="P166" s="65">
        <f ca="1">SUMIFS(OFFSET('BPC Data'!$F:$F,0,Summary!P$2),'BPC Data'!$E:$E,Summary!$D166,'BPC Data'!$B:$B,Summary!$C166)</f>
        <v>811881</v>
      </c>
      <c r="Q166" s="61">
        <f ca="1">SUMIFS(OFFSET('BPC Data'!$F:$F,0,Summary!Q$2),'BPC Data'!$E:$E,Summary!$D166,'BPC Data'!$B:$B,Summary!$C166)</f>
        <v>818145</v>
      </c>
      <c r="R166" s="65">
        <f ca="1">SUMIFS(OFFSET('BPC Data'!$F:$F,0,Summary!R$2),'BPC Data'!$E:$E,Summary!$D166,'BPC Data'!$B:$B,Summary!$C166)</f>
        <v>868952</v>
      </c>
      <c r="S166" s="23">
        <f t="shared" ref="S166:S172" ca="1" si="312">SUM(G166:R166)</f>
        <v>9960836</v>
      </c>
      <c r="T166" s="74">
        <f ca="1">SUM(W166:AH166)</f>
        <v>10234064.859999996</v>
      </c>
      <c r="U166" s="54">
        <f ca="1">T166-S166</f>
        <v>273228.85999999568</v>
      </c>
      <c r="W166" s="4">
        <f ca="1">SUMIFS(INDIRECT("'"&amp;$W$162&amp;"'"&amp;"!$B$64:$B$5000"),INDIRECT("'"&amp;$W$162&amp;"'"&amp;"!$A$64:$A$5000"),$V$1)-SUMIFS(INDIRECT("'"&amp;$W$162&amp;"'"&amp;"!$B$64:$B$5000"),INDIRECT("'"&amp;$W$162&amp;"'"&amp;"!$A$64:$A$5000"),$V$2)-SUMIFS(INDIRECT("'"&amp;$W$162&amp;"'"&amp;"!$B$64:$B$5000"),INDIRECT("'"&amp;$W$162&amp;"'"&amp;"!$A$64:$A$5000"),$V$3)-SUMIFS(INDIRECT("'"&amp;$W$162&amp;"'"&amp;"!$B$64:$B$5000"),INDIRECT("'"&amp;$W$162&amp;"'"&amp;"!$A$64:$A$5000"),$X$4)-SUMIFS(INDIRECT("'"&amp;$W$162&amp;"'"&amp;"!$B$64:$B$5000"),INDIRECT("'"&amp;$W$162&amp;"'"&amp;"!$A$64:$A$5000"),$X$3)</f>
        <v>788276.76000000094</v>
      </c>
      <c r="X166" s="4">
        <f ca="1">SUMIFS(INDIRECT("'"&amp;$W$162&amp;"'"&amp;"!$C$64:$C$5000"),INDIRECT("'"&amp;$W$162&amp;"'"&amp;"!$A$64:$A$5000"),$V$1)-SUMIFS(INDIRECT("'"&amp;$W$162&amp;"'"&amp;"!$C$64:$C$5000"),INDIRECT("'"&amp;$W$162&amp;"'"&amp;"!$A$64:$A$5000"),$V$2)-SUMIFS(INDIRECT("'"&amp;$W$162&amp;"'"&amp;"!$C$64:$C$5000"),INDIRECT("'"&amp;$W$162&amp;"'"&amp;"!$A$64:$A$5000"),$V$3)-SUMIFS(INDIRECT("'"&amp;$W$162&amp;"'"&amp;"!$C$64:$C$5000"),INDIRECT("'"&amp;$W$162&amp;"'"&amp;"!$A$64:$A$5000"),$X$4)-SUMIFS(INDIRECT("'"&amp;$W$162&amp;"'"&amp;"!$C$64:$C$5000"),INDIRECT("'"&amp;$W$162&amp;"'"&amp;"!$A$64:$A$5000"),$X$3)</f>
        <v>707328.03999999957</v>
      </c>
      <c r="Y166" s="4">
        <f ca="1">SUMIFS(INDIRECT("'"&amp;$W$162&amp;"'"&amp;"!$d$64:$d$5000"),INDIRECT("'"&amp;$W$162&amp;"'"&amp;"!$A$64:$A$5000"),$V$1)-SUMIFS(INDIRECT("'"&amp;$W$162&amp;"'"&amp;"!$d$64:$d$5000"),INDIRECT("'"&amp;$W$162&amp;"'"&amp;"!$A$64:$A$5000"),$V$2)-SUMIFS(INDIRECT("'"&amp;$W$162&amp;"'"&amp;"!$d$64:$d$5000"),INDIRECT("'"&amp;$W$162&amp;"'"&amp;"!$A$64:$A$5000"),$V$3)-SUMIFS(INDIRECT("'"&amp;$W$162&amp;"'"&amp;"!$d$64:$d$5000"),INDIRECT("'"&amp;$W$162&amp;"'"&amp;"!$A$64:$A$5000"),$X$4)-SUMIFS(INDIRECT("'"&amp;$W$162&amp;"'"&amp;"!$d$64:$d$5000"),INDIRECT("'"&amp;$W$162&amp;"'"&amp;"!$A$64:$A$5000"),$X$3)</f>
        <v>791930.15000000049</v>
      </c>
      <c r="Z166" s="4">
        <f ca="1">SUMIFS(INDIRECT("'"&amp;$W$162&amp;"'"&amp;"!$e$64:$e$5000"),INDIRECT("'"&amp;$W$162&amp;"'"&amp;"!$A$64:$A$5000"),$V$1)-SUMIFS(INDIRECT("'"&amp;$W$162&amp;"'"&amp;"!$e$64:$e$5000"),INDIRECT("'"&amp;$W$162&amp;"'"&amp;"!$A$64:$A$5000"),$V$2)-SUMIFS(INDIRECT("'"&amp;$W$162&amp;"'"&amp;"!$e$64:$e$5000"),INDIRECT("'"&amp;$W$162&amp;"'"&amp;"!$A$64:$A$5000"),$V$3)-SUMIFS(INDIRECT("'"&amp;$W$162&amp;"'"&amp;"!$e$64:$e$5000"),INDIRECT("'"&amp;$W$162&amp;"'"&amp;"!$A$64:$A$5000"),$X$4)-SUMIFS(INDIRECT("'"&amp;$W$162&amp;"'"&amp;"!$e$64:$e$5000"),INDIRECT("'"&amp;$W$162&amp;"'"&amp;"!$A$64:$A$5000"),$X$3)</f>
        <v>757279.89999999967</v>
      </c>
      <c r="AA166" s="4">
        <f ca="1">SUMIFS(INDIRECT("'"&amp;$W$162&amp;"'"&amp;"!$f$64:$f$5000"),INDIRECT("'"&amp;$W$162&amp;"'"&amp;"!$A$64:$A$5000"),$V$1)-SUMIFS(INDIRECT("'"&amp;$W$162&amp;"'"&amp;"!$f$64:$f$5000"),INDIRECT("'"&amp;$W$162&amp;"'"&amp;"!$A$64:$A$5000"),$V$2)-SUMIFS(INDIRECT("'"&amp;$W$162&amp;"'"&amp;"!$f$64:$f$5000"),INDIRECT("'"&amp;$W$162&amp;"'"&amp;"!$A$64:$A$5000"),$V$3)-SUMIFS(INDIRECT("'"&amp;$W$162&amp;"'"&amp;"!$f$64:$f$5000"),INDIRECT("'"&amp;$W$162&amp;"'"&amp;"!$A$64:$A$5000"),$X$4)-SUMIFS(INDIRECT("'"&amp;$W$162&amp;"'"&amp;"!$f$64:$f$5000"),INDIRECT("'"&amp;$W$162&amp;"'"&amp;"!$A$64:$A$5000"),$X$3)</f>
        <v>1203175.22</v>
      </c>
      <c r="AB166" s="4">
        <f ca="1">SUMIFS(INDIRECT("'"&amp;$W$162&amp;"'"&amp;"!$g$64:$g$5000"),INDIRECT("'"&amp;$W$162&amp;"'"&amp;"!$A$64:$A$5000"),$V$1)-SUMIFS(INDIRECT("'"&amp;$W$162&amp;"'"&amp;"!$g$64:$g$5000"),INDIRECT("'"&amp;$W$162&amp;"'"&amp;"!$A$64:$A$5000"),$V$2)-SUMIFS(INDIRECT("'"&amp;$W$162&amp;"'"&amp;"!$g$64:$g$5000"),INDIRECT("'"&amp;$W$162&amp;"'"&amp;"!$A$64:$A$5000"),$V$3)-SUMIFS(INDIRECT("'"&amp;$W$162&amp;"'"&amp;"!$g$64:$g$5000"),INDIRECT("'"&amp;$W$162&amp;"'"&amp;"!$A$64:$A$5000"),$X$4)-SUMIFS(INDIRECT("'"&amp;$W$162&amp;"'"&amp;"!$g$64:$g$5000"),INDIRECT("'"&amp;$W$162&amp;"'"&amp;"!$A$64:$A$5000"),$X$3)</f>
        <v>804960.97999999928</v>
      </c>
      <c r="AC166" s="4">
        <f ca="1">SUMIFS(INDIRECT("'"&amp;$W$162&amp;"'"&amp;"!$h$64:$h$5000"),INDIRECT("'"&amp;$W$162&amp;"'"&amp;"!$A$64:$A$5000"),$V$1)-SUMIFS(INDIRECT("'"&amp;$W$162&amp;"'"&amp;"!$h$64:$h$5000"),INDIRECT("'"&amp;$W$162&amp;"'"&amp;"!$A$64:$A$5000"),$V$2)-SUMIFS(INDIRECT("'"&amp;$W$162&amp;"'"&amp;"!$h$64:$h$5000"),INDIRECT("'"&amp;$W$162&amp;"'"&amp;"!$A$64:$A$5000"),$V$3)-SUMIFS(INDIRECT("'"&amp;$W$162&amp;"'"&amp;"!$h$64:$h$5000"),INDIRECT("'"&amp;$W$162&amp;"'"&amp;"!$A$64:$A$5000"),$X$4)-SUMIFS(INDIRECT("'"&amp;$W$162&amp;"'"&amp;"!$h$64:$h$5000"),INDIRECT("'"&amp;$W$162&amp;"'"&amp;"!$A$64:$A$5000"),$X$3)</f>
        <v>802833.94000000076</v>
      </c>
      <c r="AD166" s="4">
        <f ca="1">SUMIFS(INDIRECT("'"&amp;$W$162&amp;"'"&amp;"!$i$64:$i$5000"),INDIRECT("'"&amp;$W$162&amp;"'"&amp;"!$A$64:$A$5000"),$V$1)-SUMIFS(INDIRECT("'"&amp;$W$162&amp;"'"&amp;"!$i$64:$i$5000"),INDIRECT("'"&amp;$W$162&amp;"'"&amp;"!$A$64:$A$5000"),$V$2)-SUMIFS(INDIRECT("'"&amp;$W$162&amp;"'"&amp;"!$i$64:$i$5000"),INDIRECT("'"&amp;$W$162&amp;"'"&amp;"!$A$64:$A$5000"),$V$3)-SUMIFS(INDIRECT("'"&amp;$W$162&amp;"'"&amp;"!$i$64:$i$5000"),INDIRECT("'"&amp;$W$162&amp;"'"&amp;"!$A$64:$A$5000"),$X$4)-SUMIFS(INDIRECT("'"&amp;$W$162&amp;"'"&amp;"!$i$64:$i$5000"),INDIRECT("'"&amp;$W$162&amp;"'"&amp;"!$A$64:$A$5000"),$X$3)</f>
        <v>1023345.6399999978</v>
      </c>
      <c r="AE166" s="4">
        <f ca="1">SUMIFS(INDIRECT("'"&amp;$W$162&amp;"'"&amp;"!$j$64:$j$5000"),INDIRECT("'"&amp;$W$162&amp;"'"&amp;"!$A$64:$A$5000"),$V$1)-SUMIFS(INDIRECT("'"&amp;$W$162&amp;"'"&amp;"!$j$64:$j$5000"),INDIRECT("'"&amp;$W$162&amp;"'"&amp;"!$A$64:$A$5000"),$V$2)-SUMIFS(INDIRECT("'"&amp;$W$162&amp;"'"&amp;"!$j$64:$j$5000"),INDIRECT("'"&amp;$W$162&amp;"'"&amp;"!$A$64:$A$5000"),$V$3)-SUMIFS(INDIRECT("'"&amp;$W$162&amp;"'"&amp;"!$j$64:$j$5000"),INDIRECT("'"&amp;$W$162&amp;"'"&amp;"!$A$64:$A$5000"),$X$4)-SUMIFS(INDIRECT("'"&amp;$W$162&amp;"'"&amp;"!$j$64:$j$5000"),INDIRECT("'"&amp;$W$162&amp;"'"&amp;"!$A$64:$A$5000"),$X$3)</f>
        <v>855956.69999999914</v>
      </c>
      <c r="AF166" s="4">
        <f ca="1">SUMIFS(INDIRECT("'"&amp;$W$162&amp;"'"&amp;"!$k$64:$k$5000"),INDIRECT("'"&amp;$W$162&amp;"'"&amp;"!$A$64:$A$5000"),$V$1)-SUMIFS(INDIRECT("'"&amp;$W$162&amp;"'"&amp;"!$k$64:$k$5000"),INDIRECT("'"&amp;$W$162&amp;"'"&amp;"!$A$64:$A$5000"),$V$2)-SUMIFS(INDIRECT("'"&amp;$W$162&amp;"'"&amp;"!$k$64:$k$5000"),INDIRECT("'"&amp;$W$162&amp;"'"&amp;"!$A$64:$A$5000"),$V$3)-SUMIFS(INDIRECT("'"&amp;$W$162&amp;"'"&amp;"!$k$64:$k$5000"),INDIRECT("'"&amp;$W$162&amp;"'"&amp;"!$A$64:$A$5000"),$X$4)-SUMIFS(INDIRECT("'"&amp;$W$162&amp;"'"&amp;"!$k$64:$k$5000"),INDIRECT("'"&amp;$W$162&amp;"'"&amp;"!$A$64:$A$5000"),$X$3)</f>
        <v>811881.02999999898</v>
      </c>
      <c r="AG166" s="4">
        <f ca="1">SUMIFS(INDIRECT("'"&amp;$W$162&amp;"'"&amp;"!$l$64:$l$5000"),INDIRECT("'"&amp;$W$162&amp;"'"&amp;"!$A$64:$A$5000"),$V$1)-SUMIFS(INDIRECT("'"&amp;$W$162&amp;"'"&amp;"!$l$64:$l$5000"),INDIRECT("'"&amp;$W$162&amp;"'"&amp;"!$A$64:$A$5000"),$V$2)-SUMIFS(INDIRECT("'"&amp;$W$162&amp;"'"&amp;"!$l$64:$l$5000"),INDIRECT("'"&amp;$W$162&amp;"'"&amp;"!$A$64:$A$5000"),$V$3)-SUMIFS(INDIRECT("'"&amp;$W$162&amp;"'"&amp;"!$l$64:$l$5000"),INDIRECT("'"&amp;$W$162&amp;"'"&amp;"!$A$64:$A$5000"),$X$4)-SUMIFS(INDIRECT("'"&amp;$W$162&amp;"'"&amp;"!$l$64:$l$5000"),INDIRECT("'"&amp;$W$162&amp;"'"&amp;"!$A$64:$A$5000"),$X$3)</f>
        <v>818145.14000000129</v>
      </c>
      <c r="AH166" s="4">
        <f ca="1">SUMIFS(INDIRECT("'"&amp;$W$162&amp;"'"&amp;"!$m$64:$m$5000"),INDIRECT("'"&amp;$W$162&amp;"'"&amp;"!$A$64:$A$5000"),$V$1)-SUMIFS(INDIRECT("'"&amp;$W$162&amp;"'"&amp;"!$m$64:$m$5000"),INDIRECT("'"&amp;$W$162&amp;"'"&amp;"!$A$64:$A$5000"),$V$2)-SUMIFS(INDIRECT("'"&amp;$W$162&amp;"'"&amp;"!$m$64:$m$5000"),INDIRECT("'"&amp;$W$162&amp;"'"&amp;"!$A$64:$A$5000"),$V$3)-SUMIFS(INDIRECT("'"&amp;$W$162&amp;"'"&amp;"!$m$64:$m$5000"),INDIRECT("'"&amp;$W$162&amp;"'"&amp;"!$A$64:$A$5000"),$X$4)-SUMIFS(INDIRECT("'"&amp;$W$162&amp;"'"&amp;"!$m$64:$m$5000"),INDIRECT("'"&amp;$W$162&amp;"'"&amp;"!$A$64:$A$5000"),$X$3)</f>
        <v>868951.35999999964</v>
      </c>
      <c r="AJ166" s="14">
        <f t="shared" ref="AJ166:AU167" ca="1" si="313">W166-G166</f>
        <v>-0.2399999990593642</v>
      </c>
      <c r="AK166" s="14">
        <f t="shared" ca="1" si="313"/>
        <v>3.9999999571591616E-2</v>
      </c>
      <c r="AL166" s="14">
        <f t="shared" ca="1" si="313"/>
        <v>0.15000000048894435</v>
      </c>
      <c r="AM166" s="14">
        <f t="shared" ca="1" si="313"/>
        <v>-0.1000000003259629</v>
      </c>
      <c r="AN166" s="14">
        <f t="shared" ca="1" si="313"/>
        <v>273229.21999999997</v>
      </c>
      <c r="AO166" s="14">
        <f t="shared" ca="1" si="313"/>
        <v>-2.0000000717118382E-2</v>
      </c>
      <c r="AP166" s="14">
        <f t="shared" ca="1" si="313"/>
        <v>-5.9999999240972102E-2</v>
      </c>
      <c r="AQ166" s="14">
        <f t="shared" ca="1" si="313"/>
        <v>-0.36000000219792128</v>
      </c>
      <c r="AR166" s="14">
        <f t="shared" ca="1" si="313"/>
        <v>0.69999999913852662</v>
      </c>
      <c r="AS166" s="14">
        <f t="shared" ca="1" si="313"/>
        <v>2.9999998980201781E-2</v>
      </c>
      <c r="AT166" s="14">
        <f t="shared" ca="1" si="313"/>
        <v>0.14000000129453838</v>
      </c>
      <c r="AU166" s="14">
        <f t="shared" ca="1" si="313"/>
        <v>-0.6400000003632158</v>
      </c>
    </row>
    <row r="167" spans="1:48" s="12" customFormat="1">
      <c r="A167" s="12">
        <f t="shared" si="311"/>
        <v>15</v>
      </c>
      <c r="B167"/>
      <c r="C167" t="str">
        <f>$F163</f>
        <v>Arbrook Plaza (HMG)</v>
      </c>
      <c r="D167" s="3" t="str">
        <f t="shared" si="272"/>
        <v>T_OPEX - Tenant Operating Expenses</v>
      </c>
      <c r="E167"/>
      <c r="F167" s="19" t="str">
        <f>_xll.EVDES(D167)</f>
        <v>Tenant Operating Expenses</v>
      </c>
      <c r="G167" s="61">
        <f ca="1">SUMIFS(OFFSET('BPC Data'!$F:$F,0,Summary!G$2),'BPC Data'!$E:$E,Summary!$D167,'BPC Data'!$B:$B,Summary!$C167)</f>
        <v>613495</v>
      </c>
      <c r="H167" s="65">
        <f ca="1">SUMIFS(OFFSET('BPC Data'!$F:$F,0,Summary!H$2),'BPC Data'!$E:$E,Summary!$D167,'BPC Data'!$B:$B,Summary!$C167)</f>
        <v>609161</v>
      </c>
      <c r="I167" s="61">
        <f ca="1">SUMIFS(OFFSET('BPC Data'!$F:$F,0,Summary!I$2),'BPC Data'!$E:$E,Summary!$D167,'BPC Data'!$B:$B,Summary!$C167)</f>
        <v>619796</v>
      </c>
      <c r="J167" s="65">
        <f ca="1">SUMIFS(OFFSET('BPC Data'!$F:$F,0,Summary!J$2),'BPC Data'!$E:$E,Summary!$D167,'BPC Data'!$B:$B,Summary!$C167)</f>
        <v>602065</v>
      </c>
      <c r="K167" s="61">
        <f ca="1">SUMIFS(OFFSET('BPC Data'!$F:$F,0,Summary!K$2),'BPC Data'!$E:$E,Summary!$D167,'BPC Data'!$B:$B,Summary!$C167)</f>
        <v>438297</v>
      </c>
      <c r="L167" s="65">
        <f ca="1">SUMIFS(OFFSET('BPC Data'!$F:$F,0,Summary!L$2),'BPC Data'!$E:$E,Summary!$D167,'BPC Data'!$B:$B,Summary!$C167)</f>
        <v>606583</v>
      </c>
      <c r="M167" s="61">
        <f ca="1">SUMIFS(OFFSET('BPC Data'!$F:$F,0,Summary!M$2),'BPC Data'!$E:$E,Summary!$D167,'BPC Data'!$B:$B,Summary!$C167)</f>
        <v>602948</v>
      </c>
      <c r="N167" s="65">
        <f ca="1">SUMIFS(OFFSET('BPC Data'!$F:$F,0,Summary!N$2),'BPC Data'!$E:$E,Summary!$D167,'BPC Data'!$B:$B,Summary!$C167)</f>
        <v>742595</v>
      </c>
      <c r="O167" s="61">
        <f ca="1">SUMIFS(OFFSET('BPC Data'!$F:$F,0,Summary!O$2),'BPC Data'!$E:$E,Summary!$D167,'BPC Data'!$B:$B,Summary!$C167)</f>
        <v>628928</v>
      </c>
      <c r="P167" s="65">
        <f ca="1">SUMIFS(OFFSET('BPC Data'!$F:$F,0,Summary!P$2),'BPC Data'!$E:$E,Summary!$D167,'BPC Data'!$B:$B,Summary!$C167)</f>
        <v>724479</v>
      </c>
      <c r="Q167" s="61">
        <f ca="1">SUMIFS(OFFSET('BPC Data'!$F:$F,0,Summary!Q$2),'BPC Data'!$E:$E,Summary!$D167,'BPC Data'!$B:$B,Summary!$C167)</f>
        <v>559910</v>
      </c>
      <c r="R167" s="65">
        <f ca="1">SUMIFS(OFFSET('BPC Data'!$F:$F,0,Summary!R$2),'BPC Data'!$E:$E,Summary!$D167,'BPC Data'!$B:$B,Summary!$C167)</f>
        <v>635187</v>
      </c>
      <c r="S167" s="23">
        <f t="shared" ca="1" si="312"/>
        <v>7383444</v>
      </c>
      <c r="T167" s="74">
        <f ca="1">SUM(W167:AH167)</f>
        <v>7523164.9400000041</v>
      </c>
      <c r="U167" s="54">
        <f ca="1">T167-S167</f>
        <v>139720.94000000414</v>
      </c>
      <c r="W167" s="4">
        <f ca="1">SUMIFS(INDIRECT("'"&amp;$W$162&amp;"'"&amp;"!$B$64:$B$5000"),INDIRECT("'"&amp;$W$162&amp;"'"&amp;"!$A$64:$A$5000"),$V$4)-SUMIFS(INDIRECT("'"&amp;$W$162&amp;"'"&amp;"!$B$64:$B$5000"),INDIRECT("'"&amp;$W$162&amp;"'"&amp;"!$A$64:$A$5000"),$V$5)-SUMIFS(INDIRECT("'"&amp;$W$162&amp;"'"&amp;"!$B$64:$B$5000"),INDIRECT("'"&amp;$W$162&amp;"'"&amp;"!$A$64:$A$5000"),$V$6)-SUMIFS(INDIRECT("'"&amp;$W$162&amp;"'"&amp;"!$B$64:$B$5000"),INDIRECT("'"&amp;$W$162&amp;"'"&amp;"!$A$64:$A$5000"),$W$6)-SUMIFS(INDIRECT("'"&amp;$W$162&amp;"'"&amp;"!$B$64:$B$5000"),INDIRECT("'"&amp;$W$162&amp;"'"&amp;"!$A$64:$A$5000"),$W$7)-SUMIFS(INDIRECT("'"&amp;$W$162&amp;"'"&amp;"!$B$64:$B$5000"),INDIRECT("'"&amp;$W$162&amp;"'"&amp;"!$A$64:$A$5000"),$X$3)-W172-W170</f>
        <v>613494.98000000068</v>
      </c>
      <c r="X167" s="4">
        <f ca="1">SUMIFS(INDIRECT("'"&amp;$W$162&amp;"'"&amp;"!$C$64:$C$5000"),INDIRECT("'"&amp;$W$162&amp;"'"&amp;"!$A$64:$A$5000"),$V$4)-SUMIFS(INDIRECT("'"&amp;$W$162&amp;"'"&amp;"!$C$64:$C$5000"),INDIRECT("'"&amp;$W$162&amp;"'"&amp;"!$A$64:$A$5000"),$V$5)-SUMIFS(INDIRECT("'"&amp;$W$162&amp;"'"&amp;"!$C$64:$C$5000"),INDIRECT("'"&amp;$W$162&amp;"'"&amp;"!$A$64:$A$5000"),$V$6)-SUMIFS(INDIRECT("'"&amp;$W$162&amp;"'"&amp;"!$C$64:$C$5000"),INDIRECT("'"&amp;$W$162&amp;"'"&amp;"!$A$64:$A$5000"),$W$6)-SUMIFS(INDIRECT("'"&amp;$W$162&amp;"'"&amp;"!$C$64:$C$5000"),INDIRECT("'"&amp;$W$162&amp;"'"&amp;"!$A$64:$A$5000"),$W$7)-SUMIFS(INDIRECT("'"&amp;$W$162&amp;"'"&amp;"!$C$64:$C$5000"),INDIRECT("'"&amp;$W$162&amp;"'"&amp;"!$A$64:$A$5000"),$X$3)-X172-X170</f>
        <v>609159.48000000021</v>
      </c>
      <c r="Y167" s="4">
        <f ca="1">SUMIFS(INDIRECT("'"&amp;$W$162&amp;"'"&amp;"!$d$64:$d$5000"),INDIRECT("'"&amp;$W$162&amp;"'"&amp;"!$A$64:$A$5000"),$V$4)-SUMIFS(INDIRECT("'"&amp;$W$162&amp;"'"&amp;"!$d$64:$d$5000"),INDIRECT("'"&amp;$W$162&amp;"'"&amp;"!$A$64:$A$5000"),$V$5)-SUMIFS(INDIRECT("'"&amp;$W$162&amp;"'"&amp;"!$d$64:$d$5000"),INDIRECT("'"&amp;$W$162&amp;"'"&amp;"!$A$64:$A$5000"),$V$6)-SUMIFS(INDIRECT("'"&amp;$W$162&amp;"'"&amp;"!$d$64:$d$5000"),INDIRECT("'"&amp;$W$162&amp;"'"&amp;"!$A$64:$A$5000"),$W$6)-SUMIFS(INDIRECT("'"&amp;$W$162&amp;"'"&amp;"!$d$64:$d$5000"),INDIRECT("'"&amp;$W$162&amp;"'"&amp;"!$A$64:$A$5000"),$W$7)-SUMIFS(INDIRECT("'"&amp;$W$162&amp;"'"&amp;"!$d$64:$d$5000"),INDIRECT("'"&amp;$W$162&amp;"'"&amp;"!$A$64:$A$5000"),$X$3)-Y172-Y170</f>
        <v>619796.84999999974</v>
      </c>
      <c r="Z167" s="4">
        <f ca="1">SUMIFS(INDIRECT("'"&amp;$W$162&amp;"'"&amp;"!$e$64:$e$5000"),INDIRECT("'"&amp;$W$162&amp;"'"&amp;"!$A$64:$A$5000"),$V$4)-SUMIFS(INDIRECT("'"&amp;$W$162&amp;"'"&amp;"!$e$64:$e$5000"),INDIRECT("'"&amp;$W$162&amp;"'"&amp;"!$A$64:$A$5000"),$V$5)-SUMIFS(INDIRECT("'"&amp;$W$162&amp;"'"&amp;"!$e$64:$e$5000"),INDIRECT("'"&amp;$W$162&amp;"'"&amp;"!$A$64:$A$5000"),$V$6)-SUMIFS(INDIRECT("'"&amp;$W$162&amp;"'"&amp;"!$e$64:$e$5000"),INDIRECT("'"&amp;$W$162&amp;"'"&amp;"!$A$64:$A$5000"),$W$6)-SUMIFS(INDIRECT("'"&amp;$W$162&amp;"'"&amp;"!$e$64:$e$5000"),INDIRECT("'"&amp;$W$162&amp;"'"&amp;"!$A$64:$A$5000"),$W$7)-SUMIFS(INDIRECT("'"&amp;$W$162&amp;"'"&amp;"!$e$64:$e$5000"),INDIRECT("'"&amp;$W$162&amp;"'"&amp;"!$A$64:$A$5000"),$X$3)-Z172-Z170</f>
        <v>602066.59000000067</v>
      </c>
      <c r="AA167" s="4">
        <f ca="1">SUMIFS(INDIRECT("'"&amp;$W$162&amp;"'"&amp;"!$f$64:$f$5000"),INDIRECT("'"&amp;$W$162&amp;"'"&amp;"!$A$64:$A$5000"),$V$4)-SUMIFS(INDIRECT("'"&amp;$W$162&amp;"'"&amp;"!$f$64:$f$5000"),INDIRECT("'"&amp;$W$162&amp;"'"&amp;"!$A$64:$A$5000"),$V$5)-SUMIFS(INDIRECT("'"&amp;$W$162&amp;"'"&amp;"!$f$64:$f$5000"),INDIRECT("'"&amp;$W$162&amp;"'"&amp;"!$A$64:$A$5000"),$V$6)-SUMIFS(INDIRECT("'"&amp;$W$162&amp;"'"&amp;"!$f$64:$f$5000"),INDIRECT("'"&amp;$W$162&amp;"'"&amp;"!$A$64:$A$5000"),$W$6)-SUMIFS(INDIRECT("'"&amp;$W$162&amp;"'"&amp;"!$f$64:$f$5000"),INDIRECT("'"&amp;$W$162&amp;"'"&amp;"!$A$64:$A$5000"),$W$7)-SUMIFS(INDIRECT("'"&amp;$W$162&amp;"'"&amp;"!$f$64:$f$5000"),INDIRECT("'"&amp;$W$162&amp;"'"&amp;"!$A$64:$A$5000"),$X$3)-AA172-AA170</f>
        <v>578017.20000000042</v>
      </c>
      <c r="AB167" s="4">
        <f ca="1">SUMIFS(INDIRECT("'"&amp;$W$162&amp;"'"&amp;"!$g$64:$g$5000"),INDIRECT("'"&amp;$W$162&amp;"'"&amp;"!$A$64:$A$5000"),$V$4)-SUMIFS(INDIRECT("'"&amp;$W$162&amp;"'"&amp;"!$g$64:$g$5000"),INDIRECT("'"&amp;$W$162&amp;"'"&amp;"!$A$64:$A$5000"),$V$5)-SUMIFS(INDIRECT("'"&amp;$W$162&amp;"'"&amp;"!$g$64:$g$5000"),INDIRECT("'"&amp;$W$162&amp;"'"&amp;"!$A$64:$A$5000"),$V$6)-SUMIFS(INDIRECT("'"&amp;$W$162&amp;"'"&amp;"!$g$64:$g$5000"),INDIRECT("'"&amp;$W$162&amp;"'"&amp;"!$A$64:$A$5000"),$W$6)-SUMIFS(INDIRECT("'"&amp;$W$162&amp;"'"&amp;"!$g$64:$g$5000"),INDIRECT("'"&amp;$W$162&amp;"'"&amp;"!$A$64:$A$5000"),$W$7)-SUMIFS(INDIRECT("'"&amp;$W$162&amp;"'"&amp;"!$g$64:$g$5000"),INDIRECT("'"&amp;$W$162&amp;"'"&amp;"!$A$64:$A$5000"),$X$3)-AB172-AB170</f>
        <v>606582.3899999999</v>
      </c>
      <c r="AC167" s="4">
        <f ca="1">SUMIFS(INDIRECT("'"&amp;$W$162&amp;"'"&amp;"!$h$64:$h$5000"),INDIRECT("'"&amp;$W$162&amp;"'"&amp;"!$A$64:$A$5000"),$V$4)-SUMIFS(INDIRECT("'"&amp;$W$162&amp;"'"&amp;"!$h$64:$h$5000"),INDIRECT("'"&amp;$W$162&amp;"'"&amp;"!$A$64:$A$5000"),$V$5)-SUMIFS(INDIRECT("'"&amp;$W$162&amp;"'"&amp;"!$h$64:$h$5000"),INDIRECT("'"&amp;$W$162&amp;"'"&amp;"!$A$64:$A$5000"),$V$6)-SUMIFS(INDIRECT("'"&amp;$W$162&amp;"'"&amp;"!$h$64:$h$5000"),INDIRECT("'"&amp;$W$162&amp;"'"&amp;"!$A$64:$A$5000"),$W$6)-SUMIFS(INDIRECT("'"&amp;$W$162&amp;"'"&amp;"!$h$64:$h$5000"),INDIRECT("'"&amp;$W$162&amp;"'"&amp;"!$A$64:$A$5000"),$W$7)-SUMIFS(INDIRECT("'"&amp;$W$162&amp;"'"&amp;"!$h$64:$h$5000"),INDIRECT("'"&amp;$W$162&amp;"'"&amp;"!$A$64:$A$5000"),$X$3)-AC172-AC170</f>
        <v>602948.3900000006</v>
      </c>
      <c r="AD167" s="4">
        <f ca="1">SUMIFS(INDIRECT("'"&amp;$W$162&amp;"'"&amp;"!$i$64:$i$5000"),INDIRECT("'"&amp;$W$162&amp;"'"&amp;"!$A$64:$A$5000"),$V$4)-SUMIFS(INDIRECT("'"&amp;$W$162&amp;"'"&amp;"!$i$64:$i$5000"),INDIRECT("'"&amp;$W$162&amp;"'"&amp;"!$A$64:$A$5000"),$V$5)-SUMIFS(INDIRECT("'"&amp;$W$162&amp;"'"&amp;"!$i$64:$i$5000"),INDIRECT("'"&amp;$W$162&amp;"'"&amp;"!$A$64:$A$5000"),$V$6)-SUMIFS(INDIRECT("'"&amp;$W$162&amp;"'"&amp;"!$i$64:$i$5000"),INDIRECT("'"&amp;$W$162&amp;"'"&amp;"!$A$64:$A$5000"),$W$6)-SUMIFS(INDIRECT("'"&amp;$W$162&amp;"'"&amp;"!$i$64:$i$5000"),INDIRECT("'"&amp;$W$162&amp;"'"&amp;"!$A$64:$A$5000"),$W$7)-SUMIFS(INDIRECT("'"&amp;$W$162&amp;"'"&amp;"!$i$64:$i$5000"),INDIRECT("'"&amp;$W$162&amp;"'"&amp;"!$A$64:$A$5000"),$X$3)-AD172-AD170</f>
        <v>742594.46000000031</v>
      </c>
      <c r="AE167" s="4">
        <f ca="1">SUMIFS(INDIRECT("'"&amp;$W$162&amp;"'"&amp;"!$j$64:$j$5000"),INDIRECT("'"&amp;$W$162&amp;"'"&amp;"!$A$64:$A$5000"),$V$4)-SUMIFS(INDIRECT("'"&amp;$W$162&amp;"'"&amp;"!$j$64:$j$5000"),INDIRECT("'"&amp;$W$162&amp;"'"&amp;"!$A$64:$A$5000"),$V$5)-SUMIFS(INDIRECT("'"&amp;$W$162&amp;"'"&amp;"!$j$64:$j$5000"),INDIRECT("'"&amp;$W$162&amp;"'"&amp;"!$A$64:$A$5000"),$V$6)-SUMIFS(INDIRECT("'"&amp;$W$162&amp;"'"&amp;"!$j$64:$j$5000"),INDIRECT("'"&amp;$W$162&amp;"'"&amp;"!$A$64:$A$5000"),$W$6)-SUMIFS(INDIRECT("'"&amp;$W$162&amp;"'"&amp;"!$j$64:$j$5000"),INDIRECT("'"&amp;$W$162&amp;"'"&amp;"!$A$64:$A$5000"),$W$7)-SUMIFS(INDIRECT("'"&amp;$W$162&amp;"'"&amp;"!$j$64:$j$5000"),INDIRECT("'"&amp;$W$162&amp;"'"&amp;"!$A$64:$A$5000"),$X$3)-AE172-AE170</f>
        <v>628929.31000000029</v>
      </c>
      <c r="AF167" s="4">
        <f ca="1">SUMIFS(INDIRECT("'"&amp;$W$162&amp;"'"&amp;"!$k$64:$k$5000"),INDIRECT("'"&amp;$W$162&amp;"'"&amp;"!$A$64:$A$5000"),$V$4)-SUMIFS(INDIRECT("'"&amp;$W$162&amp;"'"&amp;"!$k$64:$k$5000"),INDIRECT("'"&amp;$W$162&amp;"'"&amp;"!$A$64:$A$5000"),$V$5)-SUMIFS(INDIRECT("'"&amp;$W$162&amp;"'"&amp;"!$k$64:$k$5000"),INDIRECT("'"&amp;$W$162&amp;"'"&amp;"!$A$64:$A$5000"),$V$6)-SUMIFS(INDIRECT("'"&amp;$W$162&amp;"'"&amp;"!$k$64:$k$5000"),INDIRECT("'"&amp;$W$162&amp;"'"&amp;"!$A$64:$A$5000"),$W$6)-SUMIFS(INDIRECT("'"&amp;$W$162&amp;"'"&amp;"!$k$64:$k$5000"),INDIRECT("'"&amp;$W$162&amp;"'"&amp;"!$A$64:$A$5000"),$W$7)-SUMIFS(INDIRECT("'"&amp;$W$162&amp;"'"&amp;"!$k$64:$k$5000"),INDIRECT("'"&amp;$W$162&amp;"'"&amp;"!$A$64:$A$5000"),$X$3)-AF172-AF170</f>
        <v>724479.65000000026</v>
      </c>
      <c r="AG167" s="4">
        <f ca="1">SUMIFS(INDIRECT("'"&amp;$W$162&amp;"'"&amp;"!$l$64:$l$5000"),INDIRECT("'"&amp;$W$162&amp;"'"&amp;"!$A$64:$A$5000"),$V$4)-SUMIFS(INDIRECT("'"&amp;$W$162&amp;"'"&amp;"!$l$64:$l$5000"),INDIRECT("'"&amp;$W$162&amp;"'"&amp;"!$A$64:$A$5000"),$V$5)-SUMIFS(INDIRECT("'"&amp;$W$162&amp;"'"&amp;"!$l$64:$l$5000"),INDIRECT("'"&amp;$W$162&amp;"'"&amp;"!$A$64:$A$5000"),$V$6)-SUMIFS(INDIRECT("'"&amp;$W$162&amp;"'"&amp;"!$l$64:$l$5000"),INDIRECT("'"&amp;$W$162&amp;"'"&amp;"!$A$64:$A$5000"),$W$6)-SUMIFS(INDIRECT("'"&amp;$W$162&amp;"'"&amp;"!$l$64:$l$5000"),INDIRECT("'"&amp;$W$162&amp;"'"&amp;"!$A$64:$A$5000"),$W$7)-SUMIFS(INDIRECT("'"&amp;$W$162&amp;"'"&amp;"!$l$64:$l$5000"),INDIRECT("'"&amp;$W$162&amp;"'"&amp;"!$A$64:$A$5000"),$X$3)-AG172-AG170</f>
        <v>559909.06000000052</v>
      </c>
      <c r="AH167" s="4">
        <f ca="1">SUMIFS(INDIRECT("'"&amp;$W$162&amp;"'"&amp;"!$m$64:$m$5000"),INDIRECT("'"&amp;$W$162&amp;"'"&amp;"!$A$64:$A$5000"),$V$4)-SUMIFS(INDIRECT("'"&amp;$W$162&amp;"'"&amp;"!$m$64:$m$5000"),INDIRECT("'"&amp;$W$162&amp;"'"&amp;"!$A$64:$A$5000"),$V$5)-SUMIFS(INDIRECT("'"&amp;$W$162&amp;"'"&amp;"!$m$64:$m$5000"),INDIRECT("'"&amp;$W$162&amp;"'"&amp;"!$A$64:$A$5000"),$V$6)-SUMIFS(INDIRECT("'"&amp;$W$162&amp;"'"&amp;"!$m$64:$m$5000"),INDIRECT("'"&amp;$W$162&amp;"'"&amp;"!$A$64:$A$5000"),$W$6)-SUMIFS(INDIRECT("'"&amp;$W$162&amp;"'"&amp;"!$m$64:$m$5000"),INDIRECT("'"&amp;$W$162&amp;"'"&amp;"!$A$64:$A$5000"),$W$7)-SUMIFS(INDIRECT("'"&amp;$W$162&amp;"'"&amp;"!$m$64:$m$5000"),INDIRECT("'"&amp;$W$162&amp;"'"&amp;"!$A$64:$A$5000"),$X$3)-AH172-AH170</f>
        <v>635186.58000000101</v>
      </c>
      <c r="AJ167" s="14">
        <f t="shared" ca="1" si="313"/>
        <v>-1.9999999320134521E-2</v>
      </c>
      <c r="AK167" s="14">
        <f t="shared" ca="1" si="313"/>
        <v>-1.5199999997857958</v>
      </c>
      <c r="AL167" s="14">
        <f t="shared" ca="1" si="313"/>
        <v>0.84999999974388629</v>
      </c>
      <c r="AM167" s="14">
        <f t="shared" ca="1" si="313"/>
        <v>1.5900000006658956</v>
      </c>
      <c r="AN167" s="14">
        <f t="shared" ca="1" si="313"/>
        <v>139720.20000000042</v>
      </c>
      <c r="AO167" s="14">
        <f t="shared" ca="1" si="313"/>
        <v>-0.61000000010244548</v>
      </c>
      <c r="AP167" s="14">
        <f t="shared" ca="1" si="313"/>
        <v>0.39000000059604645</v>
      </c>
      <c r="AQ167" s="14">
        <f t="shared" ca="1" si="313"/>
        <v>-0.53999999968800694</v>
      </c>
      <c r="AR167" s="14">
        <f t="shared" ca="1" si="313"/>
        <v>1.31000000028871</v>
      </c>
      <c r="AS167" s="14">
        <f t="shared" ca="1" si="313"/>
        <v>0.65000000025611371</v>
      </c>
      <c r="AT167" s="14">
        <f t="shared" ca="1" si="313"/>
        <v>-0.93999999947845936</v>
      </c>
      <c r="AU167" s="14">
        <f t="shared" ca="1" si="313"/>
        <v>-0.41999999899417162</v>
      </c>
    </row>
    <row r="168" spans="1:48" s="12" customFormat="1">
      <c r="A168" s="12">
        <f t="shared" si="311"/>
        <v>15</v>
      </c>
      <c r="B168"/>
      <c r="C168" t="str">
        <f>$F163</f>
        <v>Arbrook Plaza (HMG)</v>
      </c>
      <c r="D168" s="3" t="str">
        <f t="shared" si="272"/>
        <v>T_BAD_DEBT - Tenant Bad Debt Expense</v>
      </c>
      <c r="E168"/>
      <c r="F168" s="19" t="str">
        <f>_xll.EVDES(D168)</f>
        <v>Tenant Bad Debt Expense</v>
      </c>
      <c r="G168" s="61">
        <f ca="1">SUMIFS(OFFSET('BPC Data'!$F:$F,0,Summary!G$2),'BPC Data'!$E:$E,Summary!$D168,'BPC Data'!$B:$B,Summary!$C168)</f>
        <v>23927</v>
      </c>
      <c r="H168" s="65">
        <f ca="1">SUMIFS(OFFSET('BPC Data'!$F:$F,0,Summary!H$2),'BPC Data'!$E:$E,Summary!$D168,'BPC Data'!$B:$B,Summary!$C168)</f>
        <v>19095</v>
      </c>
      <c r="I168" s="61">
        <f ca="1">SUMIFS(OFFSET('BPC Data'!$F:$F,0,Summary!I$2),'BPC Data'!$E:$E,Summary!$D168,'BPC Data'!$B:$B,Summary!$C168)</f>
        <v>22204</v>
      </c>
      <c r="J168" s="65">
        <f ca="1">SUMIFS(OFFSET('BPC Data'!$F:$F,0,Summary!J$2),'BPC Data'!$E:$E,Summary!$D168,'BPC Data'!$B:$B,Summary!$C168)</f>
        <v>21168</v>
      </c>
      <c r="K168" s="61">
        <f ca="1">SUMIFS(OFFSET('BPC Data'!$F:$F,0,Summary!K$2),'BPC Data'!$E:$E,Summary!$D168,'BPC Data'!$B:$B,Summary!$C168)</f>
        <v>24715</v>
      </c>
      <c r="L168" s="65">
        <f ca="1">SUMIFS(OFFSET('BPC Data'!$F:$F,0,Summary!L$2),'BPC Data'!$E:$E,Summary!$D168,'BPC Data'!$B:$B,Summary!$C168)</f>
        <v>22894</v>
      </c>
      <c r="M168" s="61">
        <f ca="1">SUMIFS(OFFSET('BPC Data'!$F:$F,0,Summary!M$2),'BPC Data'!$E:$E,Summary!$D168,'BPC Data'!$B:$B,Summary!$C168)</f>
        <v>38712</v>
      </c>
      <c r="N168" s="65">
        <f ca="1">SUMIFS(OFFSET('BPC Data'!$F:$F,0,Summary!N$2),'BPC Data'!$E:$E,Summary!$D168,'BPC Data'!$B:$B,Summary!$C168)</f>
        <v>46029</v>
      </c>
      <c r="O168" s="61">
        <f ca="1">SUMIFS(OFFSET('BPC Data'!$F:$F,0,Summary!O$2),'BPC Data'!$E:$E,Summary!$D168,'BPC Data'!$B:$B,Summary!$C168)</f>
        <v>24245</v>
      </c>
      <c r="P168" s="65">
        <f ca="1">SUMIFS(OFFSET('BPC Data'!$F:$F,0,Summary!P$2),'BPC Data'!$E:$E,Summary!$D168,'BPC Data'!$B:$B,Summary!$C168)</f>
        <v>23142</v>
      </c>
      <c r="Q168" s="61">
        <f ca="1">SUMIFS(OFFSET('BPC Data'!$F:$F,0,Summary!Q$2),'BPC Data'!$E:$E,Summary!$D168,'BPC Data'!$B:$B,Summary!$C168)</f>
        <v>-76202</v>
      </c>
      <c r="R168" s="65">
        <f ca="1">SUMIFS(OFFSET('BPC Data'!$F:$F,0,Summary!R$2),'BPC Data'!$E:$E,Summary!$D168,'BPC Data'!$B:$B,Summary!$C168)</f>
        <v>36</v>
      </c>
      <c r="S168" s="23">
        <f t="shared" ca="1" si="312"/>
        <v>189965</v>
      </c>
      <c r="T168" s="75"/>
      <c r="U168" s="4"/>
      <c r="W168"/>
      <c r="X168"/>
      <c r="Y168"/>
      <c r="Z168"/>
      <c r="AA168"/>
      <c r="AB168"/>
      <c r="AC168"/>
      <c r="AD168"/>
      <c r="AE168"/>
      <c r="AF168"/>
      <c r="AG168"/>
      <c r="AH168"/>
      <c r="AJ168" s="14"/>
      <c r="AK168" s="14"/>
      <c r="AL168" s="14"/>
      <c r="AM168" s="14"/>
      <c r="AN168" s="14"/>
      <c r="AO168" s="14"/>
      <c r="AP168" s="14"/>
      <c r="AQ168" s="14"/>
      <c r="AR168" s="14"/>
      <c r="AS168" s="14"/>
      <c r="AT168" s="14"/>
      <c r="AU168" s="14"/>
    </row>
    <row r="169" spans="1:48" s="12" customFormat="1">
      <c r="A169" s="12">
        <f t="shared" si="311"/>
        <v>15</v>
      </c>
      <c r="B169"/>
      <c r="C169" t="str">
        <f>$F163</f>
        <v>Arbrook Plaza (HMG)</v>
      </c>
      <c r="D169" s="2" t="str">
        <f t="shared" si="272"/>
        <v>T_EBITDARM - EBITDARM</v>
      </c>
      <c r="E169"/>
      <c r="F169" s="19" t="str">
        <f>_xll.EVDES(D169)</f>
        <v>EBITDARM</v>
      </c>
      <c r="G169" s="61">
        <f ca="1">SUMIFS(OFFSET('BPC Data'!$F:$F,0,Summary!G$2),'BPC Data'!$E:$E,Summary!$D169,'BPC Data'!$B:$B,Summary!$C169)</f>
        <v>174782</v>
      </c>
      <c r="H169" s="65">
        <f ca="1">SUMIFS(OFFSET('BPC Data'!$F:$F,0,Summary!H$2),'BPC Data'!$E:$E,Summary!$D169,'BPC Data'!$B:$B,Summary!$C169)</f>
        <v>98167</v>
      </c>
      <c r="I169" s="61">
        <f ca="1">SUMIFS(OFFSET('BPC Data'!$F:$F,0,Summary!I$2),'BPC Data'!$E:$E,Summary!$D169,'BPC Data'!$B:$B,Summary!$C169)</f>
        <v>172134</v>
      </c>
      <c r="J169" s="65">
        <f ca="1">SUMIFS(OFFSET('BPC Data'!$F:$F,0,Summary!J$2),'BPC Data'!$E:$E,Summary!$D169,'BPC Data'!$B:$B,Summary!$C169)</f>
        <v>155215</v>
      </c>
      <c r="K169" s="61">
        <f ca="1">SUMIFS(OFFSET('BPC Data'!$F:$F,0,Summary!K$2),'BPC Data'!$E:$E,Summary!$D169,'BPC Data'!$B:$B,Summary!$C169)</f>
        <v>491649</v>
      </c>
      <c r="L169" s="65">
        <f ca="1">SUMIFS(OFFSET('BPC Data'!$F:$F,0,Summary!L$2),'BPC Data'!$E:$E,Summary!$D169,'BPC Data'!$B:$B,Summary!$C169)</f>
        <v>198378</v>
      </c>
      <c r="M169" s="61">
        <f ca="1">SUMIFS(OFFSET('BPC Data'!$F:$F,0,Summary!M$2),'BPC Data'!$E:$E,Summary!$D169,'BPC Data'!$B:$B,Summary!$C169)</f>
        <v>199886</v>
      </c>
      <c r="N169" s="65">
        <f ca="1">SUMIFS(OFFSET('BPC Data'!$F:$F,0,Summary!N$2),'BPC Data'!$E:$E,Summary!$D169,'BPC Data'!$B:$B,Summary!$C169)</f>
        <v>280751</v>
      </c>
      <c r="O169" s="61">
        <f ca="1">SUMIFS(OFFSET('BPC Data'!$F:$F,0,Summary!O$2),'BPC Data'!$E:$E,Summary!$D169,'BPC Data'!$B:$B,Summary!$C169)</f>
        <v>227028</v>
      </c>
      <c r="P169" s="65">
        <f ca="1">SUMIFS(OFFSET('BPC Data'!$F:$F,0,Summary!P$2),'BPC Data'!$E:$E,Summary!$D169,'BPC Data'!$B:$B,Summary!$C169)</f>
        <v>87402</v>
      </c>
      <c r="Q169" s="61">
        <f ca="1">SUMIFS(OFFSET('BPC Data'!$F:$F,0,Summary!Q$2),'BPC Data'!$E:$E,Summary!$D169,'BPC Data'!$B:$B,Summary!$C169)</f>
        <v>258235</v>
      </c>
      <c r="R169" s="65">
        <f ca="1">SUMIFS(OFFSET('BPC Data'!$F:$F,0,Summary!R$2),'BPC Data'!$E:$E,Summary!$D169,'BPC Data'!$B:$B,Summary!$C169)</f>
        <v>233765</v>
      </c>
      <c r="S169" s="23">
        <f t="shared" ca="1" si="312"/>
        <v>2577392</v>
      </c>
      <c r="T169" s="74">
        <f ca="1">SUM(W169:AH169)</f>
        <v>2710899.9199999925</v>
      </c>
      <c r="U169" s="54">
        <f ca="1">T169-S169</f>
        <v>133507.91999999247</v>
      </c>
      <c r="W169" s="50">
        <f t="shared" ref="W169" ca="1" si="314">W166-W167</f>
        <v>174781.78000000026</v>
      </c>
      <c r="X169" s="50">
        <f t="shared" ref="X169:Y169" ca="1" si="315">X166-X167</f>
        <v>98168.559999999357</v>
      </c>
      <c r="Y169" s="50">
        <f t="shared" ca="1" si="315"/>
        <v>172133.30000000075</v>
      </c>
      <c r="Z169" s="50">
        <f t="shared" ref="Z169" ca="1" si="316">Z166-Z167</f>
        <v>155213.30999999901</v>
      </c>
      <c r="AA169" s="50">
        <f t="shared" ref="AA169" ca="1" si="317">AA166-AA167</f>
        <v>625158.01999999955</v>
      </c>
      <c r="AB169" s="50">
        <f t="shared" ref="AB169:AC169" ca="1" si="318">AB166-AB167</f>
        <v>198378.58999999939</v>
      </c>
      <c r="AC169" s="50">
        <f t="shared" ca="1" si="318"/>
        <v>199885.55000000016</v>
      </c>
      <c r="AD169" s="50">
        <f t="shared" ref="AD169:AH169" ca="1" si="319">AD166-AD167</f>
        <v>280751.17999999749</v>
      </c>
      <c r="AE169" s="50">
        <f t="shared" ca="1" si="319"/>
        <v>227027.38999999885</v>
      </c>
      <c r="AF169" s="50">
        <f t="shared" ca="1" si="319"/>
        <v>87401.379999998724</v>
      </c>
      <c r="AG169" s="50">
        <f t="shared" ca="1" si="319"/>
        <v>258236.08000000077</v>
      </c>
      <c r="AH169" s="50">
        <f t="shared" ca="1" si="319"/>
        <v>233764.77999999863</v>
      </c>
      <c r="AJ169" s="14">
        <f t="shared" ref="AJ169:AU172" ca="1" si="320">W169-G169</f>
        <v>-0.21999999973922968</v>
      </c>
      <c r="AK169" s="14">
        <f t="shared" ca="1" si="320"/>
        <v>1.5599999993573874</v>
      </c>
      <c r="AL169" s="14">
        <f t="shared" ca="1" si="320"/>
        <v>-0.69999999925494194</v>
      </c>
      <c r="AM169" s="14">
        <f t="shared" ca="1" si="320"/>
        <v>-1.6900000009918585</v>
      </c>
      <c r="AN169" s="14">
        <f t="shared" ca="1" si="320"/>
        <v>133509.01999999955</v>
      </c>
      <c r="AO169" s="14">
        <f t="shared" ca="1" si="320"/>
        <v>0.5899999993853271</v>
      </c>
      <c r="AP169" s="14">
        <f t="shared" ca="1" si="320"/>
        <v>-0.44999999983701855</v>
      </c>
      <c r="AQ169" s="14">
        <f t="shared" ca="1" si="320"/>
        <v>0.17999999749008566</v>
      </c>
      <c r="AR169" s="14">
        <f t="shared" ca="1" si="320"/>
        <v>-0.61000000115018338</v>
      </c>
      <c r="AS169" s="14">
        <f t="shared" ca="1" si="320"/>
        <v>-0.62000000127591193</v>
      </c>
      <c r="AT169" s="14">
        <f t="shared" ca="1" si="320"/>
        <v>1.0800000007729977</v>
      </c>
      <c r="AU169" s="14">
        <f t="shared" ca="1" si="320"/>
        <v>-0.22000000136904418</v>
      </c>
    </row>
    <row r="170" spans="1:48" s="12" customFormat="1">
      <c r="A170" s="12">
        <f t="shared" si="311"/>
        <v>15</v>
      </c>
      <c r="B170"/>
      <c r="C170" t="str">
        <f>$F163</f>
        <v>Arbrook Plaza (HMG)</v>
      </c>
      <c r="D170" s="2" t="str">
        <f t="shared" si="272"/>
        <v>T_MGMT_FEE - Tenant Management Fee - Actual</v>
      </c>
      <c r="E170"/>
      <c r="F170" s="19" t="str">
        <f>_xll.EVDES(D170)</f>
        <v>Tenant Management Fee - Actual</v>
      </c>
      <c r="G170" s="61">
        <f ca="1">SUMIFS(OFFSET('BPC Data'!$F:$F,0,Summary!G$2),'BPC Data'!$E:$E,Summary!$D170,'BPC Data'!$B:$B,Summary!$C170)</f>
        <v>40963</v>
      </c>
      <c r="H170" s="65">
        <f ca="1">SUMIFS(OFFSET('BPC Data'!$F:$F,0,Summary!H$2),'BPC Data'!$E:$E,Summary!$D170,'BPC Data'!$B:$B,Summary!$C170)</f>
        <v>30741</v>
      </c>
      <c r="I170" s="61">
        <f ca="1">SUMIFS(OFFSET('BPC Data'!$F:$F,0,Summary!I$2),'BPC Data'!$E:$E,Summary!$D170,'BPC Data'!$B:$B,Summary!$C170)</f>
        <v>37007</v>
      </c>
      <c r="J170" s="65">
        <f ca="1">SUMIFS(OFFSET('BPC Data'!$F:$F,0,Summary!J$2),'BPC Data'!$E:$E,Summary!$D170,'BPC Data'!$B:$B,Summary!$C170)</f>
        <v>35279</v>
      </c>
      <c r="K170" s="61">
        <f ca="1">SUMIFS(OFFSET('BPC Data'!$F:$F,0,Summary!K$2),'BPC Data'!$E:$E,Summary!$D170,'BPC Data'!$B:$B,Summary!$C170)</f>
        <v>41192</v>
      </c>
      <c r="L170" s="65">
        <f ca="1">SUMIFS(OFFSET('BPC Data'!$F:$F,0,Summary!L$2),'BPC Data'!$E:$E,Summary!$D170,'BPC Data'!$B:$B,Summary!$C170)</f>
        <v>38665</v>
      </c>
      <c r="M170" s="61">
        <f ca="1">SUMIFS(OFFSET('BPC Data'!$F:$F,0,Summary!M$2),'BPC Data'!$E:$E,Summary!$D170,'BPC Data'!$B:$B,Summary!$C170)</f>
        <v>37778</v>
      </c>
      <c r="N170" s="65">
        <f ca="1">SUMIFS(OFFSET('BPC Data'!$F:$F,0,Summary!N$2),'BPC Data'!$E:$E,Summary!$D170,'BPC Data'!$B:$B,Summary!$C170)</f>
        <v>48671</v>
      </c>
      <c r="O170" s="61">
        <f ca="1">SUMIFS(OFFSET('BPC Data'!$F:$F,0,Summary!O$2),'BPC Data'!$E:$E,Summary!$D170,'BPC Data'!$B:$B,Summary!$C170)</f>
        <v>40408</v>
      </c>
      <c r="P170" s="65">
        <f ca="1">SUMIFS(OFFSET('BPC Data'!$F:$F,0,Summary!P$2),'BPC Data'!$E:$E,Summary!$D170,'BPC Data'!$B:$B,Summary!$C170)</f>
        <v>38570</v>
      </c>
      <c r="Q170" s="61">
        <f ca="1">SUMIFS(OFFSET('BPC Data'!$F:$F,0,Summary!Q$2),'BPC Data'!$E:$E,Summary!$D170,'BPC Data'!$B:$B,Summary!$C170)</f>
        <v>39664</v>
      </c>
      <c r="R170" s="65">
        <f ca="1">SUMIFS(OFFSET('BPC Data'!$F:$F,0,Summary!R$2),'BPC Data'!$E:$E,Summary!$D170,'BPC Data'!$B:$B,Summary!$C170)</f>
        <v>41726</v>
      </c>
      <c r="S170" s="23">
        <f t="shared" ca="1" si="312"/>
        <v>470664</v>
      </c>
      <c r="T170" s="74">
        <f ca="1">SUM(W170:AH170)</f>
        <v>627455</v>
      </c>
      <c r="U170" s="54">
        <f ca="1">T170-S170</f>
        <v>156791</v>
      </c>
      <c r="W170" s="4">
        <f ca="1">SUMIFS(INDIRECT("'"&amp;$W$162&amp;"'"&amp;"!$B$64:$B$5000"),INDIRECT("'"&amp;$W$162&amp;"'"&amp;"!$A$64:$A$5000"),$V$7)</f>
        <v>40963</v>
      </c>
      <c r="X170" s="4">
        <f ca="1">SUMIFS(INDIRECT("'"&amp;$W$162&amp;"'"&amp;"!$C$64:$C$5000"),INDIRECT("'"&amp;$W$162&amp;"'"&amp;"!$A$64:$A$5000"),$V$7)</f>
        <v>30741</v>
      </c>
      <c r="Y170" s="4">
        <f ca="1">SUMIFS(INDIRECT("'"&amp;$W$162&amp;"'"&amp;"!$d$64:$d$5000"),INDIRECT("'"&amp;$W$162&amp;"'"&amp;"!$A$64:$A$5000"),$V$7)</f>
        <v>37007</v>
      </c>
      <c r="Z170" s="4">
        <f ca="1">SUMIFS(INDIRECT("'"&amp;$W$162&amp;"'"&amp;"!$E$64:$E$5000"),INDIRECT("'"&amp;$W$162&amp;"'"&amp;"!$A$64:$A$5000"),$V$7)</f>
        <v>35279</v>
      </c>
      <c r="AA170" s="4">
        <f ca="1">SUMIFS(INDIRECT("'"&amp;$W$162&amp;"'"&amp;"!$F$64:$F$5000"),INDIRECT("'"&amp;$W$162&amp;"'"&amp;"!$A$64:$A$5000"),$V$7)</f>
        <v>197983</v>
      </c>
      <c r="AB170" s="4">
        <f ca="1">SUMIFS(INDIRECT("'"&amp;$W$162&amp;"'"&amp;"!$G$64:$G$5000"),INDIRECT("'"&amp;$W$162&amp;"'"&amp;"!$A$64:$A$5000"),$V$7)</f>
        <v>38665</v>
      </c>
      <c r="AC170" s="4">
        <f ca="1">SUMIFS(INDIRECT("'"&amp;$W$162&amp;"'"&amp;"!$h$64:$h$5000"),INDIRECT("'"&amp;$W$162&amp;"'"&amp;"!$A$64:$A$5000"),$V$7)</f>
        <v>37778</v>
      </c>
      <c r="AD170" s="4">
        <f ca="1">SUMIFS(INDIRECT("'"&amp;$W$162&amp;"'"&amp;"!$i$64:$i$5000"),INDIRECT("'"&amp;$W$162&amp;"'"&amp;"!$A$64:$A$5000"),$V$7)</f>
        <v>48671</v>
      </c>
      <c r="AE170" s="4">
        <f ca="1">SUMIFS(INDIRECT("'"&amp;$W$162&amp;"'"&amp;"!$j$64:$j$5000"),INDIRECT("'"&amp;$W$162&amp;"'"&amp;"!$A$64:$A$5000"),$V$7)</f>
        <v>40408</v>
      </c>
      <c r="AF170" s="4">
        <f ca="1">SUMIFS(INDIRECT("'"&amp;$W$162&amp;"'"&amp;"!$k$64:$k$5000"),INDIRECT("'"&amp;$W$162&amp;"'"&amp;"!$A$64:$A$5000"),$V$7)</f>
        <v>38570</v>
      </c>
      <c r="AG170" s="4">
        <f ca="1">SUMIFS(INDIRECT("'"&amp;$W$162&amp;"'"&amp;"!$l$64:$l$5000"),INDIRECT("'"&amp;$W$162&amp;"'"&amp;"!$A$64:$A$5000"),$V$7)</f>
        <v>39664</v>
      </c>
      <c r="AH170" s="4">
        <f ca="1">SUMIFS(INDIRECT("'"&amp;$W$162&amp;"'"&amp;"!$m$64:$m$5000"),INDIRECT("'"&amp;$W$162&amp;"'"&amp;"!$A$64:$A$5000"),$V$7)</f>
        <v>41726</v>
      </c>
      <c r="AJ170" s="14">
        <f t="shared" ca="1" si="320"/>
        <v>0</v>
      </c>
      <c r="AK170" s="14">
        <f t="shared" ca="1" si="320"/>
        <v>0</v>
      </c>
      <c r="AL170" s="14">
        <f t="shared" ca="1" si="320"/>
        <v>0</v>
      </c>
      <c r="AM170" s="14">
        <f t="shared" ca="1" si="320"/>
        <v>0</v>
      </c>
      <c r="AN170" s="14">
        <f t="shared" ca="1" si="320"/>
        <v>156791</v>
      </c>
      <c r="AO170" s="14">
        <f t="shared" ca="1" si="320"/>
        <v>0</v>
      </c>
      <c r="AP170" s="14">
        <f t="shared" ca="1" si="320"/>
        <v>0</v>
      </c>
      <c r="AQ170" s="14">
        <f t="shared" ca="1" si="320"/>
        <v>0</v>
      </c>
      <c r="AR170" s="14">
        <f t="shared" ca="1" si="320"/>
        <v>0</v>
      </c>
      <c r="AS170" s="14">
        <f t="shared" ca="1" si="320"/>
        <v>0</v>
      </c>
      <c r="AT170" s="14">
        <f t="shared" ca="1" si="320"/>
        <v>0</v>
      </c>
      <c r="AU170" s="14">
        <f t="shared" ca="1" si="320"/>
        <v>0</v>
      </c>
    </row>
    <row r="171" spans="1:48" s="12" customFormat="1">
      <c r="A171" s="12">
        <f t="shared" si="311"/>
        <v>15</v>
      </c>
      <c r="B171"/>
      <c r="C171" t="str">
        <f>$F163</f>
        <v>Arbrook Plaza (HMG)</v>
      </c>
      <c r="D171" s="1" t="str">
        <f t="shared" si="272"/>
        <v>T_EBITDAR - EBITDAR</v>
      </c>
      <c r="E171"/>
      <c r="F171" s="19" t="str">
        <f>_xll.EVDES(D171)</f>
        <v>EBITDAR</v>
      </c>
      <c r="G171" s="61">
        <f ca="1">SUMIFS(OFFSET('BPC Data'!$F:$F,0,Summary!G$2),'BPC Data'!$E:$E,Summary!$D171,'BPC Data'!$B:$B,Summary!$C171)</f>
        <v>133819</v>
      </c>
      <c r="H171" s="65">
        <f ca="1">SUMIFS(OFFSET('BPC Data'!$F:$F,0,Summary!H$2),'BPC Data'!$E:$E,Summary!$D171,'BPC Data'!$B:$B,Summary!$C171)</f>
        <v>67426</v>
      </c>
      <c r="I171" s="61">
        <f ca="1">SUMIFS(OFFSET('BPC Data'!$F:$F,0,Summary!I$2),'BPC Data'!$E:$E,Summary!$D171,'BPC Data'!$B:$B,Summary!$C171)</f>
        <v>135127</v>
      </c>
      <c r="J171" s="65">
        <f ca="1">SUMIFS(OFFSET('BPC Data'!$F:$F,0,Summary!J$2),'BPC Data'!$E:$E,Summary!$D171,'BPC Data'!$B:$B,Summary!$C171)</f>
        <v>119936</v>
      </c>
      <c r="K171" s="61">
        <f ca="1">SUMIFS(OFFSET('BPC Data'!$F:$F,0,Summary!K$2),'BPC Data'!$E:$E,Summary!$D171,'BPC Data'!$B:$B,Summary!$C171)</f>
        <v>450457</v>
      </c>
      <c r="L171" s="65">
        <f ca="1">SUMIFS(OFFSET('BPC Data'!$F:$F,0,Summary!L$2),'BPC Data'!$E:$E,Summary!$D171,'BPC Data'!$B:$B,Summary!$C171)</f>
        <v>159713</v>
      </c>
      <c r="M171" s="61">
        <f ca="1">SUMIFS(OFFSET('BPC Data'!$F:$F,0,Summary!M$2),'BPC Data'!$E:$E,Summary!$D171,'BPC Data'!$B:$B,Summary!$C171)</f>
        <v>162108</v>
      </c>
      <c r="N171" s="65">
        <f ca="1">SUMIFS(OFFSET('BPC Data'!$F:$F,0,Summary!N$2),'BPC Data'!$E:$E,Summary!$D171,'BPC Data'!$B:$B,Summary!$C171)</f>
        <v>232080</v>
      </c>
      <c r="O171" s="61">
        <f ca="1">SUMIFS(OFFSET('BPC Data'!$F:$F,0,Summary!O$2),'BPC Data'!$E:$E,Summary!$D171,'BPC Data'!$B:$B,Summary!$C171)</f>
        <v>186620</v>
      </c>
      <c r="P171" s="65">
        <f ca="1">SUMIFS(OFFSET('BPC Data'!$F:$F,0,Summary!P$2),'BPC Data'!$E:$E,Summary!$D171,'BPC Data'!$B:$B,Summary!$C171)</f>
        <v>48832</v>
      </c>
      <c r="Q171" s="61">
        <f ca="1">SUMIFS(OFFSET('BPC Data'!$F:$F,0,Summary!Q$2),'BPC Data'!$E:$E,Summary!$D171,'BPC Data'!$B:$B,Summary!$C171)</f>
        <v>218571</v>
      </c>
      <c r="R171" s="65">
        <f ca="1">SUMIFS(OFFSET('BPC Data'!$F:$F,0,Summary!R$2),'BPC Data'!$E:$E,Summary!$D171,'BPC Data'!$B:$B,Summary!$C171)</f>
        <v>192039</v>
      </c>
      <c r="S171" s="23">
        <f t="shared" ca="1" si="312"/>
        <v>2106728</v>
      </c>
      <c r="T171" s="74">
        <f ca="1">SUM(W171:AH171)</f>
        <v>2083444.9199999927</v>
      </c>
      <c r="U171" s="54">
        <f ca="1">T171-S171</f>
        <v>-23283.080000007292</v>
      </c>
      <c r="W171" s="50">
        <f t="shared" ref="W171" ca="1" si="321">W169-W170</f>
        <v>133818.78000000026</v>
      </c>
      <c r="X171" s="50">
        <f t="shared" ref="X171:Y171" ca="1" si="322">X169-X170</f>
        <v>67427.559999999357</v>
      </c>
      <c r="Y171" s="50">
        <f t="shared" ca="1" si="322"/>
        <v>135126.30000000075</v>
      </c>
      <c r="Z171" s="50">
        <f t="shared" ref="Z171" ca="1" si="323">Z169-Z170</f>
        <v>119934.30999999901</v>
      </c>
      <c r="AA171" s="50">
        <f t="shared" ref="AA171" ca="1" si="324">AA169-AA170</f>
        <v>427175.01999999955</v>
      </c>
      <c r="AB171" s="50">
        <f t="shared" ref="AB171:AC171" ca="1" si="325">AB169-AB170</f>
        <v>159713.58999999939</v>
      </c>
      <c r="AC171" s="50">
        <f t="shared" ca="1" si="325"/>
        <v>162107.55000000016</v>
      </c>
      <c r="AD171" s="50">
        <f t="shared" ref="AD171:AH171" ca="1" si="326">AD169-AD170</f>
        <v>232080.17999999749</v>
      </c>
      <c r="AE171" s="50">
        <f t="shared" ca="1" si="326"/>
        <v>186619.38999999885</v>
      </c>
      <c r="AF171" s="50">
        <f t="shared" ca="1" si="326"/>
        <v>48831.379999998724</v>
      </c>
      <c r="AG171" s="50">
        <f t="shared" ca="1" si="326"/>
        <v>218572.08000000077</v>
      </c>
      <c r="AH171" s="50">
        <f t="shared" ca="1" si="326"/>
        <v>192038.77999999863</v>
      </c>
      <c r="AJ171" s="14">
        <f t="shared" ca="1" si="320"/>
        <v>-0.21999999973922968</v>
      </c>
      <c r="AK171" s="14">
        <f t="shared" ca="1" si="320"/>
        <v>1.5599999993573874</v>
      </c>
      <c r="AL171" s="14">
        <f t="shared" ca="1" si="320"/>
        <v>-0.69999999925494194</v>
      </c>
      <c r="AM171" s="14">
        <f t="shared" ca="1" si="320"/>
        <v>-1.6900000009918585</v>
      </c>
      <c r="AN171" s="14">
        <f t="shared" ca="1" si="320"/>
        <v>-23281.980000000447</v>
      </c>
      <c r="AO171" s="14">
        <f t="shared" ca="1" si="320"/>
        <v>0.5899999993853271</v>
      </c>
      <c r="AP171" s="14">
        <f t="shared" ca="1" si="320"/>
        <v>-0.44999999983701855</v>
      </c>
      <c r="AQ171" s="14">
        <f t="shared" ca="1" si="320"/>
        <v>0.17999999749008566</v>
      </c>
      <c r="AR171" s="14">
        <f t="shared" ca="1" si="320"/>
        <v>-0.61000000115018338</v>
      </c>
      <c r="AS171" s="14">
        <f t="shared" ca="1" si="320"/>
        <v>-0.62000000127591193</v>
      </c>
      <c r="AT171" s="14">
        <f t="shared" ca="1" si="320"/>
        <v>1.0800000007729977</v>
      </c>
      <c r="AU171" s="14">
        <f t="shared" ca="1" si="320"/>
        <v>-0.22000000136904418</v>
      </c>
    </row>
    <row r="172" spans="1:48" s="12" customFormat="1">
      <c r="A172" s="12">
        <f t="shared" si="311"/>
        <v>15</v>
      </c>
      <c r="B172"/>
      <c r="C172" t="str">
        <f>$F163</f>
        <v>Arbrook Plaza (HMG)</v>
      </c>
      <c r="D172" s="1" t="str">
        <f t="shared" si="272"/>
        <v>T_RENT_EXP - Tenant Rent Expense</v>
      </c>
      <c r="E172"/>
      <c r="F172" s="19" t="str">
        <f>_xll.EVDES(D172)</f>
        <v>Tenant Rent Expense</v>
      </c>
      <c r="G172" s="61">
        <f ca="1">SUMIFS(OFFSET('BPC Data'!$F:$F,0,Summary!G$2),'BPC Data'!$E:$E,Summary!$D172,'BPC Data'!$B:$B,Summary!$C172)</f>
        <v>99129</v>
      </c>
      <c r="H172" s="65">
        <f ca="1">SUMIFS(OFFSET('BPC Data'!$F:$F,0,Summary!H$2),'BPC Data'!$E:$E,Summary!$D172,'BPC Data'!$B:$B,Summary!$C172)</f>
        <v>101323</v>
      </c>
      <c r="I172" s="61">
        <f ca="1">SUMIFS(OFFSET('BPC Data'!$F:$F,0,Summary!I$2),'BPC Data'!$E:$E,Summary!$D172,'BPC Data'!$B:$B,Summary!$C172)</f>
        <v>101323</v>
      </c>
      <c r="J172" s="65">
        <f ca="1">SUMIFS(OFFSET('BPC Data'!$F:$F,0,Summary!J$2),'BPC Data'!$E:$E,Summary!$D172,'BPC Data'!$B:$B,Summary!$C172)</f>
        <v>101323</v>
      </c>
      <c r="K172" s="61">
        <f ca="1">SUMIFS(OFFSET('BPC Data'!$F:$F,0,Summary!K$2),'BPC Data'!$E:$E,Summary!$D172,'BPC Data'!$B:$B,Summary!$C172)</f>
        <v>101323</v>
      </c>
      <c r="L172" s="65">
        <f ca="1">SUMIFS(OFFSET('BPC Data'!$F:$F,0,Summary!L$2),'BPC Data'!$E:$E,Summary!$D172,'BPC Data'!$B:$B,Summary!$C172)</f>
        <v>101323</v>
      </c>
      <c r="M172" s="61">
        <f ca="1">SUMIFS(OFFSET('BPC Data'!$F:$F,0,Summary!M$2),'BPC Data'!$E:$E,Summary!$D172,'BPC Data'!$B:$B,Summary!$C172)</f>
        <v>101323</v>
      </c>
      <c r="N172" s="65">
        <f ca="1">SUMIFS(OFFSET('BPC Data'!$F:$F,0,Summary!N$2),'BPC Data'!$E:$E,Summary!$D172,'BPC Data'!$B:$B,Summary!$C172)</f>
        <v>101323</v>
      </c>
      <c r="O172" s="61">
        <f ca="1">SUMIFS(OFFSET('BPC Data'!$F:$F,0,Summary!O$2),'BPC Data'!$E:$E,Summary!$D172,'BPC Data'!$B:$B,Summary!$C172)</f>
        <v>101323</v>
      </c>
      <c r="P172" s="65">
        <f ca="1">SUMIFS(OFFSET('BPC Data'!$F:$F,0,Summary!P$2),'BPC Data'!$E:$E,Summary!$D172,'BPC Data'!$B:$B,Summary!$C172)</f>
        <v>101323</v>
      </c>
      <c r="Q172" s="61">
        <f ca="1">SUMIFS(OFFSET('BPC Data'!$F:$F,0,Summary!Q$2),'BPC Data'!$E:$E,Summary!$D172,'BPC Data'!$B:$B,Summary!$C172)</f>
        <v>101323</v>
      </c>
      <c r="R172" s="65">
        <f ca="1">SUMIFS(OFFSET('BPC Data'!$F:$F,0,Summary!R$2),'BPC Data'!$E:$E,Summary!$D172,'BPC Data'!$B:$B,Summary!$C172)</f>
        <v>110499</v>
      </c>
      <c r="S172" s="23">
        <f t="shared" ca="1" si="312"/>
        <v>1222858</v>
      </c>
      <c r="T172" s="74">
        <f ca="1">SUM(W172:AH172)</f>
        <v>1222853.6299999999</v>
      </c>
      <c r="U172" s="54">
        <f ca="1">T172-S172</f>
        <v>-4.3700000001117587</v>
      </c>
      <c r="W172" s="4">
        <f ca="1">SUMIFS(INDIRECT("'"&amp;$W$162&amp;"'"&amp;"!$B$64:$B$5000"),INDIRECT("'"&amp;$W$162&amp;"'"&amp;"!$A$64:$A$5000"),$W$3)+SUMIFS(INDIRECT("'"&amp;$W$162&amp;"'"&amp;"!$B$64:$B$5000"),INDIRECT("'"&amp;$W$162&amp;"'"&amp;"!$A$64:$A$5000"),$W$4)</f>
        <v>99129</v>
      </c>
      <c r="X172" s="4">
        <f ca="1">SUMIFS(INDIRECT("'"&amp;$W$162&amp;"'"&amp;"!$C$64:$C$5000"),INDIRECT("'"&amp;$W$162&amp;"'"&amp;"!$A$64:$A$5000"),$W$3)+SUMIFS(INDIRECT("'"&amp;$W$162&amp;"'"&amp;"!$C$64:$C$5000"),INDIRECT("'"&amp;$W$162&amp;"'"&amp;"!$A$64:$A$5000"),$W$4)</f>
        <v>101322.58</v>
      </c>
      <c r="Y172" s="4">
        <f ca="1">SUMIFS(INDIRECT("'"&amp;$W$162&amp;"'"&amp;"!$d$64:$d$5000"),INDIRECT("'"&amp;$W$162&amp;"'"&amp;"!$A$64:$A$5000"),$W$3)+SUMIFS(INDIRECT("'"&amp;$W$162&amp;"'"&amp;"!$d$64:$d$5000"),INDIRECT("'"&amp;$W$162&amp;"'"&amp;"!$A$64:$A$5000"),$W$4)</f>
        <v>101322.58</v>
      </c>
      <c r="Z172" s="4">
        <f ca="1">SUMIFS(INDIRECT("'"&amp;$W$162&amp;"'"&amp;"!$E$64:$E$5000"),INDIRECT("'"&amp;$W$162&amp;"'"&amp;"!$A$64:$A$5000"),$W$3)+SUMIFS(INDIRECT("'"&amp;$W$162&amp;"'"&amp;"!$E$64:$E$5000"),INDIRECT("'"&amp;$W$162&amp;"'"&amp;"!$A$64:$A$5000"),$W$4)</f>
        <v>101322.58</v>
      </c>
      <c r="AA172" s="4">
        <f ca="1">SUMIFS(INDIRECT("'"&amp;$W$162&amp;"'"&amp;"!$F$64:$F$5000"),INDIRECT("'"&amp;$W$162&amp;"'"&amp;"!$A$64:$A$5000"),$W$3)+SUMIFS(INDIRECT("'"&amp;$W$162&amp;"'"&amp;"!$F$64:$F$5000"),INDIRECT("'"&amp;$W$162&amp;"'"&amp;"!$A$64:$A$5000"),$W$4)</f>
        <v>101322.58</v>
      </c>
      <c r="AB172" s="4">
        <f ca="1">SUMIFS(INDIRECT("'"&amp;$W$162&amp;"'"&amp;"!$G$64:$G$5000"),INDIRECT("'"&amp;$W$162&amp;"'"&amp;"!$A$64:$A$5000"),$W$3)+SUMIFS(INDIRECT("'"&amp;$W$162&amp;"'"&amp;"!$G$64:$G$5000"),INDIRECT("'"&amp;$W$162&amp;"'"&amp;"!$A$64:$A$5000"),$W$4)</f>
        <v>101322.58</v>
      </c>
      <c r="AC172" s="4">
        <f ca="1">SUMIFS(INDIRECT("'"&amp;$W$162&amp;"'"&amp;"!$h$64:$h$5000"),INDIRECT("'"&amp;$W$162&amp;"'"&amp;"!$A$64:$A$5000"),$W$3)+SUMIFS(INDIRECT("'"&amp;$W$162&amp;"'"&amp;"!$h$64:$h$5000"),INDIRECT("'"&amp;$W$162&amp;"'"&amp;"!$A$64:$A$5000"),$W$4)</f>
        <v>101322.58</v>
      </c>
      <c r="AD172" s="4">
        <f ca="1">SUMIFS(INDIRECT("'"&amp;$W$162&amp;"'"&amp;"!$i$64:$i$5000"),INDIRECT("'"&amp;$W$162&amp;"'"&amp;"!$A$64:$A$5000"),$W$3)+SUMIFS(INDIRECT("'"&amp;$W$162&amp;"'"&amp;"!$i$64:$i$5000"),INDIRECT("'"&amp;$W$162&amp;"'"&amp;"!$A$64:$A$5000"),$W$4)</f>
        <v>101322.58</v>
      </c>
      <c r="AE172" s="4">
        <f ca="1">SUMIFS(INDIRECT("'"&amp;$W$162&amp;"'"&amp;"!$j$64:$j$5000"),INDIRECT("'"&amp;$W$162&amp;"'"&amp;"!$A$64:$A$5000"),$W$3)+SUMIFS(INDIRECT("'"&amp;$W$162&amp;"'"&amp;"!$j$64:$j$5000"),INDIRECT("'"&amp;$W$162&amp;"'"&amp;"!$A$64:$A$5000"),$W$4)</f>
        <v>101322.58</v>
      </c>
      <c r="AF172" s="4">
        <f ca="1">SUMIFS(INDIRECT("'"&amp;$W$162&amp;"'"&amp;"!$k$64:$k$5000"),INDIRECT("'"&amp;$W$162&amp;"'"&amp;"!$A$64:$A$5000"),$W$3)+SUMIFS(INDIRECT("'"&amp;$W$162&amp;"'"&amp;"!$k$64:$k$5000"),INDIRECT("'"&amp;$W$162&amp;"'"&amp;"!$A$64:$A$5000"),$W$4)</f>
        <v>101322.58</v>
      </c>
      <c r="AG172" s="4">
        <f ca="1">SUMIFS(INDIRECT("'"&amp;$W$162&amp;"'"&amp;"!$l$64:$l$5000"),INDIRECT("'"&amp;$W$162&amp;"'"&amp;"!$A$64:$A$5000"),$W$3)+SUMIFS(INDIRECT("'"&amp;$W$162&amp;"'"&amp;"!$l$64:$l$5000"),INDIRECT("'"&amp;$W$162&amp;"'"&amp;"!$A$64:$A$5000"),$W$4)</f>
        <v>101322.58</v>
      </c>
      <c r="AH172" s="4">
        <f ca="1">SUMIFS(INDIRECT("'"&amp;$W$162&amp;"'"&amp;"!$m$64:$m$5000"),INDIRECT("'"&amp;$W$162&amp;"'"&amp;"!$A$64:$A$5000"),$W$3)+SUMIFS(INDIRECT("'"&amp;$W$162&amp;"'"&amp;"!$m$64:$m$5000"),INDIRECT("'"&amp;$W$162&amp;"'"&amp;"!$A$64:$A$5000"),$W$4)</f>
        <v>110498.83</v>
      </c>
      <c r="AJ172" s="14">
        <f t="shared" ca="1" si="320"/>
        <v>0</v>
      </c>
      <c r="AK172" s="14">
        <f t="shared" ca="1" si="320"/>
        <v>-0.41999999999825377</v>
      </c>
      <c r="AL172" s="14">
        <f t="shared" ca="1" si="320"/>
        <v>-0.41999999999825377</v>
      </c>
      <c r="AM172" s="14">
        <f t="shared" ca="1" si="320"/>
        <v>-0.41999999999825377</v>
      </c>
      <c r="AN172" s="14">
        <f t="shared" ca="1" si="320"/>
        <v>-0.41999999999825377</v>
      </c>
      <c r="AO172" s="14">
        <f t="shared" ca="1" si="320"/>
        <v>-0.41999999999825377</v>
      </c>
      <c r="AP172" s="14">
        <f t="shared" ca="1" si="320"/>
        <v>-0.41999999999825377</v>
      </c>
      <c r="AQ172" s="14">
        <f t="shared" ca="1" si="320"/>
        <v>-0.41999999999825377</v>
      </c>
      <c r="AR172" s="14">
        <f t="shared" ca="1" si="320"/>
        <v>-0.41999999999825377</v>
      </c>
      <c r="AS172" s="14">
        <f t="shared" ca="1" si="320"/>
        <v>-0.41999999999825377</v>
      </c>
      <c r="AT172" s="14">
        <f t="shared" ca="1" si="320"/>
        <v>-0.41999999999825377</v>
      </c>
      <c r="AU172" s="14">
        <f t="shared" ca="1" si="320"/>
        <v>-0.16999999999825377</v>
      </c>
    </row>
    <row r="173" spans="1:48" s="12" customFormat="1">
      <c r="A173" s="12">
        <f t="shared" si="311"/>
        <v>15</v>
      </c>
      <c r="B173"/>
      <c r="C173"/>
      <c r="D173" s="1" t="str">
        <f t="shared" si="272"/>
        <v>x</v>
      </c>
      <c r="E173"/>
      <c r="F173" s="19" t="s">
        <v>0</v>
      </c>
      <c r="G173" s="61">
        <f ca="1">SUMIFS(OFFSET('BPC Data'!$F:$F,0,Summary!G$2),'BPC Data'!$E:$E,Summary!$D173,'BPC Data'!$B:$B,Summary!$C173)</f>
        <v>0</v>
      </c>
      <c r="H173" s="65">
        <f ca="1">SUMIFS(OFFSET('BPC Data'!$F:$F,0,Summary!H$2),'BPC Data'!$E:$E,Summary!$D173,'BPC Data'!$B:$B,Summary!$C173)</f>
        <v>0</v>
      </c>
      <c r="I173" s="61">
        <f ca="1">SUMIFS(OFFSET('BPC Data'!$F:$F,0,Summary!I$2),'BPC Data'!$E:$E,Summary!$D173,'BPC Data'!$B:$B,Summary!$C173)</f>
        <v>0</v>
      </c>
      <c r="J173" s="65">
        <f ca="1">SUMIFS(OFFSET('BPC Data'!$F:$F,0,Summary!J$2),'BPC Data'!$E:$E,Summary!$D173,'BPC Data'!$B:$B,Summary!$C173)</f>
        <v>0</v>
      </c>
      <c r="K173" s="61">
        <f ca="1">SUMIFS(OFFSET('BPC Data'!$F:$F,0,Summary!K$2),'BPC Data'!$E:$E,Summary!$D173,'BPC Data'!$B:$B,Summary!$C173)</f>
        <v>0</v>
      </c>
      <c r="L173" s="65">
        <f ca="1">SUMIFS(OFFSET('BPC Data'!$F:$F,0,Summary!L$2),'BPC Data'!$E:$E,Summary!$D173,'BPC Data'!$B:$B,Summary!$C173)</f>
        <v>0</v>
      </c>
      <c r="M173" s="61">
        <f ca="1">SUMIFS(OFFSET('BPC Data'!$F:$F,0,Summary!M$2),'BPC Data'!$E:$E,Summary!$D173,'BPC Data'!$B:$B,Summary!$C173)</f>
        <v>0</v>
      </c>
      <c r="N173" s="65">
        <f ca="1">SUMIFS(OFFSET('BPC Data'!$F:$F,0,Summary!N$2),'BPC Data'!$E:$E,Summary!$D173,'BPC Data'!$B:$B,Summary!$C173)</f>
        <v>0</v>
      </c>
      <c r="O173" s="61">
        <f ca="1">SUMIFS(OFFSET('BPC Data'!$F:$F,0,Summary!O$2),'BPC Data'!$E:$E,Summary!$D173,'BPC Data'!$B:$B,Summary!$C173)</f>
        <v>0</v>
      </c>
      <c r="P173" s="65">
        <f ca="1">SUMIFS(OFFSET('BPC Data'!$F:$F,0,Summary!P$2),'BPC Data'!$E:$E,Summary!$D173,'BPC Data'!$B:$B,Summary!$C173)</f>
        <v>0</v>
      </c>
      <c r="Q173" s="61">
        <f ca="1">SUMIFS(OFFSET('BPC Data'!$F:$F,0,Summary!Q$2),'BPC Data'!$E:$E,Summary!$D173,'BPC Data'!$B:$B,Summary!$C173)</f>
        <v>0</v>
      </c>
      <c r="R173" s="65">
        <f ca="1">SUMIFS(OFFSET('BPC Data'!$F:$F,0,Summary!R$2),'BPC Data'!$E:$E,Summary!$D173,'BPC Data'!$B:$B,Summary!$C173)</f>
        <v>0</v>
      </c>
      <c r="S173" s="23">
        <f ca="1">SUM(G173:M173)</f>
        <v>0</v>
      </c>
      <c r="T173" s="76"/>
      <c r="W173" t="s">
        <v>309</v>
      </c>
      <c r="X173"/>
      <c r="Y173"/>
      <c r="Z173"/>
      <c r="AA173"/>
      <c r="AB173"/>
      <c r="AC173"/>
      <c r="AD173"/>
      <c r="AE173"/>
      <c r="AF173"/>
      <c r="AG173" t="s">
        <v>313</v>
      </c>
      <c r="AJ173" s="49"/>
      <c r="AK173" s="49"/>
      <c r="AL173" s="49"/>
      <c r="AM173" s="49"/>
      <c r="AN173" s="49"/>
      <c r="AO173" s="49"/>
      <c r="AP173" s="49"/>
      <c r="AQ173" s="49"/>
      <c r="AR173" s="49"/>
      <c r="AS173" s="49"/>
      <c r="AT173" s="49"/>
      <c r="AU173" s="49"/>
    </row>
    <row r="174" spans="1:48" s="12" customFormat="1">
      <c r="A174" s="12">
        <f>IF(AND(D174&lt;&gt;"",C174=""),A173+1,A173)</f>
        <v>16</v>
      </c>
      <c r="B174" s="5"/>
      <c r="C174" s="5"/>
      <c r="D174" s="5" t="str">
        <f t="shared" si="272"/>
        <v>x</v>
      </c>
      <c r="E174" s="5"/>
      <c r="F174" s="18" t="str">
        <f>INDEX(PropertyList!$D:$D,MATCH(Summary!$A174,PropertyList!$C:$C,0))</f>
        <v>Northgate Plaza (HMG)</v>
      </c>
      <c r="G174" s="61">
        <f ca="1">SUMIFS(OFFSET('BPC Data'!$F:$F,0,Summary!G$2),'BPC Data'!$E:$E,Summary!$D174,'BPC Data'!$B:$B,Summary!$C174)</f>
        <v>0</v>
      </c>
      <c r="H174" s="65">
        <f ca="1">SUMIFS(OFFSET('BPC Data'!$F:$F,0,Summary!H$2),'BPC Data'!$E:$E,Summary!$D174,'BPC Data'!$B:$B,Summary!$C174)</f>
        <v>0</v>
      </c>
      <c r="I174" s="61">
        <f ca="1">SUMIFS(OFFSET('BPC Data'!$F:$F,0,Summary!I$2),'BPC Data'!$E:$E,Summary!$D174,'BPC Data'!$B:$B,Summary!$C174)</f>
        <v>0</v>
      </c>
      <c r="J174" s="65">
        <f ca="1">SUMIFS(OFFSET('BPC Data'!$F:$F,0,Summary!J$2),'BPC Data'!$E:$E,Summary!$D174,'BPC Data'!$B:$B,Summary!$C174)</f>
        <v>0</v>
      </c>
      <c r="K174" s="61">
        <f ca="1">SUMIFS(OFFSET('BPC Data'!$F:$F,0,Summary!K$2),'BPC Data'!$E:$E,Summary!$D174,'BPC Data'!$B:$B,Summary!$C174)</f>
        <v>0</v>
      </c>
      <c r="L174" s="65">
        <f ca="1">SUMIFS(OFFSET('BPC Data'!$F:$F,0,Summary!L$2),'BPC Data'!$E:$E,Summary!$D174,'BPC Data'!$B:$B,Summary!$C174)</f>
        <v>0</v>
      </c>
      <c r="M174" s="61">
        <f ca="1">SUMIFS(OFFSET('BPC Data'!$F:$F,0,Summary!M$2),'BPC Data'!$E:$E,Summary!$D174,'BPC Data'!$B:$B,Summary!$C174)</f>
        <v>0</v>
      </c>
      <c r="N174" s="65">
        <f ca="1">SUMIFS(OFFSET('BPC Data'!$F:$F,0,Summary!N$2),'BPC Data'!$E:$E,Summary!$D174,'BPC Data'!$B:$B,Summary!$C174)</f>
        <v>0</v>
      </c>
      <c r="O174" s="61">
        <f ca="1">SUMIFS(OFFSET('BPC Data'!$F:$F,0,Summary!O$2),'BPC Data'!$E:$E,Summary!$D174,'BPC Data'!$B:$B,Summary!$C174)</f>
        <v>0</v>
      </c>
      <c r="P174" s="65">
        <f ca="1">SUMIFS(OFFSET('BPC Data'!$F:$F,0,Summary!P$2),'BPC Data'!$E:$E,Summary!$D174,'BPC Data'!$B:$B,Summary!$C174)</f>
        <v>0</v>
      </c>
      <c r="Q174" s="61">
        <f ca="1">SUMIFS(OFFSET('BPC Data'!$F:$F,0,Summary!Q$2),'BPC Data'!$E:$E,Summary!$D174,'BPC Data'!$B:$B,Summary!$C174)</f>
        <v>0</v>
      </c>
      <c r="R174" s="65">
        <f ca="1">SUMIFS(OFFSET('BPC Data'!$F:$F,0,Summary!R$2),'BPC Data'!$E:$E,Summary!$D174,'BPC Data'!$B:$B,Summary!$C174)</f>
        <v>0</v>
      </c>
      <c r="S174" s="23">
        <f ca="1">SUM(G174:M174)</f>
        <v>0</v>
      </c>
      <c r="T174" s="76"/>
      <c r="W174" s="5" t="str">
        <f t="shared" ref="W174:AH174" si="327">+G$8</f>
        <v>Aug 2021</v>
      </c>
      <c r="X174" s="5" t="str">
        <f t="shared" si="327"/>
        <v>Sep 2021</v>
      </c>
      <c r="Y174" s="5" t="str">
        <f t="shared" si="327"/>
        <v>Oct 2021</v>
      </c>
      <c r="Z174" s="5" t="str">
        <f t="shared" si="327"/>
        <v>Nov 2021</v>
      </c>
      <c r="AA174" s="5" t="str">
        <f t="shared" si="327"/>
        <v>Dec 2021</v>
      </c>
      <c r="AB174" s="5" t="str">
        <f t="shared" si="327"/>
        <v>Jan 2022</v>
      </c>
      <c r="AC174" s="5" t="str">
        <f t="shared" si="327"/>
        <v>Feb 2022</v>
      </c>
      <c r="AD174" s="5" t="str">
        <f t="shared" si="327"/>
        <v>Mar 2022</v>
      </c>
      <c r="AE174" s="5" t="str">
        <f t="shared" si="327"/>
        <v>Apr 2022</v>
      </c>
      <c r="AF174" s="5" t="str">
        <f t="shared" si="327"/>
        <v>May 2022</v>
      </c>
      <c r="AG174" s="5" t="str">
        <f t="shared" si="327"/>
        <v>Jun 2022</v>
      </c>
      <c r="AH174" s="5" t="str">
        <f t="shared" si="327"/>
        <v>Jul 2022</v>
      </c>
      <c r="AJ174" s="174" t="str">
        <f>W$9</f>
        <v>Aug 2021</v>
      </c>
      <c r="AK174" s="174" t="str">
        <f t="shared" ref="AK174" si="328">X$9</f>
        <v>Sep 2021</v>
      </c>
      <c r="AL174" s="174" t="str">
        <f t="shared" ref="AL174" si="329">Y$9</f>
        <v>Oct 2021</v>
      </c>
      <c r="AM174" s="174" t="str">
        <f t="shared" ref="AM174" si="330">Z$9</f>
        <v>Nov 2021</v>
      </c>
      <c r="AN174" s="174" t="str">
        <f t="shared" ref="AN174:AO174" si="331">AA$9</f>
        <v>Dec 2021</v>
      </c>
      <c r="AO174" s="174" t="str">
        <f t="shared" si="331"/>
        <v>Jan 2022</v>
      </c>
      <c r="AP174" s="174" t="str">
        <f t="shared" ref="AP174" si="332">AC$9</f>
        <v>Feb 2022</v>
      </c>
      <c r="AQ174" s="174" t="str">
        <f t="shared" ref="AQ174" si="333">AD$9</f>
        <v>Mar 2022</v>
      </c>
      <c r="AR174" s="174" t="str">
        <f t="shared" ref="AR174" si="334">AE$9</f>
        <v>Apr 2022</v>
      </c>
      <c r="AS174" s="174" t="str">
        <f t="shared" ref="AS174" si="335">AF$9</f>
        <v>May 2022</v>
      </c>
      <c r="AT174" s="174" t="str">
        <f t="shared" ref="AT174" si="336">AG$9</f>
        <v>Jun 2022</v>
      </c>
      <c r="AU174" s="174" t="str">
        <f t="shared" ref="AU174" si="337">AH$9</f>
        <v>Jul 2022</v>
      </c>
    </row>
    <row r="175" spans="1:48" s="12" customFormat="1">
      <c r="A175" s="12">
        <f>IF(AND(F175&lt;&gt;"",D175=""),A174+1,A174)</f>
        <v>16</v>
      </c>
      <c r="C175" t="str">
        <f>$F174</f>
        <v>Northgate Plaza (HMG)</v>
      </c>
      <c r="D175" s="3" t="str">
        <f t="shared" si="272"/>
        <v>PAY_PAT_DAYS - Total Payor Patient Days</v>
      </c>
      <c r="F175" s="19" t="str">
        <f>_xll.EVDES(D175)</f>
        <v>Total Payor Patient Days</v>
      </c>
      <c r="G175" s="61">
        <f ca="1">SUMIFS(OFFSET('BPC Data'!$F:$F,0,Summary!G$2),'BPC Data'!$E:$E,Summary!$D175,'BPC Data'!$B:$B,Summary!$C175)</f>
        <v>2147</v>
      </c>
      <c r="H175" s="65">
        <f ca="1">SUMIFS(OFFSET('BPC Data'!$F:$F,0,Summary!H$2),'BPC Data'!$E:$E,Summary!$D175,'BPC Data'!$B:$B,Summary!$C175)</f>
        <v>1906</v>
      </c>
      <c r="I175" s="61">
        <f ca="1">SUMIFS(OFFSET('BPC Data'!$F:$F,0,Summary!I$2),'BPC Data'!$E:$E,Summary!$D175,'BPC Data'!$B:$B,Summary!$C175)</f>
        <v>1931</v>
      </c>
      <c r="J175" s="65">
        <f ca="1">SUMIFS(OFFSET('BPC Data'!$F:$F,0,Summary!J$2),'BPC Data'!$E:$E,Summary!$D175,'BPC Data'!$B:$B,Summary!$C175)</f>
        <v>2057</v>
      </c>
      <c r="K175" s="61">
        <f ca="1">SUMIFS(OFFSET('BPC Data'!$F:$F,0,Summary!K$2),'BPC Data'!$E:$E,Summary!$D175,'BPC Data'!$B:$B,Summary!$C175)</f>
        <v>2144</v>
      </c>
      <c r="L175" s="65">
        <f ca="1">SUMIFS(OFFSET('BPC Data'!$F:$F,0,Summary!L$2),'BPC Data'!$E:$E,Summary!$D175,'BPC Data'!$B:$B,Summary!$C175)</f>
        <v>2029</v>
      </c>
      <c r="M175" s="61">
        <f ca="1">SUMIFS(OFFSET('BPC Data'!$F:$F,0,Summary!M$2),'BPC Data'!$E:$E,Summary!$D175,'BPC Data'!$B:$B,Summary!$C175)</f>
        <v>2070</v>
      </c>
      <c r="N175" s="65">
        <f ca="1">SUMIFS(OFFSET('BPC Data'!$F:$F,0,Summary!N$2),'BPC Data'!$E:$E,Summary!$D175,'BPC Data'!$B:$B,Summary!$C175)</f>
        <v>1966</v>
      </c>
      <c r="O175" s="61">
        <f ca="1">SUMIFS(OFFSET('BPC Data'!$F:$F,0,Summary!O$2),'BPC Data'!$E:$E,Summary!$D175,'BPC Data'!$B:$B,Summary!$C175)</f>
        <v>1805</v>
      </c>
      <c r="P175" s="65">
        <f ca="1">SUMIFS(OFFSET('BPC Data'!$F:$F,0,Summary!P$2),'BPC Data'!$E:$E,Summary!$D175,'BPC Data'!$B:$B,Summary!$C175)</f>
        <v>1995</v>
      </c>
      <c r="Q175" s="61">
        <f ca="1">SUMIFS(OFFSET('BPC Data'!$F:$F,0,Summary!Q$2),'BPC Data'!$E:$E,Summary!$D175,'BPC Data'!$B:$B,Summary!$C175)</f>
        <v>1900</v>
      </c>
      <c r="R175" s="65">
        <f ca="1">SUMIFS(OFFSET('BPC Data'!$F:$F,0,Summary!R$2),'BPC Data'!$E:$E,Summary!$D175,'BPC Data'!$B:$B,Summary!$C175)</f>
        <v>0</v>
      </c>
      <c r="S175" s="23">
        <f ca="1">SUM(G175:Q175)</f>
        <v>21950</v>
      </c>
      <c r="T175" s="74">
        <f ca="1">SUM(W175:AG175)</f>
        <v>10185</v>
      </c>
      <c r="U175" s="54">
        <f ca="1">T175-S175</f>
        <v>-11765</v>
      </c>
      <c r="W175" s="4">
        <f ca="1">SUMIFS(INDIRECT("'"&amp;$W$173&amp;"'"&amp;"!$B$1:$B$5000"),INDIRECT("'"&amp;$W$173&amp;"'"&amp;"!$A$1:$A$5000"),$W$2)</f>
        <v>2147</v>
      </c>
      <c r="X175" s="4">
        <f ca="1">SUMIFS(INDIRECT("'"&amp;$W$173&amp;"'"&amp;"!$C$1:$C$5000"),INDIRECT("'"&amp;$W$173&amp;"'"&amp;"!$A$1:$A$5000"),$W$2)</f>
        <v>1906</v>
      </c>
      <c r="Y175" s="4">
        <f ca="1">SUMIFS(INDIRECT("'"&amp;$W$173&amp;"'"&amp;"!$d$1:$d$5000"),INDIRECT("'"&amp;$W$173&amp;"'"&amp;"!$A$1:$A$5000"),$W$2)</f>
        <v>1931</v>
      </c>
      <c r="Z175" s="4">
        <f ca="1">SUMIFS(INDIRECT("'"&amp;$W$173&amp;"'"&amp;"!$E$1:$E$5000"),INDIRECT("'"&amp;$W$173&amp;"'"&amp;"!$A$1:$A$5000"),$W$2)</f>
        <v>2057</v>
      </c>
      <c r="AA175" s="4">
        <f ca="1">SUMIFS(INDIRECT("'"&amp;$W$173&amp;"'"&amp;"!$F$1:$F$5000"),INDIRECT("'"&amp;$W$173&amp;"'"&amp;"!$A$1:$A$5000"),$W$2)</f>
        <v>2144</v>
      </c>
      <c r="AB175" s="4">
        <f ca="1">SUMIFS(INDIRECT("'"&amp;$W$173&amp;"'"&amp;"!$G$1:$G$5000"),INDIRECT("'"&amp;$W$173&amp;"'"&amp;"!$A$1:$A$5000"),$W$2)</f>
        <v>2029</v>
      </c>
      <c r="AC175" s="4">
        <f ca="1">SUMIFS(INDIRECT("'"&amp;$W$173&amp;"'"&amp;"!$H$1:$H$5000"),INDIRECT("'"&amp;$W$173&amp;"'"&amp;"!$A$1:$A$5000"),$W$2)</f>
        <v>2070</v>
      </c>
      <c r="AD175" s="4">
        <f ca="1">SUMIFS(INDIRECT("'"&amp;$W$173&amp;"'"&amp;"!$i$1:$i$5000"),INDIRECT("'"&amp;$W$173&amp;"'"&amp;"!$A$1:$A$5000"),$W$2)</f>
        <v>1966</v>
      </c>
      <c r="AE175" s="4">
        <f ca="1">SUMIFS(INDIRECT("'"&amp;$W$173&amp;"'"&amp;"!$j$1:$j$5000"),INDIRECT("'"&amp;$W$173&amp;"'"&amp;"!$A$1:$A$5000"),$W$2)</f>
        <v>1805</v>
      </c>
      <c r="AF175" s="4">
        <f ca="1">SUMIFS(INDIRECT("'"&amp;$W$173&amp;"'"&amp;"!$k$1:$k$5000"),INDIRECT("'"&amp;$W$173&amp;"'"&amp;"!$A$1:$A$5000"),$W$2)</f>
        <v>1995</v>
      </c>
      <c r="AG175" s="4">
        <f ca="1">SUMIFS(INDIRECT("'"&amp;$W$173&amp;"'"&amp;"!$l$1:$l$5000"),INDIRECT("'"&amp;$W$173&amp;"'"&amp;"!$A$1:$A$5000"),$W$2)</f>
        <v>-9865</v>
      </c>
      <c r="AH175" s="4"/>
      <c r="AJ175" s="14">
        <f t="shared" ref="AJ175:AT175" ca="1" si="338">W175-G175</f>
        <v>0</v>
      </c>
      <c r="AK175" s="14">
        <f t="shared" ca="1" si="338"/>
        <v>0</v>
      </c>
      <c r="AL175" s="14">
        <f t="shared" ca="1" si="338"/>
        <v>0</v>
      </c>
      <c r="AM175" s="14">
        <f t="shared" ca="1" si="338"/>
        <v>0</v>
      </c>
      <c r="AN175" s="14">
        <f t="shared" ca="1" si="338"/>
        <v>0</v>
      </c>
      <c r="AO175" s="14">
        <f t="shared" ca="1" si="338"/>
        <v>0</v>
      </c>
      <c r="AP175" s="14">
        <f t="shared" ca="1" si="338"/>
        <v>0</v>
      </c>
      <c r="AQ175" s="14">
        <f t="shared" ca="1" si="338"/>
        <v>0</v>
      </c>
      <c r="AR175" s="14">
        <f t="shared" ca="1" si="338"/>
        <v>0</v>
      </c>
      <c r="AS175" s="14">
        <f t="shared" ca="1" si="338"/>
        <v>0</v>
      </c>
      <c r="AT175" s="14">
        <f t="shared" ca="1" si="338"/>
        <v>-11765</v>
      </c>
      <c r="AU175" s="14"/>
    </row>
    <row r="176" spans="1:48" s="12" customFormat="1">
      <c r="A176" s="12">
        <f t="shared" ref="A176:A184" si="339">IF(AND(F176&lt;&gt;"",D176=""),A175+1,A175)</f>
        <v>16</v>
      </c>
      <c r="C176" t="str">
        <f>$F174</f>
        <v>Northgate Plaza (HMG)</v>
      </c>
      <c r="D176" s="3" t="str">
        <f t="shared" si="272"/>
        <v>A_BEDS_TOTAL - Total Available Beds</v>
      </c>
      <c r="F176" s="19" t="str">
        <f>_xll.EVDES(D176)</f>
        <v>Total Available Beds</v>
      </c>
      <c r="G176" s="61">
        <f ca="1">SUMIFS(OFFSET('BPC Data'!$F:$F,0,Summary!G$2),'BPC Data'!$E:$E,Summary!$D176,'BPC Data'!$B:$B,Summary!$C176)</f>
        <v>120</v>
      </c>
      <c r="H176" s="65">
        <f ca="1">SUMIFS(OFFSET('BPC Data'!$F:$F,0,Summary!H$2),'BPC Data'!$E:$E,Summary!$D176,'BPC Data'!$B:$B,Summary!$C176)</f>
        <v>120</v>
      </c>
      <c r="I176" s="61">
        <f ca="1">SUMIFS(OFFSET('BPC Data'!$F:$F,0,Summary!I$2),'BPC Data'!$E:$E,Summary!$D176,'BPC Data'!$B:$B,Summary!$C176)</f>
        <v>120</v>
      </c>
      <c r="J176" s="65">
        <f ca="1">SUMIFS(OFFSET('BPC Data'!$F:$F,0,Summary!J$2),'BPC Data'!$E:$E,Summary!$D176,'BPC Data'!$B:$B,Summary!$C176)</f>
        <v>120</v>
      </c>
      <c r="K176" s="61">
        <f ca="1">SUMIFS(OFFSET('BPC Data'!$F:$F,0,Summary!K$2),'BPC Data'!$E:$E,Summary!$D176,'BPC Data'!$B:$B,Summary!$C176)</f>
        <v>120</v>
      </c>
      <c r="L176" s="65">
        <f ca="1">SUMIFS(OFFSET('BPC Data'!$F:$F,0,Summary!L$2),'BPC Data'!$E:$E,Summary!$D176,'BPC Data'!$B:$B,Summary!$C176)</f>
        <v>120</v>
      </c>
      <c r="M176" s="61">
        <f ca="1">SUMIFS(OFFSET('BPC Data'!$F:$F,0,Summary!M$2),'BPC Data'!$E:$E,Summary!$D176,'BPC Data'!$B:$B,Summary!$C176)</f>
        <v>120</v>
      </c>
      <c r="N176" s="65">
        <f ca="1">SUMIFS(OFFSET('BPC Data'!$F:$F,0,Summary!N$2),'BPC Data'!$E:$E,Summary!$D176,'BPC Data'!$B:$B,Summary!$C176)</f>
        <v>120</v>
      </c>
      <c r="O176" s="61">
        <f ca="1">SUMIFS(OFFSET('BPC Data'!$F:$F,0,Summary!O$2),'BPC Data'!$E:$E,Summary!$D176,'BPC Data'!$B:$B,Summary!$C176)</f>
        <v>120</v>
      </c>
      <c r="P176" s="65">
        <f ca="1">SUMIFS(OFFSET('BPC Data'!$F:$F,0,Summary!P$2),'BPC Data'!$E:$E,Summary!$D176,'BPC Data'!$B:$B,Summary!$C176)</f>
        <v>120</v>
      </c>
      <c r="Q176" s="61">
        <f ca="1">SUMIFS(OFFSET('BPC Data'!$F:$F,0,Summary!Q$2),'BPC Data'!$E:$E,Summary!$D176,'BPC Data'!$B:$B,Summary!$C176)</f>
        <v>120</v>
      </c>
      <c r="R176" s="65">
        <f ca="1">SUMIFS(OFFSET('BPC Data'!$F:$F,0,Summary!R$2),'BPC Data'!$E:$E,Summary!$D176,'BPC Data'!$B:$B,Summary!$C176)</f>
        <v>120</v>
      </c>
      <c r="S176" s="23">
        <f ca="1">+Q176</f>
        <v>120</v>
      </c>
      <c r="T176" s="74"/>
      <c r="U176" s="54"/>
      <c r="AJ176" s="49"/>
      <c r="AK176" s="49"/>
      <c r="AL176" s="49"/>
      <c r="AM176" s="49"/>
      <c r="AN176" s="49"/>
      <c r="AO176" s="49"/>
      <c r="AP176" s="49"/>
      <c r="AQ176" s="49"/>
      <c r="AR176" s="49"/>
      <c r="AS176" s="49"/>
      <c r="AT176" s="49"/>
      <c r="AU176" s="49"/>
    </row>
    <row r="177" spans="1:48" s="12" customFormat="1">
      <c r="A177" s="12">
        <f t="shared" si="339"/>
        <v>16</v>
      </c>
      <c r="B177"/>
      <c r="C177" t="str">
        <f>$F174</f>
        <v>Northgate Plaza (HMG)</v>
      </c>
      <c r="D177" s="3" t="str">
        <f t="shared" si="272"/>
        <v>T_REVENUES - Total Tenant Revenues</v>
      </c>
      <c r="E177"/>
      <c r="F177" s="19" t="str">
        <f>_xll.EVDES(D177)</f>
        <v>Total Tenant Revenues</v>
      </c>
      <c r="G177" s="61">
        <f ca="1">SUMIFS(OFFSET('BPC Data'!$F:$F,0,Summary!G$2),'BPC Data'!$E:$E,Summary!$D177,'BPC Data'!$B:$B,Summary!$C177)</f>
        <v>573410</v>
      </c>
      <c r="H177" s="65">
        <f ca="1">SUMIFS(OFFSET('BPC Data'!$F:$F,0,Summary!H$2),'BPC Data'!$E:$E,Summary!$D177,'BPC Data'!$B:$B,Summary!$C177)</f>
        <v>592060</v>
      </c>
      <c r="I177" s="61">
        <f ca="1">SUMIFS(OFFSET('BPC Data'!$F:$F,0,Summary!I$2),'BPC Data'!$E:$E,Summary!$D177,'BPC Data'!$B:$B,Summary!$C177)</f>
        <v>522118</v>
      </c>
      <c r="J177" s="65">
        <f ca="1">SUMIFS(OFFSET('BPC Data'!$F:$F,0,Summary!J$2),'BPC Data'!$E:$E,Summary!$D177,'BPC Data'!$B:$B,Summary!$C177)</f>
        <v>738810</v>
      </c>
      <c r="K177" s="61">
        <f ca="1">SUMIFS(OFFSET('BPC Data'!$F:$F,0,Summary!K$2),'BPC Data'!$E:$E,Summary!$D177,'BPC Data'!$B:$B,Summary!$C177)</f>
        <v>679147</v>
      </c>
      <c r="L177" s="65">
        <f ca="1">SUMIFS(OFFSET('BPC Data'!$F:$F,0,Summary!L$2),'BPC Data'!$E:$E,Summary!$D177,'BPC Data'!$B:$B,Summary!$C177)</f>
        <v>721033</v>
      </c>
      <c r="M177" s="61">
        <f ca="1">SUMIFS(OFFSET('BPC Data'!$F:$F,0,Summary!M$2),'BPC Data'!$E:$E,Summary!$D177,'BPC Data'!$B:$B,Summary!$C177)</f>
        <v>687177</v>
      </c>
      <c r="N177" s="65">
        <f ca="1">SUMIFS(OFFSET('BPC Data'!$F:$F,0,Summary!N$2),'BPC Data'!$E:$E,Summary!$D177,'BPC Data'!$B:$B,Summary!$C177)</f>
        <v>562621</v>
      </c>
      <c r="O177" s="61">
        <f ca="1">SUMIFS(OFFSET('BPC Data'!$F:$F,0,Summary!O$2),'BPC Data'!$E:$E,Summary!$D177,'BPC Data'!$B:$B,Summary!$C177)</f>
        <v>494709</v>
      </c>
      <c r="P177" s="65">
        <f ca="1">SUMIFS(OFFSET('BPC Data'!$F:$F,0,Summary!P$2),'BPC Data'!$E:$E,Summary!$D177,'BPC Data'!$B:$B,Summary!$C177)</f>
        <v>535437</v>
      </c>
      <c r="Q177" s="61">
        <f ca="1">SUMIFS(OFFSET('BPC Data'!$F:$F,0,Summary!Q$2),'BPC Data'!$E:$E,Summary!$D177,'BPC Data'!$B:$B,Summary!$C177)</f>
        <v>452757</v>
      </c>
      <c r="R177" s="65">
        <f ca="1">SUMIFS(OFFSET('BPC Data'!$F:$F,0,Summary!R$2),'BPC Data'!$E:$E,Summary!$D177,'BPC Data'!$B:$B,Summary!$C177)</f>
        <v>-116721</v>
      </c>
      <c r="S177" s="23">
        <f t="shared" ref="S177:S183" ca="1" si="340">SUM(G177:Q177)</f>
        <v>6559279</v>
      </c>
      <c r="T177" s="74">
        <f ca="1">SUM(W177:AG177)</f>
        <v>1917058.2199999965</v>
      </c>
      <c r="U177" s="54">
        <f ca="1">T177-S177</f>
        <v>-4642220.7800000031</v>
      </c>
      <c r="W177" s="4">
        <f ca="1">SUMIFS(INDIRECT("'"&amp;$W$173&amp;"'"&amp;"!$B$64:$B$5000"),INDIRECT("'"&amp;$W$173&amp;"'"&amp;"!$A$64:$A$5000"),$V$1)-SUMIFS(INDIRECT("'"&amp;$W$173&amp;"'"&amp;"!$B$64:$B$5000"),INDIRECT("'"&amp;$W$173&amp;"'"&amp;"!$A$64:$A$5000"),$V$2)-SUMIFS(INDIRECT("'"&amp;$W$173&amp;"'"&amp;"!$B$64:$B$5000"),INDIRECT("'"&amp;$W$173&amp;"'"&amp;"!$A$64:$A$5000"),$V$3)-SUMIFS(INDIRECT("'"&amp;$W$173&amp;"'"&amp;"!$B$64:$B$5000"),INDIRECT("'"&amp;$W$173&amp;"'"&amp;"!$A$64:$A$5000"),$X$4)-SUMIFS(INDIRECT("'"&amp;$W$173&amp;"'"&amp;"!$B$64:$B$5000"),INDIRECT("'"&amp;$W$173&amp;"'"&amp;"!$A$64:$A$5000"),$X$3)</f>
        <v>573410.57999999996</v>
      </c>
      <c r="X177" s="4">
        <f ca="1">SUMIFS(INDIRECT("'"&amp;$W$173&amp;"'"&amp;"!$C$64:$C$5000"),INDIRECT("'"&amp;$W$173&amp;"'"&amp;"!$A$64:$A$5000"),$V$1)-SUMIFS(INDIRECT("'"&amp;$W$173&amp;"'"&amp;"!$C$64:$C$5000"),INDIRECT("'"&amp;$W$173&amp;"'"&amp;"!$A$64:$A$5000"),$V$2)-SUMIFS(INDIRECT("'"&amp;$W$173&amp;"'"&amp;"!$C$64:$C$5000"),INDIRECT("'"&amp;$W$173&amp;"'"&amp;"!$A$64:$A$5000"),$V$3)-SUMIFS(INDIRECT("'"&amp;$W$173&amp;"'"&amp;"!$C$64:$C$5000"),INDIRECT("'"&amp;$W$173&amp;"'"&amp;"!$A$64:$A$5000"),$X$4)-SUMIFS(INDIRECT("'"&amp;$W$173&amp;"'"&amp;"!$C$64:$C$5000"),INDIRECT("'"&amp;$W$173&amp;"'"&amp;"!$A$64:$A$5000"),$X$3)</f>
        <v>592060.60999999975</v>
      </c>
      <c r="Y177" s="4">
        <f ca="1">SUMIFS(INDIRECT("'"&amp;$W$173&amp;"'"&amp;"!$d$64:$d$5000"),INDIRECT("'"&amp;$W$173&amp;"'"&amp;"!$A$64:$A$5000"),$V$1)-SUMIFS(INDIRECT("'"&amp;$W$173&amp;"'"&amp;"!$d$64:$d$5000"),INDIRECT("'"&amp;$W$173&amp;"'"&amp;"!$A$64:$A$5000"),$V$2)-SUMIFS(INDIRECT("'"&amp;$W$173&amp;"'"&amp;"!$d$64:$d$5000"),INDIRECT("'"&amp;$W$173&amp;"'"&amp;"!$A$64:$A$5000"),$V$3)-SUMIFS(INDIRECT("'"&amp;$W$173&amp;"'"&amp;"!$d$64:$d$5000"),INDIRECT("'"&amp;$W$173&amp;"'"&amp;"!$A$64:$A$5000"),$X$4)-SUMIFS(INDIRECT("'"&amp;$W$173&amp;"'"&amp;"!$d$64:$d$5000"),INDIRECT("'"&amp;$W$173&amp;"'"&amp;"!$A$64:$A$5000"),$X$3)</f>
        <v>522117.88999999932</v>
      </c>
      <c r="Z177" s="4">
        <f ca="1">SUMIFS(INDIRECT("'"&amp;$W$173&amp;"'"&amp;"!$e$64:$e$5000"),INDIRECT("'"&amp;$W$173&amp;"'"&amp;"!$A$64:$A$5000"),$V$1)-SUMIFS(INDIRECT("'"&amp;$W$173&amp;"'"&amp;"!$e$64:$e$5000"),INDIRECT("'"&amp;$W$173&amp;"'"&amp;"!$A$64:$A$5000"),$V$2)-SUMIFS(INDIRECT("'"&amp;$W$173&amp;"'"&amp;"!$e$64:$e$5000"),INDIRECT("'"&amp;$W$173&amp;"'"&amp;"!$A$64:$A$5000"),$V$3)-SUMIFS(INDIRECT("'"&amp;$W$173&amp;"'"&amp;"!$e$64:$e$5000"),INDIRECT("'"&amp;$W$173&amp;"'"&amp;"!$A$64:$A$5000"),$X$4)-SUMIFS(INDIRECT("'"&amp;$W$173&amp;"'"&amp;"!$e$64:$e$5000"),INDIRECT("'"&amp;$W$173&amp;"'"&amp;"!$A$64:$A$5000"),$X$3)</f>
        <v>738810.55999999982</v>
      </c>
      <c r="AA177" s="4">
        <f ca="1">SUMIFS(INDIRECT("'"&amp;$W$173&amp;"'"&amp;"!$f$64:$f$5000"),INDIRECT("'"&amp;$W$173&amp;"'"&amp;"!$A$64:$A$5000"),$V$1)-SUMIFS(INDIRECT("'"&amp;$W$173&amp;"'"&amp;"!$f$64:$f$5000"),INDIRECT("'"&amp;$W$173&amp;"'"&amp;"!$A$64:$A$5000"),$V$2)-SUMIFS(INDIRECT("'"&amp;$W$173&amp;"'"&amp;"!$f$64:$f$5000"),INDIRECT("'"&amp;$W$173&amp;"'"&amp;"!$A$64:$A$5000"),$V$3)-SUMIFS(INDIRECT("'"&amp;$W$173&amp;"'"&amp;"!$f$64:$f$5000"),INDIRECT("'"&amp;$W$173&amp;"'"&amp;"!$A$64:$A$5000"),$X$4)-SUMIFS(INDIRECT("'"&amp;$W$173&amp;"'"&amp;"!$f$64:$f$5000"),INDIRECT("'"&amp;$W$173&amp;"'"&amp;"!$A$64:$A$5000"),$X$3)</f>
        <v>-509341.41999999963</v>
      </c>
      <c r="AB177" s="4">
        <f ca="1">SUMIFS(INDIRECT("'"&amp;$W$173&amp;"'"&amp;"!$g$64:$g$5000"),INDIRECT("'"&amp;$W$173&amp;"'"&amp;"!$A$64:$A$5000"),$V$1)-SUMIFS(INDIRECT("'"&amp;$W$173&amp;"'"&amp;"!$g$64:$g$5000"),INDIRECT("'"&amp;$W$173&amp;"'"&amp;"!$A$64:$A$5000"),$V$2)-SUMIFS(INDIRECT("'"&amp;$W$173&amp;"'"&amp;"!$g$64:$g$5000"),INDIRECT("'"&amp;$W$173&amp;"'"&amp;"!$A$64:$A$5000"),$V$3)-SUMIFS(INDIRECT("'"&amp;$W$173&amp;"'"&amp;"!$g$64:$g$5000"),INDIRECT("'"&amp;$W$173&amp;"'"&amp;"!$A$64:$A$5000"),$X$4)-SUMIFS(INDIRECT("'"&amp;$W$173&amp;"'"&amp;"!$g$64:$g$5000"),INDIRECT("'"&amp;$W$173&amp;"'"&amp;"!$A$64:$A$5000"),$X$3)</f>
        <v>721033.34999999974</v>
      </c>
      <c r="AC177" s="4">
        <f ca="1">SUMIFS(INDIRECT("'"&amp;$W$173&amp;"'"&amp;"!$h$64:$h$5000"),INDIRECT("'"&amp;$W$173&amp;"'"&amp;"!$A$64:$A$5000"),$V$1)-SUMIFS(INDIRECT("'"&amp;$W$173&amp;"'"&amp;"!$h$64:$h$5000"),INDIRECT("'"&amp;$W$173&amp;"'"&amp;"!$A$64:$A$5000"),$V$2)-SUMIFS(INDIRECT("'"&amp;$W$173&amp;"'"&amp;"!$h$64:$h$5000"),INDIRECT("'"&amp;$W$173&amp;"'"&amp;"!$A$64:$A$5000"),$V$3)-SUMIFS(INDIRECT("'"&amp;$W$173&amp;"'"&amp;"!$h$64:$h$5000"),INDIRECT("'"&amp;$W$173&amp;"'"&amp;"!$A$64:$A$5000"),$X$4)-SUMIFS(INDIRECT("'"&amp;$W$173&amp;"'"&amp;"!$h$64:$h$5000"),INDIRECT("'"&amp;$W$173&amp;"'"&amp;"!$A$64:$A$5000"),$X$3)</f>
        <v>687176.91999999958</v>
      </c>
      <c r="AD177" s="4">
        <f ca="1">SUMIFS(INDIRECT("'"&amp;$W$173&amp;"'"&amp;"!$i$64:$i$5000"),INDIRECT("'"&amp;$W$173&amp;"'"&amp;"!$A$64:$A$5000"),$V$1)-SUMIFS(INDIRECT("'"&amp;$W$173&amp;"'"&amp;"!$i$64:$i$5000"),INDIRECT("'"&amp;$W$173&amp;"'"&amp;"!$A$64:$A$5000"),$V$2)-SUMIFS(INDIRECT("'"&amp;$W$173&amp;"'"&amp;"!$i$64:$i$5000"),INDIRECT("'"&amp;$W$173&amp;"'"&amp;"!$A$64:$A$5000"),$V$3)-SUMIFS(INDIRECT("'"&amp;$W$173&amp;"'"&amp;"!$i$64:$i$5000"),INDIRECT("'"&amp;$W$173&amp;"'"&amp;"!$A$64:$A$5000"),$X$4)-SUMIFS(INDIRECT("'"&amp;$W$173&amp;"'"&amp;"!$i$64:$i$5000"),INDIRECT("'"&amp;$W$173&amp;"'"&amp;"!$A$64:$A$5000"),$X$3)</f>
        <v>562619.89999999956</v>
      </c>
      <c r="AE177" s="4">
        <f ca="1">SUMIFS(INDIRECT("'"&amp;$W$173&amp;"'"&amp;"!$j$64:$j$5000"),INDIRECT("'"&amp;$W$173&amp;"'"&amp;"!$A$64:$A$5000"),$V$1)-SUMIFS(INDIRECT("'"&amp;$W$173&amp;"'"&amp;"!$j$64:$j$5000"),INDIRECT("'"&amp;$W$173&amp;"'"&amp;"!$A$64:$A$5000"),$V$2)-SUMIFS(INDIRECT("'"&amp;$W$173&amp;"'"&amp;"!$j$64:$j$5000"),INDIRECT("'"&amp;$W$173&amp;"'"&amp;"!$A$64:$A$5000"),$V$3)-SUMIFS(INDIRECT("'"&amp;$W$173&amp;"'"&amp;"!$j$64:$j$5000"),INDIRECT("'"&amp;$W$173&amp;"'"&amp;"!$A$64:$A$5000"),$X$4)-SUMIFS(INDIRECT("'"&amp;$W$173&amp;"'"&amp;"!$j$64:$j$5000"),INDIRECT("'"&amp;$W$173&amp;"'"&amp;"!$A$64:$A$5000"),$X$3)</f>
        <v>494709.11000000022</v>
      </c>
      <c r="AF177" s="4">
        <f ca="1">SUMIFS(INDIRECT("'"&amp;$W$173&amp;"'"&amp;"!$k$64:$k$5000"),INDIRECT("'"&amp;$W$173&amp;"'"&amp;"!$A$64:$A$5000"),$V$1)-SUMIFS(INDIRECT("'"&amp;$W$173&amp;"'"&amp;"!$k$64:$k$5000"),INDIRECT("'"&amp;$W$173&amp;"'"&amp;"!$A$64:$A$5000"),$V$2)-SUMIFS(INDIRECT("'"&amp;$W$173&amp;"'"&amp;"!$k$64:$k$5000"),INDIRECT("'"&amp;$W$173&amp;"'"&amp;"!$A$64:$A$5000"),$V$3)-SUMIFS(INDIRECT("'"&amp;$W$173&amp;"'"&amp;"!$k$64:$k$5000"),INDIRECT("'"&amp;$W$173&amp;"'"&amp;"!$A$64:$A$5000"),$X$4)-SUMIFS(INDIRECT("'"&amp;$W$173&amp;"'"&amp;"!$k$64:$k$5000"),INDIRECT("'"&amp;$W$173&amp;"'"&amp;"!$A$64:$A$5000"),$X$3)</f>
        <v>535434.99000000011</v>
      </c>
      <c r="AG177" s="4">
        <f ca="1">SUMIFS(INDIRECT("'"&amp;$W$173&amp;"'"&amp;"!$l$64:$l$5000"),INDIRECT("'"&amp;$W$173&amp;"'"&amp;"!$A$64:$A$5000"),$V$1)-SUMIFS(INDIRECT("'"&amp;$W$173&amp;"'"&amp;"!$l$64:$l$5000"),INDIRECT("'"&amp;$W$173&amp;"'"&amp;"!$A$64:$A$5000"),$V$2)-SUMIFS(INDIRECT("'"&amp;$W$173&amp;"'"&amp;"!$l$64:$l$5000"),INDIRECT("'"&amp;$W$173&amp;"'"&amp;"!$A$64:$A$5000"),$V$3)-SUMIFS(INDIRECT("'"&amp;$W$173&amp;"'"&amp;"!$l$64:$l$5000"),INDIRECT("'"&amp;$W$173&amp;"'"&amp;"!$A$64:$A$5000"),$X$4)-SUMIFS(INDIRECT("'"&amp;$W$173&amp;"'"&amp;"!$l$64:$l$5000"),INDIRECT("'"&amp;$W$173&amp;"'"&amp;"!$A$64:$A$5000"),$X$3)</f>
        <v>-3000974.2700000019</v>
      </c>
      <c r="AH177" s="4"/>
      <c r="AJ177" s="14">
        <f t="shared" ref="AJ177:AT178" ca="1" si="341">W177-G177</f>
        <v>0.57999999995809048</v>
      </c>
      <c r="AK177" s="14">
        <f t="shared" ca="1" si="341"/>
        <v>0.60999999975319952</v>
      </c>
      <c r="AL177" s="14">
        <f t="shared" ca="1" si="341"/>
        <v>-0.11000000068452209</v>
      </c>
      <c r="AM177" s="14">
        <f t="shared" ca="1" si="341"/>
        <v>0.55999999982304871</v>
      </c>
      <c r="AN177" s="14">
        <f t="shared" ca="1" si="341"/>
        <v>-1188488.4199999997</v>
      </c>
      <c r="AO177" s="14">
        <f t="shared" ca="1" si="341"/>
        <v>0.34999999974388629</v>
      </c>
      <c r="AP177" s="14">
        <f t="shared" ca="1" si="341"/>
        <v>-8.0000000423751771E-2</v>
      </c>
      <c r="AQ177" s="14">
        <f t="shared" ca="1" si="341"/>
        <v>-1.1000000004423782</v>
      </c>
      <c r="AR177" s="14">
        <f t="shared" ca="1" si="341"/>
        <v>0.11000000021886081</v>
      </c>
      <c r="AS177" s="14">
        <f t="shared" ca="1" si="341"/>
        <v>-2.0099999998928979</v>
      </c>
      <c r="AT177" s="14">
        <f t="shared" ca="1" si="341"/>
        <v>-3453731.2700000019</v>
      </c>
      <c r="AU177" s="14"/>
    </row>
    <row r="178" spans="1:48" s="12" customFormat="1">
      <c r="A178" s="12">
        <f t="shared" si="339"/>
        <v>16</v>
      </c>
      <c r="B178"/>
      <c r="C178" t="str">
        <f>$F174</f>
        <v>Northgate Plaza (HMG)</v>
      </c>
      <c r="D178" s="3" t="str">
        <f t="shared" si="272"/>
        <v>T_OPEX - Tenant Operating Expenses</v>
      </c>
      <c r="E178"/>
      <c r="F178" s="19" t="str">
        <f>_xll.EVDES(D178)</f>
        <v>Tenant Operating Expenses</v>
      </c>
      <c r="G178" s="61">
        <f ca="1">SUMIFS(OFFSET('BPC Data'!$F:$F,0,Summary!G$2),'BPC Data'!$E:$E,Summary!$D178,'BPC Data'!$B:$B,Summary!$C178)</f>
        <v>547974</v>
      </c>
      <c r="H178" s="65">
        <f ca="1">SUMIFS(OFFSET('BPC Data'!$F:$F,0,Summary!H$2),'BPC Data'!$E:$E,Summary!$D178,'BPC Data'!$B:$B,Summary!$C178)</f>
        <v>529649</v>
      </c>
      <c r="I178" s="61">
        <f ca="1">SUMIFS(OFFSET('BPC Data'!$F:$F,0,Summary!I$2),'BPC Data'!$E:$E,Summary!$D178,'BPC Data'!$B:$B,Summary!$C178)</f>
        <v>520004</v>
      </c>
      <c r="J178" s="65">
        <f ca="1">SUMIFS(OFFSET('BPC Data'!$F:$F,0,Summary!J$2),'BPC Data'!$E:$E,Summary!$D178,'BPC Data'!$B:$B,Summary!$C178)</f>
        <v>543356</v>
      </c>
      <c r="K178" s="61">
        <f ca="1">SUMIFS(OFFSET('BPC Data'!$F:$F,0,Summary!K$2),'BPC Data'!$E:$E,Summary!$D178,'BPC Data'!$B:$B,Summary!$C178)</f>
        <v>299643</v>
      </c>
      <c r="L178" s="65">
        <f ca="1">SUMIFS(OFFSET('BPC Data'!$F:$F,0,Summary!L$2),'BPC Data'!$E:$E,Summary!$D178,'BPC Data'!$B:$B,Summary!$C178)</f>
        <v>478506</v>
      </c>
      <c r="M178" s="61">
        <f ca="1">SUMIFS(OFFSET('BPC Data'!$F:$F,0,Summary!M$2),'BPC Data'!$E:$E,Summary!$D178,'BPC Data'!$B:$B,Summary!$C178)</f>
        <v>639616</v>
      </c>
      <c r="N178" s="65">
        <f ca="1">SUMIFS(OFFSET('BPC Data'!$F:$F,0,Summary!N$2),'BPC Data'!$E:$E,Summary!$D178,'BPC Data'!$B:$B,Summary!$C178)</f>
        <v>696363</v>
      </c>
      <c r="O178" s="61">
        <f ca="1">SUMIFS(OFFSET('BPC Data'!$F:$F,0,Summary!O$2),'BPC Data'!$E:$E,Summary!$D178,'BPC Data'!$B:$B,Summary!$C178)</f>
        <v>470662</v>
      </c>
      <c r="P178" s="65">
        <f ca="1">SUMIFS(OFFSET('BPC Data'!$F:$F,0,Summary!P$2),'BPC Data'!$E:$E,Summary!$D178,'BPC Data'!$B:$B,Summary!$C178)</f>
        <v>504040</v>
      </c>
      <c r="Q178" s="61">
        <f ca="1">SUMIFS(OFFSET('BPC Data'!$F:$F,0,Summary!Q$2),'BPC Data'!$E:$E,Summary!$D178,'BPC Data'!$B:$B,Summary!$C178)</f>
        <v>542221</v>
      </c>
      <c r="R178" s="65">
        <f ca="1">SUMIFS(OFFSET('BPC Data'!$F:$F,0,Summary!R$2),'BPC Data'!$E:$E,Summary!$D178,'BPC Data'!$B:$B,Summary!$C178)</f>
        <v>0</v>
      </c>
      <c r="S178" s="23">
        <f t="shared" ca="1" si="340"/>
        <v>5772034</v>
      </c>
      <c r="T178" s="74">
        <f ca="1">SUM(W178:AG178)</f>
        <v>2458717.7999999989</v>
      </c>
      <c r="U178" s="54">
        <f ca="1">T178-S178</f>
        <v>-3313316.2000000011</v>
      </c>
      <c r="W178" s="4">
        <f ca="1">SUMIFS(INDIRECT("'"&amp;$W$173&amp;"'"&amp;"!$B$64:$B$5000"),INDIRECT("'"&amp;$W$173&amp;"'"&amp;"!$A$64:$A$5000"),$V$4)-SUMIFS(INDIRECT("'"&amp;$W$173&amp;"'"&amp;"!$B$64:$B$5000"),INDIRECT("'"&amp;$W$173&amp;"'"&amp;"!$A$64:$A$5000"),$V$5)-SUMIFS(INDIRECT("'"&amp;$W$173&amp;"'"&amp;"!$B$64:$B$5000"),INDIRECT("'"&amp;$W$173&amp;"'"&amp;"!$A$64:$A$5000"),$V$6)-SUMIFS(INDIRECT("'"&amp;$W$173&amp;"'"&amp;"!$B$64:$B$5000"),INDIRECT("'"&amp;$W$173&amp;"'"&amp;"!$A$64:$A$5000"),$W$6)-SUMIFS(INDIRECT("'"&amp;$W$173&amp;"'"&amp;"!$B$64:$B$5000"),INDIRECT("'"&amp;$W$173&amp;"'"&amp;"!$A$64:$A$5000"),$W$7)-SUMIFS(INDIRECT("'"&amp;$W$173&amp;"'"&amp;"!$B$64:$B$5000"),INDIRECT("'"&amp;$W$173&amp;"'"&amp;"!$A$64:$A$5000"),$X$3)-W183-W181</f>
        <v>547972.9299999997</v>
      </c>
      <c r="X178" s="4">
        <f ca="1">SUMIFS(INDIRECT("'"&amp;$W$173&amp;"'"&amp;"!$C$64:$C$5000"),INDIRECT("'"&amp;$W$173&amp;"'"&amp;"!$A$64:$A$5000"),$V$4)-SUMIFS(INDIRECT("'"&amp;$W$173&amp;"'"&amp;"!$C$64:$C$5000"),INDIRECT("'"&amp;$W$173&amp;"'"&amp;"!$A$64:$A$5000"),$V$5)-SUMIFS(INDIRECT("'"&amp;$W$173&amp;"'"&amp;"!$C$64:$C$5000"),INDIRECT("'"&amp;$W$173&amp;"'"&amp;"!$A$64:$A$5000"),$V$6)-SUMIFS(INDIRECT("'"&amp;$W$173&amp;"'"&amp;"!$C$64:$C$5000"),INDIRECT("'"&amp;$W$173&amp;"'"&amp;"!$A$64:$A$5000"),$W$6)-SUMIFS(INDIRECT("'"&amp;$W$173&amp;"'"&amp;"!$C$64:$C$5000"),INDIRECT("'"&amp;$W$173&amp;"'"&amp;"!$A$64:$A$5000"),$W$7)-SUMIFS(INDIRECT("'"&amp;$W$173&amp;"'"&amp;"!$C$64:$C$5000"),INDIRECT("'"&amp;$W$173&amp;"'"&amp;"!$A$64:$A$5000"),$X$3)-X183-X181</f>
        <v>529650.56999999983</v>
      </c>
      <c r="Y178" s="4">
        <f ca="1">SUMIFS(INDIRECT("'"&amp;$W$173&amp;"'"&amp;"!$d$64:$d$5000"),INDIRECT("'"&amp;$W$173&amp;"'"&amp;"!$A$64:$A$5000"),$V$4)-SUMIFS(INDIRECT("'"&amp;$W$173&amp;"'"&amp;"!$d$64:$d$5000"),INDIRECT("'"&amp;$W$173&amp;"'"&amp;"!$A$64:$A$5000"),$V$5)-SUMIFS(INDIRECT("'"&amp;$W$173&amp;"'"&amp;"!$d$64:$d$5000"),INDIRECT("'"&amp;$W$173&amp;"'"&amp;"!$A$64:$A$5000"),$V$6)-SUMIFS(INDIRECT("'"&amp;$W$173&amp;"'"&amp;"!$d$64:$d$5000"),INDIRECT("'"&amp;$W$173&amp;"'"&amp;"!$A$64:$A$5000"),$W$6)-SUMIFS(INDIRECT("'"&amp;$W$173&amp;"'"&amp;"!$d$64:$d$5000"),INDIRECT("'"&amp;$W$173&amp;"'"&amp;"!$A$64:$A$5000"),$W$7)-SUMIFS(INDIRECT("'"&amp;$W$173&amp;"'"&amp;"!$d$64:$d$5000"),INDIRECT("'"&amp;$W$173&amp;"'"&amp;"!$A$64:$A$5000"),$X$3)-Y183-Y181</f>
        <v>520005.26999999944</v>
      </c>
      <c r="Z178" s="4">
        <f ca="1">SUMIFS(INDIRECT("'"&amp;$W$173&amp;"'"&amp;"!$e$64:$e$5000"),INDIRECT("'"&amp;$W$173&amp;"'"&amp;"!$A$64:$A$5000"),$V$4)-SUMIFS(INDIRECT("'"&amp;$W$173&amp;"'"&amp;"!$e$64:$e$5000"),INDIRECT("'"&amp;$W$173&amp;"'"&amp;"!$A$64:$A$5000"),$V$5)-SUMIFS(INDIRECT("'"&amp;$W$173&amp;"'"&amp;"!$e$64:$e$5000"),INDIRECT("'"&amp;$W$173&amp;"'"&amp;"!$A$64:$A$5000"),$V$6)-SUMIFS(INDIRECT("'"&amp;$W$173&amp;"'"&amp;"!$e$64:$e$5000"),INDIRECT("'"&amp;$W$173&amp;"'"&amp;"!$A$64:$A$5000"),$W$6)-SUMIFS(INDIRECT("'"&amp;$W$173&amp;"'"&amp;"!$e$64:$e$5000"),INDIRECT("'"&amp;$W$173&amp;"'"&amp;"!$A$64:$A$5000"),$W$7)-SUMIFS(INDIRECT("'"&amp;$W$173&amp;"'"&amp;"!$e$64:$e$5000"),INDIRECT("'"&amp;$W$173&amp;"'"&amp;"!$A$64:$A$5000"),$X$3)-Z183-Z181</f>
        <v>543356.52000000014</v>
      </c>
      <c r="AA178" s="4">
        <f ca="1">SUMIFS(INDIRECT("'"&amp;$W$173&amp;"'"&amp;"!$f$64:$f$5000"),INDIRECT("'"&amp;$W$173&amp;"'"&amp;"!$A$64:$A$5000"),$V$4)-SUMIFS(INDIRECT("'"&amp;$W$173&amp;"'"&amp;"!$f$64:$f$5000"),INDIRECT("'"&amp;$W$173&amp;"'"&amp;"!$A$64:$A$5000"),$V$5)-SUMIFS(INDIRECT("'"&amp;$W$173&amp;"'"&amp;"!$f$64:$f$5000"),INDIRECT("'"&amp;$W$173&amp;"'"&amp;"!$A$64:$A$5000"),$V$6)-SUMIFS(INDIRECT("'"&amp;$W$173&amp;"'"&amp;"!$f$64:$f$5000"),INDIRECT("'"&amp;$W$173&amp;"'"&amp;"!$A$64:$A$5000"),$W$6)-SUMIFS(INDIRECT("'"&amp;$W$173&amp;"'"&amp;"!$f$64:$f$5000"),INDIRECT("'"&amp;$W$173&amp;"'"&amp;"!$A$64:$A$5000"),$W$7)-SUMIFS(INDIRECT("'"&amp;$W$173&amp;"'"&amp;"!$f$64:$f$5000"),INDIRECT("'"&amp;$W$173&amp;"'"&amp;"!$A$64:$A$5000"),$X$3)-AA183-AA181</f>
        <v>317732.51</v>
      </c>
      <c r="AB178" s="4">
        <f ca="1">SUMIFS(INDIRECT("'"&amp;$W$173&amp;"'"&amp;"!$g$64:$g$5000"),INDIRECT("'"&amp;$W$173&amp;"'"&amp;"!$A$64:$A$5000"),$V$4)-SUMIFS(INDIRECT("'"&amp;$W$173&amp;"'"&amp;"!$g$64:$g$5000"),INDIRECT("'"&amp;$W$173&amp;"'"&amp;"!$A$64:$A$5000"),$V$5)-SUMIFS(INDIRECT("'"&amp;$W$173&amp;"'"&amp;"!$g$64:$g$5000"),INDIRECT("'"&amp;$W$173&amp;"'"&amp;"!$A$64:$A$5000"),$V$6)-SUMIFS(INDIRECT("'"&amp;$W$173&amp;"'"&amp;"!$g$64:$g$5000"),INDIRECT("'"&amp;$W$173&amp;"'"&amp;"!$A$64:$A$5000"),$W$6)-SUMIFS(INDIRECT("'"&amp;$W$173&amp;"'"&amp;"!$g$64:$g$5000"),INDIRECT("'"&amp;$W$173&amp;"'"&amp;"!$A$64:$A$5000"),$W$7)-SUMIFS(INDIRECT("'"&amp;$W$173&amp;"'"&amp;"!$g$64:$g$5000"),INDIRECT("'"&amp;$W$173&amp;"'"&amp;"!$A$64:$A$5000"),$X$3)-AB183-AB181</f>
        <v>478505.88000000053</v>
      </c>
      <c r="AC178" s="4">
        <f ca="1">SUMIFS(INDIRECT("'"&amp;$W$173&amp;"'"&amp;"!$h$64:$h$5000"),INDIRECT("'"&amp;$W$173&amp;"'"&amp;"!$A$64:$A$5000"),$V$4)-SUMIFS(INDIRECT("'"&amp;$W$173&amp;"'"&amp;"!$h$64:$h$5000"),INDIRECT("'"&amp;$W$173&amp;"'"&amp;"!$A$64:$A$5000"),$V$5)-SUMIFS(INDIRECT("'"&amp;$W$173&amp;"'"&amp;"!$h$64:$h$5000"),INDIRECT("'"&amp;$W$173&amp;"'"&amp;"!$A$64:$A$5000"),$V$6)-SUMIFS(INDIRECT("'"&amp;$W$173&amp;"'"&amp;"!$h$64:$h$5000"),INDIRECT("'"&amp;$W$173&amp;"'"&amp;"!$A$64:$A$5000"),$W$6)-SUMIFS(INDIRECT("'"&amp;$W$173&amp;"'"&amp;"!$h$64:$h$5000"),INDIRECT("'"&amp;$W$173&amp;"'"&amp;"!$A$64:$A$5000"),$W$7)-SUMIFS(INDIRECT("'"&amp;$W$173&amp;"'"&amp;"!$h$64:$h$5000"),INDIRECT("'"&amp;$W$173&amp;"'"&amp;"!$A$64:$A$5000"),$X$3)-AC183-AC181</f>
        <v>639615.30000000005</v>
      </c>
      <c r="AD178" s="4">
        <f ca="1">SUMIFS(INDIRECT("'"&amp;$W$173&amp;"'"&amp;"!$i$64:$i$5000"),INDIRECT("'"&amp;$W$173&amp;"'"&amp;"!$A$64:$A$5000"),$V$4)-SUMIFS(INDIRECT("'"&amp;$W$173&amp;"'"&amp;"!$i$64:$i$5000"),INDIRECT("'"&amp;$W$173&amp;"'"&amp;"!$A$64:$A$5000"),$V$5)-SUMIFS(INDIRECT("'"&amp;$W$173&amp;"'"&amp;"!$i$64:$i$5000"),INDIRECT("'"&amp;$W$173&amp;"'"&amp;"!$A$64:$A$5000"),$V$6)-SUMIFS(INDIRECT("'"&amp;$W$173&amp;"'"&amp;"!$i$64:$i$5000"),INDIRECT("'"&amp;$W$173&amp;"'"&amp;"!$A$64:$A$5000"),$W$6)-SUMIFS(INDIRECT("'"&amp;$W$173&amp;"'"&amp;"!$i$64:$i$5000"),INDIRECT("'"&amp;$W$173&amp;"'"&amp;"!$A$64:$A$5000"),$W$7)-SUMIFS(INDIRECT("'"&amp;$W$173&amp;"'"&amp;"!$i$64:$i$5000"),INDIRECT("'"&amp;$W$173&amp;"'"&amp;"!$A$64:$A$5000"),$X$3)-AD183-AD181</f>
        <v>696362.96999999974</v>
      </c>
      <c r="AE178" s="4">
        <f ca="1">SUMIFS(INDIRECT("'"&amp;$W$173&amp;"'"&amp;"!$j$64:$j$5000"),INDIRECT("'"&amp;$W$173&amp;"'"&amp;"!$A$64:$A$5000"),$V$4)-SUMIFS(INDIRECT("'"&amp;$W$173&amp;"'"&amp;"!$j$64:$j$5000"),INDIRECT("'"&amp;$W$173&amp;"'"&amp;"!$A$64:$A$5000"),$V$5)-SUMIFS(INDIRECT("'"&amp;$W$173&amp;"'"&amp;"!$j$64:$j$5000"),INDIRECT("'"&amp;$W$173&amp;"'"&amp;"!$A$64:$A$5000"),$V$6)-SUMIFS(INDIRECT("'"&amp;$W$173&amp;"'"&amp;"!$j$64:$j$5000"),INDIRECT("'"&amp;$W$173&amp;"'"&amp;"!$A$64:$A$5000"),$W$6)-SUMIFS(INDIRECT("'"&amp;$W$173&amp;"'"&amp;"!$j$64:$j$5000"),INDIRECT("'"&amp;$W$173&amp;"'"&amp;"!$A$64:$A$5000"),$W$7)-SUMIFS(INDIRECT("'"&amp;$W$173&amp;"'"&amp;"!$j$64:$j$5000"),INDIRECT("'"&amp;$W$173&amp;"'"&amp;"!$A$64:$A$5000"),$X$3)-AE183-AE181</f>
        <v>470661.72000000015</v>
      </c>
      <c r="AF178" s="4">
        <f ca="1">SUMIFS(INDIRECT("'"&amp;$W$173&amp;"'"&amp;"!$k$64:$k$5000"),INDIRECT("'"&amp;$W$173&amp;"'"&amp;"!$A$64:$A$5000"),$V$4)-SUMIFS(INDIRECT("'"&amp;$W$173&amp;"'"&amp;"!$k$64:$k$5000"),INDIRECT("'"&amp;$W$173&amp;"'"&amp;"!$A$64:$A$5000"),$V$5)-SUMIFS(INDIRECT("'"&amp;$W$173&amp;"'"&amp;"!$k$64:$k$5000"),INDIRECT("'"&amp;$W$173&amp;"'"&amp;"!$A$64:$A$5000"),$V$6)-SUMIFS(INDIRECT("'"&amp;$W$173&amp;"'"&amp;"!$k$64:$k$5000"),INDIRECT("'"&amp;$W$173&amp;"'"&amp;"!$A$64:$A$5000"),$W$6)-SUMIFS(INDIRECT("'"&amp;$W$173&amp;"'"&amp;"!$k$64:$k$5000"),INDIRECT("'"&amp;$W$173&amp;"'"&amp;"!$A$64:$A$5000"),$W$7)-SUMIFS(INDIRECT("'"&amp;$W$173&amp;"'"&amp;"!$k$64:$k$5000"),INDIRECT("'"&amp;$W$173&amp;"'"&amp;"!$A$64:$A$5000"),$X$3)-AF183-AF181</f>
        <v>504037.99999999965</v>
      </c>
      <c r="AG178" s="4">
        <f ca="1">SUMIFS(INDIRECT("'"&amp;$W$173&amp;"'"&amp;"!$l$64:$l$5000"),INDIRECT("'"&amp;$W$173&amp;"'"&amp;"!$A$64:$A$5000"),$V$4)-SUMIFS(INDIRECT("'"&amp;$W$173&amp;"'"&amp;"!$l$64:$l$5000"),INDIRECT("'"&amp;$W$173&amp;"'"&amp;"!$A$64:$A$5000"),$V$5)-SUMIFS(INDIRECT("'"&amp;$W$173&amp;"'"&amp;"!$l$64:$l$5000"),INDIRECT("'"&amp;$W$173&amp;"'"&amp;"!$A$64:$A$5000"),$V$6)-SUMIFS(INDIRECT("'"&amp;$W$173&amp;"'"&amp;"!$l$64:$l$5000"),INDIRECT("'"&amp;$W$173&amp;"'"&amp;"!$A$64:$A$5000"),$W$6)-SUMIFS(INDIRECT("'"&amp;$W$173&amp;"'"&amp;"!$l$64:$l$5000"),INDIRECT("'"&amp;$W$173&amp;"'"&amp;"!$A$64:$A$5000"),$W$7)-SUMIFS(INDIRECT("'"&amp;$W$173&amp;"'"&amp;"!$l$64:$l$5000"),INDIRECT("'"&amp;$W$173&amp;"'"&amp;"!$A$64:$A$5000"),$X$3)-AG183-AG181</f>
        <v>-2789183.87</v>
      </c>
      <c r="AH178" s="4"/>
      <c r="AJ178" s="14">
        <f t="shared" ca="1" si="341"/>
        <v>-1.0700000002980232</v>
      </c>
      <c r="AK178" s="14">
        <f t="shared" ca="1" si="341"/>
        <v>1.5699999998323619</v>
      </c>
      <c r="AL178" s="14">
        <f t="shared" ca="1" si="341"/>
        <v>1.2699999994365498</v>
      </c>
      <c r="AM178" s="14">
        <f t="shared" ca="1" si="341"/>
        <v>0.52000000013504177</v>
      </c>
      <c r="AN178" s="14">
        <f t="shared" ca="1" si="341"/>
        <v>18089.510000000009</v>
      </c>
      <c r="AO178" s="14">
        <f t="shared" ca="1" si="341"/>
        <v>-0.11999999947147444</v>
      </c>
      <c r="AP178" s="14">
        <f t="shared" ca="1" si="341"/>
        <v>-0.69999999995343387</v>
      </c>
      <c r="AQ178" s="14">
        <f t="shared" ca="1" si="341"/>
        <v>-3.0000000260770321E-2</v>
      </c>
      <c r="AR178" s="14">
        <f t="shared" ca="1" si="341"/>
        <v>-0.27999999985331669</v>
      </c>
      <c r="AS178" s="14">
        <f t="shared" ca="1" si="341"/>
        <v>-2.000000000349246</v>
      </c>
      <c r="AT178" s="14">
        <f t="shared" ca="1" si="341"/>
        <v>-3331404.87</v>
      </c>
      <c r="AU178" s="14"/>
    </row>
    <row r="179" spans="1:48" s="12" customFormat="1">
      <c r="A179" s="12">
        <f t="shared" si="339"/>
        <v>16</v>
      </c>
      <c r="B179"/>
      <c r="C179" t="str">
        <f>$F174</f>
        <v>Northgate Plaza (HMG)</v>
      </c>
      <c r="D179" s="3" t="str">
        <f t="shared" si="272"/>
        <v>T_BAD_DEBT - Tenant Bad Debt Expense</v>
      </c>
      <c r="E179"/>
      <c r="F179" s="19" t="str">
        <f>_xll.EVDES(D179)</f>
        <v>Tenant Bad Debt Expense</v>
      </c>
      <c r="G179" s="61">
        <f ca="1">SUMIFS(OFFSET('BPC Data'!$F:$F,0,Summary!G$2),'BPC Data'!$E:$E,Summary!$D179,'BPC Data'!$B:$B,Summary!$C179)</f>
        <v>17029</v>
      </c>
      <c r="H179" s="65">
        <f ca="1">SUMIFS(OFFSET('BPC Data'!$F:$F,0,Summary!H$2),'BPC Data'!$E:$E,Summary!$D179,'BPC Data'!$B:$B,Summary!$C179)</f>
        <v>16422</v>
      </c>
      <c r="I179" s="61">
        <f ca="1">SUMIFS(OFFSET('BPC Data'!$F:$F,0,Summary!I$2),'BPC Data'!$E:$E,Summary!$D179,'BPC Data'!$B:$B,Summary!$C179)</f>
        <v>15561</v>
      </c>
      <c r="J179" s="65">
        <f ca="1">SUMIFS(OFFSET('BPC Data'!$F:$F,0,Summary!J$2),'BPC Data'!$E:$E,Summary!$D179,'BPC Data'!$B:$B,Summary!$C179)</f>
        <v>23578</v>
      </c>
      <c r="K179" s="61">
        <f ca="1">SUMIFS(OFFSET('BPC Data'!$F:$F,0,Summary!K$2),'BPC Data'!$E:$E,Summary!$D179,'BPC Data'!$B:$B,Summary!$C179)</f>
        <v>-30073</v>
      </c>
      <c r="L179" s="65">
        <f ca="1">SUMIFS(OFFSET('BPC Data'!$F:$F,0,Summary!L$2),'BPC Data'!$E:$E,Summary!$D179,'BPC Data'!$B:$B,Summary!$C179)</f>
        <v>20495</v>
      </c>
      <c r="M179" s="61">
        <f ca="1">SUMIFS(OFFSET('BPC Data'!$F:$F,0,Summary!M$2),'BPC Data'!$E:$E,Summary!$D179,'BPC Data'!$B:$B,Summary!$C179)</f>
        <v>148455</v>
      </c>
      <c r="N179" s="65">
        <f ca="1">SUMIFS(OFFSET('BPC Data'!$F:$F,0,Summary!N$2),'BPC Data'!$E:$E,Summary!$D179,'BPC Data'!$B:$B,Summary!$C179)</f>
        <v>13601</v>
      </c>
      <c r="O179" s="61">
        <f ca="1">SUMIFS(OFFSET('BPC Data'!$F:$F,0,Summary!O$2),'BPC Data'!$E:$E,Summary!$D179,'BPC Data'!$B:$B,Summary!$C179)</f>
        <v>14665</v>
      </c>
      <c r="P179" s="65">
        <f ca="1">SUMIFS(OFFSET('BPC Data'!$F:$F,0,Summary!P$2),'BPC Data'!$E:$E,Summary!$D179,'BPC Data'!$B:$B,Summary!$C179)</f>
        <v>15399</v>
      </c>
      <c r="Q179" s="61">
        <f ca="1">SUMIFS(OFFSET('BPC Data'!$F:$F,0,Summary!Q$2),'BPC Data'!$E:$E,Summary!$D179,'BPC Data'!$B:$B,Summary!$C179)</f>
        <v>13092</v>
      </c>
      <c r="R179" s="65">
        <f ca="1">SUMIFS(OFFSET('BPC Data'!$F:$F,0,Summary!R$2),'BPC Data'!$E:$E,Summary!$D179,'BPC Data'!$B:$B,Summary!$C179)</f>
        <v>0</v>
      </c>
      <c r="S179" s="23">
        <f t="shared" ca="1" si="340"/>
        <v>268224</v>
      </c>
      <c r="T179" s="75"/>
      <c r="U179" s="4"/>
      <c r="W179"/>
      <c r="X179"/>
      <c r="Y179"/>
      <c r="Z179"/>
      <c r="AA179"/>
      <c r="AB179"/>
      <c r="AC179"/>
      <c r="AD179"/>
      <c r="AE179"/>
      <c r="AF179"/>
      <c r="AG179"/>
      <c r="AH179"/>
      <c r="AJ179" s="14"/>
      <c r="AK179" s="14"/>
      <c r="AL179" s="14"/>
      <c r="AM179" s="14"/>
      <c r="AN179" s="14"/>
      <c r="AO179" s="14"/>
      <c r="AP179" s="14"/>
      <c r="AQ179" s="14"/>
      <c r="AR179" s="14"/>
      <c r="AS179" s="14"/>
      <c r="AT179" s="14"/>
      <c r="AU179" s="14"/>
    </row>
    <row r="180" spans="1:48" s="12" customFormat="1">
      <c r="A180" s="12">
        <f t="shared" si="339"/>
        <v>16</v>
      </c>
      <c r="B180"/>
      <c r="C180" t="str">
        <f>$F174</f>
        <v>Northgate Plaza (HMG)</v>
      </c>
      <c r="D180" s="2" t="str">
        <f t="shared" si="272"/>
        <v>T_EBITDARM - EBITDARM</v>
      </c>
      <c r="E180"/>
      <c r="F180" s="19" t="str">
        <f>_xll.EVDES(D180)</f>
        <v>EBITDARM</v>
      </c>
      <c r="G180" s="61">
        <f ca="1">SUMIFS(OFFSET('BPC Data'!$F:$F,0,Summary!G$2),'BPC Data'!$E:$E,Summary!$D180,'BPC Data'!$B:$B,Summary!$C180)</f>
        <v>25436</v>
      </c>
      <c r="H180" s="65">
        <f ca="1">SUMIFS(OFFSET('BPC Data'!$F:$F,0,Summary!H$2),'BPC Data'!$E:$E,Summary!$D180,'BPC Data'!$B:$B,Summary!$C180)</f>
        <v>62411</v>
      </c>
      <c r="I180" s="61">
        <f ca="1">SUMIFS(OFFSET('BPC Data'!$F:$F,0,Summary!I$2),'BPC Data'!$E:$E,Summary!$D180,'BPC Data'!$B:$B,Summary!$C180)</f>
        <v>2114</v>
      </c>
      <c r="J180" s="65">
        <f ca="1">SUMIFS(OFFSET('BPC Data'!$F:$F,0,Summary!J$2),'BPC Data'!$E:$E,Summary!$D180,'BPC Data'!$B:$B,Summary!$C180)</f>
        <v>195454</v>
      </c>
      <c r="K180" s="61">
        <f ca="1">SUMIFS(OFFSET('BPC Data'!$F:$F,0,Summary!K$2),'BPC Data'!$E:$E,Summary!$D180,'BPC Data'!$B:$B,Summary!$C180)</f>
        <v>379504</v>
      </c>
      <c r="L180" s="65">
        <f ca="1">SUMIFS(OFFSET('BPC Data'!$F:$F,0,Summary!L$2),'BPC Data'!$E:$E,Summary!$D180,'BPC Data'!$B:$B,Summary!$C180)</f>
        <v>242527</v>
      </c>
      <c r="M180" s="61">
        <f ca="1">SUMIFS(OFFSET('BPC Data'!$F:$F,0,Summary!M$2),'BPC Data'!$E:$E,Summary!$D180,'BPC Data'!$B:$B,Summary!$C180)</f>
        <v>47561</v>
      </c>
      <c r="N180" s="65">
        <f ca="1">SUMIFS(OFFSET('BPC Data'!$F:$F,0,Summary!N$2),'BPC Data'!$E:$E,Summary!$D180,'BPC Data'!$B:$B,Summary!$C180)</f>
        <v>-133742</v>
      </c>
      <c r="O180" s="61">
        <f ca="1">SUMIFS(OFFSET('BPC Data'!$F:$F,0,Summary!O$2),'BPC Data'!$E:$E,Summary!$D180,'BPC Data'!$B:$B,Summary!$C180)</f>
        <v>24047</v>
      </c>
      <c r="P180" s="65">
        <f ca="1">SUMIFS(OFFSET('BPC Data'!$F:$F,0,Summary!P$2),'BPC Data'!$E:$E,Summary!$D180,'BPC Data'!$B:$B,Summary!$C180)</f>
        <v>31397</v>
      </c>
      <c r="Q180" s="61">
        <f ca="1">SUMIFS(OFFSET('BPC Data'!$F:$F,0,Summary!Q$2),'BPC Data'!$E:$E,Summary!$D180,'BPC Data'!$B:$B,Summary!$C180)</f>
        <v>-89464</v>
      </c>
      <c r="R180" s="65">
        <f ca="1">SUMIFS(OFFSET('BPC Data'!$F:$F,0,Summary!R$2),'BPC Data'!$E:$E,Summary!$D180,'BPC Data'!$B:$B,Summary!$C180)</f>
        <v>-116721</v>
      </c>
      <c r="S180" s="23">
        <f t="shared" ca="1" si="340"/>
        <v>787245</v>
      </c>
      <c r="T180" s="74">
        <f ca="1">SUM(W180:AG180)</f>
        <v>-541659.58000000264</v>
      </c>
      <c r="U180" s="54">
        <f ca="1">T180-S180</f>
        <v>-1328904.5800000026</v>
      </c>
      <c r="W180" s="50">
        <f t="shared" ref="W180" ca="1" si="342">W177-W178</f>
        <v>25437.650000000256</v>
      </c>
      <c r="X180" s="50">
        <f t="shared" ref="X180:Y180" ca="1" si="343">X177-X178</f>
        <v>62410.039999999921</v>
      </c>
      <c r="Y180" s="50">
        <f t="shared" ca="1" si="343"/>
        <v>2112.6199999998789</v>
      </c>
      <c r="Z180" s="50">
        <f t="shared" ref="Z180" ca="1" si="344">Z177-Z178</f>
        <v>195454.03999999969</v>
      </c>
      <c r="AA180" s="50">
        <f t="shared" ref="AA180" ca="1" si="345">AA177-AA178</f>
        <v>-827073.9299999997</v>
      </c>
      <c r="AB180" s="50">
        <f t="shared" ref="AB180:AC180" ca="1" si="346">AB177-AB178</f>
        <v>242527.46999999922</v>
      </c>
      <c r="AC180" s="50">
        <f t="shared" ca="1" si="346"/>
        <v>47561.61999999953</v>
      </c>
      <c r="AD180" s="50">
        <f t="shared" ref="AD180:AG180" ca="1" si="347">AD177-AD178</f>
        <v>-133743.07000000018</v>
      </c>
      <c r="AE180" s="50">
        <f t="shared" ca="1" si="347"/>
        <v>24047.390000000072</v>
      </c>
      <c r="AF180" s="50">
        <f t="shared" ca="1" si="347"/>
        <v>31396.990000000456</v>
      </c>
      <c r="AG180" s="50">
        <f t="shared" ca="1" si="347"/>
        <v>-211790.40000000177</v>
      </c>
      <c r="AH180" s="50"/>
      <c r="AJ180" s="14">
        <f t="shared" ref="AJ180:AT183" ca="1" si="348">W180-G180</f>
        <v>1.6500000002561137</v>
      </c>
      <c r="AK180" s="14">
        <f t="shared" ca="1" si="348"/>
        <v>-0.96000000007916242</v>
      </c>
      <c r="AL180" s="14">
        <f t="shared" ca="1" si="348"/>
        <v>-1.3800000001210719</v>
      </c>
      <c r="AM180" s="14">
        <f t="shared" ca="1" si="348"/>
        <v>3.9999999688006938E-2</v>
      </c>
      <c r="AN180" s="14">
        <f t="shared" ca="1" si="348"/>
        <v>-1206577.9299999997</v>
      </c>
      <c r="AO180" s="14">
        <f t="shared" ca="1" si="348"/>
        <v>0.46999999921536073</v>
      </c>
      <c r="AP180" s="14">
        <f t="shared" ca="1" si="348"/>
        <v>0.6199999995296821</v>
      </c>
      <c r="AQ180" s="14">
        <f t="shared" ca="1" si="348"/>
        <v>-1.0700000001816079</v>
      </c>
      <c r="AR180" s="14">
        <f t="shared" ca="1" si="348"/>
        <v>0.3900000000721775</v>
      </c>
      <c r="AS180" s="14">
        <f t="shared" ca="1" si="348"/>
        <v>-9.9999995436519384E-3</v>
      </c>
      <c r="AT180" s="14">
        <f t="shared" ca="1" si="348"/>
        <v>-122326.40000000177</v>
      </c>
      <c r="AU180" s="14"/>
    </row>
    <row r="181" spans="1:48" s="12" customFormat="1">
      <c r="A181" s="12">
        <f t="shared" si="339"/>
        <v>16</v>
      </c>
      <c r="B181"/>
      <c r="C181" t="str">
        <f>$F174</f>
        <v>Northgate Plaza (HMG)</v>
      </c>
      <c r="D181" s="2" t="str">
        <f t="shared" si="272"/>
        <v>T_MGMT_FEE - Tenant Management Fee - Actual</v>
      </c>
      <c r="E181"/>
      <c r="F181" s="19" t="str">
        <f>_xll.EVDES(D181)</f>
        <v>Tenant Management Fee - Actual</v>
      </c>
      <c r="G181" s="61">
        <f ca="1">SUMIFS(OFFSET('BPC Data'!$F:$F,0,Summary!G$2),'BPC Data'!$E:$E,Summary!$D181,'BPC Data'!$B:$B,Summary!$C181)</f>
        <v>28381</v>
      </c>
      <c r="H181" s="65">
        <f ca="1">SUMIFS(OFFSET('BPC Data'!$F:$F,0,Summary!H$2),'BPC Data'!$E:$E,Summary!$D181,'BPC Data'!$B:$B,Summary!$C181)</f>
        <v>25184</v>
      </c>
      <c r="I181" s="61">
        <f ca="1">SUMIFS(OFFSET('BPC Data'!$F:$F,0,Summary!I$2),'BPC Data'!$E:$E,Summary!$D181,'BPC Data'!$B:$B,Summary!$C181)</f>
        <v>24312</v>
      </c>
      <c r="J181" s="65">
        <f ca="1">SUMIFS(OFFSET('BPC Data'!$F:$F,0,Summary!J$2),'BPC Data'!$E:$E,Summary!$D181,'BPC Data'!$B:$B,Summary!$C181)</f>
        <v>35190</v>
      </c>
      <c r="K181" s="61">
        <f ca="1">SUMIFS(OFFSET('BPC Data'!$F:$F,0,Summary!K$2),'BPC Data'!$E:$E,Summary!$D181,'BPC Data'!$B:$B,Summary!$C181)</f>
        <v>32185</v>
      </c>
      <c r="L181" s="65">
        <f ca="1">SUMIFS(OFFSET('BPC Data'!$F:$F,0,Summary!L$2),'BPC Data'!$E:$E,Summary!$D181,'BPC Data'!$B:$B,Summary!$C181)</f>
        <v>34158</v>
      </c>
      <c r="M181" s="61">
        <f ca="1">SUMIFS(OFFSET('BPC Data'!$F:$F,0,Summary!M$2),'BPC Data'!$E:$E,Summary!$D181,'BPC Data'!$B:$B,Summary!$C181)</f>
        <v>26162</v>
      </c>
      <c r="N181" s="65">
        <f ca="1">SUMIFS(OFFSET('BPC Data'!$F:$F,0,Summary!N$2),'BPC Data'!$E:$E,Summary!$D181,'BPC Data'!$B:$B,Summary!$C181)</f>
        <v>22990</v>
      </c>
      <c r="O181" s="61">
        <f ca="1">SUMIFS(OFFSET('BPC Data'!$F:$F,0,Summary!O$2),'BPC Data'!$E:$E,Summary!$D181,'BPC Data'!$B:$B,Summary!$C181)</f>
        <v>24441</v>
      </c>
      <c r="P181" s="65">
        <f ca="1">SUMIFS(OFFSET('BPC Data'!$F:$F,0,Summary!P$2),'BPC Data'!$E:$E,Summary!$D181,'BPC Data'!$B:$B,Summary!$C181)</f>
        <v>25665</v>
      </c>
      <c r="Q181" s="61">
        <f ca="1">SUMIFS(OFFSET('BPC Data'!$F:$F,0,Summary!Q$2),'BPC Data'!$E:$E,Summary!$D181,'BPC Data'!$B:$B,Summary!$C181)</f>
        <v>21820</v>
      </c>
      <c r="R181" s="65">
        <f ca="1">SUMIFS(OFFSET('BPC Data'!$F:$F,0,Summary!R$2),'BPC Data'!$E:$E,Summary!$D181,'BPC Data'!$B:$B,Summary!$C181)</f>
        <v>0</v>
      </c>
      <c r="S181" s="23">
        <f t="shared" ca="1" si="340"/>
        <v>300488</v>
      </c>
      <c r="T181" s="74">
        <f ca="1">SUM(W181:AG181)</f>
        <v>-1210441</v>
      </c>
      <c r="U181" s="54">
        <f ca="1">T181-S181</f>
        <v>-1510929</v>
      </c>
      <c r="W181" s="4">
        <f ca="1">SUMIFS(INDIRECT("'"&amp;$W$173&amp;"'"&amp;"!$B$64:$B$5000"),INDIRECT("'"&amp;$W$173&amp;"'"&amp;"!$A$64:$A$5000"),$V$7)</f>
        <v>28381</v>
      </c>
      <c r="X181" s="4">
        <f ca="1">SUMIFS(INDIRECT("'"&amp;$W$173&amp;"'"&amp;"!$C$64:$C$5000"),INDIRECT("'"&amp;$W$173&amp;"'"&amp;"!$A$64:$A$5000"),$V$7)</f>
        <v>25184</v>
      </c>
      <c r="Y181" s="4">
        <f ca="1">SUMIFS(INDIRECT("'"&amp;$W$173&amp;"'"&amp;"!$d$64:$d$5000"),INDIRECT("'"&amp;$W$173&amp;"'"&amp;"!$A$64:$A$5000"),$V$7)</f>
        <v>24312</v>
      </c>
      <c r="Z181" s="4">
        <f ca="1">SUMIFS(INDIRECT("'"&amp;$W$173&amp;"'"&amp;"!$E$64:$E$5000"),INDIRECT("'"&amp;$W$173&amp;"'"&amp;"!$A$64:$A$5000"),$V$7)</f>
        <v>35190</v>
      </c>
      <c r="AA181" s="4">
        <f ca="1">SUMIFS(INDIRECT("'"&amp;$W$173&amp;"'"&amp;"!$F$64:$F$5000"),INDIRECT("'"&amp;$W$173&amp;"'"&amp;"!$A$64:$A$5000"),$V$7)</f>
        <v>-1323508</v>
      </c>
      <c r="AB181" s="4">
        <f ca="1">SUMIFS(INDIRECT("'"&amp;$W$173&amp;"'"&amp;"!$G$64:$G$5000"),INDIRECT("'"&amp;$W$173&amp;"'"&amp;"!$A$64:$A$5000"),$V$7)</f>
        <v>34158</v>
      </c>
      <c r="AC181" s="4">
        <f ca="1">SUMIFS(INDIRECT("'"&amp;$W$173&amp;"'"&amp;"!$h$64:$h$5000"),INDIRECT("'"&amp;$W$173&amp;"'"&amp;"!$A$64:$A$5000"),$V$7)</f>
        <v>26162</v>
      </c>
      <c r="AD181" s="4">
        <f ca="1">SUMIFS(INDIRECT("'"&amp;$W$173&amp;"'"&amp;"!$i$64:$i$5000"),INDIRECT("'"&amp;$W$173&amp;"'"&amp;"!$A$64:$A$5000"),$V$7)</f>
        <v>22990</v>
      </c>
      <c r="AE181" s="4">
        <f ca="1">SUMIFS(INDIRECT("'"&amp;$W$173&amp;"'"&amp;"!$j$64:$j$5000"),INDIRECT("'"&amp;$W$173&amp;"'"&amp;"!$A$64:$A$5000"),$V$7)</f>
        <v>24441</v>
      </c>
      <c r="AF181" s="4">
        <f ca="1">SUMIFS(INDIRECT("'"&amp;$W$173&amp;"'"&amp;"!$k$64:$k$5000"),INDIRECT("'"&amp;$W$173&amp;"'"&amp;"!$A$64:$A$5000"),$V$7)</f>
        <v>25665</v>
      </c>
      <c r="AG181" s="4">
        <f ca="1">SUMIFS(INDIRECT("'"&amp;$W$173&amp;"'"&amp;"!$l$64:$l$5000"),INDIRECT("'"&amp;$W$173&amp;"'"&amp;"!$A$64:$A$5000"),$V$7)</f>
        <v>-133416</v>
      </c>
      <c r="AH181" s="4"/>
      <c r="AJ181" s="14">
        <f t="shared" ca="1" si="348"/>
        <v>0</v>
      </c>
      <c r="AK181" s="14">
        <f t="shared" ca="1" si="348"/>
        <v>0</v>
      </c>
      <c r="AL181" s="14">
        <f t="shared" ca="1" si="348"/>
        <v>0</v>
      </c>
      <c r="AM181" s="14">
        <f t="shared" ca="1" si="348"/>
        <v>0</v>
      </c>
      <c r="AN181" s="14">
        <f t="shared" ca="1" si="348"/>
        <v>-1355693</v>
      </c>
      <c r="AO181" s="14">
        <f t="shared" ca="1" si="348"/>
        <v>0</v>
      </c>
      <c r="AP181" s="14">
        <f t="shared" ca="1" si="348"/>
        <v>0</v>
      </c>
      <c r="AQ181" s="14">
        <f t="shared" ca="1" si="348"/>
        <v>0</v>
      </c>
      <c r="AR181" s="14">
        <f t="shared" ca="1" si="348"/>
        <v>0</v>
      </c>
      <c r="AS181" s="14">
        <f t="shared" ca="1" si="348"/>
        <v>0</v>
      </c>
      <c r="AT181" s="14">
        <f t="shared" ca="1" si="348"/>
        <v>-155236</v>
      </c>
      <c r="AU181" s="14"/>
    </row>
    <row r="182" spans="1:48" s="12" customFormat="1">
      <c r="A182" s="12">
        <f t="shared" si="339"/>
        <v>16</v>
      </c>
      <c r="B182"/>
      <c r="C182" t="str">
        <f>$F174</f>
        <v>Northgate Plaza (HMG)</v>
      </c>
      <c r="D182" s="1" t="str">
        <f t="shared" si="272"/>
        <v>T_EBITDAR - EBITDAR</v>
      </c>
      <c r="E182"/>
      <c r="F182" s="19" t="str">
        <f>_xll.EVDES(D182)</f>
        <v>EBITDAR</v>
      </c>
      <c r="G182" s="61">
        <f ca="1">SUMIFS(OFFSET('BPC Data'!$F:$F,0,Summary!G$2),'BPC Data'!$E:$E,Summary!$D182,'BPC Data'!$B:$B,Summary!$C182)</f>
        <v>-2945</v>
      </c>
      <c r="H182" s="65">
        <f ca="1">SUMIFS(OFFSET('BPC Data'!$F:$F,0,Summary!H$2),'BPC Data'!$E:$E,Summary!$D182,'BPC Data'!$B:$B,Summary!$C182)</f>
        <v>37227</v>
      </c>
      <c r="I182" s="61">
        <f ca="1">SUMIFS(OFFSET('BPC Data'!$F:$F,0,Summary!I$2),'BPC Data'!$E:$E,Summary!$D182,'BPC Data'!$B:$B,Summary!$C182)</f>
        <v>-22198</v>
      </c>
      <c r="J182" s="65">
        <f ca="1">SUMIFS(OFFSET('BPC Data'!$F:$F,0,Summary!J$2),'BPC Data'!$E:$E,Summary!$D182,'BPC Data'!$B:$B,Summary!$C182)</f>
        <v>160264</v>
      </c>
      <c r="K182" s="61">
        <f ca="1">SUMIFS(OFFSET('BPC Data'!$F:$F,0,Summary!K$2),'BPC Data'!$E:$E,Summary!$D182,'BPC Data'!$B:$B,Summary!$C182)</f>
        <v>347319</v>
      </c>
      <c r="L182" s="65">
        <f ca="1">SUMIFS(OFFSET('BPC Data'!$F:$F,0,Summary!L$2),'BPC Data'!$E:$E,Summary!$D182,'BPC Data'!$B:$B,Summary!$C182)</f>
        <v>208369</v>
      </c>
      <c r="M182" s="61">
        <f ca="1">SUMIFS(OFFSET('BPC Data'!$F:$F,0,Summary!M$2),'BPC Data'!$E:$E,Summary!$D182,'BPC Data'!$B:$B,Summary!$C182)</f>
        <v>21399</v>
      </c>
      <c r="N182" s="65">
        <f ca="1">SUMIFS(OFFSET('BPC Data'!$F:$F,0,Summary!N$2),'BPC Data'!$E:$E,Summary!$D182,'BPC Data'!$B:$B,Summary!$C182)</f>
        <v>-156732</v>
      </c>
      <c r="O182" s="61">
        <f ca="1">SUMIFS(OFFSET('BPC Data'!$F:$F,0,Summary!O$2),'BPC Data'!$E:$E,Summary!$D182,'BPC Data'!$B:$B,Summary!$C182)</f>
        <v>-394</v>
      </c>
      <c r="P182" s="65">
        <f ca="1">SUMIFS(OFFSET('BPC Data'!$F:$F,0,Summary!P$2),'BPC Data'!$E:$E,Summary!$D182,'BPC Data'!$B:$B,Summary!$C182)</f>
        <v>5732</v>
      </c>
      <c r="Q182" s="61">
        <f ca="1">SUMIFS(OFFSET('BPC Data'!$F:$F,0,Summary!Q$2),'BPC Data'!$E:$E,Summary!$D182,'BPC Data'!$B:$B,Summary!$C182)</f>
        <v>-111284</v>
      </c>
      <c r="R182" s="65">
        <f ca="1">SUMIFS(OFFSET('BPC Data'!$F:$F,0,Summary!R$2),'BPC Data'!$E:$E,Summary!$D182,'BPC Data'!$B:$B,Summary!$C182)</f>
        <v>-116721</v>
      </c>
      <c r="S182" s="23">
        <f t="shared" ca="1" si="340"/>
        <v>486757</v>
      </c>
      <c r="T182" s="74">
        <f ca="1">SUM(W182:AG182)</f>
        <v>668781.41999999736</v>
      </c>
      <c r="U182" s="54">
        <f ca="1">T182-S182</f>
        <v>182024.41999999736</v>
      </c>
      <c r="W182" s="50">
        <f t="shared" ref="W182" ca="1" si="349">W180-W181</f>
        <v>-2943.3499999997439</v>
      </c>
      <c r="X182" s="50">
        <f t="shared" ref="X182:Y182" ca="1" si="350">X180-X181</f>
        <v>37226.039999999921</v>
      </c>
      <c r="Y182" s="50">
        <f t="shared" ca="1" si="350"/>
        <v>-22199.380000000121</v>
      </c>
      <c r="Z182" s="50">
        <f t="shared" ref="Z182" ca="1" si="351">Z180-Z181</f>
        <v>160264.03999999969</v>
      </c>
      <c r="AA182" s="50">
        <f t="shared" ref="AA182" ca="1" si="352">AA180-AA181</f>
        <v>496434.0700000003</v>
      </c>
      <c r="AB182" s="50">
        <f t="shared" ref="AB182:AC182" ca="1" si="353">AB180-AB181</f>
        <v>208369.46999999922</v>
      </c>
      <c r="AC182" s="50">
        <f t="shared" ca="1" si="353"/>
        <v>21399.61999999953</v>
      </c>
      <c r="AD182" s="50">
        <f t="shared" ref="AD182:AG182" ca="1" si="354">AD180-AD181</f>
        <v>-156733.07000000018</v>
      </c>
      <c r="AE182" s="50">
        <f t="shared" ca="1" si="354"/>
        <v>-393.60999999992782</v>
      </c>
      <c r="AF182" s="50">
        <f t="shared" ca="1" si="354"/>
        <v>5731.9900000004563</v>
      </c>
      <c r="AG182" s="50">
        <f t="shared" ca="1" si="354"/>
        <v>-78374.40000000177</v>
      </c>
      <c r="AH182" s="50"/>
      <c r="AJ182" s="14">
        <f t="shared" ca="1" si="348"/>
        <v>1.6500000002561137</v>
      </c>
      <c r="AK182" s="14">
        <f t="shared" ca="1" si="348"/>
        <v>-0.96000000007916242</v>
      </c>
      <c r="AL182" s="14">
        <f t="shared" ca="1" si="348"/>
        <v>-1.3800000001210719</v>
      </c>
      <c r="AM182" s="14">
        <f t="shared" ca="1" si="348"/>
        <v>3.9999999688006938E-2</v>
      </c>
      <c r="AN182" s="14">
        <f t="shared" ca="1" si="348"/>
        <v>149115.0700000003</v>
      </c>
      <c r="AO182" s="14">
        <f t="shared" ca="1" si="348"/>
        <v>0.46999999921536073</v>
      </c>
      <c r="AP182" s="14">
        <f t="shared" ca="1" si="348"/>
        <v>0.6199999995296821</v>
      </c>
      <c r="AQ182" s="14">
        <f t="shared" ca="1" si="348"/>
        <v>-1.0700000001816079</v>
      </c>
      <c r="AR182" s="14">
        <f t="shared" ca="1" si="348"/>
        <v>0.3900000000721775</v>
      </c>
      <c r="AS182" s="14">
        <f t="shared" ca="1" si="348"/>
        <v>-9.9999995436519384E-3</v>
      </c>
      <c r="AT182" s="14">
        <f t="shared" ca="1" si="348"/>
        <v>32909.59999999823</v>
      </c>
      <c r="AU182" s="14"/>
    </row>
    <row r="183" spans="1:48" s="12" customFormat="1">
      <c r="A183" s="12">
        <f t="shared" si="339"/>
        <v>16</v>
      </c>
      <c r="B183"/>
      <c r="C183" t="str">
        <f>$F174</f>
        <v>Northgate Plaza (HMG)</v>
      </c>
      <c r="D183" s="1" t="str">
        <f t="shared" si="272"/>
        <v>T_RENT_EXP - Tenant Rent Expense</v>
      </c>
      <c r="E183"/>
      <c r="F183" s="19" t="str">
        <f>_xll.EVDES(D183)</f>
        <v>Tenant Rent Expense</v>
      </c>
      <c r="G183" s="61">
        <f ca="1">SUMIFS(OFFSET('BPC Data'!$F:$F,0,Summary!G$2),'BPC Data'!$E:$E,Summary!$D183,'BPC Data'!$B:$B,Summary!$C183)</f>
        <v>99129</v>
      </c>
      <c r="H183" s="65">
        <f ca="1">SUMIFS(OFFSET('BPC Data'!$F:$F,0,Summary!H$2),'BPC Data'!$E:$E,Summary!$D183,'BPC Data'!$B:$B,Summary!$C183)</f>
        <v>101323</v>
      </c>
      <c r="I183" s="61">
        <f ca="1">SUMIFS(OFFSET('BPC Data'!$F:$F,0,Summary!I$2),'BPC Data'!$E:$E,Summary!$D183,'BPC Data'!$B:$B,Summary!$C183)</f>
        <v>101323</v>
      </c>
      <c r="J183" s="65">
        <f ca="1">SUMIFS(OFFSET('BPC Data'!$F:$F,0,Summary!J$2),'BPC Data'!$E:$E,Summary!$D183,'BPC Data'!$B:$B,Summary!$C183)</f>
        <v>101323</v>
      </c>
      <c r="K183" s="61">
        <f ca="1">SUMIFS(OFFSET('BPC Data'!$F:$F,0,Summary!K$2),'BPC Data'!$E:$E,Summary!$D183,'BPC Data'!$B:$B,Summary!$C183)</f>
        <v>101323</v>
      </c>
      <c r="L183" s="65">
        <f ca="1">SUMIFS(OFFSET('BPC Data'!$F:$F,0,Summary!L$2),'BPC Data'!$E:$E,Summary!$D183,'BPC Data'!$B:$B,Summary!$C183)</f>
        <v>101323</v>
      </c>
      <c r="M183" s="61">
        <f ca="1">SUMIFS(OFFSET('BPC Data'!$F:$F,0,Summary!M$2),'BPC Data'!$E:$E,Summary!$D183,'BPC Data'!$B:$B,Summary!$C183)</f>
        <v>101323</v>
      </c>
      <c r="N183" s="65">
        <f ca="1">SUMIFS(OFFSET('BPC Data'!$F:$F,0,Summary!N$2),'BPC Data'!$E:$E,Summary!$D183,'BPC Data'!$B:$B,Summary!$C183)</f>
        <v>101323</v>
      </c>
      <c r="O183" s="61">
        <f ca="1">SUMIFS(OFFSET('BPC Data'!$F:$F,0,Summary!O$2),'BPC Data'!$E:$E,Summary!$D183,'BPC Data'!$B:$B,Summary!$C183)</f>
        <v>101323</v>
      </c>
      <c r="P183" s="65">
        <f ca="1">SUMIFS(OFFSET('BPC Data'!$F:$F,0,Summary!P$2),'BPC Data'!$E:$E,Summary!$D183,'BPC Data'!$B:$B,Summary!$C183)</f>
        <v>101323</v>
      </c>
      <c r="Q183" s="61">
        <f ca="1">SUMIFS(OFFSET('BPC Data'!$F:$F,0,Summary!Q$2),'BPC Data'!$E:$E,Summary!$D183,'BPC Data'!$B:$B,Summary!$C183)</f>
        <v>101323</v>
      </c>
      <c r="R183" s="65">
        <f ca="1">SUMIFS(OFFSET('BPC Data'!$F:$F,0,Summary!R$2),'BPC Data'!$E:$E,Summary!$D183,'BPC Data'!$B:$B,Summary!$C183)</f>
        <v>0</v>
      </c>
      <c r="S183" s="23">
        <f t="shared" ca="1" si="340"/>
        <v>1112359</v>
      </c>
      <c r="T183" s="74">
        <f ca="1">SUM(W183:AG183)</f>
        <v>504419.31999999983</v>
      </c>
      <c r="U183" s="54">
        <f ca="1">T183-S183</f>
        <v>-607939.68000000017</v>
      </c>
      <c r="W183" s="4">
        <f ca="1">SUMIFS(INDIRECT("'"&amp;$W$173&amp;"'"&amp;"!$B$64:$B$5000"),INDIRECT("'"&amp;$W$173&amp;"'"&amp;"!$A$64:$A$5000"),$W$3)+SUMIFS(INDIRECT("'"&amp;$W$173&amp;"'"&amp;"!$B$64:$B$5000"),INDIRECT("'"&amp;$W$173&amp;"'"&amp;"!$A$64:$A$5000"),$W$4)</f>
        <v>99129</v>
      </c>
      <c r="X183" s="4">
        <f ca="1">SUMIFS(INDIRECT("'"&amp;$W$173&amp;"'"&amp;"!$C$64:$C$5000"),INDIRECT("'"&amp;$W$173&amp;"'"&amp;"!$A$64:$A$5000"),$W$3)+SUMIFS(INDIRECT("'"&amp;$W$173&amp;"'"&amp;"!$C$64:$C$5000"),INDIRECT("'"&amp;$W$173&amp;"'"&amp;"!$A$64:$A$5000"),$W$4)</f>
        <v>101322.58</v>
      </c>
      <c r="Y183" s="4">
        <f ca="1">SUMIFS(INDIRECT("'"&amp;$W$173&amp;"'"&amp;"!$d$64:$d$5000"),INDIRECT("'"&amp;$W$173&amp;"'"&amp;"!$A$64:$A$5000"),$W$3)+SUMIFS(INDIRECT("'"&amp;$W$173&amp;"'"&amp;"!$d$64:$d$5000"),INDIRECT("'"&amp;$W$173&amp;"'"&amp;"!$A$64:$A$5000"),$W$4)</f>
        <v>101322.58</v>
      </c>
      <c r="Z183" s="4">
        <f ca="1">SUMIFS(INDIRECT("'"&amp;$W$173&amp;"'"&amp;"!$E$64:$E$5000"),INDIRECT("'"&amp;$W$173&amp;"'"&amp;"!$A$64:$A$5000"),$W$3)+SUMIFS(INDIRECT("'"&amp;$W$173&amp;"'"&amp;"!$E$64:$E$5000"),INDIRECT("'"&amp;$W$173&amp;"'"&amp;"!$A$64:$A$5000"),$W$4)</f>
        <v>101322.58</v>
      </c>
      <c r="AA183" s="4">
        <f ca="1">SUMIFS(INDIRECT("'"&amp;$W$173&amp;"'"&amp;"!$F$64:$F$5000"),INDIRECT("'"&amp;$W$173&amp;"'"&amp;"!$A$64:$A$5000"),$W$3)+SUMIFS(INDIRECT("'"&amp;$W$173&amp;"'"&amp;"!$F$64:$F$5000"),INDIRECT("'"&amp;$W$173&amp;"'"&amp;"!$A$64:$A$5000"),$W$4)</f>
        <v>101322.58</v>
      </c>
      <c r="AB183" s="4">
        <f ca="1">SUMIFS(INDIRECT("'"&amp;$W$173&amp;"'"&amp;"!$G$64:$G$5000"),INDIRECT("'"&amp;$W$173&amp;"'"&amp;"!$A$64:$A$5000"),$W$3)+SUMIFS(INDIRECT("'"&amp;$W$173&amp;"'"&amp;"!$G$64:$G$5000"),INDIRECT("'"&amp;$W$173&amp;"'"&amp;"!$A$64:$A$5000"),$W$4)</f>
        <v>101322.58</v>
      </c>
      <c r="AC183" s="4">
        <f ca="1">SUMIFS(INDIRECT("'"&amp;$W$173&amp;"'"&amp;"!$h$64:$h$5000"),INDIRECT("'"&amp;$W$173&amp;"'"&amp;"!$A$64:$A$5000"),$W$3)+SUMIFS(INDIRECT("'"&amp;$W$173&amp;"'"&amp;"!$h$64:$h$5000"),INDIRECT("'"&amp;$W$173&amp;"'"&amp;"!$A$64:$A$5000"),$W$4)</f>
        <v>101322.58</v>
      </c>
      <c r="AD183" s="4">
        <f ca="1">SUMIFS(INDIRECT("'"&amp;$W$173&amp;"'"&amp;"!$i$64:$i$5000"),INDIRECT("'"&amp;$W$173&amp;"'"&amp;"!$A$64:$A$5000"),$W$3)+SUMIFS(INDIRECT("'"&amp;$W$173&amp;"'"&amp;"!$i$64:$i$5000"),INDIRECT("'"&amp;$W$173&amp;"'"&amp;"!$A$64:$A$5000"),$W$4)</f>
        <v>101322.58</v>
      </c>
      <c r="AE183" s="4">
        <f ca="1">SUMIFS(INDIRECT("'"&amp;$W$173&amp;"'"&amp;"!$j$64:$j$5000"),INDIRECT("'"&amp;$W$173&amp;"'"&amp;"!$A$64:$A$5000"),$W$3)+SUMIFS(INDIRECT("'"&amp;$W$173&amp;"'"&amp;"!$j$64:$j$5000"),INDIRECT("'"&amp;$W$173&amp;"'"&amp;"!$A$64:$A$5000"),$W$4)</f>
        <v>101322.58</v>
      </c>
      <c r="AF183" s="4">
        <f ca="1">SUMIFS(INDIRECT("'"&amp;$W$173&amp;"'"&amp;"!$k$64:$k$5000"),INDIRECT("'"&amp;$W$173&amp;"'"&amp;"!$A$64:$A$5000"),$W$3)+SUMIFS(INDIRECT("'"&amp;$W$173&amp;"'"&amp;"!$k$64:$k$5000"),INDIRECT("'"&amp;$W$173&amp;"'"&amp;"!$A$64:$A$5000"),$W$4)</f>
        <v>101322.58</v>
      </c>
      <c r="AG183" s="4">
        <f ca="1">SUMIFS(INDIRECT("'"&amp;$W$173&amp;"'"&amp;"!$l$64:$l$5000"),INDIRECT("'"&amp;$W$173&amp;"'"&amp;"!$A$64:$A$5000"),$W$3)+SUMIFS(INDIRECT("'"&amp;$W$173&amp;"'"&amp;"!$l$64:$l$5000"),INDIRECT("'"&amp;$W$173&amp;"'"&amp;"!$A$64:$A$5000"),$W$4)</f>
        <v>-506612.9</v>
      </c>
      <c r="AH183" s="4"/>
      <c r="AJ183" s="14">
        <f t="shared" ca="1" si="348"/>
        <v>0</v>
      </c>
      <c r="AK183" s="14">
        <f t="shared" ca="1" si="348"/>
        <v>-0.41999999999825377</v>
      </c>
      <c r="AL183" s="14">
        <f t="shared" ca="1" si="348"/>
        <v>-0.41999999999825377</v>
      </c>
      <c r="AM183" s="14">
        <f t="shared" ca="1" si="348"/>
        <v>-0.41999999999825377</v>
      </c>
      <c r="AN183" s="14">
        <f t="shared" ca="1" si="348"/>
        <v>-0.41999999999825377</v>
      </c>
      <c r="AO183" s="14">
        <f t="shared" ca="1" si="348"/>
        <v>-0.41999999999825377</v>
      </c>
      <c r="AP183" s="14">
        <f t="shared" ca="1" si="348"/>
        <v>-0.41999999999825377</v>
      </c>
      <c r="AQ183" s="14">
        <f t="shared" ca="1" si="348"/>
        <v>-0.41999999999825377</v>
      </c>
      <c r="AR183" s="14">
        <f t="shared" ca="1" si="348"/>
        <v>-0.41999999999825377</v>
      </c>
      <c r="AS183" s="14">
        <f t="shared" ca="1" si="348"/>
        <v>-0.41999999999825377</v>
      </c>
      <c r="AT183" s="14">
        <f t="shared" ca="1" si="348"/>
        <v>-607935.9</v>
      </c>
      <c r="AU183" s="14"/>
    </row>
    <row r="184" spans="1:48" s="12" customFormat="1">
      <c r="A184" s="12">
        <f t="shared" si="339"/>
        <v>16</v>
      </c>
      <c r="B184"/>
      <c r="C184"/>
      <c r="D184" s="1" t="str">
        <f t="shared" si="272"/>
        <v>x</v>
      </c>
      <c r="E184"/>
      <c r="F184" s="19" t="s">
        <v>0</v>
      </c>
      <c r="G184" s="61">
        <f ca="1">SUMIFS(OFFSET('BPC Data'!$F:$F,0,Summary!G$2),'BPC Data'!$E:$E,Summary!$D184,'BPC Data'!$B:$B,Summary!$C184)</f>
        <v>0</v>
      </c>
      <c r="H184" s="65">
        <f ca="1">SUMIFS(OFFSET('BPC Data'!$F:$F,0,Summary!H$2),'BPC Data'!$E:$E,Summary!$D184,'BPC Data'!$B:$B,Summary!$C184)</f>
        <v>0</v>
      </c>
      <c r="I184" s="61">
        <f ca="1">SUMIFS(OFFSET('BPC Data'!$F:$F,0,Summary!I$2),'BPC Data'!$E:$E,Summary!$D184,'BPC Data'!$B:$B,Summary!$C184)</f>
        <v>0</v>
      </c>
      <c r="J184" s="65">
        <f ca="1">SUMIFS(OFFSET('BPC Data'!$F:$F,0,Summary!J$2),'BPC Data'!$E:$E,Summary!$D184,'BPC Data'!$B:$B,Summary!$C184)</f>
        <v>0</v>
      </c>
      <c r="K184" s="61">
        <f ca="1">SUMIFS(OFFSET('BPC Data'!$F:$F,0,Summary!K$2),'BPC Data'!$E:$E,Summary!$D184,'BPC Data'!$B:$B,Summary!$C184)</f>
        <v>0</v>
      </c>
      <c r="L184" s="65">
        <f ca="1">SUMIFS(OFFSET('BPC Data'!$F:$F,0,Summary!L$2),'BPC Data'!$E:$E,Summary!$D184,'BPC Data'!$B:$B,Summary!$C184)</f>
        <v>0</v>
      </c>
      <c r="M184" s="61">
        <f ca="1">SUMIFS(OFFSET('BPC Data'!$F:$F,0,Summary!M$2),'BPC Data'!$E:$E,Summary!$D184,'BPC Data'!$B:$B,Summary!$C184)</f>
        <v>0</v>
      </c>
      <c r="N184" s="65">
        <f ca="1">SUMIFS(OFFSET('BPC Data'!$F:$F,0,Summary!N$2),'BPC Data'!$E:$E,Summary!$D184,'BPC Data'!$B:$B,Summary!$C184)</f>
        <v>0</v>
      </c>
      <c r="O184" s="61">
        <f ca="1">SUMIFS(OFFSET('BPC Data'!$F:$F,0,Summary!O$2),'BPC Data'!$E:$E,Summary!$D184,'BPC Data'!$B:$B,Summary!$C184)</f>
        <v>0</v>
      </c>
      <c r="P184" s="65">
        <f ca="1">SUMIFS(OFFSET('BPC Data'!$F:$F,0,Summary!P$2),'BPC Data'!$E:$E,Summary!$D184,'BPC Data'!$B:$B,Summary!$C184)</f>
        <v>0</v>
      </c>
      <c r="Q184" s="61">
        <f ca="1">SUMIFS(OFFSET('BPC Data'!$F:$F,0,Summary!Q$2),'BPC Data'!$E:$E,Summary!$D184,'BPC Data'!$B:$B,Summary!$C184)</f>
        <v>0</v>
      </c>
      <c r="R184" s="65">
        <f ca="1">SUMIFS(OFFSET('BPC Data'!$F:$F,0,Summary!R$2),'BPC Data'!$E:$E,Summary!$D184,'BPC Data'!$B:$B,Summary!$C184)</f>
        <v>0</v>
      </c>
      <c r="S184" s="23">
        <f ca="1">SUM(G184:M184)</f>
        <v>0</v>
      </c>
      <c r="T184" s="76"/>
      <c r="W184" t="s">
        <v>310</v>
      </c>
      <c r="X184"/>
      <c r="Y184"/>
      <c r="Z184"/>
      <c r="AA184"/>
      <c r="AB184"/>
      <c r="AC184"/>
      <c r="AD184"/>
      <c r="AE184"/>
      <c r="AF184"/>
      <c r="AG184" t="s">
        <v>313</v>
      </c>
      <c r="AJ184" s="49"/>
      <c r="AK184" s="49"/>
      <c r="AL184" s="49"/>
      <c r="AM184" s="49"/>
      <c r="AN184" s="49"/>
      <c r="AO184" s="49"/>
      <c r="AP184" s="49"/>
      <c r="AQ184" s="49"/>
      <c r="AR184" s="49"/>
      <c r="AS184" s="49"/>
      <c r="AT184" s="49"/>
      <c r="AU184" s="49"/>
    </row>
    <row r="185" spans="1:48" s="12" customFormat="1">
      <c r="A185" s="12">
        <f>IF(AND(D185&lt;&gt;"",C185=""),A184+1,A184)</f>
        <v>17</v>
      </c>
      <c r="B185" s="5"/>
      <c r="C185" s="5"/>
      <c r="D185" s="5" t="str">
        <f t="shared" si="272"/>
        <v>x</v>
      </c>
      <c r="E185" s="5"/>
      <c r="F185" s="18" t="str">
        <f>INDEX(PropertyList!$D:$D,MATCH(Summary!$A185,PropertyList!$C:$C,0))</f>
        <v>Gulf Pointe Plaza (HMG)</v>
      </c>
      <c r="G185" s="61">
        <f ca="1">SUMIFS(OFFSET('BPC Data'!$F:$F,0,Summary!G$2),'BPC Data'!$E:$E,Summary!$D185,'BPC Data'!$B:$B,Summary!$C185)</f>
        <v>0</v>
      </c>
      <c r="H185" s="65">
        <f ca="1">SUMIFS(OFFSET('BPC Data'!$F:$F,0,Summary!H$2),'BPC Data'!$E:$E,Summary!$D185,'BPC Data'!$B:$B,Summary!$C185)</f>
        <v>0</v>
      </c>
      <c r="I185" s="61">
        <f ca="1">SUMIFS(OFFSET('BPC Data'!$F:$F,0,Summary!I$2),'BPC Data'!$E:$E,Summary!$D185,'BPC Data'!$B:$B,Summary!$C185)</f>
        <v>0</v>
      </c>
      <c r="J185" s="65">
        <f ca="1">SUMIFS(OFFSET('BPC Data'!$F:$F,0,Summary!J$2),'BPC Data'!$E:$E,Summary!$D185,'BPC Data'!$B:$B,Summary!$C185)</f>
        <v>0</v>
      </c>
      <c r="K185" s="61">
        <f ca="1">SUMIFS(OFFSET('BPC Data'!$F:$F,0,Summary!K$2),'BPC Data'!$E:$E,Summary!$D185,'BPC Data'!$B:$B,Summary!$C185)</f>
        <v>0</v>
      </c>
      <c r="L185" s="65">
        <f ca="1">SUMIFS(OFFSET('BPC Data'!$F:$F,0,Summary!L$2),'BPC Data'!$E:$E,Summary!$D185,'BPC Data'!$B:$B,Summary!$C185)</f>
        <v>0</v>
      </c>
      <c r="M185" s="61">
        <f ca="1">SUMIFS(OFFSET('BPC Data'!$F:$F,0,Summary!M$2),'BPC Data'!$E:$E,Summary!$D185,'BPC Data'!$B:$B,Summary!$C185)</f>
        <v>0</v>
      </c>
      <c r="N185" s="65">
        <f ca="1">SUMIFS(OFFSET('BPC Data'!$F:$F,0,Summary!N$2),'BPC Data'!$E:$E,Summary!$D185,'BPC Data'!$B:$B,Summary!$C185)</f>
        <v>0</v>
      </c>
      <c r="O185" s="61">
        <f ca="1">SUMIFS(OFFSET('BPC Data'!$F:$F,0,Summary!O$2),'BPC Data'!$E:$E,Summary!$D185,'BPC Data'!$B:$B,Summary!$C185)</f>
        <v>0</v>
      </c>
      <c r="P185" s="65">
        <f ca="1">SUMIFS(OFFSET('BPC Data'!$F:$F,0,Summary!P$2),'BPC Data'!$E:$E,Summary!$D185,'BPC Data'!$B:$B,Summary!$C185)</f>
        <v>0</v>
      </c>
      <c r="Q185" s="61">
        <f ca="1">SUMIFS(OFFSET('BPC Data'!$F:$F,0,Summary!Q$2),'BPC Data'!$E:$E,Summary!$D185,'BPC Data'!$B:$B,Summary!$C185)</f>
        <v>0</v>
      </c>
      <c r="R185" s="65">
        <f ca="1">SUMIFS(OFFSET('BPC Data'!$F:$F,0,Summary!R$2),'BPC Data'!$E:$E,Summary!$D185,'BPC Data'!$B:$B,Summary!$C185)</f>
        <v>0</v>
      </c>
      <c r="S185" s="23">
        <f ca="1">SUM(G185:M185)</f>
        <v>0</v>
      </c>
      <c r="T185" s="76"/>
      <c r="W185" s="5" t="str">
        <f t="shared" ref="W185:AH185" si="355">+G$8</f>
        <v>Aug 2021</v>
      </c>
      <c r="X185" s="5" t="str">
        <f t="shared" si="355"/>
        <v>Sep 2021</v>
      </c>
      <c r="Y185" s="5" t="str">
        <f t="shared" si="355"/>
        <v>Oct 2021</v>
      </c>
      <c r="Z185" s="5" t="str">
        <f t="shared" si="355"/>
        <v>Nov 2021</v>
      </c>
      <c r="AA185" s="5" t="str">
        <f t="shared" si="355"/>
        <v>Dec 2021</v>
      </c>
      <c r="AB185" s="5" t="str">
        <f t="shared" si="355"/>
        <v>Jan 2022</v>
      </c>
      <c r="AC185" s="5" t="str">
        <f t="shared" si="355"/>
        <v>Feb 2022</v>
      </c>
      <c r="AD185" s="5" t="str">
        <f t="shared" si="355"/>
        <v>Mar 2022</v>
      </c>
      <c r="AE185" s="5" t="str">
        <f t="shared" si="355"/>
        <v>Apr 2022</v>
      </c>
      <c r="AF185" s="5" t="str">
        <f t="shared" si="355"/>
        <v>May 2022</v>
      </c>
      <c r="AG185" s="5" t="str">
        <f t="shared" si="355"/>
        <v>Jun 2022</v>
      </c>
      <c r="AH185" s="5" t="str">
        <f t="shared" si="355"/>
        <v>Jul 2022</v>
      </c>
      <c r="AJ185" s="174" t="str">
        <f>W$9</f>
        <v>Aug 2021</v>
      </c>
      <c r="AK185" s="174" t="str">
        <f t="shared" ref="AK185" si="356">X$9</f>
        <v>Sep 2021</v>
      </c>
      <c r="AL185" s="174" t="str">
        <f t="shared" ref="AL185" si="357">Y$9</f>
        <v>Oct 2021</v>
      </c>
      <c r="AM185" s="174" t="str">
        <f t="shared" ref="AM185" si="358">Z$9</f>
        <v>Nov 2021</v>
      </c>
      <c r="AN185" s="174" t="str">
        <f t="shared" ref="AN185:AO185" si="359">AA$9</f>
        <v>Dec 2021</v>
      </c>
      <c r="AO185" s="174" t="str">
        <f t="shared" si="359"/>
        <v>Jan 2022</v>
      </c>
      <c r="AP185" s="174" t="str">
        <f t="shared" ref="AP185" si="360">AC$9</f>
        <v>Feb 2022</v>
      </c>
      <c r="AQ185" s="174" t="str">
        <f t="shared" ref="AQ185" si="361">AD$9</f>
        <v>Mar 2022</v>
      </c>
      <c r="AR185" s="174" t="str">
        <f t="shared" ref="AR185" si="362">AE$9</f>
        <v>Apr 2022</v>
      </c>
      <c r="AS185" s="174" t="str">
        <f t="shared" ref="AS185" si="363">AF$9</f>
        <v>May 2022</v>
      </c>
      <c r="AT185" s="174" t="str">
        <f t="shared" ref="AT185" si="364">AG$9</f>
        <v>Jun 2022</v>
      </c>
      <c r="AU185" s="174" t="str">
        <f t="shared" ref="AU185" si="365">AH$9</f>
        <v>Jul 2022</v>
      </c>
    </row>
    <row r="186" spans="1:48" s="12" customFormat="1">
      <c r="A186" s="12">
        <f>IF(AND(F186&lt;&gt;"",D186=""),A185+1,A185)</f>
        <v>17</v>
      </c>
      <c r="C186" t="str">
        <f>$F185</f>
        <v>Gulf Pointe Plaza (HMG)</v>
      </c>
      <c r="D186" s="3" t="str">
        <f t="shared" si="272"/>
        <v>PAY_PAT_DAYS - Total Payor Patient Days</v>
      </c>
      <c r="F186" s="19" t="str">
        <f>_xll.EVDES(D186)</f>
        <v>Total Payor Patient Days</v>
      </c>
      <c r="G186" s="61">
        <f ca="1">SUMIFS(OFFSET('BPC Data'!$F:$F,0,Summary!G$2),'BPC Data'!$E:$E,Summary!$D186,'BPC Data'!$B:$B,Summary!$C186)</f>
        <v>2084</v>
      </c>
      <c r="H186" s="65">
        <f ca="1">SUMIFS(OFFSET('BPC Data'!$F:$F,0,Summary!H$2),'BPC Data'!$E:$E,Summary!$D186,'BPC Data'!$B:$B,Summary!$C186)</f>
        <v>2144</v>
      </c>
      <c r="I186" s="61">
        <f ca="1">SUMIFS(OFFSET('BPC Data'!$F:$F,0,Summary!I$2),'BPC Data'!$E:$E,Summary!$D186,'BPC Data'!$B:$B,Summary!$C186)</f>
        <v>2173</v>
      </c>
      <c r="J186" s="65">
        <f ca="1">SUMIFS(OFFSET('BPC Data'!$F:$F,0,Summary!J$2),'BPC Data'!$E:$E,Summary!$D186,'BPC Data'!$B:$B,Summary!$C186)</f>
        <v>2032</v>
      </c>
      <c r="K186" s="61">
        <f ca="1">SUMIFS(OFFSET('BPC Data'!$F:$F,0,Summary!K$2),'BPC Data'!$E:$E,Summary!$D186,'BPC Data'!$B:$B,Summary!$C186)</f>
        <v>2097</v>
      </c>
      <c r="L186" s="65">
        <f ca="1">SUMIFS(OFFSET('BPC Data'!$F:$F,0,Summary!L$2),'BPC Data'!$E:$E,Summary!$D186,'BPC Data'!$B:$B,Summary!$C186)</f>
        <v>2086</v>
      </c>
      <c r="M186" s="61">
        <f ca="1">SUMIFS(OFFSET('BPC Data'!$F:$F,0,Summary!M$2),'BPC Data'!$E:$E,Summary!$D186,'BPC Data'!$B:$B,Summary!$C186)</f>
        <v>1846</v>
      </c>
      <c r="N186" s="65">
        <f ca="1">SUMIFS(OFFSET('BPC Data'!$F:$F,0,Summary!N$2),'BPC Data'!$E:$E,Summary!$D186,'BPC Data'!$B:$B,Summary!$C186)</f>
        <v>2040</v>
      </c>
      <c r="O186" s="61">
        <f ca="1">SUMIFS(OFFSET('BPC Data'!$F:$F,0,Summary!O$2),'BPC Data'!$E:$E,Summary!$D186,'BPC Data'!$B:$B,Summary!$C186)</f>
        <v>2104</v>
      </c>
      <c r="P186" s="65">
        <f ca="1">SUMIFS(OFFSET('BPC Data'!$F:$F,0,Summary!P$2),'BPC Data'!$E:$E,Summary!$D186,'BPC Data'!$B:$B,Summary!$C186)</f>
        <v>2145</v>
      </c>
      <c r="Q186" s="61">
        <f ca="1">SUMIFS(OFFSET('BPC Data'!$F:$F,0,Summary!Q$2),'BPC Data'!$E:$E,Summary!$D186,'BPC Data'!$B:$B,Summary!$C186)</f>
        <v>2097</v>
      </c>
      <c r="R186" s="65">
        <f ca="1">SUMIFS(OFFSET('BPC Data'!$F:$F,0,Summary!R$2),'BPC Data'!$E:$E,Summary!$D186,'BPC Data'!$B:$B,Summary!$C186)</f>
        <v>2240</v>
      </c>
      <c r="S186" s="23">
        <f ca="1">SUM(G186:R186)</f>
        <v>25088</v>
      </c>
      <c r="T186" s="74">
        <f ca="1">SUM(W186:AH186)</f>
        <v>25088</v>
      </c>
      <c r="U186" s="54">
        <f ca="1">T186-S186</f>
        <v>0</v>
      </c>
      <c r="W186" s="4">
        <f ca="1">SUMIFS(INDIRECT("'"&amp;$W$184&amp;"'"&amp;"!$B$1:$B$5000"),INDIRECT("'"&amp;$W$184&amp;"'"&amp;"!$A$1:$A$5000"),$W$2)</f>
        <v>2084</v>
      </c>
      <c r="X186" s="4">
        <f ca="1">SUMIFS(INDIRECT("'"&amp;$W$184&amp;"'"&amp;"!$C$1:$C$5000"),INDIRECT("'"&amp;$W$184&amp;"'"&amp;"!$A$1:$A$5000"),$W$2)</f>
        <v>2144</v>
      </c>
      <c r="Y186" s="4">
        <f ca="1">SUMIFS(INDIRECT("'"&amp;$W$184&amp;"'"&amp;"!$d$1:$d$5000"),INDIRECT("'"&amp;$W$184&amp;"'"&amp;"!$A$1:$A$5000"),$W$2)</f>
        <v>2173</v>
      </c>
      <c r="Z186" s="4">
        <f ca="1">SUMIFS(INDIRECT("'"&amp;$W$184&amp;"'"&amp;"!$E$1:$E$5000"),INDIRECT("'"&amp;$W$184&amp;"'"&amp;"!$A$1:$A$5000"),$W$2)</f>
        <v>2032</v>
      </c>
      <c r="AA186" s="4">
        <f ca="1">SUMIFS(INDIRECT("'"&amp;$W$184&amp;"'"&amp;"!$F$1:$F$5000"),INDIRECT("'"&amp;$W$184&amp;"'"&amp;"!$A$1:$A$5000"),$W$2)</f>
        <v>2097</v>
      </c>
      <c r="AB186" s="4">
        <f ca="1">SUMIFS(INDIRECT("'"&amp;$W$184&amp;"'"&amp;"!$G$1:$G$5000"),INDIRECT("'"&amp;$W$184&amp;"'"&amp;"!$A$1:$A$5000"),$W$2)</f>
        <v>2086</v>
      </c>
      <c r="AC186" s="4">
        <f ca="1">SUMIFS(INDIRECT("'"&amp;$W$184&amp;"'"&amp;"!$H$1:$H$5000"),INDIRECT("'"&amp;$W$184&amp;"'"&amp;"!$A$1:$A$5000"),$W$2)</f>
        <v>1846</v>
      </c>
      <c r="AD186" s="4">
        <f ca="1">SUMIFS(INDIRECT("'"&amp;$W$184&amp;"'"&amp;"!$i$1:$i$5000"),INDIRECT("'"&amp;$W$184&amp;"'"&amp;"!$A$1:$A$5000"),$W$2)</f>
        <v>2040</v>
      </c>
      <c r="AE186" s="4">
        <f ca="1">SUMIFS(INDIRECT("'"&amp;$W$184&amp;"'"&amp;"!$j$1:$j$5000"),INDIRECT("'"&amp;$W$184&amp;"'"&amp;"!$A$1:$A$5000"),$W$2)</f>
        <v>2104</v>
      </c>
      <c r="AF186" s="4">
        <f ca="1">SUMIFS(INDIRECT("'"&amp;$W$184&amp;"'"&amp;"!$k$1:$k$5000"),INDIRECT("'"&amp;$W$184&amp;"'"&amp;"!$A$1:$A$5000"),$W$2)</f>
        <v>2145</v>
      </c>
      <c r="AG186" s="4">
        <f ca="1">SUMIFS(INDIRECT("'"&amp;$W$184&amp;"'"&amp;"!$l$1:$l$5000"),INDIRECT("'"&amp;$W$184&amp;"'"&amp;"!$A$1:$A$5000"),$W$2)</f>
        <v>2097</v>
      </c>
      <c r="AH186" s="4">
        <f ca="1">SUMIFS(INDIRECT("'"&amp;$W$184&amp;"'"&amp;"!$m$1:$m$5000"),INDIRECT("'"&amp;$W$184&amp;"'"&amp;"!$A$1:$A$5000"),$W$2)</f>
        <v>2240</v>
      </c>
      <c r="AJ186" s="14">
        <f t="shared" ref="AJ186:AU186" ca="1" si="366">W186-G186</f>
        <v>0</v>
      </c>
      <c r="AK186" s="14">
        <f t="shared" ca="1" si="366"/>
        <v>0</v>
      </c>
      <c r="AL186" s="14">
        <f t="shared" ca="1" si="366"/>
        <v>0</v>
      </c>
      <c r="AM186" s="14">
        <f t="shared" ca="1" si="366"/>
        <v>0</v>
      </c>
      <c r="AN186" s="14">
        <f t="shared" ca="1" si="366"/>
        <v>0</v>
      </c>
      <c r="AO186" s="14">
        <f t="shared" ca="1" si="366"/>
        <v>0</v>
      </c>
      <c r="AP186" s="14">
        <f t="shared" ca="1" si="366"/>
        <v>0</v>
      </c>
      <c r="AQ186" s="14">
        <f t="shared" ca="1" si="366"/>
        <v>0</v>
      </c>
      <c r="AR186" s="14">
        <f t="shared" ca="1" si="366"/>
        <v>0</v>
      </c>
      <c r="AS186" s="14">
        <f t="shared" ca="1" si="366"/>
        <v>0</v>
      </c>
      <c r="AT186" s="14">
        <f t="shared" ca="1" si="366"/>
        <v>0</v>
      </c>
      <c r="AU186" s="14">
        <f t="shared" ca="1" si="366"/>
        <v>0</v>
      </c>
      <c r="AV186" s="50"/>
    </row>
    <row r="187" spans="1:48" s="12" customFormat="1">
      <c r="A187" s="12">
        <f t="shared" ref="A187:A195" si="367">IF(AND(F187&lt;&gt;"",D187=""),A186+1,A186)</f>
        <v>17</v>
      </c>
      <c r="C187" t="str">
        <f>$F185</f>
        <v>Gulf Pointe Plaza (HMG)</v>
      </c>
      <c r="D187" s="3" t="str">
        <f t="shared" si="272"/>
        <v>A_BEDS_TOTAL - Total Available Beds</v>
      </c>
      <c r="F187" s="19" t="str">
        <f>_xll.EVDES(D187)</f>
        <v>Total Available Beds</v>
      </c>
      <c r="G187" s="61">
        <f ca="1">SUMIFS(OFFSET('BPC Data'!$F:$F,0,Summary!G$2),'BPC Data'!$E:$E,Summary!$D187,'BPC Data'!$B:$B,Summary!$C187)</f>
        <v>120</v>
      </c>
      <c r="H187" s="65">
        <f ca="1">SUMIFS(OFFSET('BPC Data'!$F:$F,0,Summary!H$2),'BPC Data'!$E:$E,Summary!$D187,'BPC Data'!$B:$B,Summary!$C187)</f>
        <v>120</v>
      </c>
      <c r="I187" s="61">
        <f ca="1">SUMIFS(OFFSET('BPC Data'!$F:$F,0,Summary!I$2),'BPC Data'!$E:$E,Summary!$D187,'BPC Data'!$B:$B,Summary!$C187)</f>
        <v>120</v>
      </c>
      <c r="J187" s="65">
        <f ca="1">SUMIFS(OFFSET('BPC Data'!$F:$F,0,Summary!J$2),'BPC Data'!$E:$E,Summary!$D187,'BPC Data'!$B:$B,Summary!$C187)</f>
        <v>120</v>
      </c>
      <c r="K187" s="61">
        <f ca="1">SUMIFS(OFFSET('BPC Data'!$F:$F,0,Summary!K$2),'BPC Data'!$E:$E,Summary!$D187,'BPC Data'!$B:$B,Summary!$C187)</f>
        <v>120</v>
      </c>
      <c r="L187" s="65">
        <f ca="1">SUMIFS(OFFSET('BPC Data'!$F:$F,0,Summary!L$2),'BPC Data'!$E:$E,Summary!$D187,'BPC Data'!$B:$B,Summary!$C187)</f>
        <v>120</v>
      </c>
      <c r="M187" s="61">
        <f ca="1">SUMIFS(OFFSET('BPC Data'!$F:$F,0,Summary!M$2),'BPC Data'!$E:$E,Summary!$D187,'BPC Data'!$B:$B,Summary!$C187)</f>
        <v>120</v>
      </c>
      <c r="N187" s="65">
        <f ca="1">SUMIFS(OFFSET('BPC Data'!$F:$F,0,Summary!N$2),'BPC Data'!$E:$E,Summary!$D187,'BPC Data'!$B:$B,Summary!$C187)</f>
        <v>120</v>
      </c>
      <c r="O187" s="61">
        <f ca="1">SUMIFS(OFFSET('BPC Data'!$F:$F,0,Summary!O$2),'BPC Data'!$E:$E,Summary!$D187,'BPC Data'!$B:$B,Summary!$C187)</f>
        <v>120</v>
      </c>
      <c r="P187" s="65">
        <f ca="1">SUMIFS(OFFSET('BPC Data'!$F:$F,0,Summary!P$2),'BPC Data'!$E:$E,Summary!$D187,'BPC Data'!$B:$B,Summary!$C187)</f>
        <v>120</v>
      </c>
      <c r="Q187" s="61">
        <f ca="1">SUMIFS(OFFSET('BPC Data'!$F:$F,0,Summary!Q$2),'BPC Data'!$E:$E,Summary!$D187,'BPC Data'!$B:$B,Summary!$C187)</f>
        <v>120</v>
      </c>
      <c r="R187" s="65">
        <f ca="1">SUMIFS(OFFSET('BPC Data'!$F:$F,0,Summary!R$2),'BPC Data'!$E:$E,Summary!$D187,'BPC Data'!$B:$B,Summary!$C187)</f>
        <v>120</v>
      </c>
      <c r="S187" s="23">
        <f ca="1">+R187</f>
        <v>120</v>
      </c>
      <c r="T187" s="74"/>
      <c r="U187" s="54"/>
      <c r="AJ187" s="49"/>
      <c r="AK187" s="49"/>
      <c r="AL187" s="49"/>
      <c r="AM187" s="49"/>
      <c r="AN187" s="49"/>
      <c r="AO187" s="49"/>
      <c r="AP187" s="49"/>
      <c r="AQ187" s="49"/>
      <c r="AR187" s="49"/>
      <c r="AS187" s="49"/>
      <c r="AT187" s="49"/>
      <c r="AU187" s="49"/>
    </row>
    <row r="188" spans="1:48" s="12" customFormat="1">
      <c r="A188" s="12">
        <f t="shared" si="367"/>
        <v>17</v>
      </c>
      <c r="B188"/>
      <c r="C188" t="str">
        <f>$F185</f>
        <v>Gulf Pointe Plaza (HMG)</v>
      </c>
      <c r="D188" s="3" t="str">
        <f t="shared" si="272"/>
        <v>T_REVENUES - Total Tenant Revenues</v>
      </c>
      <c r="E188"/>
      <c r="F188" s="19" t="str">
        <f>_xll.EVDES(D188)</f>
        <v>Total Tenant Revenues</v>
      </c>
      <c r="G188" s="61">
        <f ca="1">SUMIFS(OFFSET('BPC Data'!$F:$F,0,Summary!G$2),'BPC Data'!$E:$E,Summary!$D188,'BPC Data'!$B:$B,Summary!$C188)</f>
        <v>529116</v>
      </c>
      <c r="H188" s="65">
        <f ca="1">SUMIFS(OFFSET('BPC Data'!$F:$F,0,Summary!H$2),'BPC Data'!$E:$E,Summary!$D188,'BPC Data'!$B:$B,Summary!$C188)</f>
        <v>582737</v>
      </c>
      <c r="I188" s="61">
        <f ca="1">SUMIFS(OFFSET('BPC Data'!$F:$F,0,Summary!I$2),'BPC Data'!$E:$E,Summary!$D188,'BPC Data'!$B:$B,Summary!$C188)</f>
        <v>573414</v>
      </c>
      <c r="J188" s="65">
        <f ca="1">SUMIFS(OFFSET('BPC Data'!$F:$F,0,Summary!J$2),'BPC Data'!$E:$E,Summary!$D188,'BPC Data'!$B:$B,Summary!$C188)</f>
        <v>516282</v>
      </c>
      <c r="K188" s="61">
        <f ca="1">SUMIFS(OFFSET('BPC Data'!$F:$F,0,Summary!K$2),'BPC Data'!$E:$E,Summary!$D188,'BPC Data'!$B:$B,Summary!$C188)</f>
        <v>523284</v>
      </c>
      <c r="L188" s="65">
        <f ca="1">SUMIFS(OFFSET('BPC Data'!$F:$F,0,Summary!L$2),'BPC Data'!$E:$E,Summary!$D188,'BPC Data'!$B:$B,Summary!$C188)</f>
        <v>630457</v>
      </c>
      <c r="M188" s="61">
        <f ca="1">SUMIFS(OFFSET('BPC Data'!$F:$F,0,Summary!M$2),'BPC Data'!$E:$E,Summary!$D188,'BPC Data'!$B:$B,Summary!$C188)</f>
        <v>536151</v>
      </c>
      <c r="N188" s="65">
        <f ca="1">SUMIFS(OFFSET('BPC Data'!$F:$F,0,Summary!N$2),'BPC Data'!$E:$E,Summary!$D188,'BPC Data'!$B:$B,Summary!$C188)</f>
        <v>533216</v>
      </c>
      <c r="O188" s="61">
        <f ca="1">SUMIFS(OFFSET('BPC Data'!$F:$F,0,Summary!O$2),'BPC Data'!$E:$E,Summary!$D188,'BPC Data'!$B:$B,Summary!$C188)</f>
        <v>530431</v>
      </c>
      <c r="P188" s="65">
        <f ca="1">SUMIFS(OFFSET('BPC Data'!$F:$F,0,Summary!P$2),'BPC Data'!$E:$E,Summary!$D188,'BPC Data'!$B:$B,Summary!$C188)</f>
        <v>690867</v>
      </c>
      <c r="Q188" s="61">
        <f ca="1">SUMIFS(OFFSET('BPC Data'!$F:$F,0,Summary!Q$2),'BPC Data'!$E:$E,Summary!$D188,'BPC Data'!$B:$B,Summary!$C188)</f>
        <v>528700</v>
      </c>
      <c r="R188" s="65">
        <f ca="1">SUMIFS(OFFSET('BPC Data'!$F:$F,0,Summary!R$2),'BPC Data'!$E:$E,Summary!$D188,'BPC Data'!$B:$B,Summary!$C188)</f>
        <v>567300</v>
      </c>
      <c r="S188" s="23">
        <f t="shared" ref="S188:S194" ca="1" si="368">SUM(G188:R188)</f>
        <v>6741955</v>
      </c>
      <c r="T188" s="74">
        <f ca="1">SUM(W188:AH188)</f>
        <v>6679226.1300000018</v>
      </c>
      <c r="U188" s="54">
        <f ca="1">T188-S188</f>
        <v>-62728.869999998249</v>
      </c>
      <c r="W188" s="4">
        <f ca="1">SUMIFS(INDIRECT("'"&amp;$W$184&amp;"'"&amp;"!$B$64:$B$5000"),INDIRECT("'"&amp;$W$184&amp;"'"&amp;"!$A$64:$A$5000"),$V$1)-SUMIFS(INDIRECT("'"&amp;$W$184&amp;"'"&amp;"!$B$64:$B$5000"),INDIRECT("'"&amp;$W$184&amp;"'"&amp;"!$A$64:$A$5000"),$V$2)-SUMIFS(INDIRECT("'"&amp;$W$184&amp;"'"&amp;"!$B$64:$B$5000"),INDIRECT("'"&amp;$W$184&amp;"'"&amp;"!$A$64:$A$5000"),$V$3)-SUMIFS(INDIRECT("'"&amp;$W$184&amp;"'"&amp;"!$B$64:$B$5000"),INDIRECT("'"&amp;$W$184&amp;"'"&amp;"!$A$64:$A$5000"),$X$4)-SUMIFS(INDIRECT("'"&amp;$W$184&amp;"'"&amp;"!$B$64:$B$5000"),INDIRECT("'"&amp;$W$184&amp;"'"&amp;"!$A$64:$A$5000"),$X$3)</f>
        <v>529116.71000000043</v>
      </c>
      <c r="X188" s="4">
        <f ca="1">SUMIFS(INDIRECT("'"&amp;$W$184&amp;"'"&amp;"!$C$64:$C$5000"),INDIRECT("'"&amp;$W$184&amp;"'"&amp;"!$A$64:$A$5000"),$V$1)-SUMIFS(INDIRECT("'"&amp;$W$184&amp;"'"&amp;"!$C$64:$C$5000"),INDIRECT("'"&amp;$W$184&amp;"'"&amp;"!$A$64:$A$5000"),$V$2)-SUMIFS(INDIRECT("'"&amp;$W$184&amp;"'"&amp;"!$C$64:$C$5000"),INDIRECT("'"&amp;$W$184&amp;"'"&amp;"!$A$64:$A$5000"),$V$3)-SUMIFS(INDIRECT("'"&amp;$W$184&amp;"'"&amp;"!$C$64:$C$5000"),INDIRECT("'"&amp;$W$184&amp;"'"&amp;"!$A$64:$A$5000"),$X$4)-SUMIFS(INDIRECT("'"&amp;$W$184&amp;"'"&amp;"!$C$64:$C$5000"),INDIRECT("'"&amp;$W$184&amp;"'"&amp;"!$A$64:$A$5000"),$X$3)</f>
        <v>582736.78000000014</v>
      </c>
      <c r="Y188" s="4">
        <f ca="1">SUMIFS(INDIRECT("'"&amp;$W$184&amp;"'"&amp;"!$d$64:$d$5000"),INDIRECT("'"&amp;$W$184&amp;"'"&amp;"!$A$64:$A$5000"),$V$1)-SUMIFS(INDIRECT("'"&amp;$W$184&amp;"'"&amp;"!$d$64:$d$5000"),INDIRECT("'"&amp;$W$184&amp;"'"&amp;"!$A$64:$A$5000"),$V$2)-SUMIFS(INDIRECT("'"&amp;$W$184&amp;"'"&amp;"!$d$64:$d$5000"),INDIRECT("'"&amp;$W$184&amp;"'"&amp;"!$A$64:$A$5000"),$V$3)-SUMIFS(INDIRECT("'"&amp;$W$184&amp;"'"&amp;"!$d$64:$d$5000"),INDIRECT("'"&amp;$W$184&amp;"'"&amp;"!$A$64:$A$5000"),$X$4)-SUMIFS(INDIRECT("'"&amp;$W$184&amp;"'"&amp;"!$d$64:$d$5000"),INDIRECT("'"&amp;$W$184&amp;"'"&amp;"!$A$64:$A$5000"),$X$3)</f>
        <v>573413.92000000016</v>
      </c>
      <c r="Z188" s="4">
        <f ca="1">SUMIFS(INDIRECT("'"&amp;$W$184&amp;"'"&amp;"!$e$64:$e$5000"),INDIRECT("'"&amp;$W$184&amp;"'"&amp;"!$A$64:$A$5000"),$V$1)-SUMIFS(INDIRECT("'"&amp;$W$184&amp;"'"&amp;"!$e$64:$e$5000"),INDIRECT("'"&amp;$W$184&amp;"'"&amp;"!$A$64:$A$5000"),$V$2)-SUMIFS(INDIRECT("'"&amp;$W$184&amp;"'"&amp;"!$e$64:$e$5000"),INDIRECT("'"&amp;$W$184&amp;"'"&amp;"!$A$64:$A$5000"),$V$3)-SUMIFS(INDIRECT("'"&amp;$W$184&amp;"'"&amp;"!$e$64:$e$5000"),INDIRECT("'"&amp;$W$184&amp;"'"&amp;"!$A$64:$A$5000"),$X$4)-SUMIFS(INDIRECT("'"&amp;$W$184&amp;"'"&amp;"!$e$64:$e$5000"),INDIRECT("'"&amp;$W$184&amp;"'"&amp;"!$A$64:$A$5000"),$X$3)</f>
        <v>516280.72999999981</v>
      </c>
      <c r="AA188" s="4">
        <f ca="1">SUMIFS(INDIRECT("'"&amp;$W$184&amp;"'"&amp;"!$f$64:$f$5000"),INDIRECT("'"&amp;$W$184&amp;"'"&amp;"!$A$64:$A$5000"),$V$1)-SUMIFS(INDIRECT("'"&amp;$W$184&amp;"'"&amp;"!$f$64:$f$5000"),INDIRECT("'"&amp;$W$184&amp;"'"&amp;"!$A$64:$A$5000"),$V$2)-SUMIFS(INDIRECT("'"&amp;$W$184&amp;"'"&amp;"!$f$64:$f$5000"),INDIRECT("'"&amp;$W$184&amp;"'"&amp;"!$A$64:$A$5000"),$V$3)-SUMIFS(INDIRECT("'"&amp;$W$184&amp;"'"&amp;"!$f$64:$f$5000"),INDIRECT("'"&amp;$W$184&amp;"'"&amp;"!$A$64:$A$5000"),$X$4)-SUMIFS(INDIRECT("'"&amp;$W$184&amp;"'"&amp;"!$f$64:$f$5000"),INDIRECT("'"&amp;$W$184&amp;"'"&amp;"!$A$64:$A$5000"),$X$3)</f>
        <v>460555.15999999992</v>
      </c>
      <c r="AB188" s="4">
        <f ca="1">SUMIFS(INDIRECT("'"&amp;$W$184&amp;"'"&amp;"!$g$64:$g$5000"),INDIRECT("'"&amp;$W$184&amp;"'"&amp;"!$A$64:$A$5000"),$V$1)-SUMIFS(INDIRECT("'"&amp;$W$184&amp;"'"&amp;"!$g$64:$g$5000"),INDIRECT("'"&amp;$W$184&amp;"'"&amp;"!$A$64:$A$5000"),$V$2)-SUMIFS(INDIRECT("'"&amp;$W$184&amp;"'"&amp;"!$g$64:$g$5000"),INDIRECT("'"&amp;$W$184&amp;"'"&amp;"!$A$64:$A$5000"),$V$3)-SUMIFS(INDIRECT("'"&amp;$W$184&amp;"'"&amp;"!$g$64:$g$5000"),INDIRECT("'"&amp;$W$184&amp;"'"&amp;"!$A$64:$A$5000"),$X$4)-SUMIFS(INDIRECT("'"&amp;$W$184&amp;"'"&amp;"!$g$64:$g$5000"),INDIRECT("'"&amp;$W$184&amp;"'"&amp;"!$A$64:$A$5000"),$X$3)</f>
        <v>630457.34999999905</v>
      </c>
      <c r="AC188" s="4">
        <f ca="1">SUMIFS(INDIRECT("'"&amp;$W$184&amp;"'"&amp;"!$h$64:$h$5000"),INDIRECT("'"&amp;$W$184&amp;"'"&amp;"!$A$64:$A$5000"),$V$1)-SUMIFS(INDIRECT("'"&amp;$W$184&amp;"'"&amp;"!$h$64:$h$5000"),INDIRECT("'"&amp;$W$184&amp;"'"&amp;"!$A$64:$A$5000"),$V$2)-SUMIFS(INDIRECT("'"&amp;$W$184&amp;"'"&amp;"!$h$64:$h$5000"),INDIRECT("'"&amp;$W$184&amp;"'"&amp;"!$A$64:$A$5000"),$V$3)-SUMIFS(INDIRECT("'"&amp;$W$184&amp;"'"&amp;"!$h$64:$h$5000"),INDIRECT("'"&amp;$W$184&amp;"'"&amp;"!$A$64:$A$5000"),$X$4)-SUMIFS(INDIRECT("'"&amp;$W$184&amp;"'"&amp;"!$h$64:$h$5000"),INDIRECT("'"&amp;$W$184&amp;"'"&amp;"!$A$64:$A$5000"),$X$3)</f>
        <v>536150.79</v>
      </c>
      <c r="AD188" s="4">
        <f ca="1">SUMIFS(INDIRECT("'"&amp;$W$184&amp;"'"&amp;"!$i$64:$i$5000"),INDIRECT("'"&amp;$W$184&amp;"'"&amp;"!$A$64:$A$5000"),$V$1)-SUMIFS(INDIRECT("'"&amp;$W$184&amp;"'"&amp;"!$i$64:$i$5000"),INDIRECT("'"&amp;$W$184&amp;"'"&amp;"!$A$64:$A$5000"),$V$2)-SUMIFS(INDIRECT("'"&amp;$W$184&amp;"'"&amp;"!$i$64:$i$5000"),INDIRECT("'"&amp;$W$184&amp;"'"&amp;"!$A$64:$A$5000"),$V$3)-SUMIFS(INDIRECT("'"&amp;$W$184&amp;"'"&amp;"!$i$64:$i$5000"),INDIRECT("'"&amp;$W$184&amp;"'"&amp;"!$A$64:$A$5000"),$X$4)-SUMIFS(INDIRECT("'"&amp;$W$184&amp;"'"&amp;"!$i$64:$i$5000"),INDIRECT("'"&amp;$W$184&amp;"'"&amp;"!$A$64:$A$5000"),$X$3)</f>
        <v>533215.54000000108</v>
      </c>
      <c r="AE188" s="4">
        <f ca="1">SUMIFS(INDIRECT("'"&amp;$W$184&amp;"'"&amp;"!$j$64:$j$5000"),INDIRECT("'"&amp;$W$184&amp;"'"&amp;"!$A$64:$A$5000"),$V$1)-SUMIFS(INDIRECT("'"&amp;$W$184&amp;"'"&amp;"!$j$64:$j$5000"),INDIRECT("'"&amp;$W$184&amp;"'"&amp;"!$A$64:$A$5000"),$V$2)-SUMIFS(INDIRECT("'"&amp;$W$184&amp;"'"&amp;"!$j$64:$j$5000"),INDIRECT("'"&amp;$W$184&amp;"'"&amp;"!$A$64:$A$5000"),$V$3)-SUMIFS(INDIRECT("'"&amp;$W$184&amp;"'"&amp;"!$j$64:$j$5000"),INDIRECT("'"&amp;$W$184&amp;"'"&amp;"!$A$64:$A$5000"),$X$4)-SUMIFS(INDIRECT("'"&amp;$W$184&amp;"'"&amp;"!$j$64:$j$5000"),INDIRECT("'"&amp;$W$184&amp;"'"&amp;"!$A$64:$A$5000"),$X$3)</f>
        <v>530430.71999999997</v>
      </c>
      <c r="AF188" s="4">
        <f ca="1">SUMIFS(INDIRECT("'"&amp;$W$184&amp;"'"&amp;"!$k$64:$k$5000"),INDIRECT("'"&amp;$W$184&amp;"'"&amp;"!$A$64:$A$5000"),$V$1)-SUMIFS(INDIRECT("'"&amp;$W$184&amp;"'"&amp;"!$k$64:$k$5000"),INDIRECT("'"&amp;$W$184&amp;"'"&amp;"!$A$64:$A$5000"),$V$2)-SUMIFS(INDIRECT("'"&amp;$W$184&amp;"'"&amp;"!$k$64:$k$5000"),INDIRECT("'"&amp;$W$184&amp;"'"&amp;"!$A$64:$A$5000"),$V$3)-SUMIFS(INDIRECT("'"&amp;$W$184&amp;"'"&amp;"!$k$64:$k$5000"),INDIRECT("'"&amp;$W$184&amp;"'"&amp;"!$A$64:$A$5000"),$X$4)-SUMIFS(INDIRECT("'"&amp;$W$184&amp;"'"&amp;"!$k$64:$k$5000"),INDIRECT("'"&amp;$W$184&amp;"'"&amp;"!$A$64:$A$5000"),$X$3)</f>
        <v>690866.9300000004</v>
      </c>
      <c r="AG188" s="4">
        <f ca="1">SUMIFS(INDIRECT("'"&amp;$W$184&amp;"'"&amp;"!$l$64:$l$5000"),INDIRECT("'"&amp;$W$184&amp;"'"&amp;"!$A$64:$A$5000"),$V$1)-SUMIFS(INDIRECT("'"&amp;$W$184&amp;"'"&amp;"!$l$64:$l$5000"),INDIRECT("'"&amp;$W$184&amp;"'"&amp;"!$A$64:$A$5000"),$V$2)-SUMIFS(INDIRECT("'"&amp;$W$184&amp;"'"&amp;"!$l$64:$l$5000"),INDIRECT("'"&amp;$W$184&amp;"'"&amp;"!$A$64:$A$5000"),$V$3)-SUMIFS(INDIRECT("'"&amp;$W$184&amp;"'"&amp;"!$l$64:$l$5000"),INDIRECT("'"&amp;$W$184&amp;"'"&amp;"!$A$64:$A$5000"),$X$4)-SUMIFS(INDIRECT("'"&amp;$W$184&amp;"'"&amp;"!$l$64:$l$5000"),INDIRECT("'"&amp;$W$184&amp;"'"&amp;"!$A$64:$A$5000"),$X$3)</f>
        <v>528701.2900000005</v>
      </c>
      <c r="AH188" s="4">
        <f ca="1">SUMIFS(INDIRECT("'"&amp;$W$184&amp;"'"&amp;"!$m$64:$m$5000"),INDIRECT("'"&amp;$W$184&amp;"'"&amp;"!$A$64:$A$5000"),$V$1)-SUMIFS(INDIRECT("'"&amp;$W$184&amp;"'"&amp;"!$m$64:$m$5000"),INDIRECT("'"&amp;$W$184&amp;"'"&amp;"!$A$64:$A$5000"),$V$2)-SUMIFS(INDIRECT("'"&amp;$W$184&amp;"'"&amp;"!$m$64:$m$5000"),INDIRECT("'"&amp;$W$184&amp;"'"&amp;"!$A$64:$A$5000"),$V$3)-SUMIFS(INDIRECT("'"&amp;$W$184&amp;"'"&amp;"!$m$64:$m$5000"),INDIRECT("'"&amp;$W$184&amp;"'"&amp;"!$A$64:$A$5000"),$X$4)-SUMIFS(INDIRECT("'"&amp;$W$184&amp;"'"&amp;"!$m$64:$m$5000"),INDIRECT("'"&amp;$W$184&amp;"'"&amp;"!$A$64:$A$5000"),$X$3)</f>
        <v>567300.20999999985</v>
      </c>
      <c r="AJ188" s="14">
        <f t="shared" ref="AJ188:AU189" ca="1" si="369">W188-G188</f>
        <v>0.71000000042840838</v>
      </c>
      <c r="AK188" s="14">
        <f t="shared" ca="1" si="369"/>
        <v>-0.219999999855645</v>
      </c>
      <c r="AL188" s="14">
        <f t="shared" ca="1" si="369"/>
        <v>-7.9999999841675162E-2</v>
      </c>
      <c r="AM188" s="14">
        <f t="shared" ca="1" si="369"/>
        <v>-1.2700000001932494</v>
      </c>
      <c r="AN188" s="14">
        <f t="shared" ca="1" si="369"/>
        <v>-62728.840000000084</v>
      </c>
      <c r="AO188" s="14">
        <f t="shared" ca="1" si="369"/>
        <v>0.34999999904539436</v>
      </c>
      <c r="AP188" s="14">
        <f t="shared" ca="1" si="369"/>
        <v>-0.2099999999627471</v>
      </c>
      <c r="AQ188" s="14">
        <f t="shared" ca="1" si="369"/>
        <v>-0.4599999989150092</v>
      </c>
      <c r="AR188" s="14">
        <f t="shared" ca="1" si="369"/>
        <v>-0.28000000002793968</v>
      </c>
      <c r="AS188" s="14">
        <f t="shared" ca="1" si="369"/>
        <v>-6.9999999599531293E-2</v>
      </c>
      <c r="AT188" s="14">
        <f t="shared" ca="1" si="369"/>
        <v>1.2900000005029142</v>
      </c>
      <c r="AU188" s="14">
        <f t="shared" ca="1" si="369"/>
        <v>0.20999999984633178</v>
      </c>
      <c r="AV188" s="50"/>
    </row>
    <row r="189" spans="1:48" s="12" customFormat="1">
      <c r="A189" s="12">
        <f t="shared" si="367"/>
        <v>17</v>
      </c>
      <c r="B189"/>
      <c r="C189" t="str">
        <f>$F185</f>
        <v>Gulf Pointe Plaza (HMG)</v>
      </c>
      <c r="D189" s="3" t="str">
        <f t="shared" si="272"/>
        <v>T_OPEX - Tenant Operating Expenses</v>
      </c>
      <c r="E189"/>
      <c r="F189" s="19" t="str">
        <f>_xll.EVDES(D189)</f>
        <v>Tenant Operating Expenses</v>
      </c>
      <c r="G189" s="61">
        <f ca="1">SUMIFS(OFFSET('BPC Data'!$F:$F,0,Summary!G$2),'BPC Data'!$E:$E,Summary!$D189,'BPC Data'!$B:$B,Summary!$C189)</f>
        <v>414206</v>
      </c>
      <c r="H189" s="65">
        <f ca="1">SUMIFS(OFFSET('BPC Data'!$F:$F,0,Summary!H$2),'BPC Data'!$E:$E,Summary!$D189,'BPC Data'!$B:$B,Summary!$C189)</f>
        <v>447113</v>
      </c>
      <c r="I189" s="61">
        <f ca="1">SUMIFS(OFFSET('BPC Data'!$F:$F,0,Summary!I$2),'BPC Data'!$E:$E,Summary!$D189,'BPC Data'!$B:$B,Summary!$C189)</f>
        <v>400883</v>
      </c>
      <c r="J189" s="65">
        <f ca="1">SUMIFS(OFFSET('BPC Data'!$F:$F,0,Summary!J$2),'BPC Data'!$E:$E,Summary!$D189,'BPC Data'!$B:$B,Summary!$C189)</f>
        <v>401530</v>
      </c>
      <c r="K189" s="61">
        <f ca="1">SUMIFS(OFFSET('BPC Data'!$F:$F,0,Summary!K$2),'BPC Data'!$E:$E,Summary!$D189,'BPC Data'!$B:$B,Summary!$C189)</f>
        <v>369530</v>
      </c>
      <c r="L189" s="65">
        <f ca="1">SUMIFS(OFFSET('BPC Data'!$F:$F,0,Summary!L$2),'BPC Data'!$E:$E,Summary!$D189,'BPC Data'!$B:$B,Summary!$C189)</f>
        <v>398717</v>
      </c>
      <c r="M189" s="61">
        <f ca="1">SUMIFS(OFFSET('BPC Data'!$F:$F,0,Summary!M$2),'BPC Data'!$E:$E,Summary!$D189,'BPC Data'!$B:$B,Summary!$C189)</f>
        <v>378117</v>
      </c>
      <c r="N189" s="65">
        <f ca="1">SUMIFS(OFFSET('BPC Data'!$F:$F,0,Summary!N$2),'BPC Data'!$E:$E,Summary!$D189,'BPC Data'!$B:$B,Summary!$C189)</f>
        <v>416061</v>
      </c>
      <c r="O189" s="61">
        <f ca="1">SUMIFS(OFFSET('BPC Data'!$F:$F,0,Summary!O$2),'BPC Data'!$E:$E,Summary!$D189,'BPC Data'!$B:$B,Summary!$C189)</f>
        <v>398298</v>
      </c>
      <c r="P189" s="65">
        <f ca="1">SUMIFS(OFFSET('BPC Data'!$F:$F,0,Summary!P$2),'BPC Data'!$E:$E,Summary!$D189,'BPC Data'!$B:$B,Summary!$C189)</f>
        <v>370594</v>
      </c>
      <c r="Q189" s="61">
        <f ca="1">SUMIFS(OFFSET('BPC Data'!$F:$F,0,Summary!Q$2),'BPC Data'!$E:$E,Summary!$D189,'BPC Data'!$B:$B,Summary!$C189)</f>
        <v>364479</v>
      </c>
      <c r="R189" s="65">
        <f ca="1">SUMIFS(OFFSET('BPC Data'!$F:$F,0,Summary!R$2),'BPC Data'!$E:$E,Summary!$D189,'BPC Data'!$B:$B,Summary!$C189)</f>
        <v>398436</v>
      </c>
      <c r="S189" s="23">
        <f t="shared" ca="1" si="368"/>
        <v>4757964</v>
      </c>
      <c r="T189" s="74">
        <f ca="1">SUM(W189:AH189)</f>
        <v>4816979.13</v>
      </c>
      <c r="U189" s="54">
        <f ca="1">T189-S189</f>
        <v>59015.129999999888</v>
      </c>
      <c r="W189" s="4">
        <f ca="1">SUMIFS(INDIRECT("'"&amp;$W$184&amp;"'"&amp;"!$B$64:$B$5000"),INDIRECT("'"&amp;$W$184&amp;"'"&amp;"!$A$64:$A$5000"),$V$4)-SUMIFS(INDIRECT("'"&amp;$W$184&amp;"'"&amp;"!$B$64:$B$5000"),INDIRECT("'"&amp;$W$184&amp;"'"&amp;"!$A$64:$A$5000"),$V$5)-SUMIFS(INDIRECT("'"&amp;$W$184&amp;"'"&amp;"!$B$64:$B$5000"),INDIRECT("'"&amp;$W$184&amp;"'"&amp;"!$A$64:$A$5000"),$V$6)-SUMIFS(INDIRECT("'"&amp;$W$184&amp;"'"&amp;"!$B$64:$B$5000"),INDIRECT("'"&amp;$W$184&amp;"'"&amp;"!$A$64:$A$5000"),$W$6)-SUMIFS(INDIRECT("'"&amp;$W$184&amp;"'"&amp;"!$B$64:$B$5000"),INDIRECT("'"&amp;$W$184&amp;"'"&amp;"!$A$64:$A$5000"),$W$7)-SUMIFS(INDIRECT("'"&amp;$W$184&amp;"'"&amp;"!$B$64:$B$5000"),INDIRECT("'"&amp;$W$184&amp;"'"&amp;"!$A$64:$A$5000"),$X$3)-W194-W192</f>
        <v>414208.16000000003</v>
      </c>
      <c r="X189" s="4">
        <f ca="1">SUMIFS(INDIRECT("'"&amp;$W$184&amp;"'"&amp;"!$C$64:$C$5000"),INDIRECT("'"&amp;$W$184&amp;"'"&amp;"!$A$64:$A$5000"),$V$4)-SUMIFS(INDIRECT("'"&amp;$W$184&amp;"'"&amp;"!$C$64:$C$5000"),INDIRECT("'"&amp;$W$184&amp;"'"&amp;"!$A$64:$A$5000"),$V$5)-SUMIFS(INDIRECT("'"&amp;$W$184&amp;"'"&amp;"!$C$64:$C$5000"),INDIRECT("'"&amp;$W$184&amp;"'"&amp;"!$A$64:$A$5000"),$V$6)-SUMIFS(INDIRECT("'"&amp;$W$184&amp;"'"&amp;"!$C$64:$C$5000"),INDIRECT("'"&amp;$W$184&amp;"'"&amp;"!$A$64:$A$5000"),$W$6)-SUMIFS(INDIRECT("'"&amp;$W$184&amp;"'"&amp;"!$C$64:$C$5000"),INDIRECT("'"&amp;$W$184&amp;"'"&amp;"!$A$64:$A$5000"),$W$7)-SUMIFS(INDIRECT("'"&amp;$W$184&amp;"'"&amp;"!$C$64:$C$5000"),INDIRECT("'"&amp;$W$184&amp;"'"&amp;"!$A$64:$A$5000"),$X$3)-X194-X192</f>
        <v>447112.79000000033</v>
      </c>
      <c r="Y189" s="4">
        <f ca="1">SUMIFS(INDIRECT("'"&amp;$W$184&amp;"'"&amp;"!$d$64:$d$5000"),INDIRECT("'"&amp;$W$184&amp;"'"&amp;"!$A$64:$A$5000"),$V$4)-SUMIFS(INDIRECT("'"&amp;$W$184&amp;"'"&amp;"!$d$64:$d$5000"),INDIRECT("'"&amp;$W$184&amp;"'"&amp;"!$A$64:$A$5000"),$V$5)-SUMIFS(INDIRECT("'"&amp;$W$184&amp;"'"&amp;"!$d$64:$d$5000"),INDIRECT("'"&amp;$W$184&amp;"'"&amp;"!$A$64:$A$5000"),$V$6)-SUMIFS(INDIRECT("'"&amp;$W$184&amp;"'"&amp;"!$d$64:$d$5000"),INDIRECT("'"&amp;$W$184&amp;"'"&amp;"!$A$64:$A$5000"),$W$6)-SUMIFS(INDIRECT("'"&amp;$W$184&amp;"'"&amp;"!$d$64:$d$5000"),INDIRECT("'"&amp;$W$184&amp;"'"&amp;"!$A$64:$A$5000"),$W$7)-SUMIFS(INDIRECT("'"&amp;$W$184&amp;"'"&amp;"!$d$64:$d$5000"),INDIRECT("'"&amp;$W$184&amp;"'"&amp;"!$A$64:$A$5000"),$X$3)-Y194-Y192</f>
        <v>400883.52999999997</v>
      </c>
      <c r="Z189" s="4">
        <f ca="1">SUMIFS(INDIRECT("'"&amp;$W$184&amp;"'"&amp;"!$e$64:$e$5000"),INDIRECT("'"&amp;$W$184&amp;"'"&amp;"!$A$64:$A$5000"),$V$4)-SUMIFS(INDIRECT("'"&amp;$W$184&amp;"'"&amp;"!$e$64:$e$5000"),INDIRECT("'"&amp;$W$184&amp;"'"&amp;"!$A$64:$A$5000"),$V$5)-SUMIFS(INDIRECT("'"&amp;$W$184&amp;"'"&amp;"!$e$64:$e$5000"),INDIRECT("'"&amp;$W$184&amp;"'"&amp;"!$A$64:$A$5000"),$V$6)-SUMIFS(INDIRECT("'"&amp;$W$184&amp;"'"&amp;"!$e$64:$e$5000"),INDIRECT("'"&amp;$W$184&amp;"'"&amp;"!$A$64:$A$5000"),$W$6)-SUMIFS(INDIRECT("'"&amp;$W$184&amp;"'"&amp;"!$e$64:$e$5000"),INDIRECT("'"&amp;$W$184&amp;"'"&amp;"!$A$64:$A$5000"),$W$7)-SUMIFS(INDIRECT("'"&amp;$W$184&amp;"'"&amp;"!$e$64:$e$5000"),INDIRECT("'"&amp;$W$184&amp;"'"&amp;"!$A$64:$A$5000"),$X$3)-Z194-Z192</f>
        <v>401529.09000000055</v>
      </c>
      <c r="AA189" s="4">
        <f ca="1">SUMIFS(INDIRECT("'"&amp;$W$184&amp;"'"&amp;"!$f$64:$f$5000"),INDIRECT("'"&amp;$W$184&amp;"'"&amp;"!$A$64:$A$5000"),$V$4)-SUMIFS(INDIRECT("'"&amp;$W$184&amp;"'"&amp;"!$f$64:$f$5000"),INDIRECT("'"&amp;$W$184&amp;"'"&amp;"!$A$64:$A$5000"),$V$5)-SUMIFS(INDIRECT("'"&amp;$W$184&amp;"'"&amp;"!$f$64:$f$5000"),INDIRECT("'"&amp;$W$184&amp;"'"&amp;"!$A$64:$A$5000"),$V$6)-SUMIFS(INDIRECT("'"&amp;$W$184&amp;"'"&amp;"!$f$64:$f$5000"),INDIRECT("'"&amp;$W$184&amp;"'"&amp;"!$A$64:$A$5000"),$W$6)-SUMIFS(INDIRECT("'"&amp;$W$184&amp;"'"&amp;"!$f$64:$f$5000"),INDIRECT("'"&amp;$W$184&amp;"'"&amp;"!$A$64:$A$5000"),$W$7)-SUMIFS(INDIRECT("'"&amp;$W$184&amp;"'"&amp;"!$f$64:$f$5000"),INDIRECT("'"&amp;$W$184&amp;"'"&amp;"!$A$64:$A$5000"),$X$3)-AA194-AA192</f>
        <v>428538.8699999997</v>
      </c>
      <c r="AB189" s="4">
        <f ca="1">SUMIFS(INDIRECT("'"&amp;$W$184&amp;"'"&amp;"!$g$64:$g$5000"),INDIRECT("'"&amp;$W$184&amp;"'"&amp;"!$A$64:$A$5000"),$V$4)-SUMIFS(INDIRECT("'"&amp;$W$184&amp;"'"&amp;"!$g$64:$g$5000"),INDIRECT("'"&amp;$W$184&amp;"'"&amp;"!$A$64:$A$5000"),$V$5)-SUMIFS(INDIRECT("'"&amp;$W$184&amp;"'"&amp;"!$g$64:$g$5000"),INDIRECT("'"&amp;$W$184&amp;"'"&amp;"!$A$64:$A$5000"),$V$6)-SUMIFS(INDIRECT("'"&amp;$W$184&amp;"'"&amp;"!$g$64:$g$5000"),INDIRECT("'"&amp;$W$184&amp;"'"&amp;"!$A$64:$A$5000"),$W$6)-SUMIFS(INDIRECT("'"&amp;$W$184&amp;"'"&amp;"!$g$64:$g$5000"),INDIRECT("'"&amp;$W$184&amp;"'"&amp;"!$A$64:$A$5000"),$W$7)-SUMIFS(INDIRECT("'"&amp;$W$184&amp;"'"&amp;"!$g$64:$g$5000"),INDIRECT("'"&amp;$W$184&amp;"'"&amp;"!$A$64:$A$5000"),$X$3)-AB194-AB192</f>
        <v>398717.48999999982</v>
      </c>
      <c r="AC189" s="4">
        <f ca="1">SUMIFS(INDIRECT("'"&amp;$W$184&amp;"'"&amp;"!$h$64:$h$5000"),INDIRECT("'"&amp;$W$184&amp;"'"&amp;"!$A$64:$A$5000"),$V$4)-SUMIFS(INDIRECT("'"&amp;$W$184&amp;"'"&amp;"!$h$64:$h$5000"),INDIRECT("'"&amp;$W$184&amp;"'"&amp;"!$A$64:$A$5000"),$V$5)-SUMIFS(INDIRECT("'"&amp;$W$184&amp;"'"&amp;"!$h$64:$h$5000"),INDIRECT("'"&amp;$W$184&amp;"'"&amp;"!$A$64:$A$5000"),$V$6)-SUMIFS(INDIRECT("'"&amp;$W$184&amp;"'"&amp;"!$h$64:$h$5000"),INDIRECT("'"&amp;$W$184&amp;"'"&amp;"!$A$64:$A$5000"),$W$6)-SUMIFS(INDIRECT("'"&amp;$W$184&amp;"'"&amp;"!$h$64:$h$5000"),INDIRECT("'"&amp;$W$184&amp;"'"&amp;"!$A$64:$A$5000"),$W$7)-SUMIFS(INDIRECT("'"&amp;$W$184&amp;"'"&amp;"!$h$64:$h$5000"),INDIRECT("'"&amp;$W$184&amp;"'"&amp;"!$A$64:$A$5000"),$X$3)-AC194-AC192</f>
        <v>378118.40999999968</v>
      </c>
      <c r="AD189" s="4">
        <f ca="1">SUMIFS(INDIRECT("'"&amp;$W$184&amp;"'"&amp;"!$i$64:$i$5000"),INDIRECT("'"&amp;$W$184&amp;"'"&amp;"!$A$64:$A$5000"),$V$4)-SUMIFS(INDIRECT("'"&amp;$W$184&amp;"'"&amp;"!$i$64:$i$5000"),INDIRECT("'"&amp;$W$184&amp;"'"&amp;"!$A$64:$A$5000"),$V$5)-SUMIFS(INDIRECT("'"&amp;$W$184&amp;"'"&amp;"!$i$64:$i$5000"),INDIRECT("'"&amp;$W$184&amp;"'"&amp;"!$A$64:$A$5000"),$V$6)-SUMIFS(INDIRECT("'"&amp;$W$184&amp;"'"&amp;"!$i$64:$i$5000"),INDIRECT("'"&amp;$W$184&amp;"'"&amp;"!$A$64:$A$5000"),$W$6)-SUMIFS(INDIRECT("'"&amp;$W$184&amp;"'"&amp;"!$i$64:$i$5000"),INDIRECT("'"&amp;$W$184&amp;"'"&amp;"!$A$64:$A$5000"),$W$7)-SUMIFS(INDIRECT("'"&amp;$W$184&amp;"'"&amp;"!$i$64:$i$5000"),INDIRECT("'"&amp;$W$184&amp;"'"&amp;"!$A$64:$A$5000"),$X$3)-AD194-AD192</f>
        <v>416061.03999999986</v>
      </c>
      <c r="AE189" s="4">
        <f ca="1">SUMIFS(INDIRECT("'"&amp;$W$184&amp;"'"&amp;"!$j$64:$j$5000"),INDIRECT("'"&amp;$W$184&amp;"'"&amp;"!$A$64:$A$5000"),$V$4)-SUMIFS(INDIRECT("'"&amp;$W$184&amp;"'"&amp;"!$j$64:$j$5000"),INDIRECT("'"&amp;$W$184&amp;"'"&amp;"!$A$64:$A$5000"),$V$5)-SUMIFS(INDIRECT("'"&amp;$W$184&amp;"'"&amp;"!$j$64:$j$5000"),INDIRECT("'"&amp;$W$184&amp;"'"&amp;"!$A$64:$A$5000"),$V$6)-SUMIFS(INDIRECT("'"&amp;$W$184&amp;"'"&amp;"!$j$64:$j$5000"),INDIRECT("'"&amp;$W$184&amp;"'"&amp;"!$A$64:$A$5000"),$W$6)-SUMIFS(INDIRECT("'"&amp;$W$184&amp;"'"&amp;"!$j$64:$j$5000"),INDIRECT("'"&amp;$W$184&amp;"'"&amp;"!$A$64:$A$5000"),$W$7)-SUMIFS(INDIRECT("'"&amp;$W$184&amp;"'"&amp;"!$j$64:$j$5000"),INDIRECT("'"&amp;$W$184&amp;"'"&amp;"!$A$64:$A$5000"),$X$3)-AE194-AE192</f>
        <v>398298.88999999984</v>
      </c>
      <c r="AF189" s="4">
        <f ca="1">SUMIFS(INDIRECT("'"&amp;$W$184&amp;"'"&amp;"!$k$64:$k$5000"),INDIRECT("'"&amp;$W$184&amp;"'"&amp;"!$A$64:$A$5000"),$V$4)-SUMIFS(INDIRECT("'"&amp;$W$184&amp;"'"&amp;"!$k$64:$k$5000"),INDIRECT("'"&amp;$W$184&amp;"'"&amp;"!$A$64:$A$5000"),$V$5)-SUMIFS(INDIRECT("'"&amp;$W$184&amp;"'"&amp;"!$k$64:$k$5000"),INDIRECT("'"&amp;$W$184&amp;"'"&amp;"!$A$64:$A$5000"),$V$6)-SUMIFS(INDIRECT("'"&amp;$W$184&amp;"'"&amp;"!$k$64:$k$5000"),INDIRECT("'"&amp;$W$184&amp;"'"&amp;"!$A$64:$A$5000"),$W$6)-SUMIFS(INDIRECT("'"&amp;$W$184&amp;"'"&amp;"!$k$64:$k$5000"),INDIRECT("'"&amp;$W$184&amp;"'"&amp;"!$A$64:$A$5000"),$W$7)-SUMIFS(INDIRECT("'"&amp;$W$184&amp;"'"&amp;"!$k$64:$k$5000"),INDIRECT("'"&amp;$W$184&amp;"'"&amp;"!$A$64:$A$5000"),$X$3)-AF194-AF192</f>
        <v>370593.64999999985</v>
      </c>
      <c r="AG189" s="4">
        <f ca="1">SUMIFS(INDIRECT("'"&amp;$W$184&amp;"'"&amp;"!$l$64:$l$5000"),INDIRECT("'"&amp;$W$184&amp;"'"&amp;"!$A$64:$A$5000"),$V$4)-SUMIFS(INDIRECT("'"&amp;$W$184&amp;"'"&amp;"!$l$64:$l$5000"),INDIRECT("'"&amp;$W$184&amp;"'"&amp;"!$A$64:$A$5000"),$V$5)-SUMIFS(INDIRECT("'"&amp;$W$184&amp;"'"&amp;"!$l$64:$l$5000"),INDIRECT("'"&amp;$W$184&amp;"'"&amp;"!$A$64:$A$5000"),$V$6)-SUMIFS(INDIRECT("'"&amp;$W$184&amp;"'"&amp;"!$l$64:$l$5000"),INDIRECT("'"&amp;$W$184&amp;"'"&amp;"!$A$64:$A$5000"),$W$6)-SUMIFS(INDIRECT("'"&amp;$W$184&amp;"'"&amp;"!$l$64:$l$5000"),INDIRECT("'"&amp;$W$184&amp;"'"&amp;"!$A$64:$A$5000"),$W$7)-SUMIFS(INDIRECT("'"&amp;$W$184&amp;"'"&amp;"!$l$64:$l$5000"),INDIRECT("'"&amp;$W$184&amp;"'"&amp;"!$A$64:$A$5000"),$X$3)-AG194-AG192</f>
        <v>364480.63000000012</v>
      </c>
      <c r="AH189" s="4">
        <f ca="1">SUMIFS(INDIRECT("'"&amp;$W$184&amp;"'"&amp;"!$m$64:$m$5000"),INDIRECT("'"&amp;$W$184&amp;"'"&amp;"!$A$64:$A$5000"),$V$4)-SUMIFS(INDIRECT("'"&amp;$W$184&amp;"'"&amp;"!$m$64:$m$5000"),INDIRECT("'"&amp;$W$184&amp;"'"&amp;"!$A$64:$A$5000"),$V$5)-SUMIFS(INDIRECT("'"&amp;$W$184&amp;"'"&amp;"!$m$64:$m$5000"),INDIRECT("'"&amp;$W$184&amp;"'"&amp;"!$A$64:$A$5000"),$V$6)-SUMIFS(INDIRECT("'"&amp;$W$184&amp;"'"&amp;"!$m$64:$m$5000"),INDIRECT("'"&amp;$W$184&amp;"'"&amp;"!$A$64:$A$5000"),$W$6)-SUMIFS(INDIRECT("'"&amp;$W$184&amp;"'"&amp;"!$m$64:$m$5000"),INDIRECT("'"&amp;$W$184&amp;"'"&amp;"!$A$64:$A$5000"),$W$7)-SUMIFS(INDIRECT("'"&amp;$W$184&amp;"'"&amp;"!$m$64:$m$5000"),INDIRECT("'"&amp;$W$184&amp;"'"&amp;"!$A$64:$A$5000"),$X$3)-AH194-AH192</f>
        <v>398436.58000000019</v>
      </c>
      <c r="AJ189" s="14">
        <f t="shared" ca="1" si="369"/>
        <v>2.1600000000325963</v>
      </c>
      <c r="AK189" s="14">
        <f t="shared" ca="1" si="369"/>
        <v>-0.20999999967170879</v>
      </c>
      <c r="AL189" s="14">
        <f t="shared" ca="1" si="369"/>
        <v>0.52999999996973202</v>
      </c>
      <c r="AM189" s="14">
        <f t="shared" ca="1" si="369"/>
        <v>-0.90999999945051968</v>
      </c>
      <c r="AN189" s="14">
        <f t="shared" ca="1" si="369"/>
        <v>59008.869999999704</v>
      </c>
      <c r="AO189" s="14">
        <f t="shared" ca="1" si="369"/>
        <v>0.48999999981606379</v>
      </c>
      <c r="AP189" s="14">
        <f t="shared" ca="1" si="369"/>
        <v>1.4099999996833503</v>
      </c>
      <c r="AQ189" s="14">
        <f t="shared" ca="1" si="369"/>
        <v>3.999999986262992E-2</v>
      </c>
      <c r="AR189" s="14">
        <f t="shared" ca="1" si="369"/>
        <v>0.88999999983934686</v>
      </c>
      <c r="AS189" s="14">
        <f t="shared" ca="1" si="369"/>
        <v>-0.35000000015133992</v>
      </c>
      <c r="AT189" s="14">
        <f t="shared" ca="1" si="369"/>
        <v>1.6300000001210719</v>
      </c>
      <c r="AU189" s="14">
        <f t="shared" ca="1" si="369"/>
        <v>0.58000000019092113</v>
      </c>
      <c r="AV189" s="50"/>
    </row>
    <row r="190" spans="1:48" s="12" customFormat="1">
      <c r="A190" s="12">
        <f t="shared" si="367"/>
        <v>17</v>
      </c>
      <c r="B190"/>
      <c r="C190" t="str">
        <f>$F185</f>
        <v>Gulf Pointe Plaza (HMG)</v>
      </c>
      <c r="D190" s="3" t="str">
        <f t="shared" si="272"/>
        <v>T_BAD_DEBT - Tenant Bad Debt Expense</v>
      </c>
      <c r="E190"/>
      <c r="F190" s="19" t="str">
        <f>_xll.EVDES(D190)</f>
        <v>Tenant Bad Debt Expense</v>
      </c>
      <c r="G190" s="61">
        <f ca="1">SUMIFS(OFFSET('BPC Data'!$F:$F,0,Summary!G$2),'BPC Data'!$E:$E,Summary!$D190,'BPC Data'!$B:$B,Summary!$C190)</f>
        <v>9932</v>
      </c>
      <c r="H190" s="65">
        <f ca="1">SUMIFS(OFFSET('BPC Data'!$F:$F,0,Summary!H$2),'BPC Data'!$E:$E,Summary!$D190,'BPC Data'!$B:$B,Summary!$C190)</f>
        <v>10950</v>
      </c>
      <c r="I190" s="61">
        <f ca="1">SUMIFS(OFFSET('BPC Data'!$F:$F,0,Summary!I$2),'BPC Data'!$E:$E,Summary!$D190,'BPC Data'!$B:$B,Summary!$C190)</f>
        <v>10646</v>
      </c>
      <c r="J190" s="65">
        <f ca="1">SUMIFS(OFFSET('BPC Data'!$F:$F,0,Summary!J$2),'BPC Data'!$E:$E,Summary!$D190,'BPC Data'!$B:$B,Summary!$C190)</f>
        <v>9181</v>
      </c>
      <c r="K190" s="61">
        <f ca="1">SUMIFS(OFFSET('BPC Data'!$F:$F,0,Summary!K$2),'BPC Data'!$E:$E,Summary!$D190,'BPC Data'!$B:$B,Summary!$C190)</f>
        <v>9428</v>
      </c>
      <c r="L190" s="65">
        <f ca="1">SUMIFS(OFFSET('BPC Data'!$F:$F,0,Summary!L$2),'BPC Data'!$E:$E,Summary!$D190,'BPC Data'!$B:$B,Summary!$C190)</f>
        <v>11904</v>
      </c>
      <c r="M190" s="61">
        <f ca="1">SUMIFS(OFFSET('BPC Data'!$F:$F,0,Summary!M$2),'BPC Data'!$E:$E,Summary!$D190,'BPC Data'!$B:$B,Summary!$C190)</f>
        <v>11589</v>
      </c>
      <c r="N190" s="65">
        <f ca="1">SUMIFS(OFFSET('BPC Data'!$F:$F,0,Summary!N$2),'BPC Data'!$E:$E,Summary!$D190,'BPC Data'!$B:$B,Summary!$C190)</f>
        <v>9892</v>
      </c>
      <c r="O190" s="61">
        <f ca="1">SUMIFS(OFFSET('BPC Data'!$F:$F,0,Summary!O$2),'BPC Data'!$E:$E,Summary!$D190,'BPC Data'!$B:$B,Summary!$C190)</f>
        <v>9522</v>
      </c>
      <c r="P190" s="65">
        <f ca="1">SUMIFS(OFFSET('BPC Data'!$F:$F,0,Summary!P$2),'BPC Data'!$E:$E,Summary!$D190,'BPC Data'!$B:$B,Summary!$C190)</f>
        <v>-40209</v>
      </c>
      <c r="Q190" s="61">
        <f ca="1">SUMIFS(OFFSET('BPC Data'!$F:$F,0,Summary!Q$2),'BPC Data'!$E:$E,Summary!$D190,'BPC Data'!$B:$B,Summary!$C190)</f>
        <v>-40033</v>
      </c>
      <c r="R190" s="65">
        <f ca="1">SUMIFS(OFFSET('BPC Data'!$F:$F,0,Summary!R$2),'BPC Data'!$E:$E,Summary!$D190,'BPC Data'!$B:$B,Summary!$C190)</f>
        <v>-13982</v>
      </c>
      <c r="S190" s="23">
        <f t="shared" ca="1" si="368"/>
        <v>-1180</v>
      </c>
      <c r="T190" s="75"/>
      <c r="U190" s="4"/>
      <c r="W190"/>
      <c r="X190"/>
      <c r="Y190"/>
      <c r="Z190"/>
      <c r="AA190"/>
      <c r="AB190"/>
      <c r="AC190"/>
      <c r="AD190"/>
      <c r="AE190"/>
      <c r="AF190"/>
      <c r="AG190"/>
      <c r="AH190"/>
      <c r="AJ190" s="14"/>
      <c r="AK190" s="14"/>
      <c r="AL190" s="14"/>
      <c r="AM190" s="14"/>
      <c r="AN190" s="14"/>
      <c r="AO190" s="14"/>
      <c r="AP190" s="14"/>
      <c r="AQ190" s="14"/>
      <c r="AR190" s="14"/>
      <c r="AS190" s="14"/>
      <c r="AT190" s="14"/>
      <c r="AU190" s="14"/>
      <c r="AV190"/>
    </row>
    <row r="191" spans="1:48" s="12" customFormat="1">
      <c r="A191" s="12">
        <f t="shared" si="367"/>
        <v>17</v>
      </c>
      <c r="B191"/>
      <c r="C191" t="str">
        <f>$F185</f>
        <v>Gulf Pointe Plaza (HMG)</v>
      </c>
      <c r="D191" s="2" t="str">
        <f t="shared" si="272"/>
        <v>T_EBITDARM - EBITDARM</v>
      </c>
      <c r="E191"/>
      <c r="F191" s="19" t="str">
        <f>_xll.EVDES(D191)</f>
        <v>EBITDARM</v>
      </c>
      <c r="G191" s="61">
        <f ca="1">SUMIFS(OFFSET('BPC Data'!$F:$F,0,Summary!G$2),'BPC Data'!$E:$E,Summary!$D191,'BPC Data'!$B:$B,Summary!$C191)</f>
        <v>114910</v>
      </c>
      <c r="H191" s="65">
        <f ca="1">SUMIFS(OFFSET('BPC Data'!$F:$F,0,Summary!H$2),'BPC Data'!$E:$E,Summary!$D191,'BPC Data'!$B:$B,Summary!$C191)</f>
        <v>135624</v>
      </c>
      <c r="I191" s="61">
        <f ca="1">SUMIFS(OFFSET('BPC Data'!$F:$F,0,Summary!I$2),'BPC Data'!$E:$E,Summary!$D191,'BPC Data'!$B:$B,Summary!$C191)</f>
        <v>172531</v>
      </c>
      <c r="J191" s="65">
        <f ca="1">SUMIFS(OFFSET('BPC Data'!$F:$F,0,Summary!J$2),'BPC Data'!$E:$E,Summary!$D191,'BPC Data'!$B:$B,Summary!$C191)</f>
        <v>114752</v>
      </c>
      <c r="K191" s="61">
        <f ca="1">SUMIFS(OFFSET('BPC Data'!$F:$F,0,Summary!K$2),'BPC Data'!$E:$E,Summary!$D191,'BPC Data'!$B:$B,Summary!$C191)</f>
        <v>153754</v>
      </c>
      <c r="L191" s="65">
        <f ca="1">SUMIFS(OFFSET('BPC Data'!$F:$F,0,Summary!L$2),'BPC Data'!$E:$E,Summary!$D191,'BPC Data'!$B:$B,Summary!$C191)</f>
        <v>231740</v>
      </c>
      <c r="M191" s="61">
        <f ca="1">SUMIFS(OFFSET('BPC Data'!$F:$F,0,Summary!M$2),'BPC Data'!$E:$E,Summary!$D191,'BPC Data'!$B:$B,Summary!$C191)</f>
        <v>158034</v>
      </c>
      <c r="N191" s="65">
        <f ca="1">SUMIFS(OFFSET('BPC Data'!$F:$F,0,Summary!N$2),'BPC Data'!$E:$E,Summary!$D191,'BPC Data'!$B:$B,Summary!$C191)</f>
        <v>117155</v>
      </c>
      <c r="O191" s="61">
        <f ca="1">SUMIFS(OFFSET('BPC Data'!$F:$F,0,Summary!O$2),'BPC Data'!$E:$E,Summary!$D191,'BPC Data'!$B:$B,Summary!$C191)</f>
        <v>132133</v>
      </c>
      <c r="P191" s="65">
        <f ca="1">SUMIFS(OFFSET('BPC Data'!$F:$F,0,Summary!P$2),'BPC Data'!$E:$E,Summary!$D191,'BPC Data'!$B:$B,Summary!$C191)</f>
        <v>320273</v>
      </c>
      <c r="Q191" s="61">
        <f ca="1">SUMIFS(OFFSET('BPC Data'!$F:$F,0,Summary!Q$2),'BPC Data'!$E:$E,Summary!$D191,'BPC Data'!$B:$B,Summary!$C191)</f>
        <v>164221</v>
      </c>
      <c r="R191" s="65">
        <f ca="1">SUMIFS(OFFSET('BPC Data'!$F:$F,0,Summary!R$2),'BPC Data'!$E:$E,Summary!$D191,'BPC Data'!$B:$B,Summary!$C191)</f>
        <v>168864</v>
      </c>
      <c r="S191" s="23">
        <f t="shared" ca="1" si="368"/>
        <v>1983991</v>
      </c>
      <c r="T191" s="74">
        <f ca="1">SUM(W191:AH191)</f>
        <v>1862247.0000000012</v>
      </c>
      <c r="U191" s="54">
        <f ca="1">T191-S191</f>
        <v>-121743.99999999884</v>
      </c>
      <c r="W191" s="50">
        <f t="shared" ref="W191" ca="1" si="370">W188-W189</f>
        <v>114908.5500000004</v>
      </c>
      <c r="X191" s="50">
        <f t="shared" ref="X191:Y191" ca="1" si="371">X188-X189</f>
        <v>135623.98999999982</v>
      </c>
      <c r="Y191" s="50">
        <f t="shared" ca="1" si="371"/>
        <v>172530.39000000019</v>
      </c>
      <c r="Z191" s="50">
        <f t="shared" ref="Z191" ca="1" si="372">Z188-Z189</f>
        <v>114751.63999999926</v>
      </c>
      <c r="AA191" s="50">
        <f t="shared" ref="AA191" ca="1" si="373">AA188-AA189</f>
        <v>32016.290000000212</v>
      </c>
      <c r="AB191" s="50">
        <f t="shared" ref="AB191:AC191" ca="1" si="374">AB188-AB189</f>
        <v>231739.85999999923</v>
      </c>
      <c r="AC191" s="50">
        <f t="shared" ca="1" si="374"/>
        <v>158032.38000000035</v>
      </c>
      <c r="AD191" s="50">
        <f t="shared" ref="AD191:AH191" ca="1" si="375">AD188-AD189</f>
        <v>117154.50000000122</v>
      </c>
      <c r="AE191" s="50">
        <f t="shared" ca="1" si="375"/>
        <v>132131.83000000013</v>
      </c>
      <c r="AF191" s="50">
        <f t="shared" ca="1" si="375"/>
        <v>320273.28000000055</v>
      </c>
      <c r="AG191" s="50">
        <f t="shared" ca="1" si="375"/>
        <v>164220.66000000038</v>
      </c>
      <c r="AH191" s="50">
        <f t="shared" ca="1" si="375"/>
        <v>168863.62999999966</v>
      </c>
      <c r="AJ191" s="14">
        <f t="shared" ref="AJ191:AU194" ca="1" si="376">W191-G191</f>
        <v>-1.4499999996041879</v>
      </c>
      <c r="AK191" s="14">
        <f t="shared" ca="1" si="376"/>
        <v>-1.0000000183936208E-2</v>
      </c>
      <c r="AL191" s="14">
        <f t="shared" ca="1" si="376"/>
        <v>-0.60999999981140718</v>
      </c>
      <c r="AM191" s="14">
        <f t="shared" ca="1" si="376"/>
        <v>-0.36000000074272975</v>
      </c>
      <c r="AN191" s="14">
        <f t="shared" ca="1" si="376"/>
        <v>-121737.70999999979</v>
      </c>
      <c r="AO191" s="14">
        <f t="shared" ca="1" si="376"/>
        <v>-0.14000000077066943</v>
      </c>
      <c r="AP191" s="14">
        <f t="shared" ca="1" si="376"/>
        <v>-1.6199999996460974</v>
      </c>
      <c r="AQ191" s="14">
        <f t="shared" ca="1" si="376"/>
        <v>-0.49999999877763912</v>
      </c>
      <c r="AR191" s="14">
        <f t="shared" ca="1" si="376"/>
        <v>-1.1699999998672865</v>
      </c>
      <c r="AS191" s="14">
        <f t="shared" ca="1" si="376"/>
        <v>0.28000000055180863</v>
      </c>
      <c r="AT191" s="14">
        <f t="shared" ca="1" si="376"/>
        <v>-0.33999999961815774</v>
      </c>
      <c r="AU191" s="14">
        <f t="shared" ca="1" si="376"/>
        <v>-0.37000000034458935</v>
      </c>
      <c r="AV191" s="50"/>
    </row>
    <row r="192" spans="1:48" s="12" customFormat="1">
      <c r="A192" s="12">
        <f t="shared" si="367"/>
        <v>17</v>
      </c>
      <c r="B192"/>
      <c r="C192" t="str">
        <f>$F185</f>
        <v>Gulf Pointe Plaza (HMG)</v>
      </c>
      <c r="D192" s="2" t="str">
        <f t="shared" si="272"/>
        <v>T_MGMT_FEE - Tenant Management Fee - Actual</v>
      </c>
      <c r="E192"/>
      <c r="F192" s="19" t="str">
        <f>_xll.EVDES(D192)</f>
        <v>Tenant Management Fee - Actual</v>
      </c>
      <c r="G192" s="61">
        <f ca="1">SUMIFS(OFFSET('BPC Data'!$F:$F,0,Summary!G$2),'BPC Data'!$E:$E,Summary!$D192,'BPC Data'!$B:$B,Summary!$C192)</f>
        <v>24830</v>
      </c>
      <c r="H192" s="65">
        <f ca="1">SUMIFS(OFFSET('BPC Data'!$F:$F,0,Summary!H$2),'BPC Data'!$E:$E,Summary!$D192,'BPC Data'!$B:$B,Summary!$C192)</f>
        <v>27374</v>
      </c>
      <c r="I192" s="61">
        <f ca="1">SUMIFS(OFFSET('BPC Data'!$F:$F,0,Summary!I$2),'BPC Data'!$E:$E,Summary!$D192,'BPC Data'!$B:$B,Summary!$C192)</f>
        <v>26615</v>
      </c>
      <c r="J192" s="65">
        <f ca="1">SUMIFS(OFFSET('BPC Data'!$F:$F,0,Summary!J$2),'BPC Data'!$E:$E,Summary!$D192,'BPC Data'!$B:$B,Summary!$C192)</f>
        <v>22953</v>
      </c>
      <c r="K192" s="61">
        <f ca="1">SUMIFS(OFFSET('BPC Data'!$F:$F,0,Summary!K$2),'BPC Data'!$E:$E,Summary!$D192,'BPC Data'!$B:$B,Summary!$C192)</f>
        <v>23569</v>
      </c>
      <c r="L192" s="65">
        <f ca="1">SUMIFS(OFFSET('BPC Data'!$F:$F,0,Summary!L$2),'BPC Data'!$E:$E,Summary!$D192,'BPC Data'!$B:$B,Summary!$C192)</f>
        <v>29760</v>
      </c>
      <c r="M192" s="61">
        <f ca="1">SUMIFS(OFFSET('BPC Data'!$F:$F,0,Summary!M$2),'BPC Data'!$E:$E,Summary!$D192,'BPC Data'!$B:$B,Summary!$C192)</f>
        <v>26015</v>
      </c>
      <c r="N192" s="65">
        <f ca="1">SUMIFS(OFFSET('BPC Data'!$F:$F,0,Summary!N$2),'BPC Data'!$E:$E,Summary!$D192,'BPC Data'!$B:$B,Summary!$C192)</f>
        <v>24730</v>
      </c>
      <c r="O192" s="61">
        <f ca="1">SUMIFS(OFFSET('BPC Data'!$F:$F,0,Summary!O$2),'BPC Data'!$E:$E,Summary!$D192,'BPC Data'!$B:$B,Summary!$C192)</f>
        <v>23805</v>
      </c>
      <c r="P192" s="65">
        <f ca="1">SUMIFS(OFFSET('BPC Data'!$F:$F,0,Summary!P$2),'BPC Data'!$E:$E,Summary!$D192,'BPC Data'!$B:$B,Summary!$C192)</f>
        <v>24476</v>
      </c>
      <c r="Q192" s="61">
        <f ca="1">SUMIFS(OFFSET('BPC Data'!$F:$F,0,Summary!Q$2),'BPC Data'!$E:$E,Summary!$D192,'BPC Data'!$B:$B,Summary!$C192)</f>
        <v>24917</v>
      </c>
      <c r="R192" s="65">
        <f ca="1">SUMIFS(OFFSET('BPC Data'!$F:$F,0,Summary!R$2),'BPC Data'!$E:$E,Summary!$D192,'BPC Data'!$B:$B,Summary!$C192)</f>
        <v>26516</v>
      </c>
      <c r="S192" s="23">
        <f t="shared" ca="1" si="368"/>
        <v>305560</v>
      </c>
      <c r="T192" s="74">
        <f ca="1">SUM(W192:AH192)</f>
        <v>334073</v>
      </c>
      <c r="U192" s="54">
        <f ca="1">T192-S192</f>
        <v>28513</v>
      </c>
      <c r="W192" s="4">
        <f ca="1">SUMIFS(INDIRECT("'"&amp;$W$184&amp;"'"&amp;"!$B$64:$B$5000"),INDIRECT("'"&amp;$W$184&amp;"'"&amp;"!$A$64:$A$5000"),$V$7)</f>
        <v>24830</v>
      </c>
      <c r="X192" s="4">
        <f ca="1">SUMIFS(INDIRECT("'"&amp;$W$184&amp;"'"&amp;"!$C$64:$C$5000"),INDIRECT("'"&amp;$W$184&amp;"'"&amp;"!$A$64:$A$5000"),$V$7)</f>
        <v>27374</v>
      </c>
      <c r="Y192" s="4">
        <f ca="1">SUMIFS(INDIRECT("'"&amp;$W$184&amp;"'"&amp;"!$d$64:$d$5000"),INDIRECT("'"&amp;$W$184&amp;"'"&amp;"!$A$64:$A$5000"),$V$7)</f>
        <v>26615</v>
      </c>
      <c r="Z192" s="4">
        <f ca="1">SUMIFS(INDIRECT("'"&amp;$W$184&amp;"'"&amp;"!$E$64:$E$5000"),INDIRECT("'"&amp;$W$184&amp;"'"&amp;"!$A$64:$A$5000"),$V$7)</f>
        <v>22953</v>
      </c>
      <c r="AA192" s="4">
        <f ca="1">SUMIFS(INDIRECT("'"&amp;$W$184&amp;"'"&amp;"!$F$64:$F$5000"),INDIRECT("'"&amp;$W$184&amp;"'"&amp;"!$A$64:$A$5000"),$V$7)</f>
        <v>52082</v>
      </c>
      <c r="AB192" s="4">
        <f ca="1">SUMIFS(INDIRECT("'"&amp;$W$184&amp;"'"&amp;"!$G$64:$G$5000"),INDIRECT("'"&amp;$W$184&amp;"'"&amp;"!$A$64:$A$5000"),$V$7)</f>
        <v>29760</v>
      </c>
      <c r="AC192" s="4">
        <f ca="1">SUMIFS(INDIRECT("'"&amp;$W$184&amp;"'"&amp;"!$h$64:$h$5000"),INDIRECT("'"&amp;$W$184&amp;"'"&amp;"!$A$64:$A$5000"),$V$7)</f>
        <v>26015</v>
      </c>
      <c r="AD192" s="4">
        <f ca="1">SUMIFS(INDIRECT("'"&amp;$W$184&amp;"'"&amp;"!$i$64:$i$5000"),INDIRECT("'"&amp;$W$184&amp;"'"&amp;"!$A$64:$A$5000"),$V$7)</f>
        <v>24730</v>
      </c>
      <c r="AE192" s="4">
        <f ca="1">SUMIFS(INDIRECT("'"&amp;$W$184&amp;"'"&amp;"!$j$64:$j$5000"),INDIRECT("'"&amp;$W$184&amp;"'"&amp;"!$A$64:$A$5000"),$V$7)</f>
        <v>23805</v>
      </c>
      <c r="AF192" s="4">
        <f ca="1">SUMIFS(INDIRECT("'"&amp;$W$184&amp;"'"&amp;"!$k$64:$k$5000"),INDIRECT("'"&amp;$W$184&amp;"'"&amp;"!$A$64:$A$5000"),$V$7)</f>
        <v>24476</v>
      </c>
      <c r="AG192" s="4">
        <f ca="1">SUMIFS(INDIRECT("'"&amp;$W$184&amp;"'"&amp;"!$l$64:$l$5000"),INDIRECT("'"&amp;$W$184&amp;"'"&amp;"!$A$64:$A$5000"),$V$7)</f>
        <v>24917</v>
      </c>
      <c r="AH192" s="4">
        <f ca="1">SUMIFS(INDIRECT("'"&amp;$W$184&amp;"'"&amp;"!$m$64:$m$5000"),INDIRECT("'"&amp;$W$184&amp;"'"&amp;"!$A$64:$A$5000"),$V$7)</f>
        <v>26516</v>
      </c>
      <c r="AJ192" s="14">
        <f t="shared" ca="1" si="376"/>
        <v>0</v>
      </c>
      <c r="AK192" s="14">
        <f t="shared" ca="1" si="376"/>
        <v>0</v>
      </c>
      <c r="AL192" s="14">
        <f t="shared" ca="1" si="376"/>
        <v>0</v>
      </c>
      <c r="AM192" s="14">
        <f t="shared" ca="1" si="376"/>
        <v>0</v>
      </c>
      <c r="AN192" s="14">
        <f t="shared" ca="1" si="376"/>
        <v>28513</v>
      </c>
      <c r="AO192" s="14">
        <f t="shared" ca="1" si="376"/>
        <v>0</v>
      </c>
      <c r="AP192" s="14">
        <f t="shared" ca="1" si="376"/>
        <v>0</v>
      </c>
      <c r="AQ192" s="14">
        <f t="shared" ca="1" si="376"/>
        <v>0</v>
      </c>
      <c r="AR192" s="14">
        <f t="shared" ca="1" si="376"/>
        <v>0</v>
      </c>
      <c r="AS192" s="14">
        <f t="shared" ca="1" si="376"/>
        <v>0</v>
      </c>
      <c r="AT192" s="14">
        <f t="shared" ca="1" si="376"/>
        <v>0</v>
      </c>
      <c r="AU192" s="14">
        <f t="shared" ca="1" si="376"/>
        <v>0</v>
      </c>
      <c r="AV192" s="50"/>
    </row>
    <row r="193" spans="1:48" s="12" customFormat="1">
      <c r="A193" s="12">
        <f t="shared" si="367"/>
        <v>17</v>
      </c>
      <c r="B193"/>
      <c r="C193" t="str">
        <f>$F185</f>
        <v>Gulf Pointe Plaza (HMG)</v>
      </c>
      <c r="D193" s="1" t="str">
        <f t="shared" si="272"/>
        <v>T_EBITDAR - EBITDAR</v>
      </c>
      <c r="E193"/>
      <c r="F193" s="19" t="str">
        <f>_xll.EVDES(D193)</f>
        <v>EBITDAR</v>
      </c>
      <c r="G193" s="61">
        <f ca="1">SUMIFS(OFFSET('BPC Data'!$F:$F,0,Summary!G$2),'BPC Data'!$E:$E,Summary!$D193,'BPC Data'!$B:$B,Summary!$C193)</f>
        <v>90080</v>
      </c>
      <c r="H193" s="65">
        <f ca="1">SUMIFS(OFFSET('BPC Data'!$F:$F,0,Summary!H$2),'BPC Data'!$E:$E,Summary!$D193,'BPC Data'!$B:$B,Summary!$C193)</f>
        <v>108250</v>
      </c>
      <c r="I193" s="61">
        <f ca="1">SUMIFS(OFFSET('BPC Data'!$F:$F,0,Summary!I$2),'BPC Data'!$E:$E,Summary!$D193,'BPC Data'!$B:$B,Summary!$C193)</f>
        <v>145916</v>
      </c>
      <c r="J193" s="65">
        <f ca="1">SUMIFS(OFFSET('BPC Data'!$F:$F,0,Summary!J$2),'BPC Data'!$E:$E,Summary!$D193,'BPC Data'!$B:$B,Summary!$C193)</f>
        <v>91799</v>
      </c>
      <c r="K193" s="61">
        <f ca="1">SUMIFS(OFFSET('BPC Data'!$F:$F,0,Summary!K$2),'BPC Data'!$E:$E,Summary!$D193,'BPC Data'!$B:$B,Summary!$C193)</f>
        <v>130185</v>
      </c>
      <c r="L193" s="65">
        <f ca="1">SUMIFS(OFFSET('BPC Data'!$F:$F,0,Summary!L$2),'BPC Data'!$E:$E,Summary!$D193,'BPC Data'!$B:$B,Summary!$C193)</f>
        <v>201980</v>
      </c>
      <c r="M193" s="61">
        <f ca="1">SUMIFS(OFFSET('BPC Data'!$F:$F,0,Summary!M$2),'BPC Data'!$E:$E,Summary!$D193,'BPC Data'!$B:$B,Summary!$C193)</f>
        <v>132019</v>
      </c>
      <c r="N193" s="65">
        <f ca="1">SUMIFS(OFFSET('BPC Data'!$F:$F,0,Summary!N$2),'BPC Data'!$E:$E,Summary!$D193,'BPC Data'!$B:$B,Summary!$C193)</f>
        <v>92425</v>
      </c>
      <c r="O193" s="61">
        <f ca="1">SUMIFS(OFFSET('BPC Data'!$F:$F,0,Summary!O$2),'BPC Data'!$E:$E,Summary!$D193,'BPC Data'!$B:$B,Summary!$C193)</f>
        <v>108328</v>
      </c>
      <c r="P193" s="65">
        <f ca="1">SUMIFS(OFFSET('BPC Data'!$F:$F,0,Summary!P$2),'BPC Data'!$E:$E,Summary!$D193,'BPC Data'!$B:$B,Summary!$C193)</f>
        <v>295797</v>
      </c>
      <c r="Q193" s="61">
        <f ca="1">SUMIFS(OFFSET('BPC Data'!$F:$F,0,Summary!Q$2),'BPC Data'!$E:$E,Summary!$D193,'BPC Data'!$B:$B,Summary!$C193)</f>
        <v>139304</v>
      </c>
      <c r="R193" s="65">
        <f ca="1">SUMIFS(OFFSET('BPC Data'!$F:$F,0,Summary!R$2),'BPC Data'!$E:$E,Summary!$D193,'BPC Data'!$B:$B,Summary!$C193)</f>
        <v>142348</v>
      </c>
      <c r="S193" s="23">
        <f t="shared" ca="1" si="368"/>
        <v>1678431</v>
      </c>
      <c r="T193" s="74">
        <f ca="1">SUM(W193:AH193)</f>
        <v>1528174.0000000012</v>
      </c>
      <c r="U193" s="54">
        <f ca="1">T193-S193</f>
        <v>-150256.99999999884</v>
      </c>
      <c r="W193" s="50">
        <f t="shared" ref="W193" ca="1" si="377">W191-W192</f>
        <v>90078.550000000396</v>
      </c>
      <c r="X193" s="50">
        <f t="shared" ref="X193:Y193" ca="1" si="378">X191-X192</f>
        <v>108249.98999999982</v>
      </c>
      <c r="Y193" s="50">
        <f t="shared" ca="1" si="378"/>
        <v>145915.39000000019</v>
      </c>
      <c r="Z193" s="50">
        <f t="shared" ref="Z193" ca="1" si="379">Z191-Z192</f>
        <v>91798.639999999257</v>
      </c>
      <c r="AA193" s="50">
        <f t="shared" ref="AA193" ca="1" si="380">AA191-AA192</f>
        <v>-20065.709999999788</v>
      </c>
      <c r="AB193" s="50">
        <f t="shared" ref="AB193:AC193" ca="1" si="381">AB191-AB192</f>
        <v>201979.85999999923</v>
      </c>
      <c r="AC193" s="50">
        <f t="shared" ca="1" si="381"/>
        <v>132017.38000000035</v>
      </c>
      <c r="AD193" s="50">
        <f t="shared" ref="AD193:AH193" ca="1" si="382">AD191-AD192</f>
        <v>92424.500000001222</v>
      </c>
      <c r="AE193" s="50">
        <f t="shared" ca="1" si="382"/>
        <v>108326.83000000013</v>
      </c>
      <c r="AF193" s="50">
        <f t="shared" ca="1" si="382"/>
        <v>295797.28000000055</v>
      </c>
      <c r="AG193" s="50">
        <f t="shared" ca="1" si="382"/>
        <v>139303.66000000038</v>
      </c>
      <c r="AH193" s="50">
        <f t="shared" ca="1" si="382"/>
        <v>142347.62999999966</v>
      </c>
      <c r="AJ193" s="14">
        <f t="shared" ca="1" si="376"/>
        <v>-1.4499999996041879</v>
      </c>
      <c r="AK193" s="14">
        <f t="shared" ca="1" si="376"/>
        <v>-1.0000000183936208E-2</v>
      </c>
      <c r="AL193" s="14">
        <f t="shared" ca="1" si="376"/>
        <v>-0.60999999981140718</v>
      </c>
      <c r="AM193" s="14">
        <f t="shared" ca="1" si="376"/>
        <v>-0.36000000074272975</v>
      </c>
      <c r="AN193" s="14">
        <f t="shared" ca="1" si="376"/>
        <v>-150250.70999999979</v>
      </c>
      <c r="AO193" s="14">
        <f t="shared" ca="1" si="376"/>
        <v>-0.14000000077066943</v>
      </c>
      <c r="AP193" s="14">
        <f t="shared" ca="1" si="376"/>
        <v>-1.6199999996460974</v>
      </c>
      <c r="AQ193" s="14">
        <f t="shared" ca="1" si="376"/>
        <v>-0.49999999877763912</v>
      </c>
      <c r="AR193" s="14">
        <f t="shared" ca="1" si="376"/>
        <v>-1.1699999998672865</v>
      </c>
      <c r="AS193" s="14">
        <f t="shared" ca="1" si="376"/>
        <v>0.28000000055180863</v>
      </c>
      <c r="AT193" s="14">
        <f t="shared" ca="1" si="376"/>
        <v>-0.33999999961815774</v>
      </c>
      <c r="AU193" s="14">
        <f t="shared" ca="1" si="376"/>
        <v>-0.37000000034458935</v>
      </c>
      <c r="AV193" s="50"/>
    </row>
    <row r="194" spans="1:48" s="12" customFormat="1">
      <c r="A194" s="12">
        <f t="shared" si="367"/>
        <v>17</v>
      </c>
      <c r="B194"/>
      <c r="C194" t="str">
        <f>$F185</f>
        <v>Gulf Pointe Plaza (HMG)</v>
      </c>
      <c r="D194" s="1" t="str">
        <f t="shared" si="272"/>
        <v>T_RENT_EXP - Tenant Rent Expense</v>
      </c>
      <c r="E194"/>
      <c r="F194" s="19" t="str">
        <f>_xll.EVDES(D194)</f>
        <v>Tenant Rent Expense</v>
      </c>
      <c r="G194" s="61">
        <f ca="1">SUMIFS(OFFSET('BPC Data'!$F:$F,0,Summary!G$2),'BPC Data'!$E:$E,Summary!$D194,'BPC Data'!$B:$B,Summary!$C194)</f>
        <v>76129</v>
      </c>
      <c r="H194" s="65">
        <f ca="1">SUMIFS(OFFSET('BPC Data'!$F:$F,0,Summary!H$2),'BPC Data'!$E:$E,Summary!$D194,'BPC Data'!$B:$B,Summary!$C194)</f>
        <v>77863</v>
      </c>
      <c r="I194" s="61">
        <f ca="1">SUMIFS(OFFSET('BPC Data'!$F:$F,0,Summary!I$2),'BPC Data'!$E:$E,Summary!$D194,'BPC Data'!$B:$B,Summary!$C194)</f>
        <v>77863</v>
      </c>
      <c r="J194" s="65">
        <f ca="1">SUMIFS(OFFSET('BPC Data'!$F:$F,0,Summary!J$2),'BPC Data'!$E:$E,Summary!$D194,'BPC Data'!$B:$B,Summary!$C194)</f>
        <v>77863</v>
      </c>
      <c r="K194" s="61">
        <f ca="1">SUMIFS(OFFSET('BPC Data'!$F:$F,0,Summary!K$2),'BPC Data'!$E:$E,Summary!$D194,'BPC Data'!$B:$B,Summary!$C194)</f>
        <v>77863</v>
      </c>
      <c r="L194" s="65">
        <f ca="1">SUMIFS(OFFSET('BPC Data'!$F:$F,0,Summary!L$2),'BPC Data'!$E:$E,Summary!$D194,'BPC Data'!$B:$B,Summary!$C194)</f>
        <v>77863</v>
      </c>
      <c r="M194" s="61">
        <f ca="1">SUMIFS(OFFSET('BPC Data'!$F:$F,0,Summary!M$2),'BPC Data'!$E:$E,Summary!$D194,'BPC Data'!$B:$B,Summary!$C194)</f>
        <v>77863</v>
      </c>
      <c r="N194" s="65">
        <f ca="1">SUMIFS(OFFSET('BPC Data'!$F:$F,0,Summary!N$2),'BPC Data'!$E:$E,Summary!$D194,'BPC Data'!$B:$B,Summary!$C194)</f>
        <v>77863</v>
      </c>
      <c r="O194" s="61">
        <f ca="1">SUMIFS(OFFSET('BPC Data'!$F:$F,0,Summary!O$2),'BPC Data'!$E:$E,Summary!$D194,'BPC Data'!$B:$B,Summary!$C194)</f>
        <v>77863</v>
      </c>
      <c r="P194" s="65">
        <f ca="1">SUMIFS(OFFSET('BPC Data'!$F:$F,0,Summary!P$2),'BPC Data'!$E:$E,Summary!$D194,'BPC Data'!$B:$B,Summary!$C194)</f>
        <v>77863</v>
      </c>
      <c r="Q194" s="61">
        <f ca="1">SUMIFS(OFFSET('BPC Data'!$F:$F,0,Summary!Q$2),'BPC Data'!$E:$E,Summary!$D194,'BPC Data'!$B:$B,Summary!$C194)</f>
        <v>77863</v>
      </c>
      <c r="R194" s="65">
        <f ca="1">SUMIFS(OFFSET('BPC Data'!$F:$F,0,Summary!R$2),'BPC Data'!$E:$E,Summary!$D194,'BPC Data'!$B:$B,Summary!$C194)</f>
        <v>84432</v>
      </c>
      <c r="S194" s="23">
        <f t="shared" ca="1" si="368"/>
        <v>939191</v>
      </c>
      <c r="T194" s="74">
        <f ca="1">SUM(W194:AH194)</f>
        <v>939186.58</v>
      </c>
      <c r="U194" s="54">
        <f ca="1">T194-S194</f>
        <v>-4.4200000000419095</v>
      </c>
      <c r="W194" s="4">
        <f ca="1">SUMIFS(INDIRECT("'"&amp;$W$184&amp;"'"&amp;"!$B$64:$B$5000"),INDIRECT("'"&amp;$W$184&amp;"'"&amp;"!$A$64:$A$5000"),$W$3)+SUMIFS(INDIRECT("'"&amp;$W$184&amp;"'"&amp;"!$B$64:$B$5000"),INDIRECT("'"&amp;$W$184&amp;"'"&amp;"!$A$64:$A$5000"),$W$4)</f>
        <v>76129</v>
      </c>
      <c r="X194" s="4">
        <f ca="1">SUMIFS(INDIRECT("'"&amp;$W$184&amp;"'"&amp;"!$C$64:$C$5000"),INDIRECT("'"&amp;$W$184&amp;"'"&amp;"!$A$64:$A$5000"),$W$3)+SUMIFS(INDIRECT("'"&amp;$W$184&amp;"'"&amp;"!$C$64:$C$5000"),INDIRECT("'"&amp;$W$184&amp;"'"&amp;"!$A$64:$A$5000"),$W$4)</f>
        <v>77862.58</v>
      </c>
      <c r="Y194" s="4">
        <f ca="1">SUMIFS(INDIRECT("'"&amp;$W$184&amp;"'"&amp;"!$d$64:$d$5000"),INDIRECT("'"&amp;$W$184&amp;"'"&amp;"!$A$64:$A$5000"),$W$3)+SUMIFS(INDIRECT("'"&amp;$W$184&amp;"'"&amp;"!$d$64:$d$5000"),INDIRECT("'"&amp;$W$184&amp;"'"&amp;"!$A$64:$A$5000"),$W$4)</f>
        <v>77862.58</v>
      </c>
      <c r="Z194" s="4">
        <f ca="1">SUMIFS(INDIRECT("'"&amp;$W$184&amp;"'"&amp;"!$E$64:$E$5000"),INDIRECT("'"&amp;$W$184&amp;"'"&amp;"!$A$64:$A$5000"),$W$3)+SUMIFS(INDIRECT("'"&amp;$W$184&amp;"'"&amp;"!$E$64:$E$5000"),INDIRECT("'"&amp;$W$184&amp;"'"&amp;"!$A$64:$A$5000"),$W$4)</f>
        <v>77862.58</v>
      </c>
      <c r="AA194" s="4">
        <f ca="1">SUMIFS(INDIRECT("'"&amp;$W$184&amp;"'"&amp;"!$F$64:$F$5000"),INDIRECT("'"&amp;$W$184&amp;"'"&amp;"!$A$64:$A$5000"),$W$3)+SUMIFS(INDIRECT("'"&amp;$W$184&amp;"'"&amp;"!$F$64:$F$5000"),INDIRECT("'"&amp;$W$184&amp;"'"&amp;"!$A$64:$A$5000"),$W$4)</f>
        <v>77862.58</v>
      </c>
      <c r="AB194" s="4">
        <f ca="1">SUMIFS(INDIRECT("'"&amp;$W$184&amp;"'"&amp;"!$G$64:$G$5000"),INDIRECT("'"&amp;$W$184&amp;"'"&amp;"!$A$64:$A$5000"),$W$3)+SUMIFS(INDIRECT("'"&amp;$W$184&amp;"'"&amp;"!$G$64:$G$5000"),INDIRECT("'"&amp;$W$184&amp;"'"&amp;"!$A$64:$A$5000"),$W$4)</f>
        <v>77862.58</v>
      </c>
      <c r="AC194" s="4">
        <f ca="1">SUMIFS(INDIRECT("'"&amp;$W$184&amp;"'"&amp;"!$h$64:$h$5000"),INDIRECT("'"&amp;$W$184&amp;"'"&amp;"!$A$64:$A$5000"),$W$3)+SUMIFS(INDIRECT("'"&amp;$W$184&amp;"'"&amp;"!$h$64:$h$5000"),INDIRECT("'"&amp;$W$184&amp;"'"&amp;"!$A$64:$A$5000"),$W$4)</f>
        <v>77862.58</v>
      </c>
      <c r="AD194" s="4">
        <f ca="1">SUMIFS(INDIRECT("'"&amp;$W$184&amp;"'"&amp;"!$i$64:$i$5000"),INDIRECT("'"&amp;$W$184&amp;"'"&amp;"!$A$64:$A$5000"),$W$3)+SUMIFS(INDIRECT("'"&amp;$W$184&amp;"'"&amp;"!$i$64:$i$5000"),INDIRECT("'"&amp;$W$184&amp;"'"&amp;"!$A$64:$A$5000"),$W$4)</f>
        <v>77862.58</v>
      </c>
      <c r="AE194" s="4">
        <f ca="1">SUMIFS(INDIRECT("'"&amp;$W$184&amp;"'"&amp;"!$j$64:$j$5000"),INDIRECT("'"&amp;$W$184&amp;"'"&amp;"!$A$64:$A$5000"),$W$3)+SUMIFS(INDIRECT("'"&amp;$W$184&amp;"'"&amp;"!$j$64:$j$5000"),INDIRECT("'"&amp;$W$184&amp;"'"&amp;"!$A$64:$A$5000"),$W$4)</f>
        <v>77862.58</v>
      </c>
      <c r="AF194" s="4">
        <f ca="1">SUMIFS(INDIRECT("'"&amp;$W$184&amp;"'"&amp;"!$k$64:$k$5000"),INDIRECT("'"&amp;$W$184&amp;"'"&amp;"!$A$64:$A$5000"),$W$3)+SUMIFS(INDIRECT("'"&amp;$W$184&amp;"'"&amp;"!$k$64:$k$5000"),INDIRECT("'"&amp;$W$184&amp;"'"&amp;"!$A$64:$A$5000"),$W$4)</f>
        <v>77862.58</v>
      </c>
      <c r="AG194" s="4">
        <f ca="1">SUMIFS(INDIRECT("'"&amp;$W$184&amp;"'"&amp;"!$l$64:$l$5000"),INDIRECT("'"&amp;$W$184&amp;"'"&amp;"!$A$64:$A$5000"),$W$3)+SUMIFS(INDIRECT("'"&amp;$W$184&amp;"'"&amp;"!$l$64:$l$5000"),INDIRECT("'"&amp;$W$184&amp;"'"&amp;"!$A$64:$A$5000"),$W$4)</f>
        <v>77862.58</v>
      </c>
      <c r="AH194" s="4">
        <f ca="1">SUMIFS(INDIRECT("'"&amp;$W$184&amp;"'"&amp;"!$m$64:$m$5000"),INDIRECT("'"&amp;$W$184&amp;"'"&amp;"!$A$64:$A$5000"),$W$3)+SUMIFS(INDIRECT("'"&amp;$W$184&amp;"'"&amp;"!$m$64:$m$5000"),INDIRECT("'"&amp;$W$184&amp;"'"&amp;"!$A$64:$A$5000"),$W$4)</f>
        <v>84431.78</v>
      </c>
      <c r="AJ194" s="14">
        <f t="shared" ca="1" si="376"/>
        <v>0</v>
      </c>
      <c r="AK194" s="14">
        <f t="shared" ca="1" si="376"/>
        <v>-0.41999999999825377</v>
      </c>
      <c r="AL194" s="14">
        <f t="shared" ca="1" si="376"/>
        <v>-0.41999999999825377</v>
      </c>
      <c r="AM194" s="14">
        <f t="shared" ca="1" si="376"/>
        <v>-0.41999999999825377</v>
      </c>
      <c r="AN194" s="14">
        <f t="shared" ca="1" si="376"/>
        <v>-0.41999999999825377</v>
      </c>
      <c r="AO194" s="14">
        <f t="shared" ca="1" si="376"/>
        <v>-0.41999999999825377</v>
      </c>
      <c r="AP194" s="14">
        <f t="shared" ca="1" si="376"/>
        <v>-0.41999999999825377</v>
      </c>
      <c r="AQ194" s="14">
        <f t="shared" ca="1" si="376"/>
        <v>-0.41999999999825377</v>
      </c>
      <c r="AR194" s="14">
        <f t="shared" ca="1" si="376"/>
        <v>-0.41999999999825377</v>
      </c>
      <c r="AS194" s="14">
        <f t="shared" ca="1" si="376"/>
        <v>-0.41999999999825377</v>
      </c>
      <c r="AT194" s="14">
        <f t="shared" ca="1" si="376"/>
        <v>-0.41999999999825377</v>
      </c>
      <c r="AU194" s="14">
        <f t="shared" ca="1" si="376"/>
        <v>-0.22000000000116415</v>
      </c>
      <c r="AV194" s="50"/>
    </row>
    <row r="195" spans="1:48" s="12" customFormat="1">
      <c r="A195" s="12">
        <f t="shared" si="367"/>
        <v>17</v>
      </c>
      <c r="B195"/>
      <c r="C195"/>
      <c r="D195" s="1" t="str">
        <f t="shared" si="272"/>
        <v>x</v>
      </c>
      <c r="E195"/>
      <c r="F195" s="19" t="s">
        <v>0</v>
      </c>
      <c r="G195" s="61">
        <f ca="1">SUMIFS(OFFSET('BPC Data'!$F:$F,0,Summary!G$2),'BPC Data'!$E:$E,Summary!$D195,'BPC Data'!$B:$B,Summary!$C195)</f>
        <v>0</v>
      </c>
      <c r="H195" s="65">
        <f ca="1">SUMIFS(OFFSET('BPC Data'!$F:$F,0,Summary!H$2),'BPC Data'!$E:$E,Summary!$D195,'BPC Data'!$B:$B,Summary!$C195)</f>
        <v>0</v>
      </c>
      <c r="I195" s="61">
        <f ca="1">SUMIFS(OFFSET('BPC Data'!$F:$F,0,Summary!I$2),'BPC Data'!$E:$E,Summary!$D195,'BPC Data'!$B:$B,Summary!$C195)</f>
        <v>0</v>
      </c>
      <c r="J195" s="65">
        <f ca="1">SUMIFS(OFFSET('BPC Data'!$F:$F,0,Summary!J$2),'BPC Data'!$E:$E,Summary!$D195,'BPC Data'!$B:$B,Summary!$C195)</f>
        <v>0</v>
      </c>
      <c r="K195" s="61">
        <f ca="1">SUMIFS(OFFSET('BPC Data'!$F:$F,0,Summary!K$2),'BPC Data'!$E:$E,Summary!$D195,'BPC Data'!$B:$B,Summary!$C195)</f>
        <v>0</v>
      </c>
      <c r="L195" s="65">
        <f ca="1">SUMIFS(OFFSET('BPC Data'!$F:$F,0,Summary!L$2),'BPC Data'!$E:$E,Summary!$D195,'BPC Data'!$B:$B,Summary!$C195)</f>
        <v>0</v>
      </c>
      <c r="M195" s="61">
        <f ca="1">SUMIFS(OFFSET('BPC Data'!$F:$F,0,Summary!M$2),'BPC Data'!$E:$E,Summary!$D195,'BPC Data'!$B:$B,Summary!$C195)</f>
        <v>0</v>
      </c>
      <c r="N195" s="65">
        <f ca="1">SUMIFS(OFFSET('BPC Data'!$F:$F,0,Summary!N$2),'BPC Data'!$E:$E,Summary!$D195,'BPC Data'!$B:$B,Summary!$C195)</f>
        <v>0</v>
      </c>
      <c r="O195" s="61">
        <f ca="1">SUMIFS(OFFSET('BPC Data'!$F:$F,0,Summary!O$2),'BPC Data'!$E:$E,Summary!$D195,'BPC Data'!$B:$B,Summary!$C195)</f>
        <v>0</v>
      </c>
      <c r="P195" s="65">
        <f ca="1">SUMIFS(OFFSET('BPC Data'!$F:$F,0,Summary!P$2),'BPC Data'!$E:$E,Summary!$D195,'BPC Data'!$B:$B,Summary!$C195)</f>
        <v>0</v>
      </c>
      <c r="Q195" s="61">
        <f ca="1">SUMIFS(OFFSET('BPC Data'!$F:$F,0,Summary!Q$2),'BPC Data'!$E:$E,Summary!$D195,'BPC Data'!$B:$B,Summary!$C195)</f>
        <v>0</v>
      </c>
      <c r="R195" s="65">
        <f ca="1">SUMIFS(OFFSET('BPC Data'!$F:$F,0,Summary!R$2),'BPC Data'!$E:$E,Summary!$D195,'BPC Data'!$B:$B,Summary!$C195)</f>
        <v>0</v>
      </c>
      <c r="S195" s="23">
        <f ca="1">SUM(G195:M195)</f>
        <v>0</v>
      </c>
      <c r="T195" s="76"/>
      <c r="W195" t="s">
        <v>311</v>
      </c>
      <c r="X195"/>
      <c r="Y195"/>
      <c r="Z195"/>
      <c r="AA195"/>
      <c r="AB195"/>
      <c r="AC195"/>
      <c r="AD195"/>
      <c r="AE195"/>
      <c r="AF195"/>
      <c r="AG195" t="s">
        <v>313</v>
      </c>
      <c r="AJ195" s="49"/>
      <c r="AK195" s="49"/>
      <c r="AL195" s="49"/>
      <c r="AM195" s="49"/>
      <c r="AN195" s="49"/>
      <c r="AO195" s="49"/>
      <c r="AP195" s="49"/>
      <c r="AQ195" s="49"/>
      <c r="AR195" s="49"/>
      <c r="AS195" s="49"/>
      <c r="AT195" s="49"/>
      <c r="AU195" s="49"/>
    </row>
    <row r="196" spans="1:48" s="12" customFormat="1">
      <c r="A196" s="12">
        <f>IF(AND(D196&lt;&gt;"",C196=""),A195+1,A195)</f>
        <v>18</v>
      </c>
      <c r="B196" s="5"/>
      <c r="C196" s="5"/>
      <c r="D196" s="5" t="str">
        <f t="shared" si="272"/>
        <v>x</v>
      </c>
      <c r="E196" s="5"/>
      <c r="F196" s="18" t="str">
        <f>INDEX(PropertyList!$D:$D,MATCH(Summary!$A196,PropertyList!$C:$C,0))</f>
        <v>Gulf Pointe Village (ALF) (HMG)</v>
      </c>
      <c r="G196" s="61">
        <f ca="1">SUMIFS(OFFSET('BPC Data'!$F:$F,0,Summary!G$2),'BPC Data'!$E:$E,Summary!$D196,'BPC Data'!$B:$B,Summary!$C196)</f>
        <v>0</v>
      </c>
      <c r="H196" s="65">
        <f ca="1">SUMIFS(OFFSET('BPC Data'!$F:$F,0,Summary!H$2),'BPC Data'!$E:$E,Summary!$D196,'BPC Data'!$B:$B,Summary!$C196)</f>
        <v>0</v>
      </c>
      <c r="I196" s="61">
        <f ca="1">SUMIFS(OFFSET('BPC Data'!$F:$F,0,Summary!I$2),'BPC Data'!$E:$E,Summary!$D196,'BPC Data'!$B:$B,Summary!$C196)</f>
        <v>0</v>
      </c>
      <c r="J196" s="65">
        <f ca="1">SUMIFS(OFFSET('BPC Data'!$F:$F,0,Summary!J$2),'BPC Data'!$E:$E,Summary!$D196,'BPC Data'!$B:$B,Summary!$C196)</f>
        <v>0</v>
      </c>
      <c r="K196" s="61">
        <f ca="1">SUMIFS(OFFSET('BPC Data'!$F:$F,0,Summary!K$2),'BPC Data'!$E:$E,Summary!$D196,'BPC Data'!$B:$B,Summary!$C196)</f>
        <v>0</v>
      </c>
      <c r="L196" s="65">
        <f ca="1">SUMIFS(OFFSET('BPC Data'!$F:$F,0,Summary!L$2),'BPC Data'!$E:$E,Summary!$D196,'BPC Data'!$B:$B,Summary!$C196)</f>
        <v>0</v>
      </c>
      <c r="M196" s="61">
        <f ca="1">SUMIFS(OFFSET('BPC Data'!$F:$F,0,Summary!M$2),'BPC Data'!$E:$E,Summary!$D196,'BPC Data'!$B:$B,Summary!$C196)</f>
        <v>0</v>
      </c>
      <c r="N196" s="65">
        <f ca="1">SUMIFS(OFFSET('BPC Data'!$F:$F,0,Summary!N$2),'BPC Data'!$E:$E,Summary!$D196,'BPC Data'!$B:$B,Summary!$C196)</f>
        <v>0</v>
      </c>
      <c r="O196" s="61">
        <f ca="1">SUMIFS(OFFSET('BPC Data'!$F:$F,0,Summary!O$2),'BPC Data'!$E:$E,Summary!$D196,'BPC Data'!$B:$B,Summary!$C196)</f>
        <v>0</v>
      </c>
      <c r="P196" s="65">
        <f ca="1">SUMIFS(OFFSET('BPC Data'!$F:$F,0,Summary!P$2),'BPC Data'!$E:$E,Summary!$D196,'BPC Data'!$B:$B,Summary!$C196)</f>
        <v>0</v>
      </c>
      <c r="Q196" s="61">
        <f ca="1">SUMIFS(OFFSET('BPC Data'!$F:$F,0,Summary!Q$2),'BPC Data'!$E:$E,Summary!$D196,'BPC Data'!$B:$B,Summary!$C196)</f>
        <v>0</v>
      </c>
      <c r="R196" s="65">
        <f ca="1">SUMIFS(OFFSET('BPC Data'!$F:$F,0,Summary!R$2),'BPC Data'!$E:$E,Summary!$D196,'BPC Data'!$B:$B,Summary!$C196)</f>
        <v>0</v>
      </c>
      <c r="S196" s="23">
        <f ca="1">SUM(G196:M196)</f>
        <v>0</v>
      </c>
      <c r="T196" s="76"/>
      <c r="W196" s="5" t="str">
        <f t="shared" ref="W196:AH196" si="383">+G$8</f>
        <v>Aug 2021</v>
      </c>
      <c r="X196" s="5" t="str">
        <f t="shared" si="383"/>
        <v>Sep 2021</v>
      </c>
      <c r="Y196" s="5" t="str">
        <f t="shared" si="383"/>
        <v>Oct 2021</v>
      </c>
      <c r="Z196" s="5" t="str">
        <f t="shared" si="383"/>
        <v>Nov 2021</v>
      </c>
      <c r="AA196" s="5" t="str">
        <f t="shared" si="383"/>
        <v>Dec 2021</v>
      </c>
      <c r="AB196" s="5" t="str">
        <f t="shared" si="383"/>
        <v>Jan 2022</v>
      </c>
      <c r="AC196" s="5" t="str">
        <f t="shared" si="383"/>
        <v>Feb 2022</v>
      </c>
      <c r="AD196" s="5" t="str">
        <f t="shared" si="383"/>
        <v>Mar 2022</v>
      </c>
      <c r="AE196" s="5" t="str">
        <f t="shared" si="383"/>
        <v>Apr 2022</v>
      </c>
      <c r="AF196" s="5" t="str">
        <f t="shared" si="383"/>
        <v>May 2022</v>
      </c>
      <c r="AG196" s="5" t="str">
        <f t="shared" si="383"/>
        <v>Jun 2022</v>
      </c>
      <c r="AH196" s="5" t="str">
        <f t="shared" si="383"/>
        <v>Jul 2022</v>
      </c>
      <c r="AJ196" s="174" t="str">
        <f>W$9</f>
        <v>Aug 2021</v>
      </c>
      <c r="AK196" s="174" t="str">
        <f t="shared" ref="AK196" si="384">X$9</f>
        <v>Sep 2021</v>
      </c>
      <c r="AL196" s="174" t="str">
        <f t="shared" ref="AL196" si="385">Y$9</f>
        <v>Oct 2021</v>
      </c>
      <c r="AM196" s="174" t="str">
        <f t="shared" ref="AM196" si="386">Z$9</f>
        <v>Nov 2021</v>
      </c>
      <c r="AN196" s="174" t="str">
        <f t="shared" ref="AN196:AO196" si="387">AA$9</f>
        <v>Dec 2021</v>
      </c>
      <c r="AO196" s="174" t="str">
        <f t="shared" si="387"/>
        <v>Jan 2022</v>
      </c>
      <c r="AP196" s="174" t="str">
        <f t="shared" ref="AP196" si="388">AC$9</f>
        <v>Feb 2022</v>
      </c>
      <c r="AQ196" s="174" t="str">
        <f t="shared" ref="AQ196" si="389">AD$9</f>
        <v>Mar 2022</v>
      </c>
      <c r="AR196" s="174" t="str">
        <f t="shared" ref="AR196" si="390">AE$9</f>
        <v>Apr 2022</v>
      </c>
      <c r="AS196" s="174" t="str">
        <f t="shared" ref="AS196" si="391">AF$9</f>
        <v>May 2022</v>
      </c>
      <c r="AT196" s="174" t="str">
        <f t="shared" ref="AT196" si="392">AG$9</f>
        <v>Jun 2022</v>
      </c>
      <c r="AU196" s="174" t="str">
        <f t="shared" ref="AU196" si="393">AH$9</f>
        <v>Jul 2022</v>
      </c>
    </row>
    <row r="197" spans="1:48" s="12" customFormat="1">
      <c r="A197" s="12">
        <f>IF(AND(F197&lt;&gt;"",D197=""),A196+1,A196)</f>
        <v>18</v>
      </c>
      <c r="C197" t="str">
        <f>$F196</f>
        <v>Gulf Pointe Village (ALF) (HMG)</v>
      </c>
      <c r="D197" s="3" t="str">
        <f t="shared" si="272"/>
        <v>PAY_PAT_DAYS - Total Payor Patient Days</v>
      </c>
      <c r="F197" s="19" t="str">
        <f>_xll.EVDES(D197)</f>
        <v>Total Payor Patient Days</v>
      </c>
      <c r="G197" s="61">
        <f ca="1">SUMIFS(OFFSET('BPC Data'!$F:$F,0,Summary!G$2),'BPC Data'!$E:$E,Summary!$D197,'BPC Data'!$B:$B,Summary!$C197)</f>
        <v>989</v>
      </c>
      <c r="H197" s="65">
        <f ca="1">SUMIFS(OFFSET('BPC Data'!$F:$F,0,Summary!H$2),'BPC Data'!$E:$E,Summary!$D197,'BPC Data'!$B:$B,Summary!$C197)</f>
        <v>907</v>
      </c>
      <c r="I197" s="61">
        <f ca="1">SUMIFS(OFFSET('BPC Data'!$F:$F,0,Summary!I$2),'BPC Data'!$E:$E,Summary!$D197,'BPC Data'!$B:$B,Summary!$C197)</f>
        <v>988</v>
      </c>
      <c r="J197" s="65">
        <f ca="1">SUMIFS(OFFSET('BPC Data'!$F:$F,0,Summary!J$2),'BPC Data'!$E:$E,Summary!$D197,'BPC Data'!$B:$B,Summary!$C197)</f>
        <v>985</v>
      </c>
      <c r="K197" s="61">
        <f ca="1">SUMIFS(OFFSET('BPC Data'!$F:$F,0,Summary!K$2),'BPC Data'!$E:$E,Summary!$D197,'BPC Data'!$B:$B,Summary!$C197)</f>
        <v>1040</v>
      </c>
      <c r="L197" s="65">
        <f ca="1">SUMIFS(OFFSET('BPC Data'!$F:$F,0,Summary!L$2),'BPC Data'!$E:$E,Summary!$D197,'BPC Data'!$B:$B,Summary!$C197)</f>
        <v>991</v>
      </c>
      <c r="M197" s="61">
        <f ca="1">SUMIFS(OFFSET('BPC Data'!$F:$F,0,Summary!M$2),'BPC Data'!$E:$E,Summary!$D197,'BPC Data'!$B:$B,Summary!$C197)</f>
        <v>811</v>
      </c>
      <c r="N197" s="65">
        <f ca="1">SUMIFS(OFFSET('BPC Data'!$F:$F,0,Summary!N$2),'BPC Data'!$E:$E,Summary!$D197,'BPC Data'!$B:$B,Summary!$C197)</f>
        <v>970</v>
      </c>
      <c r="O197" s="61">
        <f ca="1">SUMIFS(OFFSET('BPC Data'!$F:$F,0,Summary!O$2),'BPC Data'!$E:$E,Summary!$D197,'BPC Data'!$B:$B,Summary!$C197)</f>
        <v>960</v>
      </c>
      <c r="P197" s="65">
        <f ca="1">SUMIFS(OFFSET('BPC Data'!$F:$F,0,Summary!P$2),'BPC Data'!$E:$E,Summary!$D197,'BPC Data'!$B:$B,Summary!$C197)</f>
        <v>1004</v>
      </c>
      <c r="Q197" s="61">
        <f ca="1">SUMIFS(OFFSET('BPC Data'!$F:$F,0,Summary!Q$2),'BPC Data'!$E:$E,Summary!$D197,'BPC Data'!$B:$B,Summary!$C197)</f>
        <v>938</v>
      </c>
      <c r="R197" s="65">
        <f ca="1">SUMIFS(OFFSET('BPC Data'!$F:$F,0,Summary!R$2),'BPC Data'!$E:$E,Summary!$D197,'BPC Data'!$B:$B,Summary!$C197)</f>
        <v>931</v>
      </c>
      <c r="S197" s="23">
        <f ca="1">SUM(G197:R197)</f>
        <v>11514</v>
      </c>
      <c r="T197" s="74">
        <f ca="1">SUM(W197:AH197)</f>
        <v>11514</v>
      </c>
      <c r="U197" s="54">
        <f ca="1">T197-S197</f>
        <v>0</v>
      </c>
      <c r="W197" s="4">
        <f ca="1">SUMIFS(INDIRECT("'"&amp;$W$195&amp;"'"&amp;"!$B$1:$B$5000"),INDIRECT("'"&amp;$W$195&amp;"'"&amp;"!$A$1:$A$5000"),$W$2)</f>
        <v>989</v>
      </c>
      <c r="X197" s="4">
        <f ca="1">SUMIFS(INDIRECT("'"&amp;$W$195&amp;"'"&amp;"!$C$1:$C$5000"),INDIRECT("'"&amp;$W$195&amp;"'"&amp;"!$A$1:$A$5000"),$W$2)</f>
        <v>907</v>
      </c>
      <c r="Y197" s="4">
        <f ca="1">SUMIFS(INDIRECT("'"&amp;$W$195&amp;"'"&amp;"!$d$1:$d$5000"),INDIRECT("'"&amp;$W$195&amp;"'"&amp;"!$A$1:$A$5000"),$W$2)</f>
        <v>988</v>
      </c>
      <c r="Z197" s="4">
        <f ca="1">SUMIFS(INDIRECT("'"&amp;$W$195&amp;"'"&amp;"!$E$1:$E$5000"),INDIRECT("'"&amp;$W$195&amp;"'"&amp;"!$A$1:$A$5000"),$W$2)</f>
        <v>985</v>
      </c>
      <c r="AA197" s="4">
        <f ca="1">SUMIFS(INDIRECT("'"&amp;$W$195&amp;"'"&amp;"!$F$1:$F$5000"),INDIRECT("'"&amp;$W$195&amp;"'"&amp;"!$A$1:$A$5000"),$W$2)</f>
        <v>1040</v>
      </c>
      <c r="AB197" s="4">
        <f ca="1">SUMIFS(INDIRECT("'"&amp;$W$195&amp;"'"&amp;"!$G$1:$G$5000"),INDIRECT("'"&amp;$W$195&amp;"'"&amp;"!$A$1:$A$5000"),$W$2)</f>
        <v>991</v>
      </c>
      <c r="AC197" s="4">
        <f ca="1">SUMIFS(INDIRECT("'"&amp;$W$195&amp;"'"&amp;"!$H$1:$H$5000"),INDIRECT("'"&amp;$W$195&amp;"'"&amp;"!$A$1:$A$5000"),$W$2)</f>
        <v>811</v>
      </c>
      <c r="AD197" s="4">
        <f ca="1">SUMIFS(INDIRECT("'"&amp;$W$195&amp;"'"&amp;"!$i$1:$i$5000"),INDIRECT("'"&amp;$W$195&amp;"'"&amp;"!$A$1:$A$5000"),$W$2)</f>
        <v>970</v>
      </c>
      <c r="AE197" s="4">
        <f ca="1">SUMIFS(INDIRECT("'"&amp;$W$195&amp;"'"&amp;"!$j$1:$j$5000"),INDIRECT("'"&amp;$W$195&amp;"'"&amp;"!$A$1:$A$5000"),$W$2)</f>
        <v>960</v>
      </c>
      <c r="AF197" s="4">
        <f ca="1">SUMIFS(INDIRECT("'"&amp;$W$195&amp;"'"&amp;"!$k$1:$k$5000"),INDIRECT("'"&amp;$W$195&amp;"'"&amp;"!$A$1:$A$5000"),$W$2)</f>
        <v>1004</v>
      </c>
      <c r="AG197" s="4">
        <f ca="1">SUMIFS(INDIRECT("'"&amp;$W$195&amp;"'"&amp;"!$l$1:$l$5000"),INDIRECT("'"&amp;$W$195&amp;"'"&amp;"!$A$1:$A$5000"),$W$2)</f>
        <v>938</v>
      </c>
      <c r="AH197" s="4">
        <f ca="1">SUMIFS(INDIRECT("'"&amp;$W$195&amp;"'"&amp;"!$m$1:$m$5000"),INDIRECT("'"&amp;$W$195&amp;"'"&amp;"!$A$1:$A$5000"),$W$2)</f>
        <v>931</v>
      </c>
      <c r="AI197" s="4"/>
      <c r="AJ197" s="14">
        <f t="shared" ref="AJ197:AU197" ca="1" si="394">W197-G197</f>
        <v>0</v>
      </c>
      <c r="AK197" s="14">
        <f t="shared" ca="1" si="394"/>
        <v>0</v>
      </c>
      <c r="AL197" s="14">
        <f t="shared" ca="1" si="394"/>
        <v>0</v>
      </c>
      <c r="AM197" s="14">
        <f t="shared" ca="1" si="394"/>
        <v>0</v>
      </c>
      <c r="AN197" s="14">
        <f t="shared" ca="1" si="394"/>
        <v>0</v>
      </c>
      <c r="AO197" s="14">
        <f t="shared" ca="1" si="394"/>
        <v>0</v>
      </c>
      <c r="AP197" s="14">
        <f t="shared" ca="1" si="394"/>
        <v>0</v>
      </c>
      <c r="AQ197" s="14">
        <f t="shared" ca="1" si="394"/>
        <v>0</v>
      </c>
      <c r="AR197" s="14">
        <f t="shared" ca="1" si="394"/>
        <v>0</v>
      </c>
      <c r="AS197" s="14">
        <f t="shared" ca="1" si="394"/>
        <v>0</v>
      </c>
      <c r="AT197" s="14">
        <f t="shared" ca="1" si="394"/>
        <v>0</v>
      </c>
      <c r="AU197" s="14">
        <f t="shared" ca="1" si="394"/>
        <v>0</v>
      </c>
    </row>
    <row r="198" spans="1:48" s="12" customFormat="1">
      <c r="A198" s="12">
        <f t="shared" ref="A198:A206" si="395">IF(AND(F198&lt;&gt;"",D198=""),A197+1,A197)</f>
        <v>18</v>
      </c>
      <c r="C198" t="str">
        <f>$F196</f>
        <v>Gulf Pointe Village (ALF) (HMG)</v>
      </c>
      <c r="D198" s="3" t="str">
        <f t="shared" si="272"/>
        <v>A_BEDS_TOTAL - Total Available Beds</v>
      </c>
      <c r="F198" s="19" t="str">
        <f>_xll.EVDES(D198)</f>
        <v>Total Available Beds</v>
      </c>
      <c r="G198" s="61">
        <f ca="1">SUMIFS(OFFSET('BPC Data'!$F:$F,0,Summary!G$2),'BPC Data'!$E:$E,Summary!$D198,'BPC Data'!$B:$B,Summary!$C198)</f>
        <v>34</v>
      </c>
      <c r="H198" s="65">
        <f ca="1">SUMIFS(OFFSET('BPC Data'!$F:$F,0,Summary!H$2),'BPC Data'!$E:$E,Summary!$D198,'BPC Data'!$B:$B,Summary!$C198)</f>
        <v>34</v>
      </c>
      <c r="I198" s="61">
        <f ca="1">SUMIFS(OFFSET('BPC Data'!$F:$F,0,Summary!I$2),'BPC Data'!$E:$E,Summary!$D198,'BPC Data'!$B:$B,Summary!$C198)</f>
        <v>34</v>
      </c>
      <c r="J198" s="65">
        <f ca="1">SUMIFS(OFFSET('BPC Data'!$F:$F,0,Summary!J$2),'BPC Data'!$E:$E,Summary!$D198,'BPC Data'!$B:$B,Summary!$C198)</f>
        <v>34</v>
      </c>
      <c r="K198" s="61">
        <f ca="1">SUMIFS(OFFSET('BPC Data'!$F:$F,0,Summary!K$2),'BPC Data'!$E:$E,Summary!$D198,'BPC Data'!$B:$B,Summary!$C198)</f>
        <v>34</v>
      </c>
      <c r="L198" s="65">
        <f ca="1">SUMIFS(OFFSET('BPC Data'!$F:$F,0,Summary!L$2),'BPC Data'!$E:$E,Summary!$D198,'BPC Data'!$B:$B,Summary!$C198)</f>
        <v>34</v>
      </c>
      <c r="M198" s="61">
        <f ca="1">SUMIFS(OFFSET('BPC Data'!$F:$F,0,Summary!M$2),'BPC Data'!$E:$E,Summary!$D198,'BPC Data'!$B:$B,Summary!$C198)</f>
        <v>34</v>
      </c>
      <c r="N198" s="65">
        <f ca="1">SUMIFS(OFFSET('BPC Data'!$F:$F,0,Summary!N$2),'BPC Data'!$E:$E,Summary!$D198,'BPC Data'!$B:$B,Summary!$C198)</f>
        <v>34</v>
      </c>
      <c r="O198" s="61">
        <f ca="1">SUMIFS(OFFSET('BPC Data'!$F:$F,0,Summary!O$2),'BPC Data'!$E:$E,Summary!$D198,'BPC Data'!$B:$B,Summary!$C198)</f>
        <v>34</v>
      </c>
      <c r="P198" s="65">
        <f ca="1">SUMIFS(OFFSET('BPC Data'!$F:$F,0,Summary!P$2),'BPC Data'!$E:$E,Summary!$D198,'BPC Data'!$B:$B,Summary!$C198)</f>
        <v>34</v>
      </c>
      <c r="Q198" s="61">
        <f ca="1">SUMIFS(OFFSET('BPC Data'!$F:$F,0,Summary!Q$2),'BPC Data'!$E:$E,Summary!$D198,'BPC Data'!$B:$B,Summary!$C198)</f>
        <v>34</v>
      </c>
      <c r="R198" s="65">
        <f ca="1">SUMIFS(OFFSET('BPC Data'!$F:$F,0,Summary!R$2),'BPC Data'!$E:$E,Summary!$D198,'BPC Data'!$B:$B,Summary!$C198)</f>
        <v>34</v>
      </c>
      <c r="S198" s="23">
        <f ca="1">+R198</f>
        <v>34</v>
      </c>
      <c r="T198" s="74"/>
      <c r="U198" s="54"/>
      <c r="AJ198" s="49"/>
      <c r="AK198" s="49"/>
      <c r="AL198" s="49"/>
      <c r="AM198" s="49"/>
      <c r="AN198" s="49"/>
      <c r="AO198" s="49"/>
      <c r="AP198" s="49"/>
      <c r="AQ198" s="49"/>
      <c r="AR198" s="49"/>
      <c r="AS198" s="49"/>
      <c r="AT198" s="49"/>
      <c r="AU198" s="49"/>
    </row>
    <row r="199" spans="1:48" s="12" customFormat="1">
      <c r="A199" s="12">
        <f t="shared" si="395"/>
        <v>18</v>
      </c>
      <c r="B199"/>
      <c r="C199" t="str">
        <f>$F196</f>
        <v>Gulf Pointe Village (ALF) (HMG)</v>
      </c>
      <c r="D199" s="3" t="str">
        <f t="shared" si="272"/>
        <v>T_REVENUES - Total Tenant Revenues</v>
      </c>
      <c r="E199"/>
      <c r="F199" s="19" t="str">
        <f>_xll.EVDES(D199)</f>
        <v>Total Tenant Revenues</v>
      </c>
      <c r="G199" s="61">
        <f ca="1">SUMIFS(OFFSET('BPC Data'!$F:$F,0,Summary!G$2),'BPC Data'!$E:$E,Summary!$D199,'BPC Data'!$B:$B,Summary!$C199)</f>
        <v>91475</v>
      </c>
      <c r="H199" s="65">
        <f ca="1">SUMIFS(OFFSET('BPC Data'!$F:$F,0,Summary!H$2),'BPC Data'!$E:$E,Summary!$D199,'BPC Data'!$B:$B,Summary!$C199)</f>
        <v>86509</v>
      </c>
      <c r="I199" s="61">
        <f ca="1">SUMIFS(OFFSET('BPC Data'!$F:$F,0,Summary!I$2),'BPC Data'!$E:$E,Summary!$D199,'BPC Data'!$B:$B,Summary!$C199)</f>
        <v>90206</v>
      </c>
      <c r="J199" s="65">
        <f ca="1">SUMIFS(OFFSET('BPC Data'!$F:$F,0,Summary!J$2),'BPC Data'!$E:$E,Summary!$D199,'BPC Data'!$B:$B,Summary!$C199)</f>
        <v>92421</v>
      </c>
      <c r="K199" s="61">
        <f ca="1">SUMIFS(OFFSET('BPC Data'!$F:$F,0,Summary!K$2),'BPC Data'!$E:$E,Summary!$D199,'BPC Data'!$B:$B,Summary!$C199)</f>
        <v>95663</v>
      </c>
      <c r="L199" s="65">
        <f ca="1">SUMIFS(OFFSET('BPC Data'!$F:$F,0,Summary!L$2),'BPC Data'!$E:$E,Summary!$D199,'BPC Data'!$B:$B,Summary!$C199)</f>
        <v>89118</v>
      </c>
      <c r="M199" s="61">
        <f ca="1">SUMIFS(OFFSET('BPC Data'!$F:$F,0,Summary!M$2),'BPC Data'!$E:$E,Summary!$D199,'BPC Data'!$B:$B,Summary!$C199)</f>
        <v>86627</v>
      </c>
      <c r="N199" s="65">
        <f ca="1">SUMIFS(OFFSET('BPC Data'!$F:$F,0,Summary!N$2),'BPC Data'!$E:$E,Summary!$D199,'BPC Data'!$B:$B,Summary!$C199)</f>
        <v>93841</v>
      </c>
      <c r="O199" s="61">
        <f ca="1">SUMIFS(OFFSET('BPC Data'!$F:$F,0,Summary!O$2),'BPC Data'!$E:$E,Summary!$D199,'BPC Data'!$B:$B,Summary!$C199)</f>
        <v>95649</v>
      </c>
      <c r="P199" s="65">
        <f ca="1">SUMIFS(OFFSET('BPC Data'!$F:$F,0,Summary!P$2),'BPC Data'!$E:$E,Summary!$D199,'BPC Data'!$B:$B,Summary!$C199)</f>
        <v>102697</v>
      </c>
      <c r="Q199" s="61">
        <f ca="1">SUMIFS(OFFSET('BPC Data'!$F:$F,0,Summary!Q$2),'BPC Data'!$E:$E,Summary!$D199,'BPC Data'!$B:$B,Summary!$C199)</f>
        <v>86477</v>
      </c>
      <c r="R199" s="65">
        <f ca="1">SUMIFS(OFFSET('BPC Data'!$F:$F,0,Summary!R$2),'BPC Data'!$E:$E,Summary!$D199,'BPC Data'!$B:$B,Summary!$C199)</f>
        <v>88208</v>
      </c>
      <c r="S199" s="23">
        <f t="shared" ref="S199:S205" ca="1" si="396">SUM(G199:R199)</f>
        <v>1098891</v>
      </c>
      <c r="T199" s="74">
        <f ca="1">SUM(W199:AH199)</f>
        <v>1098891.2699999998</v>
      </c>
      <c r="U199" s="54">
        <f ca="1">T199-S199</f>
        <v>0.26999999978579581</v>
      </c>
      <c r="W199" s="4">
        <f ca="1">SUMIFS(INDIRECT("'"&amp;$W$195&amp;"'"&amp;"!$B$64:$B$5000"),INDIRECT("'"&amp;$W$195&amp;"'"&amp;"!$A$64:$A$5000"),$V$1)-SUMIFS(INDIRECT("'"&amp;$W$195&amp;"'"&amp;"!$B$64:$B$5000"),INDIRECT("'"&amp;$W$195&amp;"'"&amp;"!$A$64:$A$5000"),$V$2)-SUMIFS(INDIRECT("'"&amp;$W$195&amp;"'"&amp;"!$B$64:$B$5000"),INDIRECT("'"&amp;$W$195&amp;"'"&amp;"!$A$64:$A$5000"),$V$3)-SUMIFS(INDIRECT("'"&amp;$W$195&amp;"'"&amp;"!$B$64:$B$5000"),INDIRECT("'"&amp;$W$195&amp;"'"&amp;"!$A$64:$A$5000"),$X$4)</f>
        <v>91475.01999999996</v>
      </c>
      <c r="X199" s="4">
        <f ca="1">SUMIFS(INDIRECT("'"&amp;$W$195&amp;"'"&amp;"!$C$64:$C$5000"),INDIRECT("'"&amp;$W$195&amp;"'"&amp;"!$A$64:$A$5000"),$V$1)-SUMIFS(INDIRECT("'"&amp;$W$195&amp;"'"&amp;"!$C$64:$C$5000"),INDIRECT("'"&amp;$W$195&amp;"'"&amp;"!$A$64:$A$5000"),$V$2)-SUMIFS(INDIRECT("'"&amp;$W$195&amp;"'"&amp;"!$C$64:$C$5000"),INDIRECT("'"&amp;$W$195&amp;"'"&amp;"!$A$64:$A$5000"),$V$3)-SUMIFS(INDIRECT("'"&amp;$W$195&amp;"'"&amp;"!$C$64:$C$5000"),INDIRECT("'"&amp;$W$195&amp;"'"&amp;"!$A$64:$A$5000"),$X$4)</f>
        <v>86508.709999999977</v>
      </c>
      <c r="Y199" s="4">
        <f ca="1">SUMIFS(INDIRECT("'"&amp;$W$195&amp;"'"&amp;"!$d$64:$d$5000"),INDIRECT("'"&amp;$W$195&amp;"'"&amp;"!$A$64:$A$5000"),$V$1)-SUMIFS(INDIRECT("'"&amp;$W$195&amp;"'"&amp;"!$d$64:$d$5000"),INDIRECT("'"&amp;$W$195&amp;"'"&amp;"!$A$64:$A$5000"),$V$2)-SUMIFS(INDIRECT("'"&amp;$W$195&amp;"'"&amp;"!$d$64:$d$5000"),INDIRECT("'"&amp;$W$195&amp;"'"&amp;"!$A$64:$A$5000"),$V$3)-SUMIFS(INDIRECT("'"&amp;$W$195&amp;"'"&amp;"!$d$64:$d$5000"),INDIRECT("'"&amp;$W$195&amp;"'"&amp;"!$A$64:$A$5000"),$X$4)</f>
        <v>90205.920000000027</v>
      </c>
      <c r="Z199" s="4">
        <f ca="1">SUMIFS(INDIRECT("'"&amp;$W$195&amp;"'"&amp;"!$e$64:$e$5000"),INDIRECT("'"&amp;$W$195&amp;"'"&amp;"!$A$64:$A$5000"),$V$1)-SUMIFS(INDIRECT("'"&amp;$W$195&amp;"'"&amp;"!$e$64:$e$5000"),INDIRECT("'"&amp;$W$195&amp;"'"&amp;"!$A$64:$A$5000"),$V$2)-SUMIFS(INDIRECT("'"&amp;$W$195&amp;"'"&amp;"!$e$64:$e$5000"),INDIRECT("'"&amp;$W$195&amp;"'"&amp;"!$A$64:$A$5000"),$V$3)-SUMIFS(INDIRECT("'"&amp;$W$195&amp;"'"&amp;"!$e$64:$e$5000"),INDIRECT("'"&amp;$W$195&amp;"'"&amp;"!$A$64:$A$5000"),$X$4)</f>
        <v>92421.380000000019</v>
      </c>
      <c r="AA199" s="4">
        <f ca="1">SUMIFS(INDIRECT("'"&amp;$W$195&amp;"'"&amp;"!$f$64:$f$5000"),INDIRECT("'"&amp;$W$195&amp;"'"&amp;"!$A$64:$A$5000"),$V$1)-SUMIFS(INDIRECT("'"&amp;$W$195&amp;"'"&amp;"!$f$64:$f$5000"),INDIRECT("'"&amp;$W$195&amp;"'"&amp;"!$A$64:$A$5000"),$V$2)-SUMIFS(INDIRECT("'"&amp;$W$195&amp;"'"&amp;"!$f$64:$f$5000"),INDIRECT("'"&amp;$W$195&amp;"'"&amp;"!$A$64:$A$5000"),$V$3)-SUMIFS(INDIRECT("'"&amp;$W$195&amp;"'"&amp;"!$f$64:$f$5000"),INDIRECT("'"&amp;$W$195&amp;"'"&amp;"!$A$64:$A$5000"),$X$4)</f>
        <v>95663.55999999991</v>
      </c>
      <c r="AB199" s="4">
        <f ca="1">SUMIFS(INDIRECT("'"&amp;$W$195&amp;"'"&amp;"!$g$64:$g$5000"),INDIRECT("'"&amp;$W$195&amp;"'"&amp;"!$A$64:$A$5000"),$V$1)-SUMIFS(INDIRECT("'"&amp;$W$195&amp;"'"&amp;"!$g$64:$g$5000"),INDIRECT("'"&amp;$W$195&amp;"'"&amp;"!$A$64:$A$5000"),$V$2)-SUMIFS(INDIRECT("'"&amp;$W$195&amp;"'"&amp;"!$g$64:$g$5000"),INDIRECT("'"&amp;$W$195&amp;"'"&amp;"!$A$64:$A$5000"),$V$3)-SUMIFS(INDIRECT("'"&amp;$W$195&amp;"'"&amp;"!$g$64:$g$5000"),INDIRECT("'"&amp;$W$195&amp;"'"&amp;"!$A$64:$A$5000"),$X$4)</f>
        <v>89117.640000000014</v>
      </c>
      <c r="AC199" s="4">
        <f ca="1">SUMIFS(INDIRECT("'"&amp;$W$195&amp;"'"&amp;"!$h$64:$h$5000"),INDIRECT("'"&amp;$W$195&amp;"'"&amp;"!$A$64:$A$5000"),$V$1)-SUMIFS(INDIRECT("'"&amp;$W$195&amp;"'"&amp;"!$h$64:$h$5000"),INDIRECT("'"&amp;$W$195&amp;"'"&amp;"!$A$64:$A$5000"),$V$2)-SUMIFS(INDIRECT("'"&amp;$W$195&amp;"'"&amp;"!$h$64:$h$5000"),INDIRECT("'"&amp;$W$195&amp;"'"&amp;"!$A$64:$A$5000"),$V$3)-SUMIFS(INDIRECT("'"&amp;$W$195&amp;"'"&amp;"!$h$64:$h$5000"),INDIRECT("'"&amp;$W$195&amp;"'"&amp;"!$A$64:$A$5000"),$X$4)</f>
        <v>86626.499999999927</v>
      </c>
      <c r="AD199" s="4">
        <f ca="1">SUMIFS(INDIRECT("'"&amp;$W$195&amp;"'"&amp;"!$i$64:$i$5000"),INDIRECT("'"&amp;$W$195&amp;"'"&amp;"!$A$64:$A$5000"),$V$1)-SUMIFS(INDIRECT("'"&amp;$W$195&amp;"'"&amp;"!$i$64:$i$5000"),INDIRECT("'"&amp;$W$195&amp;"'"&amp;"!$A$64:$A$5000"),$V$2)-SUMIFS(INDIRECT("'"&amp;$W$195&amp;"'"&amp;"!$i$64:$i$5000"),INDIRECT("'"&amp;$W$195&amp;"'"&amp;"!$A$64:$A$5000"),$V$3)-SUMIFS(INDIRECT("'"&amp;$W$195&amp;"'"&amp;"!$i$64:$i$5000"),INDIRECT("'"&amp;$W$195&amp;"'"&amp;"!$A$64:$A$5000"),$X$4)</f>
        <v>93841.04</v>
      </c>
      <c r="AE199" s="4">
        <f ca="1">SUMIFS(INDIRECT("'"&amp;$W$195&amp;"'"&amp;"!$j$64:$j$5000"),INDIRECT("'"&amp;$W$195&amp;"'"&amp;"!$A$64:$A$5000"),$V$1)-SUMIFS(INDIRECT("'"&amp;$W$195&amp;"'"&amp;"!$j$64:$j$5000"),INDIRECT("'"&amp;$W$195&amp;"'"&amp;"!$A$64:$A$5000"),$V$2)-SUMIFS(INDIRECT("'"&amp;$W$195&amp;"'"&amp;"!$j$64:$j$5000"),INDIRECT("'"&amp;$W$195&amp;"'"&amp;"!$A$64:$A$5000"),$V$3)-SUMIFS(INDIRECT("'"&amp;$W$195&amp;"'"&amp;"!$j$64:$j$5000"),INDIRECT("'"&amp;$W$195&amp;"'"&amp;"!$A$64:$A$5000"),$X$4)</f>
        <v>95648.710000000079</v>
      </c>
      <c r="AF199" s="4">
        <f ca="1">SUMIFS(INDIRECT("'"&amp;$W$195&amp;"'"&amp;"!$k$64:$k$5000"),INDIRECT("'"&amp;$W$195&amp;"'"&amp;"!$A$64:$A$5000"),$V$1)-SUMIFS(INDIRECT("'"&amp;$W$195&amp;"'"&amp;"!$k$64:$k$5000"),INDIRECT("'"&amp;$W$195&amp;"'"&amp;"!$A$64:$A$5000"),$V$2)-SUMIFS(INDIRECT("'"&amp;$W$195&amp;"'"&amp;"!$k$64:$k$5000"),INDIRECT("'"&amp;$W$195&amp;"'"&amp;"!$A$64:$A$5000"),$V$3)-SUMIFS(INDIRECT("'"&amp;$W$195&amp;"'"&amp;"!$k$64:$k$5000"),INDIRECT("'"&amp;$W$195&amp;"'"&amp;"!$A$64:$A$5000"),$X$4)</f>
        <v>102697.11000000004</v>
      </c>
      <c r="AG199" s="4">
        <f ca="1">SUMIFS(INDIRECT("'"&amp;$W$195&amp;"'"&amp;"!$l$64:$l$5000"),INDIRECT("'"&amp;$W$195&amp;"'"&amp;"!$A$64:$A$5000"),$V$1)-SUMIFS(INDIRECT("'"&amp;$W$195&amp;"'"&amp;"!$l$64:$l$5000"),INDIRECT("'"&amp;$W$195&amp;"'"&amp;"!$A$64:$A$5000"),$V$2)-SUMIFS(INDIRECT("'"&amp;$W$195&amp;"'"&amp;"!$l$64:$l$5000"),INDIRECT("'"&amp;$W$195&amp;"'"&amp;"!$A$64:$A$5000"),$V$3)-SUMIFS(INDIRECT("'"&amp;$W$195&amp;"'"&amp;"!$l$64:$l$5000"),INDIRECT("'"&amp;$W$195&amp;"'"&amp;"!$A$64:$A$5000"),$X$4)</f>
        <v>86477.23000000001</v>
      </c>
      <c r="AH199" s="4">
        <f ca="1">SUMIFS(INDIRECT("'"&amp;$W$195&amp;"'"&amp;"!$m$64:$m$5000"),INDIRECT("'"&amp;$W$195&amp;"'"&amp;"!$A$64:$A$5000"),$V$1)-SUMIFS(INDIRECT("'"&amp;$W$195&amp;"'"&amp;"!$m$64:$m$5000"),INDIRECT("'"&amp;$W$195&amp;"'"&amp;"!$A$64:$A$5000"),$V$2)-SUMIFS(INDIRECT("'"&amp;$W$195&amp;"'"&amp;"!$m$64:$m$5000"),INDIRECT("'"&amp;$W$195&amp;"'"&amp;"!$A$64:$A$5000"),$V$3)-SUMIFS(INDIRECT("'"&amp;$W$195&amp;"'"&amp;"!$m$64:$m$5000"),INDIRECT("'"&amp;$W$195&amp;"'"&amp;"!$A$64:$A$5000"),$X$4)</f>
        <v>88208.449999999968</v>
      </c>
      <c r="AI199" s="4"/>
      <c r="AJ199" s="14">
        <f t="shared" ref="AJ199:AU200" ca="1" si="397">W199-G199</f>
        <v>1.9999999960418791E-2</v>
      </c>
      <c r="AK199" s="14">
        <f t="shared" ca="1" si="397"/>
        <v>-0.29000000002270099</v>
      </c>
      <c r="AL199" s="14">
        <f t="shared" ca="1" si="397"/>
        <v>-7.9999999972642399E-2</v>
      </c>
      <c r="AM199" s="14">
        <f t="shared" ca="1" si="397"/>
        <v>0.38000000001920853</v>
      </c>
      <c r="AN199" s="14">
        <f t="shared" ca="1" si="397"/>
        <v>0.5599999999103602</v>
      </c>
      <c r="AO199" s="14">
        <f t="shared" ca="1" si="397"/>
        <v>-0.35999999998603016</v>
      </c>
      <c r="AP199" s="14">
        <f t="shared" ca="1" si="397"/>
        <v>-0.50000000007275958</v>
      </c>
      <c r="AQ199" s="14">
        <f t="shared" ca="1" si="397"/>
        <v>3.9999999993597157E-2</v>
      </c>
      <c r="AR199" s="14">
        <f t="shared" ca="1" si="397"/>
        <v>-0.28999999992083758</v>
      </c>
      <c r="AS199" s="14">
        <f t="shared" ca="1" si="397"/>
        <v>0.11000000004423782</v>
      </c>
      <c r="AT199" s="14">
        <f t="shared" ca="1" si="397"/>
        <v>0.23000000001047738</v>
      </c>
      <c r="AU199" s="14">
        <f t="shared" ca="1" si="397"/>
        <v>0.44999999996798579</v>
      </c>
    </row>
    <row r="200" spans="1:48" s="12" customFormat="1">
      <c r="A200" s="12">
        <f t="shared" si="395"/>
        <v>18</v>
      </c>
      <c r="B200"/>
      <c r="C200" t="str">
        <f>$F196</f>
        <v>Gulf Pointe Village (ALF) (HMG)</v>
      </c>
      <c r="D200" s="3" t="str">
        <f t="shared" si="272"/>
        <v>T_OPEX - Tenant Operating Expenses</v>
      </c>
      <c r="E200"/>
      <c r="F200" s="19" t="str">
        <f>_xll.EVDES(D200)</f>
        <v>Tenant Operating Expenses</v>
      </c>
      <c r="G200" s="61">
        <f ca="1">SUMIFS(OFFSET('BPC Data'!$F:$F,0,Summary!G$2),'BPC Data'!$E:$E,Summary!$D200,'BPC Data'!$B:$B,Summary!$C200)</f>
        <v>55279</v>
      </c>
      <c r="H200" s="65">
        <f ca="1">SUMIFS(OFFSET('BPC Data'!$F:$F,0,Summary!H$2),'BPC Data'!$E:$E,Summary!$D200,'BPC Data'!$B:$B,Summary!$C200)</f>
        <v>59742</v>
      </c>
      <c r="I200" s="61">
        <f ca="1">SUMIFS(OFFSET('BPC Data'!$F:$F,0,Summary!I$2),'BPC Data'!$E:$E,Summary!$D200,'BPC Data'!$B:$B,Summary!$C200)</f>
        <v>57349</v>
      </c>
      <c r="J200" s="65">
        <f ca="1">SUMIFS(OFFSET('BPC Data'!$F:$F,0,Summary!J$2),'BPC Data'!$E:$E,Summary!$D200,'BPC Data'!$B:$B,Summary!$C200)</f>
        <v>60147</v>
      </c>
      <c r="K200" s="61">
        <f ca="1">SUMIFS(OFFSET('BPC Data'!$F:$F,0,Summary!K$2),'BPC Data'!$E:$E,Summary!$D200,'BPC Data'!$B:$B,Summary!$C200)</f>
        <v>60275</v>
      </c>
      <c r="L200" s="65">
        <f ca="1">SUMIFS(OFFSET('BPC Data'!$F:$F,0,Summary!L$2),'BPC Data'!$E:$E,Summary!$D200,'BPC Data'!$B:$B,Summary!$C200)</f>
        <v>54409</v>
      </c>
      <c r="M200" s="61">
        <f ca="1">SUMIFS(OFFSET('BPC Data'!$F:$F,0,Summary!M$2),'BPC Data'!$E:$E,Summary!$D200,'BPC Data'!$B:$B,Summary!$C200)</f>
        <v>60706</v>
      </c>
      <c r="N200" s="65">
        <f ca="1">SUMIFS(OFFSET('BPC Data'!$F:$F,0,Summary!N$2),'BPC Data'!$E:$E,Summary!$D200,'BPC Data'!$B:$B,Summary!$C200)</f>
        <v>61199</v>
      </c>
      <c r="O200" s="61">
        <f ca="1">SUMIFS(OFFSET('BPC Data'!$F:$F,0,Summary!O$2),'BPC Data'!$E:$E,Summary!$D200,'BPC Data'!$B:$B,Summary!$C200)</f>
        <v>59517</v>
      </c>
      <c r="P200" s="65">
        <f ca="1">SUMIFS(OFFSET('BPC Data'!$F:$F,0,Summary!P$2),'BPC Data'!$E:$E,Summary!$D200,'BPC Data'!$B:$B,Summary!$C200)</f>
        <v>66179</v>
      </c>
      <c r="Q200" s="61">
        <f ca="1">SUMIFS(OFFSET('BPC Data'!$F:$F,0,Summary!Q$2),'BPC Data'!$E:$E,Summary!$D200,'BPC Data'!$B:$B,Summary!$C200)</f>
        <v>58472</v>
      </c>
      <c r="R200" s="65">
        <f ca="1">SUMIFS(OFFSET('BPC Data'!$F:$F,0,Summary!R$2),'BPC Data'!$E:$E,Summary!$D200,'BPC Data'!$B:$B,Summary!$C200)</f>
        <v>58502</v>
      </c>
      <c r="S200" s="23">
        <f t="shared" ca="1" si="396"/>
        <v>711776</v>
      </c>
      <c r="T200" s="74">
        <f ca="1">SUM(W200:AH200)</f>
        <v>711777.12999999977</v>
      </c>
      <c r="U200" s="54">
        <f ca="1">T200-S200</f>
        <v>1.129999999771826</v>
      </c>
      <c r="W200" s="4">
        <f ca="1">SUMIFS(INDIRECT("'"&amp;$W$195&amp;"'"&amp;"!$B$64:$B$5000"),INDIRECT("'"&amp;$W$195&amp;"'"&amp;"!$A$64:$A$5000"),$V$4)-SUMIFS(INDIRECT("'"&amp;$W$195&amp;"'"&amp;"!$B$64:$B$5000"),INDIRECT("'"&amp;$W$195&amp;"'"&amp;"!$A$64:$A$5000"),$V$5)-SUMIFS(INDIRECT("'"&amp;$W$195&amp;"'"&amp;"!$B$64:$B$5000"),INDIRECT("'"&amp;$W$195&amp;"'"&amp;"!$A$64:$A$5000"),$V$6)-SUMIFS(INDIRECT("'"&amp;$W$195&amp;"'"&amp;"!$B$64:$B$5000"),INDIRECT("'"&amp;$W$195&amp;"'"&amp;"!$A$64:$A$5000"),$W$6)-SUMIFS(INDIRECT("'"&amp;$W$195&amp;"'"&amp;"!$B$64:$B$5000"),INDIRECT("'"&amp;$W$195&amp;"'"&amp;"!$A$64:$A$5000"),$W$7)-W205-W203</f>
        <v>55279.309999999969</v>
      </c>
      <c r="X200" s="4">
        <f ca="1">SUMIFS(INDIRECT("'"&amp;$W$195&amp;"'"&amp;"!$C$64:$C$5000"),INDIRECT("'"&amp;$W$195&amp;"'"&amp;"!$A$64:$A$5000"),$V$4)-SUMIFS(INDIRECT("'"&amp;$W$195&amp;"'"&amp;"!$C$64:$C$5000"),INDIRECT("'"&amp;$W$195&amp;"'"&amp;"!$A$64:$A$5000"),$V$5)-SUMIFS(INDIRECT("'"&amp;$W$195&amp;"'"&amp;"!$C$64:$C$5000"),INDIRECT("'"&amp;$W$195&amp;"'"&amp;"!$A$64:$A$5000"),$V$6)-SUMIFS(INDIRECT("'"&amp;$W$195&amp;"'"&amp;"!$C$64:$C$5000"),INDIRECT("'"&amp;$W$195&amp;"'"&amp;"!$A$64:$A$5000"),$W$6)-SUMIFS(INDIRECT("'"&amp;$W$195&amp;"'"&amp;"!$C$64:$C$5000"),INDIRECT("'"&amp;$W$195&amp;"'"&amp;"!$A$64:$A$5000"),$W$7)-X205-X203</f>
        <v>59742.709999999992</v>
      </c>
      <c r="Y200" s="4">
        <f ca="1">SUMIFS(INDIRECT("'"&amp;$W$195&amp;"'"&amp;"!$d$64:$d$5000"),INDIRECT("'"&amp;$W$195&amp;"'"&amp;"!$A$64:$A$5000"),$V$4)-SUMIFS(INDIRECT("'"&amp;$W$195&amp;"'"&amp;"!$d$64:$d$5000"),INDIRECT("'"&amp;$W$195&amp;"'"&amp;"!$A$64:$A$5000"),$V$5)-SUMIFS(INDIRECT("'"&amp;$W$195&amp;"'"&amp;"!$d$64:$d$5000"),INDIRECT("'"&amp;$W$195&amp;"'"&amp;"!$A$64:$A$5000"),$V$6)-SUMIFS(INDIRECT("'"&amp;$W$195&amp;"'"&amp;"!$d$64:$d$5000"),INDIRECT("'"&amp;$W$195&amp;"'"&amp;"!$A$64:$A$5000"),$W$6)-SUMIFS(INDIRECT("'"&amp;$W$195&amp;"'"&amp;"!$d$64:$d$5000"),INDIRECT("'"&amp;$W$195&amp;"'"&amp;"!$A$64:$A$5000"),$W$7)-Y205-Y203</f>
        <v>57349.209999999977</v>
      </c>
      <c r="Z200" s="4">
        <f ca="1">SUMIFS(INDIRECT("'"&amp;$W$195&amp;"'"&amp;"!$e$64:$e$5000"),INDIRECT("'"&amp;$W$195&amp;"'"&amp;"!$A$64:$A$5000"),$V$4)-SUMIFS(INDIRECT("'"&amp;$W$195&amp;"'"&amp;"!$e$64:$e$5000"),INDIRECT("'"&amp;$W$195&amp;"'"&amp;"!$A$64:$A$5000"),$V$5)-SUMIFS(INDIRECT("'"&amp;$W$195&amp;"'"&amp;"!$e$64:$e$5000"),INDIRECT("'"&amp;$W$195&amp;"'"&amp;"!$A$64:$A$5000"),$V$6)-SUMIFS(INDIRECT("'"&amp;$W$195&amp;"'"&amp;"!$e$64:$e$5000"),INDIRECT("'"&amp;$W$195&amp;"'"&amp;"!$A$64:$A$5000"),$W$6)-SUMIFS(INDIRECT("'"&amp;$W$195&amp;"'"&amp;"!$e$64:$e$5000"),INDIRECT("'"&amp;$W$195&amp;"'"&amp;"!$A$64:$A$5000"),$W$7)-Z205-Z203</f>
        <v>60146.849999999904</v>
      </c>
      <c r="AA200" s="4">
        <f ca="1">SUMIFS(INDIRECT("'"&amp;$W$195&amp;"'"&amp;"!$f$64:$f$5000"),INDIRECT("'"&amp;$W$195&amp;"'"&amp;"!$A$64:$A$5000"),$V$4)-SUMIFS(INDIRECT("'"&amp;$W$195&amp;"'"&amp;"!$f$64:$f$5000"),INDIRECT("'"&amp;$W$195&amp;"'"&amp;"!$A$64:$A$5000"),$V$5)-SUMIFS(INDIRECT("'"&amp;$W$195&amp;"'"&amp;"!$f$64:$f$5000"),INDIRECT("'"&amp;$W$195&amp;"'"&amp;"!$A$64:$A$5000"),$V$6)-SUMIFS(INDIRECT("'"&amp;$W$195&amp;"'"&amp;"!$f$64:$f$5000"),INDIRECT("'"&amp;$W$195&amp;"'"&amp;"!$A$64:$A$5000"),$W$6)-SUMIFS(INDIRECT("'"&amp;$W$195&amp;"'"&amp;"!$f$64:$f$5000"),INDIRECT("'"&amp;$W$195&amp;"'"&amp;"!$A$64:$A$5000"),$W$7)-AA205-AA203</f>
        <v>60275.649999999994</v>
      </c>
      <c r="AB200" s="4">
        <f ca="1">SUMIFS(INDIRECT("'"&amp;$W$195&amp;"'"&amp;"!$g$64:$g$5000"),INDIRECT("'"&amp;$W$195&amp;"'"&amp;"!$A$64:$A$5000"),$V$4)-SUMIFS(INDIRECT("'"&amp;$W$195&amp;"'"&amp;"!$g$64:$g$5000"),INDIRECT("'"&amp;$W$195&amp;"'"&amp;"!$A$64:$A$5000"),$V$5)-SUMIFS(INDIRECT("'"&amp;$W$195&amp;"'"&amp;"!$g$64:$g$5000"),INDIRECT("'"&amp;$W$195&amp;"'"&amp;"!$A$64:$A$5000"),$V$6)-SUMIFS(INDIRECT("'"&amp;$W$195&amp;"'"&amp;"!$g$64:$g$5000"),INDIRECT("'"&amp;$W$195&amp;"'"&amp;"!$A$64:$A$5000"),$W$6)-SUMIFS(INDIRECT("'"&amp;$W$195&amp;"'"&amp;"!$g$64:$g$5000"),INDIRECT("'"&amp;$W$195&amp;"'"&amp;"!$A$64:$A$5000"),$W$7)-AB205-AB203</f>
        <v>54407.969999999987</v>
      </c>
      <c r="AC200" s="4">
        <f ca="1">SUMIFS(INDIRECT("'"&amp;$W$195&amp;"'"&amp;"!$h$64:$h$5000"),INDIRECT("'"&amp;$W$195&amp;"'"&amp;"!$A$64:$A$5000"),$V$4)-SUMIFS(INDIRECT("'"&amp;$W$195&amp;"'"&amp;"!$h$64:$h$5000"),INDIRECT("'"&amp;$W$195&amp;"'"&amp;"!$A$64:$A$5000"),$V$5)-SUMIFS(INDIRECT("'"&amp;$W$195&amp;"'"&amp;"!$h$64:$h$5000"),INDIRECT("'"&amp;$W$195&amp;"'"&amp;"!$A$64:$A$5000"),$V$6)-SUMIFS(INDIRECT("'"&amp;$W$195&amp;"'"&amp;"!$h$64:$h$5000"),INDIRECT("'"&amp;$W$195&amp;"'"&amp;"!$A$64:$A$5000"),$W$6)-SUMIFS(INDIRECT("'"&amp;$W$195&amp;"'"&amp;"!$h$64:$h$5000"),INDIRECT("'"&amp;$W$195&amp;"'"&amp;"!$A$64:$A$5000"),$W$7)-AC205-AC203</f>
        <v>60705.42</v>
      </c>
      <c r="AD200" s="4">
        <f ca="1">SUMIFS(INDIRECT("'"&amp;$W$195&amp;"'"&amp;"!$i$64:$i$5000"),INDIRECT("'"&amp;$W$195&amp;"'"&amp;"!$A$64:$A$5000"),$V$4)-SUMIFS(INDIRECT("'"&amp;$W$195&amp;"'"&amp;"!$i$64:$i$5000"),INDIRECT("'"&amp;$W$195&amp;"'"&amp;"!$A$64:$A$5000"),$V$5)-SUMIFS(INDIRECT("'"&amp;$W$195&amp;"'"&amp;"!$i$64:$i$5000"),INDIRECT("'"&amp;$W$195&amp;"'"&amp;"!$A$64:$A$5000"),$V$6)-SUMIFS(INDIRECT("'"&amp;$W$195&amp;"'"&amp;"!$i$64:$i$5000"),INDIRECT("'"&amp;$W$195&amp;"'"&amp;"!$A$64:$A$5000"),$W$6)-AD205-AD203</f>
        <v>61198.930000000066</v>
      </c>
      <c r="AE200" s="4">
        <f ca="1">SUMIFS(INDIRECT("'"&amp;$W$195&amp;"'"&amp;"!$j$64:$j$5000"),INDIRECT("'"&amp;$W$195&amp;"'"&amp;"!$A$64:$A$5000"),$V$4)-SUMIFS(INDIRECT("'"&amp;$W$195&amp;"'"&amp;"!$j$64:$j$5000"),INDIRECT("'"&amp;$W$195&amp;"'"&amp;"!$A$64:$A$5000"),$V$5)-SUMIFS(INDIRECT("'"&amp;$W$195&amp;"'"&amp;"!$j$64:$j$5000"),INDIRECT("'"&amp;$W$195&amp;"'"&amp;"!$A$64:$A$5000"),$V$6)-SUMIFS(INDIRECT("'"&amp;$W$195&amp;"'"&amp;"!$j$64:$j$5000"),INDIRECT("'"&amp;$W$195&amp;"'"&amp;"!$A$64:$A$5000"),$W$6)-SUMIFS(INDIRECT("'"&amp;$W$195&amp;"'"&amp;"!$j$64:$j$5000"),INDIRECT("'"&amp;$W$195&amp;"'"&amp;"!$A$64:$A$5000"),$W$7)-AE205-AE203</f>
        <v>59518</v>
      </c>
      <c r="AF200" s="4">
        <f ca="1">SUMIFS(INDIRECT("'"&amp;$W$195&amp;"'"&amp;"!$k$64:$k$5000"),INDIRECT("'"&amp;$W$195&amp;"'"&amp;"!$A$64:$A$5000"),$V$4)-SUMIFS(INDIRECT("'"&amp;$W$195&amp;"'"&amp;"!$k$64:$k$5000"),INDIRECT("'"&amp;$W$195&amp;"'"&amp;"!$A$64:$A$5000"),$V$5)-SUMIFS(INDIRECT("'"&amp;$W$195&amp;"'"&amp;"!$k$64:$k$5000"),INDIRECT("'"&amp;$W$195&amp;"'"&amp;"!$A$64:$A$5000"),$V$6)-SUMIFS(INDIRECT("'"&amp;$W$195&amp;"'"&amp;"!$k$64:$k$5000"),INDIRECT("'"&amp;$W$195&amp;"'"&amp;"!$A$64:$A$5000"),$W$6)-SUMIFS(INDIRECT("'"&amp;$W$195&amp;"'"&amp;"!$k$64:$k$5000"),INDIRECT("'"&amp;$W$195&amp;"'"&amp;"!$A$64:$A$5000"),$W$7)-AF205-AF203</f>
        <v>66179.62000000001</v>
      </c>
      <c r="AG200" s="4">
        <f ca="1">SUMIFS(INDIRECT("'"&amp;$W$195&amp;"'"&amp;"!$l$64:$l$5000"),INDIRECT("'"&amp;$W$195&amp;"'"&amp;"!$A$64:$A$5000"),$V$4)-SUMIFS(INDIRECT("'"&amp;$W$195&amp;"'"&amp;"!$l$64:$l$5000"),INDIRECT("'"&amp;$W$195&amp;"'"&amp;"!$A$64:$A$5000"),$V$5)-SUMIFS(INDIRECT("'"&amp;$W$195&amp;"'"&amp;"!$l$64:$l$5000"),INDIRECT("'"&amp;$W$195&amp;"'"&amp;"!$A$64:$A$5000"),$V$6)-SUMIFS(INDIRECT("'"&amp;$W$195&amp;"'"&amp;"!$l$64:$l$5000"),INDIRECT("'"&amp;$W$195&amp;"'"&amp;"!$A$64:$A$5000"),$W$6)-SUMIFS(INDIRECT("'"&amp;$W$195&amp;"'"&amp;"!$l$64:$l$5000"),INDIRECT("'"&amp;$W$195&amp;"'"&amp;"!$A$64:$A$5000"),$W$7)-AG205-AG203</f>
        <v>58471.979999999996</v>
      </c>
      <c r="AH200" s="4">
        <f ca="1">SUMIFS(INDIRECT("'"&amp;$W$195&amp;"'"&amp;"!$m$64:$m$5000"),INDIRECT("'"&amp;$W$195&amp;"'"&amp;"!$A$64:$A$5000"),$V$4)-SUMIFS(INDIRECT("'"&amp;$W$195&amp;"'"&amp;"!$m$64:$m$5000"),INDIRECT("'"&amp;$W$195&amp;"'"&amp;"!$A$64:$A$5000"),$V$5)-SUMIFS(INDIRECT("'"&amp;$W$195&amp;"'"&amp;"!$m$64:$m$5000"),INDIRECT("'"&amp;$W$195&amp;"'"&amp;"!$A$64:$A$5000"),$V$6)-SUMIFS(INDIRECT("'"&amp;$W$195&amp;"'"&amp;"!$m$64:$m$5000"),INDIRECT("'"&amp;$W$195&amp;"'"&amp;"!$A$64:$A$5000"),$W$6)-SUMIFS(INDIRECT("'"&amp;$W$195&amp;"'"&amp;"!$m$64:$m$5000"),INDIRECT("'"&amp;$W$195&amp;"'"&amp;"!$A$64:$A$5000"),$W$7)-AH205-AH203</f>
        <v>58501.479999999952</v>
      </c>
      <c r="AI200" s="4"/>
      <c r="AJ200" s="14">
        <f t="shared" ca="1" si="397"/>
        <v>0.30999999996856786</v>
      </c>
      <c r="AK200" s="14">
        <f t="shared" ca="1" si="397"/>
        <v>0.70999999999185093</v>
      </c>
      <c r="AL200" s="14">
        <f t="shared" ca="1" si="397"/>
        <v>0.20999999997729901</v>
      </c>
      <c r="AM200" s="14">
        <f t="shared" ca="1" si="397"/>
        <v>-0.15000000009604264</v>
      </c>
      <c r="AN200" s="14">
        <f t="shared" ca="1" si="397"/>
        <v>0.64999999999417923</v>
      </c>
      <c r="AO200" s="14">
        <f t="shared" ca="1" si="397"/>
        <v>-1.0300000000133878</v>
      </c>
      <c r="AP200" s="14">
        <f ca="1">AC200-M200</f>
        <v>-0.58000000000174623</v>
      </c>
      <c r="AQ200" s="14">
        <f t="shared" ca="1" si="397"/>
        <v>-6.9999999934225343E-2</v>
      </c>
      <c r="AR200" s="14">
        <f t="shared" ca="1" si="397"/>
        <v>1</v>
      </c>
      <c r="AS200" s="14">
        <f t="shared" ca="1" si="397"/>
        <v>0.6200000000098953</v>
      </c>
      <c r="AT200" s="14">
        <f t="shared" ca="1" si="397"/>
        <v>-2.0000000004074536E-2</v>
      </c>
      <c r="AU200" s="14">
        <f t="shared" ca="1" si="397"/>
        <v>-0.52000000004773028</v>
      </c>
    </row>
    <row r="201" spans="1:48" s="12" customFormat="1">
      <c r="A201" s="12">
        <f t="shared" si="395"/>
        <v>18</v>
      </c>
      <c r="B201"/>
      <c r="C201" t="str">
        <f>$F196</f>
        <v>Gulf Pointe Village (ALF) (HMG)</v>
      </c>
      <c r="D201" s="3" t="str">
        <f t="shared" si="272"/>
        <v>T_BAD_DEBT - Tenant Bad Debt Expense</v>
      </c>
      <c r="E201"/>
      <c r="F201" s="19" t="str">
        <f>_xll.EVDES(D201)</f>
        <v>Tenant Bad Debt Expense</v>
      </c>
      <c r="G201" s="61">
        <f ca="1">SUMIFS(OFFSET('BPC Data'!$F:$F,0,Summary!G$2),'BPC Data'!$E:$E,Summary!$D201,'BPC Data'!$B:$B,Summary!$C201)</f>
        <v>0</v>
      </c>
      <c r="H201" s="65">
        <f ca="1">SUMIFS(OFFSET('BPC Data'!$F:$F,0,Summary!H$2),'BPC Data'!$E:$E,Summary!$D201,'BPC Data'!$B:$B,Summary!$C201)</f>
        <v>0</v>
      </c>
      <c r="I201" s="61">
        <f ca="1">SUMIFS(OFFSET('BPC Data'!$F:$F,0,Summary!I$2),'BPC Data'!$E:$E,Summary!$D201,'BPC Data'!$B:$B,Summary!$C201)</f>
        <v>0</v>
      </c>
      <c r="J201" s="65">
        <f ca="1">SUMIFS(OFFSET('BPC Data'!$F:$F,0,Summary!J$2),'BPC Data'!$E:$E,Summary!$D201,'BPC Data'!$B:$B,Summary!$C201)</f>
        <v>0</v>
      </c>
      <c r="K201" s="61">
        <f ca="1">SUMIFS(OFFSET('BPC Data'!$F:$F,0,Summary!K$2),'BPC Data'!$E:$E,Summary!$D201,'BPC Data'!$B:$B,Summary!$C201)</f>
        <v>0</v>
      </c>
      <c r="L201" s="65">
        <f ca="1">SUMIFS(OFFSET('BPC Data'!$F:$F,0,Summary!L$2),'BPC Data'!$E:$E,Summary!$D201,'BPC Data'!$B:$B,Summary!$C201)</f>
        <v>0</v>
      </c>
      <c r="M201" s="61">
        <f ca="1">SUMIFS(OFFSET('BPC Data'!$F:$F,0,Summary!M$2),'BPC Data'!$E:$E,Summary!$D201,'BPC Data'!$B:$B,Summary!$C201)</f>
        <v>0</v>
      </c>
      <c r="N201" s="65">
        <f ca="1">SUMIFS(OFFSET('BPC Data'!$F:$F,0,Summary!N$2),'BPC Data'!$E:$E,Summary!$D201,'BPC Data'!$B:$B,Summary!$C201)</f>
        <v>0</v>
      </c>
      <c r="O201" s="61">
        <f ca="1">SUMIFS(OFFSET('BPC Data'!$F:$F,0,Summary!O$2),'BPC Data'!$E:$E,Summary!$D201,'BPC Data'!$B:$B,Summary!$C201)</f>
        <v>0</v>
      </c>
      <c r="P201" s="65">
        <f ca="1">SUMIFS(OFFSET('BPC Data'!$F:$F,0,Summary!P$2),'BPC Data'!$E:$E,Summary!$D201,'BPC Data'!$B:$B,Summary!$C201)</f>
        <v>0</v>
      </c>
      <c r="Q201" s="61">
        <f ca="1">SUMIFS(OFFSET('BPC Data'!$F:$F,0,Summary!Q$2),'BPC Data'!$E:$E,Summary!$D201,'BPC Data'!$B:$B,Summary!$C201)</f>
        <v>0</v>
      </c>
      <c r="R201" s="65">
        <f ca="1">SUMIFS(OFFSET('BPC Data'!$F:$F,0,Summary!R$2),'BPC Data'!$E:$E,Summary!$D201,'BPC Data'!$B:$B,Summary!$C201)</f>
        <v>0</v>
      </c>
      <c r="S201" s="23">
        <f t="shared" ca="1" si="396"/>
        <v>0</v>
      </c>
      <c r="T201" s="75"/>
      <c r="U201" s="4"/>
      <c r="W201"/>
      <c r="X201"/>
      <c r="Y201"/>
      <c r="Z201"/>
      <c r="AA201"/>
      <c r="AB201"/>
      <c r="AC201"/>
      <c r="AD201"/>
      <c r="AE201"/>
      <c r="AF201"/>
      <c r="AG201"/>
      <c r="AH201"/>
      <c r="AI201"/>
      <c r="AJ201" s="14"/>
      <c r="AK201" s="14"/>
      <c r="AL201" s="14"/>
      <c r="AM201" s="14"/>
      <c r="AN201" s="14"/>
      <c r="AO201" s="14"/>
      <c r="AP201" s="14"/>
      <c r="AQ201" s="14"/>
      <c r="AR201" s="14"/>
      <c r="AS201" s="14"/>
      <c r="AT201" s="14"/>
      <c r="AU201" s="14"/>
    </row>
    <row r="202" spans="1:48" s="12" customFormat="1">
      <c r="A202" s="12">
        <f t="shared" si="395"/>
        <v>18</v>
      </c>
      <c r="B202"/>
      <c r="C202" t="str">
        <f>$F196</f>
        <v>Gulf Pointe Village (ALF) (HMG)</v>
      </c>
      <c r="D202" s="2" t="str">
        <f t="shared" si="272"/>
        <v>T_EBITDARM - EBITDARM</v>
      </c>
      <c r="E202"/>
      <c r="F202" s="19" t="str">
        <f>_xll.EVDES(D202)</f>
        <v>EBITDARM</v>
      </c>
      <c r="G202" s="61">
        <f ca="1">SUMIFS(OFFSET('BPC Data'!$F:$F,0,Summary!G$2),'BPC Data'!$E:$E,Summary!$D202,'BPC Data'!$B:$B,Summary!$C202)</f>
        <v>36196</v>
      </c>
      <c r="H202" s="65">
        <f ca="1">SUMIFS(OFFSET('BPC Data'!$F:$F,0,Summary!H$2),'BPC Data'!$E:$E,Summary!$D202,'BPC Data'!$B:$B,Summary!$C202)</f>
        <v>26767</v>
      </c>
      <c r="I202" s="61">
        <f ca="1">SUMIFS(OFFSET('BPC Data'!$F:$F,0,Summary!I$2),'BPC Data'!$E:$E,Summary!$D202,'BPC Data'!$B:$B,Summary!$C202)</f>
        <v>32857</v>
      </c>
      <c r="J202" s="65">
        <f ca="1">SUMIFS(OFFSET('BPC Data'!$F:$F,0,Summary!J$2),'BPC Data'!$E:$E,Summary!$D202,'BPC Data'!$B:$B,Summary!$C202)</f>
        <v>32274</v>
      </c>
      <c r="K202" s="61">
        <f ca="1">SUMIFS(OFFSET('BPC Data'!$F:$F,0,Summary!K$2),'BPC Data'!$E:$E,Summary!$D202,'BPC Data'!$B:$B,Summary!$C202)</f>
        <v>35388</v>
      </c>
      <c r="L202" s="65">
        <f ca="1">SUMIFS(OFFSET('BPC Data'!$F:$F,0,Summary!L$2),'BPC Data'!$E:$E,Summary!$D202,'BPC Data'!$B:$B,Summary!$C202)</f>
        <v>34709</v>
      </c>
      <c r="M202" s="61">
        <f ca="1">SUMIFS(OFFSET('BPC Data'!$F:$F,0,Summary!M$2),'BPC Data'!$E:$E,Summary!$D202,'BPC Data'!$B:$B,Summary!$C202)</f>
        <v>25921</v>
      </c>
      <c r="N202" s="65">
        <f ca="1">SUMIFS(OFFSET('BPC Data'!$F:$F,0,Summary!N$2),'BPC Data'!$E:$E,Summary!$D202,'BPC Data'!$B:$B,Summary!$C202)</f>
        <v>32642</v>
      </c>
      <c r="O202" s="61">
        <f ca="1">SUMIFS(OFFSET('BPC Data'!$F:$F,0,Summary!O$2),'BPC Data'!$E:$E,Summary!$D202,'BPC Data'!$B:$B,Summary!$C202)</f>
        <v>36132</v>
      </c>
      <c r="P202" s="65">
        <f ca="1">SUMIFS(OFFSET('BPC Data'!$F:$F,0,Summary!P$2),'BPC Data'!$E:$E,Summary!$D202,'BPC Data'!$B:$B,Summary!$C202)</f>
        <v>36518</v>
      </c>
      <c r="Q202" s="61">
        <f ca="1">SUMIFS(OFFSET('BPC Data'!$F:$F,0,Summary!Q$2),'BPC Data'!$E:$E,Summary!$D202,'BPC Data'!$B:$B,Summary!$C202)</f>
        <v>28005</v>
      </c>
      <c r="R202" s="65">
        <f ca="1">SUMIFS(OFFSET('BPC Data'!$F:$F,0,Summary!R$2),'BPC Data'!$E:$E,Summary!$D202,'BPC Data'!$B:$B,Summary!$C202)</f>
        <v>29706</v>
      </c>
      <c r="S202" s="23">
        <f t="shared" ca="1" si="396"/>
        <v>387115</v>
      </c>
      <c r="T202" s="74">
        <f ca="1">SUM(W202:AH202)</f>
        <v>387114.14000000013</v>
      </c>
      <c r="U202" s="54">
        <f ca="1">T202-S202</f>
        <v>-0.85999999986961484</v>
      </c>
      <c r="W202" s="50">
        <f t="shared" ref="W202" ca="1" si="398">W199-W200</f>
        <v>36195.709999999992</v>
      </c>
      <c r="X202" s="50">
        <f t="shared" ref="X202:Y202" ca="1" si="399">X199-X200</f>
        <v>26765.999999999985</v>
      </c>
      <c r="Y202" s="50">
        <f t="shared" ca="1" si="399"/>
        <v>32856.71000000005</v>
      </c>
      <c r="Z202" s="50">
        <f t="shared" ref="Z202" ca="1" si="400">Z199-Z200</f>
        <v>32274.530000000115</v>
      </c>
      <c r="AA202" s="50">
        <f t="shared" ref="AA202" ca="1" si="401">AA199-AA200</f>
        <v>35387.909999999916</v>
      </c>
      <c r="AB202" s="50">
        <f t="shared" ref="AB202:AC202" ca="1" si="402">AB199-AB200</f>
        <v>34709.670000000027</v>
      </c>
      <c r="AC202" s="50">
        <f t="shared" ca="1" si="402"/>
        <v>25921.079999999929</v>
      </c>
      <c r="AD202" s="50">
        <f t="shared" ref="AD202:AH202" ca="1" si="403">AD199-AD200</f>
        <v>32642.109999999928</v>
      </c>
      <c r="AE202" s="50">
        <f t="shared" ca="1" si="403"/>
        <v>36130.710000000079</v>
      </c>
      <c r="AF202" s="50">
        <f t="shared" ca="1" si="403"/>
        <v>36517.490000000034</v>
      </c>
      <c r="AG202" s="50">
        <f t="shared" ca="1" si="403"/>
        <v>28005.250000000015</v>
      </c>
      <c r="AH202" s="50">
        <f t="shared" ca="1" si="403"/>
        <v>29706.970000000016</v>
      </c>
      <c r="AI202" s="50"/>
      <c r="AJ202" s="14">
        <f t="shared" ref="AJ202:AU205" ca="1" si="404">W202-G202</f>
        <v>-0.29000000000814907</v>
      </c>
      <c r="AK202" s="14">
        <f t="shared" ca="1" si="404"/>
        <v>-1.0000000000145519</v>
      </c>
      <c r="AL202" s="14">
        <f t="shared" ca="1" si="404"/>
        <v>-0.28999999994994141</v>
      </c>
      <c r="AM202" s="14">
        <f t="shared" ca="1" si="404"/>
        <v>0.53000000011525117</v>
      </c>
      <c r="AN202" s="14">
        <f t="shared" ca="1" si="404"/>
        <v>-9.0000000083819032E-2</v>
      </c>
      <c r="AO202" s="14">
        <f t="shared" ca="1" si="404"/>
        <v>0.6700000000273576</v>
      </c>
      <c r="AP202" s="14">
        <f t="shared" ca="1" si="404"/>
        <v>7.9999999928986654E-2</v>
      </c>
      <c r="AQ202" s="14">
        <f t="shared" ca="1" si="404"/>
        <v>0.1099999999278225</v>
      </c>
      <c r="AR202" s="14">
        <f t="shared" ca="1" si="404"/>
        <v>-1.2899999999208376</v>
      </c>
      <c r="AS202" s="14">
        <f t="shared" ca="1" si="404"/>
        <v>-0.50999999996565748</v>
      </c>
      <c r="AT202" s="14">
        <f t="shared" ca="1" si="404"/>
        <v>0.25000000001455192</v>
      </c>
      <c r="AU202" s="14">
        <f t="shared" ca="1" si="404"/>
        <v>0.97000000001571607</v>
      </c>
    </row>
    <row r="203" spans="1:48" s="12" customFormat="1">
      <c r="A203" s="12">
        <f t="shared" si="395"/>
        <v>18</v>
      </c>
      <c r="B203"/>
      <c r="C203" t="str">
        <f>$F196</f>
        <v>Gulf Pointe Village (ALF) (HMG)</v>
      </c>
      <c r="D203" s="2" t="str">
        <f t="shared" si="272"/>
        <v>T_MGMT_FEE - Tenant Management Fee - Actual</v>
      </c>
      <c r="E203"/>
      <c r="F203" s="19" t="str">
        <f>_xll.EVDES(D203)</f>
        <v>Tenant Management Fee - Actual</v>
      </c>
      <c r="G203" s="61">
        <f ca="1">SUMIFS(OFFSET('BPC Data'!$F:$F,0,Summary!G$2),'BPC Data'!$E:$E,Summary!$D203,'BPC Data'!$B:$B,Summary!$C203)</f>
        <v>4599</v>
      </c>
      <c r="H203" s="65">
        <f ca="1">SUMIFS(OFFSET('BPC Data'!$F:$F,0,Summary!H$2),'BPC Data'!$E:$E,Summary!$D203,'BPC Data'!$B:$B,Summary!$C203)</f>
        <v>4599</v>
      </c>
      <c r="I203" s="61">
        <f ca="1">SUMIFS(OFFSET('BPC Data'!$F:$F,0,Summary!I$2),'BPC Data'!$E:$E,Summary!$D203,'BPC Data'!$B:$B,Summary!$C203)</f>
        <v>4236</v>
      </c>
      <c r="J203" s="65">
        <f ca="1">SUMIFS(OFFSET('BPC Data'!$F:$F,0,Summary!J$2),'BPC Data'!$E:$E,Summary!$D203,'BPC Data'!$B:$B,Summary!$C203)</f>
        <v>4510</v>
      </c>
      <c r="K203" s="61">
        <f ca="1">SUMIFS(OFFSET('BPC Data'!$F:$F,0,Summary!K$2),'BPC Data'!$E:$E,Summary!$D203,'BPC Data'!$B:$B,Summary!$C203)</f>
        <v>4783</v>
      </c>
      <c r="L203" s="65">
        <f ca="1">SUMIFS(OFFSET('BPC Data'!$F:$F,0,Summary!L$2),'BPC Data'!$E:$E,Summary!$D203,'BPC Data'!$B:$B,Summary!$C203)</f>
        <v>4567</v>
      </c>
      <c r="M203" s="61">
        <f ca="1">SUMIFS(OFFSET('BPC Data'!$F:$F,0,Summary!M$2),'BPC Data'!$E:$E,Summary!$D203,'BPC Data'!$B:$B,Summary!$C203)</f>
        <v>4331</v>
      </c>
      <c r="N203" s="65">
        <f ca="1">SUMIFS(OFFSET('BPC Data'!$F:$F,0,Summary!N$2),'BPC Data'!$E:$E,Summary!$D203,'BPC Data'!$B:$B,Summary!$C203)</f>
        <v>4693</v>
      </c>
      <c r="O203" s="61">
        <f ca="1">SUMIFS(OFFSET('BPC Data'!$F:$F,0,Summary!O$2),'BPC Data'!$E:$E,Summary!$D203,'BPC Data'!$B:$B,Summary!$C203)</f>
        <v>4810</v>
      </c>
      <c r="P203" s="65">
        <f ca="1">SUMIFS(OFFSET('BPC Data'!$F:$F,0,Summary!P$2),'BPC Data'!$E:$E,Summary!$D203,'BPC Data'!$B:$B,Summary!$C203)</f>
        <v>5161</v>
      </c>
      <c r="Q203" s="61">
        <f ca="1">SUMIFS(OFFSET('BPC Data'!$F:$F,0,Summary!Q$2),'BPC Data'!$E:$E,Summary!$D203,'BPC Data'!$B:$B,Summary!$C203)</f>
        <v>4379</v>
      </c>
      <c r="R203" s="65">
        <f ca="1">SUMIFS(OFFSET('BPC Data'!$F:$F,0,Summary!R$2),'BPC Data'!$E:$E,Summary!$D203,'BPC Data'!$B:$B,Summary!$C203)</f>
        <v>4410</v>
      </c>
      <c r="S203" s="23">
        <f t="shared" ca="1" si="396"/>
        <v>55078</v>
      </c>
      <c r="T203" s="74">
        <f ca="1">SUM(W203:AH203)</f>
        <v>55078</v>
      </c>
      <c r="U203" s="54">
        <f ca="1">T203-S203</f>
        <v>0</v>
      </c>
      <c r="W203" s="4">
        <f ca="1">SUMIFS(INDIRECT("'"&amp;$W$195&amp;"'"&amp;"!$B$64:$B$5000"),INDIRECT("'"&amp;$W$195&amp;"'"&amp;"!$A$64:$A$5000"),$V$7)</f>
        <v>4599</v>
      </c>
      <c r="X203" s="4">
        <f ca="1">SUMIFS(INDIRECT("'"&amp;$W$195&amp;"'"&amp;"!$C$64:$C$5000"),INDIRECT("'"&amp;$W$195&amp;"'"&amp;"!$A$64:$A$5000"),$V$7)</f>
        <v>4599</v>
      </c>
      <c r="Y203" s="4">
        <f ca="1">SUMIFS(INDIRECT("'"&amp;$W$195&amp;"'"&amp;"!$d$64:$d$5000"),INDIRECT("'"&amp;$W$195&amp;"'"&amp;"!$A$64:$A$5000"),$V$7)</f>
        <v>4236</v>
      </c>
      <c r="Z203" s="4">
        <f ca="1">SUMIFS(INDIRECT("'"&amp;$W$195&amp;"'"&amp;"!$E$64:$E$5000"),INDIRECT("'"&amp;$W$195&amp;"'"&amp;"!$A$64:$A$5000"),$V$7)</f>
        <v>4510</v>
      </c>
      <c r="AA203" s="4">
        <f ca="1">SUMIFS(INDIRECT("'"&amp;$W$195&amp;"'"&amp;"!$F$64:$F$5000"),INDIRECT("'"&amp;$W$195&amp;"'"&amp;"!$A$64:$A$5000"),$V$7)</f>
        <v>4783</v>
      </c>
      <c r="AB203" s="4">
        <f ca="1">SUMIFS(INDIRECT("'"&amp;$W$195&amp;"'"&amp;"!$G$64:$G$5000"),INDIRECT("'"&amp;$W$195&amp;"'"&amp;"!$A$64:$A$5000"),$V$7)</f>
        <v>4567</v>
      </c>
      <c r="AC203" s="4">
        <f ca="1">SUMIFS(INDIRECT("'"&amp;$W$195&amp;"'"&amp;"!$h$64:$h$5000"),INDIRECT("'"&amp;$W$195&amp;"'"&amp;"!$A$64:$A$5000"),$V$7)</f>
        <v>4331</v>
      </c>
      <c r="AD203" s="4">
        <f ca="1">SUMIFS(INDIRECT("'"&amp;$W$195&amp;"'"&amp;"!$i$64:$i$5000"),INDIRECT("'"&amp;$W$195&amp;"'"&amp;"!$A$64:$A$5000"),$V$7)</f>
        <v>4693</v>
      </c>
      <c r="AE203" s="4">
        <f ca="1">SUMIFS(INDIRECT("'"&amp;$W$195&amp;"'"&amp;"!$j$64:$j$5000"),INDIRECT("'"&amp;$W$195&amp;"'"&amp;"!$A$64:$A$5000"),$V$7)</f>
        <v>4810</v>
      </c>
      <c r="AF203" s="4">
        <f ca="1">SUMIFS(INDIRECT("'"&amp;$W$195&amp;"'"&amp;"!$k$64:$k$5000"),INDIRECT("'"&amp;$W$195&amp;"'"&amp;"!$A$64:$A$5000"),$V$7)</f>
        <v>5161</v>
      </c>
      <c r="AG203" s="4">
        <f ca="1">SUMIFS(INDIRECT("'"&amp;$W$195&amp;"'"&amp;"!$l$64:$l$5000"),INDIRECT("'"&amp;$W$195&amp;"'"&amp;"!$A$64:$A$5000"),$V$7)</f>
        <v>4379</v>
      </c>
      <c r="AH203" s="4">
        <f ca="1">SUMIFS(INDIRECT("'"&amp;$W$195&amp;"'"&amp;"!$m$64:$m$5000"),INDIRECT("'"&amp;$W$195&amp;"'"&amp;"!$A$64:$A$5000"),$V$7)</f>
        <v>4410</v>
      </c>
      <c r="AI203" s="4"/>
      <c r="AJ203" s="14">
        <f t="shared" ca="1" si="404"/>
        <v>0</v>
      </c>
      <c r="AK203" s="14">
        <f t="shared" ca="1" si="404"/>
        <v>0</v>
      </c>
      <c r="AL203" s="14">
        <f t="shared" ca="1" si="404"/>
        <v>0</v>
      </c>
      <c r="AM203" s="14">
        <f t="shared" ca="1" si="404"/>
        <v>0</v>
      </c>
      <c r="AN203" s="14">
        <f t="shared" ca="1" si="404"/>
        <v>0</v>
      </c>
      <c r="AO203" s="14">
        <f t="shared" ca="1" si="404"/>
        <v>0</v>
      </c>
      <c r="AP203" s="14">
        <f t="shared" ca="1" si="404"/>
        <v>0</v>
      </c>
      <c r="AQ203" s="14">
        <f t="shared" ca="1" si="404"/>
        <v>0</v>
      </c>
      <c r="AR203" s="14">
        <f t="shared" ca="1" si="404"/>
        <v>0</v>
      </c>
      <c r="AS203" s="14">
        <f t="shared" ca="1" si="404"/>
        <v>0</v>
      </c>
      <c r="AT203" s="14">
        <f t="shared" ca="1" si="404"/>
        <v>0</v>
      </c>
      <c r="AU203" s="14">
        <f t="shared" ca="1" si="404"/>
        <v>0</v>
      </c>
    </row>
    <row r="204" spans="1:48" s="12" customFormat="1">
      <c r="A204" s="12">
        <f t="shared" si="395"/>
        <v>18</v>
      </c>
      <c r="B204"/>
      <c r="C204" t="str">
        <f>$F196</f>
        <v>Gulf Pointe Village (ALF) (HMG)</v>
      </c>
      <c r="D204" s="1" t="str">
        <f t="shared" si="272"/>
        <v>T_EBITDAR - EBITDAR</v>
      </c>
      <c r="E204"/>
      <c r="F204" s="19" t="str">
        <f>_xll.EVDES(D204)</f>
        <v>EBITDAR</v>
      </c>
      <c r="G204" s="61">
        <f ca="1">SUMIFS(OFFSET('BPC Data'!$F:$F,0,Summary!G$2),'BPC Data'!$E:$E,Summary!$D204,'BPC Data'!$B:$B,Summary!$C204)</f>
        <v>31597</v>
      </c>
      <c r="H204" s="65">
        <f ca="1">SUMIFS(OFFSET('BPC Data'!$F:$F,0,Summary!H$2),'BPC Data'!$E:$E,Summary!$D204,'BPC Data'!$B:$B,Summary!$C204)</f>
        <v>22168</v>
      </c>
      <c r="I204" s="61">
        <f ca="1">SUMIFS(OFFSET('BPC Data'!$F:$F,0,Summary!I$2),'BPC Data'!$E:$E,Summary!$D204,'BPC Data'!$B:$B,Summary!$C204)</f>
        <v>28621</v>
      </c>
      <c r="J204" s="65">
        <f ca="1">SUMIFS(OFFSET('BPC Data'!$F:$F,0,Summary!J$2),'BPC Data'!$E:$E,Summary!$D204,'BPC Data'!$B:$B,Summary!$C204)</f>
        <v>27764</v>
      </c>
      <c r="K204" s="61">
        <f ca="1">SUMIFS(OFFSET('BPC Data'!$F:$F,0,Summary!K$2),'BPC Data'!$E:$E,Summary!$D204,'BPC Data'!$B:$B,Summary!$C204)</f>
        <v>30605</v>
      </c>
      <c r="L204" s="65">
        <f ca="1">SUMIFS(OFFSET('BPC Data'!$F:$F,0,Summary!L$2),'BPC Data'!$E:$E,Summary!$D204,'BPC Data'!$B:$B,Summary!$C204)</f>
        <v>30142</v>
      </c>
      <c r="M204" s="61">
        <f ca="1">SUMIFS(OFFSET('BPC Data'!$F:$F,0,Summary!M$2),'BPC Data'!$E:$E,Summary!$D204,'BPC Data'!$B:$B,Summary!$C204)</f>
        <v>21590</v>
      </c>
      <c r="N204" s="65">
        <f ca="1">SUMIFS(OFFSET('BPC Data'!$F:$F,0,Summary!N$2),'BPC Data'!$E:$E,Summary!$D204,'BPC Data'!$B:$B,Summary!$C204)</f>
        <v>27949</v>
      </c>
      <c r="O204" s="61">
        <f ca="1">SUMIFS(OFFSET('BPC Data'!$F:$F,0,Summary!O$2),'BPC Data'!$E:$E,Summary!$D204,'BPC Data'!$B:$B,Summary!$C204)</f>
        <v>31322</v>
      </c>
      <c r="P204" s="65">
        <f ca="1">SUMIFS(OFFSET('BPC Data'!$F:$F,0,Summary!P$2),'BPC Data'!$E:$E,Summary!$D204,'BPC Data'!$B:$B,Summary!$C204)</f>
        <v>31357</v>
      </c>
      <c r="Q204" s="61">
        <f ca="1">SUMIFS(OFFSET('BPC Data'!$F:$F,0,Summary!Q$2),'BPC Data'!$E:$E,Summary!$D204,'BPC Data'!$B:$B,Summary!$C204)</f>
        <v>23626</v>
      </c>
      <c r="R204" s="65">
        <f ca="1">SUMIFS(OFFSET('BPC Data'!$F:$F,0,Summary!R$2),'BPC Data'!$E:$E,Summary!$D204,'BPC Data'!$B:$B,Summary!$C204)</f>
        <v>25296</v>
      </c>
      <c r="S204" s="23">
        <f t="shared" ca="1" si="396"/>
        <v>332037</v>
      </c>
      <c r="T204" s="74">
        <f ca="1">SUM(W204:AH204)</f>
        <v>332036.14000000007</v>
      </c>
      <c r="U204" s="54">
        <f ca="1">T204-S204</f>
        <v>-0.8599999999278225</v>
      </c>
      <c r="W204" s="50">
        <f t="shared" ref="W204" ca="1" si="405">W202-W203</f>
        <v>31596.709999999992</v>
      </c>
      <c r="X204" s="50">
        <f t="shared" ref="X204:Y204" ca="1" si="406">X202-X203</f>
        <v>22166.999999999985</v>
      </c>
      <c r="Y204" s="50">
        <f t="shared" ca="1" si="406"/>
        <v>28620.71000000005</v>
      </c>
      <c r="Z204" s="50">
        <f t="shared" ref="Z204" ca="1" si="407">Z202-Z203</f>
        <v>27764.530000000115</v>
      </c>
      <c r="AA204" s="50">
        <f t="shared" ref="AA204" ca="1" si="408">AA202-AA203</f>
        <v>30604.909999999916</v>
      </c>
      <c r="AB204" s="50">
        <f t="shared" ref="AB204:AC204" ca="1" si="409">AB202-AB203</f>
        <v>30142.670000000027</v>
      </c>
      <c r="AC204" s="50">
        <f t="shared" ca="1" si="409"/>
        <v>21590.079999999929</v>
      </c>
      <c r="AD204" s="50">
        <f t="shared" ref="AD204:AH204" ca="1" si="410">AD202-AD203</f>
        <v>27949.109999999928</v>
      </c>
      <c r="AE204" s="50">
        <f t="shared" ca="1" si="410"/>
        <v>31320.710000000079</v>
      </c>
      <c r="AF204" s="50">
        <f t="shared" ca="1" si="410"/>
        <v>31356.490000000034</v>
      </c>
      <c r="AG204" s="50">
        <f t="shared" ca="1" si="410"/>
        <v>23626.250000000015</v>
      </c>
      <c r="AH204" s="50">
        <f t="shared" ca="1" si="410"/>
        <v>25296.970000000016</v>
      </c>
      <c r="AI204" s="50"/>
      <c r="AJ204" s="14">
        <f t="shared" ca="1" si="404"/>
        <v>-0.29000000000814907</v>
      </c>
      <c r="AK204" s="14">
        <f t="shared" ca="1" si="404"/>
        <v>-1.0000000000145519</v>
      </c>
      <c r="AL204" s="14">
        <f t="shared" ca="1" si="404"/>
        <v>-0.28999999994994141</v>
      </c>
      <c r="AM204" s="14">
        <f t="shared" ca="1" si="404"/>
        <v>0.53000000011525117</v>
      </c>
      <c r="AN204" s="14">
        <f t="shared" ca="1" si="404"/>
        <v>-9.0000000083819032E-2</v>
      </c>
      <c r="AO204" s="14">
        <f t="shared" ca="1" si="404"/>
        <v>0.6700000000273576</v>
      </c>
      <c r="AP204" s="14">
        <f t="shared" ca="1" si="404"/>
        <v>7.9999999928986654E-2</v>
      </c>
      <c r="AQ204" s="14">
        <f t="shared" ca="1" si="404"/>
        <v>0.1099999999278225</v>
      </c>
      <c r="AR204" s="14">
        <f t="shared" ca="1" si="404"/>
        <v>-1.2899999999208376</v>
      </c>
      <c r="AS204" s="14">
        <f t="shared" ca="1" si="404"/>
        <v>-0.50999999996565748</v>
      </c>
      <c r="AT204" s="14">
        <f t="shared" ca="1" si="404"/>
        <v>0.25000000001455192</v>
      </c>
      <c r="AU204" s="14">
        <f t="shared" ca="1" si="404"/>
        <v>0.97000000001571607</v>
      </c>
    </row>
    <row r="205" spans="1:48" s="12" customFormat="1">
      <c r="A205" s="12">
        <f t="shared" si="395"/>
        <v>18</v>
      </c>
      <c r="B205"/>
      <c r="C205" t="str">
        <f>$F196</f>
        <v>Gulf Pointe Village (ALF) (HMG)</v>
      </c>
      <c r="D205" s="1" t="str">
        <f t="shared" si="272"/>
        <v>T_RENT_EXP - Tenant Rent Expense</v>
      </c>
      <c r="E205"/>
      <c r="F205" s="19" t="str">
        <f>_xll.EVDES(D205)</f>
        <v>Tenant Rent Expense</v>
      </c>
      <c r="G205" s="61">
        <f ca="1">SUMIFS(OFFSET('BPC Data'!$F:$F,0,Summary!G$2),'BPC Data'!$E:$E,Summary!$D205,'BPC Data'!$B:$B,Summary!$C205)</f>
        <v>8929</v>
      </c>
      <c r="H205" s="65">
        <f ca="1">SUMIFS(OFFSET('BPC Data'!$F:$F,0,Summary!H$2),'BPC Data'!$E:$E,Summary!$D205,'BPC Data'!$B:$B,Summary!$C205)</f>
        <v>9319</v>
      </c>
      <c r="I205" s="61">
        <f ca="1">SUMIFS(OFFSET('BPC Data'!$F:$F,0,Summary!I$2),'BPC Data'!$E:$E,Summary!$D205,'BPC Data'!$B:$B,Summary!$C205)</f>
        <v>9319</v>
      </c>
      <c r="J205" s="65">
        <f ca="1">SUMIFS(OFFSET('BPC Data'!$F:$F,0,Summary!J$2),'BPC Data'!$E:$E,Summary!$D205,'BPC Data'!$B:$B,Summary!$C205)</f>
        <v>9319</v>
      </c>
      <c r="K205" s="61">
        <f ca="1">SUMIFS(OFFSET('BPC Data'!$F:$F,0,Summary!K$2),'BPC Data'!$E:$E,Summary!$D205,'BPC Data'!$B:$B,Summary!$C205)</f>
        <v>9319</v>
      </c>
      <c r="L205" s="65">
        <f ca="1">SUMIFS(OFFSET('BPC Data'!$F:$F,0,Summary!L$2),'BPC Data'!$E:$E,Summary!$D205,'BPC Data'!$B:$B,Summary!$C205)</f>
        <v>9319</v>
      </c>
      <c r="M205" s="61">
        <f ca="1">SUMIFS(OFFSET('BPC Data'!$F:$F,0,Summary!M$2),'BPC Data'!$E:$E,Summary!$D205,'BPC Data'!$B:$B,Summary!$C205)</f>
        <v>9319</v>
      </c>
      <c r="N205" s="65">
        <f ca="1">SUMIFS(OFFSET('BPC Data'!$F:$F,0,Summary!N$2),'BPC Data'!$E:$E,Summary!$D205,'BPC Data'!$B:$B,Summary!$C205)</f>
        <v>9319</v>
      </c>
      <c r="O205" s="61">
        <f ca="1">SUMIFS(OFFSET('BPC Data'!$F:$F,0,Summary!O$2),'BPC Data'!$E:$E,Summary!$D205,'BPC Data'!$B:$B,Summary!$C205)</f>
        <v>9319</v>
      </c>
      <c r="P205" s="65">
        <f ca="1">SUMIFS(OFFSET('BPC Data'!$F:$F,0,Summary!P$2),'BPC Data'!$E:$E,Summary!$D205,'BPC Data'!$B:$B,Summary!$C205)</f>
        <v>9319</v>
      </c>
      <c r="Q205" s="61">
        <f ca="1">SUMIFS(OFFSET('BPC Data'!$F:$F,0,Summary!Q$2),'BPC Data'!$E:$E,Summary!$D205,'BPC Data'!$B:$B,Summary!$C205)</f>
        <v>9319</v>
      </c>
      <c r="R205" s="65">
        <f ca="1">SUMIFS(OFFSET('BPC Data'!$F:$F,0,Summary!R$2),'BPC Data'!$E:$E,Summary!$D205,'BPC Data'!$B:$B,Summary!$C205)</f>
        <v>10166</v>
      </c>
      <c r="S205" s="23">
        <f t="shared" ca="1" si="396"/>
        <v>112285</v>
      </c>
      <c r="T205" s="74">
        <f ca="1">SUM(W205:AH205)</f>
        <v>112280.80000000002</v>
      </c>
      <c r="U205" s="54">
        <f ca="1">T205-S205</f>
        <v>-4.1999999999825377</v>
      </c>
      <c r="W205" s="4">
        <f ca="1">SUMIFS(INDIRECT("'"&amp;$W$195&amp;"'"&amp;"!$B$64:$B$5000"),INDIRECT("'"&amp;$W$195&amp;"'"&amp;"!$A$64:$A$5000"),$W$3)+SUMIFS(INDIRECT("'"&amp;$W$195&amp;"'"&amp;"!$B$64:$B$5000"),INDIRECT("'"&amp;$W$195&amp;"'"&amp;"!$A$64:$A$5000"),$W$4)</f>
        <v>8929</v>
      </c>
      <c r="X205" s="4">
        <f ca="1">SUMIFS(INDIRECT("'"&amp;$W$195&amp;"'"&amp;"!$C$64:$C$5000"),INDIRECT("'"&amp;$W$195&amp;"'"&amp;"!$A$64:$A$5000"),$W$3)+SUMIFS(INDIRECT("'"&amp;$W$195&amp;"'"&amp;"!$C$64:$C$5000"),INDIRECT("'"&amp;$W$195&amp;"'"&amp;"!$A$64:$A$5000"),$W$4)</f>
        <v>9318.58</v>
      </c>
      <c r="Y205" s="4">
        <f ca="1">SUMIFS(INDIRECT("'"&amp;$W$195&amp;"'"&amp;"!$d$64:$d$5000"),INDIRECT("'"&amp;$W$195&amp;"'"&amp;"!$A$64:$A$5000"),$W$3)+SUMIFS(INDIRECT("'"&amp;$W$195&amp;"'"&amp;"!$d$64:$d$5000"),INDIRECT("'"&amp;$W$195&amp;"'"&amp;"!$A$64:$A$5000"),$W$4)</f>
        <v>9318.58</v>
      </c>
      <c r="Z205" s="4">
        <f ca="1">SUMIFS(INDIRECT("'"&amp;$W$195&amp;"'"&amp;"!$E$64:$E$5000"),INDIRECT("'"&amp;$W$195&amp;"'"&amp;"!$A$64:$A$5000"),$W$3)+SUMIFS(INDIRECT("'"&amp;$W$195&amp;"'"&amp;"!$E$64:$E$5000"),INDIRECT("'"&amp;$W$195&amp;"'"&amp;"!$A$64:$A$5000"),$W$4)</f>
        <v>9318.58</v>
      </c>
      <c r="AA205" s="4">
        <f ca="1">SUMIFS(INDIRECT("'"&amp;$W$195&amp;"'"&amp;"!$F$64:$F$5000"),INDIRECT("'"&amp;$W$195&amp;"'"&amp;"!$A$64:$A$5000"),$W$3)+SUMIFS(INDIRECT("'"&amp;$W$195&amp;"'"&amp;"!$F$64:$F$5000"),INDIRECT("'"&amp;$W$195&amp;"'"&amp;"!$A$64:$A$5000"),$W$4)</f>
        <v>9318.58</v>
      </c>
      <c r="AB205" s="4">
        <f ca="1">SUMIFS(INDIRECT("'"&amp;$W$195&amp;"'"&amp;"!$G$64:$G$5000"),INDIRECT("'"&amp;$W$195&amp;"'"&amp;"!$A$64:$A$5000"),$W$3)+SUMIFS(INDIRECT("'"&amp;$W$195&amp;"'"&amp;"!$G$64:$G$5000"),INDIRECT("'"&amp;$W$195&amp;"'"&amp;"!$A$64:$A$5000"),$W$4)</f>
        <v>9318.58</v>
      </c>
      <c r="AC205" s="4">
        <f ca="1">SUMIFS(INDIRECT("'"&amp;$W$195&amp;"'"&amp;"!$h$64:$h$5000"),INDIRECT("'"&amp;$W$195&amp;"'"&amp;"!$A$64:$A$5000"),$W$3)+SUMIFS(INDIRECT("'"&amp;$W$195&amp;"'"&amp;"!$h$64:$h$5000"),INDIRECT("'"&amp;$W$195&amp;"'"&amp;"!$A$64:$A$5000"),$W$4)</f>
        <v>9318.58</v>
      </c>
      <c r="AD205" s="4">
        <f ca="1">SUMIFS(INDIRECT("'"&amp;$W$195&amp;"'"&amp;"!$i$64:$i$5000"),INDIRECT("'"&amp;$W$195&amp;"'"&amp;"!$A$64:$A$5000"),$W$3)+SUMIFS(INDIRECT("'"&amp;$W$195&amp;"'"&amp;"!$i$64:$i$5000"),INDIRECT("'"&amp;$W$195&amp;"'"&amp;"!$A$64:$A$5000"),$W$4)</f>
        <v>9318.58</v>
      </c>
      <c r="AE205" s="4">
        <f ca="1">SUMIFS(INDIRECT("'"&amp;$W$195&amp;"'"&amp;"!$j$64:$j$5000"),INDIRECT("'"&amp;$W$195&amp;"'"&amp;"!$A$64:$A$5000"),$W$3)+SUMIFS(INDIRECT("'"&amp;$W$195&amp;"'"&amp;"!$j$64:$j$5000"),INDIRECT("'"&amp;$W$195&amp;"'"&amp;"!$A$64:$A$5000"),$W$4)</f>
        <v>9318.58</v>
      </c>
      <c r="AF205" s="4">
        <f ca="1">SUMIFS(INDIRECT("'"&amp;$W$195&amp;"'"&amp;"!$k$64:$k$5000"),INDIRECT("'"&amp;$W$195&amp;"'"&amp;"!$A$64:$A$5000"),$W$3)+SUMIFS(INDIRECT("'"&amp;$W$195&amp;"'"&amp;"!$k$64:$k$5000"),INDIRECT("'"&amp;$W$195&amp;"'"&amp;"!$A$64:$A$5000"),$W$4)</f>
        <v>9318.58</v>
      </c>
      <c r="AG205" s="4">
        <f ca="1">SUMIFS(INDIRECT("'"&amp;$W$195&amp;"'"&amp;"!$l$64:$l$5000"),INDIRECT("'"&amp;$W$195&amp;"'"&amp;"!$A$64:$A$5000"),$W$3)+SUMIFS(INDIRECT("'"&amp;$W$195&amp;"'"&amp;"!$l$64:$l$5000"),INDIRECT("'"&amp;$W$195&amp;"'"&amp;"!$A$64:$A$5000"),$W$4)</f>
        <v>9318.58</v>
      </c>
      <c r="AH205" s="4">
        <f ca="1">SUMIFS(INDIRECT("'"&amp;$W$195&amp;"'"&amp;"!$m$64:$m$5000"),INDIRECT("'"&amp;$W$195&amp;"'"&amp;"!$A$64:$A$5000"),$W$3)+SUMIFS(INDIRECT("'"&amp;$W$195&amp;"'"&amp;"!$m$64:$m$5000"),INDIRECT("'"&amp;$W$195&amp;"'"&amp;"!$A$64:$A$5000"),$W$4)</f>
        <v>10166</v>
      </c>
      <c r="AI205" s="4"/>
      <c r="AJ205" s="14">
        <f t="shared" ca="1" si="404"/>
        <v>0</v>
      </c>
      <c r="AK205" s="14">
        <f t="shared" ca="1" si="404"/>
        <v>-0.42000000000007276</v>
      </c>
      <c r="AL205" s="14">
        <f t="shared" ca="1" si="404"/>
        <v>-0.42000000000007276</v>
      </c>
      <c r="AM205" s="14">
        <f t="shared" ca="1" si="404"/>
        <v>-0.42000000000007276</v>
      </c>
      <c r="AN205" s="14">
        <f t="shared" ca="1" si="404"/>
        <v>-0.42000000000007276</v>
      </c>
      <c r="AO205" s="14">
        <f t="shared" ca="1" si="404"/>
        <v>-0.42000000000007276</v>
      </c>
      <c r="AP205" s="14">
        <f t="shared" ca="1" si="404"/>
        <v>-0.42000000000007276</v>
      </c>
      <c r="AQ205" s="14">
        <f t="shared" ca="1" si="404"/>
        <v>-0.42000000000007276</v>
      </c>
      <c r="AR205" s="14">
        <f t="shared" ca="1" si="404"/>
        <v>-0.42000000000007276</v>
      </c>
      <c r="AS205" s="14">
        <f t="shared" ca="1" si="404"/>
        <v>-0.42000000000007276</v>
      </c>
      <c r="AT205" s="14">
        <f t="shared" ca="1" si="404"/>
        <v>-0.42000000000007276</v>
      </c>
      <c r="AU205" s="14">
        <f t="shared" ca="1" si="404"/>
        <v>0</v>
      </c>
    </row>
    <row r="206" spans="1:48" s="12" customFormat="1">
      <c r="A206" s="12">
        <f t="shared" si="395"/>
        <v>18</v>
      </c>
      <c r="B206"/>
      <c r="C206"/>
      <c r="D206" s="1" t="str">
        <f t="shared" si="272"/>
        <v>x</v>
      </c>
      <c r="E206"/>
      <c r="F206" s="19" t="s">
        <v>0</v>
      </c>
      <c r="G206" s="61">
        <f ca="1">SUMIFS(OFFSET('BPC Data'!$F:$F,0,Summary!G$2),'BPC Data'!$E:$E,Summary!$D206,'BPC Data'!$B:$B,Summary!$C206)</f>
        <v>0</v>
      </c>
      <c r="H206" s="65">
        <f ca="1">SUMIFS(OFFSET('BPC Data'!$F:$F,0,Summary!H$2),'BPC Data'!$E:$E,Summary!$D206,'BPC Data'!$B:$B,Summary!$C206)</f>
        <v>0</v>
      </c>
      <c r="I206" s="61">
        <f ca="1">SUMIFS(OFFSET('BPC Data'!$F:$F,0,Summary!I$2),'BPC Data'!$E:$E,Summary!$D206,'BPC Data'!$B:$B,Summary!$C206)</f>
        <v>0</v>
      </c>
      <c r="J206" s="65">
        <f ca="1">SUMIFS(OFFSET('BPC Data'!$F:$F,0,Summary!J$2),'BPC Data'!$E:$E,Summary!$D206,'BPC Data'!$B:$B,Summary!$C206)</f>
        <v>0</v>
      </c>
      <c r="K206" s="61">
        <f ca="1">SUMIFS(OFFSET('BPC Data'!$F:$F,0,Summary!K$2),'BPC Data'!$E:$E,Summary!$D206,'BPC Data'!$B:$B,Summary!$C206)</f>
        <v>0</v>
      </c>
      <c r="L206" s="65">
        <f ca="1">SUMIFS(OFFSET('BPC Data'!$F:$F,0,Summary!L$2),'BPC Data'!$E:$E,Summary!$D206,'BPC Data'!$B:$B,Summary!$C206)</f>
        <v>0</v>
      </c>
      <c r="M206" s="61">
        <f ca="1">SUMIFS(OFFSET('BPC Data'!$F:$F,0,Summary!M$2),'BPC Data'!$E:$E,Summary!$D206,'BPC Data'!$B:$B,Summary!$C206)</f>
        <v>0</v>
      </c>
      <c r="N206" s="65">
        <f ca="1">SUMIFS(OFFSET('BPC Data'!$F:$F,0,Summary!N$2),'BPC Data'!$E:$E,Summary!$D206,'BPC Data'!$B:$B,Summary!$C206)</f>
        <v>0</v>
      </c>
      <c r="O206" s="61">
        <f ca="1">SUMIFS(OFFSET('BPC Data'!$F:$F,0,Summary!O$2),'BPC Data'!$E:$E,Summary!$D206,'BPC Data'!$B:$B,Summary!$C206)</f>
        <v>0</v>
      </c>
      <c r="P206" s="65">
        <f ca="1">SUMIFS(OFFSET('BPC Data'!$F:$F,0,Summary!P$2),'BPC Data'!$E:$E,Summary!$D206,'BPC Data'!$B:$B,Summary!$C206)</f>
        <v>0</v>
      </c>
      <c r="Q206" s="61">
        <f ca="1">SUMIFS(OFFSET('BPC Data'!$F:$F,0,Summary!Q$2),'BPC Data'!$E:$E,Summary!$D206,'BPC Data'!$B:$B,Summary!$C206)</f>
        <v>0</v>
      </c>
      <c r="R206" s="65">
        <f ca="1">SUMIFS(OFFSET('BPC Data'!$F:$F,0,Summary!R$2),'BPC Data'!$E:$E,Summary!$D206,'BPC Data'!$B:$B,Summary!$C206)</f>
        <v>0</v>
      </c>
      <c r="S206" s="23">
        <f ca="1">SUM(G206:M206)</f>
        <v>0</v>
      </c>
      <c r="T206" s="76"/>
      <c r="W206" t="s">
        <v>312</v>
      </c>
      <c r="X206"/>
      <c r="Y206"/>
      <c r="Z206"/>
      <c r="AA206"/>
      <c r="AB206"/>
      <c r="AC206"/>
      <c r="AD206"/>
      <c r="AE206"/>
      <c r="AF206"/>
      <c r="AG206" t="s">
        <v>313</v>
      </c>
      <c r="AJ206" s="49"/>
      <c r="AK206" s="49"/>
      <c r="AL206" s="49"/>
      <c r="AM206" s="49"/>
      <c r="AN206" s="49"/>
      <c r="AO206" s="49"/>
      <c r="AP206" s="49"/>
      <c r="AQ206" s="49"/>
      <c r="AR206" s="49"/>
      <c r="AS206" s="49"/>
      <c r="AT206" s="49"/>
      <c r="AU206" s="49"/>
    </row>
    <row r="207" spans="1:48" s="12" customFormat="1">
      <c r="A207" s="12">
        <f>IF(AND(D207&lt;&gt;"",C207=""),A206+1,A206)</f>
        <v>19</v>
      </c>
      <c r="B207" s="5"/>
      <c r="C207" s="5"/>
      <c r="D207" s="5" t="str">
        <f t="shared" si="272"/>
        <v>x</v>
      </c>
      <c r="E207" s="5"/>
      <c r="F207" s="18" t="str">
        <f>INDEX(PropertyList!$D:$D,MATCH(Summary!$A207,PropertyList!$C:$C,0))</f>
        <v>Park Manor at Bee Cave (HMG)</v>
      </c>
      <c r="G207" s="61">
        <f ca="1">SUMIFS(OFFSET('BPC Data'!$F:$F,0,Summary!G$2),'BPC Data'!$E:$E,Summary!$D207,'BPC Data'!$B:$B,Summary!$C207)</f>
        <v>0</v>
      </c>
      <c r="H207" s="65">
        <f ca="1">SUMIFS(OFFSET('BPC Data'!$F:$F,0,Summary!H$2),'BPC Data'!$E:$E,Summary!$D207,'BPC Data'!$B:$B,Summary!$C207)</f>
        <v>0</v>
      </c>
      <c r="I207" s="61">
        <f ca="1">SUMIFS(OFFSET('BPC Data'!$F:$F,0,Summary!I$2),'BPC Data'!$E:$E,Summary!$D207,'BPC Data'!$B:$B,Summary!$C207)</f>
        <v>0</v>
      </c>
      <c r="J207" s="65">
        <f ca="1">SUMIFS(OFFSET('BPC Data'!$F:$F,0,Summary!J$2),'BPC Data'!$E:$E,Summary!$D207,'BPC Data'!$B:$B,Summary!$C207)</f>
        <v>0</v>
      </c>
      <c r="K207" s="61">
        <f ca="1">SUMIFS(OFFSET('BPC Data'!$F:$F,0,Summary!K$2),'BPC Data'!$E:$E,Summary!$D207,'BPC Data'!$B:$B,Summary!$C207)</f>
        <v>0</v>
      </c>
      <c r="L207" s="65">
        <f ca="1">SUMIFS(OFFSET('BPC Data'!$F:$F,0,Summary!L$2),'BPC Data'!$E:$E,Summary!$D207,'BPC Data'!$B:$B,Summary!$C207)</f>
        <v>0</v>
      </c>
      <c r="M207" s="61">
        <f ca="1">SUMIFS(OFFSET('BPC Data'!$F:$F,0,Summary!M$2),'BPC Data'!$E:$E,Summary!$D207,'BPC Data'!$B:$B,Summary!$C207)</f>
        <v>0</v>
      </c>
      <c r="N207" s="65">
        <f ca="1">SUMIFS(OFFSET('BPC Data'!$F:$F,0,Summary!N$2),'BPC Data'!$E:$E,Summary!$D207,'BPC Data'!$B:$B,Summary!$C207)</f>
        <v>0</v>
      </c>
      <c r="O207" s="61">
        <f ca="1">SUMIFS(OFFSET('BPC Data'!$F:$F,0,Summary!O$2),'BPC Data'!$E:$E,Summary!$D207,'BPC Data'!$B:$B,Summary!$C207)</f>
        <v>0</v>
      </c>
      <c r="P207" s="65">
        <f ca="1">SUMIFS(OFFSET('BPC Data'!$F:$F,0,Summary!P$2),'BPC Data'!$E:$E,Summary!$D207,'BPC Data'!$B:$B,Summary!$C207)</f>
        <v>0</v>
      </c>
      <c r="Q207" s="61">
        <f ca="1">SUMIFS(OFFSET('BPC Data'!$F:$F,0,Summary!Q$2),'BPC Data'!$E:$E,Summary!$D207,'BPC Data'!$B:$B,Summary!$C207)</f>
        <v>0</v>
      </c>
      <c r="R207" s="65">
        <f ca="1">SUMIFS(OFFSET('BPC Data'!$F:$F,0,Summary!R$2),'BPC Data'!$E:$E,Summary!$D207,'BPC Data'!$B:$B,Summary!$C207)</f>
        <v>0</v>
      </c>
      <c r="S207" s="23">
        <f ca="1">SUM(G207:M207)</f>
        <v>0</v>
      </c>
      <c r="T207" s="76"/>
      <c r="W207" s="5" t="str">
        <f t="shared" ref="W207:AH207" si="411">+G$8</f>
        <v>Aug 2021</v>
      </c>
      <c r="X207" s="5" t="str">
        <f t="shared" si="411"/>
        <v>Sep 2021</v>
      </c>
      <c r="Y207" s="5" t="str">
        <f t="shared" si="411"/>
        <v>Oct 2021</v>
      </c>
      <c r="Z207" s="5" t="str">
        <f t="shared" si="411"/>
        <v>Nov 2021</v>
      </c>
      <c r="AA207" s="5" t="str">
        <f t="shared" si="411"/>
        <v>Dec 2021</v>
      </c>
      <c r="AB207" s="5" t="str">
        <f t="shared" si="411"/>
        <v>Jan 2022</v>
      </c>
      <c r="AC207" s="5" t="str">
        <f t="shared" si="411"/>
        <v>Feb 2022</v>
      </c>
      <c r="AD207" s="5" t="str">
        <f t="shared" si="411"/>
        <v>Mar 2022</v>
      </c>
      <c r="AE207" s="5" t="str">
        <f t="shared" si="411"/>
        <v>Apr 2022</v>
      </c>
      <c r="AF207" s="5" t="str">
        <f t="shared" si="411"/>
        <v>May 2022</v>
      </c>
      <c r="AG207" s="5" t="str">
        <f t="shared" si="411"/>
        <v>Jun 2022</v>
      </c>
      <c r="AH207" s="5" t="str">
        <f t="shared" si="411"/>
        <v>Jul 2022</v>
      </c>
      <c r="AJ207" s="174" t="str">
        <f>W$9</f>
        <v>Aug 2021</v>
      </c>
      <c r="AK207" s="174" t="str">
        <f t="shared" ref="AK207" si="412">X$9</f>
        <v>Sep 2021</v>
      </c>
      <c r="AL207" s="174" t="str">
        <f t="shared" ref="AL207" si="413">Y$9</f>
        <v>Oct 2021</v>
      </c>
      <c r="AM207" s="174" t="str">
        <f t="shared" ref="AM207" si="414">Z$9</f>
        <v>Nov 2021</v>
      </c>
      <c r="AN207" s="174" t="str">
        <f t="shared" ref="AN207:AO207" si="415">AA$9</f>
        <v>Dec 2021</v>
      </c>
      <c r="AO207" s="174" t="str">
        <f t="shared" si="415"/>
        <v>Jan 2022</v>
      </c>
      <c r="AP207" s="174" t="str">
        <f t="shared" ref="AP207" si="416">AC$9</f>
        <v>Feb 2022</v>
      </c>
      <c r="AQ207" s="174" t="str">
        <f t="shared" ref="AQ207" si="417">AD$9</f>
        <v>Mar 2022</v>
      </c>
      <c r="AR207" s="174" t="str">
        <f t="shared" ref="AR207" si="418">AE$9</f>
        <v>Apr 2022</v>
      </c>
      <c r="AS207" s="174" t="str">
        <f t="shared" ref="AS207" si="419">AF$9</f>
        <v>May 2022</v>
      </c>
      <c r="AT207" s="174" t="str">
        <f t="shared" ref="AT207" si="420">AG$9</f>
        <v>Jun 2022</v>
      </c>
      <c r="AU207" s="174" t="str">
        <f t="shared" ref="AU207" si="421">AH$9</f>
        <v>Jul 2022</v>
      </c>
    </row>
    <row r="208" spans="1:48" s="12" customFormat="1">
      <c r="A208" s="12">
        <f>IF(AND(F208&lt;&gt;"",D208=""),A207+1,A207)</f>
        <v>19</v>
      </c>
      <c r="C208" t="str">
        <f>$F207</f>
        <v>Park Manor at Bee Cave (HMG)</v>
      </c>
      <c r="D208" s="3" t="str">
        <f t="shared" si="272"/>
        <v>PAY_PAT_DAYS - Total Payor Patient Days</v>
      </c>
      <c r="F208" s="19" t="str">
        <f>_xll.EVDES(D208)</f>
        <v>Total Payor Patient Days</v>
      </c>
      <c r="G208" s="61">
        <f ca="1">SUMIFS(OFFSET('BPC Data'!$F:$F,0,Summary!G$2),'BPC Data'!$E:$E,Summary!$D208,'BPC Data'!$B:$B,Summary!$C208)</f>
        <v>2585</v>
      </c>
      <c r="H208" s="65">
        <f ca="1">SUMIFS(OFFSET('BPC Data'!$F:$F,0,Summary!H$2),'BPC Data'!$E:$E,Summary!$D208,'BPC Data'!$B:$B,Summary!$C208)</f>
        <v>2643</v>
      </c>
      <c r="I208" s="61">
        <f ca="1">SUMIFS(OFFSET('BPC Data'!$F:$F,0,Summary!I$2),'BPC Data'!$E:$E,Summary!$D208,'BPC Data'!$B:$B,Summary!$C208)</f>
        <v>2639</v>
      </c>
      <c r="J208" s="65">
        <f ca="1">SUMIFS(OFFSET('BPC Data'!$F:$F,0,Summary!J$2),'BPC Data'!$E:$E,Summary!$D208,'BPC Data'!$B:$B,Summary!$C208)</f>
        <v>2586</v>
      </c>
      <c r="K208" s="61">
        <f ca="1">SUMIFS(OFFSET('BPC Data'!$F:$F,0,Summary!K$2),'BPC Data'!$E:$E,Summary!$D208,'BPC Data'!$B:$B,Summary!$C208)</f>
        <v>2493</v>
      </c>
      <c r="L208" s="65">
        <f ca="1">SUMIFS(OFFSET('BPC Data'!$F:$F,0,Summary!L$2),'BPC Data'!$E:$E,Summary!$D208,'BPC Data'!$B:$B,Summary!$C208)</f>
        <v>2622</v>
      </c>
      <c r="M208" s="61">
        <f ca="1">SUMIFS(OFFSET('BPC Data'!$F:$F,0,Summary!M$2),'BPC Data'!$E:$E,Summary!$D208,'BPC Data'!$B:$B,Summary!$C208)</f>
        <v>2316</v>
      </c>
      <c r="N208" s="65">
        <f ca="1">SUMIFS(OFFSET('BPC Data'!$F:$F,0,Summary!N$2),'BPC Data'!$E:$E,Summary!$D208,'BPC Data'!$B:$B,Summary!$C208)</f>
        <v>2484</v>
      </c>
      <c r="O208" s="61">
        <f ca="1">SUMIFS(OFFSET('BPC Data'!$F:$F,0,Summary!O$2),'BPC Data'!$E:$E,Summary!$D208,'BPC Data'!$B:$B,Summary!$C208)</f>
        <v>2404</v>
      </c>
      <c r="P208" s="65">
        <f ca="1">SUMIFS(OFFSET('BPC Data'!$F:$F,0,Summary!P$2),'BPC Data'!$E:$E,Summary!$D208,'BPC Data'!$B:$B,Summary!$C208)</f>
        <v>2570</v>
      </c>
      <c r="Q208" s="61">
        <f ca="1">SUMIFS(OFFSET('BPC Data'!$F:$F,0,Summary!Q$2),'BPC Data'!$E:$E,Summary!$D208,'BPC Data'!$B:$B,Summary!$C208)</f>
        <v>2431</v>
      </c>
      <c r="R208" s="65">
        <f ca="1">SUMIFS(OFFSET('BPC Data'!$F:$F,0,Summary!R$2),'BPC Data'!$E:$E,Summary!$D208,'BPC Data'!$B:$B,Summary!$C208)</f>
        <v>0</v>
      </c>
      <c r="S208" s="23">
        <f ca="1">SUM(G208:Q208)</f>
        <v>27773</v>
      </c>
      <c r="T208" s="74">
        <f ca="1">SUM(W208:AG208)</f>
        <v>12946</v>
      </c>
      <c r="U208" s="54">
        <f ca="1">T208-S208</f>
        <v>-14827</v>
      </c>
      <c r="W208" s="4">
        <f ca="1">SUMIFS(INDIRECT("'"&amp;$W$206&amp;"'"&amp;"!$B$1:$B$5000"),INDIRECT("'"&amp;$W$206&amp;"'"&amp;"!$A$1:$A$5000"),$W$2)</f>
        <v>2585</v>
      </c>
      <c r="X208" s="4">
        <f ca="1">SUMIFS(INDIRECT("'"&amp;$W$206&amp;"'"&amp;"!$C$1:$C$5000"),INDIRECT("'"&amp;$W$206&amp;"'"&amp;"!$A$1:$A$5000"),$W$2)</f>
        <v>2643</v>
      </c>
      <c r="Y208" s="4">
        <f ca="1">SUMIFS(INDIRECT("'"&amp;$W$206&amp;"'"&amp;"!$d$1:$d$5000"),INDIRECT("'"&amp;$W$206&amp;"'"&amp;"!$A$1:$A$5000"),$W$2)</f>
        <v>2639</v>
      </c>
      <c r="Z208" s="4">
        <f ca="1">SUMIFS(INDIRECT("'"&amp;$W$206&amp;"'"&amp;"!$E$1:$E$5000"),INDIRECT("'"&amp;$W$206&amp;"'"&amp;"!$A$1:$A$5000"),$W$2)</f>
        <v>2586</v>
      </c>
      <c r="AA208" s="4">
        <f ca="1">SUMIFS(INDIRECT("'"&amp;$W$206&amp;"'"&amp;"!$F$1:$F$5000"),INDIRECT("'"&amp;$W$206&amp;"'"&amp;"!$A$1:$A$5000"),$W$2)</f>
        <v>2493</v>
      </c>
      <c r="AB208" s="4">
        <f ca="1">SUMIFS(INDIRECT("'"&amp;$W$206&amp;"'"&amp;"!$G$1:$G$5000"),INDIRECT("'"&amp;$W$206&amp;"'"&amp;"!$A$1:$A$5000"),$W$2)</f>
        <v>2622</v>
      </c>
      <c r="AC208" s="4">
        <f ca="1">SUMIFS(INDIRECT("'"&amp;$W$206&amp;"'"&amp;"!$H$1:$H$5000"),INDIRECT("'"&amp;$W$206&amp;"'"&amp;"!$A$1:$A$5000"),$W$2)</f>
        <v>2316</v>
      </c>
      <c r="AD208" s="4">
        <f ca="1">SUMIFS(INDIRECT("'"&amp;$W$206&amp;"'"&amp;"!$i$1:$i$5000"),INDIRECT("'"&amp;$W$206&amp;"'"&amp;"!$A$1:$A$5000"),$W$2)</f>
        <v>2484</v>
      </c>
      <c r="AE208" s="4">
        <f ca="1">SUMIFS(INDIRECT("'"&amp;$W$206&amp;"'"&amp;"!$j$1:$j$5000"),INDIRECT("'"&amp;$W$206&amp;"'"&amp;"!$A$1:$A$5000"),$W$2)</f>
        <v>2404</v>
      </c>
      <c r="AF208" s="4">
        <f ca="1">SUMIFS(INDIRECT("'"&amp;$W$206&amp;"'"&amp;"!$k$1:$k$5000"),INDIRECT("'"&amp;$W$206&amp;"'"&amp;"!$A$1:$A$5000"),$W$2)</f>
        <v>2570</v>
      </c>
      <c r="AG208" s="4">
        <f ca="1">SUMIFS(INDIRECT("'"&amp;$W$206&amp;"'"&amp;"!$l$1:$l$5000"),INDIRECT("'"&amp;$W$206&amp;"'"&amp;"!$A$1:$A$5000"),$W$2)</f>
        <v>-12396</v>
      </c>
      <c r="AH208" s="4"/>
      <c r="AJ208" s="14">
        <f t="shared" ref="AJ208:AT208" ca="1" si="422">W208-G208</f>
        <v>0</v>
      </c>
      <c r="AK208" s="14">
        <f t="shared" ca="1" si="422"/>
        <v>0</v>
      </c>
      <c r="AL208" s="14">
        <f t="shared" ca="1" si="422"/>
        <v>0</v>
      </c>
      <c r="AM208" s="14">
        <f t="shared" ca="1" si="422"/>
        <v>0</v>
      </c>
      <c r="AN208" s="14">
        <f t="shared" ca="1" si="422"/>
        <v>0</v>
      </c>
      <c r="AO208" s="14">
        <f t="shared" ca="1" si="422"/>
        <v>0</v>
      </c>
      <c r="AP208" s="14">
        <f t="shared" ca="1" si="422"/>
        <v>0</v>
      </c>
      <c r="AQ208" s="14">
        <f t="shared" ca="1" si="422"/>
        <v>0</v>
      </c>
      <c r="AR208" s="14">
        <f t="shared" ca="1" si="422"/>
        <v>0</v>
      </c>
      <c r="AS208" s="14">
        <f t="shared" ca="1" si="422"/>
        <v>0</v>
      </c>
      <c r="AT208" s="14">
        <f t="shared" ca="1" si="422"/>
        <v>-14827</v>
      </c>
      <c r="AU208" s="14"/>
    </row>
    <row r="209" spans="1:47" s="12" customFormat="1">
      <c r="A209" s="12">
        <f t="shared" ref="A209:A217" si="423">IF(AND(F209&lt;&gt;"",D209=""),A208+1,A208)</f>
        <v>19</v>
      </c>
      <c r="C209" t="str">
        <f>$F207</f>
        <v>Park Manor at Bee Cave (HMG)</v>
      </c>
      <c r="D209" s="3" t="str">
        <f t="shared" si="272"/>
        <v>A_BEDS_TOTAL - Total Available Beds</v>
      </c>
      <c r="F209" s="19" t="str">
        <f>_xll.EVDES(D209)</f>
        <v>Total Available Beds</v>
      </c>
      <c r="G209" s="61">
        <f ca="1">SUMIFS(OFFSET('BPC Data'!$F:$F,0,Summary!G$2),'BPC Data'!$E:$E,Summary!$D209,'BPC Data'!$B:$B,Summary!$C209)</f>
        <v>140</v>
      </c>
      <c r="H209" s="65">
        <f ca="1">SUMIFS(OFFSET('BPC Data'!$F:$F,0,Summary!H$2),'BPC Data'!$E:$E,Summary!$D209,'BPC Data'!$B:$B,Summary!$C209)</f>
        <v>140</v>
      </c>
      <c r="I209" s="61">
        <f ca="1">SUMIFS(OFFSET('BPC Data'!$F:$F,0,Summary!I$2),'BPC Data'!$E:$E,Summary!$D209,'BPC Data'!$B:$B,Summary!$C209)</f>
        <v>140</v>
      </c>
      <c r="J209" s="65">
        <f ca="1">SUMIFS(OFFSET('BPC Data'!$F:$F,0,Summary!J$2),'BPC Data'!$E:$E,Summary!$D209,'BPC Data'!$B:$B,Summary!$C209)</f>
        <v>140</v>
      </c>
      <c r="K209" s="61">
        <f ca="1">SUMIFS(OFFSET('BPC Data'!$F:$F,0,Summary!K$2),'BPC Data'!$E:$E,Summary!$D209,'BPC Data'!$B:$B,Summary!$C209)</f>
        <v>140</v>
      </c>
      <c r="L209" s="65">
        <f ca="1">SUMIFS(OFFSET('BPC Data'!$F:$F,0,Summary!L$2),'BPC Data'!$E:$E,Summary!$D209,'BPC Data'!$B:$B,Summary!$C209)</f>
        <v>140</v>
      </c>
      <c r="M209" s="61">
        <f ca="1">SUMIFS(OFFSET('BPC Data'!$F:$F,0,Summary!M$2),'BPC Data'!$E:$E,Summary!$D209,'BPC Data'!$B:$B,Summary!$C209)</f>
        <v>140</v>
      </c>
      <c r="N209" s="65">
        <f ca="1">SUMIFS(OFFSET('BPC Data'!$F:$F,0,Summary!N$2),'BPC Data'!$E:$E,Summary!$D209,'BPC Data'!$B:$B,Summary!$C209)</f>
        <v>140</v>
      </c>
      <c r="O209" s="61">
        <f ca="1">SUMIFS(OFFSET('BPC Data'!$F:$F,0,Summary!O$2),'BPC Data'!$E:$E,Summary!$D209,'BPC Data'!$B:$B,Summary!$C209)</f>
        <v>140</v>
      </c>
      <c r="P209" s="65">
        <f ca="1">SUMIFS(OFFSET('BPC Data'!$F:$F,0,Summary!P$2),'BPC Data'!$E:$E,Summary!$D209,'BPC Data'!$B:$B,Summary!$C209)</f>
        <v>140</v>
      </c>
      <c r="Q209" s="61">
        <f ca="1">SUMIFS(OFFSET('BPC Data'!$F:$F,0,Summary!Q$2),'BPC Data'!$E:$E,Summary!$D209,'BPC Data'!$B:$B,Summary!$C209)</f>
        <v>140</v>
      </c>
      <c r="R209" s="65">
        <f ca="1">SUMIFS(OFFSET('BPC Data'!$F:$F,0,Summary!R$2),'BPC Data'!$E:$E,Summary!$D209,'BPC Data'!$B:$B,Summary!$C209)</f>
        <v>140</v>
      </c>
      <c r="S209" s="23">
        <f ca="1">+Q209</f>
        <v>140</v>
      </c>
      <c r="T209" s="74"/>
      <c r="U209" s="54"/>
      <c r="AJ209" s="49"/>
      <c r="AK209" s="49"/>
      <c r="AL209" s="49"/>
      <c r="AM209" s="49"/>
      <c r="AN209" s="49"/>
      <c r="AO209" s="49"/>
      <c r="AP209" s="49"/>
      <c r="AQ209" s="49"/>
      <c r="AR209" s="49"/>
      <c r="AS209" s="49"/>
      <c r="AT209" s="49"/>
      <c r="AU209" s="49"/>
    </row>
    <row r="210" spans="1:47" s="12" customFormat="1">
      <c r="A210" s="12">
        <f t="shared" si="423"/>
        <v>19</v>
      </c>
      <c r="B210"/>
      <c r="C210" t="str">
        <f>$F207</f>
        <v>Park Manor at Bee Cave (HMG)</v>
      </c>
      <c r="D210" s="3" t="str">
        <f t="shared" si="272"/>
        <v>T_REVENUES - Total Tenant Revenues</v>
      </c>
      <c r="E210"/>
      <c r="F210" s="19" t="str">
        <f>_xll.EVDES(D210)</f>
        <v>Total Tenant Revenues</v>
      </c>
      <c r="G210" s="61">
        <f ca="1">SUMIFS(OFFSET('BPC Data'!$F:$F,0,Summary!G$2),'BPC Data'!$E:$E,Summary!$D210,'BPC Data'!$B:$B,Summary!$C210)</f>
        <v>770298</v>
      </c>
      <c r="H210" s="65">
        <f ca="1">SUMIFS(OFFSET('BPC Data'!$F:$F,0,Summary!H$2),'BPC Data'!$E:$E,Summary!$D210,'BPC Data'!$B:$B,Summary!$C210)</f>
        <v>765614</v>
      </c>
      <c r="I210" s="61">
        <f ca="1">SUMIFS(OFFSET('BPC Data'!$F:$F,0,Summary!I$2),'BPC Data'!$E:$E,Summary!$D210,'BPC Data'!$B:$B,Summary!$C210)</f>
        <v>685769</v>
      </c>
      <c r="J210" s="65">
        <f ca="1">SUMIFS(OFFSET('BPC Data'!$F:$F,0,Summary!J$2),'BPC Data'!$E:$E,Summary!$D210,'BPC Data'!$B:$B,Summary!$C210)</f>
        <v>667575</v>
      </c>
      <c r="K210" s="61">
        <f ca="1">SUMIFS(OFFSET('BPC Data'!$F:$F,0,Summary!K$2),'BPC Data'!$E:$E,Summary!$D210,'BPC Data'!$B:$B,Summary!$C210)</f>
        <v>656524</v>
      </c>
      <c r="L210" s="65">
        <f ca="1">SUMIFS(OFFSET('BPC Data'!$F:$F,0,Summary!L$2),'BPC Data'!$E:$E,Summary!$D210,'BPC Data'!$B:$B,Summary!$C210)</f>
        <v>814640</v>
      </c>
      <c r="M210" s="61">
        <f ca="1">SUMIFS(OFFSET('BPC Data'!$F:$F,0,Summary!M$2),'BPC Data'!$E:$E,Summary!$D210,'BPC Data'!$B:$B,Summary!$C210)</f>
        <v>746944</v>
      </c>
      <c r="N210" s="65">
        <f ca="1">SUMIFS(OFFSET('BPC Data'!$F:$F,0,Summary!N$2),'BPC Data'!$E:$E,Summary!$D210,'BPC Data'!$B:$B,Summary!$C210)</f>
        <v>666031</v>
      </c>
      <c r="O210" s="61">
        <f ca="1">SUMIFS(OFFSET('BPC Data'!$F:$F,0,Summary!O$2),'BPC Data'!$E:$E,Summary!$D210,'BPC Data'!$B:$B,Summary!$C210)</f>
        <v>659696</v>
      </c>
      <c r="P210" s="65">
        <f ca="1">SUMIFS(OFFSET('BPC Data'!$F:$F,0,Summary!P$2),'BPC Data'!$E:$E,Summary!$D210,'BPC Data'!$B:$B,Summary!$C210)</f>
        <v>752460</v>
      </c>
      <c r="Q210" s="61">
        <f ca="1">SUMIFS(OFFSET('BPC Data'!$F:$F,0,Summary!Q$2),'BPC Data'!$E:$E,Summary!$D210,'BPC Data'!$B:$B,Summary!$C210)</f>
        <v>673434</v>
      </c>
      <c r="R210" s="65">
        <f ca="1">SUMIFS(OFFSET('BPC Data'!$F:$F,0,Summary!R$2),'BPC Data'!$E:$E,Summary!$D210,'BPC Data'!$B:$B,Summary!$C210)</f>
        <v>-107424</v>
      </c>
      <c r="S210" s="23">
        <f t="shared" ref="S210:S216" ca="1" si="424">SUM(G210:Q210)</f>
        <v>7858985</v>
      </c>
      <c r="T210" s="74">
        <f ca="1">SUM(W210:AG210)</f>
        <v>2521817.0499999928</v>
      </c>
      <c r="U210" s="54">
        <f ca="1">T210-S210</f>
        <v>-5337167.9500000067</v>
      </c>
      <c r="W210" s="4">
        <f ca="1">SUMIFS(INDIRECT("'"&amp;$W$206&amp;"'"&amp;"!$B$64:$B$5000"),INDIRECT("'"&amp;$W$206&amp;"'"&amp;"!$A$64:$A$5000"),$V$1)-SUMIFS(INDIRECT("'"&amp;$W$206&amp;"'"&amp;"!$B$64:$B$5000"),INDIRECT("'"&amp;$W$206&amp;"'"&amp;"!$A$64:$A$5000"),$V$2)-SUMIFS(INDIRECT("'"&amp;$W$206&amp;"'"&amp;"!$B$64:$B$5000"),INDIRECT("'"&amp;$W$206&amp;"'"&amp;"!$A$64:$A$5000"),$V$3)-SUMIFS(INDIRECT("'"&amp;$W$206&amp;"'"&amp;"!$B$64:$B$5000"),INDIRECT("'"&amp;$W$206&amp;"'"&amp;"!$A$64:$A$5000"),$X$4)-SUMIFS(INDIRECT("'"&amp;$W$206&amp;"'"&amp;"!$B$64:$B$5000"),INDIRECT("'"&amp;$W$206&amp;"'"&amp;"!$A$64:$A$5000"),$X$3)</f>
        <v>770298.09999999858</v>
      </c>
      <c r="X210" s="4">
        <f ca="1">SUMIFS(INDIRECT("'"&amp;$W$206&amp;"'"&amp;"!$C$64:$C$5000"),INDIRECT("'"&amp;$W$206&amp;"'"&amp;"!$A$64:$A$5000"),$V$1)-SUMIFS(INDIRECT("'"&amp;$W$206&amp;"'"&amp;"!$C$64:$C$5000"),INDIRECT("'"&amp;$W$206&amp;"'"&amp;"!$A$64:$A$5000"),$V$2)-SUMIFS(INDIRECT("'"&amp;$W$206&amp;"'"&amp;"!$C$64:$C$5000"),INDIRECT("'"&amp;$W$206&amp;"'"&amp;"!$A$64:$A$5000"),$V$3)-SUMIFS(INDIRECT("'"&amp;$W$206&amp;"'"&amp;"!$C$64:$C$5000"),INDIRECT("'"&amp;$W$206&amp;"'"&amp;"!$A$64:$A$5000"),$X$4)-SUMIFS(INDIRECT("'"&amp;$W$206&amp;"'"&amp;"!$C$64:$C$5000"),INDIRECT("'"&amp;$W$206&amp;"'"&amp;"!$A$64:$A$5000"),$X$3)</f>
        <v>765614.46999999962</v>
      </c>
      <c r="Y210" s="4">
        <f ca="1">SUMIFS(INDIRECT("'"&amp;$W$206&amp;"'"&amp;"!$d$64:$d$5000"),INDIRECT("'"&amp;$W$206&amp;"'"&amp;"!$A$64:$A$5000"),$V$1)-SUMIFS(INDIRECT("'"&amp;$W$206&amp;"'"&amp;"!$d$64:$d$5000"),INDIRECT("'"&amp;$W$206&amp;"'"&amp;"!$A$64:$A$5000"),$V$2)-SUMIFS(INDIRECT("'"&amp;$W$206&amp;"'"&amp;"!$d$64:$d$5000"),INDIRECT("'"&amp;$W$206&amp;"'"&amp;"!$A$64:$A$5000"),$V$3)-SUMIFS(INDIRECT("'"&amp;$W$206&amp;"'"&amp;"!$d$64:$d$5000"),INDIRECT("'"&amp;$W$206&amp;"'"&amp;"!$A$64:$A$5000"),$X$4)-SUMIFS(INDIRECT("'"&amp;$W$206&amp;"'"&amp;"!$d$64:$d$5000"),INDIRECT("'"&amp;$W$206&amp;"'"&amp;"!$A$64:$A$5000"),$X$3)</f>
        <v>685768.66999999969</v>
      </c>
      <c r="Z210" s="4">
        <f ca="1">SUMIFS(INDIRECT("'"&amp;$W$206&amp;"'"&amp;"!$e$64:$e$5000"),INDIRECT("'"&amp;$W$206&amp;"'"&amp;"!$A$64:$A$5000"),$V$1)-SUMIFS(INDIRECT("'"&amp;$W$206&amp;"'"&amp;"!$e$64:$e$5000"),INDIRECT("'"&amp;$W$206&amp;"'"&amp;"!$A$64:$A$5000"),$V$2)-SUMIFS(INDIRECT("'"&amp;$W$206&amp;"'"&amp;"!$e$64:$e$5000"),INDIRECT("'"&amp;$W$206&amp;"'"&amp;"!$A$64:$A$5000"),$V$3)-SUMIFS(INDIRECT("'"&amp;$W$206&amp;"'"&amp;"!$e$64:$e$5000"),INDIRECT("'"&amp;$W$206&amp;"'"&amp;"!$A$64:$A$5000"),$X$4)-SUMIFS(INDIRECT("'"&amp;$W$206&amp;"'"&amp;"!$e$64:$e$5000"),INDIRECT("'"&amp;$W$206&amp;"'"&amp;"!$A$64:$A$5000"),$X$3)</f>
        <v>667575.17999999982</v>
      </c>
      <c r="AA210" s="4">
        <f ca="1">SUMIFS(INDIRECT("'"&amp;$W$206&amp;"'"&amp;"!$f$64:$f$5000"),INDIRECT("'"&amp;$W$206&amp;"'"&amp;"!$A$64:$A$5000"),$V$1)-SUMIFS(INDIRECT("'"&amp;$W$206&amp;"'"&amp;"!$f$64:$f$5000"),INDIRECT("'"&amp;$W$206&amp;"'"&amp;"!$A$64:$A$5000"),$V$2)-SUMIFS(INDIRECT("'"&amp;$W$206&amp;"'"&amp;"!$f$64:$f$5000"),INDIRECT("'"&amp;$W$206&amp;"'"&amp;"!$A$64:$A$5000"),$V$3)-SUMIFS(INDIRECT("'"&amp;$W$206&amp;"'"&amp;"!$f$64:$f$5000"),INDIRECT("'"&amp;$W$206&amp;"'"&amp;"!$A$64:$A$5000"),$X$4)-SUMIFS(INDIRECT("'"&amp;$W$206&amp;"'"&amp;"!$f$64:$f$5000"),INDIRECT("'"&amp;$W$206&amp;"'"&amp;"!$A$64:$A$5000"),$X$3)</f>
        <v>-367439.36999999976</v>
      </c>
      <c r="AB210" s="4">
        <f ca="1">SUMIFS(INDIRECT("'"&amp;$W$206&amp;"'"&amp;"!$g$64:$g$5000"),INDIRECT("'"&amp;$W$206&amp;"'"&amp;"!$A$64:$A$5000"),$V$1)-SUMIFS(INDIRECT("'"&amp;$W$206&amp;"'"&amp;"!$g$64:$g$5000"),INDIRECT("'"&amp;$W$206&amp;"'"&amp;"!$A$64:$A$5000"),$V$2)-SUMIFS(INDIRECT("'"&amp;$W$206&amp;"'"&amp;"!$g$64:$g$5000"),INDIRECT("'"&amp;$W$206&amp;"'"&amp;"!$A$64:$A$5000"),$V$3)-SUMIFS(INDIRECT("'"&amp;$W$206&amp;"'"&amp;"!$g$64:$g$5000"),INDIRECT("'"&amp;$W$206&amp;"'"&amp;"!$A$64:$A$5000"),$X$4)-SUMIFS(INDIRECT("'"&amp;$W$206&amp;"'"&amp;"!$g$64:$g$5000"),INDIRECT("'"&amp;$W$206&amp;"'"&amp;"!$A$64:$A$5000"),$X$3)</f>
        <v>814640.29999999888</v>
      </c>
      <c r="AC210" s="4">
        <f ca="1">SUMIFS(INDIRECT("'"&amp;$W$206&amp;"'"&amp;"!$h$64:$h$5000"),INDIRECT("'"&amp;$W$206&amp;"'"&amp;"!$A$64:$A$5000"),$V$1)-SUMIFS(INDIRECT("'"&amp;$W$206&amp;"'"&amp;"!$h$64:$h$5000"),INDIRECT("'"&amp;$W$206&amp;"'"&amp;"!$A$64:$A$5000"),$V$2)-SUMIFS(INDIRECT("'"&amp;$W$206&amp;"'"&amp;"!$h$64:$h$5000"),INDIRECT("'"&amp;$W$206&amp;"'"&amp;"!$A$64:$A$5000"),$V$3)-SUMIFS(INDIRECT("'"&amp;$W$206&amp;"'"&amp;"!$h$64:$h$5000"),INDIRECT("'"&amp;$W$206&amp;"'"&amp;"!$A$64:$A$5000"),$X$4)-SUMIFS(INDIRECT("'"&amp;$W$206&amp;"'"&amp;"!$h$64:$h$5000"),INDIRECT("'"&amp;$W$206&amp;"'"&amp;"!$A$64:$A$5000"),$X$3)</f>
        <v>746944.45000000088</v>
      </c>
      <c r="AD210" s="4">
        <f ca="1">SUMIFS(INDIRECT("'"&amp;$W$206&amp;"'"&amp;"!$i$64:$i$5000"),INDIRECT("'"&amp;$W$206&amp;"'"&amp;"!$A$64:$A$5000"),$V$1)-SUMIFS(INDIRECT("'"&amp;$W$206&amp;"'"&amp;"!$i$64:$i$5000"),INDIRECT("'"&amp;$W$206&amp;"'"&amp;"!$A$64:$A$5000"),$V$2)-SUMIFS(INDIRECT("'"&amp;$W$206&amp;"'"&amp;"!$i$64:$i$5000"),INDIRECT("'"&amp;$W$206&amp;"'"&amp;"!$A$64:$A$5000"),$V$3)-SUMIFS(INDIRECT("'"&amp;$W$206&amp;"'"&amp;"!$i$64:$i$5000"),INDIRECT("'"&amp;$W$206&amp;"'"&amp;"!$A$64:$A$5000"),$X$4)-SUMIFS(INDIRECT("'"&amp;$W$206&amp;"'"&amp;"!$i$64:$i$5000"),INDIRECT("'"&amp;$W$206&amp;"'"&amp;"!$A$64:$A$5000"),$X$3)</f>
        <v>666031.16999999946</v>
      </c>
      <c r="AE210" s="4">
        <f ca="1">SUMIFS(INDIRECT("'"&amp;$W$206&amp;"'"&amp;"!$j$64:$j$5000"),INDIRECT("'"&amp;$W$206&amp;"'"&amp;"!$A$64:$A$5000"),$V$1)-SUMIFS(INDIRECT("'"&amp;$W$206&amp;"'"&amp;"!$j$64:$j$5000"),INDIRECT("'"&amp;$W$206&amp;"'"&amp;"!$A$64:$A$5000"),$V$2)-SUMIFS(INDIRECT("'"&amp;$W$206&amp;"'"&amp;"!$j$64:$j$5000"),INDIRECT("'"&amp;$W$206&amp;"'"&amp;"!$A$64:$A$5000"),$V$3)-SUMIFS(INDIRECT("'"&amp;$W$206&amp;"'"&amp;"!$j$64:$j$5000"),INDIRECT("'"&amp;$W$206&amp;"'"&amp;"!$A$64:$A$5000"),$X$4)-SUMIFS(INDIRECT("'"&amp;$W$206&amp;"'"&amp;"!$j$64:$j$5000"),INDIRECT("'"&amp;$W$206&amp;"'"&amp;"!$A$64:$A$5000"),$X$3)</f>
        <v>659696.27000000083</v>
      </c>
      <c r="AF210" s="4">
        <f ca="1">SUMIFS(INDIRECT("'"&amp;$W$206&amp;"'"&amp;"!$k$64:$k$5000"),INDIRECT("'"&amp;$W$206&amp;"'"&amp;"!$A$64:$A$5000"),$V$1)-SUMIFS(INDIRECT("'"&amp;$W$206&amp;"'"&amp;"!$k$64:$k$5000"),INDIRECT("'"&amp;$W$206&amp;"'"&amp;"!$A$64:$A$5000"),$V$2)-SUMIFS(INDIRECT("'"&amp;$W$206&amp;"'"&amp;"!$k$64:$k$5000"),INDIRECT("'"&amp;$W$206&amp;"'"&amp;"!$A$64:$A$5000"),$V$3)-SUMIFS(INDIRECT("'"&amp;$W$206&amp;"'"&amp;"!$k$64:$k$5000"),INDIRECT("'"&amp;$W$206&amp;"'"&amp;"!$A$64:$A$5000"),$X$4)-SUMIFS(INDIRECT("'"&amp;$W$206&amp;"'"&amp;"!$k$64:$k$5000"),INDIRECT("'"&amp;$W$206&amp;"'"&amp;"!$A$64:$A$5000"),$X$3)</f>
        <v>752459.32000000018</v>
      </c>
      <c r="AG210" s="4">
        <f ca="1">SUMIFS(INDIRECT("'"&amp;$W$206&amp;"'"&amp;"!$l$64:$l$5000"),INDIRECT("'"&amp;$W$206&amp;"'"&amp;"!$A$64:$A$5000"),$V$1)-SUMIFS(INDIRECT("'"&amp;$W$206&amp;"'"&amp;"!$l$64:$l$5000"),INDIRECT("'"&amp;$W$206&amp;"'"&amp;"!$A$64:$A$5000"),$V$2)-SUMIFS(INDIRECT("'"&amp;$W$206&amp;"'"&amp;"!$l$64:$l$5000"),INDIRECT("'"&amp;$W$206&amp;"'"&amp;"!$A$64:$A$5000"),$V$3)-SUMIFS(INDIRECT("'"&amp;$W$206&amp;"'"&amp;"!$l$64:$l$5000"),INDIRECT("'"&amp;$W$206&amp;"'"&amp;"!$A$64:$A$5000"),$X$4)-SUMIFS(INDIRECT("'"&amp;$W$206&amp;"'"&amp;"!$l$64:$l$5000"),INDIRECT("'"&amp;$W$206&amp;"'"&amp;"!$A$64:$A$5000"),$X$3)</f>
        <v>-3639771.5100000049</v>
      </c>
      <c r="AH210" s="4"/>
      <c r="AJ210" s="14">
        <f t="shared" ref="AJ210:AT211" ca="1" si="425">W210-G210</f>
        <v>9.9999998579733074E-2</v>
      </c>
      <c r="AK210" s="14">
        <f t="shared" ca="1" si="425"/>
        <v>0.46999999962281436</v>
      </c>
      <c r="AL210" s="14">
        <f t="shared" ca="1" si="425"/>
        <v>-0.33000000030733645</v>
      </c>
      <c r="AM210" s="14">
        <f t="shared" ca="1" si="425"/>
        <v>0.1799999998183921</v>
      </c>
      <c r="AN210" s="14">
        <f t="shared" ca="1" si="425"/>
        <v>-1023963.3699999998</v>
      </c>
      <c r="AO210" s="14">
        <f t="shared" ca="1" si="425"/>
        <v>0.29999999888241291</v>
      </c>
      <c r="AP210" s="14">
        <f t="shared" ca="1" si="425"/>
        <v>0.45000000088475645</v>
      </c>
      <c r="AQ210" s="14">
        <f t="shared" ca="1" si="425"/>
        <v>0.16999999945983291</v>
      </c>
      <c r="AR210" s="14">
        <f t="shared" ca="1" si="425"/>
        <v>0.2700000008335337</v>
      </c>
      <c r="AS210" s="14">
        <f t="shared" ca="1" si="425"/>
        <v>-0.6799999998183921</v>
      </c>
      <c r="AT210" s="14">
        <f t="shared" ca="1" si="425"/>
        <v>-4313205.5100000054</v>
      </c>
      <c r="AU210" s="14"/>
    </row>
    <row r="211" spans="1:47" s="12" customFormat="1">
      <c r="A211" s="12">
        <f t="shared" si="423"/>
        <v>19</v>
      </c>
      <c r="B211"/>
      <c r="C211" t="str">
        <f>$F207</f>
        <v>Park Manor at Bee Cave (HMG)</v>
      </c>
      <c r="D211" s="3" t="str">
        <f t="shared" si="272"/>
        <v>T_OPEX - Tenant Operating Expenses</v>
      </c>
      <c r="E211"/>
      <c r="F211" s="19" t="str">
        <f>_xll.EVDES(D211)</f>
        <v>Tenant Operating Expenses</v>
      </c>
      <c r="G211" s="61">
        <f ca="1">SUMIFS(OFFSET('BPC Data'!$F:$F,0,Summary!G$2),'BPC Data'!$E:$E,Summary!$D211,'BPC Data'!$B:$B,Summary!$C211)</f>
        <v>730422</v>
      </c>
      <c r="H211" s="65">
        <f ca="1">SUMIFS(OFFSET('BPC Data'!$F:$F,0,Summary!H$2),'BPC Data'!$E:$E,Summary!$D211,'BPC Data'!$B:$B,Summary!$C211)</f>
        <v>669740</v>
      </c>
      <c r="I211" s="61">
        <f ca="1">SUMIFS(OFFSET('BPC Data'!$F:$F,0,Summary!I$2),'BPC Data'!$E:$E,Summary!$D211,'BPC Data'!$B:$B,Summary!$C211)</f>
        <v>629628</v>
      </c>
      <c r="J211" s="65">
        <f ca="1">SUMIFS(OFFSET('BPC Data'!$F:$F,0,Summary!J$2),'BPC Data'!$E:$E,Summary!$D211,'BPC Data'!$B:$B,Summary!$C211)</f>
        <v>605535</v>
      </c>
      <c r="K211" s="61">
        <f ca="1">SUMIFS(OFFSET('BPC Data'!$F:$F,0,Summary!K$2),'BPC Data'!$E:$E,Summary!$D211,'BPC Data'!$B:$B,Summary!$C211)</f>
        <v>256249</v>
      </c>
      <c r="L211" s="65">
        <f ca="1">SUMIFS(OFFSET('BPC Data'!$F:$F,0,Summary!L$2),'BPC Data'!$E:$E,Summary!$D211,'BPC Data'!$B:$B,Summary!$C211)</f>
        <v>633436</v>
      </c>
      <c r="M211" s="61">
        <f ca="1">SUMIFS(OFFSET('BPC Data'!$F:$F,0,Summary!M$2),'BPC Data'!$E:$E,Summary!$D211,'BPC Data'!$B:$B,Summary!$C211)</f>
        <v>621506</v>
      </c>
      <c r="N211" s="65">
        <f ca="1">SUMIFS(OFFSET('BPC Data'!$F:$F,0,Summary!N$2),'BPC Data'!$E:$E,Summary!$D211,'BPC Data'!$B:$B,Summary!$C211)</f>
        <v>595503</v>
      </c>
      <c r="O211" s="61">
        <f ca="1">SUMIFS(OFFSET('BPC Data'!$F:$F,0,Summary!O$2),'BPC Data'!$E:$E,Summary!$D211,'BPC Data'!$B:$B,Summary!$C211)</f>
        <v>546205</v>
      </c>
      <c r="P211" s="65">
        <f ca="1">SUMIFS(OFFSET('BPC Data'!$F:$F,0,Summary!P$2),'BPC Data'!$E:$E,Summary!$D211,'BPC Data'!$B:$B,Summary!$C211)</f>
        <v>469975</v>
      </c>
      <c r="Q211" s="61">
        <f ca="1">SUMIFS(OFFSET('BPC Data'!$F:$F,0,Summary!Q$2),'BPC Data'!$E:$E,Summary!$D211,'BPC Data'!$B:$B,Summary!$C211)</f>
        <v>470856</v>
      </c>
      <c r="R211" s="65">
        <f ca="1">SUMIFS(OFFSET('BPC Data'!$F:$F,0,Summary!R$2),'BPC Data'!$E:$E,Summary!$D211,'BPC Data'!$B:$B,Summary!$C211)</f>
        <v>0</v>
      </c>
      <c r="S211" s="23">
        <f t="shared" ca="1" si="424"/>
        <v>6229055</v>
      </c>
      <c r="T211" s="74">
        <f ca="1">SUM(W211:AG211)</f>
        <v>2912527.4899999928</v>
      </c>
      <c r="U211" s="54">
        <f ca="1">T211-S211</f>
        <v>-3316527.5100000072</v>
      </c>
      <c r="W211" s="4">
        <f ca="1">SUMIFS(INDIRECT("'"&amp;$W$206&amp;"'"&amp;"!$B$64:$B$5000"),INDIRECT("'"&amp;$W$206&amp;"'"&amp;"!$A$64:$A$5000"),$V$4)-SUMIFS(INDIRECT("'"&amp;$W$206&amp;"'"&amp;"!$B$64:$B$5000"),INDIRECT("'"&amp;$W$206&amp;"'"&amp;"!$A$64:$A$5000"),$V$5)-SUMIFS(INDIRECT("'"&amp;$W$206&amp;"'"&amp;"!$B$64:$B$5000"),INDIRECT("'"&amp;$W$206&amp;"'"&amp;"!$A$64:$A$5000"),$V$6)-SUMIFS(INDIRECT("'"&amp;$W$206&amp;"'"&amp;"!$B$64:$B$5000"),INDIRECT("'"&amp;$W$206&amp;"'"&amp;"!$A$64:$A$5000"),$W$6)-SUMIFS(INDIRECT("'"&amp;$W$206&amp;"'"&amp;"!$B$64:$B$5000"),INDIRECT("'"&amp;$W$206&amp;"'"&amp;"!$A$64:$A$5000"),$W$7)-SUMIFS(INDIRECT("'"&amp;$W$206&amp;"'"&amp;"!$B$64:$B$5000"),INDIRECT("'"&amp;$W$206&amp;"'"&amp;"!$A$64:$A$5000"),$X$3)-W216-W214</f>
        <v>730421.89999999944</v>
      </c>
      <c r="X211" s="4">
        <f ca="1">SUMIFS(INDIRECT("'"&amp;$W$206&amp;"'"&amp;"!$C$64:$C$5000"),INDIRECT("'"&amp;$W$206&amp;"'"&amp;"!$A$64:$A$5000"),$V$4)-SUMIFS(INDIRECT("'"&amp;$W$206&amp;"'"&amp;"!$C$64:$C$5000"),INDIRECT("'"&amp;$W$206&amp;"'"&amp;"!$A$64:$A$5000"),$V$5)-SUMIFS(INDIRECT("'"&amp;$W$206&amp;"'"&amp;"!$C$64:$C$5000"),INDIRECT("'"&amp;$W$206&amp;"'"&amp;"!$A$64:$A$5000"),$V$6)-SUMIFS(INDIRECT("'"&amp;$W$206&amp;"'"&amp;"!$C$64:$C$5000"),INDIRECT("'"&amp;$W$206&amp;"'"&amp;"!$A$64:$A$5000"),$W$6)-SUMIFS(INDIRECT("'"&amp;$W$206&amp;"'"&amp;"!$C$64:$C$5000"),INDIRECT("'"&amp;$W$206&amp;"'"&amp;"!$A$64:$A$5000"),$W$7)-SUMIFS(INDIRECT("'"&amp;$W$206&amp;"'"&amp;"!$C$64:$C$5000"),INDIRECT("'"&amp;$W$206&amp;"'"&amp;"!$A$64:$A$5000"),$X$3)-X216-X214</f>
        <v>669738.36999999965</v>
      </c>
      <c r="Y211" s="4">
        <f ca="1">SUMIFS(INDIRECT("'"&amp;$W$206&amp;"'"&amp;"!$d$64:$d$5000"),INDIRECT("'"&amp;$W$206&amp;"'"&amp;"!$A$64:$A$5000"),$V$4)-SUMIFS(INDIRECT("'"&amp;$W$206&amp;"'"&amp;"!$d$64:$d$5000"),INDIRECT("'"&amp;$W$206&amp;"'"&amp;"!$A$64:$A$5000"),$V$5)-SUMIFS(INDIRECT("'"&amp;$W$206&amp;"'"&amp;"!$d$64:$d$5000"),INDIRECT("'"&amp;$W$206&amp;"'"&amp;"!$A$64:$A$5000"),$V$6)-SUMIFS(INDIRECT("'"&amp;$W$206&amp;"'"&amp;"!$d$64:$d$5000"),INDIRECT("'"&amp;$W$206&amp;"'"&amp;"!$A$64:$A$5000"),$W$6)-SUMIFS(INDIRECT("'"&amp;$W$206&amp;"'"&amp;"!$d$64:$d$5000"),INDIRECT("'"&amp;$W$206&amp;"'"&amp;"!$A$64:$A$5000"),$W$7)-SUMIFS(INDIRECT("'"&amp;$W$206&amp;"'"&amp;"!$d$64:$d$5000"),INDIRECT("'"&amp;$W$206&amp;"'"&amp;"!$A$64:$A$5000"),$X$3)-Y216-Y214</f>
        <v>629627.4599999995</v>
      </c>
      <c r="Z211" s="4">
        <f ca="1">SUMIFS(INDIRECT("'"&amp;$W$206&amp;"'"&amp;"!$e$64:$e$5000"),INDIRECT("'"&amp;$W$206&amp;"'"&amp;"!$A$64:$A$5000"),$V$4)-SUMIFS(INDIRECT("'"&amp;$W$206&amp;"'"&amp;"!$e$64:$e$5000"),INDIRECT("'"&amp;$W$206&amp;"'"&amp;"!$A$64:$A$5000"),$V$5)-SUMIFS(INDIRECT("'"&amp;$W$206&amp;"'"&amp;"!$e$64:$e$5000"),INDIRECT("'"&amp;$W$206&amp;"'"&amp;"!$A$64:$A$5000"),$V$6)-SUMIFS(INDIRECT("'"&amp;$W$206&amp;"'"&amp;"!$e$64:$e$5000"),INDIRECT("'"&amp;$W$206&amp;"'"&amp;"!$A$64:$A$5000"),$W$6)-SUMIFS(INDIRECT("'"&amp;$W$206&amp;"'"&amp;"!$e$64:$e$5000"),INDIRECT("'"&amp;$W$206&amp;"'"&amp;"!$A$64:$A$5000"),$W$7)-SUMIFS(INDIRECT("'"&amp;$W$206&amp;"'"&amp;"!$e$64:$e$5000"),INDIRECT("'"&amp;$W$206&amp;"'"&amp;"!$A$64:$A$5000"),$X$3)-Z216-Z214</f>
        <v>605535.98999999964</v>
      </c>
      <c r="AA211" s="4">
        <f ca="1">SUMIFS(INDIRECT("'"&amp;$W$206&amp;"'"&amp;"!$f$64:$f$5000"),INDIRECT("'"&amp;$W$206&amp;"'"&amp;"!$A$64:$A$5000"),$V$4)-SUMIFS(INDIRECT("'"&amp;$W$206&amp;"'"&amp;"!$f$64:$f$5000"),INDIRECT("'"&amp;$W$206&amp;"'"&amp;"!$A$64:$A$5000"),$V$5)-SUMIFS(INDIRECT("'"&amp;$W$206&amp;"'"&amp;"!$f$64:$f$5000"),INDIRECT("'"&amp;$W$206&amp;"'"&amp;"!$A$64:$A$5000"),$V$6)-SUMIFS(INDIRECT("'"&amp;$W$206&amp;"'"&amp;"!$f$64:$f$5000"),INDIRECT("'"&amp;$W$206&amp;"'"&amp;"!$A$64:$A$5000"),$W$6)-SUMIFS(INDIRECT("'"&amp;$W$206&amp;"'"&amp;"!$f$64:$f$5000"),INDIRECT("'"&amp;$W$206&amp;"'"&amp;"!$A$64:$A$5000"),$W$7)-SUMIFS(INDIRECT("'"&amp;$W$206&amp;"'"&amp;"!$f$64:$f$5000"),INDIRECT("'"&amp;$W$206&amp;"'"&amp;"!$A$64:$A$5000"),$X$3)-AA216-AA214</f>
        <v>277203.77000000014</v>
      </c>
      <c r="AB211" s="4">
        <f ca="1">SUMIFS(INDIRECT("'"&amp;$W$206&amp;"'"&amp;"!$g$64:$g$5000"),INDIRECT("'"&amp;$W$206&amp;"'"&amp;"!$A$64:$A$5000"),$V$4)-SUMIFS(INDIRECT("'"&amp;$W$206&amp;"'"&amp;"!$g$64:$g$5000"),INDIRECT("'"&amp;$W$206&amp;"'"&amp;"!$A$64:$A$5000"),$V$5)-SUMIFS(INDIRECT("'"&amp;$W$206&amp;"'"&amp;"!$g$64:$g$5000"),INDIRECT("'"&amp;$W$206&amp;"'"&amp;"!$A$64:$A$5000"),$V$6)-SUMIFS(INDIRECT("'"&amp;$W$206&amp;"'"&amp;"!$g$64:$g$5000"),INDIRECT("'"&amp;$W$206&amp;"'"&amp;"!$A$64:$A$5000"),$W$6)-SUMIFS(INDIRECT("'"&amp;$W$206&amp;"'"&amp;"!$g$64:$g$5000"),INDIRECT("'"&amp;$W$206&amp;"'"&amp;"!$A$64:$A$5000"),$W$7)-SUMIFS(INDIRECT("'"&amp;$W$206&amp;"'"&amp;"!$g$64:$g$5000"),INDIRECT("'"&amp;$W$206&amp;"'"&amp;"!$A$64:$A$5000"),$X$3)-AB216-AB214</f>
        <v>633437.15999999968</v>
      </c>
      <c r="AC211" s="4">
        <f ca="1">SUMIFS(INDIRECT("'"&amp;$W$206&amp;"'"&amp;"!$h$64:$h$5000"),INDIRECT("'"&amp;$W$206&amp;"'"&amp;"!$A$64:$A$5000"),$V$4)-SUMIFS(INDIRECT("'"&amp;$W$206&amp;"'"&amp;"!$h$64:$h$5000"),INDIRECT("'"&amp;$W$206&amp;"'"&amp;"!$A$64:$A$5000"),$V$5)-SUMIFS(INDIRECT("'"&amp;$W$206&amp;"'"&amp;"!$h$64:$h$5000"),INDIRECT("'"&amp;$W$206&amp;"'"&amp;"!$A$64:$A$5000"),$V$6)-SUMIFS(INDIRECT("'"&amp;$W$206&amp;"'"&amp;"!$h$64:$h$5000"),INDIRECT("'"&amp;$W$206&amp;"'"&amp;"!$A$64:$A$5000"),$W$6)-SUMIFS(INDIRECT("'"&amp;$W$206&amp;"'"&amp;"!$h$64:$h$5000"),INDIRECT("'"&amp;$W$206&amp;"'"&amp;"!$A$64:$A$5000"),$W$7)-SUMIFS(INDIRECT("'"&amp;$W$206&amp;"'"&amp;"!$h$64:$h$5000"),INDIRECT("'"&amp;$W$206&amp;"'"&amp;"!$A$64:$A$5000"),$X$3)-AC216-AC214</f>
        <v>621507.42999999924</v>
      </c>
      <c r="AD211" s="4">
        <f ca="1">SUMIFS(INDIRECT("'"&amp;$W$206&amp;"'"&amp;"!$i$64:$i$5000"),INDIRECT("'"&amp;$W$206&amp;"'"&amp;"!$A$64:$A$5000"),$V$4)-SUMIFS(INDIRECT("'"&amp;$W$206&amp;"'"&amp;"!$i$64:$i$5000"),INDIRECT("'"&amp;$W$206&amp;"'"&amp;"!$A$64:$A$5000"),$V$5)-SUMIFS(INDIRECT("'"&amp;$W$206&amp;"'"&amp;"!$i$64:$i$5000"),INDIRECT("'"&amp;$W$206&amp;"'"&amp;"!$A$64:$A$5000"),$V$6)-SUMIFS(INDIRECT("'"&amp;$W$206&amp;"'"&amp;"!$i$64:$i$5000"),INDIRECT("'"&amp;$W$206&amp;"'"&amp;"!$A$64:$A$5000"),$W$6)-SUMIFS(INDIRECT("'"&amp;$W$206&amp;"'"&amp;"!$i$64:$i$5000"),INDIRECT("'"&amp;$W$206&amp;"'"&amp;"!$A$64:$A$5000"),$W$7)-SUMIFS(INDIRECT("'"&amp;$W$206&amp;"'"&amp;"!$i$64:$i$5000"),INDIRECT("'"&amp;$W$206&amp;"'"&amp;"!$A$64:$A$5000"),$X$3)-AD216-AD214</f>
        <v>595501.77999999945</v>
      </c>
      <c r="AE211" s="4">
        <f ca="1">SUMIFS(INDIRECT("'"&amp;$W$206&amp;"'"&amp;"!$j$64:$j$5000"),INDIRECT("'"&amp;$W$206&amp;"'"&amp;"!$A$64:$A$5000"),$V$4)-SUMIFS(INDIRECT("'"&amp;$W$206&amp;"'"&amp;"!$j$64:$j$5000"),INDIRECT("'"&amp;$W$206&amp;"'"&amp;"!$A$64:$A$5000"),$V$5)-SUMIFS(INDIRECT("'"&amp;$W$206&amp;"'"&amp;"!$j$64:$j$5000"),INDIRECT("'"&amp;$W$206&amp;"'"&amp;"!$A$64:$A$5000"),$V$6)-SUMIFS(INDIRECT("'"&amp;$W$206&amp;"'"&amp;"!$j$64:$j$5000"),INDIRECT("'"&amp;$W$206&amp;"'"&amp;"!$A$64:$A$5000"),$W$6)-SUMIFS(INDIRECT("'"&amp;$W$206&amp;"'"&amp;"!$j$64:$j$5000"),INDIRECT("'"&amp;$W$206&amp;"'"&amp;"!$A$64:$A$5000"),$W$7)-SUMIFS(INDIRECT("'"&amp;$W$206&amp;"'"&amp;"!$j$64:$j$5000"),INDIRECT("'"&amp;$W$206&amp;"'"&amp;"!$A$64:$A$5000"),$X$3)-AE216-AE214</f>
        <v>546203.48</v>
      </c>
      <c r="AF211" s="4">
        <f ca="1">SUMIFS(INDIRECT("'"&amp;$W$206&amp;"'"&amp;"!$k$64:$k$5000"),INDIRECT("'"&amp;$W$206&amp;"'"&amp;"!$A$64:$A$5000"),$V$4)-SUMIFS(INDIRECT("'"&amp;$W$206&amp;"'"&amp;"!$k$64:$k$5000"),INDIRECT("'"&amp;$W$206&amp;"'"&amp;"!$A$64:$A$5000"),$V$5)-SUMIFS(INDIRECT("'"&amp;$W$206&amp;"'"&amp;"!$k$64:$k$5000"),INDIRECT("'"&amp;$W$206&amp;"'"&amp;"!$A$64:$A$5000"),$V$6)-SUMIFS(INDIRECT("'"&amp;$W$206&amp;"'"&amp;"!$k$64:$k$5000"),INDIRECT("'"&amp;$W$206&amp;"'"&amp;"!$A$64:$A$5000"),$W$6)-SUMIFS(INDIRECT("'"&amp;$W$206&amp;"'"&amp;"!$k$64:$k$5000"),INDIRECT("'"&amp;$W$206&amp;"'"&amp;"!$A$64:$A$5000"),$W$7)-SUMIFS(INDIRECT("'"&amp;$W$206&amp;"'"&amp;"!$k$64:$k$5000"),INDIRECT("'"&amp;$W$206&amp;"'"&amp;"!$A$64:$A$5000"),$X$3)-AF216-AF214</f>
        <v>469973.95999999967</v>
      </c>
      <c r="AG211" s="4">
        <f ca="1">SUMIFS(INDIRECT("'"&amp;$W$206&amp;"'"&amp;"!$l$64:$l$5000"),INDIRECT("'"&amp;$W$206&amp;"'"&amp;"!$A$64:$A$5000"),$V$4)-SUMIFS(INDIRECT("'"&amp;$W$206&amp;"'"&amp;"!$l$64:$l$5000"),INDIRECT("'"&amp;$W$206&amp;"'"&amp;"!$A$64:$A$5000"),$V$5)-SUMIFS(INDIRECT("'"&amp;$W$206&amp;"'"&amp;"!$l$64:$l$5000"),INDIRECT("'"&amp;$W$206&amp;"'"&amp;"!$A$64:$A$5000"),$V$6)-SUMIFS(INDIRECT("'"&amp;$W$206&amp;"'"&amp;"!$l$64:$l$5000"),INDIRECT("'"&amp;$W$206&amp;"'"&amp;"!$A$64:$A$5000"),$W$6)-SUMIFS(INDIRECT("'"&amp;$W$206&amp;"'"&amp;"!$l$64:$l$5000"),INDIRECT("'"&amp;$W$206&amp;"'"&amp;"!$A$64:$A$5000"),$W$7)-SUMIFS(INDIRECT("'"&amp;$W$206&amp;"'"&amp;"!$l$64:$l$5000"),INDIRECT("'"&amp;$W$206&amp;"'"&amp;"!$A$64:$A$5000"),$X$3)-AG216-AG214</f>
        <v>-2866623.8100000033</v>
      </c>
      <c r="AH211" s="4"/>
      <c r="AJ211" s="14">
        <f t="shared" ca="1" si="425"/>
        <v>-0.10000000055879354</v>
      </c>
      <c r="AK211" s="14">
        <f t="shared" ca="1" si="425"/>
        <v>-1.6300000003539026</v>
      </c>
      <c r="AL211" s="14">
        <f t="shared" ca="1" si="425"/>
        <v>-0.54000000050291419</v>
      </c>
      <c r="AM211" s="14">
        <f t="shared" ca="1" si="425"/>
        <v>0.98999999964144081</v>
      </c>
      <c r="AN211" s="14">
        <f t="shared" ca="1" si="425"/>
        <v>20954.770000000135</v>
      </c>
      <c r="AO211" s="14">
        <f t="shared" ca="1" si="425"/>
        <v>1.1599999996833503</v>
      </c>
      <c r="AP211" s="14">
        <f t="shared" ca="1" si="425"/>
        <v>1.4299999992363155</v>
      </c>
      <c r="AQ211" s="14">
        <f t="shared" ca="1" si="425"/>
        <v>-1.2200000005541369</v>
      </c>
      <c r="AR211" s="14">
        <f t="shared" ca="1" si="425"/>
        <v>-1.5200000000186265</v>
      </c>
      <c r="AS211" s="14">
        <f t="shared" ca="1" si="425"/>
        <v>-1.0400000003282912</v>
      </c>
      <c r="AT211" s="14">
        <f t="shared" ca="1" si="425"/>
        <v>-3337479.8100000033</v>
      </c>
      <c r="AU211" s="14"/>
    </row>
    <row r="212" spans="1:47" s="12" customFormat="1">
      <c r="A212" s="12">
        <f t="shared" si="423"/>
        <v>19</v>
      </c>
      <c r="B212"/>
      <c r="C212" t="str">
        <f>$F207</f>
        <v>Park Manor at Bee Cave (HMG)</v>
      </c>
      <c r="D212" s="3" t="str">
        <f t="shared" si="272"/>
        <v>T_BAD_DEBT - Tenant Bad Debt Expense</v>
      </c>
      <c r="E212"/>
      <c r="F212" s="19" t="str">
        <f>_xll.EVDES(D212)</f>
        <v>Tenant Bad Debt Expense</v>
      </c>
      <c r="G212" s="61">
        <f ca="1">SUMIFS(OFFSET('BPC Data'!$F:$F,0,Summary!G$2),'BPC Data'!$E:$E,Summary!$D212,'BPC Data'!$B:$B,Summary!$C212)</f>
        <v>15058</v>
      </c>
      <c r="H212" s="65">
        <f ca="1">SUMIFS(OFFSET('BPC Data'!$F:$F,0,Summary!H$2),'BPC Data'!$E:$E,Summary!$D212,'BPC Data'!$B:$B,Summary!$C212)</f>
        <v>14283</v>
      </c>
      <c r="I212" s="61">
        <f ca="1">SUMIFS(OFFSET('BPC Data'!$F:$F,0,Summary!I$2),'BPC Data'!$E:$E,Summary!$D212,'BPC Data'!$B:$B,Summary!$C212)</f>
        <v>12426</v>
      </c>
      <c r="J212" s="65">
        <f ca="1">SUMIFS(OFFSET('BPC Data'!$F:$F,0,Summary!J$2),'BPC Data'!$E:$E,Summary!$D212,'BPC Data'!$B:$B,Summary!$C212)</f>
        <v>12301</v>
      </c>
      <c r="K212" s="61">
        <f ca="1">SUMIFS(OFFSET('BPC Data'!$F:$F,0,Summary!K$2),'BPC Data'!$E:$E,Summary!$D212,'BPC Data'!$B:$B,Summary!$C212)</f>
        <v>11858</v>
      </c>
      <c r="L212" s="65">
        <f ca="1">SUMIFS(OFFSET('BPC Data'!$F:$F,0,Summary!L$2),'BPC Data'!$E:$E,Summary!$D212,'BPC Data'!$B:$B,Summary!$C212)</f>
        <v>22531</v>
      </c>
      <c r="M212" s="61">
        <f ca="1">SUMIFS(OFFSET('BPC Data'!$F:$F,0,Summary!M$2),'BPC Data'!$E:$E,Summary!$D212,'BPC Data'!$B:$B,Summary!$C212)</f>
        <v>85122</v>
      </c>
      <c r="N212" s="65">
        <f ca="1">SUMIFS(OFFSET('BPC Data'!$F:$F,0,Summary!N$2),'BPC Data'!$E:$E,Summary!$D212,'BPC Data'!$B:$B,Summary!$C212)</f>
        <v>12505</v>
      </c>
      <c r="O212" s="61">
        <f ca="1">SUMIFS(OFFSET('BPC Data'!$F:$F,0,Summary!O$2),'BPC Data'!$E:$E,Summary!$D212,'BPC Data'!$B:$B,Summary!$C212)</f>
        <v>12792</v>
      </c>
      <c r="P212" s="65">
        <f ca="1">SUMIFS(OFFSET('BPC Data'!$F:$F,0,Summary!P$2),'BPC Data'!$E:$E,Summary!$D212,'BPC Data'!$B:$B,Summary!$C212)</f>
        <v>-37166</v>
      </c>
      <c r="Q212" s="61">
        <f ca="1">SUMIFS(OFFSET('BPC Data'!$F:$F,0,Summary!Q$2),'BPC Data'!$E:$E,Summary!$D212,'BPC Data'!$B:$B,Summary!$C212)</f>
        <v>36207</v>
      </c>
      <c r="R212" s="65">
        <f ca="1">SUMIFS(OFFSET('BPC Data'!$F:$F,0,Summary!R$2),'BPC Data'!$E:$E,Summary!$D212,'BPC Data'!$B:$B,Summary!$C212)</f>
        <v>0</v>
      </c>
      <c r="S212" s="23">
        <f t="shared" ca="1" si="424"/>
        <v>197917</v>
      </c>
      <c r="T212" s="75"/>
      <c r="U212" s="4"/>
      <c r="W212"/>
      <c r="X212"/>
      <c r="Y212"/>
      <c r="Z212"/>
      <c r="AA212"/>
      <c r="AB212"/>
      <c r="AC212"/>
      <c r="AD212"/>
      <c r="AE212"/>
      <c r="AF212"/>
      <c r="AG212"/>
      <c r="AH212"/>
      <c r="AJ212" s="14"/>
      <c r="AK212" s="14"/>
      <c r="AL212" s="14"/>
      <c r="AM212" s="14"/>
      <c r="AN212" s="14"/>
      <c r="AO212" s="14"/>
      <c r="AP212" s="14"/>
      <c r="AQ212" s="14"/>
      <c r="AR212" s="14"/>
      <c r="AS212" s="14"/>
      <c r="AT212" s="14"/>
      <c r="AU212" s="14"/>
    </row>
    <row r="213" spans="1:47" s="12" customFormat="1">
      <c r="A213" s="12">
        <f t="shared" si="423"/>
        <v>19</v>
      </c>
      <c r="B213"/>
      <c r="C213" t="str">
        <f>$F207</f>
        <v>Park Manor at Bee Cave (HMG)</v>
      </c>
      <c r="D213" s="2" t="str">
        <f t="shared" si="272"/>
        <v>T_EBITDARM - EBITDARM</v>
      </c>
      <c r="E213"/>
      <c r="F213" s="19" t="str">
        <f>_xll.EVDES(D213)</f>
        <v>EBITDARM</v>
      </c>
      <c r="G213" s="61">
        <f ca="1">SUMIFS(OFFSET('BPC Data'!$F:$F,0,Summary!G$2),'BPC Data'!$E:$E,Summary!$D213,'BPC Data'!$B:$B,Summary!$C213)</f>
        <v>39876</v>
      </c>
      <c r="H213" s="65">
        <f ca="1">SUMIFS(OFFSET('BPC Data'!$F:$F,0,Summary!H$2),'BPC Data'!$E:$E,Summary!$D213,'BPC Data'!$B:$B,Summary!$C213)</f>
        <v>95874</v>
      </c>
      <c r="I213" s="61">
        <f ca="1">SUMIFS(OFFSET('BPC Data'!$F:$F,0,Summary!I$2),'BPC Data'!$E:$E,Summary!$D213,'BPC Data'!$B:$B,Summary!$C213)</f>
        <v>56141</v>
      </c>
      <c r="J213" s="65">
        <f ca="1">SUMIFS(OFFSET('BPC Data'!$F:$F,0,Summary!J$2),'BPC Data'!$E:$E,Summary!$D213,'BPC Data'!$B:$B,Summary!$C213)</f>
        <v>62040</v>
      </c>
      <c r="K213" s="61">
        <f ca="1">SUMIFS(OFFSET('BPC Data'!$F:$F,0,Summary!K$2),'BPC Data'!$E:$E,Summary!$D213,'BPC Data'!$B:$B,Summary!$C213)</f>
        <v>400275</v>
      </c>
      <c r="L213" s="65">
        <f ca="1">SUMIFS(OFFSET('BPC Data'!$F:$F,0,Summary!L$2),'BPC Data'!$E:$E,Summary!$D213,'BPC Data'!$B:$B,Summary!$C213)</f>
        <v>181204</v>
      </c>
      <c r="M213" s="61">
        <f ca="1">SUMIFS(OFFSET('BPC Data'!$F:$F,0,Summary!M$2),'BPC Data'!$E:$E,Summary!$D213,'BPC Data'!$B:$B,Summary!$C213)</f>
        <v>125438</v>
      </c>
      <c r="N213" s="65">
        <f ca="1">SUMIFS(OFFSET('BPC Data'!$F:$F,0,Summary!N$2),'BPC Data'!$E:$E,Summary!$D213,'BPC Data'!$B:$B,Summary!$C213)</f>
        <v>70528</v>
      </c>
      <c r="O213" s="61">
        <f ca="1">SUMIFS(OFFSET('BPC Data'!$F:$F,0,Summary!O$2),'BPC Data'!$E:$E,Summary!$D213,'BPC Data'!$B:$B,Summary!$C213)</f>
        <v>113491</v>
      </c>
      <c r="P213" s="65">
        <f ca="1">SUMIFS(OFFSET('BPC Data'!$F:$F,0,Summary!P$2),'BPC Data'!$E:$E,Summary!$D213,'BPC Data'!$B:$B,Summary!$C213)</f>
        <v>282485</v>
      </c>
      <c r="Q213" s="61">
        <f ca="1">SUMIFS(OFFSET('BPC Data'!$F:$F,0,Summary!Q$2),'BPC Data'!$E:$E,Summary!$D213,'BPC Data'!$B:$B,Summary!$C213)</f>
        <v>202578</v>
      </c>
      <c r="R213" s="65">
        <f ca="1">SUMIFS(OFFSET('BPC Data'!$F:$F,0,Summary!R$2),'BPC Data'!$E:$E,Summary!$D213,'BPC Data'!$B:$B,Summary!$C213)</f>
        <v>-107424</v>
      </c>
      <c r="S213" s="23">
        <f t="shared" ca="1" si="424"/>
        <v>1629930</v>
      </c>
      <c r="T213" s="74">
        <f ca="1">SUM(W213:AG213)</f>
        <v>-390710.43999999977</v>
      </c>
      <c r="U213" s="54">
        <f ca="1">T213-S213</f>
        <v>-2020640.4399999997</v>
      </c>
      <c r="W213" s="50">
        <f t="shared" ref="W213" ca="1" si="426">W210-W211</f>
        <v>39876.199999999139</v>
      </c>
      <c r="X213" s="50">
        <f t="shared" ref="X213:Y213" ca="1" si="427">X210-X211</f>
        <v>95876.099999999977</v>
      </c>
      <c r="Y213" s="50">
        <f t="shared" ca="1" si="427"/>
        <v>56141.210000000196</v>
      </c>
      <c r="Z213" s="50">
        <f t="shared" ref="Z213" ca="1" si="428">Z210-Z211</f>
        <v>62039.190000000177</v>
      </c>
      <c r="AA213" s="50">
        <f t="shared" ref="AA213" ca="1" si="429">AA210-AA211</f>
        <v>-644643.1399999999</v>
      </c>
      <c r="AB213" s="50">
        <f t="shared" ref="AB213:AC213" ca="1" si="430">AB210-AB211</f>
        <v>181203.1399999992</v>
      </c>
      <c r="AC213" s="50">
        <f t="shared" ca="1" si="430"/>
        <v>125437.02000000165</v>
      </c>
      <c r="AD213" s="50">
        <f t="shared" ref="AD213:AG213" ca="1" si="431">AD210-AD211</f>
        <v>70529.390000000014</v>
      </c>
      <c r="AE213" s="50">
        <f t="shared" ca="1" si="431"/>
        <v>113492.79000000085</v>
      </c>
      <c r="AF213" s="50">
        <f t="shared" ca="1" si="431"/>
        <v>282485.36000000051</v>
      </c>
      <c r="AG213" s="50">
        <f t="shared" ca="1" si="431"/>
        <v>-773147.70000000158</v>
      </c>
      <c r="AH213" s="50"/>
      <c r="AJ213" s="14">
        <f t="shared" ref="AJ213:AT216" ca="1" si="432">W213-G213</f>
        <v>0.19999999913852662</v>
      </c>
      <c r="AK213" s="14">
        <f t="shared" ca="1" si="432"/>
        <v>2.0999999999767169</v>
      </c>
      <c r="AL213" s="14">
        <f t="shared" ca="1" si="432"/>
        <v>0.21000000019557774</v>
      </c>
      <c r="AM213" s="14">
        <f t="shared" ca="1" si="432"/>
        <v>-0.80999999982304871</v>
      </c>
      <c r="AN213" s="14">
        <f t="shared" ca="1" si="432"/>
        <v>-1044918.1399999999</v>
      </c>
      <c r="AO213" s="14">
        <f t="shared" ca="1" si="432"/>
        <v>-0.86000000080093741</v>
      </c>
      <c r="AP213" s="14">
        <f t="shared" ca="1" si="432"/>
        <v>-0.97999999835155904</v>
      </c>
      <c r="AQ213" s="14">
        <f t="shared" ca="1" si="432"/>
        <v>1.3900000000139698</v>
      </c>
      <c r="AR213" s="14">
        <f t="shared" ca="1" si="432"/>
        <v>1.7900000008521602</v>
      </c>
      <c r="AS213" s="14">
        <f t="shared" ca="1" si="432"/>
        <v>0.36000000050989911</v>
      </c>
      <c r="AT213" s="14">
        <f t="shared" ca="1" si="432"/>
        <v>-975725.70000000158</v>
      </c>
      <c r="AU213" s="14"/>
    </row>
    <row r="214" spans="1:47" s="12" customFormat="1">
      <c r="A214" s="12">
        <f t="shared" si="423"/>
        <v>19</v>
      </c>
      <c r="B214"/>
      <c r="C214" t="str">
        <f>$F207</f>
        <v>Park Manor at Bee Cave (HMG)</v>
      </c>
      <c r="D214" s="2" t="str">
        <f t="shared" ref="D214:D277" si="433">$D203</f>
        <v>T_MGMT_FEE - Tenant Management Fee - Actual</v>
      </c>
      <c r="E214"/>
      <c r="F214" s="19" t="str">
        <f>_xll.EVDES(D214)</f>
        <v>Tenant Management Fee - Actual</v>
      </c>
      <c r="G214" s="61">
        <f ca="1">SUMIFS(OFFSET('BPC Data'!$F:$F,0,Summary!G$2),'BPC Data'!$E:$E,Summary!$D214,'BPC Data'!$B:$B,Summary!$C214)</f>
        <v>37645</v>
      </c>
      <c r="H214" s="65">
        <f ca="1">SUMIFS(OFFSET('BPC Data'!$F:$F,0,Summary!H$2),'BPC Data'!$E:$E,Summary!$D214,'BPC Data'!$B:$B,Summary!$C214)</f>
        <v>35707</v>
      </c>
      <c r="I214" s="61">
        <f ca="1">SUMIFS(OFFSET('BPC Data'!$F:$F,0,Summary!I$2),'BPC Data'!$E:$E,Summary!$D214,'BPC Data'!$B:$B,Summary!$C214)</f>
        <v>31064</v>
      </c>
      <c r="J214" s="65">
        <f ca="1">SUMIFS(OFFSET('BPC Data'!$F:$F,0,Summary!J$2),'BPC Data'!$E:$E,Summary!$D214,'BPC Data'!$B:$B,Summary!$C214)</f>
        <v>30753</v>
      </c>
      <c r="K214" s="61">
        <f ca="1">SUMIFS(OFFSET('BPC Data'!$F:$F,0,Summary!K$2),'BPC Data'!$E:$E,Summary!$D214,'BPC Data'!$B:$B,Summary!$C214)</f>
        <v>29646</v>
      </c>
      <c r="L214" s="65">
        <f ca="1">SUMIFS(OFFSET('BPC Data'!$F:$F,0,Summary!L$2),'BPC Data'!$E:$E,Summary!$D214,'BPC Data'!$B:$B,Summary!$C214)</f>
        <v>38070</v>
      </c>
      <c r="M214" s="61">
        <f ca="1">SUMIFS(OFFSET('BPC Data'!$F:$F,0,Summary!M$2),'BPC Data'!$E:$E,Summary!$D214,'BPC Data'!$B:$B,Summary!$C214)</f>
        <v>31437</v>
      </c>
      <c r="N214" s="65">
        <f ca="1">SUMIFS(OFFSET('BPC Data'!$F:$F,0,Summary!N$2),'BPC Data'!$E:$E,Summary!$D214,'BPC Data'!$B:$B,Summary!$C214)</f>
        <v>30450</v>
      </c>
      <c r="O214" s="61">
        <f ca="1">SUMIFS(OFFSET('BPC Data'!$F:$F,0,Summary!O$2),'BPC Data'!$E:$E,Summary!$D214,'BPC Data'!$B:$B,Summary!$C214)</f>
        <v>31168</v>
      </c>
      <c r="P214" s="65">
        <f ca="1">SUMIFS(OFFSET('BPC Data'!$F:$F,0,Summary!P$2),'BPC Data'!$E:$E,Summary!$D214,'BPC Data'!$B:$B,Summary!$C214)</f>
        <v>32086</v>
      </c>
      <c r="Q214" s="61">
        <f ca="1">SUMIFS(OFFSET('BPC Data'!$F:$F,0,Summary!Q$2),'BPC Data'!$E:$E,Summary!$D214,'BPC Data'!$B:$B,Summary!$C214)</f>
        <v>32046</v>
      </c>
      <c r="R214" s="65">
        <f ca="1">SUMIFS(OFFSET('BPC Data'!$F:$F,0,Summary!R$2),'BPC Data'!$E:$E,Summary!$D214,'BPC Data'!$B:$B,Summary!$C214)</f>
        <v>0</v>
      </c>
      <c r="S214" s="23">
        <f t="shared" ca="1" si="424"/>
        <v>360072</v>
      </c>
      <c r="T214" s="74">
        <f ca="1">SUM(W214:AG214)</f>
        <v>-820271</v>
      </c>
      <c r="U214" s="54">
        <f ca="1">T214-S214</f>
        <v>-1180343</v>
      </c>
      <c r="W214" s="4">
        <f ca="1">SUMIFS(INDIRECT("'"&amp;$W$206&amp;"'"&amp;"!$B$64:$B$5000"),INDIRECT("'"&amp;$W$206&amp;"'"&amp;"!$A$64:$A$5000"),$V$7)</f>
        <v>37645</v>
      </c>
      <c r="X214" s="4">
        <f ca="1">SUMIFS(INDIRECT("'"&amp;$W$206&amp;"'"&amp;"!$C$64:$C$5000"),INDIRECT("'"&amp;$W$206&amp;"'"&amp;"!$A$64:$A$5000"),$V$7)</f>
        <v>35707</v>
      </c>
      <c r="Y214" s="4">
        <f ca="1">SUMIFS(INDIRECT("'"&amp;$W$206&amp;"'"&amp;"!$d$64:$d$5000"),INDIRECT("'"&amp;$W$206&amp;"'"&amp;"!$A$64:$A$5000"),$V$7)</f>
        <v>31064</v>
      </c>
      <c r="Z214" s="4">
        <f ca="1">SUMIFS(INDIRECT("'"&amp;$W$206&amp;"'"&amp;"!$E$64:$E$5000"),INDIRECT("'"&amp;$W$206&amp;"'"&amp;"!$A$64:$A$5000"),$V$7)</f>
        <v>30753</v>
      </c>
      <c r="AA214" s="4">
        <f ca="1">SUMIFS(INDIRECT("'"&amp;$W$206&amp;"'"&amp;"!$F$64:$F$5000"),INDIRECT("'"&amp;$W$206&amp;"'"&amp;"!$A$64:$A$5000"),$V$7)</f>
        <v>-955440</v>
      </c>
      <c r="AB214" s="4">
        <f ca="1">SUMIFS(INDIRECT("'"&amp;$W$206&amp;"'"&amp;"!$G$64:$G$5000"),INDIRECT("'"&amp;$W$206&amp;"'"&amp;"!$A$64:$A$5000"),$V$7)</f>
        <v>38070</v>
      </c>
      <c r="AC214" s="4">
        <f ca="1">SUMIFS(INDIRECT("'"&amp;$W$206&amp;"'"&amp;"!$h$64:$h$5000"),INDIRECT("'"&amp;$W$206&amp;"'"&amp;"!$A$64:$A$5000"),$V$7)</f>
        <v>31437</v>
      </c>
      <c r="AD214" s="4">
        <f ca="1">SUMIFS(INDIRECT("'"&amp;$W$206&amp;"'"&amp;"!$i$64:$i$5000"),INDIRECT("'"&amp;$W$206&amp;"'"&amp;"!$A$64:$A$5000"),$V$7)</f>
        <v>30450</v>
      </c>
      <c r="AE214" s="4">
        <f ca="1">SUMIFS(INDIRECT("'"&amp;$W$206&amp;"'"&amp;"!$j$64:$j$5000"),INDIRECT("'"&amp;$W$206&amp;"'"&amp;"!$A$64:$A$5000"),$V$7)</f>
        <v>31168</v>
      </c>
      <c r="AF214" s="4">
        <f ca="1">SUMIFS(INDIRECT("'"&amp;$W$206&amp;"'"&amp;"!$k$64:$k$5000"),INDIRECT("'"&amp;$W$206&amp;"'"&amp;"!$A$64:$A$5000"),$V$7)</f>
        <v>32086</v>
      </c>
      <c r="AG214" s="4">
        <f ca="1">SUMIFS(INDIRECT("'"&amp;$W$206&amp;"'"&amp;"!$l$64:$l$5000"),INDIRECT("'"&amp;$W$206&amp;"'"&amp;"!$A$64:$A$5000"),$V$7)</f>
        <v>-163211</v>
      </c>
      <c r="AH214" s="4"/>
      <c r="AJ214" s="14">
        <f t="shared" ca="1" si="432"/>
        <v>0</v>
      </c>
      <c r="AK214" s="14">
        <f t="shared" ca="1" si="432"/>
        <v>0</v>
      </c>
      <c r="AL214" s="14">
        <f t="shared" ca="1" si="432"/>
        <v>0</v>
      </c>
      <c r="AM214" s="14">
        <f t="shared" ca="1" si="432"/>
        <v>0</v>
      </c>
      <c r="AN214" s="14">
        <f t="shared" ca="1" si="432"/>
        <v>-985086</v>
      </c>
      <c r="AO214" s="14">
        <f t="shared" ca="1" si="432"/>
        <v>0</v>
      </c>
      <c r="AP214" s="14">
        <f t="shared" ca="1" si="432"/>
        <v>0</v>
      </c>
      <c r="AQ214" s="14">
        <f t="shared" ca="1" si="432"/>
        <v>0</v>
      </c>
      <c r="AR214" s="14">
        <f t="shared" ca="1" si="432"/>
        <v>0</v>
      </c>
      <c r="AS214" s="14">
        <f t="shared" ca="1" si="432"/>
        <v>0</v>
      </c>
      <c r="AT214" s="14">
        <f t="shared" ca="1" si="432"/>
        <v>-195257</v>
      </c>
      <c r="AU214" s="14"/>
    </row>
    <row r="215" spans="1:47" s="12" customFormat="1">
      <c r="A215" s="12">
        <f t="shared" si="423"/>
        <v>19</v>
      </c>
      <c r="B215"/>
      <c r="C215" t="str">
        <f>$F207</f>
        <v>Park Manor at Bee Cave (HMG)</v>
      </c>
      <c r="D215" s="1" t="str">
        <f t="shared" si="433"/>
        <v>T_EBITDAR - EBITDAR</v>
      </c>
      <c r="E215"/>
      <c r="F215" s="19" t="str">
        <f>_xll.EVDES(D215)</f>
        <v>EBITDAR</v>
      </c>
      <c r="G215" s="61">
        <f ca="1">SUMIFS(OFFSET('BPC Data'!$F:$F,0,Summary!G$2),'BPC Data'!$E:$E,Summary!$D215,'BPC Data'!$B:$B,Summary!$C215)</f>
        <v>2231</v>
      </c>
      <c r="H215" s="65">
        <f ca="1">SUMIFS(OFFSET('BPC Data'!$F:$F,0,Summary!H$2),'BPC Data'!$E:$E,Summary!$D215,'BPC Data'!$B:$B,Summary!$C215)</f>
        <v>60167</v>
      </c>
      <c r="I215" s="61">
        <f ca="1">SUMIFS(OFFSET('BPC Data'!$F:$F,0,Summary!I$2),'BPC Data'!$E:$E,Summary!$D215,'BPC Data'!$B:$B,Summary!$C215)</f>
        <v>25077</v>
      </c>
      <c r="J215" s="65">
        <f ca="1">SUMIFS(OFFSET('BPC Data'!$F:$F,0,Summary!J$2),'BPC Data'!$E:$E,Summary!$D215,'BPC Data'!$B:$B,Summary!$C215)</f>
        <v>31287</v>
      </c>
      <c r="K215" s="61">
        <f ca="1">SUMIFS(OFFSET('BPC Data'!$F:$F,0,Summary!K$2),'BPC Data'!$E:$E,Summary!$D215,'BPC Data'!$B:$B,Summary!$C215)</f>
        <v>370629</v>
      </c>
      <c r="L215" s="65">
        <f ca="1">SUMIFS(OFFSET('BPC Data'!$F:$F,0,Summary!L$2),'BPC Data'!$E:$E,Summary!$D215,'BPC Data'!$B:$B,Summary!$C215)</f>
        <v>143134</v>
      </c>
      <c r="M215" s="61">
        <f ca="1">SUMIFS(OFFSET('BPC Data'!$F:$F,0,Summary!M$2),'BPC Data'!$E:$E,Summary!$D215,'BPC Data'!$B:$B,Summary!$C215)</f>
        <v>94001</v>
      </c>
      <c r="N215" s="65">
        <f ca="1">SUMIFS(OFFSET('BPC Data'!$F:$F,0,Summary!N$2),'BPC Data'!$E:$E,Summary!$D215,'BPC Data'!$B:$B,Summary!$C215)</f>
        <v>40078</v>
      </c>
      <c r="O215" s="61">
        <f ca="1">SUMIFS(OFFSET('BPC Data'!$F:$F,0,Summary!O$2),'BPC Data'!$E:$E,Summary!$D215,'BPC Data'!$B:$B,Summary!$C215)</f>
        <v>82323</v>
      </c>
      <c r="P215" s="65">
        <f ca="1">SUMIFS(OFFSET('BPC Data'!$F:$F,0,Summary!P$2),'BPC Data'!$E:$E,Summary!$D215,'BPC Data'!$B:$B,Summary!$C215)</f>
        <v>250399</v>
      </c>
      <c r="Q215" s="61">
        <f ca="1">SUMIFS(OFFSET('BPC Data'!$F:$F,0,Summary!Q$2),'BPC Data'!$E:$E,Summary!$D215,'BPC Data'!$B:$B,Summary!$C215)</f>
        <v>170532</v>
      </c>
      <c r="R215" s="65">
        <f ca="1">SUMIFS(OFFSET('BPC Data'!$F:$F,0,Summary!R$2),'BPC Data'!$E:$E,Summary!$D215,'BPC Data'!$B:$B,Summary!$C215)</f>
        <v>-107424</v>
      </c>
      <c r="S215" s="23">
        <f t="shared" ca="1" si="424"/>
        <v>1269858</v>
      </c>
      <c r="T215" s="74">
        <f ca="1">SUM(W215:AG215)</f>
        <v>429560.56000000029</v>
      </c>
      <c r="U215" s="54">
        <f ca="1">T215-S215</f>
        <v>-840297.43999999971</v>
      </c>
      <c r="W215" s="50">
        <f t="shared" ref="W215" ca="1" si="434">W213-W214</f>
        <v>2231.1999999991385</v>
      </c>
      <c r="X215" s="50">
        <f t="shared" ref="X215:Y215" ca="1" si="435">X213-X214</f>
        <v>60169.099999999977</v>
      </c>
      <c r="Y215" s="50">
        <f t="shared" ca="1" si="435"/>
        <v>25077.210000000196</v>
      </c>
      <c r="Z215" s="50">
        <f t="shared" ref="Z215" ca="1" si="436">Z213-Z214</f>
        <v>31286.190000000177</v>
      </c>
      <c r="AA215" s="50">
        <f t="shared" ref="AA215" ca="1" si="437">AA213-AA214</f>
        <v>310796.8600000001</v>
      </c>
      <c r="AB215" s="50">
        <f t="shared" ref="AB215:AC215" ca="1" si="438">AB213-AB214</f>
        <v>143133.1399999992</v>
      </c>
      <c r="AC215" s="50">
        <f t="shared" ca="1" si="438"/>
        <v>94000.020000001648</v>
      </c>
      <c r="AD215" s="50">
        <f t="shared" ref="AD215:AG215" ca="1" si="439">AD213-AD214</f>
        <v>40079.390000000014</v>
      </c>
      <c r="AE215" s="50">
        <f t="shared" ca="1" si="439"/>
        <v>82324.790000000852</v>
      </c>
      <c r="AF215" s="50">
        <f t="shared" ca="1" si="439"/>
        <v>250399.36000000051</v>
      </c>
      <c r="AG215" s="50">
        <f t="shared" ca="1" si="439"/>
        <v>-609936.70000000158</v>
      </c>
      <c r="AH215" s="50"/>
      <c r="AJ215" s="14">
        <f t="shared" ca="1" si="432"/>
        <v>0.19999999913852662</v>
      </c>
      <c r="AK215" s="14">
        <f t="shared" ca="1" si="432"/>
        <v>2.0999999999767169</v>
      </c>
      <c r="AL215" s="14">
        <f t="shared" ca="1" si="432"/>
        <v>0.21000000019557774</v>
      </c>
      <c r="AM215" s="14">
        <f t="shared" ca="1" si="432"/>
        <v>-0.80999999982304871</v>
      </c>
      <c r="AN215" s="14">
        <f t="shared" ca="1" si="432"/>
        <v>-59832.139999999898</v>
      </c>
      <c r="AO215" s="14">
        <f t="shared" ca="1" si="432"/>
        <v>-0.86000000080093741</v>
      </c>
      <c r="AP215" s="14">
        <f t="shared" ca="1" si="432"/>
        <v>-0.97999999835155904</v>
      </c>
      <c r="AQ215" s="14">
        <f t="shared" ca="1" si="432"/>
        <v>1.3900000000139698</v>
      </c>
      <c r="AR215" s="14">
        <f t="shared" ca="1" si="432"/>
        <v>1.7900000008521602</v>
      </c>
      <c r="AS215" s="14">
        <f t="shared" ca="1" si="432"/>
        <v>0.36000000050989911</v>
      </c>
      <c r="AT215" s="14">
        <f t="shared" ca="1" si="432"/>
        <v>-780468.70000000158</v>
      </c>
      <c r="AU215" s="14"/>
    </row>
    <row r="216" spans="1:47" s="12" customFormat="1">
      <c r="A216" s="12">
        <f t="shared" si="423"/>
        <v>19</v>
      </c>
      <c r="B216"/>
      <c r="C216" t="str">
        <f>$F207</f>
        <v>Park Manor at Bee Cave (HMG)</v>
      </c>
      <c r="D216" s="1" t="str">
        <f t="shared" si="433"/>
        <v>T_RENT_EXP - Tenant Rent Expense</v>
      </c>
      <c r="E216"/>
      <c r="F216" s="19" t="str">
        <f>_xll.EVDES(D216)</f>
        <v>Tenant Rent Expense</v>
      </c>
      <c r="G216" s="61">
        <f ca="1">SUMIFS(OFFSET('BPC Data'!$F:$F,0,Summary!G$2),'BPC Data'!$E:$E,Summary!$D216,'BPC Data'!$B:$B,Summary!$C216)</f>
        <v>106067</v>
      </c>
      <c r="H216" s="65">
        <f ca="1">SUMIFS(OFFSET('BPC Data'!$F:$F,0,Summary!H$2),'BPC Data'!$E:$E,Summary!$D216,'BPC Data'!$B:$B,Summary!$C216)</f>
        <v>108399</v>
      </c>
      <c r="I216" s="61">
        <f ca="1">SUMIFS(OFFSET('BPC Data'!$F:$F,0,Summary!I$2),'BPC Data'!$E:$E,Summary!$D216,'BPC Data'!$B:$B,Summary!$C216)</f>
        <v>108399</v>
      </c>
      <c r="J216" s="65">
        <f ca="1">SUMIFS(OFFSET('BPC Data'!$F:$F,0,Summary!J$2),'BPC Data'!$E:$E,Summary!$D216,'BPC Data'!$B:$B,Summary!$C216)</f>
        <v>108399</v>
      </c>
      <c r="K216" s="61">
        <f ca="1">SUMIFS(OFFSET('BPC Data'!$F:$F,0,Summary!K$2),'BPC Data'!$E:$E,Summary!$D216,'BPC Data'!$B:$B,Summary!$C216)</f>
        <v>108399</v>
      </c>
      <c r="L216" s="65">
        <f ca="1">SUMIFS(OFFSET('BPC Data'!$F:$F,0,Summary!L$2),'BPC Data'!$E:$E,Summary!$D216,'BPC Data'!$B:$B,Summary!$C216)</f>
        <v>108399</v>
      </c>
      <c r="M216" s="61">
        <f ca="1">SUMIFS(OFFSET('BPC Data'!$F:$F,0,Summary!M$2),'BPC Data'!$E:$E,Summary!$D216,'BPC Data'!$B:$B,Summary!$C216)</f>
        <v>108399</v>
      </c>
      <c r="N216" s="65">
        <f ca="1">SUMIFS(OFFSET('BPC Data'!$F:$F,0,Summary!N$2),'BPC Data'!$E:$E,Summary!$D216,'BPC Data'!$B:$B,Summary!$C216)</f>
        <v>108399</v>
      </c>
      <c r="O216" s="61">
        <f ca="1">SUMIFS(OFFSET('BPC Data'!$F:$F,0,Summary!O$2),'BPC Data'!$E:$E,Summary!$D216,'BPC Data'!$B:$B,Summary!$C216)</f>
        <v>108399</v>
      </c>
      <c r="P216" s="65">
        <f ca="1">SUMIFS(OFFSET('BPC Data'!$F:$F,0,Summary!P$2),'BPC Data'!$E:$E,Summary!$D216,'BPC Data'!$B:$B,Summary!$C216)</f>
        <v>108399</v>
      </c>
      <c r="Q216" s="61">
        <f ca="1">SUMIFS(OFFSET('BPC Data'!$F:$F,0,Summary!Q$2),'BPC Data'!$E:$E,Summary!$D216,'BPC Data'!$B:$B,Summary!$C216)</f>
        <v>108399</v>
      </c>
      <c r="R216" s="65">
        <f ca="1">SUMIFS(OFFSET('BPC Data'!$F:$F,0,Summary!R$2),'BPC Data'!$E:$E,Summary!$D216,'BPC Data'!$B:$B,Summary!$C216)</f>
        <v>0</v>
      </c>
      <c r="S216" s="23">
        <f t="shared" ca="1" si="424"/>
        <v>1190057</v>
      </c>
      <c r="T216" s="74">
        <f ca="1">SUM(W216:AG216)</f>
        <v>539661.81999999995</v>
      </c>
      <c r="U216" s="54">
        <f ca="1">T216-S216</f>
        <v>-650395.18000000005</v>
      </c>
      <c r="W216" s="4">
        <f ca="1">SUMIFS(INDIRECT("'"&amp;$W$206&amp;"'"&amp;"!$B$64:$B$5000"),INDIRECT("'"&amp;$W$206&amp;"'"&amp;"!$A$64:$A$5000"),$W$3)+SUMIFS(INDIRECT("'"&amp;$W$206&amp;"'"&amp;"!$B$64:$B$5000"),INDIRECT("'"&amp;$W$206&amp;"'"&amp;"!$A$64:$A$5000"),$W$4)</f>
        <v>106066.5</v>
      </c>
      <c r="X216" s="4">
        <f ca="1">SUMIFS(INDIRECT("'"&amp;$W$206&amp;"'"&amp;"!$C$64:$C$5000"),INDIRECT("'"&amp;$W$206&amp;"'"&amp;"!$A$64:$A$5000"),$W$3)+SUMIFS(INDIRECT("'"&amp;$W$206&amp;"'"&amp;"!$C$64:$C$5000"),INDIRECT("'"&amp;$W$206&amp;"'"&amp;"!$A$64:$A$5000"),$W$4)</f>
        <v>108398.83</v>
      </c>
      <c r="Y216" s="4">
        <f ca="1">SUMIFS(INDIRECT("'"&amp;$W$206&amp;"'"&amp;"!$d$64:$d$5000"),INDIRECT("'"&amp;$W$206&amp;"'"&amp;"!$A$64:$A$5000"),$W$3)+SUMIFS(INDIRECT("'"&amp;$W$206&amp;"'"&amp;"!$d$64:$d$5000"),INDIRECT("'"&amp;$W$206&amp;"'"&amp;"!$A$64:$A$5000"),$W$4)</f>
        <v>108398.83</v>
      </c>
      <c r="Z216" s="4">
        <f ca="1">SUMIFS(INDIRECT("'"&amp;$W$206&amp;"'"&amp;"!$E$64:$E$5000"),INDIRECT("'"&amp;$W$206&amp;"'"&amp;"!$A$64:$A$5000"),$W$3)+SUMIFS(INDIRECT("'"&amp;$W$206&amp;"'"&amp;"!$E$64:$E$5000"),INDIRECT("'"&amp;$W$206&amp;"'"&amp;"!$A$64:$A$5000"),$W$4)</f>
        <v>108398.83</v>
      </c>
      <c r="AA216" s="4">
        <f ca="1">SUMIFS(INDIRECT("'"&amp;$W$206&amp;"'"&amp;"!$F$64:$F$5000"),INDIRECT("'"&amp;$W$206&amp;"'"&amp;"!$A$64:$A$5000"),$W$3)+SUMIFS(INDIRECT("'"&amp;$W$206&amp;"'"&amp;"!$F$64:$F$5000"),INDIRECT("'"&amp;$W$206&amp;"'"&amp;"!$A$64:$A$5000"),$W$4)</f>
        <v>108398.83</v>
      </c>
      <c r="AB216" s="4">
        <f ca="1">SUMIFS(INDIRECT("'"&amp;$W$206&amp;"'"&amp;"!$G$64:$G$5000"),INDIRECT("'"&amp;$W$206&amp;"'"&amp;"!$A$64:$A$5000"),$W$3)+SUMIFS(INDIRECT("'"&amp;$W$206&amp;"'"&amp;"!$G$64:$G$5000"),INDIRECT("'"&amp;$W$206&amp;"'"&amp;"!$A$64:$A$5000"),$W$4)</f>
        <v>108398.83</v>
      </c>
      <c r="AC216" s="4">
        <f ca="1">SUMIFS(INDIRECT("'"&amp;$W$206&amp;"'"&amp;"!$h$64:$h$5000"),INDIRECT("'"&amp;$W$206&amp;"'"&amp;"!$A$64:$A$5000"),$W$3)+SUMIFS(INDIRECT("'"&amp;$W$206&amp;"'"&amp;"!$h$64:$h$5000"),INDIRECT("'"&amp;$W$206&amp;"'"&amp;"!$A$64:$A$5000"),$W$4)</f>
        <v>108398.83</v>
      </c>
      <c r="AD216" s="4">
        <f ca="1">SUMIFS(INDIRECT("'"&amp;$W$206&amp;"'"&amp;"!$i$64:$i$5000"),INDIRECT("'"&amp;$W$206&amp;"'"&amp;"!$A$64:$A$5000"),$W$3)+SUMIFS(INDIRECT("'"&amp;$W$206&amp;"'"&amp;"!$i$64:$i$5000"),INDIRECT("'"&amp;$W$206&amp;"'"&amp;"!$A$64:$A$5000"),$W$4)</f>
        <v>108398.83</v>
      </c>
      <c r="AE216" s="4">
        <f ca="1">SUMIFS(INDIRECT("'"&amp;$W$206&amp;"'"&amp;"!$j$64:$j$5000"),INDIRECT("'"&amp;$W$206&amp;"'"&amp;"!$A$64:$A$5000"),$W$3)+SUMIFS(INDIRECT("'"&amp;$W$206&amp;"'"&amp;"!$j$64:$j$5000"),INDIRECT("'"&amp;$W$206&amp;"'"&amp;"!$A$64:$A$5000"),$W$4)</f>
        <v>108398.83</v>
      </c>
      <c r="AF216" s="4">
        <f ca="1">SUMIFS(INDIRECT("'"&amp;$W$206&amp;"'"&amp;"!$k$64:$k$5000"),INDIRECT("'"&amp;$W$206&amp;"'"&amp;"!$A$64:$A$5000"),$W$3)+SUMIFS(INDIRECT("'"&amp;$W$206&amp;"'"&amp;"!$k$64:$k$5000"),INDIRECT("'"&amp;$W$206&amp;"'"&amp;"!$A$64:$A$5000"),$W$4)</f>
        <v>108398.83</v>
      </c>
      <c r="AG216" s="4">
        <f ca="1">SUMIFS(INDIRECT("'"&amp;$W$206&amp;"'"&amp;"!$l$64:$l$5000"),INDIRECT("'"&amp;$W$206&amp;"'"&amp;"!$A$64:$A$5000"),$W$3)+SUMIFS(INDIRECT("'"&amp;$W$206&amp;"'"&amp;"!$l$64:$l$5000"),INDIRECT("'"&amp;$W$206&amp;"'"&amp;"!$A$64:$A$5000"),$W$4)</f>
        <v>-541994.15</v>
      </c>
      <c r="AH216" s="4"/>
      <c r="AJ216" s="14">
        <f t="shared" ca="1" si="432"/>
        <v>-0.5</v>
      </c>
      <c r="AK216" s="14">
        <f t="shared" ca="1" si="432"/>
        <v>-0.16999999999825377</v>
      </c>
      <c r="AL216" s="14">
        <f t="shared" ca="1" si="432"/>
        <v>-0.16999999999825377</v>
      </c>
      <c r="AM216" s="14">
        <f t="shared" ca="1" si="432"/>
        <v>-0.16999999999825377</v>
      </c>
      <c r="AN216" s="14">
        <f t="shared" ca="1" si="432"/>
        <v>-0.16999999999825377</v>
      </c>
      <c r="AO216" s="14">
        <f t="shared" ca="1" si="432"/>
        <v>-0.16999999999825377</v>
      </c>
      <c r="AP216" s="14">
        <f t="shared" ca="1" si="432"/>
        <v>-0.16999999999825377</v>
      </c>
      <c r="AQ216" s="14">
        <f t="shared" ca="1" si="432"/>
        <v>-0.16999999999825377</v>
      </c>
      <c r="AR216" s="14">
        <f t="shared" ca="1" si="432"/>
        <v>-0.16999999999825377</v>
      </c>
      <c r="AS216" s="14">
        <f t="shared" ca="1" si="432"/>
        <v>-0.16999999999825377</v>
      </c>
      <c r="AT216" s="14">
        <f t="shared" ca="1" si="432"/>
        <v>-650393.15</v>
      </c>
      <c r="AU216" s="14"/>
    </row>
    <row r="217" spans="1:47" s="12" customFormat="1">
      <c r="A217" s="12">
        <f t="shared" si="423"/>
        <v>19</v>
      </c>
      <c r="B217"/>
      <c r="C217"/>
      <c r="D217" s="1" t="str">
        <f t="shared" si="433"/>
        <v>x</v>
      </c>
      <c r="E217"/>
      <c r="F217" s="19" t="s">
        <v>0</v>
      </c>
      <c r="G217" s="61">
        <f ca="1">SUMIFS(OFFSET('BPC Data'!$F:$F,0,Summary!G$2),'BPC Data'!$E:$E,Summary!$D217,'BPC Data'!$B:$B,Summary!$C217)</f>
        <v>0</v>
      </c>
      <c r="H217" s="65">
        <f ca="1">SUMIFS(OFFSET('BPC Data'!$F:$F,0,Summary!H$2),'BPC Data'!$E:$E,Summary!$D217,'BPC Data'!$B:$B,Summary!$C217)</f>
        <v>0</v>
      </c>
      <c r="I217" s="61">
        <f ca="1">SUMIFS(OFFSET('BPC Data'!$F:$F,0,Summary!I$2),'BPC Data'!$E:$E,Summary!$D217,'BPC Data'!$B:$B,Summary!$C217)</f>
        <v>0</v>
      </c>
      <c r="J217" s="65">
        <f ca="1">SUMIFS(OFFSET('BPC Data'!$F:$F,0,Summary!J$2),'BPC Data'!$E:$E,Summary!$D217,'BPC Data'!$B:$B,Summary!$C217)</f>
        <v>0</v>
      </c>
      <c r="K217" s="61">
        <f ca="1">SUMIFS(OFFSET('BPC Data'!$F:$F,0,Summary!K$2),'BPC Data'!$E:$E,Summary!$D217,'BPC Data'!$B:$B,Summary!$C217)</f>
        <v>0</v>
      </c>
      <c r="L217" s="65">
        <f ca="1">SUMIFS(OFFSET('BPC Data'!$F:$F,0,Summary!L$2),'BPC Data'!$E:$E,Summary!$D217,'BPC Data'!$B:$B,Summary!$C217)</f>
        <v>0</v>
      </c>
      <c r="M217" s="61">
        <f ca="1">SUMIFS(OFFSET('BPC Data'!$F:$F,0,Summary!M$2),'BPC Data'!$E:$E,Summary!$D217,'BPC Data'!$B:$B,Summary!$C217)</f>
        <v>0</v>
      </c>
      <c r="N217" s="65">
        <f ca="1">SUMIFS(OFFSET('BPC Data'!$F:$F,0,Summary!N$2),'BPC Data'!$E:$E,Summary!$D217,'BPC Data'!$B:$B,Summary!$C217)</f>
        <v>0</v>
      </c>
      <c r="O217" s="61">
        <f ca="1">SUMIFS(OFFSET('BPC Data'!$F:$F,0,Summary!O$2),'BPC Data'!$E:$E,Summary!$D217,'BPC Data'!$B:$B,Summary!$C217)</f>
        <v>0</v>
      </c>
      <c r="P217" s="65">
        <f ca="1">SUMIFS(OFFSET('BPC Data'!$F:$F,0,Summary!P$2),'BPC Data'!$E:$E,Summary!$D217,'BPC Data'!$B:$B,Summary!$C217)</f>
        <v>0</v>
      </c>
      <c r="Q217" s="61">
        <f ca="1">SUMIFS(OFFSET('BPC Data'!$F:$F,0,Summary!Q$2),'BPC Data'!$E:$E,Summary!$D217,'BPC Data'!$B:$B,Summary!$C217)</f>
        <v>0</v>
      </c>
      <c r="R217" s="65">
        <f ca="1">SUMIFS(OFFSET('BPC Data'!$F:$F,0,Summary!R$2),'BPC Data'!$E:$E,Summary!$D217,'BPC Data'!$B:$B,Summary!$C217)</f>
        <v>0</v>
      </c>
      <c r="S217" s="23"/>
      <c r="T217" s="76"/>
      <c r="AJ217" s="49"/>
      <c r="AK217" s="49"/>
      <c r="AL217" s="49"/>
      <c r="AM217" s="49"/>
      <c r="AN217" s="49"/>
      <c r="AO217" s="49"/>
      <c r="AP217" s="49"/>
      <c r="AQ217" s="49"/>
      <c r="AR217" s="49"/>
      <c r="AS217" s="49"/>
      <c r="AT217" s="49"/>
      <c r="AU217" s="49"/>
    </row>
    <row r="218" spans="1:47" s="12" customFormat="1">
      <c r="A218" s="12">
        <f>IF(AND(D218&lt;&gt;"",C218=""),A217+1,A217)</f>
        <v>20</v>
      </c>
      <c r="B218" s="5"/>
      <c r="C218" s="5"/>
      <c r="D218" s="5" t="str">
        <f t="shared" si="433"/>
        <v>x</v>
      </c>
      <c r="E218" s="5"/>
      <c r="F218" s="18">
        <f>INDEX(PropertyList!$D:$D,MATCH(Summary!$A218,PropertyList!$C:$C,0))</f>
        <v>0</v>
      </c>
      <c r="G218" s="61">
        <f ca="1">SUMIFS(OFFSET('BPC Data'!$F:$F,0,Summary!G$2),'BPC Data'!$E:$E,Summary!$D218,'BPC Data'!$B:$B,Summary!$C218)</f>
        <v>0</v>
      </c>
      <c r="H218" s="65">
        <f ca="1">SUMIFS(OFFSET('BPC Data'!$F:$F,0,Summary!H$2),'BPC Data'!$E:$E,Summary!$D218,'BPC Data'!$B:$B,Summary!$C218)</f>
        <v>0</v>
      </c>
      <c r="I218" s="61">
        <f ca="1">SUMIFS(OFFSET('BPC Data'!$F:$F,0,Summary!I$2),'BPC Data'!$E:$E,Summary!$D218,'BPC Data'!$B:$B,Summary!$C218)</f>
        <v>0</v>
      </c>
      <c r="J218" s="65">
        <f ca="1">SUMIFS(OFFSET('BPC Data'!$F:$F,0,Summary!J$2),'BPC Data'!$E:$E,Summary!$D218,'BPC Data'!$B:$B,Summary!$C218)</f>
        <v>0</v>
      </c>
      <c r="K218" s="61">
        <f ca="1">SUMIFS(OFFSET('BPC Data'!$F:$F,0,Summary!K$2),'BPC Data'!$E:$E,Summary!$D218,'BPC Data'!$B:$B,Summary!$C218)</f>
        <v>0</v>
      </c>
      <c r="L218" s="65">
        <f ca="1">SUMIFS(OFFSET('BPC Data'!$F:$F,0,Summary!L$2),'BPC Data'!$E:$E,Summary!$D218,'BPC Data'!$B:$B,Summary!$C218)</f>
        <v>0</v>
      </c>
      <c r="M218" s="61">
        <f ca="1">SUMIFS(OFFSET('BPC Data'!$F:$F,0,Summary!M$2),'BPC Data'!$E:$E,Summary!$D218,'BPC Data'!$B:$B,Summary!$C218)</f>
        <v>0</v>
      </c>
      <c r="N218" s="65">
        <f ca="1">SUMIFS(OFFSET('BPC Data'!$F:$F,0,Summary!N$2),'BPC Data'!$E:$E,Summary!$D218,'BPC Data'!$B:$B,Summary!$C218)</f>
        <v>0</v>
      </c>
      <c r="O218" s="61">
        <f ca="1">SUMIFS(OFFSET('BPC Data'!$F:$F,0,Summary!O$2),'BPC Data'!$E:$E,Summary!$D218,'BPC Data'!$B:$B,Summary!$C218)</f>
        <v>0</v>
      </c>
      <c r="P218" s="65">
        <f ca="1">SUMIFS(OFFSET('BPC Data'!$F:$F,0,Summary!P$2),'BPC Data'!$E:$E,Summary!$D218,'BPC Data'!$B:$B,Summary!$C218)</f>
        <v>0</v>
      </c>
      <c r="Q218" s="61">
        <f ca="1">SUMIFS(OFFSET('BPC Data'!$F:$F,0,Summary!Q$2),'BPC Data'!$E:$E,Summary!$D218,'BPC Data'!$B:$B,Summary!$C218)</f>
        <v>0</v>
      </c>
      <c r="R218" s="65">
        <f ca="1">SUMIFS(OFFSET('BPC Data'!$F:$F,0,Summary!R$2),'BPC Data'!$E:$E,Summary!$D218,'BPC Data'!$B:$B,Summary!$C218)</f>
        <v>0</v>
      </c>
      <c r="S218" s="23"/>
      <c r="T218" s="76"/>
      <c r="AJ218" s="49"/>
      <c r="AK218" s="49"/>
      <c r="AL218" s="49"/>
      <c r="AM218" s="49"/>
      <c r="AN218" s="49"/>
      <c r="AO218" s="49"/>
      <c r="AP218" s="49"/>
      <c r="AQ218" s="49"/>
      <c r="AR218" s="49"/>
      <c r="AS218" s="49"/>
      <c r="AT218" s="49"/>
      <c r="AU218" s="49"/>
    </row>
    <row r="219" spans="1:47" s="12" customFormat="1">
      <c r="A219" s="12">
        <f>IF(AND(F219&lt;&gt;"",D219=""),A218+1,A218)</f>
        <v>20</v>
      </c>
      <c r="C219">
        <f>$F218</f>
        <v>0</v>
      </c>
      <c r="D219" s="3" t="str">
        <f t="shared" si="433"/>
        <v>PAY_PAT_DAYS - Total Payor Patient Days</v>
      </c>
      <c r="F219" s="19" t="str">
        <f>_xll.EVDES(D219)</f>
        <v>Total Payor Patient Days</v>
      </c>
      <c r="G219" s="61">
        <f ca="1">SUMIFS(OFFSET('BPC Data'!$F:$F,0,Summary!G$2),'BPC Data'!$E:$E,Summary!$D219,'BPC Data'!$B:$B,Summary!$C219)</f>
        <v>0</v>
      </c>
      <c r="H219" s="65">
        <f ca="1">SUMIFS(OFFSET('BPC Data'!$F:$F,0,Summary!H$2),'BPC Data'!$E:$E,Summary!$D219,'BPC Data'!$B:$B,Summary!$C219)</f>
        <v>0</v>
      </c>
      <c r="I219" s="61">
        <f ca="1">SUMIFS(OFFSET('BPC Data'!$F:$F,0,Summary!I$2),'BPC Data'!$E:$E,Summary!$D219,'BPC Data'!$B:$B,Summary!$C219)</f>
        <v>0</v>
      </c>
      <c r="J219" s="65">
        <f ca="1">SUMIFS(OFFSET('BPC Data'!$F:$F,0,Summary!J$2),'BPC Data'!$E:$E,Summary!$D219,'BPC Data'!$B:$B,Summary!$C219)</f>
        <v>0</v>
      </c>
      <c r="K219" s="61">
        <f ca="1">SUMIFS(OFFSET('BPC Data'!$F:$F,0,Summary!K$2),'BPC Data'!$E:$E,Summary!$D219,'BPC Data'!$B:$B,Summary!$C219)</f>
        <v>0</v>
      </c>
      <c r="L219" s="65">
        <f ca="1">SUMIFS(OFFSET('BPC Data'!$F:$F,0,Summary!L$2),'BPC Data'!$E:$E,Summary!$D219,'BPC Data'!$B:$B,Summary!$C219)</f>
        <v>0</v>
      </c>
      <c r="M219" s="61">
        <f ca="1">SUMIFS(OFFSET('BPC Data'!$F:$F,0,Summary!M$2),'BPC Data'!$E:$E,Summary!$D219,'BPC Data'!$B:$B,Summary!$C219)</f>
        <v>0</v>
      </c>
      <c r="N219" s="65">
        <f ca="1">SUMIFS(OFFSET('BPC Data'!$F:$F,0,Summary!N$2),'BPC Data'!$E:$E,Summary!$D219,'BPC Data'!$B:$B,Summary!$C219)</f>
        <v>0</v>
      </c>
      <c r="O219" s="61">
        <f ca="1">SUMIFS(OFFSET('BPC Data'!$F:$F,0,Summary!O$2),'BPC Data'!$E:$E,Summary!$D219,'BPC Data'!$B:$B,Summary!$C219)</f>
        <v>0</v>
      </c>
      <c r="P219" s="65">
        <f ca="1">SUMIFS(OFFSET('BPC Data'!$F:$F,0,Summary!P$2),'BPC Data'!$E:$E,Summary!$D219,'BPC Data'!$B:$B,Summary!$C219)</f>
        <v>0</v>
      </c>
      <c r="Q219" s="61">
        <f ca="1">SUMIFS(OFFSET('BPC Data'!$F:$F,0,Summary!Q$2),'BPC Data'!$E:$E,Summary!$D219,'BPC Data'!$B:$B,Summary!$C219)</f>
        <v>0</v>
      </c>
      <c r="R219" s="65">
        <f ca="1">SUMIFS(OFFSET('BPC Data'!$F:$F,0,Summary!R$2),'BPC Data'!$E:$E,Summary!$D219,'BPC Data'!$B:$B,Summary!$C219)</f>
        <v>0</v>
      </c>
      <c r="S219" s="23"/>
      <c r="T219" s="76"/>
      <c r="AJ219" s="49"/>
      <c r="AK219" s="49"/>
      <c r="AL219" s="49"/>
      <c r="AM219" s="49"/>
      <c r="AN219" s="49"/>
      <c r="AO219" s="49"/>
      <c r="AP219" s="49"/>
      <c r="AQ219" s="49"/>
      <c r="AR219" s="49"/>
      <c r="AS219" s="49"/>
      <c r="AT219" s="49"/>
      <c r="AU219" s="49"/>
    </row>
    <row r="220" spans="1:47" s="12" customFormat="1">
      <c r="A220" s="12">
        <f t="shared" ref="A220:A228" si="440">IF(AND(F220&lt;&gt;"",D220=""),A219+1,A219)</f>
        <v>20</v>
      </c>
      <c r="C220">
        <f>$F218</f>
        <v>0</v>
      </c>
      <c r="D220" s="3" t="str">
        <f t="shared" si="433"/>
        <v>A_BEDS_TOTAL - Total Available Beds</v>
      </c>
      <c r="F220" s="19" t="str">
        <f>_xll.EVDES(D220)</f>
        <v>Total Available Beds</v>
      </c>
      <c r="G220" s="61">
        <f ca="1">SUMIFS(OFFSET('BPC Data'!$F:$F,0,Summary!G$2),'BPC Data'!$E:$E,Summary!$D220,'BPC Data'!$B:$B,Summary!$C220)</f>
        <v>0</v>
      </c>
      <c r="H220" s="65">
        <f ca="1">SUMIFS(OFFSET('BPC Data'!$F:$F,0,Summary!H$2),'BPC Data'!$E:$E,Summary!$D220,'BPC Data'!$B:$B,Summary!$C220)</f>
        <v>0</v>
      </c>
      <c r="I220" s="61">
        <f ca="1">SUMIFS(OFFSET('BPC Data'!$F:$F,0,Summary!I$2),'BPC Data'!$E:$E,Summary!$D220,'BPC Data'!$B:$B,Summary!$C220)</f>
        <v>0</v>
      </c>
      <c r="J220" s="65">
        <f ca="1">SUMIFS(OFFSET('BPC Data'!$F:$F,0,Summary!J$2),'BPC Data'!$E:$E,Summary!$D220,'BPC Data'!$B:$B,Summary!$C220)</f>
        <v>0</v>
      </c>
      <c r="K220" s="61">
        <f ca="1">SUMIFS(OFFSET('BPC Data'!$F:$F,0,Summary!K$2),'BPC Data'!$E:$E,Summary!$D220,'BPC Data'!$B:$B,Summary!$C220)</f>
        <v>0</v>
      </c>
      <c r="L220" s="65">
        <f ca="1">SUMIFS(OFFSET('BPC Data'!$F:$F,0,Summary!L$2),'BPC Data'!$E:$E,Summary!$D220,'BPC Data'!$B:$B,Summary!$C220)</f>
        <v>0</v>
      </c>
      <c r="M220" s="61">
        <f ca="1">SUMIFS(OFFSET('BPC Data'!$F:$F,0,Summary!M$2),'BPC Data'!$E:$E,Summary!$D220,'BPC Data'!$B:$B,Summary!$C220)</f>
        <v>0</v>
      </c>
      <c r="N220" s="65">
        <f ca="1">SUMIFS(OFFSET('BPC Data'!$F:$F,0,Summary!N$2),'BPC Data'!$E:$E,Summary!$D220,'BPC Data'!$B:$B,Summary!$C220)</f>
        <v>0</v>
      </c>
      <c r="O220" s="61">
        <f ca="1">SUMIFS(OFFSET('BPC Data'!$F:$F,0,Summary!O$2),'BPC Data'!$E:$E,Summary!$D220,'BPC Data'!$B:$B,Summary!$C220)</f>
        <v>0</v>
      </c>
      <c r="P220" s="65">
        <f ca="1">SUMIFS(OFFSET('BPC Data'!$F:$F,0,Summary!P$2),'BPC Data'!$E:$E,Summary!$D220,'BPC Data'!$B:$B,Summary!$C220)</f>
        <v>0</v>
      </c>
      <c r="Q220" s="61">
        <f ca="1">SUMIFS(OFFSET('BPC Data'!$F:$F,0,Summary!Q$2),'BPC Data'!$E:$E,Summary!$D220,'BPC Data'!$B:$B,Summary!$C220)</f>
        <v>0</v>
      </c>
      <c r="R220" s="65">
        <f ca="1">SUMIFS(OFFSET('BPC Data'!$F:$F,0,Summary!R$2),'BPC Data'!$E:$E,Summary!$D220,'BPC Data'!$B:$B,Summary!$C220)</f>
        <v>0</v>
      </c>
      <c r="S220" s="23"/>
      <c r="T220" s="76"/>
      <c r="AJ220" s="49"/>
      <c r="AK220" s="49"/>
      <c r="AL220" s="49"/>
      <c r="AM220" s="49"/>
      <c r="AN220" s="49"/>
      <c r="AO220" s="49"/>
      <c r="AP220" s="49"/>
      <c r="AQ220" s="49"/>
      <c r="AR220" s="49"/>
      <c r="AS220" s="49"/>
      <c r="AT220" s="49"/>
      <c r="AU220" s="49"/>
    </row>
    <row r="221" spans="1:47" s="12" customFormat="1">
      <c r="A221" s="12">
        <f t="shared" si="440"/>
        <v>20</v>
      </c>
      <c r="B221"/>
      <c r="C221">
        <f>$F218</f>
        <v>0</v>
      </c>
      <c r="D221" s="3" t="str">
        <f t="shared" si="433"/>
        <v>T_REVENUES - Total Tenant Revenues</v>
      </c>
      <c r="E221"/>
      <c r="F221" s="19" t="str">
        <f>_xll.EVDES(D221)</f>
        <v>Total Tenant Revenues</v>
      </c>
      <c r="G221" s="61">
        <f ca="1">SUMIFS(OFFSET('BPC Data'!$F:$F,0,Summary!G$2),'BPC Data'!$E:$E,Summary!$D221,'BPC Data'!$B:$B,Summary!$C221)</f>
        <v>0</v>
      </c>
      <c r="H221" s="65">
        <f ca="1">SUMIFS(OFFSET('BPC Data'!$F:$F,0,Summary!H$2),'BPC Data'!$E:$E,Summary!$D221,'BPC Data'!$B:$B,Summary!$C221)</f>
        <v>0</v>
      </c>
      <c r="I221" s="61">
        <f ca="1">SUMIFS(OFFSET('BPC Data'!$F:$F,0,Summary!I$2),'BPC Data'!$E:$E,Summary!$D221,'BPC Data'!$B:$B,Summary!$C221)</f>
        <v>0</v>
      </c>
      <c r="J221" s="65">
        <f ca="1">SUMIFS(OFFSET('BPC Data'!$F:$F,0,Summary!J$2),'BPC Data'!$E:$E,Summary!$D221,'BPC Data'!$B:$B,Summary!$C221)</f>
        <v>0</v>
      </c>
      <c r="K221" s="61">
        <f ca="1">SUMIFS(OFFSET('BPC Data'!$F:$F,0,Summary!K$2),'BPC Data'!$E:$E,Summary!$D221,'BPC Data'!$B:$B,Summary!$C221)</f>
        <v>0</v>
      </c>
      <c r="L221" s="65">
        <f ca="1">SUMIFS(OFFSET('BPC Data'!$F:$F,0,Summary!L$2),'BPC Data'!$E:$E,Summary!$D221,'BPC Data'!$B:$B,Summary!$C221)</f>
        <v>0</v>
      </c>
      <c r="M221" s="61">
        <f ca="1">SUMIFS(OFFSET('BPC Data'!$F:$F,0,Summary!M$2),'BPC Data'!$E:$E,Summary!$D221,'BPC Data'!$B:$B,Summary!$C221)</f>
        <v>0</v>
      </c>
      <c r="N221" s="65">
        <f ca="1">SUMIFS(OFFSET('BPC Data'!$F:$F,0,Summary!N$2),'BPC Data'!$E:$E,Summary!$D221,'BPC Data'!$B:$B,Summary!$C221)</f>
        <v>0</v>
      </c>
      <c r="O221" s="61">
        <f ca="1">SUMIFS(OFFSET('BPC Data'!$F:$F,0,Summary!O$2),'BPC Data'!$E:$E,Summary!$D221,'BPC Data'!$B:$B,Summary!$C221)</f>
        <v>0</v>
      </c>
      <c r="P221" s="65">
        <f ca="1">SUMIFS(OFFSET('BPC Data'!$F:$F,0,Summary!P$2),'BPC Data'!$E:$E,Summary!$D221,'BPC Data'!$B:$B,Summary!$C221)</f>
        <v>0</v>
      </c>
      <c r="Q221" s="61">
        <f ca="1">SUMIFS(OFFSET('BPC Data'!$F:$F,0,Summary!Q$2),'BPC Data'!$E:$E,Summary!$D221,'BPC Data'!$B:$B,Summary!$C221)</f>
        <v>0</v>
      </c>
      <c r="R221" s="65">
        <f ca="1">SUMIFS(OFFSET('BPC Data'!$F:$F,0,Summary!R$2),'BPC Data'!$E:$E,Summary!$D221,'BPC Data'!$B:$B,Summary!$C221)</f>
        <v>0</v>
      </c>
      <c r="S221" s="23"/>
      <c r="T221" s="76"/>
      <c r="AJ221" s="49"/>
      <c r="AK221" s="49"/>
      <c r="AL221" s="49"/>
      <c r="AM221" s="49"/>
      <c r="AN221" s="49"/>
      <c r="AO221" s="49"/>
      <c r="AP221" s="49"/>
      <c r="AQ221" s="49"/>
      <c r="AR221" s="49"/>
      <c r="AS221" s="49"/>
      <c r="AT221" s="49"/>
      <c r="AU221" s="49"/>
    </row>
    <row r="222" spans="1:47" s="12" customFormat="1">
      <c r="A222" s="12">
        <f t="shared" si="440"/>
        <v>20</v>
      </c>
      <c r="B222"/>
      <c r="C222">
        <f>$F218</f>
        <v>0</v>
      </c>
      <c r="D222" s="3" t="str">
        <f t="shared" si="433"/>
        <v>T_OPEX - Tenant Operating Expenses</v>
      </c>
      <c r="E222"/>
      <c r="F222" s="19" t="str">
        <f>_xll.EVDES(D222)</f>
        <v>Tenant Operating Expenses</v>
      </c>
      <c r="G222" s="61">
        <f ca="1">SUMIFS(OFFSET('BPC Data'!$F:$F,0,Summary!G$2),'BPC Data'!$E:$E,Summary!$D222,'BPC Data'!$B:$B,Summary!$C222)</f>
        <v>0</v>
      </c>
      <c r="H222" s="65">
        <f ca="1">SUMIFS(OFFSET('BPC Data'!$F:$F,0,Summary!H$2),'BPC Data'!$E:$E,Summary!$D222,'BPC Data'!$B:$B,Summary!$C222)</f>
        <v>0</v>
      </c>
      <c r="I222" s="61">
        <f ca="1">SUMIFS(OFFSET('BPC Data'!$F:$F,0,Summary!I$2),'BPC Data'!$E:$E,Summary!$D222,'BPC Data'!$B:$B,Summary!$C222)</f>
        <v>0</v>
      </c>
      <c r="J222" s="65">
        <f ca="1">SUMIFS(OFFSET('BPC Data'!$F:$F,0,Summary!J$2),'BPC Data'!$E:$E,Summary!$D222,'BPC Data'!$B:$B,Summary!$C222)</f>
        <v>0</v>
      </c>
      <c r="K222" s="61">
        <f ca="1">SUMIFS(OFFSET('BPC Data'!$F:$F,0,Summary!K$2),'BPC Data'!$E:$E,Summary!$D222,'BPC Data'!$B:$B,Summary!$C222)</f>
        <v>0</v>
      </c>
      <c r="L222" s="65">
        <f ca="1">SUMIFS(OFFSET('BPC Data'!$F:$F,0,Summary!L$2),'BPC Data'!$E:$E,Summary!$D222,'BPC Data'!$B:$B,Summary!$C222)</f>
        <v>0</v>
      </c>
      <c r="M222" s="61">
        <f ca="1">SUMIFS(OFFSET('BPC Data'!$F:$F,0,Summary!M$2),'BPC Data'!$E:$E,Summary!$D222,'BPC Data'!$B:$B,Summary!$C222)</f>
        <v>0</v>
      </c>
      <c r="N222" s="65">
        <f ca="1">SUMIFS(OFFSET('BPC Data'!$F:$F,0,Summary!N$2),'BPC Data'!$E:$E,Summary!$D222,'BPC Data'!$B:$B,Summary!$C222)</f>
        <v>0</v>
      </c>
      <c r="O222" s="61">
        <f ca="1">SUMIFS(OFFSET('BPC Data'!$F:$F,0,Summary!O$2),'BPC Data'!$E:$E,Summary!$D222,'BPC Data'!$B:$B,Summary!$C222)</f>
        <v>0</v>
      </c>
      <c r="P222" s="65">
        <f ca="1">SUMIFS(OFFSET('BPC Data'!$F:$F,0,Summary!P$2),'BPC Data'!$E:$E,Summary!$D222,'BPC Data'!$B:$B,Summary!$C222)</f>
        <v>0</v>
      </c>
      <c r="Q222" s="61">
        <f ca="1">SUMIFS(OFFSET('BPC Data'!$F:$F,0,Summary!Q$2),'BPC Data'!$E:$E,Summary!$D222,'BPC Data'!$B:$B,Summary!$C222)</f>
        <v>0</v>
      </c>
      <c r="R222" s="65">
        <f ca="1">SUMIFS(OFFSET('BPC Data'!$F:$F,0,Summary!R$2),'BPC Data'!$E:$E,Summary!$D222,'BPC Data'!$B:$B,Summary!$C222)</f>
        <v>0</v>
      </c>
      <c r="S222" s="23"/>
      <c r="T222" s="76"/>
      <c r="AJ222" s="49"/>
      <c r="AK222" s="49"/>
      <c r="AL222" s="49"/>
      <c r="AM222" s="49"/>
      <c r="AN222" s="49"/>
      <c r="AO222" s="49"/>
      <c r="AP222" s="49"/>
      <c r="AQ222" s="49"/>
      <c r="AR222" s="49"/>
      <c r="AS222" s="49"/>
      <c r="AT222" s="49"/>
      <c r="AU222" s="49"/>
    </row>
    <row r="223" spans="1:47" s="12" customFormat="1">
      <c r="A223" s="12">
        <f t="shared" si="440"/>
        <v>20</v>
      </c>
      <c r="B223"/>
      <c r="C223">
        <f>$F218</f>
        <v>0</v>
      </c>
      <c r="D223" s="3" t="str">
        <f t="shared" si="433"/>
        <v>T_BAD_DEBT - Tenant Bad Debt Expense</v>
      </c>
      <c r="E223"/>
      <c r="F223" s="19" t="str">
        <f>_xll.EVDES(D223)</f>
        <v>Tenant Bad Debt Expense</v>
      </c>
      <c r="G223" s="61">
        <f ca="1">SUMIFS(OFFSET('BPC Data'!$F:$F,0,Summary!G$2),'BPC Data'!$E:$E,Summary!$D223,'BPC Data'!$B:$B,Summary!$C223)</f>
        <v>0</v>
      </c>
      <c r="H223" s="65">
        <f ca="1">SUMIFS(OFFSET('BPC Data'!$F:$F,0,Summary!H$2),'BPC Data'!$E:$E,Summary!$D223,'BPC Data'!$B:$B,Summary!$C223)</f>
        <v>0</v>
      </c>
      <c r="I223" s="61">
        <f ca="1">SUMIFS(OFFSET('BPC Data'!$F:$F,0,Summary!I$2),'BPC Data'!$E:$E,Summary!$D223,'BPC Data'!$B:$B,Summary!$C223)</f>
        <v>0</v>
      </c>
      <c r="J223" s="65">
        <f ca="1">SUMIFS(OFFSET('BPC Data'!$F:$F,0,Summary!J$2),'BPC Data'!$E:$E,Summary!$D223,'BPC Data'!$B:$B,Summary!$C223)</f>
        <v>0</v>
      </c>
      <c r="K223" s="61">
        <f ca="1">SUMIFS(OFFSET('BPC Data'!$F:$F,0,Summary!K$2),'BPC Data'!$E:$E,Summary!$D223,'BPC Data'!$B:$B,Summary!$C223)</f>
        <v>0</v>
      </c>
      <c r="L223" s="65">
        <f ca="1">SUMIFS(OFFSET('BPC Data'!$F:$F,0,Summary!L$2),'BPC Data'!$E:$E,Summary!$D223,'BPC Data'!$B:$B,Summary!$C223)</f>
        <v>0</v>
      </c>
      <c r="M223" s="61">
        <f ca="1">SUMIFS(OFFSET('BPC Data'!$F:$F,0,Summary!M$2),'BPC Data'!$E:$E,Summary!$D223,'BPC Data'!$B:$B,Summary!$C223)</f>
        <v>0</v>
      </c>
      <c r="N223" s="65">
        <f ca="1">SUMIFS(OFFSET('BPC Data'!$F:$F,0,Summary!N$2),'BPC Data'!$E:$E,Summary!$D223,'BPC Data'!$B:$B,Summary!$C223)</f>
        <v>0</v>
      </c>
      <c r="O223" s="61">
        <f ca="1">SUMIFS(OFFSET('BPC Data'!$F:$F,0,Summary!O$2),'BPC Data'!$E:$E,Summary!$D223,'BPC Data'!$B:$B,Summary!$C223)</f>
        <v>0</v>
      </c>
      <c r="P223" s="65">
        <f ca="1">SUMIFS(OFFSET('BPC Data'!$F:$F,0,Summary!P$2),'BPC Data'!$E:$E,Summary!$D223,'BPC Data'!$B:$B,Summary!$C223)</f>
        <v>0</v>
      </c>
      <c r="Q223" s="61">
        <f ca="1">SUMIFS(OFFSET('BPC Data'!$F:$F,0,Summary!Q$2),'BPC Data'!$E:$E,Summary!$D223,'BPC Data'!$B:$B,Summary!$C223)</f>
        <v>0</v>
      </c>
      <c r="R223" s="65">
        <f ca="1">SUMIFS(OFFSET('BPC Data'!$F:$F,0,Summary!R$2),'BPC Data'!$E:$E,Summary!$D223,'BPC Data'!$B:$B,Summary!$C223)</f>
        <v>0</v>
      </c>
      <c r="S223" s="23"/>
      <c r="T223" s="76"/>
      <c r="AJ223" s="49"/>
      <c r="AK223" s="49"/>
      <c r="AL223" s="49"/>
      <c r="AM223" s="49"/>
      <c r="AN223" s="49"/>
      <c r="AO223" s="49"/>
      <c r="AP223" s="49"/>
      <c r="AQ223" s="49"/>
      <c r="AR223" s="49"/>
      <c r="AS223" s="49"/>
      <c r="AT223" s="49"/>
      <c r="AU223" s="49"/>
    </row>
    <row r="224" spans="1:47" s="12" customFormat="1">
      <c r="A224" s="12">
        <f t="shared" si="440"/>
        <v>20</v>
      </c>
      <c r="B224"/>
      <c r="C224">
        <f>$F218</f>
        <v>0</v>
      </c>
      <c r="D224" s="2" t="str">
        <f t="shared" si="433"/>
        <v>T_EBITDARM - EBITDARM</v>
      </c>
      <c r="E224"/>
      <c r="F224" s="19" t="str">
        <f>_xll.EVDES(D224)</f>
        <v>EBITDARM</v>
      </c>
      <c r="G224" s="61">
        <f ca="1">SUMIFS(OFFSET('BPC Data'!$F:$F,0,Summary!G$2),'BPC Data'!$E:$E,Summary!$D224,'BPC Data'!$B:$B,Summary!$C224)</f>
        <v>0</v>
      </c>
      <c r="H224" s="65">
        <f ca="1">SUMIFS(OFFSET('BPC Data'!$F:$F,0,Summary!H$2),'BPC Data'!$E:$E,Summary!$D224,'BPC Data'!$B:$B,Summary!$C224)</f>
        <v>0</v>
      </c>
      <c r="I224" s="61">
        <f ca="1">SUMIFS(OFFSET('BPC Data'!$F:$F,0,Summary!I$2),'BPC Data'!$E:$E,Summary!$D224,'BPC Data'!$B:$B,Summary!$C224)</f>
        <v>0</v>
      </c>
      <c r="J224" s="65">
        <f ca="1">SUMIFS(OFFSET('BPC Data'!$F:$F,0,Summary!J$2),'BPC Data'!$E:$E,Summary!$D224,'BPC Data'!$B:$B,Summary!$C224)</f>
        <v>0</v>
      </c>
      <c r="K224" s="61">
        <f ca="1">SUMIFS(OFFSET('BPC Data'!$F:$F,0,Summary!K$2),'BPC Data'!$E:$E,Summary!$D224,'BPC Data'!$B:$B,Summary!$C224)</f>
        <v>0</v>
      </c>
      <c r="L224" s="65">
        <f ca="1">SUMIFS(OFFSET('BPC Data'!$F:$F,0,Summary!L$2),'BPC Data'!$E:$E,Summary!$D224,'BPC Data'!$B:$B,Summary!$C224)</f>
        <v>0</v>
      </c>
      <c r="M224" s="61">
        <f ca="1">SUMIFS(OFFSET('BPC Data'!$F:$F,0,Summary!M$2),'BPC Data'!$E:$E,Summary!$D224,'BPC Data'!$B:$B,Summary!$C224)</f>
        <v>0</v>
      </c>
      <c r="N224" s="65">
        <f ca="1">SUMIFS(OFFSET('BPC Data'!$F:$F,0,Summary!N$2),'BPC Data'!$E:$E,Summary!$D224,'BPC Data'!$B:$B,Summary!$C224)</f>
        <v>0</v>
      </c>
      <c r="O224" s="61">
        <f ca="1">SUMIFS(OFFSET('BPC Data'!$F:$F,0,Summary!O$2),'BPC Data'!$E:$E,Summary!$D224,'BPC Data'!$B:$B,Summary!$C224)</f>
        <v>0</v>
      </c>
      <c r="P224" s="65">
        <f ca="1">SUMIFS(OFFSET('BPC Data'!$F:$F,0,Summary!P$2),'BPC Data'!$E:$E,Summary!$D224,'BPC Data'!$B:$B,Summary!$C224)</f>
        <v>0</v>
      </c>
      <c r="Q224" s="61">
        <f ca="1">SUMIFS(OFFSET('BPC Data'!$F:$F,0,Summary!Q$2),'BPC Data'!$E:$E,Summary!$D224,'BPC Data'!$B:$B,Summary!$C224)</f>
        <v>0</v>
      </c>
      <c r="R224" s="65">
        <f ca="1">SUMIFS(OFFSET('BPC Data'!$F:$F,0,Summary!R$2),'BPC Data'!$E:$E,Summary!$D224,'BPC Data'!$B:$B,Summary!$C224)</f>
        <v>0</v>
      </c>
      <c r="S224" s="23"/>
      <c r="T224" s="76"/>
      <c r="AJ224" s="49"/>
      <c r="AK224" s="49"/>
      <c r="AL224" s="49"/>
      <c r="AM224" s="49"/>
      <c r="AN224" s="49"/>
      <c r="AO224" s="49"/>
      <c r="AP224" s="49"/>
      <c r="AQ224" s="49"/>
      <c r="AR224" s="49"/>
      <c r="AS224" s="49"/>
      <c r="AT224" s="49"/>
      <c r="AU224" s="49"/>
    </row>
    <row r="225" spans="1:47" s="12" customFormat="1">
      <c r="A225" s="12">
        <f t="shared" si="440"/>
        <v>20</v>
      </c>
      <c r="B225"/>
      <c r="C225">
        <f>$F218</f>
        <v>0</v>
      </c>
      <c r="D225" s="2" t="str">
        <f t="shared" si="433"/>
        <v>T_MGMT_FEE - Tenant Management Fee - Actual</v>
      </c>
      <c r="E225"/>
      <c r="F225" s="19" t="str">
        <f>_xll.EVDES(D225)</f>
        <v>Tenant Management Fee - Actual</v>
      </c>
      <c r="G225" s="61">
        <f ca="1">SUMIFS(OFFSET('BPC Data'!$F:$F,0,Summary!G$2),'BPC Data'!$E:$E,Summary!$D225,'BPC Data'!$B:$B,Summary!$C225)</f>
        <v>0</v>
      </c>
      <c r="H225" s="65">
        <f ca="1">SUMIFS(OFFSET('BPC Data'!$F:$F,0,Summary!H$2),'BPC Data'!$E:$E,Summary!$D225,'BPC Data'!$B:$B,Summary!$C225)</f>
        <v>0</v>
      </c>
      <c r="I225" s="61">
        <f ca="1">SUMIFS(OFFSET('BPC Data'!$F:$F,0,Summary!I$2),'BPC Data'!$E:$E,Summary!$D225,'BPC Data'!$B:$B,Summary!$C225)</f>
        <v>0</v>
      </c>
      <c r="J225" s="65">
        <f ca="1">SUMIFS(OFFSET('BPC Data'!$F:$F,0,Summary!J$2),'BPC Data'!$E:$E,Summary!$D225,'BPC Data'!$B:$B,Summary!$C225)</f>
        <v>0</v>
      </c>
      <c r="K225" s="61">
        <f ca="1">SUMIFS(OFFSET('BPC Data'!$F:$F,0,Summary!K$2),'BPC Data'!$E:$E,Summary!$D225,'BPC Data'!$B:$B,Summary!$C225)</f>
        <v>0</v>
      </c>
      <c r="L225" s="65">
        <f ca="1">SUMIFS(OFFSET('BPC Data'!$F:$F,0,Summary!L$2),'BPC Data'!$E:$E,Summary!$D225,'BPC Data'!$B:$B,Summary!$C225)</f>
        <v>0</v>
      </c>
      <c r="M225" s="61">
        <f ca="1">SUMIFS(OFFSET('BPC Data'!$F:$F,0,Summary!M$2),'BPC Data'!$E:$E,Summary!$D225,'BPC Data'!$B:$B,Summary!$C225)</f>
        <v>0</v>
      </c>
      <c r="N225" s="65">
        <f ca="1">SUMIFS(OFFSET('BPC Data'!$F:$F,0,Summary!N$2),'BPC Data'!$E:$E,Summary!$D225,'BPC Data'!$B:$B,Summary!$C225)</f>
        <v>0</v>
      </c>
      <c r="O225" s="61">
        <f ca="1">SUMIFS(OFFSET('BPC Data'!$F:$F,0,Summary!O$2),'BPC Data'!$E:$E,Summary!$D225,'BPC Data'!$B:$B,Summary!$C225)</f>
        <v>0</v>
      </c>
      <c r="P225" s="65">
        <f ca="1">SUMIFS(OFFSET('BPC Data'!$F:$F,0,Summary!P$2),'BPC Data'!$E:$E,Summary!$D225,'BPC Data'!$B:$B,Summary!$C225)</f>
        <v>0</v>
      </c>
      <c r="Q225" s="61">
        <f ca="1">SUMIFS(OFFSET('BPC Data'!$F:$F,0,Summary!Q$2),'BPC Data'!$E:$E,Summary!$D225,'BPC Data'!$B:$B,Summary!$C225)</f>
        <v>0</v>
      </c>
      <c r="R225" s="65">
        <f ca="1">SUMIFS(OFFSET('BPC Data'!$F:$F,0,Summary!R$2),'BPC Data'!$E:$E,Summary!$D225,'BPC Data'!$B:$B,Summary!$C225)</f>
        <v>0</v>
      </c>
      <c r="S225" s="23"/>
      <c r="T225" s="76"/>
      <c r="AJ225" s="49"/>
      <c r="AK225" s="49"/>
      <c r="AL225" s="49"/>
      <c r="AM225" s="49"/>
      <c r="AN225" s="49"/>
      <c r="AO225" s="49"/>
      <c r="AP225" s="49"/>
      <c r="AQ225" s="49"/>
      <c r="AR225" s="49"/>
      <c r="AS225" s="49"/>
      <c r="AT225" s="49"/>
      <c r="AU225" s="49"/>
    </row>
    <row r="226" spans="1:47" s="12" customFormat="1">
      <c r="A226" s="12">
        <f t="shared" si="440"/>
        <v>20</v>
      </c>
      <c r="B226"/>
      <c r="C226">
        <f>$F218</f>
        <v>0</v>
      </c>
      <c r="D226" s="1" t="str">
        <f t="shared" si="433"/>
        <v>T_EBITDAR - EBITDAR</v>
      </c>
      <c r="E226"/>
      <c r="F226" s="19" t="str">
        <f>_xll.EVDES(D226)</f>
        <v>EBITDAR</v>
      </c>
      <c r="G226" s="61">
        <f ca="1">SUMIFS(OFFSET('BPC Data'!$F:$F,0,Summary!G$2),'BPC Data'!$E:$E,Summary!$D226,'BPC Data'!$B:$B,Summary!$C226)</f>
        <v>0</v>
      </c>
      <c r="H226" s="65">
        <f ca="1">SUMIFS(OFFSET('BPC Data'!$F:$F,0,Summary!H$2),'BPC Data'!$E:$E,Summary!$D226,'BPC Data'!$B:$B,Summary!$C226)</f>
        <v>0</v>
      </c>
      <c r="I226" s="61">
        <f ca="1">SUMIFS(OFFSET('BPC Data'!$F:$F,0,Summary!I$2),'BPC Data'!$E:$E,Summary!$D226,'BPC Data'!$B:$B,Summary!$C226)</f>
        <v>0</v>
      </c>
      <c r="J226" s="65">
        <f ca="1">SUMIFS(OFFSET('BPC Data'!$F:$F,0,Summary!J$2),'BPC Data'!$E:$E,Summary!$D226,'BPC Data'!$B:$B,Summary!$C226)</f>
        <v>0</v>
      </c>
      <c r="K226" s="61">
        <f ca="1">SUMIFS(OFFSET('BPC Data'!$F:$F,0,Summary!K$2),'BPC Data'!$E:$E,Summary!$D226,'BPC Data'!$B:$B,Summary!$C226)</f>
        <v>0</v>
      </c>
      <c r="L226" s="65">
        <f ca="1">SUMIFS(OFFSET('BPC Data'!$F:$F,0,Summary!L$2),'BPC Data'!$E:$E,Summary!$D226,'BPC Data'!$B:$B,Summary!$C226)</f>
        <v>0</v>
      </c>
      <c r="M226" s="61">
        <f ca="1">SUMIFS(OFFSET('BPC Data'!$F:$F,0,Summary!M$2),'BPC Data'!$E:$E,Summary!$D226,'BPC Data'!$B:$B,Summary!$C226)</f>
        <v>0</v>
      </c>
      <c r="N226" s="65">
        <f ca="1">SUMIFS(OFFSET('BPC Data'!$F:$F,0,Summary!N$2),'BPC Data'!$E:$E,Summary!$D226,'BPC Data'!$B:$B,Summary!$C226)</f>
        <v>0</v>
      </c>
      <c r="O226" s="61">
        <f ca="1">SUMIFS(OFFSET('BPC Data'!$F:$F,0,Summary!O$2),'BPC Data'!$E:$E,Summary!$D226,'BPC Data'!$B:$B,Summary!$C226)</f>
        <v>0</v>
      </c>
      <c r="P226" s="65">
        <f ca="1">SUMIFS(OFFSET('BPC Data'!$F:$F,0,Summary!P$2),'BPC Data'!$E:$E,Summary!$D226,'BPC Data'!$B:$B,Summary!$C226)</f>
        <v>0</v>
      </c>
      <c r="Q226" s="61">
        <f ca="1">SUMIFS(OFFSET('BPC Data'!$F:$F,0,Summary!Q$2),'BPC Data'!$E:$E,Summary!$D226,'BPC Data'!$B:$B,Summary!$C226)</f>
        <v>0</v>
      </c>
      <c r="R226" s="65">
        <f ca="1">SUMIFS(OFFSET('BPC Data'!$F:$F,0,Summary!R$2),'BPC Data'!$E:$E,Summary!$D226,'BPC Data'!$B:$B,Summary!$C226)</f>
        <v>0</v>
      </c>
      <c r="S226" s="23"/>
      <c r="T226" s="76"/>
      <c r="AJ226" s="49"/>
      <c r="AK226" s="49"/>
      <c r="AL226" s="49"/>
      <c r="AM226" s="49"/>
      <c r="AN226" s="49"/>
      <c r="AO226" s="49"/>
      <c r="AP226" s="49"/>
      <c r="AQ226" s="49"/>
      <c r="AR226" s="49"/>
      <c r="AS226" s="49"/>
      <c r="AT226" s="49"/>
      <c r="AU226" s="49"/>
    </row>
    <row r="227" spans="1:47" s="12" customFormat="1">
      <c r="A227" s="12">
        <f t="shared" si="440"/>
        <v>20</v>
      </c>
      <c r="B227"/>
      <c r="C227">
        <f>$F218</f>
        <v>0</v>
      </c>
      <c r="D227" s="1" t="str">
        <f t="shared" si="433"/>
        <v>T_RENT_EXP - Tenant Rent Expense</v>
      </c>
      <c r="E227"/>
      <c r="F227" s="19" t="str">
        <f>_xll.EVDES(D227)</f>
        <v>Tenant Rent Expense</v>
      </c>
      <c r="G227" s="61">
        <f ca="1">SUMIFS(OFFSET('BPC Data'!$F:$F,0,Summary!G$2),'BPC Data'!$E:$E,Summary!$D227,'BPC Data'!$B:$B,Summary!$C227)</f>
        <v>0</v>
      </c>
      <c r="H227" s="65">
        <f ca="1">SUMIFS(OFFSET('BPC Data'!$F:$F,0,Summary!H$2),'BPC Data'!$E:$E,Summary!$D227,'BPC Data'!$B:$B,Summary!$C227)</f>
        <v>0</v>
      </c>
      <c r="I227" s="61">
        <f ca="1">SUMIFS(OFFSET('BPC Data'!$F:$F,0,Summary!I$2),'BPC Data'!$E:$E,Summary!$D227,'BPC Data'!$B:$B,Summary!$C227)</f>
        <v>0</v>
      </c>
      <c r="J227" s="65">
        <f ca="1">SUMIFS(OFFSET('BPC Data'!$F:$F,0,Summary!J$2),'BPC Data'!$E:$E,Summary!$D227,'BPC Data'!$B:$B,Summary!$C227)</f>
        <v>0</v>
      </c>
      <c r="K227" s="61">
        <f ca="1">SUMIFS(OFFSET('BPC Data'!$F:$F,0,Summary!K$2),'BPC Data'!$E:$E,Summary!$D227,'BPC Data'!$B:$B,Summary!$C227)</f>
        <v>0</v>
      </c>
      <c r="L227" s="65">
        <f ca="1">SUMIFS(OFFSET('BPC Data'!$F:$F,0,Summary!L$2),'BPC Data'!$E:$E,Summary!$D227,'BPC Data'!$B:$B,Summary!$C227)</f>
        <v>0</v>
      </c>
      <c r="M227" s="61">
        <f ca="1">SUMIFS(OFFSET('BPC Data'!$F:$F,0,Summary!M$2),'BPC Data'!$E:$E,Summary!$D227,'BPC Data'!$B:$B,Summary!$C227)</f>
        <v>0</v>
      </c>
      <c r="N227" s="65">
        <f ca="1">SUMIFS(OFFSET('BPC Data'!$F:$F,0,Summary!N$2),'BPC Data'!$E:$E,Summary!$D227,'BPC Data'!$B:$B,Summary!$C227)</f>
        <v>0</v>
      </c>
      <c r="O227" s="61">
        <f ca="1">SUMIFS(OFFSET('BPC Data'!$F:$F,0,Summary!O$2),'BPC Data'!$E:$E,Summary!$D227,'BPC Data'!$B:$B,Summary!$C227)</f>
        <v>0</v>
      </c>
      <c r="P227" s="65">
        <f ca="1">SUMIFS(OFFSET('BPC Data'!$F:$F,0,Summary!P$2),'BPC Data'!$E:$E,Summary!$D227,'BPC Data'!$B:$B,Summary!$C227)</f>
        <v>0</v>
      </c>
      <c r="Q227" s="61">
        <f ca="1">SUMIFS(OFFSET('BPC Data'!$F:$F,0,Summary!Q$2),'BPC Data'!$E:$E,Summary!$D227,'BPC Data'!$B:$B,Summary!$C227)</f>
        <v>0</v>
      </c>
      <c r="R227" s="65">
        <f ca="1">SUMIFS(OFFSET('BPC Data'!$F:$F,0,Summary!R$2),'BPC Data'!$E:$E,Summary!$D227,'BPC Data'!$B:$B,Summary!$C227)</f>
        <v>0</v>
      </c>
      <c r="S227" s="23"/>
      <c r="T227" s="76"/>
      <c r="AJ227" s="49"/>
      <c r="AK227" s="49"/>
      <c r="AL227" s="49"/>
      <c r="AM227" s="49"/>
      <c r="AN227" s="49"/>
      <c r="AO227" s="49"/>
      <c r="AP227" s="49"/>
      <c r="AQ227" s="49"/>
      <c r="AR227" s="49"/>
      <c r="AS227" s="49"/>
      <c r="AT227" s="49"/>
      <c r="AU227" s="49"/>
    </row>
    <row r="228" spans="1:47" s="12" customFormat="1">
      <c r="A228" s="12">
        <f t="shared" si="440"/>
        <v>20</v>
      </c>
      <c r="B228"/>
      <c r="C228"/>
      <c r="D228" s="1" t="str">
        <f t="shared" si="433"/>
        <v>x</v>
      </c>
      <c r="E228"/>
      <c r="F228" s="19" t="s">
        <v>0</v>
      </c>
      <c r="G228" s="61">
        <f ca="1">SUMIFS(OFFSET('BPC Data'!$F:$F,0,Summary!G$2),'BPC Data'!$E:$E,Summary!$D228,'BPC Data'!$B:$B,Summary!$C228)</f>
        <v>0</v>
      </c>
      <c r="H228" s="65">
        <f ca="1">SUMIFS(OFFSET('BPC Data'!$F:$F,0,Summary!H$2),'BPC Data'!$E:$E,Summary!$D228,'BPC Data'!$B:$B,Summary!$C228)</f>
        <v>0</v>
      </c>
      <c r="I228" s="61">
        <f ca="1">SUMIFS(OFFSET('BPC Data'!$F:$F,0,Summary!I$2),'BPC Data'!$E:$E,Summary!$D228,'BPC Data'!$B:$B,Summary!$C228)</f>
        <v>0</v>
      </c>
      <c r="J228" s="65">
        <f ca="1">SUMIFS(OFFSET('BPC Data'!$F:$F,0,Summary!J$2),'BPC Data'!$E:$E,Summary!$D228,'BPC Data'!$B:$B,Summary!$C228)</f>
        <v>0</v>
      </c>
      <c r="K228" s="61">
        <f ca="1">SUMIFS(OFFSET('BPC Data'!$F:$F,0,Summary!K$2),'BPC Data'!$E:$E,Summary!$D228,'BPC Data'!$B:$B,Summary!$C228)</f>
        <v>0</v>
      </c>
      <c r="L228" s="65">
        <f ca="1">SUMIFS(OFFSET('BPC Data'!$F:$F,0,Summary!L$2),'BPC Data'!$E:$E,Summary!$D228,'BPC Data'!$B:$B,Summary!$C228)</f>
        <v>0</v>
      </c>
      <c r="M228" s="61">
        <f ca="1">SUMIFS(OFFSET('BPC Data'!$F:$F,0,Summary!M$2),'BPC Data'!$E:$E,Summary!$D228,'BPC Data'!$B:$B,Summary!$C228)</f>
        <v>0</v>
      </c>
      <c r="N228" s="65">
        <f ca="1">SUMIFS(OFFSET('BPC Data'!$F:$F,0,Summary!N$2),'BPC Data'!$E:$E,Summary!$D228,'BPC Data'!$B:$B,Summary!$C228)</f>
        <v>0</v>
      </c>
      <c r="O228" s="61">
        <f ca="1">SUMIFS(OFFSET('BPC Data'!$F:$F,0,Summary!O$2),'BPC Data'!$E:$E,Summary!$D228,'BPC Data'!$B:$B,Summary!$C228)</f>
        <v>0</v>
      </c>
      <c r="P228" s="65">
        <f ca="1">SUMIFS(OFFSET('BPC Data'!$F:$F,0,Summary!P$2),'BPC Data'!$E:$E,Summary!$D228,'BPC Data'!$B:$B,Summary!$C228)</f>
        <v>0</v>
      </c>
      <c r="Q228" s="61">
        <f ca="1">SUMIFS(OFFSET('BPC Data'!$F:$F,0,Summary!Q$2),'BPC Data'!$E:$E,Summary!$D228,'BPC Data'!$B:$B,Summary!$C228)</f>
        <v>0</v>
      </c>
      <c r="R228" s="65">
        <f ca="1">SUMIFS(OFFSET('BPC Data'!$F:$F,0,Summary!R$2),'BPC Data'!$E:$E,Summary!$D228,'BPC Data'!$B:$B,Summary!$C228)</f>
        <v>0</v>
      </c>
      <c r="S228" s="23"/>
      <c r="T228" s="76"/>
      <c r="AJ228" s="49"/>
      <c r="AK228" s="49"/>
      <c r="AL228" s="49"/>
      <c r="AM228" s="49"/>
      <c r="AN228" s="49"/>
      <c r="AO228" s="49"/>
      <c r="AP228" s="49"/>
      <c r="AQ228" s="49"/>
      <c r="AR228" s="49"/>
      <c r="AS228" s="49"/>
      <c r="AT228" s="49"/>
      <c r="AU228" s="49"/>
    </row>
    <row r="229" spans="1:47" s="12" customFormat="1">
      <c r="A229" s="12">
        <f>IF(AND(D229&lt;&gt;"",C229=""),A228+1,A228)</f>
        <v>21</v>
      </c>
      <c r="B229" s="5"/>
      <c r="C229" s="5"/>
      <c r="D229" s="5" t="str">
        <f t="shared" si="433"/>
        <v>x</v>
      </c>
      <c r="E229" s="5"/>
      <c r="F229" s="18">
        <f>INDEX(PropertyList!$D:$D,MATCH(Summary!$A229,PropertyList!$C:$C,0))</f>
        <v>0</v>
      </c>
      <c r="G229" s="61">
        <f ca="1">SUMIFS(OFFSET('BPC Data'!$F:$F,0,Summary!G$2),'BPC Data'!$E:$E,Summary!$D229,'BPC Data'!$B:$B,Summary!$C229)</f>
        <v>0</v>
      </c>
      <c r="H229" s="65">
        <f ca="1">SUMIFS(OFFSET('BPC Data'!$F:$F,0,Summary!H$2),'BPC Data'!$E:$E,Summary!$D229,'BPC Data'!$B:$B,Summary!$C229)</f>
        <v>0</v>
      </c>
      <c r="I229" s="61">
        <f ca="1">SUMIFS(OFFSET('BPC Data'!$F:$F,0,Summary!I$2),'BPC Data'!$E:$E,Summary!$D229,'BPC Data'!$B:$B,Summary!$C229)</f>
        <v>0</v>
      </c>
      <c r="J229" s="65">
        <f ca="1">SUMIFS(OFFSET('BPC Data'!$F:$F,0,Summary!J$2),'BPC Data'!$E:$E,Summary!$D229,'BPC Data'!$B:$B,Summary!$C229)</f>
        <v>0</v>
      </c>
      <c r="K229" s="61">
        <f ca="1">SUMIFS(OFFSET('BPC Data'!$F:$F,0,Summary!K$2),'BPC Data'!$E:$E,Summary!$D229,'BPC Data'!$B:$B,Summary!$C229)</f>
        <v>0</v>
      </c>
      <c r="L229" s="65">
        <f ca="1">SUMIFS(OFFSET('BPC Data'!$F:$F,0,Summary!L$2),'BPC Data'!$E:$E,Summary!$D229,'BPC Data'!$B:$B,Summary!$C229)</f>
        <v>0</v>
      </c>
      <c r="M229" s="61">
        <f ca="1">SUMIFS(OFFSET('BPC Data'!$F:$F,0,Summary!M$2),'BPC Data'!$E:$E,Summary!$D229,'BPC Data'!$B:$B,Summary!$C229)</f>
        <v>0</v>
      </c>
      <c r="N229" s="65">
        <f ca="1">SUMIFS(OFFSET('BPC Data'!$F:$F,0,Summary!N$2),'BPC Data'!$E:$E,Summary!$D229,'BPC Data'!$B:$B,Summary!$C229)</f>
        <v>0</v>
      </c>
      <c r="O229" s="61">
        <f ca="1">SUMIFS(OFFSET('BPC Data'!$F:$F,0,Summary!O$2),'BPC Data'!$E:$E,Summary!$D229,'BPC Data'!$B:$B,Summary!$C229)</f>
        <v>0</v>
      </c>
      <c r="P229" s="65">
        <f ca="1">SUMIFS(OFFSET('BPC Data'!$F:$F,0,Summary!P$2),'BPC Data'!$E:$E,Summary!$D229,'BPC Data'!$B:$B,Summary!$C229)</f>
        <v>0</v>
      </c>
      <c r="Q229" s="61">
        <f ca="1">SUMIFS(OFFSET('BPC Data'!$F:$F,0,Summary!Q$2),'BPC Data'!$E:$E,Summary!$D229,'BPC Data'!$B:$B,Summary!$C229)</f>
        <v>0</v>
      </c>
      <c r="R229" s="65">
        <f ca="1">SUMIFS(OFFSET('BPC Data'!$F:$F,0,Summary!R$2),'BPC Data'!$E:$E,Summary!$D229,'BPC Data'!$B:$B,Summary!$C229)</f>
        <v>0</v>
      </c>
      <c r="S229" s="23"/>
      <c r="T229" s="76"/>
      <c r="AJ229" s="49"/>
      <c r="AK229" s="49"/>
      <c r="AL229" s="49"/>
      <c r="AM229" s="49"/>
      <c r="AN229" s="49"/>
      <c r="AO229" s="49"/>
      <c r="AP229" s="49"/>
      <c r="AQ229" s="49"/>
      <c r="AR229" s="49"/>
      <c r="AS229" s="49"/>
      <c r="AT229" s="49"/>
      <c r="AU229" s="49"/>
    </row>
    <row r="230" spans="1:47" s="12" customFormat="1">
      <c r="A230" s="12">
        <f>IF(AND(F230&lt;&gt;"",D230=""),A229+1,A229)</f>
        <v>21</v>
      </c>
      <c r="C230">
        <f>$F229</f>
        <v>0</v>
      </c>
      <c r="D230" s="3" t="str">
        <f t="shared" si="433"/>
        <v>PAY_PAT_DAYS - Total Payor Patient Days</v>
      </c>
      <c r="F230" s="19" t="str">
        <f>_xll.EVDES(D230)</f>
        <v>Total Payor Patient Days</v>
      </c>
      <c r="G230" s="61">
        <f ca="1">SUMIFS(OFFSET('BPC Data'!$F:$F,0,Summary!G$2),'BPC Data'!$E:$E,Summary!$D230,'BPC Data'!$B:$B,Summary!$C230)</f>
        <v>0</v>
      </c>
      <c r="H230" s="65">
        <f ca="1">SUMIFS(OFFSET('BPC Data'!$F:$F,0,Summary!H$2),'BPC Data'!$E:$E,Summary!$D230,'BPC Data'!$B:$B,Summary!$C230)</f>
        <v>0</v>
      </c>
      <c r="I230" s="61">
        <f ca="1">SUMIFS(OFFSET('BPC Data'!$F:$F,0,Summary!I$2),'BPC Data'!$E:$E,Summary!$D230,'BPC Data'!$B:$B,Summary!$C230)</f>
        <v>0</v>
      </c>
      <c r="J230" s="65">
        <f ca="1">SUMIFS(OFFSET('BPC Data'!$F:$F,0,Summary!J$2),'BPC Data'!$E:$E,Summary!$D230,'BPC Data'!$B:$B,Summary!$C230)</f>
        <v>0</v>
      </c>
      <c r="K230" s="61">
        <f ca="1">SUMIFS(OFFSET('BPC Data'!$F:$F,0,Summary!K$2),'BPC Data'!$E:$E,Summary!$D230,'BPC Data'!$B:$B,Summary!$C230)</f>
        <v>0</v>
      </c>
      <c r="L230" s="65">
        <f ca="1">SUMIFS(OFFSET('BPC Data'!$F:$F,0,Summary!L$2),'BPC Data'!$E:$E,Summary!$D230,'BPC Data'!$B:$B,Summary!$C230)</f>
        <v>0</v>
      </c>
      <c r="M230" s="61">
        <f ca="1">SUMIFS(OFFSET('BPC Data'!$F:$F,0,Summary!M$2),'BPC Data'!$E:$E,Summary!$D230,'BPC Data'!$B:$B,Summary!$C230)</f>
        <v>0</v>
      </c>
      <c r="N230" s="65">
        <f ca="1">SUMIFS(OFFSET('BPC Data'!$F:$F,0,Summary!N$2),'BPC Data'!$E:$E,Summary!$D230,'BPC Data'!$B:$B,Summary!$C230)</f>
        <v>0</v>
      </c>
      <c r="O230" s="61">
        <f ca="1">SUMIFS(OFFSET('BPC Data'!$F:$F,0,Summary!O$2),'BPC Data'!$E:$E,Summary!$D230,'BPC Data'!$B:$B,Summary!$C230)</f>
        <v>0</v>
      </c>
      <c r="P230" s="65">
        <f ca="1">SUMIFS(OFFSET('BPC Data'!$F:$F,0,Summary!P$2),'BPC Data'!$E:$E,Summary!$D230,'BPC Data'!$B:$B,Summary!$C230)</f>
        <v>0</v>
      </c>
      <c r="Q230" s="61">
        <f ca="1">SUMIFS(OFFSET('BPC Data'!$F:$F,0,Summary!Q$2),'BPC Data'!$E:$E,Summary!$D230,'BPC Data'!$B:$B,Summary!$C230)</f>
        <v>0</v>
      </c>
      <c r="R230" s="65">
        <f ca="1">SUMIFS(OFFSET('BPC Data'!$F:$F,0,Summary!R$2),'BPC Data'!$E:$E,Summary!$D230,'BPC Data'!$B:$B,Summary!$C230)</f>
        <v>0</v>
      </c>
      <c r="S230" s="23"/>
      <c r="T230" s="76"/>
      <c r="AJ230" s="49"/>
      <c r="AK230" s="49"/>
      <c r="AL230" s="49"/>
      <c r="AM230" s="49"/>
      <c r="AN230" s="49"/>
      <c r="AO230" s="49"/>
      <c r="AP230" s="49"/>
      <c r="AQ230" s="49"/>
      <c r="AR230" s="49"/>
      <c r="AS230" s="49"/>
      <c r="AT230" s="49"/>
      <c r="AU230" s="49"/>
    </row>
    <row r="231" spans="1:47" s="12" customFormat="1">
      <c r="A231" s="12">
        <f t="shared" ref="A231:A239" si="441">IF(AND(F231&lt;&gt;"",D231=""),A230+1,A230)</f>
        <v>21</v>
      </c>
      <c r="C231">
        <f>$F229</f>
        <v>0</v>
      </c>
      <c r="D231" s="3" t="str">
        <f t="shared" si="433"/>
        <v>A_BEDS_TOTAL - Total Available Beds</v>
      </c>
      <c r="F231" s="19" t="str">
        <f>_xll.EVDES(D231)</f>
        <v>Total Available Beds</v>
      </c>
      <c r="G231" s="61">
        <f ca="1">SUMIFS(OFFSET('BPC Data'!$F:$F,0,Summary!G$2),'BPC Data'!$E:$E,Summary!$D231,'BPC Data'!$B:$B,Summary!$C231)</f>
        <v>0</v>
      </c>
      <c r="H231" s="65">
        <f ca="1">SUMIFS(OFFSET('BPC Data'!$F:$F,0,Summary!H$2),'BPC Data'!$E:$E,Summary!$D231,'BPC Data'!$B:$B,Summary!$C231)</f>
        <v>0</v>
      </c>
      <c r="I231" s="61">
        <f ca="1">SUMIFS(OFFSET('BPC Data'!$F:$F,0,Summary!I$2),'BPC Data'!$E:$E,Summary!$D231,'BPC Data'!$B:$B,Summary!$C231)</f>
        <v>0</v>
      </c>
      <c r="J231" s="65">
        <f ca="1">SUMIFS(OFFSET('BPC Data'!$F:$F,0,Summary!J$2),'BPC Data'!$E:$E,Summary!$D231,'BPC Data'!$B:$B,Summary!$C231)</f>
        <v>0</v>
      </c>
      <c r="K231" s="61">
        <f ca="1">SUMIFS(OFFSET('BPC Data'!$F:$F,0,Summary!K$2),'BPC Data'!$E:$E,Summary!$D231,'BPC Data'!$B:$B,Summary!$C231)</f>
        <v>0</v>
      </c>
      <c r="L231" s="65">
        <f ca="1">SUMIFS(OFFSET('BPC Data'!$F:$F,0,Summary!L$2),'BPC Data'!$E:$E,Summary!$D231,'BPC Data'!$B:$B,Summary!$C231)</f>
        <v>0</v>
      </c>
      <c r="M231" s="61">
        <f ca="1">SUMIFS(OFFSET('BPC Data'!$F:$F,0,Summary!M$2),'BPC Data'!$E:$E,Summary!$D231,'BPC Data'!$B:$B,Summary!$C231)</f>
        <v>0</v>
      </c>
      <c r="N231" s="65">
        <f ca="1">SUMIFS(OFFSET('BPC Data'!$F:$F,0,Summary!N$2),'BPC Data'!$E:$E,Summary!$D231,'BPC Data'!$B:$B,Summary!$C231)</f>
        <v>0</v>
      </c>
      <c r="O231" s="61">
        <f ca="1">SUMIFS(OFFSET('BPC Data'!$F:$F,0,Summary!O$2),'BPC Data'!$E:$E,Summary!$D231,'BPC Data'!$B:$B,Summary!$C231)</f>
        <v>0</v>
      </c>
      <c r="P231" s="65">
        <f ca="1">SUMIFS(OFFSET('BPC Data'!$F:$F,0,Summary!P$2),'BPC Data'!$E:$E,Summary!$D231,'BPC Data'!$B:$B,Summary!$C231)</f>
        <v>0</v>
      </c>
      <c r="Q231" s="61">
        <f ca="1">SUMIFS(OFFSET('BPC Data'!$F:$F,0,Summary!Q$2),'BPC Data'!$E:$E,Summary!$D231,'BPC Data'!$B:$B,Summary!$C231)</f>
        <v>0</v>
      </c>
      <c r="R231" s="65">
        <f ca="1">SUMIFS(OFFSET('BPC Data'!$F:$F,0,Summary!R$2),'BPC Data'!$E:$E,Summary!$D231,'BPC Data'!$B:$B,Summary!$C231)</f>
        <v>0</v>
      </c>
      <c r="S231" s="23"/>
      <c r="T231" s="76"/>
      <c r="AJ231" s="49"/>
      <c r="AK231" s="49"/>
      <c r="AL231" s="49"/>
      <c r="AM231" s="49"/>
      <c r="AN231" s="49"/>
      <c r="AO231" s="49"/>
      <c r="AP231" s="49"/>
      <c r="AQ231" s="49"/>
      <c r="AR231" s="49"/>
      <c r="AS231" s="49"/>
      <c r="AT231" s="49"/>
      <c r="AU231" s="49"/>
    </row>
    <row r="232" spans="1:47" s="12" customFormat="1">
      <c r="A232" s="12">
        <f t="shared" si="441"/>
        <v>21</v>
      </c>
      <c r="B232"/>
      <c r="C232">
        <f>$F229</f>
        <v>0</v>
      </c>
      <c r="D232" s="3" t="str">
        <f t="shared" si="433"/>
        <v>T_REVENUES - Total Tenant Revenues</v>
      </c>
      <c r="E232"/>
      <c r="F232" s="19" t="str">
        <f>_xll.EVDES(D232)</f>
        <v>Total Tenant Revenues</v>
      </c>
      <c r="G232" s="61">
        <f ca="1">SUMIFS(OFFSET('BPC Data'!$F:$F,0,Summary!G$2),'BPC Data'!$E:$E,Summary!$D232,'BPC Data'!$B:$B,Summary!$C232)</f>
        <v>0</v>
      </c>
      <c r="H232" s="65">
        <f ca="1">SUMIFS(OFFSET('BPC Data'!$F:$F,0,Summary!H$2),'BPC Data'!$E:$E,Summary!$D232,'BPC Data'!$B:$B,Summary!$C232)</f>
        <v>0</v>
      </c>
      <c r="I232" s="61">
        <f ca="1">SUMIFS(OFFSET('BPC Data'!$F:$F,0,Summary!I$2),'BPC Data'!$E:$E,Summary!$D232,'BPC Data'!$B:$B,Summary!$C232)</f>
        <v>0</v>
      </c>
      <c r="J232" s="65">
        <f ca="1">SUMIFS(OFFSET('BPC Data'!$F:$F,0,Summary!J$2),'BPC Data'!$E:$E,Summary!$D232,'BPC Data'!$B:$B,Summary!$C232)</f>
        <v>0</v>
      </c>
      <c r="K232" s="61">
        <f ca="1">SUMIFS(OFFSET('BPC Data'!$F:$F,0,Summary!K$2),'BPC Data'!$E:$E,Summary!$D232,'BPC Data'!$B:$B,Summary!$C232)</f>
        <v>0</v>
      </c>
      <c r="L232" s="65">
        <f ca="1">SUMIFS(OFFSET('BPC Data'!$F:$F,0,Summary!L$2),'BPC Data'!$E:$E,Summary!$D232,'BPC Data'!$B:$B,Summary!$C232)</f>
        <v>0</v>
      </c>
      <c r="M232" s="61">
        <f ca="1">SUMIFS(OFFSET('BPC Data'!$F:$F,0,Summary!M$2),'BPC Data'!$E:$E,Summary!$D232,'BPC Data'!$B:$B,Summary!$C232)</f>
        <v>0</v>
      </c>
      <c r="N232" s="65">
        <f ca="1">SUMIFS(OFFSET('BPC Data'!$F:$F,0,Summary!N$2),'BPC Data'!$E:$E,Summary!$D232,'BPC Data'!$B:$B,Summary!$C232)</f>
        <v>0</v>
      </c>
      <c r="O232" s="61">
        <f ca="1">SUMIFS(OFFSET('BPC Data'!$F:$F,0,Summary!O$2),'BPC Data'!$E:$E,Summary!$D232,'BPC Data'!$B:$B,Summary!$C232)</f>
        <v>0</v>
      </c>
      <c r="P232" s="65">
        <f ca="1">SUMIFS(OFFSET('BPC Data'!$F:$F,0,Summary!P$2),'BPC Data'!$E:$E,Summary!$D232,'BPC Data'!$B:$B,Summary!$C232)</f>
        <v>0</v>
      </c>
      <c r="Q232" s="61">
        <f ca="1">SUMIFS(OFFSET('BPC Data'!$F:$F,0,Summary!Q$2),'BPC Data'!$E:$E,Summary!$D232,'BPC Data'!$B:$B,Summary!$C232)</f>
        <v>0</v>
      </c>
      <c r="R232" s="65">
        <f ca="1">SUMIFS(OFFSET('BPC Data'!$F:$F,0,Summary!R$2),'BPC Data'!$E:$E,Summary!$D232,'BPC Data'!$B:$B,Summary!$C232)</f>
        <v>0</v>
      </c>
      <c r="S232" s="23"/>
      <c r="T232" s="76"/>
      <c r="AJ232" s="49"/>
      <c r="AK232" s="49"/>
      <c r="AL232" s="49"/>
      <c r="AM232" s="49"/>
      <c r="AN232" s="49"/>
      <c r="AO232" s="49"/>
      <c r="AP232" s="49"/>
      <c r="AQ232" s="49"/>
      <c r="AR232" s="49"/>
      <c r="AS232" s="49"/>
      <c r="AT232" s="49"/>
      <c r="AU232" s="49"/>
    </row>
    <row r="233" spans="1:47" s="12" customFormat="1">
      <c r="A233" s="12">
        <f t="shared" si="441"/>
        <v>21</v>
      </c>
      <c r="B233"/>
      <c r="C233">
        <f>$F229</f>
        <v>0</v>
      </c>
      <c r="D233" s="3" t="str">
        <f t="shared" si="433"/>
        <v>T_OPEX - Tenant Operating Expenses</v>
      </c>
      <c r="E233"/>
      <c r="F233" s="19" t="str">
        <f>_xll.EVDES(D233)</f>
        <v>Tenant Operating Expenses</v>
      </c>
      <c r="G233" s="61">
        <f ca="1">SUMIFS(OFFSET('BPC Data'!$F:$F,0,Summary!G$2),'BPC Data'!$E:$E,Summary!$D233,'BPC Data'!$B:$B,Summary!$C233)</f>
        <v>0</v>
      </c>
      <c r="H233" s="65">
        <f ca="1">SUMIFS(OFFSET('BPC Data'!$F:$F,0,Summary!H$2),'BPC Data'!$E:$E,Summary!$D233,'BPC Data'!$B:$B,Summary!$C233)</f>
        <v>0</v>
      </c>
      <c r="I233" s="61">
        <f ca="1">SUMIFS(OFFSET('BPC Data'!$F:$F,0,Summary!I$2),'BPC Data'!$E:$E,Summary!$D233,'BPC Data'!$B:$B,Summary!$C233)</f>
        <v>0</v>
      </c>
      <c r="J233" s="65">
        <f ca="1">SUMIFS(OFFSET('BPC Data'!$F:$F,0,Summary!J$2),'BPC Data'!$E:$E,Summary!$D233,'BPC Data'!$B:$B,Summary!$C233)</f>
        <v>0</v>
      </c>
      <c r="K233" s="61">
        <f ca="1">SUMIFS(OFFSET('BPC Data'!$F:$F,0,Summary!K$2),'BPC Data'!$E:$E,Summary!$D233,'BPC Data'!$B:$B,Summary!$C233)</f>
        <v>0</v>
      </c>
      <c r="L233" s="65">
        <f ca="1">SUMIFS(OFFSET('BPC Data'!$F:$F,0,Summary!L$2),'BPC Data'!$E:$E,Summary!$D233,'BPC Data'!$B:$B,Summary!$C233)</f>
        <v>0</v>
      </c>
      <c r="M233" s="61">
        <f ca="1">SUMIFS(OFFSET('BPC Data'!$F:$F,0,Summary!M$2),'BPC Data'!$E:$E,Summary!$D233,'BPC Data'!$B:$B,Summary!$C233)</f>
        <v>0</v>
      </c>
      <c r="N233" s="65">
        <f ca="1">SUMIFS(OFFSET('BPC Data'!$F:$F,0,Summary!N$2),'BPC Data'!$E:$E,Summary!$D233,'BPC Data'!$B:$B,Summary!$C233)</f>
        <v>0</v>
      </c>
      <c r="O233" s="61">
        <f ca="1">SUMIFS(OFFSET('BPC Data'!$F:$F,0,Summary!O$2),'BPC Data'!$E:$E,Summary!$D233,'BPC Data'!$B:$B,Summary!$C233)</f>
        <v>0</v>
      </c>
      <c r="P233" s="65">
        <f ca="1">SUMIFS(OFFSET('BPC Data'!$F:$F,0,Summary!P$2),'BPC Data'!$E:$E,Summary!$D233,'BPC Data'!$B:$B,Summary!$C233)</f>
        <v>0</v>
      </c>
      <c r="Q233" s="61">
        <f ca="1">SUMIFS(OFFSET('BPC Data'!$F:$F,0,Summary!Q$2),'BPC Data'!$E:$E,Summary!$D233,'BPC Data'!$B:$B,Summary!$C233)</f>
        <v>0</v>
      </c>
      <c r="R233" s="65">
        <f ca="1">SUMIFS(OFFSET('BPC Data'!$F:$F,0,Summary!R$2),'BPC Data'!$E:$E,Summary!$D233,'BPC Data'!$B:$B,Summary!$C233)</f>
        <v>0</v>
      </c>
      <c r="S233" s="23"/>
      <c r="T233" s="76"/>
      <c r="AJ233" s="49"/>
      <c r="AK233" s="49"/>
      <c r="AL233" s="49"/>
      <c r="AM233" s="49"/>
      <c r="AN233" s="49"/>
      <c r="AO233" s="49"/>
      <c r="AP233" s="49"/>
      <c r="AQ233" s="49"/>
      <c r="AR233" s="49"/>
      <c r="AS233" s="49"/>
      <c r="AT233" s="49"/>
      <c r="AU233" s="49"/>
    </row>
    <row r="234" spans="1:47" s="12" customFormat="1">
      <c r="A234" s="12">
        <f t="shared" si="441"/>
        <v>21</v>
      </c>
      <c r="B234"/>
      <c r="C234">
        <f>$F229</f>
        <v>0</v>
      </c>
      <c r="D234" s="3" t="str">
        <f t="shared" si="433"/>
        <v>T_BAD_DEBT - Tenant Bad Debt Expense</v>
      </c>
      <c r="E234"/>
      <c r="F234" s="19" t="str">
        <f>_xll.EVDES(D234)</f>
        <v>Tenant Bad Debt Expense</v>
      </c>
      <c r="G234" s="61">
        <f ca="1">SUMIFS(OFFSET('BPC Data'!$F:$F,0,Summary!G$2),'BPC Data'!$E:$E,Summary!$D234,'BPC Data'!$B:$B,Summary!$C234)</f>
        <v>0</v>
      </c>
      <c r="H234" s="65">
        <f ca="1">SUMIFS(OFFSET('BPC Data'!$F:$F,0,Summary!H$2),'BPC Data'!$E:$E,Summary!$D234,'BPC Data'!$B:$B,Summary!$C234)</f>
        <v>0</v>
      </c>
      <c r="I234" s="61">
        <f ca="1">SUMIFS(OFFSET('BPC Data'!$F:$F,0,Summary!I$2),'BPC Data'!$E:$E,Summary!$D234,'BPC Data'!$B:$B,Summary!$C234)</f>
        <v>0</v>
      </c>
      <c r="J234" s="65">
        <f ca="1">SUMIFS(OFFSET('BPC Data'!$F:$F,0,Summary!J$2),'BPC Data'!$E:$E,Summary!$D234,'BPC Data'!$B:$B,Summary!$C234)</f>
        <v>0</v>
      </c>
      <c r="K234" s="61">
        <f ca="1">SUMIFS(OFFSET('BPC Data'!$F:$F,0,Summary!K$2),'BPC Data'!$E:$E,Summary!$D234,'BPC Data'!$B:$B,Summary!$C234)</f>
        <v>0</v>
      </c>
      <c r="L234" s="65">
        <f ca="1">SUMIFS(OFFSET('BPC Data'!$F:$F,0,Summary!L$2),'BPC Data'!$E:$E,Summary!$D234,'BPC Data'!$B:$B,Summary!$C234)</f>
        <v>0</v>
      </c>
      <c r="M234" s="61">
        <f ca="1">SUMIFS(OFFSET('BPC Data'!$F:$F,0,Summary!M$2),'BPC Data'!$E:$E,Summary!$D234,'BPC Data'!$B:$B,Summary!$C234)</f>
        <v>0</v>
      </c>
      <c r="N234" s="65">
        <f ca="1">SUMIFS(OFFSET('BPC Data'!$F:$F,0,Summary!N$2),'BPC Data'!$E:$E,Summary!$D234,'BPC Data'!$B:$B,Summary!$C234)</f>
        <v>0</v>
      </c>
      <c r="O234" s="61">
        <f ca="1">SUMIFS(OFFSET('BPC Data'!$F:$F,0,Summary!O$2),'BPC Data'!$E:$E,Summary!$D234,'BPC Data'!$B:$B,Summary!$C234)</f>
        <v>0</v>
      </c>
      <c r="P234" s="65">
        <f ca="1">SUMIFS(OFFSET('BPC Data'!$F:$F,0,Summary!P$2),'BPC Data'!$E:$E,Summary!$D234,'BPC Data'!$B:$B,Summary!$C234)</f>
        <v>0</v>
      </c>
      <c r="Q234" s="61">
        <f ca="1">SUMIFS(OFFSET('BPC Data'!$F:$F,0,Summary!Q$2),'BPC Data'!$E:$E,Summary!$D234,'BPC Data'!$B:$B,Summary!$C234)</f>
        <v>0</v>
      </c>
      <c r="R234" s="65">
        <f ca="1">SUMIFS(OFFSET('BPC Data'!$F:$F,0,Summary!R$2),'BPC Data'!$E:$E,Summary!$D234,'BPC Data'!$B:$B,Summary!$C234)</f>
        <v>0</v>
      </c>
      <c r="S234" s="23"/>
      <c r="T234" s="76"/>
      <c r="AJ234" s="49"/>
      <c r="AK234" s="49"/>
      <c r="AL234" s="49"/>
      <c r="AM234" s="49"/>
      <c r="AN234" s="49"/>
      <c r="AO234" s="49"/>
      <c r="AP234" s="49"/>
      <c r="AQ234" s="49"/>
      <c r="AR234" s="49"/>
      <c r="AS234" s="49"/>
      <c r="AT234" s="49"/>
      <c r="AU234" s="49"/>
    </row>
    <row r="235" spans="1:47" s="12" customFormat="1">
      <c r="A235" s="12">
        <f t="shared" si="441"/>
        <v>21</v>
      </c>
      <c r="B235"/>
      <c r="C235">
        <f>$F229</f>
        <v>0</v>
      </c>
      <c r="D235" s="2" t="str">
        <f t="shared" si="433"/>
        <v>T_EBITDARM - EBITDARM</v>
      </c>
      <c r="E235"/>
      <c r="F235" s="19" t="str">
        <f>_xll.EVDES(D235)</f>
        <v>EBITDARM</v>
      </c>
      <c r="G235" s="61">
        <f ca="1">SUMIFS(OFFSET('BPC Data'!$F:$F,0,Summary!G$2),'BPC Data'!$E:$E,Summary!$D235,'BPC Data'!$B:$B,Summary!$C235)</f>
        <v>0</v>
      </c>
      <c r="H235" s="65">
        <f ca="1">SUMIFS(OFFSET('BPC Data'!$F:$F,0,Summary!H$2),'BPC Data'!$E:$E,Summary!$D235,'BPC Data'!$B:$B,Summary!$C235)</f>
        <v>0</v>
      </c>
      <c r="I235" s="61">
        <f ca="1">SUMIFS(OFFSET('BPC Data'!$F:$F,0,Summary!I$2),'BPC Data'!$E:$E,Summary!$D235,'BPC Data'!$B:$B,Summary!$C235)</f>
        <v>0</v>
      </c>
      <c r="J235" s="65">
        <f ca="1">SUMIFS(OFFSET('BPC Data'!$F:$F,0,Summary!J$2),'BPC Data'!$E:$E,Summary!$D235,'BPC Data'!$B:$B,Summary!$C235)</f>
        <v>0</v>
      </c>
      <c r="K235" s="61">
        <f ca="1">SUMIFS(OFFSET('BPC Data'!$F:$F,0,Summary!K$2),'BPC Data'!$E:$E,Summary!$D235,'BPC Data'!$B:$B,Summary!$C235)</f>
        <v>0</v>
      </c>
      <c r="L235" s="65">
        <f ca="1">SUMIFS(OFFSET('BPC Data'!$F:$F,0,Summary!L$2),'BPC Data'!$E:$E,Summary!$D235,'BPC Data'!$B:$B,Summary!$C235)</f>
        <v>0</v>
      </c>
      <c r="M235" s="61">
        <f ca="1">SUMIFS(OFFSET('BPC Data'!$F:$F,0,Summary!M$2),'BPC Data'!$E:$E,Summary!$D235,'BPC Data'!$B:$B,Summary!$C235)</f>
        <v>0</v>
      </c>
      <c r="N235" s="65">
        <f ca="1">SUMIFS(OFFSET('BPC Data'!$F:$F,0,Summary!N$2),'BPC Data'!$E:$E,Summary!$D235,'BPC Data'!$B:$B,Summary!$C235)</f>
        <v>0</v>
      </c>
      <c r="O235" s="61">
        <f ca="1">SUMIFS(OFFSET('BPC Data'!$F:$F,0,Summary!O$2),'BPC Data'!$E:$E,Summary!$D235,'BPC Data'!$B:$B,Summary!$C235)</f>
        <v>0</v>
      </c>
      <c r="P235" s="65">
        <f ca="1">SUMIFS(OFFSET('BPC Data'!$F:$F,0,Summary!P$2),'BPC Data'!$E:$E,Summary!$D235,'BPC Data'!$B:$B,Summary!$C235)</f>
        <v>0</v>
      </c>
      <c r="Q235" s="61">
        <f ca="1">SUMIFS(OFFSET('BPC Data'!$F:$F,0,Summary!Q$2),'BPC Data'!$E:$E,Summary!$D235,'BPC Data'!$B:$B,Summary!$C235)</f>
        <v>0</v>
      </c>
      <c r="R235" s="65">
        <f ca="1">SUMIFS(OFFSET('BPC Data'!$F:$F,0,Summary!R$2),'BPC Data'!$E:$E,Summary!$D235,'BPC Data'!$B:$B,Summary!$C235)</f>
        <v>0</v>
      </c>
      <c r="S235" s="23"/>
      <c r="T235" s="76"/>
      <c r="AJ235" s="49"/>
      <c r="AK235" s="49"/>
      <c r="AL235" s="49"/>
      <c r="AM235" s="49"/>
      <c r="AN235" s="49"/>
      <c r="AO235" s="49"/>
      <c r="AP235" s="49"/>
      <c r="AQ235" s="49"/>
      <c r="AR235" s="49"/>
      <c r="AS235" s="49"/>
      <c r="AT235" s="49"/>
      <c r="AU235" s="49"/>
    </row>
    <row r="236" spans="1:47" s="12" customFormat="1">
      <c r="A236" s="12">
        <f t="shared" si="441"/>
        <v>21</v>
      </c>
      <c r="B236"/>
      <c r="C236">
        <f>$F229</f>
        <v>0</v>
      </c>
      <c r="D236" s="2" t="str">
        <f t="shared" si="433"/>
        <v>T_MGMT_FEE - Tenant Management Fee - Actual</v>
      </c>
      <c r="E236"/>
      <c r="F236" s="19" t="str">
        <f>_xll.EVDES(D236)</f>
        <v>Tenant Management Fee - Actual</v>
      </c>
      <c r="G236" s="61">
        <f ca="1">SUMIFS(OFFSET('BPC Data'!$F:$F,0,Summary!G$2),'BPC Data'!$E:$E,Summary!$D236,'BPC Data'!$B:$B,Summary!$C236)</f>
        <v>0</v>
      </c>
      <c r="H236" s="65">
        <f ca="1">SUMIFS(OFFSET('BPC Data'!$F:$F,0,Summary!H$2),'BPC Data'!$E:$E,Summary!$D236,'BPC Data'!$B:$B,Summary!$C236)</f>
        <v>0</v>
      </c>
      <c r="I236" s="61">
        <f ca="1">SUMIFS(OFFSET('BPC Data'!$F:$F,0,Summary!I$2),'BPC Data'!$E:$E,Summary!$D236,'BPC Data'!$B:$B,Summary!$C236)</f>
        <v>0</v>
      </c>
      <c r="J236" s="65">
        <f ca="1">SUMIFS(OFFSET('BPC Data'!$F:$F,0,Summary!J$2),'BPC Data'!$E:$E,Summary!$D236,'BPC Data'!$B:$B,Summary!$C236)</f>
        <v>0</v>
      </c>
      <c r="K236" s="61">
        <f ca="1">SUMIFS(OFFSET('BPC Data'!$F:$F,0,Summary!K$2),'BPC Data'!$E:$E,Summary!$D236,'BPC Data'!$B:$B,Summary!$C236)</f>
        <v>0</v>
      </c>
      <c r="L236" s="65">
        <f ca="1">SUMIFS(OFFSET('BPC Data'!$F:$F,0,Summary!L$2),'BPC Data'!$E:$E,Summary!$D236,'BPC Data'!$B:$B,Summary!$C236)</f>
        <v>0</v>
      </c>
      <c r="M236" s="61">
        <f ca="1">SUMIFS(OFFSET('BPC Data'!$F:$F,0,Summary!M$2),'BPC Data'!$E:$E,Summary!$D236,'BPC Data'!$B:$B,Summary!$C236)</f>
        <v>0</v>
      </c>
      <c r="N236" s="65">
        <f ca="1">SUMIFS(OFFSET('BPC Data'!$F:$F,0,Summary!N$2),'BPC Data'!$E:$E,Summary!$D236,'BPC Data'!$B:$B,Summary!$C236)</f>
        <v>0</v>
      </c>
      <c r="O236" s="61">
        <f ca="1">SUMIFS(OFFSET('BPC Data'!$F:$F,0,Summary!O$2),'BPC Data'!$E:$E,Summary!$D236,'BPC Data'!$B:$B,Summary!$C236)</f>
        <v>0</v>
      </c>
      <c r="P236" s="65">
        <f ca="1">SUMIFS(OFFSET('BPC Data'!$F:$F,0,Summary!P$2),'BPC Data'!$E:$E,Summary!$D236,'BPC Data'!$B:$B,Summary!$C236)</f>
        <v>0</v>
      </c>
      <c r="Q236" s="61">
        <f ca="1">SUMIFS(OFFSET('BPC Data'!$F:$F,0,Summary!Q$2),'BPC Data'!$E:$E,Summary!$D236,'BPC Data'!$B:$B,Summary!$C236)</f>
        <v>0</v>
      </c>
      <c r="R236" s="65">
        <f ca="1">SUMIFS(OFFSET('BPC Data'!$F:$F,0,Summary!R$2),'BPC Data'!$E:$E,Summary!$D236,'BPC Data'!$B:$B,Summary!$C236)</f>
        <v>0</v>
      </c>
      <c r="S236" s="23"/>
      <c r="T236" s="76"/>
      <c r="AJ236" s="49"/>
      <c r="AK236" s="49"/>
      <c r="AL236" s="49"/>
      <c r="AM236" s="49"/>
      <c r="AN236" s="49"/>
      <c r="AO236" s="49"/>
      <c r="AP236" s="49"/>
      <c r="AQ236" s="49"/>
      <c r="AR236" s="49"/>
      <c r="AS236" s="49"/>
      <c r="AT236" s="49"/>
      <c r="AU236" s="49"/>
    </row>
    <row r="237" spans="1:47" s="12" customFormat="1">
      <c r="A237" s="12">
        <f t="shared" si="441"/>
        <v>21</v>
      </c>
      <c r="B237"/>
      <c r="C237">
        <f>$F229</f>
        <v>0</v>
      </c>
      <c r="D237" s="1" t="str">
        <f t="shared" si="433"/>
        <v>T_EBITDAR - EBITDAR</v>
      </c>
      <c r="E237"/>
      <c r="F237" s="19" t="str">
        <f>_xll.EVDES(D237)</f>
        <v>EBITDAR</v>
      </c>
      <c r="G237" s="61">
        <f ca="1">SUMIFS(OFFSET('BPC Data'!$F:$F,0,Summary!G$2),'BPC Data'!$E:$E,Summary!$D237,'BPC Data'!$B:$B,Summary!$C237)</f>
        <v>0</v>
      </c>
      <c r="H237" s="65">
        <f ca="1">SUMIFS(OFFSET('BPC Data'!$F:$F,0,Summary!H$2),'BPC Data'!$E:$E,Summary!$D237,'BPC Data'!$B:$B,Summary!$C237)</f>
        <v>0</v>
      </c>
      <c r="I237" s="61">
        <f ca="1">SUMIFS(OFFSET('BPC Data'!$F:$F,0,Summary!I$2),'BPC Data'!$E:$E,Summary!$D237,'BPC Data'!$B:$B,Summary!$C237)</f>
        <v>0</v>
      </c>
      <c r="J237" s="65">
        <f ca="1">SUMIFS(OFFSET('BPC Data'!$F:$F,0,Summary!J$2),'BPC Data'!$E:$E,Summary!$D237,'BPC Data'!$B:$B,Summary!$C237)</f>
        <v>0</v>
      </c>
      <c r="K237" s="61">
        <f ca="1">SUMIFS(OFFSET('BPC Data'!$F:$F,0,Summary!K$2),'BPC Data'!$E:$E,Summary!$D237,'BPC Data'!$B:$B,Summary!$C237)</f>
        <v>0</v>
      </c>
      <c r="L237" s="65">
        <f ca="1">SUMIFS(OFFSET('BPC Data'!$F:$F,0,Summary!L$2),'BPC Data'!$E:$E,Summary!$D237,'BPC Data'!$B:$B,Summary!$C237)</f>
        <v>0</v>
      </c>
      <c r="M237" s="61">
        <f ca="1">SUMIFS(OFFSET('BPC Data'!$F:$F,0,Summary!M$2),'BPC Data'!$E:$E,Summary!$D237,'BPC Data'!$B:$B,Summary!$C237)</f>
        <v>0</v>
      </c>
      <c r="N237" s="65">
        <f ca="1">SUMIFS(OFFSET('BPC Data'!$F:$F,0,Summary!N$2),'BPC Data'!$E:$E,Summary!$D237,'BPC Data'!$B:$B,Summary!$C237)</f>
        <v>0</v>
      </c>
      <c r="O237" s="61">
        <f ca="1">SUMIFS(OFFSET('BPC Data'!$F:$F,0,Summary!O$2),'BPC Data'!$E:$E,Summary!$D237,'BPC Data'!$B:$B,Summary!$C237)</f>
        <v>0</v>
      </c>
      <c r="P237" s="65">
        <f ca="1">SUMIFS(OFFSET('BPC Data'!$F:$F,0,Summary!P$2),'BPC Data'!$E:$E,Summary!$D237,'BPC Data'!$B:$B,Summary!$C237)</f>
        <v>0</v>
      </c>
      <c r="Q237" s="61">
        <f ca="1">SUMIFS(OFFSET('BPC Data'!$F:$F,0,Summary!Q$2),'BPC Data'!$E:$E,Summary!$D237,'BPC Data'!$B:$B,Summary!$C237)</f>
        <v>0</v>
      </c>
      <c r="R237" s="65">
        <f ca="1">SUMIFS(OFFSET('BPC Data'!$F:$F,0,Summary!R$2),'BPC Data'!$E:$E,Summary!$D237,'BPC Data'!$B:$B,Summary!$C237)</f>
        <v>0</v>
      </c>
      <c r="S237" s="23"/>
      <c r="T237" s="76"/>
      <c r="AJ237" s="49"/>
      <c r="AK237" s="49"/>
      <c r="AL237" s="49"/>
      <c r="AM237" s="49"/>
      <c r="AN237" s="49"/>
      <c r="AO237" s="49"/>
      <c r="AP237" s="49"/>
      <c r="AQ237" s="49"/>
      <c r="AR237" s="49"/>
      <c r="AS237" s="49"/>
      <c r="AT237" s="49"/>
      <c r="AU237" s="49"/>
    </row>
    <row r="238" spans="1:47" s="12" customFormat="1">
      <c r="A238" s="12">
        <f t="shared" si="441"/>
        <v>21</v>
      </c>
      <c r="B238"/>
      <c r="C238">
        <f>$F229</f>
        <v>0</v>
      </c>
      <c r="D238" s="1" t="str">
        <f t="shared" si="433"/>
        <v>T_RENT_EXP - Tenant Rent Expense</v>
      </c>
      <c r="E238"/>
      <c r="F238" s="19" t="str">
        <f>_xll.EVDES(D238)</f>
        <v>Tenant Rent Expense</v>
      </c>
      <c r="G238" s="61">
        <f ca="1">SUMIFS(OFFSET('BPC Data'!$F:$F,0,Summary!G$2),'BPC Data'!$E:$E,Summary!$D238,'BPC Data'!$B:$B,Summary!$C238)</f>
        <v>0</v>
      </c>
      <c r="H238" s="65">
        <f ca="1">SUMIFS(OFFSET('BPC Data'!$F:$F,0,Summary!H$2),'BPC Data'!$E:$E,Summary!$D238,'BPC Data'!$B:$B,Summary!$C238)</f>
        <v>0</v>
      </c>
      <c r="I238" s="61">
        <f ca="1">SUMIFS(OFFSET('BPC Data'!$F:$F,0,Summary!I$2),'BPC Data'!$E:$E,Summary!$D238,'BPC Data'!$B:$B,Summary!$C238)</f>
        <v>0</v>
      </c>
      <c r="J238" s="65">
        <f ca="1">SUMIFS(OFFSET('BPC Data'!$F:$F,0,Summary!J$2),'BPC Data'!$E:$E,Summary!$D238,'BPC Data'!$B:$B,Summary!$C238)</f>
        <v>0</v>
      </c>
      <c r="K238" s="61">
        <f ca="1">SUMIFS(OFFSET('BPC Data'!$F:$F,0,Summary!K$2),'BPC Data'!$E:$E,Summary!$D238,'BPC Data'!$B:$B,Summary!$C238)</f>
        <v>0</v>
      </c>
      <c r="L238" s="65">
        <f ca="1">SUMIFS(OFFSET('BPC Data'!$F:$F,0,Summary!L$2),'BPC Data'!$E:$E,Summary!$D238,'BPC Data'!$B:$B,Summary!$C238)</f>
        <v>0</v>
      </c>
      <c r="M238" s="61">
        <f ca="1">SUMIFS(OFFSET('BPC Data'!$F:$F,0,Summary!M$2),'BPC Data'!$E:$E,Summary!$D238,'BPC Data'!$B:$B,Summary!$C238)</f>
        <v>0</v>
      </c>
      <c r="N238" s="65">
        <f ca="1">SUMIFS(OFFSET('BPC Data'!$F:$F,0,Summary!N$2),'BPC Data'!$E:$E,Summary!$D238,'BPC Data'!$B:$B,Summary!$C238)</f>
        <v>0</v>
      </c>
      <c r="O238" s="61">
        <f ca="1">SUMIFS(OFFSET('BPC Data'!$F:$F,0,Summary!O$2),'BPC Data'!$E:$E,Summary!$D238,'BPC Data'!$B:$B,Summary!$C238)</f>
        <v>0</v>
      </c>
      <c r="P238" s="65">
        <f ca="1">SUMIFS(OFFSET('BPC Data'!$F:$F,0,Summary!P$2),'BPC Data'!$E:$E,Summary!$D238,'BPC Data'!$B:$B,Summary!$C238)</f>
        <v>0</v>
      </c>
      <c r="Q238" s="61">
        <f ca="1">SUMIFS(OFFSET('BPC Data'!$F:$F,0,Summary!Q$2),'BPC Data'!$E:$E,Summary!$D238,'BPC Data'!$B:$B,Summary!$C238)</f>
        <v>0</v>
      </c>
      <c r="R238" s="65">
        <f ca="1">SUMIFS(OFFSET('BPC Data'!$F:$F,0,Summary!R$2),'BPC Data'!$E:$E,Summary!$D238,'BPC Data'!$B:$B,Summary!$C238)</f>
        <v>0</v>
      </c>
      <c r="S238" s="23"/>
      <c r="T238" s="76"/>
      <c r="AJ238" s="49"/>
      <c r="AK238" s="49"/>
      <c r="AL238" s="49"/>
      <c r="AM238" s="49"/>
      <c r="AN238" s="49"/>
      <c r="AO238" s="49"/>
      <c r="AP238" s="49"/>
      <c r="AQ238" s="49"/>
      <c r="AR238" s="49"/>
      <c r="AS238" s="49"/>
      <c r="AT238" s="49"/>
      <c r="AU238" s="49"/>
    </row>
    <row r="239" spans="1:47" s="12" customFormat="1">
      <c r="A239" s="12">
        <f t="shared" si="441"/>
        <v>21</v>
      </c>
      <c r="B239"/>
      <c r="C239"/>
      <c r="D239" s="1" t="str">
        <f t="shared" si="433"/>
        <v>x</v>
      </c>
      <c r="E239"/>
      <c r="F239" s="19" t="s">
        <v>0</v>
      </c>
      <c r="G239" s="61">
        <f ca="1">SUMIFS(OFFSET('BPC Data'!$F:$F,0,Summary!G$2),'BPC Data'!$E:$E,Summary!$D239,'BPC Data'!$B:$B,Summary!$C239)</f>
        <v>0</v>
      </c>
      <c r="H239" s="65">
        <f ca="1">SUMIFS(OFFSET('BPC Data'!$F:$F,0,Summary!H$2),'BPC Data'!$E:$E,Summary!$D239,'BPC Data'!$B:$B,Summary!$C239)</f>
        <v>0</v>
      </c>
      <c r="I239" s="61">
        <f ca="1">SUMIFS(OFFSET('BPC Data'!$F:$F,0,Summary!I$2),'BPC Data'!$E:$E,Summary!$D239,'BPC Data'!$B:$B,Summary!$C239)</f>
        <v>0</v>
      </c>
      <c r="J239" s="65">
        <f ca="1">SUMIFS(OFFSET('BPC Data'!$F:$F,0,Summary!J$2),'BPC Data'!$E:$E,Summary!$D239,'BPC Data'!$B:$B,Summary!$C239)</f>
        <v>0</v>
      </c>
      <c r="K239" s="61">
        <f ca="1">SUMIFS(OFFSET('BPC Data'!$F:$F,0,Summary!K$2),'BPC Data'!$E:$E,Summary!$D239,'BPC Data'!$B:$B,Summary!$C239)</f>
        <v>0</v>
      </c>
      <c r="L239" s="65">
        <f ca="1">SUMIFS(OFFSET('BPC Data'!$F:$F,0,Summary!L$2),'BPC Data'!$E:$E,Summary!$D239,'BPC Data'!$B:$B,Summary!$C239)</f>
        <v>0</v>
      </c>
      <c r="M239" s="61">
        <f ca="1">SUMIFS(OFFSET('BPC Data'!$F:$F,0,Summary!M$2),'BPC Data'!$E:$E,Summary!$D239,'BPC Data'!$B:$B,Summary!$C239)</f>
        <v>0</v>
      </c>
      <c r="N239" s="65">
        <f ca="1">SUMIFS(OFFSET('BPC Data'!$F:$F,0,Summary!N$2),'BPC Data'!$E:$E,Summary!$D239,'BPC Data'!$B:$B,Summary!$C239)</f>
        <v>0</v>
      </c>
      <c r="O239" s="61">
        <f ca="1">SUMIFS(OFFSET('BPC Data'!$F:$F,0,Summary!O$2),'BPC Data'!$E:$E,Summary!$D239,'BPC Data'!$B:$B,Summary!$C239)</f>
        <v>0</v>
      </c>
      <c r="P239" s="65">
        <f ca="1">SUMIFS(OFFSET('BPC Data'!$F:$F,0,Summary!P$2),'BPC Data'!$E:$E,Summary!$D239,'BPC Data'!$B:$B,Summary!$C239)</f>
        <v>0</v>
      </c>
      <c r="Q239" s="61">
        <f ca="1">SUMIFS(OFFSET('BPC Data'!$F:$F,0,Summary!Q$2),'BPC Data'!$E:$E,Summary!$D239,'BPC Data'!$B:$B,Summary!$C239)</f>
        <v>0</v>
      </c>
      <c r="R239" s="65">
        <f ca="1">SUMIFS(OFFSET('BPC Data'!$F:$F,0,Summary!R$2),'BPC Data'!$E:$E,Summary!$D239,'BPC Data'!$B:$B,Summary!$C239)</f>
        <v>0</v>
      </c>
      <c r="S239" s="23"/>
      <c r="T239" s="76"/>
      <c r="AJ239" s="49"/>
      <c r="AK239" s="49"/>
      <c r="AL239" s="49"/>
      <c r="AM239" s="49"/>
      <c r="AN239" s="49"/>
      <c r="AO239" s="49"/>
      <c r="AP239" s="49"/>
      <c r="AQ239" s="49"/>
      <c r="AR239" s="49"/>
      <c r="AS239" s="49"/>
      <c r="AT239" s="49"/>
      <c r="AU239" s="49"/>
    </row>
    <row r="240" spans="1:47" s="12" customFormat="1" hidden="1" outlineLevel="1">
      <c r="A240" s="12">
        <f>IF(AND(D240&lt;&gt;"",C240=""),A239+1,A239)</f>
        <v>22</v>
      </c>
      <c r="B240" s="5"/>
      <c r="C240" s="5"/>
      <c r="D240" s="5" t="str">
        <f t="shared" si="433"/>
        <v>x</v>
      </c>
      <c r="E240" s="5"/>
      <c r="F240" s="18">
        <f>INDEX(PropertyList!$D:$D,MATCH(Summary!$A240,PropertyList!$C:$C,0))</f>
        <v>0</v>
      </c>
      <c r="G240" s="61">
        <f ca="1">SUMIFS(OFFSET('BPC Data'!$F:$F,0,Summary!G$2),'BPC Data'!$E:$E,Summary!$D240,'BPC Data'!$B:$B,Summary!$C240)</f>
        <v>0</v>
      </c>
      <c r="H240" s="65">
        <f ca="1">SUMIFS(OFFSET('BPC Data'!$F:$F,0,Summary!H$2),'BPC Data'!$E:$E,Summary!$D240,'BPC Data'!$B:$B,Summary!$C240)</f>
        <v>0</v>
      </c>
      <c r="I240" s="61">
        <f ca="1">SUMIFS(OFFSET('BPC Data'!$F:$F,0,Summary!I$2),'BPC Data'!$E:$E,Summary!$D240,'BPC Data'!$B:$B,Summary!$C240)</f>
        <v>0</v>
      </c>
      <c r="J240" s="65">
        <f ca="1">SUMIFS(OFFSET('BPC Data'!$F:$F,0,Summary!J$2),'BPC Data'!$E:$E,Summary!$D240,'BPC Data'!$B:$B,Summary!$C240)</f>
        <v>0</v>
      </c>
      <c r="K240" s="61">
        <f ca="1">SUMIFS(OFFSET('BPC Data'!$F:$F,0,Summary!K$2),'BPC Data'!$E:$E,Summary!$D240,'BPC Data'!$B:$B,Summary!$C240)</f>
        <v>0</v>
      </c>
      <c r="L240" s="65">
        <f ca="1">SUMIFS(OFFSET('BPC Data'!$F:$F,0,Summary!L$2),'BPC Data'!$E:$E,Summary!$D240,'BPC Data'!$B:$B,Summary!$C240)</f>
        <v>0</v>
      </c>
      <c r="M240" s="61">
        <f ca="1">SUMIFS(OFFSET('BPC Data'!$F:$F,0,Summary!M$2),'BPC Data'!$E:$E,Summary!$D240,'BPC Data'!$B:$B,Summary!$C240)</f>
        <v>0</v>
      </c>
      <c r="N240" s="65">
        <f ca="1">SUMIFS(OFFSET('BPC Data'!$F:$F,0,Summary!N$2),'BPC Data'!$E:$E,Summary!$D240,'BPC Data'!$B:$B,Summary!$C240)</f>
        <v>0</v>
      </c>
      <c r="O240" s="61">
        <f ca="1">SUMIFS(OFFSET('BPC Data'!$F:$F,0,Summary!O$2),'BPC Data'!$E:$E,Summary!$D240,'BPC Data'!$B:$B,Summary!$C240)</f>
        <v>0</v>
      </c>
      <c r="P240" s="65">
        <f ca="1">SUMIFS(OFFSET('BPC Data'!$F:$F,0,Summary!P$2),'BPC Data'!$E:$E,Summary!$D240,'BPC Data'!$B:$B,Summary!$C240)</f>
        <v>0</v>
      </c>
      <c r="Q240" s="61">
        <f ca="1">SUMIFS(OFFSET('BPC Data'!$F:$F,0,Summary!Q$2),'BPC Data'!$E:$E,Summary!$D240,'BPC Data'!$B:$B,Summary!$C240)</f>
        <v>0</v>
      </c>
      <c r="R240" s="65">
        <f ca="1">SUMIFS(OFFSET('BPC Data'!$F:$F,0,Summary!R$2),'BPC Data'!$E:$E,Summary!$D240,'BPC Data'!$B:$B,Summary!$C240)</f>
        <v>0</v>
      </c>
      <c r="S240" s="23"/>
      <c r="T240" s="76"/>
      <c r="AJ240" s="49"/>
      <c r="AK240" s="49"/>
      <c r="AL240" s="49"/>
      <c r="AM240" s="49"/>
      <c r="AN240" s="49"/>
      <c r="AO240" s="49"/>
      <c r="AP240" s="49"/>
      <c r="AQ240" s="49"/>
      <c r="AR240" s="49"/>
      <c r="AS240" s="49"/>
      <c r="AT240" s="49"/>
      <c r="AU240" s="49"/>
    </row>
    <row r="241" spans="1:47" s="12" customFormat="1" hidden="1" outlineLevel="1">
      <c r="A241" s="12">
        <f>IF(AND(F241&lt;&gt;"",D241=""),A240+1,A240)</f>
        <v>22</v>
      </c>
      <c r="C241">
        <f>$F240</f>
        <v>0</v>
      </c>
      <c r="D241" s="3" t="str">
        <f t="shared" si="433"/>
        <v>PAY_PAT_DAYS - Total Payor Patient Days</v>
      </c>
      <c r="F241" s="19" t="str">
        <f>_xll.EVDES(D241)</f>
        <v>Total Payor Patient Days</v>
      </c>
      <c r="G241" s="61">
        <f ca="1">SUMIFS(OFFSET('BPC Data'!$F:$F,0,Summary!G$2),'BPC Data'!$E:$E,Summary!$D241,'BPC Data'!$B:$B,Summary!$C241)</f>
        <v>0</v>
      </c>
      <c r="H241" s="65">
        <f ca="1">SUMIFS(OFFSET('BPC Data'!$F:$F,0,Summary!H$2),'BPC Data'!$E:$E,Summary!$D241,'BPC Data'!$B:$B,Summary!$C241)</f>
        <v>0</v>
      </c>
      <c r="I241" s="61">
        <f ca="1">SUMIFS(OFFSET('BPC Data'!$F:$F,0,Summary!I$2),'BPC Data'!$E:$E,Summary!$D241,'BPC Data'!$B:$B,Summary!$C241)</f>
        <v>0</v>
      </c>
      <c r="J241" s="65">
        <f ca="1">SUMIFS(OFFSET('BPC Data'!$F:$F,0,Summary!J$2),'BPC Data'!$E:$E,Summary!$D241,'BPC Data'!$B:$B,Summary!$C241)</f>
        <v>0</v>
      </c>
      <c r="K241" s="61">
        <f ca="1">SUMIFS(OFFSET('BPC Data'!$F:$F,0,Summary!K$2),'BPC Data'!$E:$E,Summary!$D241,'BPC Data'!$B:$B,Summary!$C241)</f>
        <v>0</v>
      </c>
      <c r="L241" s="65">
        <f ca="1">SUMIFS(OFFSET('BPC Data'!$F:$F,0,Summary!L$2),'BPC Data'!$E:$E,Summary!$D241,'BPC Data'!$B:$B,Summary!$C241)</f>
        <v>0</v>
      </c>
      <c r="M241" s="61">
        <f ca="1">SUMIFS(OFFSET('BPC Data'!$F:$F,0,Summary!M$2),'BPC Data'!$E:$E,Summary!$D241,'BPC Data'!$B:$B,Summary!$C241)</f>
        <v>0</v>
      </c>
      <c r="N241" s="65">
        <f ca="1">SUMIFS(OFFSET('BPC Data'!$F:$F,0,Summary!N$2),'BPC Data'!$E:$E,Summary!$D241,'BPC Data'!$B:$B,Summary!$C241)</f>
        <v>0</v>
      </c>
      <c r="O241" s="61">
        <f ca="1">SUMIFS(OFFSET('BPC Data'!$F:$F,0,Summary!O$2),'BPC Data'!$E:$E,Summary!$D241,'BPC Data'!$B:$B,Summary!$C241)</f>
        <v>0</v>
      </c>
      <c r="P241" s="65">
        <f ca="1">SUMIFS(OFFSET('BPC Data'!$F:$F,0,Summary!P$2),'BPC Data'!$E:$E,Summary!$D241,'BPC Data'!$B:$B,Summary!$C241)</f>
        <v>0</v>
      </c>
      <c r="Q241" s="61">
        <f ca="1">SUMIFS(OFFSET('BPC Data'!$F:$F,0,Summary!Q$2),'BPC Data'!$E:$E,Summary!$D241,'BPC Data'!$B:$B,Summary!$C241)</f>
        <v>0</v>
      </c>
      <c r="R241" s="65">
        <f ca="1">SUMIFS(OFFSET('BPC Data'!$F:$F,0,Summary!R$2),'BPC Data'!$E:$E,Summary!$D241,'BPC Data'!$B:$B,Summary!$C241)</f>
        <v>0</v>
      </c>
      <c r="S241" s="23"/>
      <c r="T241" s="76"/>
      <c r="AJ241" s="49"/>
      <c r="AK241" s="49"/>
      <c r="AL241" s="49"/>
      <c r="AM241" s="49"/>
      <c r="AN241" s="49"/>
      <c r="AO241" s="49"/>
      <c r="AP241" s="49"/>
      <c r="AQ241" s="49"/>
      <c r="AR241" s="49"/>
      <c r="AS241" s="49"/>
      <c r="AT241" s="49"/>
      <c r="AU241" s="49"/>
    </row>
    <row r="242" spans="1:47" s="12" customFormat="1" hidden="1" outlineLevel="1">
      <c r="A242" s="12">
        <f t="shared" ref="A242:A250" si="442">IF(AND(F242&lt;&gt;"",D242=""),A241+1,A241)</f>
        <v>22</v>
      </c>
      <c r="C242">
        <f>$F240</f>
        <v>0</v>
      </c>
      <c r="D242" s="3" t="str">
        <f t="shared" si="433"/>
        <v>A_BEDS_TOTAL - Total Available Beds</v>
      </c>
      <c r="F242" s="19" t="str">
        <f>_xll.EVDES(D242)</f>
        <v>Total Available Beds</v>
      </c>
      <c r="G242" s="61">
        <f ca="1">SUMIFS(OFFSET('BPC Data'!$F:$F,0,Summary!G$2),'BPC Data'!$E:$E,Summary!$D242,'BPC Data'!$B:$B,Summary!$C242)</f>
        <v>0</v>
      </c>
      <c r="H242" s="65">
        <f ca="1">SUMIFS(OFFSET('BPC Data'!$F:$F,0,Summary!H$2),'BPC Data'!$E:$E,Summary!$D242,'BPC Data'!$B:$B,Summary!$C242)</f>
        <v>0</v>
      </c>
      <c r="I242" s="61">
        <f ca="1">SUMIFS(OFFSET('BPC Data'!$F:$F,0,Summary!I$2),'BPC Data'!$E:$E,Summary!$D242,'BPC Data'!$B:$B,Summary!$C242)</f>
        <v>0</v>
      </c>
      <c r="J242" s="65">
        <f ca="1">SUMIFS(OFFSET('BPC Data'!$F:$F,0,Summary!J$2),'BPC Data'!$E:$E,Summary!$D242,'BPC Data'!$B:$B,Summary!$C242)</f>
        <v>0</v>
      </c>
      <c r="K242" s="61">
        <f ca="1">SUMIFS(OFFSET('BPC Data'!$F:$F,0,Summary!K$2),'BPC Data'!$E:$E,Summary!$D242,'BPC Data'!$B:$B,Summary!$C242)</f>
        <v>0</v>
      </c>
      <c r="L242" s="65">
        <f ca="1">SUMIFS(OFFSET('BPC Data'!$F:$F,0,Summary!L$2),'BPC Data'!$E:$E,Summary!$D242,'BPC Data'!$B:$B,Summary!$C242)</f>
        <v>0</v>
      </c>
      <c r="M242" s="61">
        <f ca="1">SUMIFS(OFFSET('BPC Data'!$F:$F,0,Summary!M$2),'BPC Data'!$E:$E,Summary!$D242,'BPC Data'!$B:$B,Summary!$C242)</f>
        <v>0</v>
      </c>
      <c r="N242" s="65">
        <f ca="1">SUMIFS(OFFSET('BPC Data'!$F:$F,0,Summary!N$2),'BPC Data'!$E:$E,Summary!$D242,'BPC Data'!$B:$B,Summary!$C242)</f>
        <v>0</v>
      </c>
      <c r="O242" s="61">
        <f ca="1">SUMIFS(OFFSET('BPC Data'!$F:$F,0,Summary!O$2),'BPC Data'!$E:$E,Summary!$D242,'BPC Data'!$B:$B,Summary!$C242)</f>
        <v>0</v>
      </c>
      <c r="P242" s="65">
        <f ca="1">SUMIFS(OFFSET('BPC Data'!$F:$F,0,Summary!P$2),'BPC Data'!$E:$E,Summary!$D242,'BPC Data'!$B:$B,Summary!$C242)</f>
        <v>0</v>
      </c>
      <c r="Q242" s="61">
        <f ca="1">SUMIFS(OFFSET('BPC Data'!$F:$F,0,Summary!Q$2),'BPC Data'!$E:$E,Summary!$D242,'BPC Data'!$B:$B,Summary!$C242)</f>
        <v>0</v>
      </c>
      <c r="R242" s="65">
        <f ca="1">SUMIFS(OFFSET('BPC Data'!$F:$F,0,Summary!R$2),'BPC Data'!$E:$E,Summary!$D242,'BPC Data'!$B:$B,Summary!$C242)</f>
        <v>0</v>
      </c>
      <c r="S242" s="23"/>
      <c r="T242" s="76"/>
      <c r="AJ242" s="49"/>
      <c r="AK242" s="49"/>
      <c r="AL242" s="49"/>
      <c r="AM242" s="49"/>
      <c r="AN242" s="49"/>
      <c r="AO242" s="49"/>
      <c r="AP242" s="49"/>
      <c r="AQ242" s="49"/>
      <c r="AR242" s="49"/>
      <c r="AS242" s="49"/>
      <c r="AT242" s="49"/>
      <c r="AU242" s="49"/>
    </row>
    <row r="243" spans="1:47" s="12" customFormat="1" hidden="1" outlineLevel="1">
      <c r="A243" s="12">
        <f t="shared" si="442"/>
        <v>22</v>
      </c>
      <c r="B243"/>
      <c r="C243">
        <f>$F240</f>
        <v>0</v>
      </c>
      <c r="D243" s="3" t="str">
        <f t="shared" si="433"/>
        <v>T_REVENUES - Total Tenant Revenues</v>
      </c>
      <c r="E243"/>
      <c r="F243" s="19" t="str">
        <f>_xll.EVDES(D243)</f>
        <v>Total Tenant Revenues</v>
      </c>
      <c r="G243" s="61">
        <f ca="1">SUMIFS(OFFSET('BPC Data'!$F:$F,0,Summary!G$2),'BPC Data'!$E:$E,Summary!$D243,'BPC Data'!$B:$B,Summary!$C243)</f>
        <v>0</v>
      </c>
      <c r="H243" s="65">
        <f ca="1">SUMIFS(OFFSET('BPC Data'!$F:$F,0,Summary!H$2),'BPC Data'!$E:$E,Summary!$D243,'BPC Data'!$B:$B,Summary!$C243)</f>
        <v>0</v>
      </c>
      <c r="I243" s="61">
        <f ca="1">SUMIFS(OFFSET('BPC Data'!$F:$F,0,Summary!I$2),'BPC Data'!$E:$E,Summary!$D243,'BPC Data'!$B:$B,Summary!$C243)</f>
        <v>0</v>
      </c>
      <c r="J243" s="65">
        <f ca="1">SUMIFS(OFFSET('BPC Data'!$F:$F,0,Summary!J$2),'BPC Data'!$E:$E,Summary!$D243,'BPC Data'!$B:$B,Summary!$C243)</f>
        <v>0</v>
      </c>
      <c r="K243" s="61">
        <f ca="1">SUMIFS(OFFSET('BPC Data'!$F:$F,0,Summary!K$2),'BPC Data'!$E:$E,Summary!$D243,'BPC Data'!$B:$B,Summary!$C243)</f>
        <v>0</v>
      </c>
      <c r="L243" s="65">
        <f ca="1">SUMIFS(OFFSET('BPC Data'!$F:$F,0,Summary!L$2),'BPC Data'!$E:$E,Summary!$D243,'BPC Data'!$B:$B,Summary!$C243)</f>
        <v>0</v>
      </c>
      <c r="M243" s="61">
        <f ca="1">SUMIFS(OFFSET('BPC Data'!$F:$F,0,Summary!M$2),'BPC Data'!$E:$E,Summary!$D243,'BPC Data'!$B:$B,Summary!$C243)</f>
        <v>0</v>
      </c>
      <c r="N243" s="65">
        <f ca="1">SUMIFS(OFFSET('BPC Data'!$F:$F,0,Summary!N$2),'BPC Data'!$E:$E,Summary!$D243,'BPC Data'!$B:$B,Summary!$C243)</f>
        <v>0</v>
      </c>
      <c r="O243" s="61">
        <f ca="1">SUMIFS(OFFSET('BPC Data'!$F:$F,0,Summary!O$2),'BPC Data'!$E:$E,Summary!$D243,'BPC Data'!$B:$B,Summary!$C243)</f>
        <v>0</v>
      </c>
      <c r="P243" s="65">
        <f ca="1">SUMIFS(OFFSET('BPC Data'!$F:$F,0,Summary!P$2),'BPC Data'!$E:$E,Summary!$D243,'BPC Data'!$B:$B,Summary!$C243)</f>
        <v>0</v>
      </c>
      <c r="Q243" s="61">
        <f ca="1">SUMIFS(OFFSET('BPC Data'!$F:$F,0,Summary!Q$2),'BPC Data'!$E:$E,Summary!$D243,'BPC Data'!$B:$B,Summary!$C243)</f>
        <v>0</v>
      </c>
      <c r="R243" s="65">
        <f ca="1">SUMIFS(OFFSET('BPC Data'!$F:$F,0,Summary!R$2),'BPC Data'!$E:$E,Summary!$D243,'BPC Data'!$B:$B,Summary!$C243)</f>
        <v>0</v>
      </c>
      <c r="S243" s="23"/>
      <c r="T243" s="76"/>
      <c r="AJ243" s="49"/>
      <c r="AK243" s="49"/>
      <c r="AL243" s="49"/>
      <c r="AM243" s="49"/>
      <c r="AN243" s="49"/>
      <c r="AO243" s="49"/>
      <c r="AP243" s="49"/>
      <c r="AQ243" s="49"/>
      <c r="AR243" s="49"/>
      <c r="AS243" s="49"/>
      <c r="AT243" s="49"/>
      <c r="AU243" s="49"/>
    </row>
    <row r="244" spans="1:47" s="12" customFormat="1" hidden="1" outlineLevel="1">
      <c r="A244" s="12">
        <f t="shared" si="442"/>
        <v>22</v>
      </c>
      <c r="B244"/>
      <c r="C244">
        <f>$F240</f>
        <v>0</v>
      </c>
      <c r="D244" s="3" t="str">
        <f t="shared" si="433"/>
        <v>T_OPEX - Tenant Operating Expenses</v>
      </c>
      <c r="E244"/>
      <c r="F244" s="19" t="str">
        <f>_xll.EVDES(D244)</f>
        <v>Tenant Operating Expenses</v>
      </c>
      <c r="G244" s="61">
        <f ca="1">SUMIFS(OFFSET('BPC Data'!$F:$F,0,Summary!G$2),'BPC Data'!$E:$E,Summary!$D244,'BPC Data'!$B:$B,Summary!$C244)</f>
        <v>0</v>
      </c>
      <c r="H244" s="65">
        <f ca="1">SUMIFS(OFFSET('BPC Data'!$F:$F,0,Summary!H$2),'BPC Data'!$E:$E,Summary!$D244,'BPC Data'!$B:$B,Summary!$C244)</f>
        <v>0</v>
      </c>
      <c r="I244" s="61">
        <f ca="1">SUMIFS(OFFSET('BPC Data'!$F:$F,0,Summary!I$2),'BPC Data'!$E:$E,Summary!$D244,'BPC Data'!$B:$B,Summary!$C244)</f>
        <v>0</v>
      </c>
      <c r="J244" s="65">
        <f ca="1">SUMIFS(OFFSET('BPC Data'!$F:$F,0,Summary!J$2),'BPC Data'!$E:$E,Summary!$D244,'BPC Data'!$B:$B,Summary!$C244)</f>
        <v>0</v>
      </c>
      <c r="K244" s="61">
        <f ca="1">SUMIFS(OFFSET('BPC Data'!$F:$F,0,Summary!K$2),'BPC Data'!$E:$E,Summary!$D244,'BPC Data'!$B:$B,Summary!$C244)</f>
        <v>0</v>
      </c>
      <c r="L244" s="65">
        <f ca="1">SUMIFS(OFFSET('BPC Data'!$F:$F,0,Summary!L$2),'BPC Data'!$E:$E,Summary!$D244,'BPC Data'!$B:$B,Summary!$C244)</f>
        <v>0</v>
      </c>
      <c r="M244" s="61">
        <f ca="1">SUMIFS(OFFSET('BPC Data'!$F:$F,0,Summary!M$2),'BPC Data'!$E:$E,Summary!$D244,'BPC Data'!$B:$B,Summary!$C244)</f>
        <v>0</v>
      </c>
      <c r="N244" s="65">
        <f ca="1">SUMIFS(OFFSET('BPC Data'!$F:$F,0,Summary!N$2),'BPC Data'!$E:$E,Summary!$D244,'BPC Data'!$B:$B,Summary!$C244)</f>
        <v>0</v>
      </c>
      <c r="O244" s="61">
        <f ca="1">SUMIFS(OFFSET('BPC Data'!$F:$F,0,Summary!O$2),'BPC Data'!$E:$E,Summary!$D244,'BPC Data'!$B:$B,Summary!$C244)</f>
        <v>0</v>
      </c>
      <c r="P244" s="65">
        <f ca="1">SUMIFS(OFFSET('BPC Data'!$F:$F,0,Summary!P$2),'BPC Data'!$E:$E,Summary!$D244,'BPC Data'!$B:$B,Summary!$C244)</f>
        <v>0</v>
      </c>
      <c r="Q244" s="61">
        <f ca="1">SUMIFS(OFFSET('BPC Data'!$F:$F,0,Summary!Q$2),'BPC Data'!$E:$E,Summary!$D244,'BPC Data'!$B:$B,Summary!$C244)</f>
        <v>0</v>
      </c>
      <c r="R244" s="65">
        <f ca="1">SUMIFS(OFFSET('BPC Data'!$F:$F,0,Summary!R$2),'BPC Data'!$E:$E,Summary!$D244,'BPC Data'!$B:$B,Summary!$C244)</f>
        <v>0</v>
      </c>
      <c r="S244" s="23"/>
      <c r="T244" s="76"/>
      <c r="AJ244" s="49"/>
      <c r="AK244" s="49"/>
      <c r="AL244" s="49"/>
      <c r="AM244" s="49"/>
      <c r="AN244" s="49"/>
      <c r="AO244" s="49"/>
      <c r="AP244" s="49"/>
      <c r="AQ244" s="49"/>
      <c r="AR244" s="49"/>
      <c r="AS244" s="49"/>
      <c r="AT244" s="49"/>
      <c r="AU244" s="49"/>
    </row>
    <row r="245" spans="1:47" s="12" customFormat="1" hidden="1" outlineLevel="1">
      <c r="A245" s="12">
        <f t="shared" si="442"/>
        <v>22</v>
      </c>
      <c r="B245"/>
      <c r="C245">
        <f>$F240</f>
        <v>0</v>
      </c>
      <c r="D245" s="3" t="str">
        <f t="shared" si="433"/>
        <v>T_BAD_DEBT - Tenant Bad Debt Expense</v>
      </c>
      <c r="E245"/>
      <c r="F245" s="19" t="str">
        <f>_xll.EVDES(D245)</f>
        <v>Tenant Bad Debt Expense</v>
      </c>
      <c r="G245" s="61">
        <f ca="1">SUMIFS(OFFSET('BPC Data'!$F:$F,0,Summary!G$2),'BPC Data'!$E:$E,Summary!$D245,'BPC Data'!$B:$B,Summary!$C245)</f>
        <v>0</v>
      </c>
      <c r="H245" s="65">
        <f ca="1">SUMIFS(OFFSET('BPC Data'!$F:$F,0,Summary!H$2),'BPC Data'!$E:$E,Summary!$D245,'BPC Data'!$B:$B,Summary!$C245)</f>
        <v>0</v>
      </c>
      <c r="I245" s="61">
        <f ca="1">SUMIFS(OFFSET('BPC Data'!$F:$F,0,Summary!I$2),'BPC Data'!$E:$E,Summary!$D245,'BPC Data'!$B:$B,Summary!$C245)</f>
        <v>0</v>
      </c>
      <c r="J245" s="65">
        <f ca="1">SUMIFS(OFFSET('BPC Data'!$F:$F,0,Summary!J$2),'BPC Data'!$E:$E,Summary!$D245,'BPC Data'!$B:$B,Summary!$C245)</f>
        <v>0</v>
      </c>
      <c r="K245" s="61">
        <f ca="1">SUMIFS(OFFSET('BPC Data'!$F:$F,0,Summary!K$2),'BPC Data'!$E:$E,Summary!$D245,'BPC Data'!$B:$B,Summary!$C245)</f>
        <v>0</v>
      </c>
      <c r="L245" s="65">
        <f ca="1">SUMIFS(OFFSET('BPC Data'!$F:$F,0,Summary!L$2),'BPC Data'!$E:$E,Summary!$D245,'BPC Data'!$B:$B,Summary!$C245)</f>
        <v>0</v>
      </c>
      <c r="M245" s="61">
        <f ca="1">SUMIFS(OFFSET('BPC Data'!$F:$F,0,Summary!M$2),'BPC Data'!$E:$E,Summary!$D245,'BPC Data'!$B:$B,Summary!$C245)</f>
        <v>0</v>
      </c>
      <c r="N245" s="65">
        <f ca="1">SUMIFS(OFFSET('BPC Data'!$F:$F,0,Summary!N$2),'BPC Data'!$E:$E,Summary!$D245,'BPC Data'!$B:$B,Summary!$C245)</f>
        <v>0</v>
      </c>
      <c r="O245" s="61">
        <f ca="1">SUMIFS(OFFSET('BPC Data'!$F:$F,0,Summary!O$2),'BPC Data'!$E:$E,Summary!$D245,'BPC Data'!$B:$B,Summary!$C245)</f>
        <v>0</v>
      </c>
      <c r="P245" s="65">
        <f ca="1">SUMIFS(OFFSET('BPC Data'!$F:$F,0,Summary!P$2),'BPC Data'!$E:$E,Summary!$D245,'BPC Data'!$B:$B,Summary!$C245)</f>
        <v>0</v>
      </c>
      <c r="Q245" s="61">
        <f ca="1">SUMIFS(OFFSET('BPC Data'!$F:$F,0,Summary!Q$2),'BPC Data'!$E:$E,Summary!$D245,'BPC Data'!$B:$B,Summary!$C245)</f>
        <v>0</v>
      </c>
      <c r="R245" s="65">
        <f ca="1">SUMIFS(OFFSET('BPC Data'!$F:$F,0,Summary!R$2),'BPC Data'!$E:$E,Summary!$D245,'BPC Data'!$B:$B,Summary!$C245)</f>
        <v>0</v>
      </c>
      <c r="S245" s="23"/>
      <c r="T245" s="76"/>
      <c r="AJ245" s="49"/>
      <c r="AK245" s="49"/>
      <c r="AL245" s="49"/>
      <c r="AM245" s="49"/>
      <c r="AN245" s="49"/>
      <c r="AO245" s="49"/>
      <c r="AP245" s="49"/>
      <c r="AQ245" s="49"/>
      <c r="AR245" s="49"/>
      <c r="AS245" s="49"/>
      <c r="AT245" s="49"/>
      <c r="AU245" s="49"/>
    </row>
    <row r="246" spans="1:47" s="12" customFormat="1" hidden="1" outlineLevel="1">
      <c r="A246" s="12">
        <f t="shared" si="442"/>
        <v>22</v>
      </c>
      <c r="B246"/>
      <c r="C246">
        <f>$F240</f>
        <v>0</v>
      </c>
      <c r="D246" s="2" t="str">
        <f t="shared" si="433"/>
        <v>T_EBITDARM - EBITDARM</v>
      </c>
      <c r="E246"/>
      <c r="F246" s="19" t="str">
        <f>_xll.EVDES(D246)</f>
        <v>EBITDARM</v>
      </c>
      <c r="G246" s="61">
        <f ca="1">SUMIFS(OFFSET('BPC Data'!$F:$F,0,Summary!G$2),'BPC Data'!$E:$E,Summary!$D246,'BPC Data'!$B:$B,Summary!$C246)</f>
        <v>0</v>
      </c>
      <c r="H246" s="65">
        <f ca="1">SUMIFS(OFFSET('BPC Data'!$F:$F,0,Summary!H$2),'BPC Data'!$E:$E,Summary!$D246,'BPC Data'!$B:$B,Summary!$C246)</f>
        <v>0</v>
      </c>
      <c r="I246" s="61">
        <f ca="1">SUMIFS(OFFSET('BPC Data'!$F:$F,0,Summary!I$2),'BPC Data'!$E:$E,Summary!$D246,'BPC Data'!$B:$B,Summary!$C246)</f>
        <v>0</v>
      </c>
      <c r="J246" s="65">
        <f ca="1">SUMIFS(OFFSET('BPC Data'!$F:$F,0,Summary!J$2),'BPC Data'!$E:$E,Summary!$D246,'BPC Data'!$B:$B,Summary!$C246)</f>
        <v>0</v>
      </c>
      <c r="K246" s="61">
        <f ca="1">SUMIFS(OFFSET('BPC Data'!$F:$F,0,Summary!K$2),'BPC Data'!$E:$E,Summary!$D246,'BPC Data'!$B:$B,Summary!$C246)</f>
        <v>0</v>
      </c>
      <c r="L246" s="65">
        <f ca="1">SUMIFS(OFFSET('BPC Data'!$F:$F,0,Summary!L$2),'BPC Data'!$E:$E,Summary!$D246,'BPC Data'!$B:$B,Summary!$C246)</f>
        <v>0</v>
      </c>
      <c r="M246" s="61">
        <f ca="1">SUMIFS(OFFSET('BPC Data'!$F:$F,0,Summary!M$2),'BPC Data'!$E:$E,Summary!$D246,'BPC Data'!$B:$B,Summary!$C246)</f>
        <v>0</v>
      </c>
      <c r="N246" s="65">
        <f ca="1">SUMIFS(OFFSET('BPC Data'!$F:$F,0,Summary!N$2),'BPC Data'!$E:$E,Summary!$D246,'BPC Data'!$B:$B,Summary!$C246)</f>
        <v>0</v>
      </c>
      <c r="O246" s="61">
        <f ca="1">SUMIFS(OFFSET('BPC Data'!$F:$F,0,Summary!O$2),'BPC Data'!$E:$E,Summary!$D246,'BPC Data'!$B:$B,Summary!$C246)</f>
        <v>0</v>
      </c>
      <c r="P246" s="65">
        <f ca="1">SUMIFS(OFFSET('BPC Data'!$F:$F,0,Summary!P$2),'BPC Data'!$E:$E,Summary!$D246,'BPC Data'!$B:$B,Summary!$C246)</f>
        <v>0</v>
      </c>
      <c r="Q246" s="61">
        <f ca="1">SUMIFS(OFFSET('BPC Data'!$F:$F,0,Summary!Q$2),'BPC Data'!$E:$E,Summary!$D246,'BPC Data'!$B:$B,Summary!$C246)</f>
        <v>0</v>
      </c>
      <c r="R246" s="65">
        <f ca="1">SUMIFS(OFFSET('BPC Data'!$F:$F,0,Summary!R$2),'BPC Data'!$E:$E,Summary!$D246,'BPC Data'!$B:$B,Summary!$C246)</f>
        <v>0</v>
      </c>
      <c r="S246" s="23"/>
      <c r="T246" s="76"/>
      <c r="AJ246" s="49"/>
      <c r="AK246" s="49"/>
      <c r="AL246" s="49"/>
      <c r="AM246" s="49"/>
      <c r="AN246" s="49"/>
      <c r="AO246" s="49"/>
      <c r="AP246" s="49"/>
      <c r="AQ246" s="49"/>
      <c r="AR246" s="49"/>
      <c r="AS246" s="49"/>
      <c r="AT246" s="49"/>
      <c r="AU246" s="49"/>
    </row>
    <row r="247" spans="1:47" s="12" customFormat="1" hidden="1" outlineLevel="1">
      <c r="A247" s="12">
        <f t="shared" si="442"/>
        <v>22</v>
      </c>
      <c r="B247"/>
      <c r="C247">
        <f>$F240</f>
        <v>0</v>
      </c>
      <c r="D247" s="2" t="str">
        <f t="shared" si="433"/>
        <v>T_MGMT_FEE - Tenant Management Fee - Actual</v>
      </c>
      <c r="E247"/>
      <c r="F247" s="19" t="str">
        <f>_xll.EVDES(D247)</f>
        <v>Tenant Management Fee - Actual</v>
      </c>
      <c r="G247" s="61">
        <f ca="1">SUMIFS(OFFSET('BPC Data'!$F:$F,0,Summary!G$2),'BPC Data'!$E:$E,Summary!$D247,'BPC Data'!$B:$B,Summary!$C247)</f>
        <v>0</v>
      </c>
      <c r="H247" s="65">
        <f ca="1">SUMIFS(OFFSET('BPC Data'!$F:$F,0,Summary!H$2),'BPC Data'!$E:$E,Summary!$D247,'BPC Data'!$B:$B,Summary!$C247)</f>
        <v>0</v>
      </c>
      <c r="I247" s="61">
        <f ca="1">SUMIFS(OFFSET('BPC Data'!$F:$F,0,Summary!I$2),'BPC Data'!$E:$E,Summary!$D247,'BPC Data'!$B:$B,Summary!$C247)</f>
        <v>0</v>
      </c>
      <c r="J247" s="65">
        <f ca="1">SUMIFS(OFFSET('BPC Data'!$F:$F,0,Summary!J$2),'BPC Data'!$E:$E,Summary!$D247,'BPC Data'!$B:$B,Summary!$C247)</f>
        <v>0</v>
      </c>
      <c r="K247" s="61">
        <f ca="1">SUMIFS(OFFSET('BPC Data'!$F:$F,0,Summary!K$2),'BPC Data'!$E:$E,Summary!$D247,'BPC Data'!$B:$B,Summary!$C247)</f>
        <v>0</v>
      </c>
      <c r="L247" s="65">
        <f ca="1">SUMIFS(OFFSET('BPC Data'!$F:$F,0,Summary!L$2),'BPC Data'!$E:$E,Summary!$D247,'BPC Data'!$B:$B,Summary!$C247)</f>
        <v>0</v>
      </c>
      <c r="M247" s="61">
        <f ca="1">SUMIFS(OFFSET('BPC Data'!$F:$F,0,Summary!M$2),'BPC Data'!$E:$E,Summary!$D247,'BPC Data'!$B:$B,Summary!$C247)</f>
        <v>0</v>
      </c>
      <c r="N247" s="65">
        <f ca="1">SUMIFS(OFFSET('BPC Data'!$F:$F,0,Summary!N$2),'BPC Data'!$E:$E,Summary!$D247,'BPC Data'!$B:$B,Summary!$C247)</f>
        <v>0</v>
      </c>
      <c r="O247" s="61">
        <f ca="1">SUMIFS(OFFSET('BPC Data'!$F:$F,0,Summary!O$2),'BPC Data'!$E:$E,Summary!$D247,'BPC Data'!$B:$B,Summary!$C247)</f>
        <v>0</v>
      </c>
      <c r="P247" s="65">
        <f ca="1">SUMIFS(OFFSET('BPC Data'!$F:$F,0,Summary!P$2),'BPC Data'!$E:$E,Summary!$D247,'BPC Data'!$B:$B,Summary!$C247)</f>
        <v>0</v>
      </c>
      <c r="Q247" s="61">
        <f ca="1">SUMIFS(OFFSET('BPC Data'!$F:$F,0,Summary!Q$2),'BPC Data'!$E:$E,Summary!$D247,'BPC Data'!$B:$B,Summary!$C247)</f>
        <v>0</v>
      </c>
      <c r="R247" s="65">
        <f ca="1">SUMIFS(OFFSET('BPC Data'!$F:$F,0,Summary!R$2),'BPC Data'!$E:$E,Summary!$D247,'BPC Data'!$B:$B,Summary!$C247)</f>
        <v>0</v>
      </c>
      <c r="S247" s="23"/>
      <c r="T247" s="76"/>
      <c r="AJ247" s="49"/>
      <c r="AK247" s="49"/>
      <c r="AL247" s="49"/>
      <c r="AM247" s="49"/>
      <c r="AN247" s="49"/>
      <c r="AO247" s="49"/>
      <c r="AP247" s="49"/>
      <c r="AQ247" s="49"/>
      <c r="AR247" s="49"/>
      <c r="AS247" s="49"/>
      <c r="AT247" s="49"/>
      <c r="AU247" s="49"/>
    </row>
    <row r="248" spans="1:47" s="12" customFormat="1" hidden="1" outlineLevel="1">
      <c r="A248" s="12">
        <f t="shared" si="442"/>
        <v>22</v>
      </c>
      <c r="B248"/>
      <c r="C248">
        <f>$F240</f>
        <v>0</v>
      </c>
      <c r="D248" s="1" t="str">
        <f t="shared" si="433"/>
        <v>T_EBITDAR - EBITDAR</v>
      </c>
      <c r="E248"/>
      <c r="F248" s="19" t="str">
        <f>_xll.EVDES(D248)</f>
        <v>EBITDAR</v>
      </c>
      <c r="G248" s="61">
        <f ca="1">SUMIFS(OFFSET('BPC Data'!$F:$F,0,Summary!G$2),'BPC Data'!$E:$E,Summary!$D248,'BPC Data'!$B:$B,Summary!$C248)</f>
        <v>0</v>
      </c>
      <c r="H248" s="65">
        <f ca="1">SUMIFS(OFFSET('BPC Data'!$F:$F,0,Summary!H$2),'BPC Data'!$E:$E,Summary!$D248,'BPC Data'!$B:$B,Summary!$C248)</f>
        <v>0</v>
      </c>
      <c r="I248" s="61">
        <f ca="1">SUMIFS(OFFSET('BPC Data'!$F:$F,0,Summary!I$2),'BPC Data'!$E:$E,Summary!$D248,'BPC Data'!$B:$B,Summary!$C248)</f>
        <v>0</v>
      </c>
      <c r="J248" s="65">
        <f ca="1">SUMIFS(OFFSET('BPC Data'!$F:$F,0,Summary!J$2),'BPC Data'!$E:$E,Summary!$D248,'BPC Data'!$B:$B,Summary!$C248)</f>
        <v>0</v>
      </c>
      <c r="K248" s="61">
        <f ca="1">SUMIFS(OFFSET('BPC Data'!$F:$F,0,Summary!K$2),'BPC Data'!$E:$E,Summary!$D248,'BPC Data'!$B:$B,Summary!$C248)</f>
        <v>0</v>
      </c>
      <c r="L248" s="65">
        <f ca="1">SUMIFS(OFFSET('BPC Data'!$F:$F,0,Summary!L$2),'BPC Data'!$E:$E,Summary!$D248,'BPC Data'!$B:$B,Summary!$C248)</f>
        <v>0</v>
      </c>
      <c r="M248" s="61">
        <f ca="1">SUMIFS(OFFSET('BPC Data'!$F:$F,0,Summary!M$2),'BPC Data'!$E:$E,Summary!$D248,'BPC Data'!$B:$B,Summary!$C248)</f>
        <v>0</v>
      </c>
      <c r="N248" s="65">
        <f ca="1">SUMIFS(OFFSET('BPC Data'!$F:$F,0,Summary!N$2),'BPC Data'!$E:$E,Summary!$D248,'BPC Data'!$B:$B,Summary!$C248)</f>
        <v>0</v>
      </c>
      <c r="O248" s="61">
        <f ca="1">SUMIFS(OFFSET('BPC Data'!$F:$F,0,Summary!O$2),'BPC Data'!$E:$E,Summary!$D248,'BPC Data'!$B:$B,Summary!$C248)</f>
        <v>0</v>
      </c>
      <c r="P248" s="65">
        <f ca="1">SUMIFS(OFFSET('BPC Data'!$F:$F,0,Summary!P$2),'BPC Data'!$E:$E,Summary!$D248,'BPC Data'!$B:$B,Summary!$C248)</f>
        <v>0</v>
      </c>
      <c r="Q248" s="61">
        <f ca="1">SUMIFS(OFFSET('BPC Data'!$F:$F,0,Summary!Q$2),'BPC Data'!$E:$E,Summary!$D248,'BPC Data'!$B:$B,Summary!$C248)</f>
        <v>0</v>
      </c>
      <c r="R248" s="65">
        <f ca="1">SUMIFS(OFFSET('BPC Data'!$F:$F,0,Summary!R$2),'BPC Data'!$E:$E,Summary!$D248,'BPC Data'!$B:$B,Summary!$C248)</f>
        <v>0</v>
      </c>
      <c r="S248" s="23"/>
      <c r="T248" s="76"/>
      <c r="AJ248" s="49"/>
      <c r="AK248" s="49"/>
      <c r="AL248" s="49"/>
      <c r="AM248" s="49"/>
      <c r="AN248" s="49"/>
      <c r="AO248" s="49"/>
      <c r="AP248" s="49"/>
      <c r="AQ248" s="49"/>
      <c r="AR248" s="49"/>
      <c r="AS248" s="49"/>
      <c r="AT248" s="49"/>
      <c r="AU248" s="49"/>
    </row>
    <row r="249" spans="1:47" s="12" customFormat="1" hidden="1" outlineLevel="1">
      <c r="A249" s="12">
        <f t="shared" si="442"/>
        <v>22</v>
      </c>
      <c r="B249"/>
      <c r="C249">
        <f>$F240</f>
        <v>0</v>
      </c>
      <c r="D249" s="1" t="str">
        <f t="shared" si="433"/>
        <v>T_RENT_EXP - Tenant Rent Expense</v>
      </c>
      <c r="E249"/>
      <c r="F249" s="19" t="str">
        <f>_xll.EVDES(D249)</f>
        <v>Tenant Rent Expense</v>
      </c>
      <c r="G249" s="61">
        <f ca="1">SUMIFS(OFFSET('BPC Data'!$F:$F,0,Summary!G$2),'BPC Data'!$E:$E,Summary!$D249,'BPC Data'!$B:$B,Summary!$C249)</f>
        <v>0</v>
      </c>
      <c r="H249" s="65">
        <f ca="1">SUMIFS(OFFSET('BPC Data'!$F:$F,0,Summary!H$2),'BPC Data'!$E:$E,Summary!$D249,'BPC Data'!$B:$B,Summary!$C249)</f>
        <v>0</v>
      </c>
      <c r="I249" s="61">
        <f ca="1">SUMIFS(OFFSET('BPC Data'!$F:$F,0,Summary!I$2),'BPC Data'!$E:$E,Summary!$D249,'BPC Data'!$B:$B,Summary!$C249)</f>
        <v>0</v>
      </c>
      <c r="J249" s="65">
        <f ca="1">SUMIFS(OFFSET('BPC Data'!$F:$F,0,Summary!J$2),'BPC Data'!$E:$E,Summary!$D249,'BPC Data'!$B:$B,Summary!$C249)</f>
        <v>0</v>
      </c>
      <c r="K249" s="61">
        <f ca="1">SUMIFS(OFFSET('BPC Data'!$F:$F,0,Summary!K$2),'BPC Data'!$E:$E,Summary!$D249,'BPC Data'!$B:$B,Summary!$C249)</f>
        <v>0</v>
      </c>
      <c r="L249" s="65">
        <f ca="1">SUMIFS(OFFSET('BPC Data'!$F:$F,0,Summary!L$2),'BPC Data'!$E:$E,Summary!$D249,'BPC Data'!$B:$B,Summary!$C249)</f>
        <v>0</v>
      </c>
      <c r="M249" s="61">
        <f ca="1">SUMIFS(OFFSET('BPC Data'!$F:$F,0,Summary!M$2),'BPC Data'!$E:$E,Summary!$D249,'BPC Data'!$B:$B,Summary!$C249)</f>
        <v>0</v>
      </c>
      <c r="N249" s="65">
        <f ca="1">SUMIFS(OFFSET('BPC Data'!$F:$F,0,Summary!N$2),'BPC Data'!$E:$E,Summary!$D249,'BPC Data'!$B:$B,Summary!$C249)</f>
        <v>0</v>
      </c>
      <c r="O249" s="61">
        <f ca="1">SUMIFS(OFFSET('BPC Data'!$F:$F,0,Summary!O$2),'BPC Data'!$E:$E,Summary!$D249,'BPC Data'!$B:$B,Summary!$C249)</f>
        <v>0</v>
      </c>
      <c r="P249" s="65">
        <f ca="1">SUMIFS(OFFSET('BPC Data'!$F:$F,0,Summary!P$2),'BPC Data'!$E:$E,Summary!$D249,'BPC Data'!$B:$B,Summary!$C249)</f>
        <v>0</v>
      </c>
      <c r="Q249" s="61">
        <f ca="1">SUMIFS(OFFSET('BPC Data'!$F:$F,0,Summary!Q$2),'BPC Data'!$E:$E,Summary!$D249,'BPC Data'!$B:$B,Summary!$C249)</f>
        <v>0</v>
      </c>
      <c r="R249" s="65">
        <f ca="1">SUMIFS(OFFSET('BPC Data'!$F:$F,0,Summary!R$2),'BPC Data'!$E:$E,Summary!$D249,'BPC Data'!$B:$B,Summary!$C249)</f>
        <v>0</v>
      </c>
      <c r="S249" s="23"/>
      <c r="T249" s="76"/>
      <c r="AJ249" s="49"/>
      <c r="AK249" s="49"/>
      <c r="AL249" s="49"/>
      <c r="AM249" s="49"/>
      <c r="AN249" s="49"/>
      <c r="AO249" s="49"/>
      <c r="AP249" s="49"/>
      <c r="AQ249" s="49"/>
      <c r="AR249" s="49"/>
      <c r="AS249" s="49"/>
      <c r="AT249" s="49"/>
      <c r="AU249" s="49"/>
    </row>
    <row r="250" spans="1:47" s="12" customFormat="1" hidden="1" outlineLevel="1">
      <c r="A250" s="12">
        <f t="shared" si="442"/>
        <v>22</v>
      </c>
      <c r="B250"/>
      <c r="C250"/>
      <c r="D250" s="1" t="str">
        <f t="shared" si="433"/>
        <v>x</v>
      </c>
      <c r="E250"/>
      <c r="F250" s="19" t="s">
        <v>0</v>
      </c>
      <c r="G250" s="61">
        <f ca="1">SUMIFS(OFFSET('BPC Data'!$F:$F,0,Summary!G$2),'BPC Data'!$E:$E,Summary!$D250,'BPC Data'!$B:$B,Summary!$C250)</f>
        <v>0</v>
      </c>
      <c r="H250" s="65">
        <f ca="1">SUMIFS(OFFSET('BPC Data'!$F:$F,0,Summary!H$2),'BPC Data'!$E:$E,Summary!$D250,'BPC Data'!$B:$B,Summary!$C250)</f>
        <v>0</v>
      </c>
      <c r="I250" s="61">
        <f ca="1">SUMIFS(OFFSET('BPC Data'!$F:$F,0,Summary!I$2),'BPC Data'!$E:$E,Summary!$D250,'BPC Data'!$B:$B,Summary!$C250)</f>
        <v>0</v>
      </c>
      <c r="J250" s="65">
        <f ca="1">SUMIFS(OFFSET('BPC Data'!$F:$F,0,Summary!J$2),'BPC Data'!$E:$E,Summary!$D250,'BPC Data'!$B:$B,Summary!$C250)</f>
        <v>0</v>
      </c>
      <c r="K250" s="61">
        <f ca="1">SUMIFS(OFFSET('BPC Data'!$F:$F,0,Summary!K$2),'BPC Data'!$E:$E,Summary!$D250,'BPC Data'!$B:$B,Summary!$C250)</f>
        <v>0</v>
      </c>
      <c r="L250" s="65">
        <f ca="1">SUMIFS(OFFSET('BPC Data'!$F:$F,0,Summary!L$2),'BPC Data'!$E:$E,Summary!$D250,'BPC Data'!$B:$B,Summary!$C250)</f>
        <v>0</v>
      </c>
      <c r="M250" s="61">
        <f ca="1">SUMIFS(OFFSET('BPC Data'!$F:$F,0,Summary!M$2),'BPC Data'!$E:$E,Summary!$D250,'BPC Data'!$B:$B,Summary!$C250)</f>
        <v>0</v>
      </c>
      <c r="N250" s="65">
        <f ca="1">SUMIFS(OFFSET('BPC Data'!$F:$F,0,Summary!N$2),'BPC Data'!$E:$E,Summary!$D250,'BPC Data'!$B:$B,Summary!$C250)</f>
        <v>0</v>
      </c>
      <c r="O250" s="61">
        <f ca="1">SUMIFS(OFFSET('BPC Data'!$F:$F,0,Summary!O$2),'BPC Data'!$E:$E,Summary!$D250,'BPC Data'!$B:$B,Summary!$C250)</f>
        <v>0</v>
      </c>
      <c r="P250" s="65">
        <f ca="1">SUMIFS(OFFSET('BPC Data'!$F:$F,0,Summary!P$2),'BPC Data'!$E:$E,Summary!$D250,'BPC Data'!$B:$B,Summary!$C250)</f>
        <v>0</v>
      </c>
      <c r="Q250" s="61">
        <f ca="1">SUMIFS(OFFSET('BPC Data'!$F:$F,0,Summary!Q$2),'BPC Data'!$E:$E,Summary!$D250,'BPC Data'!$B:$B,Summary!$C250)</f>
        <v>0</v>
      </c>
      <c r="R250" s="65">
        <f ca="1">SUMIFS(OFFSET('BPC Data'!$F:$F,0,Summary!R$2),'BPC Data'!$E:$E,Summary!$D250,'BPC Data'!$B:$B,Summary!$C250)</f>
        <v>0</v>
      </c>
      <c r="S250" s="23"/>
      <c r="T250" s="76"/>
      <c r="AJ250" s="49"/>
      <c r="AK250" s="49"/>
      <c r="AL250" s="49"/>
      <c r="AM250" s="49"/>
      <c r="AN250" s="49"/>
      <c r="AO250" s="49"/>
      <c r="AP250" s="49"/>
      <c r="AQ250" s="49"/>
      <c r="AR250" s="49"/>
      <c r="AS250" s="49"/>
      <c r="AT250" s="49"/>
      <c r="AU250" s="49"/>
    </row>
    <row r="251" spans="1:47" s="12" customFormat="1" hidden="1" outlineLevel="1">
      <c r="A251" s="12">
        <f>IF(AND(D251&lt;&gt;"",C251=""),A250+1,A250)</f>
        <v>23</v>
      </c>
      <c r="B251" s="5"/>
      <c r="C251" s="5"/>
      <c r="D251" s="5" t="str">
        <f t="shared" si="433"/>
        <v>x</v>
      </c>
      <c r="E251" s="5"/>
      <c r="F251" s="18">
        <f>INDEX(PropertyList!$D:$D,MATCH(Summary!$A251,PropertyList!$C:$C,0))</f>
        <v>0</v>
      </c>
      <c r="G251" s="61">
        <f ca="1">SUMIFS(OFFSET('BPC Data'!$F:$F,0,Summary!G$2),'BPC Data'!$E:$E,Summary!$D251,'BPC Data'!$B:$B,Summary!$C251)</f>
        <v>0</v>
      </c>
      <c r="H251" s="65">
        <f ca="1">SUMIFS(OFFSET('BPC Data'!$F:$F,0,Summary!H$2),'BPC Data'!$E:$E,Summary!$D251,'BPC Data'!$B:$B,Summary!$C251)</f>
        <v>0</v>
      </c>
      <c r="I251" s="61">
        <f ca="1">SUMIFS(OFFSET('BPC Data'!$F:$F,0,Summary!I$2),'BPC Data'!$E:$E,Summary!$D251,'BPC Data'!$B:$B,Summary!$C251)</f>
        <v>0</v>
      </c>
      <c r="J251" s="65">
        <f ca="1">SUMIFS(OFFSET('BPC Data'!$F:$F,0,Summary!J$2),'BPC Data'!$E:$E,Summary!$D251,'BPC Data'!$B:$B,Summary!$C251)</f>
        <v>0</v>
      </c>
      <c r="K251" s="61">
        <f ca="1">SUMIFS(OFFSET('BPC Data'!$F:$F,0,Summary!K$2),'BPC Data'!$E:$E,Summary!$D251,'BPC Data'!$B:$B,Summary!$C251)</f>
        <v>0</v>
      </c>
      <c r="L251" s="65">
        <f ca="1">SUMIFS(OFFSET('BPC Data'!$F:$F,0,Summary!L$2),'BPC Data'!$E:$E,Summary!$D251,'BPC Data'!$B:$B,Summary!$C251)</f>
        <v>0</v>
      </c>
      <c r="M251" s="61">
        <f ca="1">SUMIFS(OFFSET('BPC Data'!$F:$F,0,Summary!M$2),'BPC Data'!$E:$E,Summary!$D251,'BPC Data'!$B:$B,Summary!$C251)</f>
        <v>0</v>
      </c>
      <c r="N251" s="65">
        <f ca="1">SUMIFS(OFFSET('BPC Data'!$F:$F,0,Summary!N$2),'BPC Data'!$E:$E,Summary!$D251,'BPC Data'!$B:$B,Summary!$C251)</f>
        <v>0</v>
      </c>
      <c r="O251" s="61">
        <f ca="1">SUMIFS(OFFSET('BPC Data'!$F:$F,0,Summary!O$2),'BPC Data'!$E:$E,Summary!$D251,'BPC Data'!$B:$B,Summary!$C251)</f>
        <v>0</v>
      </c>
      <c r="P251" s="65">
        <f ca="1">SUMIFS(OFFSET('BPC Data'!$F:$F,0,Summary!P$2),'BPC Data'!$E:$E,Summary!$D251,'BPC Data'!$B:$B,Summary!$C251)</f>
        <v>0</v>
      </c>
      <c r="Q251" s="61">
        <f ca="1">SUMIFS(OFFSET('BPC Data'!$F:$F,0,Summary!Q$2),'BPC Data'!$E:$E,Summary!$D251,'BPC Data'!$B:$B,Summary!$C251)</f>
        <v>0</v>
      </c>
      <c r="R251" s="65">
        <f ca="1">SUMIFS(OFFSET('BPC Data'!$F:$F,0,Summary!R$2),'BPC Data'!$E:$E,Summary!$D251,'BPC Data'!$B:$B,Summary!$C251)</f>
        <v>0</v>
      </c>
      <c r="S251" s="23"/>
      <c r="T251" s="76"/>
      <c r="AJ251" s="49"/>
      <c r="AK251" s="49"/>
      <c r="AL251" s="49"/>
      <c r="AM251" s="49"/>
      <c r="AN251" s="49"/>
      <c r="AO251" s="49"/>
      <c r="AP251" s="49"/>
      <c r="AQ251" s="49"/>
      <c r="AR251" s="49"/>
      <c r="AS251" s="49"/>
      <c r="AT251" s="49"/>
      <c r="AU251" s="49"/>
    </row>
    <row r="252" spans="1:47" s="12" customFormat="1" hidden="1" outlineLevel="1">
      <c r="A252" s="12">
        <f>IF(AND(F252&lt;&gt;"",D252=""),A251+1,A251)</f>
        <v>23</v>
      </c>
      <c r="C252">
        <f>$F251</f>
        <v>0</v>
      </c>
      <c r="D252" s="3" t="str">
        <f t="shared" si="433"/>
        <v>PAY_PAT_DAYS - Total Payor Patient Days</v>
      </c>
      <c r="F252" s="19" t="str">
        <f>_xll.EVDES(D252)</f>
        <v>Total Payor Patient Days</v>
      </c>
      <c r="G252" s="61">
        <f ca="1">SUMIFS(OFFSET('BPC Data'!$F:$F,0,Summary!G$2),'BPC Data'!$E:$E,Summary!$D252,'BPC Data'!$B:$B,Summary!$C252)</f>
        <v>0</v>
      </c>
      <c r="H252" s="65">
        <f ca="1">SUMIFS(OFFSET('BPC Data'!$F:$F,0,Summary!H$2),'BPC Data'!$E:$E,Summary!$D252,'BPC Data'!$B:$B,Summary!$C252)</f>
        <v>0</v>
      </c>
      <c r="I252" s="61">
        <f ca="1">SUMIFS(OFFSET('BPC Data'!$F:$F,0,Summary!I$2),'BPC Data'!$E:$E,Summary!$D252,'BPC Data'!$B:$B,Summary!$C252)</f>
        <v>0</v>
      </c>
      <c r="J252" s="65">
        <f ca="1">SUMIFS(OFFSET('BPC Data'!$F:$F,0,Summary!J$2),'BPC Data'!$E:$E,Summary!$D252,'BPC Data'!$B:$B,Summary!$C252)</f>
        <v>0</v>
      </c>
      <c r="K252" s="61">
        <f ca="1">SUMIFS(OFFSET('BPC Data'!$F:$F,0,Summary!K$2),'BPC Data'!$E:$E,Summary!$D252,'BPC Data'!$B:$B,Summary!$C252)</f>
        <v>0</v>
      </c>
      <c r="L252" s="65">
        <f ca="1">SUMIFS(OFFSET('BPC Data'!$F:$F,0,Summary!L$2),'BPC Data'!$E:$E,Summary!$D252,'BPC Data'!$B:$B,Summary!$C252)</f>
        <v>0</v>
      </c>
      <c r="M252" s="61">
        <f ca="1">SUMIFS(OFFSET('BPC Data'!$F:$F,0,Summary!M$2),'BPC Data'!$E:$E,Summary!$D252,'BPC Data'!$B:$B,Summary!$C252)</f>
        <v>0</v>
      </c>
      <c r="N252" s="65">
        <f ca="1">SUMIFS(OFFSET('BPC Data'!$F:$F,0,Summary!N$2),'BPC Data'!$E:$E,Summary!$D252,'BPC Data'!$B:$B,Summary!$C252)</f>
        <v>0</v>
      </c>
      <c r="O252" s="61">
        <f ca="1">SUMIFS(OFFSET('BPC Data'!$F:$F,0,Summary!O$2),'BPC Data'!$E:$E,Summary!$D252,'BPC Data'!$B:$B,Summary!$C252)</f>
        <v>0</v>
      </c>
      <c r="P252" s="65">
        <f ca="1">SUMIFS(OFFSET('BPC Data'!$F:$F,0,Summary!P$2),'BPC Data'!$E:$E,Summary!$D252,'BPC Data'!$B:$B,Summary!$C252)</f>
        <v>0</v>
      </c>
      <c r="Q252" s="61">
        <f ca="1">SUMIFS(OFFSET('BPC Data'!$F:$F,0,Summary!Q$2),'BPC Data'!$E:$E,Summary!$D252,'BPC Data'!$B:$B,Summary!$C252)</f>
        <v>0</v>
      </c>
      <c r="R252" s="65">
        <f ca="1">SUMIFS(OFFSET('BPC Data'!$F:$F,0,Summary!R$2),'BPC Data'!$E:$E,Summary!$D252,'BPC Data'!$B:$B,Summary!$C252)</f>
        <v>0</v>
      </c>
      <c r="S252" s="23"/>
      <c r="T252" s="76"/>
      <c r="AJ252" s="49"/>
      <c r="AK252" s="49"/>
      <c r="AL252" s="49"/>
      <c r="AM252" s="49"/>
      <c r="AN252" s="49"/>
      <c r="AO252" s="49"/>
      <c r="AP252" s="49"/>
      <c r="AQ252" s="49"/>
      <c r="AR252" s="49"/>
      <c r="AS252" s="49"/>
      <c r="AT252" s="49"/>
      <c r="AU252" s="49"/>
    </row>
    <row r="253" spans="1:47" s="12" customFormat="1" hidden="1" outlineLevel="1">
      <c r="A253" s="12">
        <f t="shared" ref="A253:A261" si="443">IF(AND(F253&lt;&gt;"",D253=""),A252+1,A252)</f>
        <v>23</v>
      </c>
      <c r="C253">
        <f>$F251</f>
        <v>0</v>
      </c>
      <c r="D253" s="3" t="str">
        <f t="shared" si="433"/>
        <v>A_BEDS_TOTAL - Total Available Beds</v>
      </c>
      <c r="F253" s="19" t="str">
        <f>_xll.EVDES(D253)</f>
        <v>Total Available Beds</v>
      </c>
      <c r="G253" s="61">
        <f ca="1">SUMIFS(OFFSET('BPC Data'!$F:$F,0,Summary!G$2),'BPC Data'!$E:$E,Summary!$D253,'BPC Data'!$B:$B,Summary!$C253)</f>
        <v>0</v>
      </c>
      <c r="H253" s="65">
        <f ca="1">SUMIFS(OFFSET('BPC Data'!$F:$F,0,Summary!H$2),'BPC Data'!$E:$E,Summary!$D253,'BPC Data'!$B:$B,Summary!$C253)</f>
        <v>0</v>
      </c>
      <c r="I253" s="61">
        <f ca="1">SUMIFS(OFFSET('BPC Data'!$F:$F,0,Summary!I$2),'BPC Data'!$E:$E,Summary!$D253,'BPC Data'!$B:$B,Summary!$C253)</f>
        <v>0</v>
      </c>
      <c r="J253" s="65">
        <f ca="1">SUMIFS(OFFSET('BPC Data'!$F:$F,0,Summary!J$2),'BPC Data'!$E:$E,Summary!$D253,'BPC Data'!$B:$B,Summary!$C253)</f>
        <v>0</v>
      </c>
      <c r="K253" s="61">
        <f ca="1">SUMIFS(OFFSET('BPC Data'!$F:$F,0,Summary!K$2),'BPC Data'!$E:$E,Summary!$D253,'BPC Data'!$B:$B,Summary!$C253)</f>
        <v>0</v>
      </c>
      <c r="L253" s="65">
        <f ca="1">SUMIFS(OFFSET('BPC Data'!$F:$F,0,Summary!L$2),'BPC Data'!$E:$E,Summary!$D253,'BPC Data'!$B:$B,Summary!$C253)</f>
        <v>0</v>
      </c>
      <c r="M253" s="61">
        <f ca="1">SUMIFS(OFFSET('BPC Data'!$F:$F,0,Summary!M$2),'BPC Data'!$E:$E,Summary!$D253,'BPC Data'!$B:$B,Summary!$C253)</f>
        <v>0</v>
      </c>
      <c r="N253" s="65">
        <f ca="1">SUMIFS(OFFSET('BPC Data'!$F:$F,0,Summary!N$2),'BPC Data'!$E:$E,Summary!$D253,'BPC Data'!$B:$B,Summary!$C253)</f>
        <v>0</v>
      </c>
      <c r="O253" s="61">
        <f ca="1">SUMIFS(OFFSET('BPC Data'!$F:$F,0,Summary!O$2),'BPC Data'!$E:$E,Summary!$D253,'BPC Data'!$B:$B,Summary!$C253)</f>
        <v>0</v>
      </c>
      <c r="P253" s="65">
        <f ca="1">SUMIFS(OFFSET('BPC Data'!$F:$F,0,Summary!P$2),'BPC Data'!$E:$E,Summary!$D253,'BPC Data'!$B:$B,Summary!$C253)</f>
        <v>0</v>
      </c>
      <c r="Q253" s="61">
        <f ca="1">SUMIFS(OFFSET('BPC Data'!$F:$F,0,Summary!Q$2),'BPC Data'!$E:$E,Summary!$D253,'BPC Data'!$B:$B,Summary!$C253)</f>
        <v>0</v>
      </c>
      <c r="R253" s="65">
        <f ca="1">SUMIFS(OFFSET('BPC Data'!$F:$F,0,Summary!R$2),'BPC Data'!$E:$E,Summary!$D253,'BPC Data'!$B:$B,Summary!$C253)</f>
        <v>0</v>
      </c>
      <c r="S253" s="23"/>
      <c r="T253" s="76"/>
      <c r="AJ253" s="49"/>
      <c r="AK253" s="49"/>
      <c r="AL253" s="49"/>
      <c r="AM253" s="49"/>
      <c r="AN253" s="49"/>
      <c r="AO253" s="49"/>
      <c r="AP253" s="49"/>
      <c r="AQ253" s="49"/>
      <c r="AR253" s="49"/>
      <c r="AS253" s="49"/>
      <c r="AT253" s="49"/>
      <c r="AU253" s="49"/>
    </row>
    <row r="254" spans="1:47" s="12" customFormat="1" hidden="1" outlineLevel="1">
      <c r="A254" s="12">
        <f t="shared" si="443"/>
        <v>23</v>
      </c>
      <c r="B254"/>
      <c r="C254">
        <f>$F251</f>
        <v>0</v>
      </c>
      <c r="D254" s="3" t="str">
        <f t="shared" si="433"/>
        <v>T_REVENUES - Total Tenant Revenues</v>
      </c>
      <c r="E254"/>
      <c r="F254" s="19" t="str">
        <f>_xll.EVDES(D254)</f>
        <v>Total Tenant Revenues</v>
      </c>
      <c r="G254" s="61">
        <f ca="1">SUMIFS(OFFSET('BPC Data'!$F:$F,0,Summary!G$2),'BPC Data'!$E:$E,Summary!$D254,'BPC Data'!$B:$B,Summary!$C254)</f>
        <v>0</v>
      </c>
      <c r="H254" s="65">
        <f ca="1">SUMIFS(OFFSET('BPC Data'!$F:$F,0,Summary!H$2),'BPC Data'!$E:$E,Summary!$D254,'BPC Data'!$B:$B,Summary!$C254)</f>
        <v>0</v>
      </c>
      <c r="I254" s="61">
        <f ca="1">SUMIFS(OFFSET('BPC Data'!$F:$F,0,Summary!I$2),'BPC Data'!$E:$E,Summary!$D254,'BPC Data'!$B:$B,Summary!$C254)</f>
        <v>0</v>
      </c>
      <c r="J254" s="65">
        <f ca="1">SUMIFS(OFFSET('BPC Data'!$F:$F,0,Summary!J$2),'BPC Data'!$E:$E,Summary!$D254,'BPC Data'!$B:$B,Summary!$C254)</f>
        <v>0</v>
      </c>
      <c r="K254" s="61">
        <f ca="1">SUMIFS(OFFSET('BPC Data'!$F:$F,0,Summary!K$2),'BPC Data'!$E:$E,Summary!$D254,'BPC Data'!$B:$B,Summary!$C254)</f>
        <v>0</v>
      </c>
      <c r="L254" s="65">
        <f ca="1">SUMIFS(OFFSET('BPC Data'!$F:$F,0,Summary!L$2),'BPC Data'!$E:$E,Summary!$D254,'BPC Data'!$B:$B,Summary!$C254)</f>
        <v>0</v>
      </c>
      <c r="M254" s="61">
        <f ca="1">SUMIFS(OFFSET('BPC Data'!$F:$F,0,Summary!M$2),'BPC Data'!$E:$E,Summary!$D254,'BPC Data'!$B:$B,Summary!$C254)</f>
        <v>0</v>
      </c>
      <c r="N254" s="65">
        <f ca="1">SUMIFS(OFFSET('BPC Data'!$F:$F,0,Summary!N$2),'BPC Data'!$E:$E,Summary!$D254,'BPC Data'!$B:$B,Summary!$C254)</f>
        <v>0</v>
      </c>
      <c r="O254" s="61">
        <f ca="1">SUMIFS(OFFSET('BPC Data'!$F:$F,0,Summary!O$2),'BPC Data'!$E:$E,Summary!$D254,'BPC Data'!$B:$B,Summary!$C254)</f>
        <v>0</v>
      </c>
      <c r="P254" s="65">
        <f ca="1">SUMIFS(OFFSET('BPC Data'!$F:$F,0,Summary!P$2),'BPC Data'!$E:$E,Summary!$D254,'BPC Data'!$B:$B,Summary!$C254)</f>
        <v>0</v>
      </c>
      <c r="Q254" s="61">
        <f ca="1">SUMIFS(OFFSET('BPC Data'!$F:$F,0,Summary!Q$2),'BPC Data'!$E:$E,Summary!$D254,'BPC Data'!$B:$B,Summary!$C254)</f>
        <v>0</v>
      </c>
      <c r="R254" s="65">
        <f ca="1">SUMIFS(OFFSET('BPC Data'!$F:$F,0,Summary!R$2),'BPC Data'!$E:$E,Summary!$D254,'BPC Data'!$B:$B,Summary!$C254)</f>
        <v>0</v>
      </c>
      <c r="S254" s="23"/>
      <c r="T254" s="76"/>
      <c r="AJ254" s="49"/>
      <c r="AK254" s="49"/>
      <c r="AL254" s="49"/>
      <c r="AM254" s="49"/>
      <c r="AN254" s="49"/>
      <c r="AO254" s="49"/>
      <c r="AP254" s="49"/>
      <c r="AQ254" s="49"/>
      <c r="AR254" s="49"/>
      <c r="AS254" s="49"/>
      <c r="AT254" s="49"/>
      <c r="AU254" s="49"/>
    </row>
    <row r="255" spans="1:47" s="12" customFormat="1" hidden="1" outlineLevel="1">
      <c r="A255" s="12">
        <f t="shared" si="443"/>
        <v>23</v>
      </c>
      <c r="B255"/>
      <c r="C255">
        <f>$F251</f>
        <v>0</v>
      </c>
      <c r="D255" s="3" t="str">
        <f t="shared" si="433"/>
        <v>T_OPEX - Tenant Operating Expenses</v>
      </c>
      <c r="E255"/>
      <c r="F255" s="19" t="str">
        <f>_xll.EVDES(D255)</f>
        <v>Tenant Operating Expenses</v>
      </c>
      <c r="G255" s="61">
        <f ca="1">SUMIFS(OFFSET('BPC Data'!$F:$F,0,Summary!G$2),'BPC Data'!$E:$E,Summary!$D255,'BPC Data'!$B:$B,Summary!$C255)</f>
        <v>0</v>
      </c>
      <c r="H255" s="65">
        <f ca="1">SUMIFS(OFFSET('BPC Data'!$F:$F,0,Summary!H$2),'BPC Data'!$E:$E,Summary!$D255,'BPC Data'!$B:$B,Summary!$C255)</f>
        <v>0</v>
      </c>
      <c r="I255" s="61">
        <f ca="1">SUMIFS(OFFSET('BPC Data'!$F:$F,0,Summary!I$2),'BPC Data'!$E:$E,Summary!$D255,'BPC Data'!$B:$B,Summary!$C255)</f>
        <v>0</v>
      </c>
      <c r="J255" s="65">
        <f ca="1">SUMIFS(OFFSET('BPC Data'!$F:$F,0,Summary!J$2),'BPC Data'!$E:$E,Summary!$D255,'BPC Data'!$B:$B,Summary!$C255)</f>
        <v>0</v>
      </c>
      <c r="K255" s="61">
        <f ca="1">SUMIFS(OFFSET('BPC Data'!$F:$F,0,Summary!K$2),'BPC Data'!$E:$E,Summary!$D255,'BPC Data'!$B:$B,Summary!$C255)</f>
        <v>0</v>
      </c>
      <c r="L255" s="65">
        <f ca="1">SUMIFS(OFFSET('BPC Data'!$F:$F,0,Summary!L$2),'BPC Data'!$E:$E,Summary!$D255,'BPC Data'!$B:$B,Summary!$C255)</f>
        <v>0</v>
      </c>
      <c r="M255" s="61">
        <f ca="1">SUMIFS(OFFSET('BPC Data'!$F:$F,0,Summary!M$2),'BPC Data'!$E:$E,Summary!$D255,'BPC Data'!$B:$B,Summary!$C255)</f>
        <v>0</v>
      </c>
      <c r="N255" s="65">
        <f ca="1">SUMIFS(OFFSET('BPC Data'!$F:$F,0,Summary!N$2),'BPC Data'!$E:$E,Summary!$D255,'BPC Data'!$B:$B,Summary!$C255)</f>
        <v>0</v>
      </c>
      <c r="O255" s="61">
        <f ca="1">SUMIFS(OFFSET('BPC Data'!$F:$F,0,Summary!O$2),'BPC Data'!$E:$E,Summary!$D255,'BPC Data'!$B:$B,Summary!$C255)</f>
        <v>0</v>
      </c>
      <c r="P255" s="65">
        <f ca="1">SUMIFS(OFFSET('BPC Data'!$F:$F,0,Summary!P$2),'BPC Data'!$E:$E,Summary!$D255,'BPC Data'!$B:$B,Summary!$C255)</f>
        <v>0</v>
      </c>
      <c r="Q255" s="61">
        <f ca="1">SUMIFS(OFFSET('BPC Data'!$F:$F,0,Summary!Q$2),'BPC Data'!$E:$E,Summary!$D255,'BPC Data'!$B:$B,Summary!$C255)</f>
        <v>0</v>
      </c>
      <c r="R255" s="65">
        <f ca="1">SUMIFS(OFFSET('BPC Data'!$F:$F,0,Summary!R$2),'BPC Data'!$E:$E,Summary!$D255,'BPC Data'!$B:$B,Summary!$C255)</f>
        <v>0</v>
      </c>
      <c r="S255" s="23"/>
      <c r="T255" s="76"/>
      <c r="AJ255" s="49"/>
      <c r="AK255" s="49"/>
      <c r="AL255" s="49"/>
      <c r="AM255" s="49"/>
      <c r="AN255" s="49"/>
      <c r="AO255" s="49"/>
      <c r="AP255" s="49"/>
      <c r="AQ255" s="49"/>
      <c r="AR255" s="49"/>
      <c r="AS255" s="49"/>
      <c r="AT255" s="49"/>
      <c r="AU255" s="49"/>
    </row>
    <row r="256" spans="1:47" s="12" customFormat="1" hidden="1" outlineLevel="1">
      <c r="A256" s="12">
        <f t="shared" si="443"/>
        <v>23</v>
      </c>
      <c r="B256"/>
      <c r="C256">
        <f>$F251</f>
        <v>0</v>
      </c>
      <c r="D256" s="3" t="str">
        <f t="shared" si="433"/>
        <v>T_BAD_DEBT - Tenant Bad Debt Expense</v>
      </c>
      <c r="E256"/>
      <c r="F256" s="19" t="str">
        <f>_xll.EVDES(D256)</f>
        <v>Tenant Bad Debt Expense</v>
      </c>
      <c r="G256" s="61">
        <f ca="1">SUMIFS(OFFSET('BPC Data'!$F:$F,0,Summary!G$2),'BPC Data'!$E:$E,Summary!$D256,'BPC Data'!$B:$B,Summary!$C256)</f>
        <v>0</v>
      </c>
      <c r="H256" s="65">
        <f ca="1">SUMIFS(OFFSET('BPC Data'!$F:$F,0,Summary!H$2),'BPC Data'!$E:$E,Summary!$D256,'BPC Data'!$B:$B,Summary!$C256)</f>
        <v>0</v>
      </c>
      <c r="I256" s="61">
        <f ca="1">SUMIFS(OFFSET('BPC Data'!$F:$F,0,Summary!I$2),'BPC Data'!$E:$E,Summary!$D256,'BPC Data'!$B:$B,Summary!$C256)</f>
        <v>0</v>
      </c>
      <c r="J256" s="65">
        <f ca="1">SUMIFS(OFFSET('BPC Data'!$F:$F,0,Summary!J$2),'BPC Data'!$E:$E,Summary!$D256,'BPC Data'!$B:$B,Summary!$C256)</f>
        <v>0</v>
      </c>
      <c r="K256" s="61">
        <f ca="1">SUMIFS(OFFSET('BPC Data'!$F:$F,0,Summary!K$2),'BPC Data'!$E:$E,Summary!$D256,'BPC Data'!$B:$B,Summary!$C256)</f>
        <v>0</v>
      </c>
      <c r="L256" s="65">
        <f ca="1">SUMIFS(OFFSET('BPC Data'!$F:$F,0,Summary!L$2),'BPC Data'!$E:$E,Summary!$D256,'BPC Data'!$B:$B,Summary!$C256)</f>
        <v>0</v>
      </c>
      <c r="M256" s="61">
        <f ca="1">SUMIFS(OFFSET('BPC Data'!$F:$F,0,Summary!M$2),'BPC Data'!$E:$E,Summary!$D256,'BPC Data'!$B:$B,Summary!$C256)</f>
        <v>0</v>
      </c>
      <c r="N256" s="65">
        <f ca="1">SUMIFS(OFFSET('BPC Data'!$F:$F,0,Summary!N$2),'BPC Data'!$E:$E,Summary!$D256,'BPC Data'!$B:$B,Summary!$C256)</f>
        <v>0</v>
      </c>
      <c r="O256" s="61">
        <f ca="1">SUMIFS(OFFSET('BPC Data'!$F:$F,0,Summary!O$2),'BPC Data'!$E:$E,Summary!$D256,'BPC Data'!$B:$B,Summary!$C256)</f>
        <v>0</v>
      </c>
      <c r="P256" s="65">
        <f ca="1">SUMIFS(OFFSET('BPC Data'!$F:$F,0,Summary!P$2),'BPC Data'!$E:$E,Summary!$D256,'BPC Data'!$B:$B,Summary!$C256)</f>
        <v>0</v>
      </c>
      <c r="Q256" s="61">
        <f ca="1">SUMIFS(OFFSET('BPC Data'!$F:$F,0,Summary!Q$2),'BPC Data'!$E:$E,Summary!$D256,'BPC Data'!$B:$B,Summary!$C256)</f>
        <v>0</v>
      </c>
      <c r="R256" s="65">
        <f ca="1">SUMIFS(OFFSET('BPC Data'!$F:$F,0,Summary!R$2),'BPC Data'!$E:$E,Summary!$D256,'BPC Data'!$B:$B,Summary!$C256)</f>
        <v>0</v>
      </c>
      <c r="S256" s="23"/>
      <c r="T256" s="76"/>
      <c r="AJ256" s="49"/>
      <c r="AK256" s="49"/>
      <c r="AL256" s="49"/>
      <c r="AM256" s="49"/>
      <c r="AN256" s="49"/>
      <c r="AO256" s="49"/>
      <c r="AP256" s="49"/>
      <c r="AQ256" s="49"/>
      <c r="AR256" s="49"/>
      <c r="AS256" s="49"/>
      <c r="AT256" s="49"/>
      <c r="AU256" s="49"/>
    </row>
    <row r="257" spans="1:47" s="12" customFormat="1" hidden="1" outlineLevel="1">
      <c r="A257" s="12">
        <f t="shared" si="443"/>
        <v>23</v>
      </c>
      <c r="B257"/>
      <c r="C257">
        <f>$F251</f>
        <v>0</v>
      </c>
      <c r="D257" s="2" t="str">
        <f t="shared" si="433"/>
        <v>T_EBITDARM - EBITDARM</v>
      </c>
      <c r="E257"/>
      <c r="F257" s="19" t="str">
        <f>_xll.EVDES(D257)</f>
        <v>EBITDARM</v>
      </c>
      <c r="G257" s="61">
        <f ca="1">SUMIFS(OFFSET('BPC Data'!$F:$F,0,Summary!G$2),'BPC Data'!$E:$E,Summary!$D257,'BPC Data'!$B:$B,Summary!$C257)</f>
        <v>0</v>
      </c>
      <c r="H257" s="65">
        <f ca="1">SUMIFS(OFFSET('BPC Data'!$F:$F,0,Summary!H$2),'BPC Data'!$E:$E,Summary!$D257,'BPC Data'!$B:$B,Summary!$C257)</f>
        <v>0</v>
      </c>
      <c r="I257" s="61">
        <f ca="1">SUMIFS(OFFSET('BPC Data'!$F:$F,0,Summary!I$2),'BPC Data'!$E:$E,Summary!$D257,'BPC Data'!$B:$B,Summary!$C257)</f>
        <v>0</v>
      </c>
      <c r="J257" s="65">
        <f ca="1">SUMIFS(OFFSET('BPC Data'!$F:$F,0,Summary!J$2),'BPC Data'!$E:$E,Summary!$D257,'BPC Data'!$B:$B,Summary!$C257)</f>
        <v>0</v>
      </c>
      <c r="K257" s="61">
        <f ca="1">SUMIFS(OFFSET('BPC Data'!$F:$F,0,Summary!K$2),'BPC Data'!$E:$E,Summary!$D257,'BPC Data'!$B:$B,Summary!$C257)</f>
        <v>0</v>
      </c>
      <c r="L257" s="65">
        <f ca="1">SUMIFS(OFFSET('BPC Data'!$F:$F,0,Summary!L$2),'BPC Data'!$E:$E,Summary!$D257,'BPC Data'!$B:$B,Summary!$C257)</f>
        <v>0</v>
      </c>
      <c r="M257" s="61">
        <f ca="1">SUMIFS(OFFSET('BPC Data'!$F:$F,0,Summary!M$2),'BPC Data'!$E:$E,Summary!$D257,'BPC Data'!$B:$B,Summary!$C257)</f>
        <v>0</v>
      </c>
      <c r="N257" s="65">
        <f ca="1">SUMIFS(OFFSET('BPC Data'!$F:$F,0,Summary!N$2),'BPC Data'!$E:$E,Summary!$D257,'BPC Data'!$B:$B,Summary!$C257)</f>
        <v>0</v>
      </c>
      <c r="O257" s="61">
        <f ca="1">SUMIFS(OFFSET('BPC Data'!$F:$F,0,Summary!O$2),'BPC Data'!$E:$E,Summary!$D257,'BPC Data'!$B:$B,Summary!$C257)</f>
        <v>0</v>
      </c>
      <c r="P257" s="65">
        <f ca="1">SUMIFS(OFFSET('BPC Data'!$F:$F,0,Summary!P$2),'BPC Data'!$E:$E,Summary!$D257,'BPC Data'!$B:$B,Summary!$C257)</f>
        <v>0</v>
      </c>
      <c r="Q257" s="61">
        <f ca="1">SUMIFS(OFFSET('BPC Data'!$F:$F,0,Summary!Q$2),'BPC Data'!$E:$E,Summary!$D257,'BPC Data'!$B:$B,Summary!$C257)</f>
        <v>0</v>
      </c>
      <c r="R257" s="65">
        <f ca="1">SUMIFS(OFFSET('BPC Data'!$F:$F,0,Summary!R$2),'BPC Data'!$E:$E,Summary!$D257,'BPC Data'!$B:$B,Summary!$C257)</f>
        <v>0</v>
      </c>
      <c r="S257" s="23"/>
      <c r="T257" s="76"/>
      <c r="AJ257" s="49"/>
      <c r="AK257" s="49"/>
      <c r="AL257" s="49"/>
      <c r="AM257" s="49"/>
      <c r="AN257" s="49"/>
      <c r="AO257" s="49"/>
      <c r="AP257" s="49"/>
      <c r="AQ257" s="49"/>
      <c r="AR257" s="49"/>
      <c r="AS257" s="49"/>
      <c r="AT257" s="49"/>
      <c r="AU257" s="49"/>
    </row>
    <row r="258" spans="1:47" s="12" customFormat="1" hidden="1" outlineLevel="1">
      <c r="A258" s="12">
        <f t="shared" si="443"/>
        <v>23</v>
      </c>
      <c r="B258"/>
      <c r="C258">
        <f>$F251</f>
        <v>0</v>
      </c>
      <c r="D258" s="2" t="str">
        <f t="shared" si="433"/>
        <v>T_MGMT_FEE - Tenant Management Fee - Actual</v>
      </c>
      <c r="E258"/>
      <c r="F258" s="19" t="str">
        <f>_xll.EVDES(D258)</f>
        <v>Tenant Management Fee - Actual</v>
      </c>
      <c r="G258" s="61">
        <f ca="1">SUMIFS(OFFSET('BPC Data'!$F:$F,0,Summary!G$2),'BPC Data'!$E:$E,Summary!$D258,'BPC Data'!$B:$B,Summary!$C258)</f>
        <v>0</v>
      </c>
      <c r="H258" s="65">
        <f ca="1">SUMIFS(OFFSET('BPC Data'!$F:$F,0,Summary!H$2),'BPC Data'!$E:$E,Summary!$D258,'BPC Data'!$B:$B,Summary!$C258)</f>
        <v>0</v>
      </c>
      <c r="I258" s="61">
        <f ca="1">SUMIFS(OFFSET('BPC Data'!$F:$F,0,Summary!I$2),'BPC Data'!$E:$E,Summary!$D258,'BPC Data'!$B:$B,Summary!$C258)</f>
        <v>0</v>
      </c>
      <c r="J258" s="65">
        <f ca="1">SUMIFS(OFFSET('BPC Data'!$F:$F,0,Summary!J$2),'BPC Data'!$E:$E,Summary!$D258,'BPC Data'!$B:$B,Summary!$C258)</f>
        <v>0</v>
      </c>
      <c r="K258" s="61">
        <f ca="1">SUMIFS(OFFSET('BPC Data'!$F:$F,0,Summary!K$2),'BPC Data'!$E:$E,Summary!$D258,'BPC Data'!$B:$B,Summary!$C258)</f>
        <v>0</v>
      </c>
      <c r="L258" s="65">
        <f ca="1">SUMIFS(OFFSET('BPC Data'!$F:$F,0,Summary!L$2),'BPC Data'!$E:$E,Summary!$D258,'BPC Data'!$B:$B,Summary!$C258)</f>
        <v>0</v>
      </c>
      <c r="M258" s="61">
        <f ca="1">SUMIFS(OFFSET('BPC Data'!$F:$F,0,Summary!M$2),'BPC Data'!$E:$E,Summary!$D258,'BPC Data'!$B:$B,Summary!$C258)</f>
        <v>0</v>
      </c>
      <c r="N258" s="65">
        <f ca="1">SUMIFS(OFFSET('BPC Data'!$F:$F,0,Summary!N$2),'BPC Data'!$E:$E,Summary!$D258,'BPC Data'!$B:$B,Summary!$C258)</f>
        <v>0</v>
      </c>
      <c r="O258" s="61">
        <f ca="1">SUMIFS(OFFSET('BPC Data'!$F:$F,0,Summary!O$2),'BPC Data'!$E:$E,Summary!$D258,'BPC Data'!$B:$B,Summary!$C258)</f>
        <v>0</v>
      </c>
      <c r="P258" s="65">
        <f ca="1">SUMIFS(OFFSET('BPC Data'!$F:$F,0,Summary!P$2),'BPC Data'!$E:$E,Summary!$D258,'BPC Data'!$B:$B,Summary!$C258)</f>
        <v>0</v>
      </c>
      <c r="Q258" s="61">
        <f ca="1">SUMIFS(OFFSET('BPC Data'!$F:$F,0,Summary!Q$2),'BPC Data'!$E:$E,Summary!$D258,'BPC Data'!$B:$B,Summary!$C258)</f>
        <v>0</v>
      </c>
      <c r="R258" s="65">
        <f ca="1">SUMIFS(OFFSET('BPC Data'!$F:$F,0,Summary!R$2),'BPC Data'!$E:$E,Summary!$D258,'BPC Data'!$B:$B,Summary!$C258)</f>
        <v>0</v>
      </c>
      <c r="S258" s="23"/>
      <c r="T258" s="76"/>
      <c r="AJ258" s="49"/>
      <c r="AK258" s="49"/>
      <c r="AL258" s="49"/>
      <c r="AM258" s="49"/>
      <c r="AN258" s="49"/>
      <c r="AO258" s="49"/>
      <c r="AP258" s="49"/>
      <c r="AQ258" s="49"/>
      <c r="AR258" s="49"/>
      <c r="AS258" s="49"/>
      <c r="AT258" s="49"/>
      <c r="AU258" s="49"/>
    </row>
    <row r="259" spans="1:47" s="12" customFormat="1" hidden="1" outlineLevel="1">
      <c r="A259" s="12">
        <f t="shared" si="443"/>
        <v>23</v>
      </c>
      <c r="B259"/>
      <c r="C259">
        <f>$F251</f>
        <v>0</v>
      </c>
      <c r="D259" s="1" t="str">
        <f t="shared" si="433"/>
        <v>T_EBITDAR - EBITDAR</v>
      </c>
      <c r="E259"/>
      <c r="F259" s="19" t="str">
        <f>_xll.EVDES(D259)</f>
        <v>EBITDAR</v>
      </c>
      <c r="G259" s="61">
        <f ca="1">SUMIFS(OFFSET('BPC Data'!$F:$F,0,Summary!G$2),'BPC Data'!$E:$E,Summary!$D259,'BPC Data'!$B:$B,Summary!$C259)</f>
        <v>0</v>
      </c>
      <c r="H259" s="65">
        <f ca="1">SUMIFS(OFFSET('BPC Data'!$F:$F,0,Summary!H$2),'BPC Data'!$E:$E,Summary!$D259,'BPC Data'!$B:$B,Summary!$C259)</f>
        <v>0</v>
      </c>
      <c r="I259" s="61">
        <f ca="1">SUMIFS(OFFSET('BPC Data'!$F:$F,0,Summary!I$2),'BPC Data'!$E:$E,Summary!$D259,'BPC Data'!$B:$B,Summary!$C259)</f>
        <v>0</v>
      </c>
      <c r="J259" s="65">
        <f ca="1">SUMIFS(OFFSET('BPC Data'!$F:$F,0,Summary!J$2),'BPC Data'!$E:$E,Summary!$D259,'BPC Data'!$B:$B,Summary!$C259)</f>
        <v>0</v>
      </c>
      <c r="K259" s="61">
        <f ca="1">SUMIFS(OFFSET('BPC Data'!$F:$F,0,Summary!K$2),'BPC Data'!$E:$E,Summary!$D259,'BPC Data'!$B:$B,Summary!$C259)</f>
        <v>0</v>
      </c>
      <c r="L259" s="65">
        <f ca="1">SUMIFS(OFFSET('BPC Data'!$F:$F,0,Summary!L$2),'BPC Data'!$E:$E,Summary!$D259,'BPC Data'!$B:$B,Summary!$C259)</f>
        <v>0</v>
      </c>
      <c r="M259" s="61">
        <f ca="1">SUMIFS(OFFSET('BPC Data'!$F:$F,0,Summary!M$2),'BPC Data'!$E:$E,Summary!$D259,'BPC Data'!$B:$B,Summary!$C259)</f>
        <v>0</v>
      </c>
      <c r="N259" s="65">
        <f ca="1">SUMIFS(OFFSET('BPC Data'!$F:$F,0,Summary!N$2),'BPC Data'!$E:$E,Summary!$D259,'BPC Data'!$B:$B,Summary!$C259)</f>
        <v>0</v>
      </c>
      <c r="O259" s="61">
        <f ca="1">SUMIFS(OFFSET('BPC Data'!$F:$F,0,Summary!O$2),'BPC Data'!$E:$E,Summary!$D259,'BPC Data'!$B:$B,Summary!$C259)</f>
        <v>0</v>
      </c>
      <c r="P259" s="65">
        <f ca="1">SUMIFS(OFFSET('BPC Data'!$F:$F,0,Summary!P$2),'BPC Data'!$E:$E,Summary!$D259,'BPC Data'!$B:$B,Summary!$C259)</f>
        <v>0</v>
      </c>
      <c r="Q259" s="61">
        <f ca="1">SUMIFS(OFFSET('BPC Data'!$F:$F,0,Summary!Q$2),'BPC Data'!$E:$E,Summary!$D259,'BPC Data'!$B:$B,Summary!$C259)</f>
        <v>0</v>
      </c>
      <c r="R259" s="65">
        <f ca="1">SUMIFS(OFFSET('BPC Data'!$F:$F,0,Summary!R$2),'BPC Data'!$E:$E,Summary!$D259,'BPC Data'!$B:$B,Summary!$C259)</f>
        <v>0</v>
      </c>
      <c r="S259" s="23"/>
      <c r="T259" s="76"/>
      <c r="AJ259" s="49"/>
      <c r="AK259" s="49"/>
      <c r="AL259" s="49"/>
      <c r="AM259" s="49"/>
      <c r="AN259" s="49"/>
      <c r="AO259" s="49"/>
      <c r="AP259" s="49"/>
      <c r="AQ259" s="49"/>
      <c r="AR259" s="49"/>
      <c r="AS259" s="49"/>
      <c r="AT259" s="49"/>
      <c r="AU259" s="49"/>
    </row>
    <row r="260" spans="1:47" s="12" customFormat="1" hidden="1" outlineLevel="1">
      <c r="A260" s="12">
        <f t="shared" si="443"/>
        <v>23</v>
      </c>
      <c r="B260"/>
      <c r="C260">
        <f>$F251</f>
        <v>0</v>
      </c>
      <c r="D260" s="1" t="str">
        <f t="shared" si="433"/>
        <v>T_RENT_EXP - Tenant Rent Expense</v>
      </c>
      <c r="E260"/>
      <c r="F260" s="19" t="str">
        <f>_xll.EVDES(D260)</f>
        <v>Tenant Rent Expense</v>
      </c>
      <c r="G260" s="61">
        <f ca="1">SUMIFS(OFFSET('BPC Data'!$F:$F,0,Summary!G$2),'BPC Data'!$E:$E,Summary!$D260,'BPC Data'!$B:$B,Summary!$C260)</f>
        <v>0</v>
      </c>
      <c r="H260" s="65">
        <f ca="1">SUMIFS(OFFSET('BPC Data'!$F:$F,0,Summary!H$2),'BPC Data'!$E:$E,Summary!$D260,'BPC Data'!$B:$B,Summary!$C260)</f>
        <v>0</v>
      </c>
      <c r="I260" s="61">
        <f ca="1">SUMIFS(OFFSET('BPC Data'!$F:$F,0,Summary!I$2),'BPC Data'!$E:$E,Summary!$D260,'BPC Data'!$B:$B,Summary!$C260)</f>
        <v>0</v>
      </c>
      <c r="J260" s="65">
        <f ca="1">SUMIFS(OFFSET('BPC Data'!$F:$F,0,Summary!J$2),'BPC Data'!$E:$E,Summary!$D260,'BPC Data'!$B:$B,Summary!$C260)</f>
        <v>0</v>
      </c>
      <c r="K260" s="61">
        <f ca="1">SUMIFS(OFFSET('BPC Data'!$F:$F,0,Summary!K$2),'BPC Data'!$E:$E,Summary!$D260,'BPC Data'!$B:$B,Summary!$C260)</f>
        <v>0</v>
      </c>
      <c r="L260" s="65">
        <f ca="1">SUMIFS(OFFSET('BPC Data'!$F:$F,0,Summary!L$2),'BPC Data'!$E:$E,Summary!$D260,'BPC Data'!$B:$B,Summary!$C260)</f>
        <v>0</v>
      </c>
      <c r="M260" s="61">
        <f ca="1">SUMIFS(OFFSET('BPC Data'!$F:$F,0,Summary!M$2),'BPC Data'!$E:$E,Summary!$D260,'BPC Data'!$B:$B,Summary!$C260)</f>
        <v>0</v>
      </c>
      <c r="N260" s="65">
        <f ca="1">SUMIFS(OFFSET('BPC Data'!$F:$F,0,Summary!N$2),'BPC Data'!$E:$E,Summary!$D260,'BPC Data'!$B:$B,Summary!$C260)</f>
        <v>0</v>
      </c>
      <c r="O260" s="61">
        <f ca="1">SUMIFS(OFFSET('BPC Data'!$F:$F,0,Summary!O$2),'BPC Data'!$E:$E,Summary!$D260,'BPC Data'!$B:$B,Summary!$C260)</f>
        <v>0</v>
      </c>
      <c r="P260" s="65">
        <f ca="1">SUMIFS(OFFSET('BPC Data'!$F:$F,0,Summary!P$2),'BPC Data'!$E:$E,Summary!$D260,'BPC Data'!$B:$B,Summary!$C260)</f>
        <v>0</v>
      </c>
      <c r="Q260" s="61">
        <f ca="1">SUMIFS(OFFSET('BPC Data'!$F:$F,0,Summary!Q$2),'BPC Data'!$E:$E,Summary!$D260,'BPC Data'!$B:$B,Summary!$C260)</f>
        <v>0</v>
      </c>
      <c r="R260" s="65">
        <f ca="1">SUMIFS(OFFSET('BPC Data'!$F:$F,0,Summary!R$2),'BPC Data'!$E:$E,Summary!$D260,'BPC Data'!$B:$B,Summary!$C260)</f>
        <v>0</v>
      </c>
      <c r="S260" s="23"/>
      <c r="T260" s="76"/>
      <c r="AJ260" s="49"/>
      <c r="AK260" s="49"/>
      <c r="AL260" s="49"/>
      <c r="AM260" s="49"/>
      <c r="AN260" s="49"/>
      <c r="AO260" s="49"/>
      <c r="AP260" s="49"/>
      <c r="AQ260" s="49"/>
      <c r="AR260" s="49"/>
      <c r="AS260" s="49"/>
      <c r="AT260" s="49"/>
      <c r="AU260" s="49"/>
    </row>
    <row r="261" spans="1:47" s="12" customFormat="1" hidden="1" outlineLevel="1">
      <c r="A261" s="12">
        <f t="shared" si="443"/>
        <v>23</v>
      </c>
      <c r="B261"/>
      <c r="C261"/>
      <c r="D261" s="1" t="str">
        <f t="shared" si="433"/>
        <v>x</v>
      </c>
      <c r="E261"/>
      <c r="F261" s="19" t="s">
        <v>0</v>
      </c>
      <c r="G261" s="61">
        <f ca="1">SUMIFS(OFFSET('BPC Data'!$F:$F,0,Summary!G$2),'BPC Data'!$E:$E,Summary!$D261,'BPC Data'!$B:$B,Summary!$C261)</f>
        <v>0</v>
      </c>
      <c r="H261" s="65">
        <f ca="1">SUMIFS(OFFSET('BPC Data'!$F:$F,0,Summary!H$2),'BPC Data'!$E:$E,Summary!$D261,'BPC Data'!$B:$B,Summary!$C261)</f>
        <v>0</v>
      </c>
      <c r="I261" s="61">
        <f ca="1">SUMIFS(OFFSET('BPC Data'!$F:$F,0,Summary!I$2),'BPC Data'!$E:$E,Summary!$D261,'BPC Data'!$B:$B,Summary!$C261)</f>
        <v>0</v>
      </c>
      <c r="J261" s="65">
        <f ca="1">SUMIFS(OFFSET('BPC Data'!$F:$F,0,Summary!J$2),'BPC Data'!$E:$E,Summary!$D261,'BPC Data'!$B:$B,Summary!$C261)</f>
        <v>0</v>
      </c>
      <c r="K261" s="61">
        <f ca="1">SUMIFS(OFFSET('BPC Data'!$F:$F,0,Summary!K$2),'BPC Data'!$E:$E,Summary!$D261,'BPC Data'!$B:$B,Summary!$C261)</f>
        <v>0</v>
      </c>
      <c r="L261" s="65">
        <f ca="1">SUMIFS(OFFSET('BPC Data'!$F:$F,0,Summary!L$2),'BPC Data'!$E:$E,Summary!$D261,'BPC Data'!$B:$B,Summary!$C261)</f>
        <v>0</v>
      </c>
      <c r="M261" s="61">
        <f ca="1">SUMIFS(OFFSET('BPC Data'!$F:$F,0,Summary!M$2),'BPC Data'!$E:$E,Summary!$D261,'BPC Data'!$B:$B,Summary!$C261)</f>
        <v>0</v>
      </c>
      <c r="N261" s="65">
        <f ca="1">SUMIFS(OFFSET('BPC Data'!$F:$F,0,Summary!N$2),'BPC Data'!$E:$E,Summary!$D261,'BPC Data'!$B:$B,Summary!$C261)</f>
        <v>0</v>
      </c>
      <c r="O261" s="61">
        <f ca="1">SUMIFS(OFFSET('BPC Data'!$F:$F,0,Summary!O$2),'BPC Data'!$E:$E,Summary!$D261,'BPC Data'!$B:$B,Summary!$C261)</f>
        <v>0</v>
      </c>
      <c r="P261" s="65">
        <f ca="1">SUMIFS(OFFSET('BPC Data'!$F:$F,0,Summary!P$2),'BPC Data'!$E:$E,Summary!$D261,'BPC Data'!$B:$B,Summary!$C261)</f>
        <v>0</v>
      </c>
      <c r="Q261" s="61">
        <f ca="1">SUMIFS(OFFSET('BPC Data'!$F:$F,0,Summary!Q$2),'BPC Data'!$E:$E,Summary!$D261,'BPC Data'!$B:$B,Summary!$C261)</f>
        <v>0</v>
      </c>
      <c r="R261" s="65">
        <f ca="1">SUMIFS(OFFSET('BPC Data'!$F:$F,0,Summary!R$2),'BPC Data'!$E:$E,Summary!$D261,'BPC Data'!$B:$B,Summary!$C261)</f>
        <v>0</v>
      </c>
      <c r="S261" s="23"/>
      <c r="T261" s="76"/>
      <c r="AJ261" s="49"/>
      <c r="AK261" s="49"/>
      <c r="AL261" s="49"/>
      <c r="AM261" s="49"/>
      <c r="AN261" s="49"/>
      <c r="AO261" s="49"/>
      <c r="AP261" s="49"/>
      <c r="AQ261" s="49"/>
      <c r="AR261" s="49"/>
      <c r="AS261" s="49"/>
      <c r="AT261" s="49"/>
      <c r="AU261" s="49"/>
    </row>
    <row r="262" spans="1:47" s="12" customFormat="1" hidden="1" outlineLevel="1">
      <c r="A262" s="12">
        <f>IF(AND(D262&lt;&gt;"",C262=""),A261+1,A261)</f>
        <v>24</v>
      </c>
      <c r="B262" s="5"/>
      <c r="C262" s="5"/>
      <c r="D262" s="5" t="str">
        <f t="shared" si="433"/>
        <v>x</v>
      </c>
      <c r="E262" s="5"/>
      <c r="F262" s="18">
        <f>INDEX(PropertyList!$D:$D,MATCH(Summary!$A262,PropertyList!$C:$C,0))</f>
        <v>0</v>
      </c>
      <c r="G262" s="61">
        <f ca="1">SUMIFS(OFFSET('BPC Data'!$F:$F,0,Summary!G$2),'BPC Data'!$E:$E,Summary!$D262,'BPC Data'!$B:$B,Summary!$C262)</f>
        <v>0</v>
      </c>
      <c r="H262" s="65">
        <f ca="1">SUMIFS(OFFSET('BPC Data'!$F:$F,0,Summary!H$2),'BPC Data'!$E:$E,Summary!$D262,'BPC Data'!$B:$B,Summary!$C262)</f>
        <v>0</v>
      </c>
      <c r="I262" s="61">
        <f ca="1">SUMIFS(OFFSET('BPC Data'!$F:$F,0,Summary!I$2),'BPC Data'!$E:$E,Summary!$D262,'BPC Data'!$B:$B,Summary!$C262)</f>
        <v>0</v>
      </c>
      <c r="J262" s="65">
        <f ca="1">SUMIFS(OFFSET('BPC Data'!$F:$F,0,Summary!J$2),'BPC Data'!$E:$E,Summary!$D262,'BPC Data'!$B:$B,Summary!$C262)</f>
        <v>0</v>
      </c>
      <c r="K262" s="61">
        <f ca="1">SUMIFS(OFFSET('BPC Data'!$F:$F,0,Summary!K$2),'BPC Data'!$E:$E,Summary!$D262,'BPC Data'!$B:$B,Summary!$C262)</f>
        <v>0</v>
      </c>
      <c r="L262" s="65">
        <f ca="1">SUMIFS(OFFSET('BPC Data'!$F:$F,0,Summary!L$2),'BPC Data'!$E:$E,Summary!$D262,'BPC Data'!$B:$B,Summary!$C262)</f>
        <v>0</v>
      </c>
      <c r="M262" s="61">
        <f ca="1">SUMIFS(OFFSET('BPC Data'!$F:$F,0,Summary!M$2),'BPC Data'!$E:$E,Summary!$D262,'BPC Data'!$B:$B,Summary!$C262)</f>
        <v>0</v>
      </c>
      <c r="N262" s="65">
        <f ca="1">SUMIFS(OFFSET('BPC Data'!$F:$F,0,Summary!N$2),'BPC Data'!$E:$E,Summary!$D262,'BPC Data'!$B:$B,Summary!$C262)</f>
        <v>0</v>
      </c>
      <c r="O262" s="61">
        <f ca="1">SUMIFS(OFFSET('BPC Data'!$F:$F,0,Summary!O$2),'BPC Data'!$E:$E,Summary!$D262,'BPC Data'!$B:$B,Summary!$C262)</f>
        <v>0</v>
      </c>
      <c r="P262" s="65">
        <f ca="1">SUMIFS(OFFSET('BPC Data'!$F:$F,0,Summary!P$2),'BPC Data'!$E:$E,Summary!$D262,'BPC Data'!$B:$B,Summary!$C262)</f>
        <v>0</v>
      </c>
      <c r="Q262" s="61">
        <f ca="1">SUMIFS(OFFSET('BPC Data'!$F:$F,0,Summary!Q$2),'BPC Data'!$E:$E,Summary!$D262,'BPC Data'!$B:$B,Summary!$C262)</f>
        <v>0</v>
      </c>
      <c r="R262" s="65">
        <f ca="1">SUMIFS(OFFSET('BPC Data'!$F:$F,0,Summary!R$2),'BPC Data'!$E:$E,Summary!$D262,'BPC Data'!$B:$B,Summary!$C262)</f>
        <v>0</v>
      </c>
      <c r="S262" s="23"/>
      <c r="T262" s="76"/>
      <c r="AJ262" s="49"/>
      <c r="AK262" s="49"/>
      <c r="AL262" s="49"/>
      <c r="AM262" s="49"/>
      <c r="AN262" s="49"/>
      <c r="AO262" s="49"/>
      <c r="AP262" s="49"/>
      <c r="AQ262" s="49"/>
      <c r="AR262" s="49"/>
      <c r="AS262" s="49"/>
      <c r="AT262" s="49"/>
      <c r="AU262" s="49"/>
    </row>
    <row r="263" spans="1:47" s="12" customFormat="1" hidden="1" outlineLevel="1">
      <c r="A263" s="12">
        <f>IF(AND(F263&lt;&gt;"",D263=""),A262+1,A262)</f>
        <v>24</v>
      </c>
      <c r="C263">
        <f>$F262</f>
        <v>0</v>
      </c>
      <c r="D263" s="3" t="str">
        <f t="shared" si="433"/>
        <v>PAY_PAT_DAYS - Total Payor Patient Days</v>
      </c>
      <c r="F263" s="19" t="str">
        <f>_xll.EVDES(D263)</f>
        <v>Total Payor Patient Days</v>
      </c>
      <c r="G263" s="61">
        <f ca="1">SUMIFS(OFFSET('BPC Data'!$F:$F,0,Summary!G$2),'BPC Data'!$E:$E,Summary!$D263,'BPC Data'!$B:$B,Summary!$C263)</f>
        <v>0</v>
      </c>
      <c r="H263" s="65">
        <f ca="1">SUMIFS(OFFSET('BPC Data'!$F:$F,0,Summary!H$2),'BPC Data'!$E:$E,Summary!$D263,'BPC Data'!$B:$B,Summary!$C263)</f>
        <v>0</v>
      </c>
      <c r="I263" s="61">
        <f ca="1">SUMIFS(OFFSET('BPC Data'!$F:$F,0,Summary!I$2),'BPC Data'!$E:$E,Summary!$D263,'BPC Data'!$B:$B,Summary!$C263)</f>
        <v>0</v>
      </c>
      <c r="J263" s="65">
        <f ca="1">SUMIFS(OFFSET('BPC Data'!$F:$F,0,Summary!J$2),'BPC Data'!$E:$E,Summary!$D263,'BPC Data'!$B:$B,Summary!$C263)</f>
        <v>0</v>
      </c>
      <c r="K263" s="61">
        <f ca="1">SUMIFS(OFFSET('BPC Data'!$F:$F,0,Summary!K$2),'BPC Data'!$E:$E,Summary!$D263,'BPC Data'!$B:$B,Summary!$C263)</f>
        <v>0</v>
      </c>
      <c r="L263" s="65">
        <f ca="1">SUMIFS(OFFSET('BPC Data'!$F:$F,0,Summary!L$2),'BPC Data'!$E:$E,Summary!$D263,'BPC Data'!$B:$B,Summary!$C263)</f>
        <v>0</v>
      </c>
      <c r="M263" s="61">
        <f ca="1">SUMIFS(OFFSET('BPC Data'!$F:$F,0,Summary!M$2),'BPC Data'!$E:$E,Summary!$D263,'BPC Data'!$B:$B,Summary!$C263)</f>
        <v>0</v>
      </c>
      <c r="N263" s="65">
        <f ca="1">SUMIFS(OFFSET('BPC Data'!$F:$F,0,Summary!N$2),'BPC Data'!$E:$E,Summary!$D263,'BPC Data'!$B:$B,Summary!$C263)</f>
        <v>0</v>
      </c>
      <c r="O263" s="61">
        <f ca="1">SUMIFS(OFFSET('BPC Data'!$F:$F,0,Summary!O$2),'BPC Data'!$E:$E,Summary!$D263,'BPC Data'!$B:$B,Summary!$C263)</f>
        <v>0</v>
      </c>
      <c r="P263" s="65">
        <f ca="1">SUMIFS(OFFSET('BPC Data'!$F:$F,0,Summary!P$2),'BPC Data'!$E:$E,Summary!$D263,'BPC Data'!$B:$B,Summary!$C263)</f>
        <v>0</v>
      </c>
      <c r="Q263" s="61">
        <f ca="1">SUMIFS(OFFSET('BPC Data'!$F:$F,0,Summary!Q$2),'BPC Data'!$E:$E,Summary!$D263,'BPC Data'!$B:$B,Summary!$C263)</f>
        <v>0</v>
      </c>
      <c r="R263" s="65">
        <f ca="1">SUMIFS(OFFSET('BPC Data'!$F:$F,0,Summary!R$2),'BPC Data'!$E:$E,Summary!$D263,'BPC Data'!$B:$B,Summary!$C263)</f>
        <v>0</v>
      </c>
      <c r="S263" s="23"/>
      <c r="T263" s="76"/>
      <c r="AJ263" s="49"/>
      <c r="AK263" s="49"/>
      <c r="AL263" s="49"/>
      <c r="AM263" s="49"/>
      <c r="AN263" s="49"/>
      <c r="AO263" s="49"/>
      <c r="AP263" s="49"/>
      <c r="AQ263" s="49"/>
      <c r="AR263" s="49"/>
      <c r="AS263" s="49"/>
      <c r="AT263" s="49"/>
      <c r="AU263" s="49"/>
    </row>
    <row r="264" spans="1:47" s="12" customFormat="1" hidden="1" outlineLevel="1">
      <c r="A264" s="12">
        <f t="shared" ref="A264:A272" si="444">IF(AND(F264&lt;&gt;"",D264=""),A263+1,A263)</f>
        <v>24</v>
      </c>
      <c r="C264">
        <f>$F262</f>
        <v>0</v>
      </c>
      <c r="D264" s="3" t="str">
        <f t="shared" si="433"/>
        <v>A_BEDS_TOTAL - Total Available Beds</v>
      </c>
      <c r="F264" s="19" t="str">
        <f>_xll.EVDES(D264)</f>
        <v>Total Available Beds</v>
      </c>
      <c r="G264" s="61">
        <f ca="1">SUMIFS(OFFSET('BPC Data'!$F:$F,0,Summary!G$2),'BPC Data'!$E:$E,Summary!$D264,'BPC Data'!$B:$B,Summary!$C264)</f>
        <v>0</v>
      </c>
      <c r="H264" s="65">
        <f ca="1">SUMIFS(OFFSET('BPC Data'!$F:$F,0,Summary!H$2),'BPC Data'!$E:$E,Summary!$D264,'BPC Data'!$B:$B,Summary!$C264)</f>
        <v>0</v>
      </c>
      <c r="I264" s="61">
        <f ca="1">SUMIFS(OFFSET('BPC Data'!$F:$F,0,Summary!I$2),'BPC Data'!$E:$E,Summary!$D264,'BPC Data'!$B:$B,Summary!$C264)</f>
        <v>0</v>
      </c>
      <c r="J264" s="65">
        <f ca="1">SUMIFS(OFFSET('BPC Data'!$F:$F,0,Summary!J$2),'BPC Data'!$E:$E,Summary!$D264,'BPC Data'!$B:$B,Summary!$C264)</f>
        <v>0</v>
      </c>
      <c r="K264" s="61">
        <f ca="1">SUMIFS(OFFSET('BPC Data'!$F:$F,0,Summary!K$2),'BPC Data'!$E:$E,Summary!$D264,'BPC Data'!$B:$B,Summary!$C264)</f>
        <v>0</v>
      </c>
      <c r="L264" s="65">
        <f ca="1">SUMIFS(OFFSET('BPC Data'!$F:$F,0,Summary!L$2),'BPC Data'!$E:$E,Summary!$D264,'BPC Data'!$B:$B,Summary!$C264)</f>
        <v>0</v>
      </c>
      <c r="M264" s="61">
        <f ca="1">SUMIFS(OFFSET('BPC Data'!$F:$F,0,Summary!M$2),'BPC Data'!$E:$E,Summary!$D264,'BPC Data'!$B:$B,Summary!$C264)</f>
        <v>0</v>
      </c>
      <c r="N264" s="65">
        <f ca="1">SUMIFS(OFFSET('BPC Data'!$F:$F,0,Summary!N$2),'BPC Data'!$E:$E,Summary!$D264,'BPC Data'!$B:$B,Summary!$C264)</f>
        <v>0</v>
      </c>
      <c r="O264" s="61">
        <f ca="1">SUMIFS(OFFSET('BPC Data'!$F:$F,0,Summary!O$2),'BPC Data'!$E:$E,Summary!$D264,'BPC Data'!$B:$B,Summary!$C264)</f>
        <v>0</v>
      </c>
      <c r="P264" s="65">
        <f ca="1">SUMIFS(OFFSET('BPC Data'!$F:$F,0,Summary!P$2),'BPC Data'!$E:$E,Summary!$D264,'BPC Data'!$B:$B,Summary!$C264)</f>
        <v>0</v>
      </c>
      <c r="Q264" s="61">
        <f ca="1">SUMIFS(OFFSET('BPC Data'!$F:$F,0,Summary!Q$2),'BPC Data'!$E:$E,Summary!$D264,'BPC Data'!$B:$B,Summary!$C264)</f>
        <v>0</v>
      </c>
      <c r="R264" s="65">
        <f ca="1">SUMIFS(OFFSET('BPC Data'!$F:$F,0,Summary!R$2),'BPC Data'!$E:$E,Summary!$D264,'BPC Data'!$B:$B,Summary!$C264)</f>
        <v>0</v>
      </c>
      <c r="S264" s="23"/>
      <c r="T264" s="76"/>
      <c r="AJ264" s="49"/>
      <c r="AK264" s="49"/>
      <c r="AL264" s="49"/>
      <c r="AM264" s="49"/>
      <c r="AN264" s="49"/>
      <c r="AO264" s="49"/>
      <c r="AP264" s="49"/>
      <c r="AQ264" s="49"/>
      <c r="AR264" s="49"/>
      <c r="AS264" s="49"/>
      <c r="AT264" s="49"/>
      <c r="AU264" s="49"/>
    </row>
    <row r="265" spans="1:47" s="12" customFormat="1" hidden="1" outlineLevel="1">
      <c r="A265" s="12">
        <f t="shared" si="444"/>
        <v>24</v>
      </c>
      <c r="B265"/>
      <c r="C265">
        <f>$F262</f>
        <v>0</v>
      </c>
      <c r="D265" s="3" t="str">
        <f t="shared" si="433"/>
        <v>T_REVENUES - Total Tenant Revenues</v>
      </c>
      <c r="E265"/>
      <c r="F265" s="19" t="str">
        <f>_xll.EVDES(D265)</f>
        <v>Total Tenant Revenues</v>
      </c>
      <c r="G265" s="61">
        <f ca="1">SUMIFS(OFFSET('BPC Data'!$F:$F,0,Summary!G$2),'BPC Data'!$E:$E,Summary!$D265,'BPC Data'!$B:$B,Summary!$C265)</f>
        <v>0</v>
      </c>
      <c r="H265" s="65">
        <f ca="1">SUMIFS(OFFSET('BPC Data'!$F:$F,0,Summary!H$2),'BPC Data'!$E:$E,Summary!$D265,'BPC Data'!$B:$B,Summary!$C265)</f>
        <v>0</v>
      </c>
      <c r="I265" s="61">
        <f ca="1">SUMIFS(OFFSET('BPC Data'!$F:$F,0,Summary!I$2),'BPC Data'!$E:$E,Summary!$D265,'BPC Data'!$B:$B,Summary!$C265)</f>
        <v>0</v>
      </c>
      <c r="J265" s="65">
        <f ca="1">SUMIFS(OFFSET('BPC Data'!$F:$F,0,Summary!J$2),'BPC Data'!$E:$E,Summary!$D265,'BPC Data'!$B:$B,Summary!$C265)</f>
        <v>0</v>
      </c>
      <c r="K265" s="61">
        <f ca="1">SUMIFS(OFFSET('BPC Data'!$F:$F,0,Summary!K$2),'BPC Data'!$E:$E,Summary!$D265,'BPC Data'!$B:$B,Summary!$C265)</f>
        <v>0</v>
      </c>
      <c r="L265" s="65">
        <f ca="1">SUMIFS(OFFSET('BPC Data'!$F:$F,0,Summary!L$2),'BPC Data'!$E:$E,Summary!$D265,'BPC Data'!$B:$B,Summary!$C265)</f>
        <v>0</v>
      </c>
      <c r="M265" s="61">
        <f ca="1">SUMIFS(OFFSET('BPC Data'!$F:$F,0,Summary!M$2),'BPC Data'!$E:$E,Summary!$D265,'BPC Data'!$B:$B,Summary!$C265)</f>
        <v>0</v>
      </c>
      <c r="N265" s="65">
        <f ca="1">SUMIFS(OFFSET('BPC Data'!$F:$F,0,Summary!N$2),'BPC Data'!$E:$E,Summary!$D265,'BPC Data'!$B:$B,Summary!$C265)</f>
        <v>0</v>
      </c>
      <c r="O265" s="61">
        <f ca="1">SUMIFS(OFFSET('BPC Data'!$F:$F,0,Summary!O$2),'BPC Data'!$E:$E,Summary!$D265,'BPC Data'!$B:$B,Summary!$C265)</f>
        <v>0</v>
      </c>
      <c r="P265" s="65">
        <f ca="1">SUMIFS(OFFSET('BPC Data'!$F:$F,0,Summary!P$2),'BPC Data'!$E:$E,Summary!$D265,'BPC Data'!$B:$B,Summary!$C265)</f>
        <v>0</v>
      </c>
      <c r="Q265" s="61">
        <f ca="1">SUMIFS(OFFSET('BPC Data'!$F:$F,0,Summary!Q$2),'BPC Data'!$E:$E,Summary!$D265,'BPC Data'!$B:$B,Summary!$C265)</f>
        <v>0</v>
      </c>
      <c r="R265" s="65">
        <f ca="1">SUMIFS(OFFSET('BPC Data'!$F:$F,0,Summary!R$2),'BPC Data'!$E:$E,Summary!$D265,'BPC Data'!$B:$B,Summary!$C265)</f>
        <v>0</v>
      </c>
      <c r="S265" s="23"/>
      <c r="T265" s="76"/>
      <c r="AJ265" s="49"/>
      <c r="AK265" s="49"/>
      <c r="AL265" s="49"/>
      <c r="AM265" s="49"/>
      <c r="AN265" s="49"/>
      <c r="AO265" s="49"/>
      <c r="AP265" s="49"/>
      <c r="AQ265" s="49"/>
      <c r="AR265" s="49"/>
      <c r="AS265" s="49"/>
      <c r="AT265" s="49"/>
      <c r="AU265" s="49"/>
    </row>
    <row r="266" spans="1:47" s="12" customFormat="1" hidden="1" outlineLevel="1">
      <c r="A266" s="12">
        <f t="shared" si="444"/>
        <v>24</v>
      </c>
      <c r="B266"/>
      <c r="C266">
        <f>$F262</f>
        <v>0</v>
      </c>
      <c r="D266" s="3" t="str">
        <f t="shared" si="433"/>
        <v>T_OPEX - Tenant Operating Expenses</v>
      </c>
      <c r="E266"/>
      <c r="F266" s="19" t="str">
        <f>_xll.EVDES(D266)</f>
        <v>Tenant Operating Expenses</v>
      </c>
      <c r="G266" s="61">
        <f ca="1">SUMIFS(OFFSET('BPC Data'!$F:$F,0,Summary!G$2),'BPC Data'!$E:$E,Summary!$D266,'BPC Data'!$B:$B,Summary!$C266)</f>
        <v>0</v>
      </c>
      <c r="H266" s="65">
        <f ca="1">SUMIFS(OFFSET('BPC Data'!$F:$F,0,Summary!H$2),'BPC Data'!$E:$E,Summary!$D266,'BPC Data'!$B:$B,Summary!$C266)</f>
        <v>0</v>
      </c>
      <c r="I266" s="61">
        <f ca="1">SUMIFS(OFFSET('BPC Data'!$F:$F,0,Summary!I$2),'BPC Data'!$E:$E,Summary!$D266,'BPC Data'!$B:$B,Summary!$C266)</f>
        <v>0</v>
      </c>
      <c r="J266" s="65">
        <f ca="1">SUMIFS(OFFSET('BPC Data'!$F:$F,0,Summary!J$2),'BPC Data'!$E:$E,Summary!$D266,'BPC Data'!$B:$B,Summary!$C266)</f>
        <v>0</v>
      </c>
      <c r="K266" s="61">
        <f ca="1">SUMIFS(OFFSET('BPC Data'!$F:$F,0,Summary!K$2),'BPC Data'!$E:$E,Summary!$D266,'BPC Data'!$B:$B,Summary!$C266)</f>
        <v>0</v>
      </c>
      <c r="L266" s="65">
        <f ca="1">SUMIFS(OFFSET('BPC Data'!$F:$F,0,Summary!L$2),'BPC Data'!$E:$E,Summary!$D266,'BPC Data'!$B:$B,Summary!$C266)</f>
        <v>0</v>
      </c>
      <c r="M266" s="61">
        <f ca="1">SUMIFS(OFFSET('BPC Data'!$F:$F,0,Summary!M$2),'BPC Data'!$E:$E,Summary!$D266,'BPC Data'!$B:$B,Summary!$C266)</f>
        <v>0</v>
      </c>
      <c r="N266" s="65">
        <f ca="1">SUMIFS(OFFSET('BPC Data'!$F:$F,0,Summary!N$2),'BPC Data'!$E:$E,Summary!$D266,'BPC Data'!$B:$B,Summary!$C266)</f>
        <v>0</v>
      </c>
      <c r="O266" s="61">
        <f ca="1">SUMIFS(OFFSET('BPC Data'!$F:$F,0,Summary!O$2),'BPC Data'!$E:$E,Summary!$D266,'BPC Data'!$B:$B,Summary!$C266)</f>
        <v>0</v>
      </c>
      <c r="P266" s="65">
        <f ca="1">SUMIFS(OFFSET('BPC Data'!$F:$F,0,Summary!P$2),'BPC Data'!$E:$E,Summary!$D266,'BPC Data'!$B:$B,Summary!$C266)</f>
        <v>0</v>
      </c>
      <c r="Q266" s="61">
        <f ca="1">SUMIFS(OFFSET('BPC Data'!$F:$F,0,Summary!Q$2),'BPC Data'!$E:$E,Summary!$D266,'BPC Data'!$B:$B,Summary!$C266)</f>
        <v>0</v>
      </c>
      <c r="R266" s="65">
        <f ca="1">SUMIFS(OFFSET('BPC Data'!$F:$F,0,Summary!R$2),'BPC Data'!$E:$E,Summary!$D266,'BPC Data'!$B:$B,Summary!$C266)</f>
        <v>0</v>
      </c>
      <c r="S266" s="23"/>
      <c r="T266" s="76"/>
      <c r="AJ266" s="49"/>
      <c r="AK266" s="49"/>
      <c r="AL266" s="49"/>
      <c r="AM266" s="49"/>
      <c r="AN266" s="49"/>
      <c r="AO266" s="49"/>
      <c r="AP266" s="49"/>
      <c r="AQ266" s="49"/>
      <c r="AR266" s="49"/>
      <c r="AS266" s="49"/>
      <c r="AT266" s="49"/>
      <c r="AU266" s="49"/>
    </row>
    <row r="267" spans="1:47" s="12" customFormat="1" hidden="1" outlineLevel="1">
      <c r="A267" s="12">
        <f t="shared" si="444"/>
        <v>24</v>
      </c>
      <c r="B267"/>
      <c r="C267">
        <f>$F262</f>
        <v>0</v>
      </c>
      <c r="D267" s="3" t="str">
        <f t="shared" si="433"/>
        <v>T_BAD_DEBT - Tenant Bad Debt Expense</v>
      </c>
      <c r="E267"/>
      <c r="F267" s="19" t="str">
        <f>_xll.EVDES(D267)</f>
        <v>Tenant Bad Debt Expense</v>
      </c>
      <c r="G267" s="61">
        <f ca="1">SUMIFS(OFFSET('BPC Data'!$F:$F,0,Summary!G$2),'BPC Data'!$E:$E,Summary!$D267,'BPC Data'!$B:$B,Summary!$C267)</f>
        <v>0</v>
      </c>
      <c r="H267" s="65">
        <f ca="1">SUMIFS(OFFSET('BPC Data'!$F:$F,0,Summary!H$2),'BPC Data'!$E:$E,Summary!$D267,'BPC Data'!$B:$B,Summary!$C267)</f>
        <v>0</v>
      </c>
      <c r="I267" s="61">
        <f ca="1">SUMIFS(OFFSET('BPC Data'!$F:$F,0,Summary!I$2),'BPC Data'!$E:$E,Summary!$D267,'BPC Data'!$B:$B,Summary!$C267)</f>
        <v>0</v>
      </c>
      <c r="J267" s="65">
        <f ca="1">SUMIFS(OFFSET('BPC Data'!$F:$F,0,Summary!J$2),'BPC Data'!$E:$E,Summary!$D267,'BPC Data'!$B:$B,Summary!$C267)</f>
        <v>0</v>
      </c>
      <c r="K267" s="61">
        <f ca="1">SUMIFS(OFFSET('BPC Data'!$F:$F,0,Summary!K$2),'BPC Data'!$E:$E,Summary!$D267,'BPC Data'!$B:$B,Summary!$C267)</f>
        <v>0</v>
      </c>
      <c r="L267" s="65">
        <f ca="1">SUMIFS(OFFSET('BPC Data'!$F:$F,0,Summary!L$2),'BPC Data'!$E:$E,Summary!$D267,'BPC Data'!$B:$B,Summary!$C267)</f>
        <v>0</v>
      </c>
      <c r="M267" s="61">
        <f ca="1">SUMIFS(OFFSET('BPC Data'!$F:$F,0,Summary!M$2),'BPC Data'!$E:$E,Summary!$D267,'BPC Data'!$B:$B,Summary!$C267)</f>
        <v>0</v>
      </c>
      <c r="N267" s="65">
        <f ca="1">SUMIFS(OFFSET('BPC Data'!$F:$F,0,Summary!N$2),'BPC Data'!$E:$E,Summary!$D267,'BPC Data'!$B:$B,Summary!$C267)</f>
        <v>0</v>
      </c>
      <c r="O267" s="61">
        <f ca="1">SUMIFS(OFFSET('BPC Data'!$F:$F,0,Summary!O$2),'BPC Data'!$E:$E,Summary!$D267,'BPC Data'!$B:$B,Summary!$C267)</f>
        <v>0</v>
      </c>
      <c r="P267" s="65">
        <f ca="1">SUMIFS(OFFSET('BPC Data'!$F:$F,0,Summary!P$2),'BPC Data'!$E:$E,Summary!$D267,'BPC Data'!$B:$B,Summary!$C267)</f>
        <v>0</v>
      </c>
      <c r="Q267" s="61">
        <f ca="1">SUMIFS(OFFSET('BPC Data'!$F:$F,0,Summary!Q$2),'BPC Data'!$E:$E,Summary!$D267,'BPC Data'!$B:$B,Summary!$C267)</f>
        <v>0</v>
      </c>
      <c r="R267" s="65">
        <f ca="1">SUMIFS(OFFSET('BPC Data'!$F:$F,0,Summary!R$2),'BPC Data'!$E:$E,Summary!$D267,'BPC Data'!$B:$B,Summary!$C267)</f>
        <v>0</v>
      </c>
      <c r="S267" s="23"/>
      <c r="T267" s="76"/>
      <c r="AJ267" s="49"/>
      <c r="AK267" s="49"/>
      <c r="AL267" s="49"/>
      <c r="AM267" s="49"/>
      <c r="AN267" s="49"/>
      <c r="AO267" s="49"/>
      <c r="AP267" s="49"/>
      <c r="AQ267" s="49"/>
      <c r="AR267" s="49"/>
      <c r="AS267" s="49"/>
      <c r="AT267" s="49"/>
      <c r="AU267" s="49"/>
    </row>
    <row r="268" spans="1:47" s="12" customFormat="1" hidden="1" outlineLevel="1">
      <c r="A268" s="12">
        <f t="shared" si="444"/>
        <v>24</v>
      </c>
      <c r="B268"/>
      <c r="C268">
        <f>$F262</f>
        <v>0</v>
      </c>
      <c r="D268" s="2" t="str">
        <f t="shared" si="433"/>
        <v>T_EBITDARM - EBITDARM</v>
      </c>
      <c r="E268"/>
      <c r="F268" s="19" t="str">
        <f>_xll.EVDES(D268)</f>
        <v>EBITDARM</v>
      </c>
      <c r="G268" s="61">
        <f ca="1">SUMIFS(OFFSET('BPC Data'!$F:$F,0,Summary!G$2),'BPC Data'!$E:$E,Summary!$D268,'BPC Data'!$B:$B,Summary!$C268)</f>
        <v>0</v>
      </c>
      <c r="H268" s="65">
        <f ca="1">SUMIFS(OFFSET('BPC Data'!$F:$F,0,Summary!H$2),'BPC Data'!$E:$E,Summary!$D268,'BPC Data'!$B:$B,Summary!$C268)</f>
        <v>0</v>
      </c>
      <c r="I268" s="61">
        <f ca="1">SUMIFS(OFFSET('BPC Data'!$F:$F,0,Summary!I$2),'BPC Data'!$E:$E,Summary!$D268,'BPC Data'!$B:$B,Summary!$C268)</f>
        <v>0</v>
      </c>
      <c r="J268" s="65">
        <f ca="1">SUMIFS(OFFSET('BPC Data'!$F:$F,0,Summary!J$2),'BPC Data'!$E:$E,Summary!$D268,'BPC Data'!$B:$B,Summary!$C268)</f>
        <v>0</v>
      </c>
      <c r="K268" s="61">
        <f ca="1">SUMIFS(OFFSET('BPC Data'!$F:$F,0,Summary!K$2),'BPC Data'!$E:$E,Summary!$D268,'BPC Data'!$B:$B,Summary!$C268)</f>
        <v>0</v>
      </c>
      <c r="L268" s="65">
        <f ca="1">SUMIFS(OFFSET('BPC Data'!$F:$F,0,Summary!L$2),'BPC Data'!$E:$E,Summary!$D268,'BPC Data'!$B:$B,Summary!$C268)</f>
        <v>0</v>
      </c>
      <c r="M268" s="61">
        <f ca="1">SUMIFS(OFFSET('BPC Data'!$F:$F,0,Summary!M$2),'BPC Data'!$E:$E,Summary!$D268,'BPC Data'!$B:$B,Summary!$C268)</f>
        <v>0</v>
      </c>
      <c r="N268" s="65">
        <f ca="1">SUMIFS(OFFSET('BPC Data'!$F:$F,0,Summary!N$2),'BPC Data'!$E:$E,Summary!$D268,'BPC Data'!$B:$B,Summary!$C268)</f>
        <v>0</v>
      </c>
      <c r="O268" s="61">
        <f ca="1">SUMIFS(OFFSET('BPC Data'!$F:$F,0,Summary!O$2),'BPC Data'!$E:$E,Summary!$D268,'BPC Data'!$B:$B,Summary!$C268)</f>
        <v>0</v>
      </c>
      <c r="P268" s="65">
        <f ca="1">SUMIFS(OFFSET('BPC Data'!$F:$F,0,Summary!P$2),'BPC Data'!$E:$E,Summary!$D268,'BPC Data'!$B:$B,Summary!$C268)</f>
        <v>0</v>
      </c>
      <c r="Q268" s="61">
        <f ca="1">SUMIFS(OFFSET('BPC Data'!$F:$F,0,Summary!Q$2),'BPC Data'!$E:$E,Summary!$D268,'BPC Data'!$B:$B,Summary!$C268)</f>
        <v>0</v>
      </c>
      <c r="R268" s="65">
        <f ca="1">SUMIFS(OFFSET('BPC Data'!$F:$F,0,Summary!R$2),'BPC Data'!$E:$E,Summary!$D268,'BPC Data'!$B:$B,Summary!$C268)</f>
        <v>0</v>
      </c>
      <c r="S268" s="23"/>
      <c r="T268" s="76"/>
      <c r="AJ268" s="49"/>
      <c r="AK268" s="49"/>
      <c r="AL268" s="49"/>
      <c r="AM268" s="49"/>
      <c r="AN268" s="49"/>
      <c r="AO268" s="49"/>
      <c r="AP268" s="49"/>
      <c r="AQ268" s="49"/>
      <c r="AR268" s="49"/>
      <c r="AS268" s="49"/>
      <c r="AT268" s="49"/>
      <c r="AU268" s="49"/>
    </row>
    <row r="269" spans="1:47" s="12" customFormat="1" hidden="1" outlineLevel="1">
      <c r="A269" s="12">
        <f t="shared" si="444"/>
        <v>24</v>
      </c>
      <c r="B269"/>
      <c r="C269">
        <f>$F262</f>
        <v>0</v>
      </c>
      <c r="D269" s="2" t="str">
        <f t="shared" si="433"/>
        <v>T_MGMT_FEE - Tenant Management Fee - Actual</v>
      </c>
      <c r="E269"/>
      <c r="F269" s="19" t="str">
        <f>_xll.EVDES(D269)</f>
        <v>Tenant Management Fee - Actual</v>
      </c>
      <c r="G269" s="61">
        <f ca="1">SUMIFS(OFFSET('BPC Data'!$F:$F,0,Summary!G$2),'BPC Data'!$E:$E,Summary!$D269,'BPC Data'!$B:$B,Summary!$C269)</f>
        <v>0</v>
      </c>
      <c r="H269" s="65">
        <f ca="1">SUMIFS(OFFSET('BPC Data'!$F:$F,0,Summary!H$2),'BPC Data'!$E:$E,Summary!$D269,'BPC Data'!$B:$B,Summary!$C269)</f>
        <v>0</v>
      </c>
      <c r="I269" s="61">
        <f ca="1">SUMIFS(OFFSET('BPC Data'!$F:$F,0,Summary!I$2),'BPC Data'!$E:$E,Summary!$D269,'BPC Data'!$B:$B,Summary!$C269)</f>
        <v>0</v>
      </c>
      <c r="J269" s="65">
        <f ca="1">SUMIFS(OFFSET('BPC Data'!$F:$F,0,Summary!J$2),'BPC Data'!$E:$E,Summary!$D269,'BPC Data'!$B:$B,Summary!$C269)</f>
        <v>0</v>
      </c>
      <c r="K269" s="61">
        <f ca="1">SUMIFS(OFFSET('BPC Data'!$F:$F,0,Summary!K$2),'BPC Data'!$E:$E,Summary!$D269,'BPC Data'!$B:$B,Summary!$C269)</f>
        <v>0</v>
      </c>
      <c r="L269" s="65">
        <f ca="1">SUMIFS(OFFSET('BPC Data'!$F:$F,0,Summary!L$2),'BPC Data'!$E:$E,Summary!$D269,'BPC Data'!$B:$B,Summary!$C269)</f>
        <v>0</v>
      </c>
      <c r="M269" s="61">
        <f ca="1">SUMIFS(OFFSET('BPC Data'!$F:$F,0,Summary!M$2),'BPC Data'!$E:$E,Summary!$D269,'BPC Data'!$B:$B,Summary!$C269)</f>
        <v>0</v>
      </c>
      <c r="N269" s="65">
        <f ca="1">SUMIFS(OFFSET('BPC Data'!$F:$F,0,Summary!N$2),'BPC Data'!$E:$E,Summary!$D269,'BPC Data'!$B:$B,Summary!$C269)</f>
        <v>0</v>
      </c>
      <c r="O269" s="61">
        <f ca="1">SUMIFS(OFFSET('BPC Data'!$F:$F,0,Summary!O$2),'BPC Data'!$E:$E,Summary!$D269,'BPC Data'!$B:$B,Summary!$C269)</f>
        <v>0</v>
      </c>
      <c r="P269" s="65">
        <f ca="1">SUMIFS(OFFSET('BPC Data'!$F:$F,0,Summary!P$2),'BPC Data'!$E:$E,Summary!$D269,'BPC Data'!$B:$B,Summary!$C269)</f>
        <v>0</v>
      </c>
      <c r="Q269" s="61">
        <f ca="1">SUMIFS(OFFSET('BPC Data'!$F:$F,0,Summary!Q$2),'BPC Data'!$E:$E,Summary!$D269,'BPC Data'!$B:$B,Summary!$C269)</f>
        <v>0</v>
      </c>
      <c r="R269" s="65">
        <f ca="1">SUMIFS(OFFSET('BPC Data'!$F:$F,0,Summary!R$2),'BPC Data'!$E:$E,Summary!$D269,'BPC Data'!$B:$B,Summary!$C269)</f>
        <v>0</v>
      </c>
      <c r="S269" s="23"/>
      <c r="T269" s="76"/>
      <c r="AJ269" s="49"/>
      <c r="AK269" s="49"/>
      <c r="AL269" s="49"/>
      <c r="AM269" s="49"/>
      <c r="AN269" s="49"/>
      <c r="AO269" s="49"/>
      <c r="AP269" s="49"/>
      <c r="AQ269" s="49"/>
      <c r="AR269" s="49"/>
      <c r="AS269" s="49"/>
      <c r="AT269" s="49"/>
      <c r="AU269" s="49"/>
    </row>
    <row r="270" spans="1:47" s="12" customFormat="1" hidden="1" outlineLevel="1">
      <c r="A270" s="12">
        <f t="shared" si="444"/>
        <v>24</v>
      </c>
      <c r="B270"/>
      <c r="C270">
        <f>$F262</f>
        <v>0</v>
      </c>
      <c r="D270" s="1" t="str">
        <f t="shared" si="433"/>
        <v>T_EBITDAR - EBITDAR</v>
      </c>
      <c r="E270"/>
      <c r="F270" s="19" t="str">
        <f>_xll.EVDES(D270)</f>
        <v>EBITDAR</v>
      </c>
      <c r="G270" s="61">
        <f ca="1">SUMIFS(OFFSET('BPC Data'!$F:$F,0,Summary!G$2),'BPC Data'!$E:$E,Summary!$D270,'BPC Data'!$B:$B,Summary!$C270)</f>
        <v>0</v>
      </c>
      <c r="H270" s="65">
        <f ca="1">SUMIFS(OFFSET('BPC Data'!$F:$F,0,Summary!H$2),'BPC Data'!$E:$E,Summary!$D270,'BPC Data'!$B:$B,Summary!$C270)</f>
        <v>0</v>
      </c>
      <c r="I270" s="61">
        <f ca="1">SUMIFS(OFFSET('BPC Data'!$F:$F,0,Summary!I$2),'BPC Data'!$E:$E,Summary!$D270,'BPC Data'!$B:$B,Summary!$C270)</f>
        <v>0</v>
      </c>
      <c r="J270" s="65">
        <f ca="1">SUMIFS(OFFSET('BPC Data'!$F:$F,0,Summary!J$2),'BPC Data'!$E:$E,Summary!$D270,'BPC Data'!$B:$B,Summary!$C270)</f>
        <v>0</v>
      </c>
      <c r="K270" s="61">
        <f ca="1">SUMIFS(OFFSET('BPC Data'!$F:$F,0,Summary!K$2),'BPC Data'!$E:$E,Summary!$D270,'BPC Data'!$B:$B,Summary!$C270)</f>
        <v>0</v>
      </c>
      <c r="L270" s="65">
        <f ca="1">SUMIFS(OFFSET('BPC Data'!$F:$F,0,Summary!L$2),'BPC Data'!$E:$E,Summary!$D270,'BPC Data'!$B:$B,Summary!$C270)</f>
        <v>0</v>
      </c>
      <c r="M270" s="61">
        <f ca="1">SUMIFS(OFFSET('BPC Data'!$F:$F,0,Summary!M$2),'BPC Data'!$E:$E,Summary!$D270,'BPC Data'!$B:$B,Summary!$C270)</f>
        <v>0</v>
      </c>
      <c r="N270" s="65">
        <f ca="1">SUMIFS(OFFSET('BPC Data'!$F:$F,0,Summary!N$2),'BPC Data'!$E:$E,Summary!$D270,'BPC Data'!$B:$B,Summary!$C270)</f>
        <v>0</v>
      </c>
      <c r="O270" s="61">
        <f ca="1">SUMIFS(OFFSET('BPC Data'!$F:$F,0,Summary!O$2),'BPC Data'!$E:$E,Summary!$D270,'BPC Data'!$B:$B,Summary!$C270)</f>
        <v>0</v>
      </c>
      <c r="P270" s="65">
        <f ca="1">SUMIFS(OFFSET('BPC Data'!$F:$F,0,Summary!P$2),'BPC Data'!$E:$E,Summary!$D270,'BPC Data'!$B:$B,Summary!$C270)</f>
        <v>0</v>
      </c>
      <c r="Q270" s="61">
        <f ca="1">SUMIFS(OFFSET('BPC Data'!$F:$F,0,Summary!Q$2),'BPC Data'!$E:$E,Summary!$D270,'BPC Data'!$B:$B,Summary!$C270)</f>
        <v>0</v>
      </c>
      <c r="R270" s="65">
        <f ca="1">SUMIFS(OFFSET('BPC Data'!$F:$F,0,Summary!R$2),'BPC Data'!$E:$E,Summary!$D270,'BPC Data'!$B:$B,Summary!$C270)</f>
        <v>0</v>
      </c>
      <c r="S270" s="23"/>
      <c r="T270" s="76"/>
      <c r="AJ270" s="49"/>
      <c r="AK270" s="49"/>
      <c r="AL270" s="49"/>
      <c r="AM270" s="49"/>
      <c r="AN270" s="49"/>
      <c r="AO270" s="49"/>
      <c r="AP270" s="49"/>
      <c r="AQ270" s="49"/>
      <c r="AR270" s="49"/>
      <c r="AS270" s="49"/>
      <c r="AT270" s="49"/>
      <c r="AU270" s="49"/>
    </row>
    <row r="271" spans="1:47" s="12" customFormat="1" hidden="1" outlineLevel="1">
      <c r="A271" s="12">
        <f t="shared" si="444"/>
        <v>24</v>
      </c>
      <c r="B271"/>
      <c r="C271">
        <f>$F262</f>
        <v>0</v>
      </c>
      <c r="D271" s="1" t="str">
        <f t="shared" si="433"/>
        <v>T_RENT_EXP - Tenant Rent Expense</v>
      </c>
      <c r="E271"/>
      <c r="F271" s="19" t="str">
        <f>_xll.EVDES(D271)</f>
        <v>Tenant Rent Expense</v>
      </c>
      <c r="G271" s="61">
        <f ca="1">SUMIFS(OFFSET('BPC Data'!$F:$F,0,Summary!G$2),'BPC Data'!$E:$E,Summary!$D271,'BPC Data'!$B:$B,Summary!$C271)</f>
        <v>0</v>
      </c>
      <c r="H271" s="65">
        <f ca="1">SUMIFS(OFFSET('BPC Data'!$F:$F,0,Summary!H$2),'BPC Data'!$E:$E,Summary!$D271,'BPC Data'!$B:$B,Summary!$C271)</f>
        <v>0</v>
      </c>
      <c r="I271" s="61">
        <f ca="1">SUMIFS(OFFSET('BPC Data'!$F:$F,0,Summary!I$2),'BPC Data'!$E:$E,Summary!$D271,'BPC Data'!$B:$B,Summary!$C271)</f>
        <v>0</v>
      </c>
      <c r="J271" s="65">
        <f ca="1">SUMIFS(OFFSET('BPC Data'!$F:$F,0,Summary!J$2),'BPC Data'!$E:$E,Summary!$D271,'BPC Data'!$B:$B,Summary!$C271)</f>
        <v>0</v>
      </c>
      <c r="K271" s="61">
        <f ca="1">SUMIFS(OFFSET('BPC Data'!$F:$F,0,Summary!K$2),'BPC Data'!$E:$E,Summary!$D271,'BPC Data'!$B:$B,Summary!$C271)</f>
        <v>0</v>
      </c>
      <c r="L271" s="65">
        <f ca="1">SUMIFS(OFFSET('BPC Data'!$F:$F,0,Summary!L$2),'BPC Data'!$E:$E,Summary!$D271,'BPC Data'!$B:$B,Summary!$C271)</f>
        <v>0</v>
      </c>
      <c r="M271" s="61">
        <f ca="1">SUMIFS(OFFSET('BPC Data'!$F:$F,0,Summary!M$2),'BPC Data'!$E:$E,Summary!$D271,'BPC Data'!$B:$B,Summary!$C271)</f>
        <v>0</v>
      </c>
      <c r="N271" s="65">
        <f ca="1">SUMIFS(OFFSET('BPC Data'!$F:$F,0,Summary!N$2),'BPC Data'!$E:$E,Summary!$D271,'BPC Data'!$B:$B,Summary!$C271)</f>
        <v>0</v>
      </c>
      <c r="O271" s="61">
        <f ca="1">SUMIFS(OFFSET('BPC Data'!$F:$F,0,Summary!O$2),'BPC Data'!$E:$E,Summary!$D271,'BPC Data'!$B:$B,Summary!$C271)</f>
        <v>0</v>
      </c>
      <c r="P271" s="65">
        <f ca="1">SUMIFS(OFFSET('BPC Data'!$F:$F,0,Summary!P$2),'BPC Data'!$E:$E,Summary!$D271,'BPC Data'!$B:$B,Summary!$C271)</f>
        <v>0</v>
      </c>
      <c r="Q271" s="61">
        <f ca="1">SUMIFS(OFFSET('BPC Data'!$F:$F,0,Summary!Q$2),'BPC Data'!$E:$E,Summary!$D271,'BPC Data'!$B:$B,Summary!$C271)</f>
        <v>0</v>
      </c>
      <c r="R271" s="65">
        <f ca="1">SUMIFS(OFFSET('BPC Data'!$F:$F,0,Summary!R$2),'BPC Data'!$E:$E,Summary!$D271,'BPC Data'!$B:$B,Summary!$C271)</f>
        <v>0</v>
      </c>
      <c r="S271" s="23"/>
      <c r="T271" s="76"/>
      <c r="AJ271" s="49"/>
      <c r="AK271" s="49"/>
      <c r="AL271" s="49"/>
      <c r="AM271" s="49"/>
      <c r="AN271" s="49"/>
      <c r="AO271" s="49"/>
      <c r="AP271" s="49"/>
      <c r="AQ271" s="49"/>
      <c r="AR271" s="49"/>
      <c r="AS271" s="49"/>
      <c r="AT271" s="49"/>
      <c r="AU271" s="49"/>
    </row>
    <row r="272" spans="1:47" s="12" customFormat="1" hidden="1" outlineLevel="1">
      <c r="A272" s="12">
        <f t="shared" si="444"/>
        <v>24</v>
      </c>
      <c r="B272"/>
      <c r="C272"/>
      <c r="D272" s="1" t="str">
        <f t="shared" si="433"/>
        <v>x</v>
      </c>
      <c r="E272"/>
      <c r="F272" s="19" t="s">
        <v>0</v>
      </c>
      <c r="G272" s="61">
        <f ca="1">SUMIFS(OFFSET('BPC Data'!$F:$F,0,Summary!G$2),'BPC Data'!$E:$E,Summary!$D272,'BPC Data'!$B:$B,Summary!$C272)</f>
        <v>0</v>
      </c>
      <c r="H272" s="65">
        <f ca="1">SUMIFS(OFFSET('BPC Data'!$F:$F,0,Summary!H$2),'BPC Data'!$E:$E,Summary!$D272,'BPC Data'!$B:$B,Summary!$C272)</f>
        <v>0</v>
      </c>
      <c r="I272" s="61">
        <f ca="1">SUMIFS(OFFSET('BPC Data'!$F:$F,0,Summary!I$2),'BPC Data'!$E:$E,Summary!$D272,'BPC Data'!$B:$B,Summary!$C272)</f>
        <v>0</v>
      </c>
      <c r="J272" s="65">
        <f ca="1">SUMIFS(OFFSET('BPC Data'!$F:$F,0,Summary!J$2),'BPC Data'!$E:$E,Summary!$D272,'BPC Data'!$B:$B,Summary!$C272)</f>
        <v>0</v>
      </c>
      <c r="K272" s="61">
        <f ca="1">SUMIFS(OFFSET('BPC Data'!$F:$F,0,Summary!K$2),'BPC Data'!$E:$E,Summary!$D272,'BPC Data'!$B:$B,Summary!$C272)</f>
        <v>0</v>
      </c>
      <c r="L272" s="65">
        <f ca="1">SUMIFS(OFFSET('BPC Data'!$F:$F,0,Summary!L$2),'BPC Data'!$E:$E,Summary!$D272,'BPC Data'!$B:$B,Summary!$C272)</f>
        <v>0</v>
      </c>
      <c r="M272" s="61">
        <f ca="1">SUMIFS(OFFSET('BPC Data'!$F:$F,0,Summary!M$2),'BPC Data'!$E:$E,Summary!$D272,'BPC Data'!$B:$B,Summary!$C272)</f>
        <v>0</v>
      </c>
      <c r="N272" s="65">
        <f ca="1">SUMIFS(OFFSET('BPC Data'!$F:$F,0,Summary!N$2),'BPC Data'!$E:$E,Summary!$D272,'BPC Data'!$B:$B,Summary!$C272)</f>
        <v>0</v>
      </c>
      <c r="O272" s="61">
        <f ca="1">SUMIFS(OFFSET('BPC Data'!$F:$F,0,Summary!O$2),'BPC Data'!$E:$E,Summary!$D272,'BPC Data'!$B:$B,Summary!$C272)</f>
        <v>0</v>
      </c>
      <c r="P272" s="65">
        <f ca="1">SUMIFS(OFFSET('BPC Data'!$F:$F,0,Summary!P$2),'BPC Data'!$E:$E,Summary!$D272,'BPC Data'!$B:$B,Summary!$C272)</f>
        <v>0</v>
      </c>
      <c r="Q272" s="61">
        <f ca="1">SUMIFS(OFFSET('BPC Data'!$F:$F,0,Summary!Q$2),'BPC Data'!$E:$E,Summary!$D272,'BPC Data'!$B:$B,Summary!$C272)</f>
        <v>0</v>
      </c>
      <c r="R272" s="65">
        <f ca="1">SUMIFS(OFFSET('BPC Data'!$F:$F,0,Summary!R$2),'BPC Data'!$E:$E,Summary!$D272,'BPC Data'!$B:$B,Summary!$C272)</f>
        <v>0</v>
      </c>
      <c r="S272" s="23"/>
      <c r="T272" s="76"/>
      <c r="AJ272" s="49"/>
      <c r="AK272" s="49"/>
      <c r="AL272" s="49"/>
      <c r="AM272" s="49"/>
      <c r="AN272" s="49"/>
      <c r="AO272" s="49"/>
      <c r="AP272" s="49"/>
      <c r="AQ272" s="49"/>
      <c r="AR272" s="49"/>
      <c r="AS272" s="49"/>
      <c r="AT272" s="49"/>
      <c r="AU272" s="49"/>
    </row>
    <row r="273" spans="1:47" s="12" customFormat="1" hidden="1" outlineLevel="1">
      <c r="A273" s="12">
        <f>IF(AND(D273&lt;&gt;"",C273=""),A272+1,A272)</f>
        <v>25</v>
      </c>
      <c r="B273" s="5"/>
      <c r="C273" s="5"/>
      <c r="D273" s="5" t="str">
        <f t="shared" si="433"/>
        <v>x</v>
      </c>
      <c r="E273" s="5"/>
      <c r="F273" s="18">
        <f>INDEX(PropertyList!$D:$D,MATCH(Summary!$A273,PropertyList!$C:$C,0))</f>
        <v>0</v>
      </c>
      <c r="G273" s="61">
        <f ca="1">SUMIFS(OFFSET('BPC Data'!$F:$F,0,Summary!G$2),'BPC Data'!$E:$E,Summary!$D273,'BPC Data'!$B:$B,Summary!$C273)</f>
        <v>0</v>
      </c>
      <c r="H273" s="65">
        <f ca="1">SUMIFS(OFFSET('BPC Data'!$F:$F,0,Summary!H$2),'BPC Data'!$E:$E,Summary!$D273,'BPC Data'!$B:$B,Summary!$C273)</f>
        <v>0</v>
      </c>
      <c r="I273" s="61">
        <f ca="1">SUMIFS(OFFSET('BPC Data'!$F:$F,0,Summary!I$2),'BPC Data'!$E:$E,Summary!$D273,'BPC Data'!$B:$B,Summary!$C273)</f>
        <v>0</v>
      </c>
      <c r="J273" s="65">
        <f ca="1">SUMIFS(OFFSET('BPC Data'!$F:$F,0,Summary!J$2),'BPC Data'!$E:$E,Summary!$D273,'BPC Data'!$B:$B,Summary!$C273)</f>
        <v>0</v>
      </c>
      <c r="K273" s="61">
        <f ca="1">SUMIFS(OFFSET('BPC Data'!$F:$F,0,Summary!K$2),'BPC Data'!$E:$E,Summary!$D273,'BPC Data'!$B:$B,Summary!$C273)</f>
        <v>0</v>
      </c>
      <c r="L273" s="65">
        <f ca="1">SUMIFS(OFFSET('BPC Data'!$F:$F,0,Summary!L$2),'BPC Data'!$E:$E,Summary!$D273,'BPC Data'!$B:$B,Summary!$C273)</f>
        <v>0</v>
      </c>
      <c r="M273" s="61">
        <f ca="1">SUMIFS(OFFSET('BPC Data'!$F:$F,0,Summary!M$2),'BPC Data'!$E:$E,Summary!$D273,'BPC Data'!$B:$B,Summary!$C273)</f>
        <v>0</v>
      </c>
      <c r="N273" s="65">
        <f ca="1">SUMIFS(OFFSET('BPC Data'!$F:$F,0,Summary!N$2),'BPC Data'!$E:$E,Summary!$D273,'BPC Data'!$B:$B,Summary!$C273)</f>
        <v>0</v>
      </c>
      <c r="O273" s="61">
        <f ca="1">SUMIFS(OFFSET('BPC Data'!$F:$F,0,Summary!O$2),'BPC Data'!$E:$E,Summary!$D273,'BPC Data'!$B:$B,Summary!$C273)</f>
        <v>0</v>
      </c>
      <c r="P273" s="65">
        <f ca="1">SUMIFS(OFFSET('BPC Data'!$F:$F,0,Summary!P$2),'BPC Data'!$E:$E,Summary!$D273,'BPC Data'!$B:$B,Summary!$C273)</f>
        <v>0</v>
      </c>
      <c r="Q273" s="61">
        <f ca="1">SUMIFS(OFFSET('BPC Data'!$F:$F,0,Summary!Q$2),'BPC Data'!$E:$E,Summary!$D273,'BPC Data'!$B:$B,Summary!$C273)</f>
        <v>0</v>
      </c>
      <c r="R273" s="65">
        <f ca="1">SUMIFS(OFFSET('BPC Data'!$F:$F,0,Summary!R$2),'BPC Data'!$E:$E,Summary!$D273,'BPC Data'!$B:$B,Summary!$C273)</f>
        <v>0</v>
      </c>
      <c r="S273" s="23"/>
      <c r="T273" s="76"/>
      <c r="AJ273" s="49"/>
      <c r="AK273" s="49"/>
      <c r="AL273" s="49"/>
      <c r="AM273" s="49"/>
      <c r="AN273" s="49"/>
      <c r="AO273" s="49"/>
      <c r="AP273" s="49"/>
      <c r="AQ273" s="49"/>
      <c r="AR273" s="49"/>
      <c r="AS273" s="49"/>
      <c r="AT273" s="49"/>
      <c r="AU273" s="49"/>
    </row>
    <row r="274" spans="1:47" s="12" customFormat="1" hidden="1" outlineLevel="1">
      <c r="A274" s="12">
        <f>IF(AND(F274&lt;&gt;"",D274=""),A273+1,A273)</f>
        <v>25</v>
      </c>
      <c r="C274">
        <f>$F273</f>
        <v>0</v>
      </c>
      <c r="D274" s="3" t="str">
        <f t="shared" si="433"/>
        <v>PAY_PAT_DAYS - Total Payor Patient Days</v>
      </c>
      <c r="F274" s="19" t="str">
        <f>_xll.EVDES(D274)</f>
        <v>Total Payor Patient Days</v>
      </c>
      <c r="G274" s="61">
        <f ca="1">SUMIFS(OFFSET('BPC Data'!$F:$F,0,Summary!G$2),'BPC Data'!$E:$E,Summary!$D274,'BPC Data'!$B:$B,Summary!$C274)</f>
        <v>0</v>
      </c>
      <c r="H274" s="65">
        <f ca="1">SUMIFS(OFFSET('BPC Data'!$F:$F,0,Summary!H$2),'BPC Data'!$E:$E,Summary!$D274,'BPC Data'!$B:$B,Summary!$C274)</f>
        <v>0</v>
      </c>
      <c r="I274" s="61">
        <f ca="1">SUMIFS(OFFSET('BPC Data'!$F:$F,0,Summary!I$2),'BPC Data'!$E:$E,Summary!$D274,'BPC Data'!$B:$B,Summary!$C274)</f>
        <v>0</v>
      </c>
      <c r="J274" s="65">
        <f ca="1">SUMIFS(OFFSET('BPC Data'!$F:$F,0,Summary!J$2),'BPC Data'!$E:$E,Summary!$D274,'BPC Data'!$B:$B,Summary!$C274)</f>
        <v>0</v>
      </c>
      <c r="K274" s="61">
        <f ca="1">SUMIFS(OFFSET('BPC Data'!$F:$F,0,Summary!K$2),'BPC Data'!$E:$E,Summary!$D274,'BPC Data'!$B:$B,Summary!$C274)</f>
        <v>0</v>
      </c>
      <c r="L274" s="65">
        <f ca="1">SUMIFS(OFFSET('BPC Data'!$F:$F,0,Summary!L$2),'BPC Data'!$E:$E,Summary!$D274,'BPC Data'!$B:$B,Summary!$C274)</f>
        <v>0</v>
      </c>
      <c r="M274" s="61">
        <f ca="1">SUMIFS(OFFSET('BPC Data'!$F:$F,0,Summary!M$2),'BPC Data'!$E:$E,Summary!$D274,'BPC Data'!$B:$B,Summary!$C274)</f>
        <v>0</v>
      </c>
      <c r="N274" s="65">
        <f ca="1">SUMIFS(OFFSET('BPC Data'!$F:$F,0,Summary!N$2),'BPC Data'!$E:$E,Summary!$D274,'BPC Data'!$B:$B,Summary!$C274)</f>
        <v>0</v>
      </c>
      <c r="O274" s="61">
        <f ca="1">SUMIFS(OFFSET('BPC Data'!$F:$F,0,Summary!O$2),'BPC Data'!$E:$E,Summary!$D274,'BPC Data'!$B:$B,Summary!$C274)</f>
        <v>0</v>
      </c>
      <c r="P274" s="65">
        <f ca="1">SUMIFS(OFFSET('BPC Data'!$F:$F,0,Summary!P$2),'BPC Data'!$E:$E,Summary!$D274,'BPC Data'!$B:$B,Summary!$C274)</f>
        <v>0</v>
      </c>
      <c r="Q274" s="61">
        <f ca="1">SUMIFS(OFFSET('BPC Data'!$F:$F,0,Summary!Q$2),'BPC Data'!$E:$E,Summary!$D274,'BPC Data'!$B:$B,Summary!$C274)</f>
        <v>0</v>
      </c>
      <c r="R274" s="65">
        <f ca="1">SUMIFS(OFFSET('BPC Data'!$F:$F,0,Summary!R$2),'BPC Data'!$E:$E,Summary!$D274,'BPC Data'!$B:$B,Summary!$C274)</f>
        <v>0</v>
      </c>
      <c r="S274" s="23"/>
      <c r="T274" s="76"/>
      <c r="AJ274" s="49"/>
      <c r="AK274" s="49"/>
      <c r="AL274" s="49"/>
      <c r="AM274" s="49"/>
      <c r="AN274" s="49"/>
      <c r="AO274" s="49"/>
      <c r="AP274" s="49"/>
      <c r="AQ274" s="49"/>
      <c r="AR274" s="49"/>
      <c r="AS274" s="49"/>
      <c r="AT274" s="49"/>
      <c r="AU274" s="49"/>
    </row>
    <row r="275" spans="1:47" s="12" customFormat="1" hidden="1" outlineLevel="1">
      <c r="A275" s="12">
        <f t="shared" ref="A275:A283" si="445">IF(AND(F275&lt;&gt;"",D275=""),A274+1,A274)</f>
        <v>25</v>
      </c>
      <c r="C275">
        <f>$F273</f>
        <v>0</v>
      </c>
      <c r="D275" s="3" t="str">
        <f t="shared" si="433"/>
        <v>A_BEDS_TOTAL - Total Available Beds</v>
      </c>
      <c r="F275" s="19" t="str">
        <f>_xll.EVDES(D275)</f>
        <v>Total Available Beds</v>
      </c>
      <c r="G275" s="61">
        <f ca="1">SUMIFS(OFFSET('BPC Data'!$F:$F,0,Summary!G$2),'BPC Data'!$E:$E,Summary!$D275,'BPC Data'!$B:$B,Summary!$C275)</f>
        <v>0</v>
      </c>
      <c r="H275" s="65">
        <f ca="1">SUMIFS(OFFSET('BPC Data'!$F:$F,0,Summary!H$2),'BPC Data'!$E:$E,Summary!$D275,'BPC Data'!$B:$B,Summary!$C275)</f>
        <v>0</v>
      </c>
      <c r="I275" s="61">
        <f ca="1">SUMIFS(OFFSET('BPC Data'!$F:$F,0,Summary!I$2),'BPC Data'!$E:$E,Summary!$D275,'BPC Data'!$B:$B,Summary!$C275)</f>
        <v>0</v>
      </c>
      <c r="J275" s="65">
        <f ca="1">SUMIFS(OFFSET('BPC Data'!$F:$F,0,Summary!J$2),'BPC Data'!$E:$E,Summary!$D275,'BPC Data'!$B:$B,Summary!$C275)</f>
        <v>0</v>
      </c>
      <c r="K275" s="61">
        <f ca="1">SUMIFS(OFFSET('BPC Data'!$F:$F,0,Summary!K$2),'BPC Data'!$E:$E,Summary!$D275,'BPC Data'!$B:$B,Summary!$C275)</f>
        <v>0</v>
      </c>
      <c r="L275" s="65">
        <f ca="1">SUMIFS(OFFSET('BPC Data'!$F:$F,0,Summary!L$2),'BPC Data'!$E:$E,Summary!$D275,'BPC Data'!$B:$B,Summary!$C275)</f>
        <v>0</v>
      </c>
      <c r="M275" s="61">
        <f ca="1">SUMIFS(OFFSET('BPC Data'!$F:$F,0,Summary!M$2),'BPC Data'!$E:$E,Summary!$D275,'BPC Data'!$B:$B,Summary!$C275)</f>
        <v>0</v>
      </c>
      <c r="N275" s="65">
        <f ca="1">SUMIFS(OFFSET('BPC Data'!$F:$F,0,Summary!N$2),'BPC Data'!$E:$E,Summary!$D275,'BPC Data'!$B:$B,Summary!$C275)</f>
        <v>0</v>
      </c>
      <c r="O275" s="61">
        <f ca="1">SUMIFS(OFFSET('BPC Data'!$F:$F,0,Summary!O$2),'BPC Data'!$E:$E,Summary!$D275,'BPC Data'!$B:$B,Summary!$C275)</f>
        <v>0</v>
      </c>
      <c r="P275" s="65">
        <f ca="1">SUMIFS(OFFSET('BPC Data'!$F:$F,0,Summary!P$2),'BPC Data'!$E:$E,Summary!$D275,'BPC Data'!$B:$B,Summary!$C275)</f>
        <v>0</v>
      </c>
      <c r="Q275" s="61">
        <f ca="1">SUMIFS(OFFSET('BPC Data'!$F:$F,0,Summary!Q$2),'BPC Data'!$E:$E,Summary!$D275,'BPC Data'!$B:$B,Summary!$C275)</f>
        <v>0</v>
      </c>
      <c r="R275" s="65">
        <f ca="1">SUMIFS(OFFSET('BPC Data'!$F:$F,0,Summary!R$2),'BPC Data'!$E:$E,Summary!$D275,'BPC Data'!$B:$B,Summary!$C275)</f>
        <v>0</v>
      </c>
      <c r="S275" s="23"/>
      <c r="T275" s="76"/>
      <c r="AJ275" s="49"/>
      <c r="AK275" s="49"/>
      <c r="AL275" s="49"/>
      <c r="AM275" s="49"/>
      <c r="AN275" s="49"/>
      <c r="AO275" s="49"/>
      <c r="AP275" s="49"/>
      <c r="AQ275" s="49"/>
      <c r="AR275" s="49"/>
      <c r="AS275" s="49"/>
      <c r="AT275" s="49"/>
      <c r="AU275" s="49"/>
    </row>
    <row r="276" spans="1:47" s="12" customFormat="1" hidden="1" outlineLevel="1">
      <c r="A276" s="12">
        <f t="shared" si="445"/>
        <v>25</v>
      </c>
      <c r="B276"/>
      <c r="C276">
        <f>$F273</f>
        <v>0</v>
      </c>
      <c r="D276" s="3" t="str">
        <f t="shared" si="433"/>
        <v>T_REVENUES - Total Tenant Revenues</v>
      </c>
      <c r="E276"/>
      <c r="F276" s="19" t="str">
        <f>_xll.EVDES(D276)</f>
        <v>Total Tenant Revenues</v>
      </c>
      <c r="G276" s="61">
        <f ca="1">SUMIFS(OFFSET('BPC Data'!$F:$F,0,Summary!G$2),'BPC Data'!$E:$E,Summary!$D276,'BPC Data'!$B:$B,Summary!$C276)</f>
        <v>0</v>
      </c>
      <c r="H276" s="65">
        <f ca="1">SUMIFS(OFFSET('BPC Data'!$F:$F,0,Summary!H$2),'BPC Data'!$E:$E,Summary!$D276,'BPC Data'!$B:$B,Summary!$C276)</f>
        <v>0</v>
      </c>
      <c r="I276" s="61">
        <f ca="1">SUMIFS(OFFSET('BPC Data'!$F:$F,0,Summary!I$2),'BPC Data'!$E:$E,Summary!$D276,'BPC Data'!$B:$B,Summary!$C276)</f>
        <v>0</v>
      </c>
      <c r="J276" s="65">
        <f ca="1">SUMIFS(OFFSET('BPC Data'!$F:$F,0,Summary!J$2),'BPC Data'!$E:$E,Summary!$D276,'BPC Data'!$B:$B,Summary!$C276)</f>
        <v>0</v>
      </c>
      <c r="K276" s="61">
        <f ca="1">SUMIFS(OFFSET('BPC Data'!$F:$F,0,Summary!K$2),'BPC Data'!$E:$E,Summary!$D276,'BPC Data'!$B:$B,Summary!$C276)</f>
        <v>0</v>
      </c>
      <c r="L276" s="65">
        <f ca="1">SUMIFS(OFFSET('BPC Data'!$F:$F,0,Summary!L$2),'BPC Data'!$E:$E,Summary!$D276,'BPC Data'!$B:$B,Summary!$C276)</f>
        <v>0</v>
      </c>
      <c r="M276" s="61">
        <f ca="1">SUMIFS(OFFSET('BPC Data'!$F:$F,0,Summary!M$2),'BPC Data'!$E:$E,Summary!$D276,'BPC Data'!$B:$B,Summary!$C276)</f>
        <v>0</v>
      </c>
      <c r="N276" s="65">
        <f ca="1">SUMIFS(OFFSET('BPC Data'!$F:$F,0,Summary!N$2),'BPC Data'!$E:$E,Summary!$D276,'BPC Data'!$B:$B,Summary!$C276)</f>
        <v>0</v>
      </c>
      <c r="O276" s="61">
        <f ca="1">SUMIFS(OFFSET('BPC Data'!$F:$F,0,Summary!O$2),'BPC Data'!$E:$E,Summary!$D276,'BPC Data'!$B:$B,Summary!$C276)</f>
        <v>0</v>
      </c>
      <c r="P276" s="65">
        <f ca="1">SUMIFS(OFFSET('BPC Data'!$F:$F,0,Summary!P$2),'BPC Data'!$E:$E,Summary!$D276,'BPC Data'!$B:$B,Summary!$C276)</f>
        <v>0</v>
      </c>
      <c r="Q276" s="61">
        <f ca="1">SUMIFS(OFFSET('BPC Data'!$F:$F,0,Summary!Q$2),'BPC Data'!$E:$E,Summary!$D276,'BPC Data'!$B:$B,Summary!$C276)</f>
        <v>0</v>
      </c>
      <c r="R276" s="65">
        <f ca="1">SUMIFS(OFFSET('BPC Data'!$F:$F,0,Summary!R$2),'BPC Data'!$E:$E,Summary!$D276,'BPC Data'!$B:$B,Summary!$C276)</f>
        <v>0</v>
      </c>
      <c r="S276" s="23"/>
      <c r="T276" s="76"/>
      <c r="AJ276" s="49"/>
      <c r="AK276" s="49"/>
      <c r="AL276" s="49"/>
      <c r="AM276" s="49"/>
      <c r="AN276" s="49"/>
      <c r="AO276" s="49"/>
      <c r="AP276" s="49"/>
      <c r="AQ276" s="49"/>
      <c r="AR276" s="49"/>
      <c r="AS276" s="49"/>
      <c r="AT276" s="49"/>
      <c r="AU276" s="49"/>
    </row>
    <row r="277" spans="1:47" s="12" customFormat="1" hidden="1" outlineLevel="1">
      <c r="A277" s="12">
        <f t="shared" si="445"/>
        <v>25</v>
      </c>
      <c r="B277"/>
      <c r="C277">
        <f>$F273</f>
        <v>0</v>
      </c>
      <c r="D277" s="3" t="str">
        <f t="shared" si="433"/>
        <v>T_OPEX - Tenant Operating Expenses</v>
      </c>
      <c r="E277"/>
      <c r="F277" s="19" t="str">
        <f>_xll.EVDES(D277)</f>
        <v>Tenant Operating Expenses</v>
      </c>
      <c r="G277" s="61">
        <f ca="1">SUMIFS(OFFSET('BPC Data'!$F:$F,0,Summary!G$2),'BPC Data'!$E:$E,Summary!$D277,'BPC Data'!$B:$B,Summary!$C277)</f>
        <v>0</v>
      </c>
      <c r="H277" s="65">
        <f ca="1">SUMIFS(OFFSET('BPC Data'!$F:$F,0,Summary!H$2),'BPC Data'!$E:$E,Summary!$D277,'BPC Data'!$B:$B,Summary!$C277)</f>
        <v>0</v>
      </c>
      <c r="I277" s="61">
        <f ca="1">SUMIFS(OFFSET('BPC Data'!$F:$F,0,Summary!I$2),'BPC Data'!$E:$E,Summary!$D277,'BPC Data'!$B:$B,Summary!$C277)</f>
        <v>0</v>
      </c>
      <c r="J277" s="65">
        <f ca="1">SUMIFS(OFFSET('BPC Data'!$F:$F,0,Summary!J$2),'BPC Data'!$E:$E,Summary!$D277,'BPC Data'!$B:$B,Summary!$C277)</f>
        <v>0</v>
      </c>
      <c r="K277" s="61">
        <f ca="1">SUMIFS(OFFSET('BPC Data'!$F:$F,0,Summary!K$2),'BPC Data'!$E:$E,Summary!$D277,'BPC Data'!$B:$B,Summary!$C277)</f>
        <v>0</v>
      </c>
      <c r="L277" s="65">
        <f ca="1">SUMIFS(OFFSET('BPC Data'!$F:$F,0,Summary!L$2),'BPC Data'!$E:$E,Summary!$D277,'BPC Data'!$B:$B,Summary!$C277)</f>
        <v>0</v>
      </c>
      <c r="M277" s="61">
        <f ca="1">SUMIFS(OFFSET('BPC Data'!$F:$F,0,Summary!M$2),'BPC Data'!$E:$E,Summary!$D277,'BPC Data'!$B:$B,Summary!$C277)</f>
        <v>0</v>
      </c>
      <c r="N277" s="65">
        <f ca="1">SUMIFS(OFFSET('BPC Data'!$F:$F,0,Summary!N$2),'BPC Data'!$E:$E,Summary!$D277,'BPC Data'!$B:$B,Summary!$C277)</f>
        <v>0</v>
      </c>
      <c r="O277" s="61">
        <f ca="1">SUMIFS(OFFSET('BPC Data'!$F:$F,0,Summary!O$2),'BPC Data'!$E:$E,Summary!$D277,'BPC Data'!$B:$B,Summary!$C277)</f>
        <v>0</v>
      </c>
      <c r="P277" s="65">
        <f ca="1">SUMIFS(OFFSET('BPC Data'!$F:$F,0,Summary!P$2),'BPC Data'!$E:$E,Summary!$D277,'BPC Data'!$B:$B,Summary!$C277)</f>
        <v>0</v>
      </c>
      <c r="Q277" s="61">
        <f ca="1">SUMIFS(OFFSET('BPC Data'!$F:$F,0,Summary!Q$2),'BPC Data'!$E:$E,Summary!$D277,'BPC Data'!$B:$B,Summary!$C277)</f>
        <v>0</v>
      </c>
      <c r="R277" s="65">
        <f ca="1">SUMIFS(OFFSET('BPC Data'!$F:$F,0,Summary!R$2),'BPC Data'!$E:$E,Summary!$D277,'BPC Data'!$B:$B,Summary!$C277)</f>
        <v>0</v>
      </c>
      <c r="S277" s="23"/>
      <c r="T277" s="76"/>
      <c r="AJ277" s="49"/>
      <c r="AK277" s="49"/>
      <c r="AL277" s="49"/>
      <c r="AM277" s="49"/>
      <c r="AN277" s="49"/>
      <c r="AO277" s="49"/>
      <c r="AP277" s="49"/>
      <c r="AQ277" s="49"/>
      <c r="AR277" s="49"/>
      <c r="AS277" s="49"/>
      <c r="AT277" s="49"/>
      <c r="AU277" s="49"/>
    </row>
    <row r="278" spans="1:47" s="12" customFormat="1" hidden="1" outlineLevel="1">
      <c r="A278" s="12">
        <f t="shared" si="445"/>
        <v>25</v>
      </c>
      <c r="B278"/>
      <c r="C278">
        <f>$F273</f>
        <v>0</v>
      </c>
      <c r="D278" s="3" t="str">
        <f t="shared" ref="D278:D341" si="446">$D267</f>
        <v>T_BAD_DEBT - Tenant Bad Debt Expense</v>
      </c>
      <c r="E278"/>
      <c r="F278" s="19" t="str">
        <f>_xll.EVDES(D278)</f>
        <v>Tenant Bad Debt Expense</v>
      </c>
      <c r="G278" s="61">
        <f ca="1">SUMIFS(OFFSET('BPC Data'!$F:$F,0,Summary!G$2),'BPC Data'!$E:$E,Summary!$D278,'BPC Data'!$B:$B,Summary!$C278)</f>
        <v>0</v>
      </c>
      <c r="H278" s="65">
        <f ca="1">SUMIFS(OFFSET('BPC Data'!$F:$F,0,Summary!H$2),'BPC Data'!$E:$E,Summary!$D278,'BPC Data'!$B:$B,Summary!$C278)</f>
        <v>0</v>
      </c>
      <c r="I278" s="61">
        <f ca="1">SUMIFS(OFFSET('BPC Data'!$F:$F,0,Summary!I$2),'BPC Data'!$E:$E,Summary!$D278,'BPC Data'!$B:$B,Summary!$C278)</f>
        <v>0</v>
      </c>
      <c r="J278" s="65">
        <f ca="1">SUMIFS(OFFSET('BPC Data'!$F:$F,0,Summary!J$2),'BPC Data'!$E:$E,Summary!$D278,'BPC Data'!$B:$B,Summary!$C278)</f>
        <v>0</v>
      </c>
      <c r="K278" s="61">
        <f ca="1">SUMIFS(OFFSET('BPC Data'!$F:$F,0,Summary!K$2),'BPC Data'!$E:$E,Summary!$D278,'BPC Data'!$B:$B,Summary!$C278)</f>
        <v>0</v>
      </c>
      <c r="L278" s="65">
        <f ca="1">SUMIFS(OFFSET('BPC Data'!$F:$F,0,Summary!L$2),'BPC Data'!$E:$E,Summary!$D278,'BPC Data'!$B:$B,Summary!$C278)</f>
        <v>0</v>
      </c>
      <c r="M278" s="61">
        <f ca="1">SUMIFS(OFFSET('BPC Data'!$F:$F,0,Summary!M$2),'BPC Data'!$E:$E,Summary!$D278,'BPC Data'!$B:$B,Summary!$C278)</f>
        <v>0</v>
      </c>
      <c r="N278" s="65">
        <f ca="1">SUMIFS(OFFSET('BPC Data'!$F:$F,0,Summary!N$2),'BPC Data'!$E:$E,Summary!$D278,'BPC Data'!$B:$B,Summary!$C278)</f>
        <v>0</v>
      </c>
      <c r="O278" s="61">
        <f ca="1">SUMIFS(OFFSET('BPC Data'!$F:$F,0,Summary!O$2),'BPC Data'!$E:$E,Summary!$D278,'BPC Data'!$B:$B,Summary!$C278)</f>
        <v>0</v>
      </c>
      <c r="P278" s="65">
        <f ca="1">SUMIFS(OFFSET('BPC Data'!$F:$F,0,Summary!P$2),'BPC Data'!$E:$E,Summary!$D278,'BPC Data'!$B:$B,Summary!$C278)</f>
        <v>0</v>
      </c>
      <c r="Q278" s="61">
        <f ca="1">SUMIFS(OFFSET('BPC Data'!$F:$F,0,Summary!Q$2),'BPC Data'!$E:$E,Summary!$D278,'BPC Data'!$B:$B,Summary!$C278)</f>
        <v>0</v>
      </c>
      <c r="R278" s="65">
        <f ca="1">SUMIFS(OFFSET('BPC Data'!$F:$F,0,Summary!R$2),'BPC Data'!$E:$E,Summary!$D278,'BPC Data'!$B:$B,Summary!$C278)</f>
        <v>0</v>
      </c>
      <c r="S278" s="23"/>
      <c r="T278" s="76"/>
      <c r="AJ278" s="49"/>
      <c r="AK278" s="49"/>
      <c r="AL278" s="49"/>
      <c r="AM278" s="49"/>
      <c r="AN278" s="49"/>
      <c r="AO278" s="49"/>
      <c r="AP278" s="49"/>
      <c r="AQ278" s="49"/>
      <c r="AR278" s="49"/>
      <c r="AS278" s="49"/>
      <c r="AT278" s="49"/>
      <c r="AU278" s="49"/>
    </row>
    <row r="279" spans="1:47" s="12" customFormat="1" hidden="1" outlineLevel="1">
      <c r="A279" s="12">
        <f t="shared" si="445"/>
        <v>25</v>
      </c>
      <c r="B279"/>
      <c r="C279">
        <f>$F273</f>
        <v>0</v>
      </c>
      <c r="D279" s="2" t="str">
        <f t="shared" si="446"/>
        <v>T_EBITDARM - EBITDARM</v>
      </c>
      <c r="E279"/>
      <c r="F279" s="19" t="str">
        <f>_xll.EVDES(D279)</f>
        <v>EBITDARM</v>
      </c>
      <c r="G279" s="61">
        <f ca="1">SUMIFS(OFFSET('BPC Data'!$F:$F,0,Summary!G$2),'BPC Data'!$E:$E,Summary!$D279,'BPC Data'!$B:$B,Summary!$C279)</f>
        <v>0</v>
      </c>
      <c r="H279" s="65">
        <f ca="1">SUMIFS(OFFSET('BPC Data'!$F:$F,0,Summary!H$2),'BPC Data'!$E:$E,Summary!$D279,'BPC Data'!$B:$B,Summary!$C279)</f>
        <v>0</v>
      </c>
      <c r="I279" s="61">
        <f ca="1">SUMIFS(OFFSET('BPC Data'!$F:$F,0,Summary!I$2),'BPC Data'!$E:$E,Summary!$D279,'BPC Data'!$B:$B,Summary!$C279)</f>
        <v>0</v>
      </c>
      <c r="J279" s="65">
        <f ca="1">SUMIFS(OFFSET('BPC Data'!$F:$F,0,Summary!J$2),'BPC Data'!$E:$E,Summary!$D279,'BPC Data'!$B:$B,Summary!$C279)</f>
        <v>0</v>
      </c>
      <c r="K279" s="61">
        <f ca="1">SUMIFS(OFFSET('BPC Data'!$F:$F,0,Summary!K$2),'BPC Data'!$E:$E,Summary!$D279,'BPC Data'!$B:$B,Summary!$C279)</f>
        <v>0</v>
      </c>
      <c r="L279" s="65">
        <f ca="1">SUMIFS(OFFSET('BPC Data'!$F:$F,0,Summary!L$2),'BPC Data'!$E:$E,Summary!$D279,'BPC Data'!$B:$B,Summary!$C279)</f>
        <v>0</v>
      </c>
      <c r="M279" s="61">
        <f ca="1">SUMIFS(OFFSET('BPC Data'!$F:$F,0,Summary!M$2),'BPC Data'!$E:$E,Summary!$D279,'BPC Data'!$B:$B,Summary!$C279)</f>
        <v>0</v>
      </c>
      <c r="N279" s="65">
        <f ca="1">SUMIFS(OFFSET('BPC Data'!$F:$F,0,Summary!N$2),'BPC Data'!$E:$E,Summary!$D279,'BPC Data'!$B:$B,Summary!$C279)</f>
        <v>0</v>
      </c>
      <c r="O279" s="61">
        <f ca="1">SUMIFS(OFFSET('BPC Data'!$F:$F,0,Summary!O$2),'BPC Data'!$E:$E,Summary!$D279,'BPC Data'!$B:$B,Summary!$C279)</f>
        <v>0</v>
      </c>
      <c r="P279" s="65">
        <f ca="1">SUMIFS(OFFSET('BPC Data'!$F:$F,0,Summary!P$2),'BPC Data'!$E:$E,Summary!$D279,'BPC Data'!$B:$B,Summary!$C279)</f>
        <v>0</v>
      </c>
      <c r="Q279" s="61">
        <f ca="1">SUMIFS(OFFSET('BPC Data'!$F:$F,0,Summary!Q$2),'BPC Data'!$E:$E,Summary!$D279,'BPC Data'!$B:$B,Summary!$C279)</f>
        <v>0</v>
      </c>
      <c r="R279" s="65">
        <f ca="1">SUMIFS(OFFSET('BPC Data'!$F:$F,0,Summary!R$2),'BPC Data'!$E:$E,Summary!$D279,'BPC Data'!$B:$B,Summary!$C279)</f>
        <v>0</v>
      </c>
      <c r="S279" s="23"/>
      <c r="T279" s="76"/>
      <c r="AJ279" s="49"/>
      <c r="AK279" s="49"/>
      <c r="AL279" s="49"/>
      <c r="AM279" s="49"/>
      <c r="AN279" s="49"/>
      <c r="AO279" s="49"/>
      <c r="AP279" s="49"/>
      <c r="AQ279" s="49"/>
      <c r="AR279" s="49"/>
      <c r="AS279" s="49"/>
      <c r="AT279" s="49"/>
      <c r="AU279" s="49"/>
    </row>
    <row r="280" spans="1:47" s="12" customFormat="1" hidden="1" outlineLevel="1">
      <c r="A280" s="12">
        <f t="shared" si="445"/>
        <v>25</v>
      </c>
      <c r="B280"/>
      <c r="C280">
        <f>$F273</f>
        <v>0</v>
      </c>
      <c r="D280" s="2" t="str">
        <f t="shared" si="446"/>
        <v>T_MGMT_FEE - Tenant Management Fee - Actual</v>
      </c>
      <c r="E280"/>
      <c r="F280" s="19" t="str">
        <f>_xll.EVDES(D280)</f>
        <v>Tenant Management Fee - Actual</v>
      </c>
      <c r="G280" s="61">
        <f ca="1">SUMIFS(OFFSET('BPC Data'!$F:$F,0,Summary!G$2),'BPC Data'!$E:$E,Summary!$D280,'BPC Data'!$B:$B,Summary!$C280)</f>
        <v>0</v>
      </c>
      <c r="H280" s="65">
        <f ca="1">SUMIFS(OFFSET('BPC Data'!$F:$F,0,Summary!H$2),'BPC Data'!$E:$E,Summary!$D280,'BPC Data'!$B:$B,Summary!$C280)</f>
        <v>0</v>
      </c>
      <c r="I280" s="61">
        <f ca="1">SUMIFS(OFFSET('BPC Data'!$F:$F,0,Summary!I$2),'BPC Data'!$E:$E,Summary!$D280,'BPC Data'!$B:$B,Summary!$C280)</f>
        <v>0</v>
      </c>
      <c r="J280" s="65">
        <f ca="1">SUMIFS(OFFSET('BPC Data'!$F:$F,0,Summary!J$2),'BPC Data'!$E:$E,Summary!$D280,'BPC Data'!$B:$B,Summary!$C280)</f>
        <v>0</v>
      </c>
      <c r="K280" s="61">
        <f ca="1">SUMIFS(OFFSET('BPC Data'!$F:$F,0,Summary!K$2),'BPC Data'!$E:$E,Summary!$D280,'BPC Data'!$B:$B,Summary!$C280)</f>
        <v>0</v>
      </c>
      <c r="L280" s="65">
        <f ca="1">SUMIFS(OFFSET('BPC Data'!$F:$F,0,Summary!L$2),'BPC Data'!$E:$E,Summary!$D280,'BPC Data'!$B:$B,Summary!$C280)</f>
        <v>0</v>
      </c>
      <c r="M280" s="61">
        <f ca="1">SUMIFS(OFFSET('BPC Data'!$F:$F,0,Summary!M$2),'BPC Data'!$E:$E,Summary!$D280,'BPC Data'!$B:$B,Summary!$C280)</f>
        <v>0</v>
      </c>
      <c r="N280" s="65">
        <f ca="1">SUMIFS(OFFSET('BPC Data'!$F:$F,0,Summary!N$2),'BPC Data'!$E:$E,Summary!$D280,'BPC Data'!$B:$B,Summary!$C280)</f>
        <v>0</v>
      </c>
      <c r="O280" s="61">
        <f ca="1">SUMIFS(OFFSET('BPC Data'!$F:$F,0,Summary!O$2),'BPC Data'!$E:$E,Summary!$D280,'BPC Data'!$B:$B,Summary!$C280)</f>
        <v>0</v>
      </c>
      <c r="P280" s="65">
        <f ca="1">SUMIFS(OFFSET('BPC Data'!$F:$F,0,Summary!P$2),'BPC Data'!$E:$E,Summary!$D280,'BPC Data'!$B:$B,Summary!$C280)</f>
        <v>0</v>
      </c>
      <c r="Q280" s="61">
        <f ca="1">SUMIFS(OFFSET('BPC Data'!$F:$F,0,Summary!Q$2),'BPC Data'!$E:$E,Summary!$D280,'BPC Data'!$B:$B,Summary!$C280)</f>
        <v>0</v>
      </c>
      <c r="R280" s="65">
        <f ca="1">SUMIFS(OFFSET('BPC Data'!$F:$F,0,Summary!R$2),'BPC Data'!$E:$E,Summary!$D280,'BPC Data'!$B:$B,Summary!$C280)</f>
        <v>0</v>
      </c>
      <c r="S280" s="23"/>
      <c r="T280" s="76"/>
      <c r="AJ280" s="49"/>
      <c r="AK280" s="49"/>
      <c r="AL280" s="49"/>
      <c r="AM280" s="49"/>
      <c r="AN280" s="49"/>
      <c r="AO280" s="49"/>
      <c r="AP280" s="49"/>
      <c r="AQ280" s="49"/>
      <c r="AR280" s="49"/>
      <c r="AS280" s="49"/>
      <c r="AT280" s="49"/>
      <c r="AU280" s="49"/>
    </row>
    <row r="281" spans="1:47" s="12" customFormat="1" hidden="1" outlineLevel="1">
      <c r="A281" s="12">
        <f t="shared" si="445"/>
        <v>25</v>
      </c>
      <c r="B281"/>
      <c r="C281">
        <f>$F273</f>
        <v>0</v>
      </c>
      <c r="D281" s="1" t="str">
        <f t="shared" si="446"/>
        <v>T_EBITDAR - EBITDAR</v>
      </c>
      <c r="E281"/>
      <c r="F281" s="19" t="str">
        <f>_xll.EVDES(D281)</f>
        <v>EBITDAR</v>
      </c>
      <c r="G281" s="61">
        <f ca="1">SUMIFS(OFFSET('BPC Data'!$F:$F,0,Summary!G$2),'BPC Data'!$E:$E,Summary!$D281,'BPC Data'!$B:$B,Summary!$C281)</f>
        <v>0</v>
      </c>
      <c r="H281" s="65">
        <f ca="1">SUMIFS(OFFSET('BPC Data'!$F:$F,0,Summary!H$2),'BPC Data'!$E:$E,Summary!$D281,'BPC Data'!$B:$B,Summary!$C281)</f>
        <v>0</v>
      </c>
      <c r="I281" s="61">
        <f ca="1">SUMIFS(OFFSET('BPC Data'!$F:$F,0,Summary!I$2),'BPC Data'!$E:$E,Summary!$D281,'BPC Data'!$B:$B,Summary!$C281)</f>
        <v>0</v>
      </c>
      <c r="J281" s="65">
        <f ca="1">SUMIFS(OFFSET('BPC Data'!$F:$F,0,Summary!J$2),'BPC Data'!$E:$E,Summary!$D281,'BPC Data'!$B:$B,Summary!$C281)</f>
        <v>0</v>
      </c>
      <c r="K281" s="61">
        <f ca="1">SUMIFS(OFFSET('BPC Data'!$F:$F,0,Summary!K$2),'BPC Data'!$E:$E,Summary!$D281,'BPC Data'!$B:$B,Summary!$C281)</f>
        <v>0</v>
      </c>
      <c r="L281" s="65">
        <f ca="1">SUMIFS(OFFSET('BPC Data'!$F:$F,0,Summary!L$2),'BPC Data'!$E:$E,Summary!$D281,'BPC Data'!$B:$B,Summary!$C281)</f>
        <v>0</v>
      </c>
      <c r="M281" s="61">
        <f ca="1">SUMIFS(OFFSET('BPC Data'!$F:$F,0,Summary!M$2),'BPC Data'!$E:$E,Summary!$D281,'BPC Data'!$B:$B,Summary!$C281)</f>
        <v>0</v>
      </c>
      <c r="N281" s="65">
        <f ca="1">SUMIFS(OFFSET('BPC Data'!$F:$F,0,Summary!N$2),'BPC Data'!$E:$E,Summary!$D281,'BPC Data'!$B:$B,Summary!$C281)</f>
        <v>0</v>
      </c>
      <c r="O281" s="61">
        <f ca="1">SUMIFS(OFFSET('BPC Data'!$F:$F,0,Summary!O$2),'BPC Data'!$E:$E,Summary!$D281,'BPC Data'!$B:$B,Summary!$C281)</f>
        <v>0</v>
      </c>
      <c r="P281" s="65">
        <f ca="1">SUMIFS(OFFSET('BPC Data'!$F:$F,0,Summary!P$2),'BPC Data'!$E:$E,Summary!$D281,'BPC Data'!$B:$B,Summary!$C281)</f>
        <v>0</v>
      </c>
      <c r="Q281" s="61">
        <f ca="1">SUMIFS(OFFSET('BPC Data'!$F:$F,0,Summary!Q$2),'BPC Data'!$E:$E,Summary!$D281,'BPC Data'!$B:$B,Summary!$C281)</f>
        <v>0</v>
      </c>
      <c r="R281" s="65">
        <f ca="1">SUMIFS(OFFSET('BPC Data'!$F:$F,0,Summary!R$2),'BPC Data'!$E:$E,Summary!$D281,'BPC Data'!$B:$B,Summary!$C281)</f>
        <v>0</v>
      </c>
      <c r="S281" s="23"/>
      <c r="T281" s="76"/>
      <c r="AJ281" s="49"/>
      <c r="AK281" s="49"/>
      <c r="AL281" s="49"/>
      <c r="AM281" s="49"/>
      <c r="AN281" s="49"/>
      <c r="AO281" s="49"/>
      <c r="AP281" s="49"/>
      <c r="AQ281" s="49"/>
      <c r="AR281" s="49"/>
      <c r="AS281" s="49"/>
      <c r="AT281" s="49"/>
      <c r="AU281" s="49"/>
    </row>
    <row r="282" spans="1:47" s="12" customFormat="1" hidden="1" outlineLevel="1">
      <c r="A282" s="12">
        <f t="shared" si="445"/>
        <v>25</v>
      </c>
      <c r="B282"/>
      <c r="C282">
        <f>$F273</f>
        <v>0</v>
      </c>
      <c r="D282" s="1" t="str">
        <f t="shared" si="446"/>
        <v>T_RENT_EXP - Tenant Rent Expense</v>
      </c>
      <c r="E282"/>
      <c r="F282" s="19" t="str">
        <f>_xll.EVDES(D282)</f>
        <v>Tenant Rent Expense</v>
      </c>
      <c r="G282" s="61">
        <f ca="1">SUMIFS(OFFSET('BPC Data'!$F:$F,0,Summary!G$2),'BPC Data'!$E:$E,Summary!$D282,'BPC Data'!$B:$B,Summary!$C282)</f>
        <v>0</v>
      </c>
      <c r="H282" s="65">
        <f ca="1">SUMIFS(OFFSET('BPC Data'!$F:$F,0,Summary!H$2),'BPC Data'!$E:$E,Summary!$D282,'BPC Data'!$B:$B,Summary!$C282)</f>
        <v>0</v>
      </c>
      <c r="I282" s="61">
        <f ca="1">SUMIFS(OFFSET('BPC Data'!$F:$F,0,Summary!I$2),'BPC Data'!$E:$E,Summary!$D282,'BPC Data'!$B:$B,Summary!$C282)</f>
        <v>0</v>
      </c>
      <c r="J282" s="65">
        <f ca="1">SUMIFS(OFFSET('BPC Data'!$F:$F,0,Summary!J$2),'BPC Data'!$E:$E,Summary!$D282,'BPC Data'!$B:$B,Summary!$C282)</f>
        <v>0</v>
      </c>
      <c r="K282" s="61">
        <f ca="1">SUMIFS(OFFSET('BPC Data'!$F:$F,0,Summary!K$2),'BPC Data'!$E:$E,Summary!$D282,'BPC Data'!$B:$B,Summary!$C282)</f>
        <v>0</v>
      </c>
      <c r="L282" s="65">
        <f ca="1">SUMIFS(OFFSET('BPC Data'!$F:$F,0,Summary!L$2),'BPC Data'!$E:$E,Summary!$D282,'BPC Data'!$B:$B,Summary!$C282)</f>
        <v>0</v>
      </c>
      <c r="M282" s="61">
        <f ca="1">SUMIFS(OFFSET('BPC Data'!$F:$F,0,Summary!M$2),'BPC Data'!$E:$E,Summary!$D282,'BPC Data'!$B:$B,Summary!$C282)</f>
        <v>0</v>
      </c>
      <c r="N282" s="65">
        <f ca="1">SUMIFS(OFFSET('BPC Data'!$F:$F,0,Summary!N$2),'BPC Data'!$E:$E,Summary!$D282,'BPC Data'!$B:$B,Summary!$C282)</f>
        <v>0</v>
      </c>
      <c r="O282" s="61">
        <f ca="1">SUMIFS(OFFSET('BPC Data'!$F:$F,0,Summary!O$2),'BPC Data'!$E:$E,Summary!$D282,'BPC Data'!$B:$B,Summary!$C282)</f>
        <v>0</v>
      </c>
      <c r="P282" s="65">
        <f ca="1">SUMIFS(OFFSET('BPC Data'!$F:$F,0,Summary!P$2),'BPC Data'!$E:$E,Summary!$D282,'BPC Data'!$B:$B,Summary!$C282)</f>
        <v>0</v>
      </c>
      <c r="Q282" s="61">
        <f ca="1">SUMIFS(OFFSET('BPC Data'!$F:$F,0,Summary!Q$2),'BPC Data'!$E:$E,Summary!$D282,'BPC Data'!$B:$B,Summary!$C282)</f>
        <v>0</v>
      </c>
      <c r="R282" s="65">
        <f ca="1">SUMIFS(OFFSET('BPC Data'!$F:$F,0,Summary!R$2),'BPC Data'!$E:$E,Summary!$D282,'BPC Data'!$B:$B,Summary!$C282)</f>
        <v>0</v>
      </c>
      <c r="S282" s="23"/>
      <c r="T282" s="76"/>
      <c r="AJ282" s="49"/>
      <c r="AK282" s="49"/>
      <c r="AL282" s="49"/>
      <c r="AM282" s="49"/>
      <c r="AN282" s="49"/>
      <c r="AO282" s="49"/>
      <c r="AP282" s="49"/>
      <c r="AQ282" s="49"/>
      <c r="AR282" s="49"/>
      <c r="AS282" s="49"/>
      <c r="AT282" s="49"/>
      <c r="AU282" s="49"/>
    </row>
    <row r="283" spans="1:47" s="12" customFormat="1" hidden="1" outlineLevel="1">
      <c r="A283" s="12">
        <f t="shared" si="445"/>
        <v>25</v>
      </c>
      <c r="B283"/>
      <c r="C283"/>
      <c r="D283" s="1" t="str">
        <f t="shared" si="446"/>
        <v>x</v>
      </c>
      <c r="E283"/>
      <c r="F283" s="19" t="s">
        <v>0</v>
      </c>
      <c r="G283" s="61">
        <f ca="1">SUMIFS(OFFSET('BPC Data'!$F:$F,0,Summary!G$2),'BPC Data'!$E:$E,Summary!$D283,'BPC Data'!$B:$B,Summary!$C283)</f>
        <v>0</v>
      </c>
      <c r="H283" s="65">
        <f ca="1">SUMIFS(OFFSET('BPC Data'!$F:$F,0,Summary!H$2),'BPC Data'!$E:$E,Summary!$D283,'BPC Data'!$B:$B,Summary!$C283)</f>
        <v>0</v>
      </c>
      <c r="I283" s="61">
        <f ca="1">SUMIFS(OFFSET('BPC Data'!$F:$F,0,Summary!I$2),'BPC Data'!$E:$E,Summary!$D283,'BPC Data'!$B:$B,Summary!$C283)</f>
        <v>0</v>
      </c>
      <c r="J283" s="65">
        <f ca="1">SUMIFS(OFFSET('BPC Data'!$F:$F,0,Summary!J$2),'BPC Data'!$E:$E,Summary!$D283,'BPC Data'!$B:$B,Summary!$C283)</f>
        <v>0</v>
      </c>
      <c r="K283" s="61">
        <f ca="1">SUMIFS(OFFSET('BPC Data'!$F:$F,0,Summary!K$2),'BPC Data'!$E:$E,Summary!$D283,'BPC Data'!$B:$B,Summary!$C283)</f>
        <v>0</v>
      </c>
      <c r="L283" s="65">
        <f ca="1">SUMIFS(OFFSET('BPC Data'!$F:$F,0,Summary!L$2),'BPC Data'!$E:$E,Summary!$D283,'BPC Data'!$B:$B,Summary!$C283)</f>
        <v>0</v>
      </c>
      <c r="M283" s="61">
        <f ca="1">SUMIFS(OFFSET('BPC Data'!$F:$F,0,Summary!M$2),'BPC Data'!$E:$E,Summary!$D283,'BPC Data'!$B:$B,Summary!$C283)</f>
        <v>0</v>
      </c>
      <c r="N283" s="65">
        <f ca="1">SUMIFS(OFFSET('BPC Data'!$F:$F,0,Summary!N$2),'BPC Data'!$E:$E,Summary!$D283,'BPC Data'!$B:$B,Summary!$C283)</f>
        <v>0</v>
      </c>
      <c r="O283" s="61">
        <f ca="1">SUMIFS(OFFSET('BPC Data'!$F:$F,0,Summary!O$2),'BPC Data'!$E:$E,Summary!$D283,'BPC Data'!$B:$B,Summary!$C283)</f>
        <v>0</v>
      </c>
      <c r="P283" s="65">
        <f ca="1">SUMIFS(OFFSET('BPC Data'!$F:$F,0,Summary!P$2),'BPC Data'!$E:$E,Summary!$D283,'BPC Data'!$B:$B,Summary!$C283)</f>
        <v>0</v>
      </c>
      <c r="Q283" s="61">
        <f ca="1">SUMIFS(OFFSET('BPC Data'!$F:$F,0,Summary!Q$2),'BPC Data'!$E:$E,Summary!$D283,'BPC Data'!$B:$B,Summary!$C283)</f>
        <v>0</v>
      </c>
      <c r="R283" s="65">
        <f ca="1">SUMIFS(OFFSET('BPC Data'!$F:$F,0,Summary!R$2),'BPC Data'!$E:$E,Summary!$D283,'BPC Data'!$B:$B,Summary!$C283)</f>
        <v>0</v>
      </c>
      <c r="S283" s="23"/>
      <c r="T283" s="76"/>
      <c r="AJ283" s="49"/>
      <c r="AK283" s="49"/>
      <c r="AL283" s="49"/>
      <c r="AM283" s="49"/>
      <c r="AN283" s="49"/>
      <c r="AO283" s="49"/>
      <c r="AP283" s="49"/>
      <c r="AQ283" s="49"/>
      <c r="AR283" s="49"/>
      <c r="AS283" s="49"/>
      <c r="AT283" s="49"/>
      <c r="AU283" s="49"/>
    </row>
    <row r="284" spans="1:47" s="12" customFormat="1" hidden="1" outlineLevel="1">
      <c r="A284" s="12">
        <f>IF(AND(D284&lt;&gt;"",C284=""),A283+1,A283)</f>
        <v>26</v>
      </c>
      <c r="B284" s="5"/>
      <c r="C284" s="5"/>
      <c r="D284" s="5" t="str">
        <f t="shared" si="446"/>
        <v>x</v>
      </c>
      <c r="E284" s="5"/>
      <c r="F284" s="18">
        <f>INDEX(PropertyList!$D:$D,MATCH(Summary!$A284,PropertyList!$C:$C,0))</f>
        <v>0</v>
      </c>
      <c r="G284" s="61">
        <f ca="1">SUMIFS(OFFSET('BPC Data'!$F:$F,0,Summary!G$2),'BPC Data'!$E:$E,Summary!$D284,'BPC Data'!$B:$B,Summary!$C284)</f>
        <v>0</v>
      </c>
      <c r="H284" s="65">
        <f ca="1">SUMIFS(OFFSET('BPC Data'!$F:$F,0,Summary!H$2),'BPC Data'!$E:$E,Summary!$D284,'BPC Data'!$B:$B,Summary!$C284)</f>
        <v>0</v>
      </c>
      <c r="I284" s="61">
        <f ca="1">SUMIFS(OFFSET('BPC Data'!$F:$F,0,Summary!I$2),'BPC Data'!$E:$E,Summary!$D284,'BPC Data'!$B:$B,Summary!$C284)</f>
        <v>0</v>
      </c>
      <c r="J284" s="65">
        <f ca="1">SUMIFS(OFFSET('BPC Data'!$F:$F,0,Summary!J$2),'BPC Data'!$E:$E,Summary!$D284,'BPC Data'!$B:$B,Summary!$C284)</f>
        <v>0</v>
      </c>
      <c r="K284" s="61">
        <f ca="1">SUMIFS(OFFSET('BPC Data'!$F:$F,0,Summary!K$2),'BPC Data'!$E:$E,Summary!$D284,'BPC Data'!$B:$B,Summary!$C284)</f>
        <v>0</v>
      </c>
      <c r="L284" s="65">
        <f ca="1">SUMIFS(OFFSET('BPC Data'!$F:$F,0,Summary!L$2),'BPC Data'!$E:$E,Summary!$D284,'BPC Data'!$B:$B,Summary!$C284)</f>
        <v>0</v>
      </c>
      <c r="M284" s="61">
        <f ca="1">SUMIFS(OFFSET('BPC Data'!$F:$F,0,Summary!M$2),'BPC Data'!$E:$E,Summary!$D284,'BPC Data'!$B:$B,Summary!$C284)</f>
        <v>0</v>
      </c>
      <c r="N284" s="65">
        <f ca="1">SUMIFS(OFFSET('BPC Data'!$F:$F,0,Summary!N$2),'BPC Data'!$E:$E,Summary!$D284,'BPC Data'!$B:$B,Summary!$C284)</f>
        <v>0</v>
      </c>
      <c r="O284" s="61">
        <f ca="1">SUMIFS(OFFSET('BPC Data'!$F:$F,0,Summary!O$2),'BPC Data'!$E:$E,Summary!$D284,'BPC Data'!$B:$B,Summary!$C284)</f>
        <v>0</v>
      </c>
      <c r="P284" s="65">
        <f ca="1">SUMIFS(OFFSET('BPC Data'!$F:$F,0,Summary!P$2),'BPC Data'!$E:$E,Summary!$D284,'BPC Data'!$B:$B,Summary!$C284)</f>
        <v>0</v>
      </c>
      <c r="Q284" s="61">
        <f ca="1">SUMIFS(OFFSET('BPC Data'!$F:$F,0,Summary!Q$2),'BPC Data'!$E:$E,Summary!$D284,'BPC Data'!$B:$B,Summary!$C284)</f>
        <v>0</v>
      </c>
      <c r="R284" s="65">
        <f ca="1">SUMIFS(OFFSET('BPC Data'!$F:$F,0,Summary!R$2),'BPC Data'!$E:$E,Summary!$D284,'BPC Data'!$B:$B,Summary!$C284)</f>
        <v>0</v>
      </c>
      <c r="S284" s="23"/>
      <c r="T284" s="76"/>
      <c r="AJ284" s="49"/>
      <c r="AK284" s="49"/>
      <c r="AL284" s="49"/>
      <c r="AM284" s="49"/>
      <c r="AN284" s="49"/>
      <c r="AO284" s="49"/>
      <c r="AP284" s="49"/>
      <c r="AQ284" s="49"/>
      <c r="AR284" s="49"/>
      <c r="AS284" s="49"/>
      <c r="AT284" s="49"/>
      <c r="AU284" s="49"/>
    </row>
    <row r="285" spans="1:47" s="12" customFormat="1" hidden="1" outlineLevel="1">
      <c r="A285" s="12">
        <f>IF(AND(F285&lt;&gt;"",D285=""),A284+1,A284)</f>
        <v>26</v>
      </c>
      <c r="C285">
        <f>$F284</f>
        <v>0</v>
      </c>
      <c r="D285" s="3" t="str">
        <f t="shared" si="446"/>
        <v>PAY_PAT_DAYS - Total Payor Patient Days</v>
      </c>
      <c r="F285" s="19" t="str">
        <f>_xll.EVDES(D285)</f>
        <v>Total Payor Patient Days</v>
      </c>
      <c r="G285" s="61">
        <f ca="1">SUMIFS(OFFSET('BPC Data'!$F:$F,0,Summary!G$2),'BPC Data'!$E:$E,Summary!$D285,'BPC Data'!$B:$B,Summary!$C285)</f>
        <v>0</v>
      </c>
      <c r="H285" s="65">
        <f ca="1">SUMIFS(OFFSET('BPC Data'!$F:$F,0,Summary!H$2),'BPC Data'!$E:$E,Summary!$D285,'BPC Data'!$B:$B,Summary!$C285)</f>
        <v>0</v>
      </c>
      <c r="I285" s="61">
        <f ca="1">SUMIFS(OFFSET('BPC Data'!$F:$F,0,Summary!I$2),'BPC Data'!$E:$E,Summary!$D285,'BPC Data'!$B:$B,Summary!$C285)</f>
        <v>0</v>
      </c>
      <c r="J285" s="65">
        <f ca="1">SUMIFS(OFFSET('BPC Data'!$F:$F,0,Summary!J$2),'BPC Data'!$E:$E,Summary!$D285,'BPC Data'!$B:$B,Summary!$C285)</f>
        <v>0</v>
      </c>
      <c r="K285" s="61">
        <f ca="1">SUMIFS(OFFSET('BPC Data'!$F:$F,0,Summary!K$2),'BPC Data'!$E:$E,Summary!$D285,'BPC Data'!$B:$B,Summary!$C285)</f>
        <v>0</v>
      </c>
      <c r="L285" s="65">
        <f ca="1">SUMIFS(OFFSET('BPC Data'!$F:$F,0,Summary!L$2),'BPC Data'!$E:$E,Summary!$D285,'BPC Data'!$B:$B,Summary!$C285)</f>
        <v>0</v>
      </c>
      <c r="M285" s="61">
        <f ca="1">SUMIFS(OFFSET('BPC Data'!$F:$F,0,Summary!M$2),'BPC Data'!$E:$E,Summary!$D285,'BPC Data'!$B:$B,Summary!$C285)</f>
        <v>0</v>
      </c>
      <c r="N285" s="65">
        <f ca="1">SUMIFS(OFFSET('BPC Data'!$F:$F,0,Summary!N$2),'BPC Data'!$E:$E,Summary!$D285,'BPC Data'!$B:$B,Summary!$C285)</f>
        <v>0</v>
      </c>
      <c r="O285" s="61">
        <f ca="1">SUMIFS(OFFSET('BPC Data'!$F:$F,0,Summary!O$2),'BPC Data'!$E:$E,Summary!$D285,'BPC Data'!$B:$B,Summary!$C285)</f>
        <v>0</v>
      </c>
      <c r="P285" s="65">
        <f ca="1">SUMIFS(OFFSET('BPC Data'!$F:$F,0,Summary!P$2),'BPC Data'!$E:$E,Summary!$D285,'BPC Data'!$B:$B,Summary!$C285)</f>
        <v>0</v>
      </c>
      <c r="Q285" s="61">
        <f ca="1">SUMIFS(OFFSET('BPC Data'!$F:$F,0,Summary!Q$2),'BPC Data'!$E:$E,Summary!$D285,'BPC Data'!$B:$B,Summary!$C285)</f>
        <v>0</v>
      </c>
      <c r="R285" s="65">
        <f ca="1">SUMIFS(OFFSET('BPC Data'!$F:$F,0,Summary!R$2),'BPC Data'!$E:$E,Summary!$D285,'BPC Data'!$B:$B,Summary!$C285)</f>
        <v>0</v>
      </c>
      <c r="S285" s="23"/>
      <c r="T285" s="76"/>
      <c r="AJ285" s="49"/>
      <c r="AK285" s="49"/>
      <c r="AL285" s="49"/>
      <c r="AM285" s="49"/>
      <c r="AN285" s="49"/>
      <c r="AO285" s="49"/>
      <c r="AP285" s="49"/>
      <c r="AQ285" s="49"/>
      <c r="AR285" s="49"/>
      <c r="AS285" s="49"/>
      <c r="AT285" s="49"/>
      <c r="AU285" s="49"/>
    </row>
    <row r="286" spans="1:47" s="12" customFormat="1" hidden="1" outlineLevel="1">
      <c r="A286" s="12">
        <f t="shared" ref="A286:A294" si="447">IF(AND(F286&lt;&gt;"",D286=""),A285+1,A285)</f>
        <v>26</v>
      </c>
      <c r="C286">
        <f>$F284</f>
        <v>0</v>
      </c>
      <c r="D286" s="3" t="str">
        <f t="shared" si="446"/>
        <v>A_BEDS_TOTAL - Total Available Beds</v>
      </c>
      <c r="F286" s="19" t="str">
        <f>_xll.EVDES(D286)</f>
        <v>Total Available Beds</v>
      </c>
      <c r="G286" s="61">
        <f ca="1">SUMIFS(OFFSET('BPC Data'!$F:$F,0,Summary!G$2),'BPC Data'!$E:$E,Summary!$D286,'BPC Data'!$B:$B,Summary!$C286)</f>
        <v>0</v>
      </c>
      <c r="H286" s="65">
        <f ca="1">SUMIFS(OFFSET('BPC Data'!$F:$F,0,Summary!H$2),'BPC Data'!$E:$E,Summary!$D286,'BPC Data'!$B:$B,Summary!$C286)</f>
        <v>0</v>
      </c>
      <c r="I286" s="61">
        <f ca="1">SUMIFS(OFFSET('BPC Data'!$F:$F,0,Summary!I$2),'BPC Data'!$E:$E,Summary!$D286,'BPC Data'!$B:$B,Summary!$C286)</f>
        <v>0</v>
      </c>
      <c r="J286" s="65">
        <f ca="1">SUMIFS(OFFSET('BPC Data'!$F:$F,0,Summary!J$2),'BPC Data'!$E:$E,Summary!$D286,'BPC Data'!$B:$B,Summary!$C286)</f>
        <v>0</v>
      </c>
      <c r="K286" s="61">
        <f ca="1">SUMIFS(OFFSET('BPC Data'!$F:$F,0,Summary!K$2),'BPC Data'!$E:$E,Summary!$D286,'BPC Data'!$B:$B,Summary!$C286)</f>
        <v>0</v>
      </c>
      <c r="L286" s="65">
        <f ca="1">SUMIFS(OFFSET('BPC Data'!$F:$F,0,Summary!L$2),'BPC Data'!$E:$E,Summary!$D286,'BPC Data'!$B:$B,Summary!$C286)</f>
        <v>0</v>
      </c>
      <c r="M286" s="61">
        <f ca="1">SUMIFS(OFFSET('BPC Data'!$F:$F,0,Summary!M$2),'BPC Data'!$E:$E,Summary!$D286,'BPC Data'!$B:$B,Summary!$C286)</f>
        <v>0</v>
      </c>
      <c r="N286" s="65">
        <f ca="1">SUMIFS(OFFSET('BPC Data'!$F:$F,0,Summary!N$2),'BPC Data'!$E:$E,Summary!$D286,'BPC Data'!$B:$B,Summary!$C286)</f>
        <v>0</v>
      </c>
      <c r="O286" s="61">
        <f ca="1">SUMIFS(OFFSET('BPC Data'!$F:$F,0,Summary!O$2),'BPC Data'!$E:$E,Summary!$D286,'BPC Data'!$B:$B,Summary!$C286)</f>
        <v>0</v>
      </c>
      <c r="P286" s="65">
        <f ca="1">SUMIFS(OFFSET('BPC Data'!$F:$F,0,Summary!P$2),'BPC Data'!$E:$E,Summary!$D286,'BPC Data'!$B:$B,Summary!$C286)</f>
        <v>0</v>
      </c>
      <c r="Q286" s="61">
        <f ca="1">SUMIFS(OFFSET('BPC Data'!$F:$F,0,Summary!Q$2),'BPC Data'!$E:$E,Summary!$D286,'BPC Data'!$B:$B,Summary!$C286)</f>
        <v>0</v>
      </c>
      <c r="R286" s="65">
        <f ca="1">SUMIFS(OFFSET('BPC Data'!$F:$F,0,Summary!R$2),'BPC Data'!$E:$E,Summary!$D286,'BPC Data'!$B:$B,Summary!$C286)</f>
        <v>0</v>
      </c>
      <c r="S286" s="23"/>
      <c r="T286" s="76"/>
      <c r="AJ286" s="49"/>
      <c r="AK286" s="49"/>
      <c r="AL286" s="49"/>
      <c r="AM286" s="49"/>
      <c r="AN286" s="49"/>
      <c r="AO286" s="49"/>
      <c r="AP286" s="49"/>
      <c r="AQ286" s="49"/>
      <c r="AR286" s="49"/>
      <c r="AS286" s="49"/>
      <c r="AT286" s="49"/>
      <c r="AU286" s="49"/>
    </row>
    <row r="287" spans="1:47" s="12" customFormat="1" hidden="1" outlineLevel="1">
      <c r="A287" s="12">
        <f t="shared" si="447"/>
        <v>26</v>
      </c>
      <c r="B287"/>
      <c r="C287">
        <f>$F284</f>
        <v>0</v>
      </c>
      <c r="D287" s="3" t="str">
        <f t="shared" si="446"/>
        <v>T_REVENUES - Total Tenant Revenues</v>
      </c>
      <c r="E287"/>
      <c r="F287" s="19" t="str">
        <f>_xll.EVDES(D287)</f>
        <v>Total Tenant Revenues</v>
      </c>
      <c r="G287" s="61">
        <f ca="1">SUMIFS(OFFSET('BPC Data'!$F:$F,0,Summary!G$2),'BPC Data'!$E:$E,Summary!$D287,'BPC Data'!$B:$B,Summary!$C287)</f>
        <v>0</v>
      </c>
      <c r="H287" s="65">
        <f ca="1">SUMIFS(OFFSET('BPC Data'!$F:$F,0,Summary!H$2),'BPC Data'!$E:$E,Summary!$D287,'BPC Data'!$B:$B,Summary!$C287)</f>
        <v>0</v>
      </c>
      <c r="I287" s="61">
        <f ca="1">SUMIFS(OFFSET('BPC Data'!$F:$F,0,Summary!I$2),'BPC Data'!$E:$E,Summary!$D287,'BPC Data'!$B:$B,Summary!$C287)</f>
        <v>0</v>
      </c>
      <c r="J287" s="65">
        <f ca="1">SUMIFS(OFFSET('BPC Data'!$F:$F,0,Summary!J$2),'BPC Data'!$E:$E,Summary!$D287,'BPC Data'!$B:$B,Summary!$C287)</f>
        <v>0</v>
      </c>
      <c r="K287" s="61">
        <f ca="1">SUMIFS(OFFSET('BPC Data'!$F:$F,0,Summary!K$2),'BPC Data'!$E:$E,Summary!$D287,'BPC Data'!$B:$B,Summary!$C287)</f>
        <v>0</v>
      </c>
      <c r="L287" s="65">
        <f ca="1">SUMIFS(OFFSET('BPC Data'!$F:$F,0,Summary!L$2),'BPC Data'!$E:$E,Summary!$D287,'BPC Data'!$B:$B,Summary!$C287)</f>
        <v>0</v>
      </c>
      <c r="M287" s="61">
        <f ca="1">SUMIFS(OFFSET('BPC Data'!$F:$F,0,Summary!M$2),'BPC Data'!$E:$E,Summary!$D287,'BPC Data'!$B:$B,Summary!$C287)</f>
        <v>0</v>
      </c>
      <c r="N287" s="65">
        <f ca="1">SUMIFS(OFFSET('BPC Data'!$F:$F,0,Summary!N$2),'BPC Data'!$E:$E,Summary!$D287,'BPC Data'!$B:$B,Summary!$C287)</f>
        <v>0</v>
      </c>
      <c r="O287" s="61">
        <f ca="1">SUMIFS(OFFSET('BPC Data'!$F:$F,0,Summary!O$2),'BPC Data'!$E:$E,Summary!$D287,'BPC Data'!$B:$B,Summary!$C287)</f>
        <v>0</v>
      </c>
      <c r="P287" s="65">
        <f ca="1">SUMIFS(OFFSET('BPC Data'!$F:$F,0,Summary!P$2),'BPC Data'!$E:$E,Summary!$D287,'BPC Data'!$B:$B,Summary!$C287)</f>
        <v>0</v>
      </c>
      <c r="Q287" s="61">
        <f ca="1">SUMIFS(OFFSET('BPC Data'!$F:$F,0,Summary!Q$2),'BPC Data'!$E:$E,Summary!$D287,'BPC Data'!$B:$B,Summary!$C287)</f>
        <v>0</v>
      </c>
      <c r="R287" s="65">
        <f ca="1">SUMIFS(OFFSET('BPC Data'!$F:$F,0,Summary!R$2),'BPC Data'!$E:$E,Summary!$D287,'BPC Data'!$B:$B,Summary!$C287)</f>
        <v>0</v>
      </c>
      <c r="S287" s="23"/>
      <c r="T287" s="76"/>
      <c r="AJ287" s="49"/>
      <c r="AK287" s="49"/>
      <c r="AL287" s="49"/>
      <c r="AM287" s="49"/>
      <c r="AN287" s="49"/>
      <c r="AO287" s="49"/>
      <c r="AP287" s="49"/>
      <c r="AQ287" s="49"/>
      <c r="AR287" s="49"/>
      <c r="AS287" s="49"/>
      <c r="AT287" s="49"/>
      <c r="AU287" s="49"/>
    </row>
    <row r="288" spans="1:47" s="12" customFormat="1" hidden="1" outlineLevel="1">
      <c r="A288" s="12">
        <f t="shared" si="447"/>
        <v>26</v>
      </c>
      <c r="B288"/>
      <c r="C288">
        <f>$F284</f>
        <v>0</v>
      </c>
      <c r="D288" s="3" t="str">
        <f t="shared" si="446"/>
        <v>T_OPEX - Tenant Operating Expenses</v>
      </c>
      <c r="E288"/>
      <c r="F288" s="19" t="str">
        <f>_xll.EVDES(D288)</f>
        <v>Tenant Operating Expenses</v>
      </c>
      <c r="G288" s="61">
        <f ca="1">SUMIFS(OFFSET('BPC Data'!$F:$F,0,Summary!G$2),'BPC Data'!$E:$E,Summary!$D288,'BPC Data'!$B:$B,Summary!$C288)</f>
        <v>0</v>
      </c>
      <c r="H288" s="65">
        <f ca="1">SUMIFS(OFFSET('BPC Data'!$F:$F,0,Summary!H$2),'BPC Data'!$E:$E,Summary!$D288,'BPC Data'!$B:$B,Summary!$C288)</f>
        <v>0</v>
      </c>
      <c r="I288" s="61">
        <f ca="1">SUMIFS(OFFSET('BPC Data'!$F:$F,0,Summary!I$2),'BPC Data'!$E:$E,Summary!$D288,'BPC Data'!$B:$B,Summary!$C288)</f>
        <v>0</v>
      </c>
      <c r="J288" s="65">
        <f ca="1">SUMIFS(OFFSET('BPC Data'!$F:$F,0,Summary!J$2),'BPC Data'!$E:$E,Summary!$D288,'BPC Data'!$B:$B,Summary!$C288)</f>
        <v>0</v>
      </c>
      <c r="K288" s="61">
        <f ca="1">SUMIFS(OFFSET('BPC Data'!$F:$F,0,Summary!K$2),'BPC Data'!$E:$E,Summary!$D288,'BPC Data'!$B:$B,Summary!$C288)</f>
        <v>0</v>
      </c>
      <c r="L288" s="65">
        <f ca="1">SUMIFS(OFFSET('BPC Data'!$F:$F,0,Summary!L$2),'BPC Data'!$E:$E,Summary!$D288,'BPC Data'!$B:$B,Summary!$C288)</f>
        <v>0</v>
      </c>
      <c r="M288" s="61">
        <f ca="1">SUMIFS(OFFSET('BPC Data'!$F:$F,0,Summary!M$2),'BPC Data'!$E:$E,Summary!$D288,'BPC Data'!$B:$B,Summary!$C288)</f>
        <v>0</v>
      </c>
      <c r="N288" s="65">
        <f ca="1">SUMIFS(OFFSET('BPC Data'!$F:$F,0,Summary!N$2),'BPC Data'!$E:$E,Summary!$D288,'BPC Data'!$B:$B,Summary!$C288)</f>
        <v>0</v>
      </c>
      <c r="O288" s="61">
        <f ca="1">SUMIFS(OFFSET('BPC Data'!$F:$F,0,Summary!O$2),'BPC Data'!$E:$E,Summary!$D288,'BPC Data'!$B:$B,Summary!$C288)</f>
        <v>0</v>
      </c>
      <c r="P288" s="65">
        <f ca="1">SUMIFS(OFFSET('BPC Data'!$F:$F,0,Summary!P$2),'BPC Data'!$E:$E,Summary!$D288,'BPC Data'!$B:$B,Summary!$C288)</f>
        <v>0</v>
      </c>
      <c r="Q288" s="61">
        <f ca="1">SUMIFS(OFFSET('BPC Data'!$F:$F,0,Summary!Q$2),'BPC Data'!$E:$E,Summary!$D288,'BPC Data'!$B:$B,Summary!$C288)</f>
        <v>0</v>
      </c>
      <c r="R288" s="65">
        <f ca="1">SUMIFS(OFFSET('BPC Data'!$F:$F,0,Summary!R$2),'BPC Data'!$E:$E,Summary!$D288,'BPC Data'!$B:$B,Summary!$C288)</f>
        <v>0</v>
      </c>
      <c r="S288" s="23"/>
      <c r="T288" s="76"/>
      <c r="AJ288" s="49"/>
      <c r="AK288" s="49"/>
      <c r="AL288" s="49"/>
      <c r="AM288" s="49"/>
      <c r="AN288" s="49"/>
      <c r="AO288" s="49"/>
      <c r="AP288" s="49"/>
      <c r="AQ288" s="49"/>
      <c r="AR288" s="49"/>
      <c r="AS288" s="49"/>
      <c r="AT288" s="49"/>
      <c r="AU288" s="49"/>
    </row>
    <row r="289" spans="1:47" s="12" customFormat="1" hidden="1" outlineLevel="1">
      <c r="A289" s="12">
        <f t="shared" si="447"/>
        <v>26</v>
      </c>
      <c r="B289"/>
      <c r="C289">
        <f>$F284</f>
        <v>0</v>
      </c>
      <c r="D289" s="3" t="str">
        <f t="shared" si="446"/>
        <v>T_BAD_DEBT - Tenant Bad Debt Expense</v>
      </c>
      <c r="E289"/>
      <c r="F289" s="19" t="str">
        <f>_xll.EVDES(D289)</f>
        <v>Tenant Bad Debt Expense</v>
      </c>
      <c r="G289" s="61">
        <f ca="1">SUMIFS(OFFSET('BPC Data'!$F:$F,0,Summary!G$2),'BPC Data'!$E:$E,Summary!$D289,'BPC Data'!$B:$B,Summary!$C289)</f>
        <v>0</v>
      </c>
      <c r="H289" s="65">
        <f ca="1">SUMIFS(OFFSET('BPC Data'!$F:$F,0,Summary!H$2),'BPC Data'!$E:$E,Summary!$D289,'BPC Data'!$B:$B,Summary!$C289)</f>
        <v>0</v>
      </c>
      <c r="I289" s="61">
        <f ca="1">SUMIFS(OFFSET('BPC Data'!$F:$F,0,Summary!I$2),'BPC Data'!$E:$E,Summary!$D289,'BPC Data'!$B:$B,Summary!$C289)</f>
        <v>0</v>
      </c>
      <c r="J289" s="65">
        <f ca="1">SUMIFS(OFFSET('BPC Data'!$F:$F,0,Summary!J$2),'BPC Data'!$E:$E,Summary!$D289,'BPC Data'!$B:$B,Summary!$C289)</f>
        <v>0</v>
      </c>
      <c r="K289" s="61">
        <f ca="1">SUMIFS(OFFSET('BPC Data'!$F:$F,0,Summary!K$2),'BPC Data'!$E:$E,Summary!$D289,'BPC Data'!$B:$B,Summary!$C289)</f>
        <v>0</v>
      </c>
      <c r="L289" s="65">
        <f ca="1">SUMIFS(OFFSET('BPC Data'!$F:$F,0,Summary!L$2),'BPC Data'!$E:$E,Summary!$D289,'BPC Data'!$B:$B,Summary!$C289)</f>
        <v>0</v>
      </c>
      <c r="M289" s="61">
        <f ca="1">SUMIFS(OFFSET('BPC Data'!$F:$F,0,Summary!M$2),'BPC Data'!$E:$E,Summary!$D289,'BPC Data'!$B:$B,Summary!$C289)</f>
        <v>0</v>
      </c>
      <c r="N289" s="65">
        <f ca="1">SUMIFS(OFFSET('BPC Data'!$F:$F,0,Summary!N$2),'BPC Data'!$E:$E,Summary!$D289,'BPC Data'!$B:$B,Summary!$C289)</f>
        <v>0</v>
      </c>
      <c r="O289" s="61">
        <f ca="1">SUMIFS(OFFSET('BPC Data'!$F:$F,0,Summary!O$2),'BPC Data'!$E:$E,Summary!$D289,'BPC Data'!$B:$B,Summary!$C289)</f>
        <v>0</v>
      </c>
      <c r="P289" s="65">
        <f ca="1">SUMIFS(OFFSET('BPC Data'!$F:$F,0,Summary!P$2),'BPC Data'!$E:$E,Summary!$D289,'BPC Data'!$B:$B,Summary!$C289)</f>
        <v>0</v>
      </c>
      <c r="Q289" s="61">
        <f ca="1">SUMIFS(OFFSET('BPC Data'!$F:$F,0,Summary!Q$2),'BPC Data'!$E:$E,Summary!$D289,'BPC Data'!$B:$B,Summary!$C289)</f>
        <v>0</v>
      </c>
      <c r="R289" s="65">
        <f ca="1">SUMIFS(OFFSET('BPC Data'!$F:$F,0,Summary!R$2),'BPC Data'!$E:$E,Summary!$D289,'BPC Data'!$B:$B,Summary!$C289)</f>
        <v>0</v>
      </c>
      <c r="S289" s="23"/>
      <c r="T289" s="76"/>
      <c r="AJ289" s="49"/>
      <c r="AK289" s="49"/>
      <c r="AL289" s="49"/>
      <c r="AM289" s="49"/>
      <c r="AN289" s="49"/>
      <c r="AO289" s="49"/>
      <c r="AP289" s="49"/>
      <c r="AQ289" s="49"/>
      <c r="AR289" s="49"/>
      <c r="AS289" s="49"/>
      <c r="AT289" s="49"/>
      <c r="AU289" s="49"/>
    </row>
    <row r="290" spans="1:47" s="12" customFormat="1" hidden="1" outlineLevel="1">
      <c r="A290" s="12">
        <f t="shared" si="447"/>
        <v>26</v>
      </c>
      <c r="B290"/>
      <c r="C290">
        <f>$F284</f>
        <v>0</v>
      </c>
      <c r="D290" s="2" t="str">
        <f t="shared" si="446"/>
        <v>T_EBITDARM - EBITDARM</v>
      </c>
      <c r="E290"/>
      <c r="F290" s="19" t="str">
        <f>_xll.EVDES(D290)</f>
        <v>EBITDARM</v>
      </c>
      <c r="G290" s="61">
        <f ca="1">SUMIFS(OFFSET('BPC Data'!$F:$F,0,Summary!G$2),'BPC Data'!$E:$E,Summary!$D290,'BPC Data'!$B:$B,Summary!$C290)</f>
        <v>0</v>
      </c>
      <c r="H290" s="65">
        <f ca="1">SUMIFS(OFFSET('BPC Data'!$F:$F,0,Summary!H$2),'BPC Data'!$E:$E,Summary!$D290,'BPC Data'!$B:$B,Summary!$C290)</f>
        <v>0</v>
      </c>
      <c r="I290" s="61">
        <f ca="1">SUMIFS(OFFSET('BPC Data'!$F:$F,0,Summary!I$2),'BPC Data'!$E:$E,Summary!$D290,'BPC Data'!$B:$B,Summary!$C290)</f>
        <v>0</v>
      </c>
      <c r="J290" s="65">
        <f ca="1">SUMIFS(OFFSET('BPC Data'!$F:$F,0,Summary!J$2),'BPC Data'!$E:$E,Summary!$D290,'BPC Data'!$B:$B,Summary!$C290)</f>
        <v>0</v>
      </c>
      <c r="K290" s="61">
        <f ca="1">SUMIFS(OFFSET('BPC Data'!$F:$F,0,Summary!K$2),'BPC Data'!$E:$E,Summary!$D290,'BPC Data'!$B:$B,Summary!$C290)</f>
        <v>0</v>
      </c>
      <c r="L290" s="65">
        <f ca="1">SUMIFS(OFFSET('BPC Data'!$F:$F,0,Summary!L$2),'BPC Data'!$E:$E,Summary!$D290,'BPC Data'!$B:$B,Summary!$C290)</f>
        <v>0</v>
      </c>
      <c r="M290" s="61">
        <f ca="1">SUMIFS(OFFSET('BPC Data'!$F:$F,0,Summary!M$2),'BPC Data'!$E:$E,Summary!$D290,'BPC Data'!$B:$B,Summary!$C290)</f>
        <v>0</v>
      </c>
      <c r="N290" s="65">
        <f ca="1">SUMIFS(OFFSET('BPC Data'!$F:$F,0,Summary!N$2),'BPC Data'!$E:$E,Summary!$D290,'BPC Data'!$B:$B,Summary!$C290)</f>
        <v>0</v>
      </c>
      <c r="O290" s="61">
        <f ca="1">SUMIFS(OFFSET('BPC Data'!$F:$F,0,Summary!O$2),'BPC Data'!$E:$E,Summary!$D290,'BPC Data'!$B:$B,Summary!$C290)</f>
        <v>0</v>
      </c>
      <c r="P290" s="65">
        <f ca="1">SUMIFS(OFFSET('BPC Data'!$F:$F,0,Summary!P$2),'BPC Data'!$E:$E,Summary!$D290,'BPC Data'!$B:$B,Summary!$C290)</f>
        <v>0</v>
      </c>
      <c r="Q290" s="61">
        <f ca="1">SUMIFS(OFFSET('BPC Data'!$F:$F,0,Summary!Q$2),'BPC Data'!$E:$E,Summary!$D290,'BPC Data'!$B:$B,Summary!$C290)</f>
        <v>0</v>
      </c>
      <c r="R290" s="65">
        <f ca="1">SUMIFS(OFFSET('BPC Data'!$F:$F,0,Summary!R$2),'BPC Data'!$E:$E,Summary!$D290,'BPC Data'!$B:$B,Summary!$C290)</f>
        <v>0</v>
      </c>
      <c r="S290" s="23"/>
      <c r="T290" s="76"/>
      <c r="AJ290" s="49"/>
      <c r="AK290" s="49"/>
      <c r="AL290" s="49"/>
      <c r="AM290" s="49"/>
      <c r="AN290" s="49"/>
      <c r="AO290" s="49"/>
      <c r="AP290" s="49"/>
      <c r="AQ290" s="49"/>
      <c r="AR290" s="49"/>
      <c r="AS290" s="49"/>
      <c r="AT290" s="49"/>
      <c r="AU290" s="49"/>
    </row>
    <row r="291" spans="1:47" s="12" customFormat="1" hidden="1" outlineLevel="1">
      <c r="A291" s="12">
        <f t="shared" si="447"/>
        <v>26</v>
      </c>
      <c r="B291"/>
      <c r="C291">
        <f>$F284</f>
        <v>0</v>
      </c>
      <c r="D291" s="2" t="str">
        <f t="shared" si="446"/>
        <v>T_MGMT_FEE - Tenant Management Fee - Actual</v>
      </c>
      <c r="E291"/>
      <c r="F291" s="19" t="str">
        <f>_xll.EVDES(D291)</f>
        <v>Tenant Management Fee - Actual</v>
      </c>
      <c r="G291" s="61">
        <f ca="1">SUMIFS(OFFSET('BPC Data'!$F:$F,0,Summary!G$2),'BPC Data'!$E:$E,Summary!$D291,'BPC Data'!$B:$B,Summary!$C291)</f>
        <v>0</v>
      </c>
      <c r="H291" s="65">
        <f ca="1">SUMIFS(OFFSET('BPC Data'!$F:$F,0,Summary!H$2),'BPC Data'!$E:$E,Summary!$D291,'BPC Data'!$B:$B,Summary!$C291)</f>
        <v>0</v>
      </c>
      <c r="I291" s="61">
        <f ca="1">SUMIFS(OFFSET('BPC Data'!$F:$F,0,Summary!I$2),'BPC Data'!$E:$E,Summary!$D291,'BPC Data'!$B:$B,Summary!$C291)</f>
        <v>0</v>
      </c>
      <c r="J291" s="65">
        <f ca="1">SUMIFS(OFFSET('BPC Data'!$F:$F,0,Summary!J$2),'BPC Data'!$E:$E,Summary!$D291,'BPC Data'!$B:$B,Summary!$C291)</f>
        <v>0</v>
      </c>
      <c r="K291" s="61">
        <f ca="1">SUMIFS(OFFSET('BPC Data'!$F:$F,0,Summary!K$2),'BPC Data'!$E:$E,Summary!$D291,'BPC Data'!$B:$B,Summary!$C291)</f>
        <v>0</v>
      </c>
      <c r="L291" s="65">
        <f ca="1">SUMIFS(OFFSET('BPC Data'!$F:$F,0,Summary!L$2),'BPC Data'!$E:$E,Summary!$D291,'BPC Data'!$B:$B,Summary!$C291)</f>
        <v>0</v>
      </c>
      <c r="M291" s="61">
        <f ca="1">SUMIFS(OFFSET('BPC Data'!$F:$F,0,Summary!M$2),'BPC Data'!$E:$E,Summary!$D291,'BPC Data'!$B:$B,Summary!$C291)</f>
        <v>0</v>
      </c>
      <c r="N291" s="65">
        <f ca="1">SUMIFS(OFFSET('BPC Data'!$F:$F,0,Summary!N$2),'BPC Data'!$E:$E,Summary!$D291,'BPC Data'!$B:$B,Summary!$C291)</f>
        <v>0</v>
      </c>
      <c r="O291" s="61">
        <f ca="1">SUMIFS(OFFSET('BPC Data'!$F:$F,0,Summary!O$2),'BPC Data'!$E:$E,Summary!$D291,'BPC Data'!$B:$B,Summary!$C291)</f>
        <v>0</v>
      </c>
      <c r="P291" s="65">
        <f ca="1">SUMIFS(OFFSET('BPC Data'!$F:$F,0,Summary!P$2),'BPC Data'!$E:$E,Summary!$D291,'BPC Data'!$B:$B,Summary!$C291)</f>
        <v>0</v>
      </c>
      <c r="Q291" s="61">
        <f ca="1">SUMIFS(OFFSET('BPC Data'!$F:$F,0,Summary!Q$2),'BPC Data'!$E:$E,Summary!$D291,'BPC Data'!$B:$B,Summary!$C291)</f>
        <v>0</v>
      </c>
      <c r="R291" s="65">
        <f ca="1">SUMIFS(OFFSET('BPC Data'!$F:$F,0,Summary!R$2),'BPC Data'!$E:$E,Summary!$D291,'BPC Data'!$B:$B,Summary!$C291)</f>
        <v>0</v>
      </c>
      <c r="S291" s="23"/>
      <c r="T291" s="76"/>
      <c r="AJ291" s="49"/>
      <c r="AK291" s="49"/>
      <c r="AL291" s="49"/>
      <c r="AM291" s="49"/>
      <c r="AN291" s="49"/>
      <c r="AO291" s="49"/>
      <c r="AP291" s="49"/>
      <c r="AQ291" s="49"/>
      <c r="AR291" s="49"/>
      <c r="AS291" s="49"/>
      <c r="AT291" s="49"/>
      <c r="AU291" s="49"/>
    </row>
    <row r="292" spans="1:47" s="12" customFormat="1" hidden="1" outlineLevel="1">
      <c r="A292" s="12">
        <f t="shared" si="447"/>
        <v>26</v>
      </c>
      <c r="B292"/>
      <c r="C292">
        <f>$F284</f>
        <v>0</v>
      </c>
      <c r="D292" s="1" t="str">
        <f t="shared" si="446"/>
        <v>T_EBITDAR - EBITDAR</v>
      </c>
      <c r="E292"/>
      <c r="F292" s="19" t="str">
        <f>_xll.EVDES(D292)</f>
        <v>EBITDAR</v>
      </c>
      <c r="G292" s="61">
        <f ca="1">SUMIFS(OFFSET('BPC Data'!$F:$F,0,Summary!G$2),'BPC Data'!$E:$E,Summary!$D292,'BPC Data'!$B:$B,Summary!$C292)</f>
        <v>0</v>
      </c>
      <c r="H292" s="65">
        <f ca="1">SUMIFS(OFFSET('BPC Data'!$F:$F,0,Summary!H$2),'BPC Data'!$E:$E,Summary!$D292,'BPC Data'!$B:$B,Summary!$C292)</f>
        <v>0</v>
      </c>
      <c r="I292" s="61">
        <f ca="1">SUMIFS(OFFSET('BPC Data'!$F:$F,0,Summary!I$2),'BPC Data'!$E:$E,Summary!$D292,'BPC Data'!$B:$B,Summary!$C292)</f>
        <v>0</v>
      </c>
      <c r="J292" s="65">
        <f ca="1">SUMIFS(OFFSET('BPC Data'!$F:$F,0,Summary!J$2),'BPC Data'!$E:$E,Summary!$D292,'BPC Data'!$B:$B,Summary!$C292)</f>
        <v>0</v>
      </c>
      <c r="K292" s="61">
        <f ca="1">SUMIFS(OFFSET('BPC Data'!$F:$F,0,Summary!K$2),'BPC Data'!$E:$E,Summary!$D292,'BPC Data'!$B:$B,Summary!$C292)</f>
        <v>0</v>
      </c>
      <c r="L292" s="65">
        <f ca="1">SUMIFS(OFFSET('BPC Data'!$F:$F,0,Summary!L$2),'BPC Data'!$E:$E,Summary!$D292,'BPC Data'!$B:$B,Summary!$C292)</f>
        <v>0</v>
      </c>
      <c r="M292" s="61">
        <f ca="1">SUMIFS(OFFSET('BPC Data'!$F:$F,0,Summary!M$2),'BPC Data'!$E:$E,Summary!$D292,'BPC Data'!$B:$B,Summary!$C292)</f>
        <v>0</v>
      </c>
      <c r="N292" s="65">
        <f ca="1">SUMIFS(OFFSET('BPC Data'!$F:$F,0,Summary!N$2),'BPC Data'!$E:$E,Summary!$D292,'BPC Data'!$B:$B,Summary!$C292)</f>
        <v>0</v>
      </c>
      <c r="O292" s="61">
        <f ca="1">SUMIFS(OFFSET('BPC Data'!$F:$F,0,Summary!O$2),'BPC Data'!$E:$E,Summary!$D292,'BPC Data'!$B:$B,Summary!$C292)</f>
        <v>0</v>
      </c>
      <c r="P292" s="65">
        <f ca="1">SUMIFS(OFFSET('BPC Data'!$F:$F,0,Summary!P$2),'BPC Data'!$E:$E,Summary!$D292,'BPC Data'!$B:$B,Summary!$C292)</f>
        <v>0</v>
      </c>
      <c r="Q292" s="61">
        <f ca="1">SUMIFS(OFFSET('BPC Data'!$F:$F,0,Summary!Q$2),'BPC Data'!$E:$E,Summary!$D292,'BPC Data'!$B:$B,Summary!$C292)</f>
        <v>0</v>
      </c>
      <c r="R292" s="65">
        <f ca="1">SUMIFS(OFFSET('BPC Data'!$F:$F,0,Summary!R$2),'BPC Data'!$E:$E,Summary!$D292,'BPC Data'!$B:$B,Summary!$C292)</f>
        <v>0</v>
      </c>
      <c r="S292" s="23"/>
      <c r="T292" s="76"/>
      <c r="AJ292" s="49"/>
      <c r="AK292" s="49"/>
      <c r="AL292" s="49"/>
      <c r="AM292" s="49"/>
      <c r="AN292" s="49"/>
      <c r="AO292" s="49"/>
      <c r="AP292" s="49"/>
      <c r="AQ292" s="49"/>
      <c r="AR292" s="49"/>
      <c r="AS292" s="49"/>
      <c r="AT292" s="49"/>
      <c r="AU292" s="49"/>
    </row>
    <row r="293" spans="1:47" s="12" customFormat="1" hidden="1" outlineLevel="1">
      <c r="A293" s="12">
        <f t="shared" si="447"/>
        <v>26</v>
      </c>
      <c r="B293"/>
      <c r="C293">
        <f>$F284</f>
        <v>0</v>
      </c>
      <c r="D293" s="1" t="str">
        <f t="shared" si="446"/>
        <v>T_RENT_EXP - Tenant Rent Expense</v>
      </c>
      <c r="E293"/>
      <c r="F293" s="19" t="str">
        <f>_xll.EVDES(D293)</f>
        <v>Tenant Rent Expense</v>
      </c>
      <c r="G293" s="61">
        <f ca="1">SUMIFS(OFFSET('BPC Data'!$F:$F,0,Summary!G$2),'BPC Data'!$E:$E,Summary!$D293,'BPC Data'!$B:$B,Summary!$C293)</f>
        <v>0</v>
      </c>
      <c r="H293" s="65">
        <f ca="1">SUMIFS(OFFSET('BPC Data'!$F:$F,0,Summary!H$2),'BPC Data'!$E:$E,Summary!$D293,'BPC Data'!$B:$B,Summary!$C293)</f>
        <v>0</v>
      </c>
      <c r="I293" s="61">
        <f ca="1">SUMIFS(OFFSET('BPC Data'!$F:$F,0,Summary!I$2),'BPC Data'!$E:$E,Summary!$D293,'BPC Data'!$B:$B,Summary!$C293)</f>
        <v>0</v>
      </c>
      <c r="J293" s="65">
        <f ca="1">SUMIFS(OFFSET('BPC Data'!$F:$F,0,Summary!J$2),'BPC Data'!$E:$E,Summary!$D293,'BPC Data'!$B:$B,Summary!$C293)</f>
        <v>0</v>
      </c>
      <c r="K293" s="61">
        <f ca="1">SUMIFS(OFFSET('BPC Data'!$F:$F,0,Summary!K$2),'BPC Data'!$E:$E,Summary!$D293,'BPC Data'!$B:$B,Summary!$C293)</f>
        <v>0</v>
      </c>
      <c r="L293" s="65">
        <f ca="1">SUMIFS(OFFSET('BPC Data'!$F:$F,0,Summary!L$2),'BPC Data'!$E:$E,Summary!$D293,'BPC Data'!$B:$B,Summary!$C293)</f>
        <v>0</v>
      </c>
      <c r="M293" s="61">
        <f ca="1">SUMIFS(OFFSET('BPC Data'!$F:$F,0,Summary!M$2),'BPC Data'!$E:$E,Summary!$D293,'BPC Data'!$B:$B,Summary!$C293)</f>
        <v>0</v>
      </c>
      <c r="N293" s="65">
        <f ca="1">SUMIFS(OFFSET('BPC Data'!$F:$F,0,Summary!N$2),'BPC Data'!$E:$E,Summary!$D293,'BPC Data'!$B:$B,Summary!$C293)</f>
        <v>0</v>
      </c>
      <c r="O293" s="61">
        <f ca="1">SUMIFS(OFFSET('BPC Data'!$F:$F,0,Summary!O$2),'BPC Data'!$E:$E,Summary!$D293,'BPC Data'!$B:$B,Summary!$C293)</f>
        <v>0</v>
      </c>
      <c r="P293" s="65">
        <f ca="1">SUMIFS(OFFSET('BPC Data'!$F:$F,0,Summary!P$2),'BPC Data'!$E:$E,Summary!$D293,'BPC Data'!$B:$B,Summary!$C293)</f>
        <v>0</v>
      </c>
      <c r="Q293" s="61">
        <f ca="1">SUMIFS(OFFSET('BPC Data'!$F:$F,0,Summary!Q$2),'BPC Data'!$E:$E,Summary!$D293,'BPC Data'!$B:$B,Summary!$C293)</f>
        <v>0</v>
      </c>
      <c r="R293" s="65">
        <f ca="1">SUMIFS(OFFSET('BPC Data'!$F:$F,0,Summary!R$2),'BPC Data'!$E:$E,Summary!$D293,'BPC Data'!$B:$B,Summary!$C293)</f>
        <v>0</v>
      </c>
      <c r="S293" s="23"/>
      <c r="T293" s="76"/>
      <c r="AJ293" s="49"/>
      <c r="AK293" s="49"/>
      <c r="AL293" s="49"/>
      <c r="AM293" s="49"/>
      <c r="AN293" s="49"/>
      <c r="AO293" s="49"/>
      <c r="AP293" s="49"/>
      <c r="AQ293" s="49"/>
      <c r="AR293" s="49"/>
      <c r="AS293" s="49"/>
      <c r="AT293" s="49"/>
      <c r="AU293" s="49"/>
    </row>
    <row r="294" spans="1:47" s="12" customFormat="1" hidden="1" outlineLevel="1">
      <c r="A294" s="12">
        <f t="shared" si="447"/>
        <v>26</v>
      </c>
      <c r="B294"/>
      <c r="C294"/>
      <c r="D294" s="1" t="str">
        <f t="shared" si="446"/>
        <v>x</v>
      </c>
      <c r="E294"/>
      <c r="F294" s="19" t="s">
        <v>0</v>
      </c>
      <c r="G294" s="61">
        <f ca="1">SUMIFS(OFFSET('BPC Data'!$F:$F,0,Summary!G$2),'BPC Data'!$E:$E,Summary!$D294,'BPC Data'!$B:$B,Summary!$C294)</f>
        <v>0</v>
      </c>
      <c r="H294" s="65">
        <f ca="1">SUMIFS(OFFSET('BPC Data'!$F:$F,0,Summary!H$2),'BPC Data'!$E:$E,Summary!$D294,'BPC Data'!$B:$B,Summary!$C294)</f>
        <v>0</v>
      </c>
      <c r="I294" s="61">
        <f ca="1">SUMIFS(OFFSET('BPC Data'!$F:$F,0,Summary!I$2),'BPC Data'!$E:$E,Summary!$D294,'BPC Data'!$B:$B,Summary!$C294)</f>
        <v>0</v>
      </c>
      <c r="J294" s="65">
        <f ca="1">SUMIFS(OFFSET('BPC Data'!$F:$F,0,Summary!J$2),'BPC Data'!$E:$E,Summary!$D294,'BPC Data'!$B:$B,Summary!$C294)</f>
        <v>0</v>
      </c>
      <c r="K294" s="61">
        <f ca="1">SUMIFS(OFFSET('BPC Data'!$F:$F,0,Summary!K$2),'BPC Data'!$E:$E,Summary!$D294,'BPC Data'!$B:$B,Summary!$C294)</f>
        <v>0</v>
      </c>
      <c r="L294" s="65">
        <f ca="1">SUMIFS(OFFSET('BPC Data'!$F:$F,0,Summary!L$2),'BPC Data'!$E:$E,Summary!$D294,'BPC Data'!$B:$B,Summary!$C294)</f>
        <v>0</v>
      </c>
      <c r="M294" s="61">
        <f ca="1">SUMIFS(OFFSET('BPC Data'!$F:$F,0,Summary!M$2),'BPC Data'!$E:$E,Summary!$D294,'BPC Data'!$B:$B,Summary!$C294)</f>
        <v>0</v>
      </c>
      <c r="N294" s="65">
        <f ca="1">SUMIFS(OFFSET('BPC Data'!$F:$F,0,Summary!N$2),'BPC Data'!$E:$E,Summary!$D294,'BPC Data'!$B:$B,Summary!$C294)</f>
        <v>0</v>
      </c>
      <c r="O294" s="61">
        <f ca="1">SUMIFS(OFFSET('BPC Data'!$F:$F,0,Summary!O$2),'BPC Data'!$E:$E,Summary!$D294,'BPC Data'!$B:$B,Summary!$C294)</f>
        <v>0</v>
      </c>
      <c r="P294" s="65">
        <f ca="1">SUMIFS(OFFSET('BPC Data'!$F:$F,0,Summary!P$2),'BPC Data'!$E:$E,Summary!$D294,'BPC Data'!$B:$B,Summary!$C294)</f>
        <v>0</v>
      </c>
      <c r="Q294" s="61">
        <f ca="1">SUMIFS(OFFSET('BPC Data'!$F:$F,0,Summary!Q$2),'BPC Data'!$E:$E,Summary!$D294,'BPC Data'!$B:$B,Summary!$C294)</f>
        <v>0</v>
      </c>
      <c r="R294" s="65">
        <f ca="1">SUMIFS(OFFSET('BPC Data'!$F:$F,0,Summary!R$2),'BPC Data'!$E:$E,Summary!$D294,'BPC Data'!$B:$B,Summary!$C294)</f>
        <v>0</v>
      </c>
      <c r="S294" s="23"/>
      <c r="T294" s="76"/>
      <c r="AJ294" s="49"/>
      <c r="AK294" s="49"/>
      <c r="AL294" s="49"/>
      <c r="AM294" s="49"/>
      <c r="AN294" s="49"/>
      <c r="AO294" s="49"/>
      <c r="AP294" s="49"/>
      <c r="AQ294" s="49"/>
      <c r="AR294" s="49"/>
      <c r="AS294" s="49"/>
      <c r="AT294" s="49"/>
      <c r="AU294" s="49"/>
    </row>
    <row r="295" spans="1:47" s="12" customFormat="1" hidden="1" outlineLevel="1">
      <c r="A295" s="12">
        <f>IF(AND(D295&lt;&gt;"",C295=""),A294+1,A294)</f>
        <v>27</v>
      </c>
      <c r="B295" s="5"/>
      <c r="C295" s="5"/>
      <c r="D295" s="5" t="str">
        <f t="shared" si="446"/>
        <v>x</v>
      </c>
      <c r="E295" s="5"/>
      <c r="F295" s="18">
        <f>INDEX(PropertyList!$D:$D,MATCH(Summary!$A295,PropertyList!$C:$C,0))</f>
        <v>0</v>
      </c>
      <c r="G295" s="61">
        <f ca="1">SUMIFS(OFFSET('BPC Data'!$F:$F,0,Summary!G$2),'BPC Data'!$E:$E,Summary!$D295,'BPC Data'!$B:$B,Summary!$C295)</f>
        <v>0</v>
      </c>
      <c r="H295" s="65">
        <f ca="1">SUMIFS(OFFSET('BPC Data'!$F:$F,0,Summary!H$2),'BPC Data'!$E:$E,Summary!$D295,'BPC Data'!$B:$B,Summary!$C295)</f>
        <v>0</v>
      </c>
      <c r="I295" s="61">
        <f ca="1">SUMIFS(OFFSET('BPC Data'!$F:$F,0,Summary!I$2),'BPC Data'!$E:$E,Summary!$D295,'BPC Data'!$B:$B,Summary!$C295)</f>
        <v>0</v>
      </c>
      <c r="J295" s="65">
        <f ca="1">SUMIFS(OFFSET('BPC Data'!$F:$F,0,Summary!J$2),'BPC Data'!$E:$E,Summary!$D295,'BPC Data'!$B:$B,Summary!$C295)</f>
        <v>0</v>
      </c>
      <c r="K295" s="61">
        <f ca="1">SUMIFS(OFFSET('BPC Data'!$F:$F,0,Summary!K$2),'BPC Data'!$E:$E,Summary!$D295,'BPC Data'!$B:$B,Summary!$C295)</f>
        <v>0</v>
      </c>
      <c r="L295" s="65">
        <f ca="1">SUMIFS(OFFSET('BPC Data'!$F:$F,0,Summary!L$2),'BPC Data'!$E:$E,Summary!$D295,'BPC Data'!$B:$B,Summary!$C295)</f>
        <v>0</v>
      </c>
      <c r="M295" s="61">
        <f ca="1">SUMIFS(OFFSET('BPC Data'!$F:$F,0,Summary!M$2),'BPC Data'!$E:$E,Summary!$D295,'BPC Data'!$B:$B,Summary!$C295)</f>
        <v>0</v>
      </c>
      <c r="N295" s="65">
        <f ca="1">SUMIFS(OFFSET('BPC Data'!$F:$F,0,Summary!N$2),'BPC Data'!$E:$E,Summary!$D295,'BPC Data'!$B:$B,Summary!$C295)</f>
        <v>0</v>
      </c>
      <c r="O295" s="61">
        <f ca="1">SUMIFS(OFFSET('BPC Data'!$F:$F,0,Summary!O$2),'BPC Data'!$E:$E,Summary!$D295,'BPC Data'!$B:$B,Summary!$C295)</f>
        <v>0</v>
      </c>
      <c r="P295" s="65">
        <f ca="1">SUMIFS(OFFSET('BPC Data'!$F:$F,0,Summary!P$2),'BPC Data'!$E:$E,Summary!$D295,'BPC Data'!$B:$B,Summary!$C295)</f>
        <v>0</v>
      </c>
      <c r="Q295" s="61">
        <f ca="1">SUMIFS(OFFSET('BPC Data'!$F:$F,0,Summary!Q$2),'BPC Data'!$E:$E,Summary!$D295,'BPC Data'!$B:$B,Summary!$C295)</f>
        <v>0</v>
      </c>
      <c r="R295" s="65">
        <f ca="1">SUMIFS(OFFSET('BPC Data'!$F:$F,0,Summary!R$2),'BPC Data'!$E:$E,Summary!$D295,'BPC Data'!$B:$B,Summary!$C295)</f>
        <v>0</v>
      </c>
      <c r="S295" s="23"/>
      <c r="T295" s="76"/>
      <c r="AJ295" s="49"/>
      <c r="AK295" s="49"/>
      <c r="AL295" s="49"/>
      <c r="AM295" s="49"/>
      <c r="AN295" s="49"/>
      <c r="AO295" s="49"/>
      <c r="AP295" s="49"/>
      <c r="AQ295" s="49"/>
      <c r="AR295" s="49"/>
      <c r="AS295" s="49"/>
      <c r="AT295" s="49"/>
      <c r="AU295" s="49"/>
    </row>
    <row r="296" spans="1:47" s="12" customFormat="1" hidden="1" outlineLevel="1">
      <c r="A296" s="12">
        <f>IF(AND(F296&lt;&gt;"",D296=""),A295+1,A295)</f>
        <v>27</v>
      </c>
      <c r="C296">
        <f>$F295</f>
        <v>0</v>
      </c>
      <c r="D296" s="3" t="str">
        <f t="shared" si="446"/>
        <v>PAY_PAT_DAYS - Total Payor Patient Days</v>
      </c>
      <c r="F296" s="19" t="str">
        <f>_xll.EVDES(D296)</f>
        <v>Total Payor Patient Days</v>
      </c>
      <c r="G296" s="61">
        <f ca="1">SUMIFS(OFFSET('BPC Data'!$F:$F,0,Summary!G$2),'BPC Data'!$E:$E,Summary!$D296,'BPC Data'!$B:$B,Summary!$C296)</f>
        <v>0</v>
      </c>
      <c r="H296" s="65">
        <f ca="1">SUMIFS(OFFSET('BPC Data'!$F:$F,0,Summary!H$2),'BPC Data'!$E:$E,Summary!$D296,'BPC Data'!$B:$B,Summary!$C296)</f>
        <v>0</v>
      </c>
      <c r="I296" s="61">
        <f ca="1">SUMIFS(OFFSET('BPC Data'!$F:$F,0,Summary!I$2),'BPC Data'!$E:$E,Summary!$D296,'BPC Data'!$B:$B,Summary!$C296)</f>
        <v>0</v>
      </c>
      <c r="J296" s="65">
        <f ca="1">SUMIFS(OFFSET('BPC Data'!$F:$F,0,Summary!J$2),'BPC Data'!$E:$E,Summary!$D296,'BPC Data'!$B:$B,Summary!$C296)</f>
        <v>0</v>
      </c>
      <c r="K296" s="61">
        <f ca="1">SUMIFS(OFFSET('BPC Data'!$F:$F,0,Summary!K$2),'BPC Data'!$E:$E,Summary!$D296,'BPC Data'!$B:$B,Summary!$C296)</f>
        <v>0</v>
      </c>
      <c r="L296" s="65">
        <f ca="1">SUMIFS(OFFSET('BPC Data'!$F:$F,0,Summary!L$2),'BPC Data'!$E:$E,Summary!$D296,'BPC Data'!$B:$B,Summary!$C296)</f>
        <v>0</v>
      </c>
      <c r="M296" s="61">
        <f ca="1">SUMIFS(OFFSET('BPC Data'!$F:$F,0,Summary!M$2),'BPC Data'!$E:$E,Summary!$D296,'BPC Data'!$B:$B,Summary!$C296)</f>
        <v>0</v>
      </c>
      <c r="N296" s="65">
        <f ca="1">SUMIFS(OFFSET('BPC Data'!$F:$F,0,Summary!N$2),'BPC Data'!$E:$E,Summary!$D296,'BPC Data'!$B:$B,Summary!$C296)</f>
        <v>0</v>
      </c>
      <c r="O296" s="61">
        <f ca="1">SUMIFS(OFFSET('BPC Data'!$F:$F,0,Summary!O$2),'BPC Data'!$E:$E,Summary!$D296,'BPC Data'!$B:$B,Summary!$C296)</f>
        <v>0</v>
      </c>
      <c r="P296" s="65">
        <f ca="1">SUMIFS(OFFSET('BPC Data'!$F:$F,0,Summary!P$2),'BPC Data'!$E:$E,Summary!$D296,'BPC Data'!$B:$B,Summary!$C296)</f>
        <v>0</v>
      </c>
      <c r="Q296" s="61">
        <f ca="1">SUMIFS(OFFSET('BPC Data'!$F:$F,0,Summary!Q$2),'BPC Data'!$E:$E,Summary!$D296,'BPC Data'!$B:$B,Summary!$C296)</f>
        <v>0</v>
      </c>
      <c r="R296" s="65">
        <f ca="1">SUMIFS(OFFSET('BPC Data'!$F:$F,0,Summary!R$2),'BPC Data'!$E:$E,Summary!$D296,'BPC Data'!$B:$B,Summary!$C296)</f>
        <v>0</v>
      </c>
      <c r="S296" s="23"/>
      <c r="T296" s="76"/>
      <c r="AJ296" s="49"/>
      <c r="AK296" s="49"/>
      <c r="AL296" s="49"/>
      <c r="AM296" s="49"/>
      <c r="AN296" s="49"/>
      <c r="AO296" s="49"/>
      <c r="AP296" s="49"/>
      <c r="AQ296" s="49"/>
      <c r="AR296" s="49"/>
      <c r="AS296" s="49"/>
      <c r="AT296" s="49"/>
      <c r="AU296" s="49"/>
    </row>
    <row r="297" spans="1:47" s="12" customFormat="1" hidden="1" outlineLevel="1">
      <c r="A297" s="12">
        <f t="shared" ref="A297:A305" si="448">IF(AND(F297&lt;&gt;"",D297=""),A296+1,A296)</f>
        <v>27</v>
      </c>
      <c r="C297">
        <f>$F295</f>
        <v>0</v>
      </c>
      <c r="D297" s="3" t="str">
        <f t="shared" si="446"/>
        <v>A_BEDS_TOTAL - Total Available Beds</v>
      </c>
      <c r="F297" s="19" t="str">
        <f>_xll.EVDES(D297)</f>
        <v>Total Available Beds</v>
      </c>
      <c r="G297" s="61">
        <f ca="1">SUMIFS(OFFSET('BPC Data'!$F:$F,0,Summary!G$2),'BPC Data'!$E:$E,Summary!$D297,'BPC Data'!$B:$B,Summary!$C297)</f>
        <v>0</v>
      </c>
      <c r="H297" s="65">
        <f ca="1">SUMIFS(OFFSET('BPC Data'!$F:$F,0,Summary!H$2),'BPC Data'!$E:$E,Summary!$D297,'BPC Data'!$B:$B,Summary!$C297)</f>
        <v>0</v>
      </c>
      <c r="I297" s="61">
        <f ca="1">SUMIFS(OFFSET('BPC Data'!$F:$F,0,Summary!I$2),'BPC Data'!$E:$E,Summary!$D297,'BPC Data'!$B:$B,Summary!$C297)</f>
        <v>0</v>
      </c>
      <c r="J297" s="65">
        <f ca="1">SUMIFS(OFFSET('BPC Data'!$F:$F,0,Summary!J$2),'BPC Data'!$E:$E,Summary!$D297,'BPC Data'!$B:$B,Summary!$C297)</f>
        <v>0</v>
      </c>
      <c r="K297" s="61">
        <f ca="1">SUMIFS(OFFSET('BPC Data'!$F:$F,0,Summary!K$2),'BPC Data'!$E:$E,Summary!$D297,'BPC Data'!$B:$B,Summary!$C297)</f>
        <v>0</v>
      </c>
      <c r="L297" s="65">
        <f ca="1">SUMIFS(OFFSET('BPC Data'!$F:$F,0,Summary!L$2),'BPC Data'!$E:$E,Summary!$D297,'BPC Data'!$B:$B,Summary!$C297)</f>
        <v>0</v>
      </c>
      <c r="M297" s="61">
        <f ca="1">SUMIFS(OFFSET('BPC Data'!$F:$F,0,Summary!M$2),'BPC Data'!$E:$E,Summary!$D297,'BPC Data'!$B:$B,Summary!$C297)</f>
        <v>0</v>
      </c>
      <c r="N297" s="65">
        <f ca="1">SUMIFS(OFFSET('BPC Data'!$F:$F,0,Summary!N$2),'BPC Data'!$E:$E,Summary!$D297,'BPC Data'!$B:$B,Summary!$C297)</f>
        <v>0</v>
      </c>
      <c r="O297" s="61">
        <f ca="1">SUMIFS(OFFSET('BPC Data'!$F:$F,0,Summary!O$2),'BPC Data'!$E:$E,Summary!$D297,'BPC Data'!$B:$B,Summary!$C297)</f>
        <v>0</v>
      </c>
      <c r="P297" s="65">
        <f ca="1">SUMIFS(OFFSET('BPC Data'!$F:$F,0,Summary!P$2),'BPC Data'!$E:$E,Summary!$D297,'BPC Data'!$B:$B,Summary!$C297)</f>
        <v>0</v>
      </c>
      <c r="Q297" s="61">
        <f ca="1">SUMIFS(OFFSET('BPC Data'!$F:$F,0,Summary!Q$2),'BPC Data'!$E:$E,Summary!$D297,'BPC Data'!$B:$B,Summary!$C297)</f>
        <v>0</v>
      </c>
      <c r="R297" s="65">
        <f ca="1">SUMIFS(OFFSET('BPC Data'!$F:$F,0,Summary!R$2),'BPC Data'!$E:$E,Summary!$D297,'BPC Data'!$B:$B,Summary!$C297)</f>
        <v>0</v>
      </c>
      <c r="S297" s="23"/>
      <c r="T297" s="76"/>
      <c r="AJ297" s="49"/>
      <c r="AK297" s="49"/>
      <c r="AL297" s="49"/>
      <c r="AM297" s="49"/>
      <c r="AN297" s="49"/>
      <c r="AO297" s="49"/>
      <c r="AP297" s="49"/>
      <c r="AQ297" s="49"/>
      <c r="AR297" s="49"/>
      <c r="AS297" s="49"/>
      <c r="AT297" s="49"/>
      <c r="AU297" s="49"/>
    </row>
    <row r="298" spans="1:47" s="12" customFormat="1" hidden="1" outlineLevel="1">
      <c r="A298" s="12">
        <f t="shared" si="448"/>
        <v>27</v>
      </c>
      <c r="B298"/>
      <c r="C298">
        <f>$F295</f>
        <v>0</v>
      </c>
      <c r="D298" s="3" t="str">
        <f t="shared" si="446"/>
        <v>T_REVENUES - Total Tenant Revenues</v>
      </c>
      <c r="E298"/>
      <c r="F298" s="19" t="str">
        <f>_xll.EVDES(D298)</f>
        <v>Total Tenant Revenues</v>
      </c>
      <c r="G298" s="61">
        <f ca="1">SUMIFS(OFFSET('BPC Data'!$F:$F,0,Summary!G$2),'BPC Data'!$E:$E,Summary!$D298,'BPC Data'!$B:$B,Summary!$C298)</f>
        <v>0</v>
      </c>
      <c r="H298" s="65">
        <f ca="1">SUMIFS(OFFSET('BPC Data'!$F:$F,0,Summary!H$2),'BPC Data'!$E:$E,Summary!$D298,'BPC Data'!$B:$B,Summary!$C298)</f>
        <v>0</v>
      </c>
      <c r="I298" s="61">
        <f ca="1">SUMIFS(OFFSET('BPC Data'!$F:$F,0,Summary!I$2),'BPC Data'!$E:$E,Summary!$D298,'BPC Data'!$B:$B,Summary!$C298)</f>
        <v>0</v>
      </c>
      <c r="J298" s="65">
        <f ca="1">SUMIFS(OFFSET('BPC Data'!$F:$F,0,Summary!J$2),'BPC Data'!$E:$E,Summary!$D298,'BPC Data'!$B:$B,Summary!$C298)</f>
        <v>0</v>
      </c>
      <c r="K298" s="61">
        <f ca="1">SUMIFS(OFFSET('BPC Data'!$F:$F,0,Summary!K$2),'BPC Data'!$E:$E,Summary!$D298,'BPC Data'!$B:$B,Summary!$C298)</f>
        <v>0</v>
      </c>
      <c r="L298" s="65">
        <f ca="1">SUMIFS(OFFSET('BPC Data'!$F:$F,0,Summary!L$2),'BPC Data'!$E:$E,Summary!$D298,'BPC Data'!$B:$B,Summary!$C298)</f>
        <v>0</v>
      </c>
      <c r="M298" s="61">
        <f ca="1">SUMIFS(OFFSET('BPC Data'!$F:$F,0,Summary!M$2),'BPC Data'!$E:$E,Summary!$D298,'BPC Data'!$B:$B,Summary!$C298)</f>
        <v>0</v>
      </c>
      <c r="N298" s="65">
        <f ca="1">SUMIFS(OFFSET('BPC Data'!$F:$F,0,Summary!N$2),'BPC Data'!$E:$E,Summary!$D298,'BPC Data'!$B:$B,Summary!$C298)</f>
        <v>0</v>
      </c>
      <c r="O298" s="61">
        <f ca="1">SUMIFS(OFFSET('BPC Data'!$F:$F,0,Summary!O$2),'BPC Data'!$E:$E,Summary!$D298,'BPC Data'!$B:$B,Summary!$C298)</f>
        <v>0</v>
      </c>
      <c r="P298" s="65">
        <f ca="1">SUMIFS(OFFSET('BPC Data'!$F:$F,0,Summary!P$2),'BPC Data'!$E:$E,Summary!$D298,'BPC Data'!$B:$B,Summary!$C298)</f>
        <v>0</v>
      </c>
      <c r="Q298" s="61">
        <f ca="1">SUMIFS(OFFSET('BPC Data'!$F:$F,0,Summary!Q$2),'BPC Data'!$E:$E,Summary!$D298,'BPC Data'!$B:$B,Summary!$C298)</f>
        <v>0</v>
      </c>
      <c r="R298" s="65">
        <f ca="1">SUMIFS(OFFSET('BPC Data'!$F:$F,0,Summary!R$2),'BPC Data'!$E:$E,Summary!$D298,'BPC Data'!$B:$B,Summary!$C298)</f>
        <v>0</v>
      </c>
      <c r="S298" s="23"/>
      <c r="T298" s="76"/>
      <c r="AJ298" s="49"/>
      <c r="AK298" s="49"/>
      <c r="AL298" s="49"/>
      <c r="AM298" s="49"/>
      <c r="AN298" s="49"/>
      <c r="AO298" s="49"/>
      <c r="AP298" s="49"/>
      <c r="AQ298" s="49"/>
      <c r="AR298" s="49"/>
      <c r="AS298" s="49"/>
      <c r="AT298" s="49"/>
      <c r="AU298" s="49"/>
    </row>
    <row r="299" spans="1:47" s="12" customFormat="1" hidden="1" outlineLevel="1">
      <c r="A299" s="12">
        <f t="shared" si="448"/>
        <v>27</v>
      </c>
      <c r="B299"/>
      <c r="C299">
        <f>$F295</f>
        <v>0</v>
      </c>
      <c r="D299" s="3" t="str">
        <f t="shared" si="446"/>
        <v>T_OPEX - Tenant Operating Expenses</v>
      </c>
      <c r="E299"/>
      <c r="F299" s="19" t="str">
        <f>_xll.EVDES(D299)</f>
        <v>Tenant Operating Expenses</v>
      </c>
      <c r="G299" s="61">
        <f ca="1">SUMIFS(OFFSET('BPC Data'!$F:$F,0,Summary!G$2),'BPC Data'!$E:$E,Summary!$D299,'BPC Data'!$B:$B,Summary!$C299)</f>
        <v>0</v>
      </c>
      <c r="H299" s="65">
        <f ca="1">SUMIFS(OFFSET('BPC Data'!$F:$F,0,Summary!H$2),'BPC Data'!$E:$E,Summary!$D299,'BPC Data'!$B:$B,Summary!$C299)</f>
        <v>0</v>
      </c>
      <c r="I299" s="61">
        <f ca="1">SUMIFS(OFFSET('BPC Data'!$F:$F,0,Summary!I$2),'BPC Data'!$E:$E,Summary!$D299,'BPC Data'!$B:$B,Summary!$C299)</f>
        <v>0</v>
      </c>
      <c r="J299" s="65">
        <f ca="1">SUMIFS(OFFSET('BPC Data'!$F:$F,0,Summary!J$2),'BPC Data'!$E:$E,Summary!$D299,'BPC Data'!$B:$B,Summary!$C299)</f>
        <v>0</v>
      </c>
      <c r="K299" s="61">
        <f ca="1">SUMIFS(OFFSET('BPC Data'!$F:$F,0,Summary!K$2),'BPC Data'!$E:$E,Summary!$D299,'BPC Data'!$B:$B,Summary!$C299)</f>
        <v>0</v>
      </c>
      <c r="L299" s="65">
        <f ca="1">SUMIFS(OFFSET('BPC Data'!$F:$F,0,Summary!L$2),'BPC Data'!$E:$E,Summary!$D299,'BPC Data'!$B:$B,Summary!$C299)</f>
        <v>0</v>
      </c>
      <c r="M299" s="61">
        <f ca="1">SUMIFS(OFFSET('BPC Data'!$F:$F,0,Summary!M$2),'BPC Data'!$E:$E,Summary!$D299,'BPC Data'!$B:$B,Summary!$C299)</f>
        <v>0</v>
      </c>
      <c r="N299" s="65">
        <f ca="1">SUMIFS(OFFSET('BPC Data'!$F:$F,0,Summary!N$2),'BPC Data'!$E:$E,Summary!$D299,'BPC Data'!$B:$B,Summary!$C299)</f>
        <v>0</v>
      </c>
      <c r="O299" s="61">
        <f ca="1">SUMIFS(OFFSET('BPC Data'!$F:$F,0,Summary!O$2),'BPC Data'!$E:$E,Summary!$D299,'BPC Data'!$B:$B,Summary!$C299)</f>
        <v>0</v>
      </c>
      <c r="P299" s="65">
        <f ca="1">SUMIFS(OFFSET('BPC Data'!$F:$F,0,Summary!P$2),'BPC Data'!$E:$E,Summary!$D299,'BPC Data'!$B:$B,Summary!$C299)</f>
        <v>0</v>
      </c>
      <c r="Q299" s="61">
        <f ca="1">SUMIFS(OFFSET('BPC Data'!$F:$F,0,Summary!Q$2),'BPC Data'!$E:$E,Summary!$D299,'BPC Data'!$B:$B,Summary!$C299)</f>
        <v>0</v>
      </c>
      <c r="R299" s="65">
        <f ca="1">SUMIFS(OFFSET('BPC Data'!$F:$F,0,Summary!R$2),'BPC Data'!$E:$E,Summary!$D299,'BPC Data'!$B:$B,Summary!$C299)</f>
        <v>0</v>
      </c>
      <c r="S299" s="23"/>
      <c r="T299" s="76"/>
      <c r="AJ299" s="49"/>
      <c r="AK299" s="49"/>
      <c r="AL299" s="49"/>
      <c r="AM299" s="49"/>
      <c r="AN299" s="49"/>
      <c r="AO299" s="49"/>
      <c r="AP299" s="49"/>
      <c r="AQ299" s="49"/>
      <c r="AR299" s="49"/>
      <c r="AS299" s="49"/>
      <c r="AT299" s="49"/>
      <c r="AU299" s="49"/>
    </row>
    <row r="300" spans="1:47" s="12" customFormat="1" hidden="1" outlineLevel="1">
      <c r="A300" s="12">
        <f t="shared" si="448"/>
        <v>27</v>
      </c>
      <c r="B300"/>
      <c r="C300">
        <f>$F295</f>
        <v>0</v>
      </c>
      <c r="D300" s="3" t="str">
        <f t="shared" si="446"/>
        <v>T_BAD_DEBT - Tenant Bad Debt Expense</v>
      </c>
      <c r="E300"/>
      <c r="F300" s="19" t="str">
        <f>_xll.EVDES(D300)</f>
        <v>Tenant Bad Debt Expense</v>
      </c>
      <c r="G300" s="61">
        <f ca="1">SUMIFS(OFFSET('BPC Data'!$F:$F,0,Summary!G$2),'BPC Data'!$E:$E,Summary!$D300,'BPC Data'!$B:$B,Summary!$C300)</f>
        <v>0</v>
      </c>
      <c r="H300" s="65">
        <f ca="1">SUMIFS(OFFSET('BPC Data'!$F:$F,0,Summary!H$2),'BPC Data'!$E:$E,Summary!$D300,'BPC Data'!$B:$B,Summary!$C300)</f>
        <v>0</v>
      </c>
      <c r="I300" s="61">
        <f ca="1">SUMIFS(OFFSET('BPC Data'!$F:$F,0,Summary!I$2),'BPC Data'!$E:$E,Summary!$D300,'BPC Data'!$B:$B,Summary!$C300)</f>
        <v>0</v>
      </c>
      <c r="J300" s="65">
        <f ca="1">SUMIFS(OFFSET('BPC Data'!$F:$F,0,Summary!J$2),'BPC Data'!$E:$E,Summary!$D300,'BPC Data'!$B:$B,Summary!$C300)</f>
        <v>0</v>
      </c>
      <c r="K300" s="61">
        <f ca="1">SUMIFS(OFFSET('BPC Data'!$F:$F,0,Summary!K$2),'BPC Data'!$E:$E,Summary!$D300,'BPC Data'!$B:$B,Summary!$C300)</f>
        <v>0</v>
      </c>
      <c r="L300" s="65">
        <f ca="1">SUMIFS(OFFSET('BPC Data'!$F:$F,0,Summary!L$2),'BPC Data'!$E:$E,Summary!$D300,'BPC Data'!$B:$B,Summary!$C300)</f>
        <v>0</v>
      </c>
      <c r="M300" s="61">
        <f ca="1">SUMIFS(OFFSET('BPC Data'!$F:$F,0,Summary!M$2),'BPC Data'!$E:$E,Summary!$D300,'BPC Data'!$B:$B,Summary!$C300)</f>
        <v>0</v>
      </c>
      <c r="N300" s="65">
        <f ca="1">SUMIFS(OFFSET('BPC Data'!$F:$F,0,Summary!N$2),'BPC Data'!$E:$E,Summary!$D300,'BPC Data'!$B:$B,Summary!$C300)</f>
        <v>0</v>
      </c>
      <c r="O300" s="61">
        <f ca="1">SUMIFS(OFFSET('BPC Data'!$F:$F,0,Summary!O$2),'BPC Data'!$E:$E,Summary!$D300,'BPC Data'!$B:$B,Summary!$C300)</f>
        <v>0</v>
      </c>
      <c r="P300" s="65">
        <f ca="1">SUMIFS(OFFSET('BPC Data'!$F:$F,0,Summary!P$2),'BPC Data'!$E:$E,Summary!$D300,'BPC Data'!$B:$B,Summary!$C300)</f>
        <v>0</v>
      </c>
      <c r="Q300" s="61">
        <f ca="1">SUMIFS(OFFSET('BPC Data'!$F:$F,0,Summary!Q$2),'BPC Data'!$E:$E,Summary!$D300,'BPC Data'!$B:$B,Summary!$C300)</f>
        <v>0</v>
      </c>
      <c r="R300" s="65">
        <f ca="1">SUMIFS(OFFSET('BPC Data'!$F:$F,0,Summary!R$2),'BPC Data'!$E:$E,Summary!$D300,'BPC Data'!$B:$B,Summary!$C300)</f>
        <v>0</v>
      </c>
      <c r="S300" s="23"/>
      <c r="T300" s="76"/>
      <c r="AJ300" s="49"/>
      <c r="AK300" s="49"/>
      <c r="AL300" s="49"/>
      <c r="AM300" s="49"/>
      <c r="AN300" s="49"/>
      <c r="AO300" s="49"/>
      <c r="AP300" s="49"/>
      <c r="AQ300" s="49"/>
      <c r="AR300" s="49"/>
      <c r="AS300" s="49"/>
      <c r="AT300" s="49"/>
      <c r="AU300" s="49"/>
    </row>
    <row r="301" spans="1:47" s="12" customFormat="1" hidden="1" outlineLevel="1">
      <c r="A301" s="12">
        <f t="shared" si="448"/>
        <v>27</v>
      </c>
      <c r="B301"/>
      <c r="C301">
        <f>$F295</f>
        <v>0</v>
      </c>
      <c r="D301" s="2" t="str">
        <f t="shared" si="446"/>
        <v>T_EBITDARM - EBITDARM</v>
      </c>
      <c r="E301"/>
      <c r="F301" s="19" t="str">
        <f>_xll.EVDES(D301)</f>
        <v>EBITDARM</v>
      </c>
      <c r="G301" s="61">
        <f ca="1">SUMIFS(OFFSET('BPC Data'!$F:$F,0,Summary!G$2),'BPC Data'!$E:$E,Summary!$D301,'BPC Data'!$B:$B,Summary!$C301)</f>
        <v>0</v>
      </c>
      <c r="H301" s="65">
        <f ca="1">SUMIFS(OFFSET('BPC Data'!$F:$F,0,Summary!H$2),'BPC Data'!$E:$E,Summary!$D301,'BPC Data'!$B:$B,Summary!$C301)</f>
        <v>0</v>
      </c>
      <c r="I301" s="61">
        <f ca="1">SUMIFS(OFFSET('BPC Data'!$F:$F,0,Summary!I$2),'BPC Data'!$E:$E,Summary!$D301,'BPC Data'!$B:$B,Summary!$C301)</f>
        <v>0</v>
      </c>
      <c r="J301" s="65">
        <f ca="1">SUMIFS(OFFSET('BPC Data'!$F:$F,0,Summary!J$2),'BPC Data'!$E:$E,Summary!$D301,'BPC Data'!$B:$B,Summary!$C301)</f>
        <v>0</v>
      </c>
      <c r="K301" s="61">
        <f ca="1">SUMIFS(OFFSET('BPC Data'!$F:$F,0,Summary!K$2),'BPC Data'!$E:$E,Summary!$D301,'BPC Data'!$B:$B,Summary!$C301)</f>
        <v>0</v>
      </c>
      <c r="L301" s="65">
        <f ca="1">SUMIFS(OFFSET('BPC Data'!$F:$F,0,Summary!L$2),'BPC Data'!$E:$E,Summary!$D301,'BPC Data'!$B:$B,Summary!$C301)</f>
        <v>0</v>
      </c>
      <c r="M301" s="61">
        <f ca="1">SUMIFS(OFFSET('BPC Data'!$F:$F,0,Summary!M$2),'BPC Data'!$E:$E,Summary!$D301,'BPC Data'!$B:$B,Summary!$C301)</f>
        <v>0</v>
      </c>
      <c r="N301" s="65">
        <f ca="1">SUMIFS(OFFSET('BPC Data'!$F:$F,0,Summary!N$2),'BPC Data'!$E:$E,Summary!$D301,'BPC Data'!$B:$B,Summary!$C301)</f>
        <v>0</v>
      </c>
      <c r="O301" s="61">
        <f ca="1">SUMIFS(OFFSET('BPC Data'!$F:$F,0,Summary!O$2),'BPC Data'!$E:$E,Summary!$D301,'BPC Data'!$B:$B,Summary!$C301)</f>
        <v>0</v>
      </c>
      <c r="P301" s="65">
        <f ca="1">SUMIFS(OFFSET('BPC Data'!$F:$F,0,Summary!P$2),'BPC Data'!$E:$E,Summary!$D301,'BPC Data'!$B:$B,Summary!$C301)</f>
        <v>0</v>
      </c>
      <c r="Q301" s="61">
        <f ca="1">SUMIFS(OFFSET('BPC Data'!$F:$F,0,Summary!Q$2),'BPC Data'!$E:$E,Summary!$D301,'BPC Data'!$B:$B,Summary!$C301)</f>
        <v>0</v>
      </c>
      <c r="R301" s="65">
        <f ca="1">SUMIFS(OFFSET('BPC Data'!$F:$F,0,Summary!R$2),'BPC Data'!$E:$E,Summary!$D301,'BPC Data'!$B:$B,Summary!$C301)</f>
        <v>0</v>
      </c>
      <c r="S301" s="23"/>
      <c r="T301" s="76"/>
      <c r="AJ301" s="49"/>
      <c r="AK301" s="49"/>
      <c r="AL301" s="49"/>
      <c r="AM301" s="49"/>
      <c r="AN301" s="49"/>
      <c r="AO301" s="49"/>
      <c r="AP301" s="49"/>
      <c r="AQ301" s="49"/>
      <c r="AR301" s="49"/>
      <c r="AS301" s="49"/>
      <c r="AT301" s="49"/>
      <c r="AU301" s="49"/>
    </row>
    <row r="302" spans="1:47" s="12" customFormat="1" hidden="1" outlineLevel="1">
      <c r="A302" s="12">
        <f t="shared" si="448"/>
        <v>27</v>
      </c>
      <c r="B302"/>
      <c r="C302">
        <f>$F295</f>
        <v>0</v>
      </c>
      <c r="D302" s="2" t="str">
        <f t="shared" si="446"/>
        <v>T_MGMT_FEE - Tenant Management Fee - Actual</v>
      </c>
      <c r="E302"/>
      <c r="F302" s="19" t="str">
        <f>_xll.EVDES(D302)</f>
        <v>Tenant Management Fee - Actual</v>
      </c>
      <c r="G302" s="61">
        <f ca="1">SUMIFS(OFFSET('BPC Data'!$F:$F,0,Summary!G$2),'BPC Data'!$E:$E,Summary!$D302,'BPC Data'!$B:$B,Summary!$C302)</f>
        <v>0</v>
      </c>
      <c r="H302" s="65">
        <f ca="1">SUMIFS(OFFSET('BPC Data'!$F:$F,0,Summary!H$2),'BPC Data'!$E:$E,Summary!$D302,'BPC Data'!$B:$B,Summary!$C302)</f>
        <v>0</v>
      </c>
      <c r="I302" s="61">
        <f ca="1">SUMIFS(OFFSET('BPC Data'!$F:$F,0,Summary!I$2),'BPC Data'!$E:$E,Summary!$D302,'BPC Data'!$B:$B,Summary!$C302)</f>
        <v>0</v>
      </c>
      <c r="J302" s="65">
        <f ca="1">SUMIFS(OFFSET('BPC Data'!$F:$F,0,Summary!J$2),'BPC Data'!$E:$E,Summary!$D302,'BPC Data'!$B:$B,Summary!$C302)</f>
        <v>0</v>
      </c>
      <c r="K302" s="61">
        <f ca="1">SUMIFS(OFFSET('BPC Data'!$F:$F,0,Summary!K$2),'BPC Data'!$E:$E,Summary!$D302,'BPC Data'!$B:$B,Summary!$C302)</f>
        <v>0</v>
      </c>
      <c r="L302" s="65">
        <f ca="1">SUMIFS(OFFSET('BPC Data'!$F:$F,0,Summary!L$2),'BPC Data'!$E:$E,Summary!$D302,'BPC Data'!$B:$B,Summary!$C302)</f>
        <v>0</v>
      </c>
      <c r="M302" s="61">
        <f ca="1">SUMIFS(OFFSET('BPC Data'!$F:$F,0,Summary!M$2),'BPC Data'!$E:$E,Summary!$D302,'BPC Data'!$B:$B,Summary!$C302)</f>
        <v>0</v>
      </c>
      <c r="N302" s="65">
        <f ca="1">SUMIFS(OFFSET('BPC Data'!$F:$F,0,Summary!N$2),'BPC Data'!$E:$E,Summary!$D302,'BPC Data'!$B:$B,Summary!$C302)</f>
        <v>0</v>
      </c>
      <c r="O302" s="61">
        <f ca="1">SUMIFS(OFFSET('BPC Data'!$F:$F,0,Summary!O$2),'BPC Data'!$E:$E,Summary!$D302,'BPC Data'!$B:$B,Summary!$C302)</f>
        <v>0</v>
      </c>
      <c r="P302" s="65">
        <f ca="1">SUMIFS(OFFSET('BPC Data'!$F:$F,0,Summary!P$2),'BPC Data'!$E:$E,Summary!$D302,'BPC Data'!$B:$B,Summary!$C302)</f>
        <v>0</v>
      </c>
      <c r="Q302" s="61">
        <f ca="1">SUMIFS(OFFSET('BPC Data'!$F:$F,0,Summary!Q$2),'BPC Data'!$E:$E,Summary!$D302,'BPC Data'!$B:$B,Summary!$C302)</f>
        <v>0</v>
      </c>
      <c r="R302" s="65">
        <f ca="1">SUMIFS(OFFSET('BPC Data'!$F:$F,0,Summary!R$2),'BPC Data'!$E:$E,Summary!$D302,'BPC Data'!$B:$B,Summary!$C302)</f>
        <v>0</v>
      </c>
      <c r="S302" s="23"/>
      <c r="T302" s="76"/>
      <c r="AJ302" s="49"/>
      <c r="AK302" s="49"/>
      <c r="AL302" s="49"/>
      <c r="AM302" s="49"/>
      <c r="AN302" s="49"/>
      <c r="AO302" s="49"/>
      <c r="AP302" s="49"/>
      <c r="AQ302" s="49"/>
      <c r="AR302" s="49"/>
      <c r="AS302" s="49"/>
      <c r="AT302" s="49"/>
      <c r="AU302" s="49"/>
    </row>
    <row r="303" spans="1:47" s="12" customFormat="1" hidden="1" outlineLevel="1">
      <c r="A303" s="12">
        <f t="shared" si="448"/>
        <v>27</v>
      </c>
      <c r="B303"/>
      <c r="C303">
        <f>$F295</f>
        <v>0</v>
      </c>
      <c r="D303" s="1" t="str">
        <f t="shared" si="446"/>
        <v>T_EBITDAR - EBITDAR</v>
      </c>
      <c r="E303"/>
      <c r="F303" s="19" t="str">
        <f>_xll.EVDES(D303)</f>
        <v>EBITDAR</v>
      </c>
      <c r="G303" s="61">
        <f ca="1">SUMIFS(OFFSET('BPC Data'!$F:$F,0,Summary!G$2),'BPC Data'!$E:$E,Summary!$D303,'BPC Data'!$B:$B,Summary!$C303)</f>
        <v>0</v>
      </c>
      <c r="H303" s="65">
        <f ca="1">SUMIFS(OFFSET('BPC Data'!$F:$F,0,Summary!H$2),'BPC Data'!$E:$E,Summary!$D303,'BPC Data'!$B:$B,Summary!$C303)</f>
        <v>0</v>
      </c>
      <c r="I303" s="61">
        <f ca="1">SUMIFS(OFFSET('BPC Data'!$F:$F,0,Summary!I$2),'BPC Data'!$E:$E,Summary!$D303,'BPC Data'!$B:$B,Summary!$C303)</f>
        <v>0</v>
      </c>
      <c r="J303" s="65">
        <f ca="1">SUMIFS(OFFSET('BPC Data'!$F:$F,0,Summary!J$2),'BPC Data'!$E:$E,Summary!$D303,'BPC Data'!$B:$B,Summary!$C303)</f>
        <v>0</v>
      </c>
      <c r="K303" s="61">
        <f ca="1">SUMIFS(OFFSET('BPC Data'!$F:$F,0,Summary!K$2),'BPC Data'!$E:$E,Summary!$D303,'BPC Data'!$B:$B,Summary!$C303)</f>
        <v>0</v>
      </c>
      <c r="L303" s="65">
        <f ca="1">SUMIFS(OFFSET('BPC Data'!$F:$F,0,Summary!L$2),'BPC Data'!$E:$E,Summary!$D303,'BPC Data'!$B:$B,Summary!$C303)</f>
        <v>0</v>
      </c>
      <c r="M303" s="61">
        <f ca="1">SUMIFS(OFFSET('BPC Data'!$F:$F,0,Summary!M$2),'BPC Data'!$E:$E,Summary!$D303,'BPC Data'!$B:$B,Summary!$C303)</f>
        <v>0</v>
      </c>
      <c r="N303" s="65">
        <f ca="1">SUMIFS(OFFSET('BPC Data'!$F:$F,0,Summary!N$2),'BPC Data'!$E:$E,Summary!$D303,'BPC Data'!$B:$B,Summary!$C303)</f>
        <v>0</v>
      </c>
      <c r="O303" s="61">
        <f ca="1">SUMIFS(OFFSET('BPC Data'!$F:$F,0,Summary!O$2),'BPC Data'!$E:$E,Summary!$D303,'BPC Data'!$B:$B,Summary!$C303)</f>
        <v>0</v>
      </c>
      <c r="P303" s="65">
        <f ca="1">SUMIFS(OFFSET('BPC Data'!$F:$F,0,Summary!P$2),'BPC Data'!$E:$E,Summary!$D303,'BPC Data'!$B:$B,Summary!$C303)</f>
        <v>0</v>
      </c>
      <c r="Q303" s="61">
        <f ca="1">SUMIFS(OFFSET('BPC Data'!$F:$F,0,Summary!Q$2),'BPC Data'!$E:$E,Summary!$D303,'BPC Data'!$B:$B,Summary!$C303)</f>
        <v>0</v>
      </c>
      <c r="R303" s="65">
        <f ca="1">SUMIFS(OFFSET('BPC Data'!$F:$F,0,Summary!R$2),'BPC Data'!$E:$E,Summary!$D303,'BPC Data'!$B:$B,Summary!$C303)</f>
        <v>0</v>
      </c>
      <c r="S303" s="23"/>
      <c r="T303" s="76"/>
      <c r="AJ303" s="49"/>
      <c r="AK303" s="49"/>
      <c r="AL303" s="49"/>
      <c r="AM303" s="49"/>
      <c r="AN303" s="49"/>
      <c r="AO303" s="49"/>
      <c r="AP303" s="49"/>
      <c r="AQ303" s="49"/>
      <c r="AR303" s="49"/>
      <c r="AS303" s="49"/>
      <c r="AT303" s="49"/>
      <c r="AU303" s="49"/>
    </row>
    <row r="304" spans="1:47" s="12" customFormat="1" hidden="1" outlineLevel="1">
      <c r="A304" s="12">
        <f t="shared" si="448"/>
        <v>27</v>
      </c>
      <c r="B304"/>
      <c r="C304">
        <f>$F295</f>
        <v>0</v>
      </c>
      <c r="D304" s="1" t="str">
        <f t="shared" si="446"/>
        <v>T_RENT_EXP - Tenant Rent Expense</v>
      </c>
      <c r="E304"/>
      <c r="F304" s="19" t="str">
        <f>_xll.EVDES(D304)</f>
        <v>Tenant Rent Expense</v>
      </c>
      <c r="G304" s="61">
        <f ca="1">SUMIFS(OFFSET('BPC Data'!$F:$F,0,Summary!G$2),'BPC Data'!$E:$E,Summary!$D304,'BPC Data'!$B:$B,Summary!$C304)</f>
        <v>0</v>
      </c>
      <c r="H304" s="65">
        <f ca="1">SUMIFS(OFFSET('BPC Data'!$F:$F,0,Summary!H$2),'BPC Data'!$E:$E,Summary!$D304,'BPC Data'!$B:$B,Summary!$C304)</f>
        <v>0</v>
      </c>
      <c r="I304" s="61">
        <f ca="1">SUMIFS(OFFSET('BPC Data'!$F:$F,0,Summary!I$2),'BPC Data'!$E:$E,Summary!$D304,'BPC Data'!$B:$B,Summary!$C304)</f>
        <v>0</v>
      </c>
      <c r="J304" s="65">
        <f ca="1">SUMIFS(OFFSET('BPC Data'!$F:$F,0,Summary!J$2),'BPC Data'!$E:$E,Summary!$D304,'BPC Data'!$B:$B,Summary!$C304)</f>
        <v>0</v>
      </c>
      <c r="K304" s="61">
        <f ca="1">SUMIFS(OFFSET('BPC Data'!$F:$F,0,Summary!K$2),'BPC Data'!$E:$E,Summary!$D304,'BPC Data'!$B:$B,Summary!$C304)</f>
        <v>0</v>
      </c>
      <c r="L304" s="65">
        <f ca="1">SUMIFS(OFFSET('BPC Data'!$F:$F,0,Summary!L$2),'BPC Data'!$E:$E,Summary!$D304,'BPC Data'!$B:$B,Summary!$C304)</f>
        <v>0</v>
      </c>
      <c r="M304" s="61">
        <f ca="1">SUMIFS(OFFSET('BPC Data'!$F:$F,0,Summary!M$2),'BPC Data'!$E:$E,Summary!$D304,'BPC Data'!$B:$B,Summary!$C304)</f>
        <v>0</v>
      </c>
      <c r="N304" s="65">
        <f ca="1">SUMIFS(OFFSET('BPC Data'!$F:$F,0,Summary!N$2),'BPC Data'!$E:$E,Summary!$D304,'BPC Data'!$B:$B,Summary!$C304)</f>
        <v>0</v>
      </c>
      <c r="O304" s="61">
        <f ca="1">SUMIFS(OFFSET('BPC Data'!$F:$F,0,Summary!O$2),'BPC Data'!$E:$E,Summary!$D304,'BPC Data'!$B:$B,Summary!$C304)</f>
        <v>0</v>
      </c>
      <c r="P304" s="65">
        <f ca="1">SUMIFS(OFFSET('BPC Data'!$F:$F,0,Summary!P$2),'BPC Data'!$E:$E,Summary!$D304,'BPC Data'!$B:$B,Summary!$C304)</f>
        <v>0</v>
      </c>
      <c r="Q304" s="61">
        <f ca="1">SUMIFS(OFFSET('BPC Data'!$F:$F,0,Summary!Q$2),'BPC Data'!$E:$E,Summary!$D304,'BPC Data'!$B:$B,Summary!$C304)</f>
        <v>0</v>
      </c>
      <c r="R304" s="65">
        <f ca="1">SUMIFS(OFFSET('BPC Data'!$F:$F,0,Summary!R$2),'BPC Data'!$E:$E,Summary!$D304,'BPC Data'!$B:$B,Summary!$C304)</f>
        <v>0</v>
      </c>
      <c r="S304" s="23"/>
      <c r="T304" s="76"/>
      <c r="AJ304" s="49"/>
      <c r="AK304" s="49"/>
      <c r="AL304" s="49"/>
      <c r="AM304" s="49"/>
      <c r="AN304" s="49"/>
      <c r="AO304" s="49"/>
      <c r="AP304" s="49"/>
      <c r="AQ304" s="49"/>
      <c r="AR304" s="49"/>
      <c r="AS304" s="49"/>
      <c r="AT304" s="49"/>
      <c r="AU304" s="49"/>
    </row>
    <row r="305" spans="1:47" s="12" customFormat="1" hidden="1" outlineLevel="1">
      <c r="A305" s="12">
        <f t="shared" si="448"/>
        <v>27</v>
      </c>
      <c r="B305"/>
      <c r="C305"/>
      <c r="D305" s="1" t="str">
        <f t="shared" si="446"/>
        <v>x</v>
      </c>
      <c r="E305"/>
      <c r="F305" s="19" t="s">
        <v>0</v>
      </c>
      <c r="G305" s="61">
        <f ca="1">SUMIFS(OFFSET('BPC Data'!$F:$F,0,Summary!G$2),'BPC Data'!$E:$E,Summary!$D305,'BPC Data'!$B:$B,Summary!$C305)</f>
        <v>0</v>
      </c>
      <c r="H305" s="65">
        <f ca="1">SUMIFS(OFFSET('BPC Data'!$F:$F,0,Summary!H$2),'BPC Data'!$E:$E,Summary!$D305,'BPC Data'!$B:$B,Summary!$C305)</f>
        <v>0</v>
      </c>
      <c r="I305" s="61">
        <f ca="1">SUMIFS(OFFSET('BPC Data'!$F:$F,0,Summary!I$2),'BPC Data'!$E:$E,Summary!$D305,'BPC Data'!$B:$B,Summary!$C305)</f>
        <v>0</v>
      </c>
      <c r="J305" s="65">
        <f ca="1">SUMIFS(OFFSET('BPC Data'!$F:$F,0,Summary!J$2),'BPC Data'!$E:$E,Summary!$D305,'BPC Data'!$B:$B,Summary!$C305)</f>
        <v>0</v>
      </c>
      <c r="K305" s="61">
        <f ca="1">SUMIFS(OFFSET('BPC Data'!$F:$F,0,Summary!K$2),'BPC Data'!$E:$E,Summary!$D305,'BPC Data'!$B:$B,Summary!$C305)</f>
        <v>0</v>
      </c>
      <c r="L305" s="65">
        <f ca="1">SUMIFS(OFFSET('BPC Data'!$F:$F,0,Summary!L$2),'BPC Data'!$E:$E,Summary!$D305,'BPC Data'!$B:$B,Summary!$C305)</f>
        <v>0</v>
      </c>
      <c r="M305" s="61">
        <f ca="1">SUMIFS(OFFSET('BPC Data'!$F:$F,0,Summary!M$2),'BPC Data'!$E:$E,Summary!$D305,'BPC Data'!$B:$B,Summary!$C305)</f>
        <v>0</v>
      </c>
      <c r="N305" s="65">
        <f ca="1">SUMIFS(OFFSET('BPC Data'!$F:$F,0,Summary!N$2),'BPC Data'!$E:$E,Summary!$D305,'BPC Data'!$B:$B,Summary!$C305)</f>
        <v>0</v>
      </c>
      <c r="O305" s="61">
        <f ca="1">SUMIFS(OFFSET('BPC Data'!$F:$F,0,Summary!O$2),'BPC Data'!$E:$E,Summary!$D305,'BPC Data'!$B:$B,Summary!$C305)</f>
        <v>0</v>
      </c>
      <c r="P305" s="65">
        <f ca="1">SUMIFS(OFFSET('BPC Data'!$F:$F,0,Summary!P$2),'BPC Data'!$E:$E,Summary!$D305,'BPC Data'!$B:$B,Summary!$C305)</f>
        <v>0</v>
      </c>
      <c r="Q305" s="61">
        <f ca="1">SUMIFS(OFFSET('BPC Data'!$F:$F,0,Summary!Q$2),'BPC Data'!$E:$E,Summary!$D305,'BPC Data'!$B:$B,Summary!$C305)</f>
        <v>0</v>
      </c>
      <c r="R305" s="65">
        <f ca="1">SUMIFS(OFFSET('BPC Data'!$F:$F,0,Summary!R$2),'BPC Data'!$E:$E,Summary!$D305,'BPC Data'!$B:$B,Summary!$C305)</f>
        <v>0</v>
      </c>
      <c r="S305" s="23"/>
      <c r="T305" s="76"/>
      <c r="AJ305" s="49"/>
      <c r="AK305" s="49"/>
      <c r="AL305" s="49"/>
      <c r="AM305" s="49"/>
      <c r="AN305" s="49"/>
      <c r="AO305" s="49"/>
      <c r="AP305" s="49"/>
      <c r="AQ305" s="49"/>
      <c r="AR305" s="49"/>
      <c r="AS305" s="49"/>
      <c r="AT305" s="49"/>
      <c r="AU305" s="49"/>
    </row>
    <row r="306" spans="1:47" s="12" customFormat="1" hidden="1" outlineLevel="1">
      <c r="A306" s="12">
        <f>IF(AND(D306&lt;&gt;"",C306=""),A305+1,A305)</f>
        <v>28</v>
      </c>
      <c r="B306" s="5"/>
      <c r="C306" s="5"/>
      <c r="D306" s="5" t="str">
        <f t="shared" si="446"/>
        <v>x</v>
      </c>
      <c r="E306" s="5"/>
      <c r="F306" s="18">
        <f>INDEX(PropertyList!$D:$D,MATCH(Summary!$A306,PropertyList!$C:$C,0))</f>
        <v>0</v>
      </c>
      <c r="G306" s="61">
        <f ca="1">SUMIFS(OFFSET('BPC Data'!$F:$F,0,Summary!G$2),'BPC Data'!$E:$E,Summary!$D306,'BPC Data'!$B:$B,Summary!$C306)</f>
        <v>0</v>
      </c>
      <c r="H306" s="65">
        <f ca="1">SUMIFS(OFFSET('BPC Data'!$F:$F,0,Summary!H$2),'BPC Data'!$E:$E,Summary!$D306,'BPC Data'!$B:$B,Summary!$C306)</f>
        <v>0</v>
      </c>
      <c r="I306" s="61">
        <f ca="1">SUMIFS(OFFSET('BPC Data'!$F:$F,0,Summary!I$2),'BPC Data'!$E:$E,Summary!$D306,'BPC Data'!$B:$B,Summary!$C306)</f>
        <v>0</v>
      </c>
      <c r="J306" s="65">
        <f ca="1">SUMIFS(OFFSET('BPC Data'!$F:$F,0,Summary!J$2),'BPC Data'!$E:$E,Summary!$D306,'BPC Data'!$B:$B,Summary!$C306)</f>
        <v>0</v>
      </c>
      <c r="K306" s="61">
        <f ca="1">SUMIFS(OFFSET('BPC Data'!$F:$F,0,Summary!K$2),'BPC Data'!$E:$E,Summary!$D306,'BPC Data'!$B:$B,Summary!$C306)</f>
        <v>0</v>
      </c>
      <c r="L306" s="65">
        <f ca="1">SUMIFS(OFFSET('BPC Data'!$F:$F,0,Summary!L$2),'BPC Data'!$E:$E,Summary!$D306,'BPC Data'!$B:$B,Summary!$C306)</f>
        <v>0</v>
      </c>
      <c r="M306" s="61">
        <f ca="1">SUMIFS(OFFSET('BPC Data'!$F:$F,0,Summary!M$2),'BPC Data'!$E:$E,Summary!$D306,'BPC Data'!$B:$B,Summary!$C306)</f>
        <v>0</v>
      </c>
      <c r="N306" s="65">
        <f ca="1">SUMIFS(OFFSET('BPC Data'!$F:$F,0,Summary!N$2),'BPC Data'!$E:$E,Summary!$D306,'BPC Data'!$B:$B,Summary!$C306)</f>
        <v>0</v>
      </c>
      <c r="O306" s="61">
        <f ca="1">SUMIFS(OFFSET('BPC Data'!$F:$F,0,Summary!O$2),'BPC Data'!$E:$E,Summary!$D306,'BPC Data'!$B:$B,Summary!$C306)</f>
        <v>0</v>
      </c>
      <c r="P306" s="65">
        <f ca="1">SUMIFS(OFFSET('BPC Data'!$F:$F,0,Summary!P$2),'BPC Data'!$E:$E,Summary!$D306,'BPC Data'!$B:$B,Summary!$C306)</f>
        <v>0</v>
      </c>
      <c r="Q306" s="61">
        <f ca="1">SUMIFS(OFFSET('BPC Data'!$F:$F,0,Summary!Q$2),'BPC Data'!$E:$E,Summary!$D306,'BPC Data'!$B:$B,Summary!$C306)</f>
        <v>0</v>
      </c>
      <c r="R306" s="65">
        <f ca="1">SUMIFS(OFFSET('BPC Data'!$F:$F,0,Summary!R$2),'BPC Data'!$E:$E,Summary!$D306,'BPC Data'!$B:$B,Summary!$C306)</f>
        <v>0</v>
      </c>
      <c r="S306" s="23"/>
      <c r="T306" s="76"/>
      <c r="AJ306" s="49"/>
      <c r="AK306" s="49"/>
      <c r="AL306" s="49"/>
      <c r="AM306" s="49"/>
      <c r="AN306" s="49"/>
      <c r="AO306" s="49"/>
      <c r="AP306" s="49"/>
      <c r="AQ306" s="49"/>
      <c r="AR306" s="49"/>
      <c r="AS306" s="49"/>
      <c r="AT306" s="49"/>
      <c r="AU306" s="49"/>
    </row>
    <row r="307" spans="1:47" s="12" customFormat="1" hidden="1" outlineLevel="1">
      <c r="A307" s="12">
        <f>IF(AND(F307&lt;&gt;"",D307=""),A306+1,A306)</f>
        <v>28</v>
      </c>
      <c r="C307">
        <f>$F306</f>
        <v>0</v>
      </c>
      <c r="D307" s="3" t="str">
        <f t="shared" si="446"/>
        <v>PAY_PAT_DAYS - Total Payor Patient Days</v>
      </c>
      <c r="F307" s="19" t="str">
        <f>_xll.EVDES(D307)</f>
        <v>Total Payor Patient Days</v>
      </c>
      <c r="G307" s="61">
        <f ca="1">SUMIFS(OFFSET('BPC Data'!$F:$F,0,Summary!G$2),'BPC Data'!$E:$E,Summary!$D307,'BPC Data'!$B:$B,Summary!$C307)</f>
        <v>0</v>
      </c>
      <c r="H307" s="65">
        <f ca="1">SUMIFS(OFFSET('BPC Data'!$F:$F,0,Summary!H$2),'BPC Data'!$E:$E,Summary!$D307,'BPC Data'!$B:$B,Summary!$C307)</f>
        <v>0</v>
      </c>
      <c r="I307" s="61">
        <f ca="1">SUMIFS(OFFSET('BPC Data'!$F:$F,0,Summary!I$2),'BPC Data'!$E:$E,Summary!$D307,'BPC Data'!$B:$B,Summary!$C307)</f>
        <v>0</v>
      </c>
      <c r="J307" s="65">
        <f ca="1">SUMIFS(OFFSET('BPC Data'!$F:$F,0,Summary!J$2),'BPC Data'!$E:$E,Summary!$D307,'BPC Data'!$B:$B,Summary!$C307)</f>
        <v>0</v>
      </c>
      <c r="K307" s="61">
        <f ca="1">SUMIFS(OFFSET('BPC Data'!$F:$F,0,Summary!K$2),'BPC Data'!$E:$E,Summary!$D307,'BPC Data'!$B:$B,Summary!$C307)</f>
        <v>0</v>
      </c>
      <c r="L307" s="65">
        <f ca="1">SUMIFS(OFFSET('BPC Data'!$F:$F,0,Summary!L$2),'BPC Data'!$E:$E,Summary!$D307,'BPC Data'!$B:$B,Summary!$C307)</f>
        <v>0</v>
      </c>
      <c r="M307" s="61">
        <f ca="1">SUMIFS(OFFSET('BPC Data'!$F:$F,0,Summary!M$2),'BPC Data'!$E:$E,Summary!$D307,'BPC Data'!$B:$B,Summary!$C307)</f>
        <v>0</v>
      </c>
      <c r="N307" s="65">
        <f ca="1">SUMIFS(OFFSET('BPC Data'!$F:$F,0,Summary!N$2),'BPC Data'!$E:$E,Summary!$D307,'BPC Data'!$B:$B,Summary!$C307)</f>
        <v>0</v>
      </c>
      <c r="O307" s="61">
        <f ca="1">SUMIFS(OFFSET('BPC Data'!$F:$F,0,Summary!O$2),'BPC Data'!$E:$E,Summary!$D307,'BPC Data'!$B:$B,Summary!$C307)</f>
        <v>0</v>
      </c>
      <c r="P307" s="65">
        <f ca="1">SUMIFS(OFFSET('BPC Data'!$F:$F,0,Summary!P$2),'BPC Data'!$E:$E,Summary!$D307,'BPC Data'!$B:$B,Summary!$C307)</f>
        <v>0</v>
      </c>
      <c r="Q307" s="61">
        <f ca="1">SUMIFS(OFFSET('BPC Data'!$F:$F,0,Summary!Q$2),'BPC Data'!$E:$E,Summary!$D307,'BPC Data'!$B:$B,Summary!$C307)</f>
        <v>0</v>
      </c>
      <c r="R307" s="65">
        <f ca="1">SUMIFS(OFFSET('BPC Data'!$F:$F,0,Summary!R$2),'BPC Data'!$E:$E,Summary!$D307,'BPC Data'!$B:$B,Summary!$C307)</f>
        <v>0</v>
      </c>
      <c r="S307" s="23"/>
      <c r="T307" s="76"/>
      <c r="AJ307" s="49"/>
      <c r="AK307" s="49"/>
      <c r="AL307" s="49"/>
      <c r="AM307" s="49"/>
      <c r="AN307" s="49"/>
      <c r="AO307" s="49"/>
      <c r="AP307" s="49"/>
      <c r="AQ307" s="49"/>
      <c r="AR307" s="49"/>
      <c r="AS307" s="49"/>
      <c r="AT307" s="49"/>
      <c r="AU307" s="49"/>
    </row>
    <row r="308" spans="1:47" s="12" customFormat="1" hidden="1" outlineLevel="1">
      <c r="A308" s="12">
        <f t="shared" ref="A308:A316" si="449">IF(AND(F308&lt;&gt;"",D308=""),A307+1,A307)</f>
        <v>28</v>
      </c>
      <c r="C308">
        <f>$F306</f>
        <v>0</v>
      </c>
      <c r="D308" s="3" t="str">
        <f t="shared" si="446"/>
        <v>A_BEDS_TOTAL - Total Available Beds</v>
      </c>
      <c r="F308" s="19" t="str">
        <f>_xll.EVDES(D308)</f>
        <v>Total Available Beds</v>
      </c>
      <c r="G308" s="61">
        <f ca="1">SUMIFS(OFFSET('BPC Data'!$F:$F,0,Summary!G$2),'BPC Data'!$E:$E,Summary!$D308,'BPC Data'!$B:$B,Summary!$C308)</f>
        <v>0</v>
      </c>
      <c r="H308" s="65">
        <f ca="1">SUMIFS(OFFSET('BPC Data'!$F:$F,0,Summary!H$2),'BPC Data'!$E:$E,Summary!$D308,'BPC Data'!$B:$B,Summary!$C308)</f>
        <v>0</v>
      </c>
      <c r="I308" s="61">
        <f ca="1">SUMIFS(OFFSET('BPC Data'!$F:$F,0,Summary!I$2),'BPC Data'!$E:$E,Summary!$D308,'BPC Data'!$B:$B,Summary!$C308)</f>
        <v>0</v>
      </c>
      <c r="J308" s="65">
        <f ca="1">SUMIFS(OFFSET('BPC Data'!$F:$F,0,Summary!J$2),'BPC Data'!$E:$E,Summary!$D308,'BPC Data'!$B:$B,Summary!$C308)</f>
        <v>0</v>
      </c>
      <c r="K308" s="61">
        <f ca="1">SUMIFS(OFFSET('BPC Data'!$F:$F,0,Summary!K$2),'BPC Data'!$E:$E,Summary!$D308,'BPC Data'!$B:$B,Summary!$C308)</f>
        <v>0</v>
      </c>
      <c r="L308" s="65">
        <f ca="1">SUMIFS(OFFSET('BPC Data'!$F:$F,0,Summary!L$2),'BPC Data'!$E:$E,Summary!$D308,'BPC Data'!$B:$B,Summary!$C308)</f>
        <v>0</v>
      </c>
      <c r="M308" s="61">
        <f ca="1">SUMIFS(OFFSET('BPC Data'!$F:$F,0,Summary!M$2),'BPC Data'!$E:$E,Summary!$D308,'BPC Data'!$B:$B,Summary!$C308)</f>
        <v>0</v>
      </c>
      <c r="N308" s="65">
        <f ca="1">SUMIFS(OFFSET('BPC Data'!$F:$F,0,Summary!N$2),'BPC Data'!$E:$E,Summary!$D308,'BPC Data'!$B:$B,Summary!$C308)</f>
        <v>0</v>
      </c>
      <c r="O308" s="61">
        <f ca="1">SUMIFS(OFFSET('BPC Data'!$F:$F,0,Summary!O$2),'BPC Data'!$E:$E,Summary!$D308,'BPC Data'!$B:$B,Summary!$C308)</f>
        <v>0</v>
      </c>
      <c r="P308" s="65">
        <f ca="1">SUMIFS(OFFSET('BPC Data'!$F:$F,0,Summary!P$2),'BPC Data'!$E:$E,Summary!$D308,'BPC Data'!$B:$B,Summary!$C308)</f>
        <v>0</v>
      </c>
      <c r="Q308" s="61">
        <f ca="1">SUMIFS(OFFSET('BPC Data'!$F:$F,0,Summary!Q$2),'BPC Data'!$E:$E,Summary!$D308,'BPC Data'!$B:$B,Summary!$C308)</f>
        <v>0</v>
      </c>
      <c r="R308" s="65">
        <f ca="1">SUMIFS(OFFSET('BPC Data'!$F:$F,0,Summary!R$2),'BPC Data'!$E:$E,Summary!$D308,'BPC Data'!$B:$B,Summary!$C308)</f>
        <v>0</v>
      </c>
      <c r="S308" s="23"/>
      <c r="T308" s="76"/>
      <c r="AJ308" s="49"/>
      <c r="AK308" s="49"/>
      <c r="AL308" s="49"/>
      <c r="AM308" s="49"/>
      <c r="AN308" s="49"/>
      <c r="AO308" s="49"/>
      <c r="AP308" s="49"/>
      <c r="AQ308" s="49"/>
      <c r="AR308" s="49"/>
      <c r="AS308" s="49"/>
      <c r="AT308" s="49"/>
      <c r="AU308" s="49"/>
    </row>
    <row r="309" spans="1:47" s="12" customFormat="1" hidden="1" outlineLevel="1">
      <c r="A309" s="12">
        <f t="shared" si="449"/>
        <v>28</v>
      </c>
      <c r="B309"/>
      <c r="C309">
        <f>$F306</f>
        <v>0</v>
      </c>
      <c r="D309" s="3" t="str">
        <f t="shared" si="446"/>
        <v>T_REVENUES - Total Tenant Revenues</v>
      </c>
      <c r="E309"/>
      <c r="F309" s="19" t="str">
        <f>_xll.EVDES(D309)</f>
        <v>Total Tenant Revenues</v>
      </c>
      <c r="G309" s="61">
        <f ca="1">SUMIFS(OFFSET('BPC Data'!$F:$F,0,Summary!G$2),'BPC Data'!$E:$E,Summary!$D309,'BPC Data'!$B:$B,Summary!$C309)</f>
        <v>0</v>
      </c>
      <c r="H309" s="65">
        <f ca="1">SUMIFS(OFFSET('BPC Data'!$F:$F,0,Summary!H$2),'BPC Data'!$E:$E,Summary!$D309,'BPC Data'!$B:$B,Summary!$C309)</f>
        <v>0</v>
      </c>
      <c r="I309" s="61">
        <f ca="1">SUMIFS(OFFSET('BPC Data'!$F:$F,0,Summary!I$2),'BPC Data'!$E:$E,Summary!$D309,'BPC Data'!$B:$B,Summary!$C309)</f>
        <v>0</v>
      </c>
      <c r="J309" s="65">
        <f ca="1">SUMIFS(OFFSET('BPC Data'!$F:$F,0,Summary!J$2),'BPC Data'!$E:$E,Summary!$D309,'BPC Data'!$B:$B,Summary!$C309)</f>
        <v>0</v>
      </c>
      <c r="K309" s="61">
        <f ca="1">SUMIFS(OFFSET('BPC Data'!$F:$F,0,Summary!K$2),'BPC Data'!$E:$E,Summary!$D309,'BPC Data'!$B:$B,Summary!$C309)</f>
        <v>0</v>
      </c>
      <c r="L309" s="65">
        <f ca="1">SUMIFS(OFFSET('BPC Data'!$F:$F,0,Summary!L$2),'BPC Data'!$E:$E,Summary!$D309,'BPC Data'!$B:$B,Summary!$C309)</f>
        <v>0</v>
      </c>
      <c r="M309" s="61">
        <f ca="1">SUMIFS(OFFSET('BPC Data'!$F:$F,0,Summary!M$2),'BPC Data'!$E:$E,Summary!$D309,'BPC Data'!$B:$B,Summary!$C309)</f>
        <v>0</v>
      </c>
      <c r="N309" s="65">
        <f ca="1">SUMIFS(OFFSET('BPC Data'!$F:$F,0,Summary!N$2),'BPC Data'!$E:$E,Summary!$D309,'BPC Data'!$B:$B,Summary!$C309)</f>
        <v>0</v>
      </c>
      <c r="O309" s="61">
        <f ca="1">SUMIFS(OFFSET('BPC Data'!$F:$F,0,Summary!O$2),'BPC Data'!$E:$E,Summary!$D309,'BPC Data'!$B:$B,Summary!$C309)</f>
        <v>0</v>
      </c>
      <c r="P309" s="65">
        <f ca="1">SUMIFS(OFFSET('BPC Data'!$F:$F,0,Summary!P$2),'BPC Data'!$E:$E,Summary!$D309,'BPC Data'!$B:$B,Summary!$C309)</f>
        <v>0</v>
      </c>
      <c r="Q309" s="61">
        <f ca="1">SUMIFS(OFFSET('BPC Data'!$F:$F,0,Summary!Q$2),'BPC Data'!$E:$E,Summary!$D309,'BPC Data'!$B:$B,Summary!$C309)</f>
        <v>0</v>
      </c>
      <c r="R309" s="65">
        <f ca="1">SUMIFS(OFFSET('BPC Data'!$F:$F,0,Summary!R$2),'BPC Data'!$E:$E,Summary!$D309,'BPC Data'!$B:$B,Summary!$C309)</f>
        <v>0</v>
      </c>
      <c r="S309" s="23"/>
      <c r="T309" s="76"/>
      <c r="AJ309" s="49"/>
      <c r="AK309" s="49"/>
      <c r="AL309" s="49"/>
      <c r="AM309" s="49"/>
      <c r="AN309" s="49"/>
      <c r="AO309" s="49"/>
      <c r="AP309" s="49"/>
      <c r="AQ309" s="49"/>
      <c r="AR309" s="49"/>
      <c r="AS309" s="49"/>
      <c r="AT309" s="49"/>
      <c r="AU309" s="49"/>
    </row>
    <row r="310" spans="1:47" s="12" customFormat="1" hidden="1" outlineLevel="1">
      <c r="A310" s="12">
        <f t="shared" si="449"/>
        <v>28</v>
      </c>
      <c r="B310"/>
      <c r="C310">
        <f>$F306</f>
        <v>0</v>
      </c>
      <c r="D310" s="3" t="str">
        <f t="shared" si="446"/>
        <v>T_OPEX - Tenant Operating Expenses</v>
      </c>
      <c r="E310"/>
      <c r="F310" s="19" t="str">
        <f>_xll.EVDES(D310)</f>
        <v>Tenant Operating Expenses</v>
      </c>
      <c r="G310" s="61">
        <f ca="1">SUMIFS(OFFSET('BPC Data'!$F:$F,0,Summary!G$2),'BPC Data'!$E:$E,Summary!$D310,'BPC Data'!$B:$B,Summary!$C310)</f>
        <v>0</v>
      </c>
      <c r="H310" s="65">
        <f ca="1">SUMIFS(OFFSET('BPC Data'!$F:$F,0,Summary!H$2),'BPC Data'!$E:$E,Summary!$D310,'BPC Data'!$B:$B,Summary!$C310)</f>
        <v>0</v>
      </c>
      <c r="I310" s="61">
        <f ca="1">SUMIFS(OFFSET('BPC Data'!$F:$F,0,Summary!I$2),'BPC Data'!$E:$E,Summary!$D310,'BPC Data'!$B:$B,Summary!$C310)</f>
        <v>0</v>
      </c>
      <c r="J310" s="65">
        <f ca="1">SUMIFS(OFFSET('BPC Data'!$F:$F,0,Summary!J$2),'BPC Data'!$E:$E,Summary!$D310,'BPC Data'!$B:$B,Summary!$C310)</f>
        <v>0</v>
      </c>
      <c r="K310" s="61">
        <f ca="1">SUMIFS(OFFSET('BPC Data'!$F:$F,0,Summary!K$2),'BPC Data'!$E:$E,Summary!$D310,'BPC Data'!$B:$B,Summary!$C310)</f>
        <v>0</v>
      </c>
      <c r="L310" s="65">
        <f ca="1">SUMIFS(OFFSET('BPC Data'!$F:$F,0,Summary!L$2),'BPC Data'!$E:$E,Summary!$D310,'BPC Data'!$B:$B,Summary!$C310)</f>
        <v>0</v>
      </c>
      <c r="M310" s="61">
        <f ca="1">SUMIFS(OFFSET('BPC Data'!$F:$F,0,Summary!M$2),'BPC Data'!$E:$E,Summary!$D310,'BPC Data'!$B:$B,Summary!$C310)</f>
        <v>0</v>
      </c>
      <c r="N310" s="65">
        <f ca="1">SUMIFS(OFFSET('BPC Data'!$F:$F,0,Summary!N$2),'BPC Data'!$E:$E,Summary!$D310,'BPC Data'!$B:$B,Summary!$C310)</f>
        <v>0</v>
      </c>
      <c r="O310" s="61">
        <f ca="1">SUMIFS(OFFSET('BPC Data'!$F:$F,0,Summary!O$2),'BPC Data'!$E:$E,Summary!$D310,'BPC Data'!$B:$B,Summary!$C310)</f>
        <v>0</v>
      </c>
      <c r="P310" s="65">
        <f ca="1">SUMIFS(OFFSET('BPC Data'!$F:$F,0,Summary!P$2),'BPC Data'!$E:$E,Summary!$D310,'BPC Data'!$B:$B,Summary!$C310)</f>
        <v>0</v>
      </c>
      <c r="Q310" s="61">
        <f ca="1">SUMIFS(OFFSET('BPC Data'!$F:$F,0,Summary!Q$2),'BPC Data'!$E:$E,Summary!$D310,'BPC Data'!$B:$B,Summary!$C310)</f>
        <v>0</v>
      </c>
      <c r="R310" s="65">
        <f ca="1">SUMIFS(OFFSET('BPC Data'!$F:$F,0,Summary!R$2),'BPC Data'!$E:$E,Summary!$D310,'BPC Data'!$B:$B,Summary!$C310)</f>
        <v>0</v>
      </c>
      <c r="S310" s="23"/>
      <c r="T310" s="76"/>
      <c r="AJ310" s="49"/>
      <c r="AK310" s="49"/>
      <c r="AL310" s="49"/>
      <c r="AM310" s="49"/>
      <c r="AN310" s="49"/>
      <c r="AO310" s="49"/>
      <c r="AP310" s="49"/>
      <c r="AQ310" s="49"/>
      <c r="AR310" s="49"/>
      <c r="AS310" s="49"/>
      <c r="AT310" s="49"/>
      <c r="AU310" s="49"/>
    </row>
    <row r="311" spans="1:47" s="12" customFormat="1" hidden="1" outlineLevel="1">
      <c r="A311" s="12">
        <f t="shared" si="449"/>
        <v>28</v>
      </c>
      <c r="B311"/>
      <c r="C311">
        <f>$F306</f>
        <v>0</v>
      </c>
      <c r="D311" s="3" t="str">
        <f t="shared" si="446"/>
        <v>T_BAD_DEBT - Tenant Bad Debt Expense</v>
      </c>
      <c r="E311"/>
      <c r="F311" s="19" t="str">
        <f>_xll.EVDES(D311)</f>
        <v>Tenant Bad Debt Expense</v>
      </c>
      <c r="G311" s="61">
        <f ca="1">SUMIFS(OFFSET('BPC Data'!$F:$F,0,Summary!G$2),'BPC Data'!$E:$E,Summary!$D311,'BPC Data'!$B:$B,Summary!$C311)</f>
        <v>0</v>
      </c>
      <c r="H311" s="65">
        <f ca="1">SUMIFS(OFFSET('BPC Data'!$F:$F,0,Summary!H$2),'BPC Data'!$E:$E,Summary!$D311,'BPC Data'!$B:$B,Summary!$C311)</f>
        <v>0</v>
      </c>
      <c r="I311" s="61">
        <f ca="1">SUMIFS(OFFSET('BPC Data'!$F:$F,0,Summary!I$2),'BPC Data'!$E:$E,Summary!$D311,'BPC Data'!$B:$B,Summary!$C311)</f>
        <v>0</v>
      </c>
      <c r="J311" s="65">
        <f ca="1">SUMIFS(OFFSET('BPC Data'!$F:$F,0,Summary!J$2),'BPC Data'!$E:$E,Summary!$D311,'BPC Data'!$B:$B,Summary!$C311)</f>
        <v>0</v>
      </c>
      <c r="K311" s="61">
        <f ca="1">SUMIFS(OFFSET('BPC Data'!$F:$F,0,Summary!K$2),'BPC Data'!$E:$E,Summary!$D311,'BPC Data'!$B:$B,Summary!$C311)</f>
        <v>0</v>
      </c>
      <c r="L311" s="65">
        <f ca="1">SUMIFS(OFFSET('BPC Data'!$F:$F,0,Summary!L$2),'BPC Data'!$E:$E,Summary!$D311,'BPC Data'!$B:$B,Summary!$C311)</f>
        <v>0</v>
      </c>
      <c r="M311" s="61">
        <f ca="1">SUMIFS(OFFSET('BPC Data'!$F:$F,0,Summary!M$2),'BPC Data'!$E:$E,Summary!$D311,'BPC Data'!$B:$B,Summary!$C311)</f>
        <v>0</v>
      </c>
      <c r="N311" s="65">
        <f ca="1">SUMIFS(OFFSET('BPC Data'!$F:$F,0,Summary!N$2),'BPC Data'!$E:$E,Summary!$D311,'BPC Data'!$B:$B,Summary!$C311)</f>
        <v>0</v>
      </c>
      <c r="O311" s="61">
        <f ca="1">SUMIFS(OFFSET('BPC Data'!$F:$F,0,Summary!O$2),'BPC Data'!$E:$E,Summary!$D311,'BPC Data'!$B:$B,Summary!$C311)</f>
        <v>0</v>
      </c>
      <c r="P311" s="65">
        <f ca="1">SUMIFS(OFFSET('BPC Data'!$F:$F,0,Summary!P$2),'BPC Data'!$E:$E,Summary!$D311,'BPC Data'!$B:$B,Summary!$C311)</f>
        <v>0</v>
      </c>
      <c r="Q311" s="61">
        <f ca="1">SUMIFS(OFFSET('BPC Data'!$F:$F,0,Summary!Q$2),'BPC Data'!$E:$E,Summary!$D311,'BPC Data'!$B:$B,Summary!$C311)</f>
        <v>0</v>
      </c>
      <c r="R311" s="65">
        <f ca="1">SUMIFS(OFFSET('BPC Data'!$F:$F,0,Summary!R$2),'BPC Data'!$E:$E,Summary!$D311,'BPC Data'!$B:$B,Summary!$C311)</f>
        <v>0</v>
      </c>
      <c r="S311" s="23"/>
      <c r="T311" s="76"/>
      <c r="AJ311" s="49"/>
      <c r="AK311" s="49"/>
      <c r="AL311" s="49"/>
      <c r="AM311" s="49"/>
      <c r="AN311" s="49"/>
      <c r="AO311" s="49"/>
      <c r="AP311" s="49"/>
      <c r="AQ311" s="49"/>
      <c r="AR311" s="49"/>
      <c r="AS311" s="49"/>
      <c r="AT311" s="49"/>
      <c r="AU311" s="49"/>
    </row>
    <row r="312" spans="1:47" s="12" customFormat="1" hidden="1" outlineLevel="1">
      <c r="A312" s="12">
        <f t="shared" si="449"/>
        <v>28</v>
      </c>
      <c r="B312"/>
      <c r="C312">
        <f>$F306</f>
        <v>0</v>
      </c>
      <c r="D312" s="2" t="str">
        <f t="shared" si="446"/>
        <v>T_EBITDARM - EBITDARM</v>
      </c>
      <c r="E312"/>
      <c r="F312" s="19" t="str">
        <f>_xll.EVDES(D312)</f>
        <v>EBITDARM</v>
      </c>
      <c r="G312" s="61">
        <f ca="1">SUMIFS(OFFSET('BPC Data'!$F:$F,0,Summary!G$2),'BPC Data'!$E:$E,Summary!$D312,'BPC Data'!$B:$B,Summary!$C312)</f>
        <v>0</v>
      </c>
      <c r="H312" s="65">
        <f ca="1">SUMIFS(OFFSET('BPC Data'!$F:$F,0,Summary!H$2),'BPC Data'!$E:$E,Summary!$D312,'BPC Data'!$B:$B,Summary!$C312)</f>
        <v>0</v>
      </c>
      <c r="I312" s="61">
        <f ca="1">SUMIFS(OFFSET('BPC Data'!$F:$F,0,Summary!I$2),'BPC Data'!$E:$E,Summary!$D312,'BPC Data'!$B:$B,Summary!$C312)</f>
        <v>0</v>
      </c>
      <c r="J312" s="65">
        <f ca="1">SUMIFS(OFFSET('BPC Data'!$F:$F,0,Summary!J$2),'BPC Data'!$E:$E,Summary!$D312,'BPC Data'!$B:$B,Summary!$C312)</f>
        <v>0</v>
      </c>
      <c r="K312" s="61">
        <f ca="1">SUMIFS(OFFSET('BPC Data'!$F:$F,0,Summary!K$2),'BPC Data'!$E:$E,Summary!$D312,'BPC Data'!$B:$B,Summary!$C312)</f>
        <v>0</v>
      </c>
      <c r="L312" s="65">
        <f ca="1">SUMIFS(OFFSET('BPC Data'!$F:$F,0,Summary!L$2),'BPC Data'!$E:$E,Summary!$D312,'BPC Data'!$B:$B,Summary!$C312)</f>
        <v>0</v>
      </c>
      <c r="M312" s="61">
        <f ca="1">SUMIFS(OFFSET('BPC Data'!$F:$F,0,Summary!M$2),'BPC Data'!$E:$E,Summary!$D312,'BPC Data'!$B:$B,Summary!$C312)</f>
        <v>0</v>
      </c>
      <c r="N312" s="65">
        <f ca="1">SUMIFS(OFFSET('BPC Data'!$F:$F,0,Summary!N$2),'BPC Data'!$E:$E,Summary!$D312,'BPC Data'!$B:$B,Summary!$C312)</f>
        <v>0</v>
      </c>
      <c r="O312" s="61">
        <f ca="1">SUMIFS(OFFSET('BPC Data'!$F:$F,0,Summary!O$2),'BPC Data'!$E:$E,Summary!$D312,'BPC Data'!$B:$B,Summary!$C312)</f>
        <v>0</v>
      </c>
      <c r="P312" s="65">
        <f ca="1">SUMIFS(OFFSET('BPC Data'!$F:$F,0,Summary!P$2),'BPC Data'!$E:$E,Summary!$D312,'BPC Data'!$B:$B,Summary!$C312)</f>
        <v>0</v>
      </c>
      <c r="Q312" s="61">
        <f ca="1">SUMIFS(OFFSET('BPC Data'!$F:$F,0,Summary!Q$2),'BPC Data'!$E:$E,Summary!$D312,'BPC Data'!$B:$B,Summary!$C312)</f>
        <v>0</v>
      </c>
      <c r="R312" s="65">
        <f ca="1">SUMIFS(OFFSET('BPC Data'!$F:$F,0,Summary!R$2),'BPC Data'!$E:$E,Summary!$D312,'BPC Data'!$B:$B,Summary!$C312)</f>
        <v>0</v>
      </c>
      <c r="S312" s="23"/>
      <c r="T312" s="76"/>
      <c r="AJ312" s="49"/>
      <c r="AK312" s="49"/>
      <c r="AL312" s="49"/>
      <c r="AM312" s="49"/>
      <c r="AN312" s="49"/>
      <c r="AO312" s="49"/>
      <c r="AP312" s="49"/>
      <c r="AQ312" s="49"/>
      <c r="AR312" s="49"/>
      <c r="AS312" s="49"/>
      <c r="AT312" s="49"/>
      <c r="AU312" s="49"/>
    </row>
    <row r="313" spans="1:47" s="12" customFormat="1" hidden="1" outlineLevel="1">
      <c r="A313" s="12">
        <f t="shared" si="449"/>
        <v>28</v>
      </c>
      <c r="B313"/>
      <c r="C313">
        <f>$F306</f>
        <v>0</v>
      </c>
      <c r="D313" s="2" t="str">
        <f t="shared" si="446"/>
        <v>T_MGMT_FEE - Tenant Management Fee - Actual</v>
      </c>
      <c r="E313"/>
      <c r="F313" s="19" t="str">
        <f>_xll.EVDES(D313)</f>
        <v>Tenant Management Fee - Actual</v>
      </c>
      <c r="G313" s="61">
        <f ca="1">SUMIFS(OFFSET('BPC Data'!$F:$F,0,Summary!G$2),'BPC Data'!$E:$E,Summary!$D313,'BPC Data'!$B:$B,Summary!$C313)</f>
        <v>0</v>
      </c>
      <c r="H313" s="65">
        <f ca="1">SUMIFS(OFFSET('BPC Data'!$F:$F,0,Summary!H$2),'BPC Data'!$E:$E,Summary!$D313,'BPC Data'!$B:$B,Summary!$C313)</f>
        <v>0</v>
      </c>
      <c r="I313" s="61">
        <f ca="1">SUMIFS(OFFSET('BPC Data'!$F:$F,0,Summary!I$2),'BPC Data'!$E:$E,Summary!$D313,'BPC Data'!$B:$B,Summary!$C313)</f>
        <v>0</v>
      </c>
      <c r="J313" s="65">
        <f ca="1">SUMIFS(OFFSET('BPC Data'!$F:$F,0,Summary!J$2),'BPC Data'!$E:$E,Summary!$D313,'BPC Data'!$B:$B,Summary!$C313)</f>
        <v>0</v>
      </c>
      <c r="K313" s="61">
        <f ca="1">SUMIFS(OFFSET('BPC Data'!$F:$F,0,Summary!K$2),'BPC Data'!$E:$E,Summary!$D313,'BPC Data'!$B:$B,Summary!$C313)</f>
        <v>0</v>
      </c>
      <c r="L313" s="65">
        <f ca="1">SUMIFS(OFFSET('BPC Data'!$F:$F,0,Summary!L$2),'BPC Data'!$E:$E,Summary!$D313,'BPC Data'!$B:$B,Summary!$C313)</f>
        <v>0</v>
      </c>
      <c r="M313" s="61">
        <f ca="1">SUMIFS(OFFSET('BPC Data'!$F:$F,0,Summary!M$2),'BPC Data'!$E:$E,Summary!$D313,'BPC Data'!$B:$B,Summary!$C313)</f>
        <v>0</v>
      </c>
      <c r="N313" s="65">
        <f ca="1">SUMIFS(OFFSET('BPC Data'!$F:$F,0,Summary!N$2),'BPC Data'!$E:$E,Summary!$D313,'BPC Data'!$B:$B,Summary!$C313)</f>
        <v>0</v>
      </c>
      <c r="O313" s="61">
        <f ca="1">SUMIFS(OFFSET('BPC Data'!$F:$F,0,Summary!O$2),'BPC Data'!$E:$E,Summary!$D313,'BPC Data'!$B:$B,Summary!$C313)</f>
        <v>0</v>
      </c>
      <c r="P313" s="65">
        <f ca="1">SUMIFS(OFFSET('BPC Data'!$F:$F,0,Summary!P$2),'BPC Data'!$E:$E,Summary!$D313,'BPC Data'!$B:$B,Summary!$C313)</f>
        <v>0</v>
      </c>
      <c r="Q313" s="61">
        <f ca="1">SUMIFS(OFFSET('BPC Data'!$F:$F,0,Summary!Q$2),'BPC Data'!$E:$E,Summary!$D313,'BPC Data'!$B:$B,Summary!$C313)</f>
        <v>0</v>
      </c>
      <c r="R313" s="65">
        <f ca="1">SUMIFS(OFFSET('BPC Data'!$F:$F,0,Summary!R$2),'BPC Data'!$E:$E,Summary!$D313,'BPC Data'!$B:$B,Summary!$C313)</f>
        <v>0</v>
      </c>
      <c r="S313" s="23"/>
      <c r="T313" s="76"/>
      <c r="AJ313" s="49"/>
      <c r="AK313" s="49"/>
      <c r="AL313" s="49"/>
      <c r="AM313" s="49"/>
      <c r="AN313" s="49"/>
      <c r="AO313" s="49"/>
      <c r="AP313" s="49"/>
      <c r="AQ313" s="49"/>
      <c r="AR313" s="49"/>
      <c r="AS313" s="49"/>
      <c r="AT313" s="49"/>
      <c r="AU313" s="49"/>
    </row>
    <row r="314" spans="1:47" s="12" customFormat="1" hidden="1" outlineLevel="1">
      <c r="A314" s="12">
        <f t="shared" si="449"/>
        <v>28</v>
      </c>
      <c r="B314"/>
      <c r="C314">
        <f>$F306</f>
        <v>0</v>
      </c>
      <c r="D314" s="1" t="str">
        <f t="shared" si="446"/>
        <v>T_EBITDAR - EBITDAR</v>
      </c>
      <c r="E314"/>
      <c r="F314" s="19" t="str">
        <f>_xll.EVDES(D314)</f>
        <v>EBITDAR</v>
      </c>
      <c r="G314" s="61">
        <f ca="1">SUMIFS(OFFSET('BPC Data'!$F:$F,0,Summary!G$2),'BPC Data'!$E:$E,Summary!$D314,'BPC Data'!$B:$B,Summary!$C314)</f>
        <v>0</v>
      </c>
      <c r="H314" s="65">
        <f ca="1">SUMIFS(OFFSET('BPC Data'!$F:$F,0,Summary!H$2),'BPC Data'!$E:$E,Summary!$D314,'BPC Data'!$B:$B,Summary!$C314)</f>
        <v>0</v>
      </c>
      <c r="I314" s="61">
        <f ca="1">SUMIFS(OFFSET('BPC Data'!$F:$F,0,Summary!I$2),'BPC Data'!$E:$E,Summary!$D314,'BPC Data'!$B:$B,Summary!$C314)</f>
        <v>0</v>
      </c>
      <c r="J314" s="65">
        <f ca="1">SUMIFS(OFFSET('BPC Data'!$F:$F,0,Summary!J$2),'BPC Data'!$E:$E,Summary!$D314,'BPC Data'!$B:$B,Summary!$C314)</f>
        <v>0</v>
      </c>
      <c r="K314" s="61">
        <f ca="1">SUMIFS(OFFSET('BPC Data'!$F:$F,0,Summary!K$2),'BPC Data'!$E:$E,Summary!$D314,'BPC Data'!$B:$B,Summary!$C314)</f>
        <v>0</v>
      </c>
      <c r="L314" s="65">
        <f ca="1">SUMIFS(OFFSET('BPC Data'!$F:$F,0,Summary!L$2),'BPC Data'!$E:$E,Summary!$D314,'BPC Data'!$B:$B,Summary!$C314)</f>
        <v>0</v>
      </c>
      <c r="M314" s="61">
        <f ca="1">SUMIFS(OFFSET('BPC Data'!$F:$F,0,Summary!M$2),'BPC Data'!$E:$E,Summary!$D314,'BPC Data'!$B:$B,Summary!$C314)</f>
        <v>0</v>
      </c>
      <c r="N314" s="65">
        <f ca="1">SUMIFS(OFFSET('BPC Data'!$F:$F,0,Summary!N$2),'BPC Data'!$E:$E,Summary!$D314,'BPC Data'!$B:$B,Summary!$C314)</f>
        <v>0</v>
      </c>
      <c r="O314" s="61">
        <f ca="1">SUMIFS(OFFSET('BPC Data'!$F:$F,0,Summary!O$2),'BPC Data'!$E:$E,Summary!$D314,'BPC Data'!$B:$B,Summary!$C314)</f>
        <v>0</v>
      </c>
      <c r="P314" s="65">
        <f ca="1">SUMIFS(OFFSET('BPC Data'!$F:$F,0,Summary!P$2),'BPC Data'!$E:$E,Summary!$D314,'BPC Data'!$B:$B,Summary!$C314)</f>
        <v>0</v>
      </c>
      <c r="Q314" s="61">
        <f ca="1">SUMIFS(OFFSET('BPC Data'!$F:$F,0,Summary!Q$2),'BPC Data'!$E:$E,Summary!$D314,'BPC Data'!$B:$B,Summary!$C314)</f>
        <v>0</v>
      </c>
      <c r="R314" s="65">
        <f ca="1">SUMIFS(OFFSET('BPC Data'!$F:$F,0,Summary!R$2),'BPC Data'!$E:$E,Summary!$D314,'BPC Data'!$B:$B,Summary!$C314)</f>
        <v>0</v>
      </c>
      <c r="S314" s="23"/>
      <c r="T314" s="76"/>
      <c r="AJ314" s="49"/>
      <c r="AK314" s="49"/>
      <c r="AL314" s="49"/>
      <c r="AM314" s="49"/>
      <c r="AN314" s="49"/>
      <c r="AO314" s="49"/>
      <c r="AP314" s="49"/>
      <c r="AQ314" s="49"/>
      <c r="AR314" s="49"/>
      <c r="AS314" s="49"/>
      <c r="AT314" s="49"/>
      <c r="AU314" s="49"/>
    </row>
    <row r="315" spans="1:47" s="12" customFormat="1" hidden="1" outlineLevel="1">
      <c r="A315" s="12">
        <f t="shared" si="449"/>
        <v>28</v>
      </c>
      <c r="B315"/>
      <c r="C315">
        <f>$F306</f>
        <v>0</v>
      </c>
      <c r="D315" s="1" t="str">
        <f t="shared" si="446"/>
        <v>T_RENT_EXP - Tenant Rent Expense</v>
      </c>
      <c r="E315"/>
      <c r="F315" s="19" t="str">
        <f>_xll.EVDES(D315)</f>
        <v>Tenant Rent Expense</v>
      </c>
      <c r="G315" s="61">
        <f ca="1">SUMIFS(OFFSET('BPC Data'!$F:$F,0,Summary!G$2),'BPC Data'!$E:$E,Summary!$D315,'BPC Data'!$B:$B,Summary!$C315)</f>
        <v>0</v>
      </c>
      <c r="H315" s="65">
        <f ca="1">SUMIFS(OFFSET('BPC Data'!$F:$F,0,Summary!H$2),'BPC Data'!$E:$E,Summary!$D315,'BPC Data'!$B:$B,Summary!$C315)</f>
        <v>0</v>
      </c>
      <c r="I315" s="61">
        <f ca="1">SUMIFS(OFFSET('BPC Data'!$F:$F,0,Summary!I$2),'BPC Data'!$E:$E,Summary!$D315,'BPC Data'!$B:$B,Summary!$C315)</f>
        <v>0</v>
      </c>
      <c r="J315" s="65">
        <f ca="1">SUMIFS(OFFSET('BPC Data'!$F:$F,0,Summary!J$2),'BPC Data'!$E:$E,Summary!$D315,'BPC Data'!$B:$B,Summary!$C315)</f>
        <v>0</v>
      </c>
      <c r="K315" s="61">
        <f ca="1">SUMIFS(OFFSET('BPC Data'!$F:$F,0,Summary!K$2),'BPC Data'!$E:$E,Summary!$D315,'BPC Data'!$B:$B,Summary!$C315)</f>
        <v>0</v>
      </c>
      <c r="L315" s="65">
        <f ca="1">SUMIFS(OFFSET('BPC Data'!$F:$F,0,Summary!L$2),'BPC Data'!$E:$E,Summary!$D315,'BPC Data'!$B:$B,Summary!$C315)</f>
        <v>0</v>
      </c>
      <c r="M315" s="61">
        <f ca="1">SUMIFS(OFFSET('BPC Data'!$F:$F,0,Summary!M$2),'BPC Data'!$E:$E,Summary!$D315,'BPC Data'!$B:$B,Summary!$C315)</f>
        <v>0</v>
      </c>
      <c r="N315" s="65">
        <f ca="1">SUMIFS(OFFSET('BPC Data'!$F:$F,0,Summary!N$2),'BPC Data'!$E:$E,Summary!$D315,'BPC Data'!$B:$B,Summary!$C315)</f>
        <v>0</v>
      </c>
      <c r="O315" s="61">
        <f ca="1">SUMIFS(OFFSET('BPC Data'!$F:$F,0,Summary!O$2),'BPC Data'!$E:$E,Summary!$D315,'BPC Data'!$B:$B,Summary!$C315)</f>
        <v>0</v>
      </c>
      <c r="P315" s="65">
        <f ca="1">SUMIFS(OFFSET('BPC Data'!$F:$F,0,Summary!P$2),'BPC Data'!$E:$E,Summary!$D315,'BPC Data'!$B:$B,Summary!$C315)</f>
        <v>0</v>
      </c>
      <c r="Q315" s="61">
        <f ca="1">SUMIFS(OFFSET('BPC Data'!$F:$F,0,Summary!Q$2),'BPC Data'!$E:$E,Summary!$D315,'BPC Data'!$B:$B,Summary!$C315)</f>
        <v>0</v>
      </c>
      <c r="R315" s="65">
        <f ca="1">SUMIFS(OFFSET('BPC Data'!$F:$F,0,Summary!R$2),'BPC Data'!$E:$E,Summary!$D315,'BPC Data'!$B:$B,Summary!$C315)</f>
        <v>0</v>
      </c>
      <c r="S315" s="23"/>
      <c r="T315" s="76"/>
      <c r="AJ315" s="49"/>
      <c r="AK315" s="49"/>
      <c r="AL315" s="49"/>
      <c r="AM315" s="49"/>
      <c r="AN315" s="49"/>
      <c r="AO315" s="49"/>
      <c r="AP315" s="49"/>
      <c r="AQ315" s="49"/>
      <c r="AR315" s="49"/>
      <c r="AS315" s="49"/>
      <c r="AT315" s="49"/>
      <c r="AU315" s="49"/>
    </row>
    <row r="316" spans="1:47" s="12" customFormat="1" hidden="1" outlineLevel="1">
      <c r="A316" s="12">
        <f t="shared" si="449"/>
        <v>28</v>
      </c>
      <c r="B316"/>
      <c r="C316"/>
      <c r="D316" s="1" t="str">
        <f t="shared" si="446"/>
        <v>x</v>
      </c>
      <c r="E316"/>
      <c r="F316" s="19" t="s">
        <v>0</v>
      </c>
      <c r="G316" s="61">
        <f ca="1">SUMIFS(OFFSET('BPC Data'!$F:$F,0,Summary!G$2),'BPC Data'!$E:$E,Summary!$D316,'BPC Data'!$B:$B,Summary!$C316)</f>
        <v>0</v>
      </c>
      <c r="H316" s="65">
        <f ca="1">SUMIFS(OFFSET('BPC Data'!$F:$F,0,Summary!H$2),'BPC Data'!$E:$E,Summary!$D316,'BPC Data'!$B:$B,Summary!$C316)</f>
        <v>0</v>
      </c>
      <c r="I316" s="61">
        <f ca="1">SUMIFS(OFFSET('BPC Data'!$F:$F,0,Summary!I$2),'BPC Data'!$E:$E,Summary!$D316,'BPC Data'!$B:$B,Summary!$C316)</f>
        <v>0</v>
      </c>
      <c r="J316" s="65">
        <f ca="1">SUMIFS(OFFSET('BPC Data'!$F:$F,0,Summary!J$2),'BPC Data'!$E:$E,Summary!$D316,'BPC Data'!$B:$B,Summary!$C316)</f>
        <v>0</v>
      </c>
      <c r="K316" s="61">
        <f ca="1">SUMIFS(OFFSET('BPC Data'!$F:$F,0,Summary!K$2),'BPC Data'!$E:$E,Summary!$D316,'BPC Data'!$B:$B,Summary!$C316)</f>
        <v>0</v>
      </c>
      <c r="L316" s="65">
        <f ca="1">SUMIFS(OFFSET('BPC Data'!$F:$F,0,Summary!L$2),'BPC Data'!$E:$E,Summary!$D316,'BPC Data'!$B:$B,Summary!$C316)</f>
        <v>0</v>
      </c>
      <c r="M316" s="61">
        <f ca="1">SUMIFS(OFFSET('BPC Data'!$F:$F,0,Summary!M$2),'BPC Data'!$E:$E,Summary!$D316,'BPC Data'!$B:$B,Summary!$C316)</f>
        <v>0</v>
      </c>
      <c r="N316" s="65">
        <f ca="1">SUMIFS(OFFSET('BPC Data'!$F:$F,0,Summary!N$2),'BPC Data'!$E:$E,Summary!$D316,'BPC Data'!$B:$B,Summary!$C316)</f>
        <v>0</v>
      </c>
      <c r="O316" s="61">
        <f ca="1">SUMIFS(OFFSET('BPC Data'!$F:$F,0,Summary!O$2),'BPC Data'!$E:$E,Summary!$D316,'BPC Data'!$B:$B,Summary!$C316)</f>
        <v>0</v>
      </c>
      <c r="P316" s="65">
        <f ca="1">SUMIFS(OFFSET('BPC Data'!$F:$F,0,Summary!P$2),'BPC Data'!$E:$E,Summary!$D316,'BPC Data'!$B:$B,Summary!$C316)</f>
        <v>0</v>
      </c>
      <c r="Q316" s="61">
        <f ca="1">SUMIFS(OFFSET('BPC Data'!$F:$F,0,Summary!Q$2),'BPC Data'!$E:$E,Summary!$D316,'BPC Data'!$B:$B,Summary!$C316)</f>
        <v>0</v>
      </c>
      <c r="R316" s="65">
        <f ca="1">SUMIFS(OFFSET('BPC Data'!$F:$F,0,Summary!R$2),'BPC Data'!$E:$E,Summary!$D316,'BPC Data'!$B:$B,Summary!$C316)</f>
        <v>0</v>
      </c>
      <c r="S316" s="23"/>
      <c r="T316" s="76"/>
      <c r="AJ316" s="49"/>
      <c r="AK316" s="49"/>
      <c r="AL316" s="49"/>
      <c r="AM316" s="49"/>
      <c r="AN316" s="49"/>
      <c r="AO316" s="49"/>
      <c r="AP316" s="49"/>
      <c r="AQ316" s="49"/>
      <c r="AR316" s="49"/>
      <c r="AS316" s="49"/>
      <c r="AT316" s="49"/>
      <c r="AU316" s="49"/>
    </row>
    <row r="317" spans="1:47" s="12" customFormat="1" hidden="1" outlineLevel="1">
      <c r="A317" s="12">
        <f>IF(AND(D317&lt;&gt;"",C317=""),A316+1,A316)</f>
        <v>29</v>
      </c>
      <c r="B317" s="5"/>
      <c r="C317" s="5"/>
      <c r="D317" s="5" t="str">
        <f t="shared" si="446"/>
        <v>x</v>
      </c>
      <c r="E317" s="5"/>
      <c r="F317" s="18">
        <f>INDEX(PropertyList!$D:$D,MATCH(Summary!$A317,PropertyList!$C:$C,0))</f>
        <v>0</v>
      </c>
      <c r="G317" s="61">
        <f ca="1">SUMIFS(OFFSET('BPC Data'!$F:$F,0,Summary!G$2),'BPC Data'!$E:$E,Summary!$D317,'BPC Data'!$B:$B,Summary!$C317)</f>
        <v>0</v>
      </c>
      <c r="H317" s="65">
        <f ca="1">SUMIFS(OFFSET('BPC Data'!$F:$F,0,Summary!H$2),'BPC Data'!$E:$E,Summary!$D317,'BPC Data'!$B:$B,Summary!$C317)</f>
        <v>0</v>
      </c>
      <c r="I317" s="61">
        <f ca="1">SUMIFS(OFFSET('BPC Data'!$F:$F,0,Summary!I$2),'BPC Data'!$E:$E,Summary!$D317,'BPC Data'!$B:$B,Summary!$C317)</f>
        <v>0</v>
      </c>
      <c r="J317" s="65">
        <f ca="1">SUMIFS(OFFSET('BPC Data'!$F:$F,0,Summary!J$2),'BPC Data'!$E:$E,Summary!$D317,'BPC Data'!$B:$B,Summary!$C317)</f>
        <v>0</v>
      </c>
      <c r="K317" s="61">
        <f ca="1">SUMIFS(OFFSET('BPC Data'!$F:$F,0,Summary!K$2),'BPC Data'!$E:$E,Summary!$D317,'BPC Data'!$B:$B,Summary!$C317)</f>
        <v>0</v>
      </c>
      <c r="L317" s="65">
        <f ca="1">SUMIFS(OFFSET('BPC Data'!$F:$F,0,Summary!L$2),'BPC Data'!$E:$E,Summary!$D317,'BPC Data'!$B:$B,Summary!$C317)</f>
        <v>0</v>
      </c>
      <c r="M317" s="61">
        <f ca="1">SUMIFS(OFFSET('BPC Data'!$F:$F,0,Summary!M$2),'BPC Data'!$E:$E,Summary!$D317,'BPC Data'!$B:$B,Summary!$C317)</f>
        <v>0</v>
      </c>
      <c r="N317" s="65">
        <f ca="1">SUMIFS(OFFSET('BPC Data'!$F:$F,0,Summary!N$2),'BPC Data'!$E:$E,Summary!$D317,'BPC Data'!$B:$B,Summary!$C317)</f>
        <v>0</v>
      </c>
      <c r="O317" s="61">
        <f ca="1">SUMIFS(OFFSET('BPC Data'!$F:$F,0,Summary!O$2),'BPC Data'!$E:$E,Summary!$D317,'BPC Data'!$B:$B,Summary!$C317)</f>
        <v>0</v>
      </c>
      <c r="P317" s="65">
        <f ca="1">SUMIFS(OFFSET('BPC Data'!$F:$F,0,Summary!P$2),'BPC Data'!$E:$E,Summary!$D317,'BPC Data'!$B:$B,Summary!$C317)</f>
        <v>0</v>
      </c>
      <c r="Q317" s="61">
        <f ca="1">SUMIFS(OFFSET('BPC Data'!$F:$F,0,Summary!Q$2),'BPC Data'!$E:$E,Summary!$D317,'BPC Data'!$B:$B,Summary!$C317)</f>
        <v>0</v>
      </c>
      <c r="R317" s="65">
        <f ca="1">SUMIFS(OFFSET('BPC Data'!$F:$F,0,Summary!R$2),'BPC Data'!$E:$E,Summary!$D317,'BPC Data'!$B:$B,Summary!$C317)</f>
        <v>0</v>
      </c>
      <c r="S317" s="23"/>
      <c r="T317" s="76"/>
      <c r="AJ317" s="49"/>
      <c r="AK317" s="49"/>
      <c r="AL317" s="49"/>
      <c r="AM317" s="49"/>
      <c r="AN317" s="49"/>
      <c r="AO317" s="49"/>
      <c r="AP317" s="49"/>
      <c r="AQ317" s="49"/>
      <c r="AR317" s="49"/>
      <c r="AS317" s="49"/>
      <c r="AT317" s="49"/>
      <c r="AU317" s="49"/>
    </row>
    <row r="318" spans="1:47" s="12" customFormat="1" hidden="1" outlineLevel="1">
      <c r="A318" s="12">
        <f>IF(AND(F318&lt;&gt;"",D318=""),A317+1,A317)</f>
        <v>29</v>
      </c>
      <c r="C318">
        <f>$F317</f>
        <v>0</v>
      </c>
      <c r="D318" s="3" t="str">
        <f t="shared" si="446"/>
        <v>PAY_PAT_DAYS - Total Payor Patient Days</v>
      </c>
      <c r="F318" s="19" t="str">
        <f>_xll.EVDES(D318)</f>
        <v>Total Payor Patient Days</v>
      </c>
      <c r="G318" s="61">
        <f ca="1">SUMIFS(OFFSET('BPC Data'!$F:$F,0,Summary!G$2),'BPC Data'!$E:$E,Summary!$D318,'BPC Data'!$B:$B,Summary!$C318)</f>
        <v>0</v>
      </c>
      <c r="H318" s="65">
        <f ca="1">SUMIFS(OFFSET('BPC Data'!$F:$F,0,Summary!H$2),'BPC Data'!$E:$E,Summary!$D318,'BPC Data'!$B:$B,Summary!$C318)</f>
        <v>0</v>
      </c>
      <c r="I318" s="61">
        <f ca="1">SUMIFS(OFFSET('BPC Data'!$F:$F,0,Summary!I$2),'BPC Data'!$E:$E,Summary!$D318,'BPC Data'!$B:$B,Summary!$C318)</f>
        <v>0</v>
      </c>
      <c r="J318" s="65">
        <f ca="1">SUMIFS(OFFSET('BPC Data'!$F:$F,0,Summary!J$2),'BPC Data'!$E:$E,Summary!$D318,'BPC Data'!$B:$B,Summary!$C318)</f>
        <v>0</v>
      </c>
      <c r="K318" s="61">
        <f ca="1">SUMIFS(OFFSET('BPC Data'!$F:$F,0,Summary!K$2),'BPC Data'!$E:$E,Summary!$D318,'BPC Data'!$B:$B,Summary!$C318)</f>
        <v>0</v>
      </c>
      <c r="L318" s="65">
        <f ca="1">SUMIFS(OFFSET('BPC Data'!$F:$F,0,Summary!L$2),'BPC Data'!$E:$E,Summary!$D318,'BPC Data'!$B:$B,Summary!$C318)</f>
        <v>0</v>
      </c>
      <c r="M318" s="61">
        <f ca="1">SUMIFS(OFFSET('BPC Data'!$F:$F,0,Summary!M$2),'BPC Data'!$E:$E,Summary!$D318,'BPC Data'!$B:$B,Summary!$C318)</f>
        <v>0</v>
      </c>
      <c r="N318" s="65">
        <f ca="1">SUMIFS(OFFSET('BPC Data'!$F:$F,0,Summary!N$2),'BPC Data'!$E:$E,Summary!$D318,'BPC Data'!$B:$B,Summary!$C318)</f>
        <v>0</v>
      </c>
      <c r="O318" s="61">
        <f ca="1">SUMIFS(OFFSET('BPC Data'!$F:$F,0,Summary!O$2),'BPC Data'!$E:$E,Summary!$D318,'BPC Data'!$B:$B,Summary!$C318)</f>
        <v>0</v>
      </c>
      <c r="P318" s="65">
        <f ca="1">SUMIFS(OFFSET('BPC Data'!$F:$F,0,Summary!P$2),'BPC Data'!$E:$E,Summary!$D318,'BPC Data'!$B:$B,Summary!$C318)</f>
        <v>0</v>
      </c>
      <c r="Q318" s="61">
        <f ca="1">SUMIFS(OFFSET('BPC Data'!$F:$F,0,Summary!Q$2),'BPC Data'!$E:$E,Summary!$D318,'BPC Data'!$B:$B,Summary!$C318)</f>
        <v>0</v>
      </c>
      <c r="R318" s="65">
        <f ca="1">SUMIFS(OFFSET('BPC Data'!$F:$F,0,Summary!R$2),'BPC Data'!$E:$E,Summary!$D318,'BPC Data'!$B:$B,Summary!$C318)</f>
        <v>0</v>
      </c>
      <c r="S318" s="23"/>
      <c r="T318" s="76"/>
      <c r="AJ318" s="49"/>
      <c r="AK318" s="49"/>
      <c r="AL318" s="49"/>
      <c r="AM318" s="49"/>
      <c r="AN318" s="49"/>
      <c r="AO318" s="49"/>
      <c r="AP318" s="49"/>
      <c r="AQ318" s="49"/>
      <c r="AR318" s="49"/>
      <c r="AS318" s="49"/>
      <c r="AT318" s="49"/>
      <c r="AU318" s="49"/>
    </row>
    <row r="319" spans="1:47" s="12" customFormat="1" hidden="1" outlineLevel="1">
      <c r="A319" s="12">
        <f t="shared" ref="A319:A327" si="450">IF(AND(F319&lt;&gt;"",D319=""),A318+1,A318)</f>
        <v>29</v>
      </c>
      <c r="C319">
        <f>$F317</f>
        <v>0</v>
      </c>
      <c r="D319" s="3" t="str">
        <f t="shared" si="446"/>
        <v>A_BEDS_TOTAL - Total Available Beds</v>
      </c>
      <c r="F319" s="19" t="str">
        <f>_xll.EVDES(D319)</f>
        <v>Total Available Beds</v>
      </c>
      <c r="G319" s="61">
        <f ca="1">SUMIFS(OFFSET('BPC Data'!$F:$F,0,Summary!G$2),'BPC Data'!$E:$E,Summary!$D319,'BPC Data'!$B:$B,Summary!$C319)</f>
        <v>0</v>
      </c>
      <c r="H319" s="65">
        <f ca="1">SUMIFS(OFFSET('BPC Data'!$F:$F,0,Summary!H$2),'BPC Data'!$E:$E,Summary!$D319,'BPC Data'!$B:$B,Summary!$C319)</f>
        <v>0</v>
      </c>
      <c r="I319" s="61">
        <f ca="1">SUMIFS(OFFSET('BPC Data'!$F:$F,0,Summary!I$2),'BPC Data'!$E:$E,Summary!$D319,'BPC Data'!$B:$B,Summary!$C319)</f>
        <v>0</v>
      </c>
      <c r="J319" s="65">
        <f ca="1">SUMIFS(OFFSET('BPC Data'!$F:$F,0,Summary!J$2),'BPC Data'!$E:$E,Summary!$D319,'BPC Data'!$B:$B,Summary!$C319)</f>
        <v>0</v>
      </c>
      <c r="K319" s="61">
        <f ca="1">SUMIFS(OFFSET('BPC Data'!$F:$F,0,Summary!K$2),'BPC Data'!$E:$E,Summary!$D319,'BPC Data'!$B:$B,Summary!$C319)</f>
        <v>0</v>
      </c>
      <c r="L319" s="65">
        <f ca="1">SUMIFS(OFFSET('BPC Data'!$F:$F,0,Summary!L$2),'BPC Data'!$E:$E,Summary!$D319,'BPC Data'!$B:$B,Summary!$C319)</f>
        <v>0</v>
      </c>
      <c r="M319" s="61">
        <f ca="1">SUMIFS(OFFSET('BPC Data'!$F:$F,0,Summary!M$2),'BPC Data'!$E:$E,Summary!$D319,'BPC Data'!$B:$B,Summary!$C319)</f>
        <v>0</v>
      </c>
      <c r="N319" s="65">
        <f ca="1">SUMIFS(OFFSET('BPC Data'!$F:$F,0,Summary!N$2),'BPC Data'!$E:$E,Summary!$D319,'BPC Data'!$B:$B,Summary!$C319)</f>
        <v>0</v>
      </c>
      <c r="O319" s="61">
        <f ca="1">SUMIFS(OFFSET('BPC Data'!$F:$F,0,Summary!O$2),'BPC Data'!$E:$E,Summary!$D319,'BPC Data'!$B:$B,Summary!$C319)</f>
        <v>0</v>
      </c>
      <c r="P319" s="65">
        <f ca="1">SUMIFS(OFFSET('BPC Data'!$F:$F,0,Summary!P$2),'BPC Data'!$E:$E,Summary!$D319,'BPC Data'!$B:$B,Summary!$C319)</f>
        <v>0</v>
      </c>
      <c r="Q319" s="61">
        <f ca="1">SUMIFS(OFFSET('BPC Data'!$F:$F,0,Summary!Q$2),'BPC Data'!$E:$E,Summary!$D319,'BPC Data'!$B:$B,Summary!$C319)</f>
        <v>0</v>
      </c>
      <c r="R319" s="65">
        <f ca="1">SUMIFS(OFFSET('BPC Data'!$F:$F,0,Summary!R$2),'BPC Data'!$E:$E,Summary!$D319,'BPC Data'!$B:$B,Summary!$C319)</f>
        <v>0</v>
      </c>
      <c r="S319" s="23"/>
      <c r="T319" s="76"/>
      <c r="AJ319" s="49"/>
      <c r="AK319" s="49"/>
      <c r="AL319" s="49"/>
      <c r="AM319" s="49"/>
      <c r="AN319" s="49"/>
      <c r="AO319" s="49"/>
      <c r="AP319" s="49"/>
      <c r="AQ319" s="49"/>
      <c r="AR319" s="49"/>
      <c r="AS319" s="49"/>
      <c r="AT319" s="49"/>
      <c r="AU319" s="49"/>
    </row>
    <row r="320" spans="1:47" s="12" customFormat="1" hidden="1" outlineLevel="1">
      <c r="A320" s="12">
        <f t="shared" si="450"/>
        <v>29</v>
      </c>
      <c r="B320"/>
      <c r="C320">
        <f>$F317</f>
        <v>0</v>
      </c>
      <c r="D320" s="3" t="str">
        <f t="shared" si="446"/>
        <v>T_REVENUES - Total Tenant Revenues</v>
      </c>
      <c r="E320"/>
      <c r="F320" s="19" t="str">
        <f>_xll.EVDES(D320)</f>
        <v>Total Tenant Revenues</v>
      </c>
      <c r="G320" s="61">
        <f ca="1">SUMIFS(OFFSET('BPC Data'!$F:$F,0,Summary!G$2),'BPC Data'!$E:$E,Summary!$D320,'BPC Data'!$B:$B,Summary!$C320)</f>
        <v>0</v>
      </c>
      <c r="H320" s="65">
        <f ca="1">SUMIFS(OFFSET('BPC Data'!$F:$F,0,Summary!H$2),'BPC Data'!$E:$E,Summary!$D320,'BPC Data'!$B:$B,Summary!$C320)</f>
        <v>0</v>
      </c>
      <c r="I320" s="61">
        <f ca="1">SUMIFS(OFFSET('BPC Data'!$F:$F,0,Summary!I$2),'BPC Data'!$E:$E,Summary!$D320,'BPC Data'!$B:$B,Summary!$C320)</f>
        <v>0</v>
      </c>
      <c r="J320" s="65">
        <f ca="1">SUMIFS(OFFSET('BPC Data'!$F:$F,0,Summary!J$2),'BPC Data'!$E:$E,Summary!$D320,'BPC Data'!$B:$B,Summary!$C320)</f>
        <v>0</v>
      </c>
      <c r="K320" s="61">
        <f ca="1">SUMIFS(OFFSET('BPC Data'!$F:$F,0,Summary!K$2),'BPC Data'!$E:$E,Summary!$D320,'BPC Data'!$B:$B,Summary!$C320)</f>
        <v>0</v>
      </c>
      <c r="L320" s="65">
        <f ca="1">SUMIFS(OFFSET('BPC Data'!$F:$F,0,Summary!L$2),'BPC Data'!$E:$E,Summary!$D320,'BPC Data'!$B:$B,Summary!$C320)</f>
        <v>0</v>
      </c>
      <c r="M320" s="61">
        <f ca="1">SUMIFS(OFFSET('BPC Data'!$F:$F,0,Summary!M$2),'BPC Data'!$E:$E,Summary!$D320,'BPC Data'!$B:$B,Summary!$C320)</f>
        <v>0</v>
      </c>
      <c r="N320" s="65">
        <f ca="1">SUMIFS(OFFSET('BPC Data'!$F:$F,0,Summary!N$2),'BPC Data'!$E:$E,Summary!$D320,'BPC Data'!$B:$B,Summary!$C320)</f>
        <v>0</v>
      </c>
      <c r="O320" s="61">
        <f ca="1">SUMIFS(OFFSET('BPC Data'!$F:$F,0,Summary!O$2),'BPC Data'!$E:$E,Summary!$D320,'BPC Data'!$B:$B,Summary!$C320)</f>
        <v>0</v>
      </c>
      <c r="P320" s="65">
        <f ca="1">SUMIFS(OFFSET('BPC Data'!$F:$F,0,Summary!P$2),'BPC Data'!$E:$E,Summary!$D320,'BPC Data'!$B:$B,Summary!$C320)</f>
        <v>0</v>
      </c>
      <c r="Q320" s="61">
        <f ca="1">SUMIFS(OFFSET('BPC Data'!$F:$F,0,Summary!Q$2),'BPC Data'!$E:$E,Summary!$D320,'BPC Data'!$B:$B,Summary!$C320)</f>
        <v>0</v>
      </c>
      <c r="R320" s="65">
        <f ca="1">SUMIFS(OFFSET('BPC Data'!$F:$F,0,Summary!R$2),'BPC Data'!$E:$E,Summary!$D320,'BPC Data'!$B:$B,Summary!$C320)</f>
        <v>0</v>
      </c>
      <c r="S320" s="23"/>
      <c r="T320" s="76"/>
      <c r="AJ320" s="49"/>
      <c r="AK320" s="49"/>
      <c r="AL320" s="49"/>
      <c r="AM320" s="49"/>
      <c r="AN320" s="49"/>
      <c r="AO320" s="49"/>
      <c r="AP320" s="49"/>
      <c r="AQ320" s="49"/>
      <c r="AR320" s="49"/>
      <c r="AS320" s="49"/>
      <c r="AT320" s="49"/>
      <c r="AU320" s="49"/>
    </row>
    <row r="321" spans="1:47" s="12" customFormat="1" hidden="1" outlineLevel="1">
      <c r="A321" s="12">
        <f t="shared" si="450"/>
        <v>29</v>
      </c>
      <c r="B321"/>
      <c r="C321">
        <f>$F317</f>
        <v>0</v>
      </c>
      <c r="D321" s="3" t="str">
        <f t="shared" si="446"/>
        <v>T_OPEX - Tenant Operating Expenses</v>
      </c>
      <c r="E321"/>
      <c r="F321" s="19" t="str">
        <f>_xll.EVDES(D321)</f>
        <v>Tenant Operating Expenses</v>
      </c>
      <c r="G321" s="61">
        <f ca="1">SUMIFS(OFFSET('BPC Data'!$F:$F,0,Summary!G$2),'BPC Data'!$E:$E,Summary!$D321,'BPC Data'!$B:$B,Summary!$C321)</f>
        <v>0</v>
      </c>
      <c r="H321" s="65">
        <f ca="1">SUMIFS(OFFSET('BPC Data'!$F:$F,0,Summary!H$2),'BPC Data'!$E:$E,Summary!$D321,'BPC Data'!$B:$B,Summary!$C321)</f>
        <v>0</v>
      </c>
      <c r="I321" s="61">
        <f ca="1">SUMIFS(OFFSET('BPC Data'!$F:$F,0,Summary!I$2),'BPC Data'!$E:$E,Summary!$D321,'BPC Data'!$B:$B,Summary!$C321)</f>
        <v>0</v>
      </c>
      <c r="J321" s="65">
        <f ca="1">SUMIFS(OFFSET('BPC Data'!$F:$F,0,Summary!J$2),'BPC Data'!$E:$E,Summary!$D321,'BPC Data'!$B:$B,Summary!$C321)</f>
        <v>0</v>
      </c>
      <c r="K321" s="61">
        <f ca="1">SUMIFS(OFFSET('BPC Data'!$F:$F,0,Summary!K$2),'BPC Data'!$E:$E,Summary!$D321,'BPC Data'!$B:$B,Summary!$C321)</f>
        <v>0</v>
      </c>
      <c r="L321" s="65">
        <f ca="1">SUMIFS(OFFSET('BPC Data'!$F:$F,0,Summary!L$2),'BPC Data'!$E:$E,Summary!$D321,'BPC Data'!$B:$B,Summary!$C321)</f>
        <v>0</v>
      </c>
      <c r="M321" s="61">
        <f ca="1">SUMIFS(OFFSET('BPC Data'!$F:$F,0,Summary!M$2),'BPC Data'!$E:$E,Summary!$D321,'BPC Data'!$B:$B,Summary!$C321)</f>
        <v>0</v>
      </c>
      <c r="N321" s="65">
        <f ca="1">SUMIFS(OFFSET('BPC Data'!$F:$F,0,Summary!N$2),'BPC Data'!$E:$E,Summary!$D321,'BPC Data'!$B:$B,Summary!$C321)</f>
        <v>0</v>
      </c>
      <c r="O321" s="61">
        <f ca="1">SUMIFS(OFFSET('BPC Data'!$F:$F,0,Summary!O$2),'BPC Data'!$E:$E,Summary!$D321,'BPC Data'!$B:$B,Summary!$C321)</f>
        <v>0</v>
      </c>
      <c r="P321" s="65">
        <f ca="1">SUMIFS(OFFSET('BPC Data'!$F:$F,0,Summary!P$2),'BPC Data'!$E:$E,Summary!$D321,'BPC Data'!$B:$B,Summary!$C321)</f>
        <v>0</v>
      </c>
      <c r="Q321" s="61">
        <f ca="1">SUMIFS(OFFSET('BPC Data'!$F:$F,0,Summary!Q$2),'BPC Data'!$E:$E,Summary!$D321,'BPC Data'!$B:$B,Summary!$C321)</f>
        <v>0</v>
      </c>
      <c r="R321" s="65">
        <f ca="1">SUMIFS(OFFSET('BPC Data'!$F:$F,0,Summary!R$2),'BPC Data'!$E:$E,Summary!$D321,'BPC Data'!$B:$B,Summary!$C321)</f>
        <v>0</v>
      </c>
      <c r="S321" s="23"/>
      <c r="T321" s="76"/>
      <c r="AJ321" s="49"/>
      <c r="AK321" s="49"/>
      <c r="AL321" s="49"/>
      <c r="AM321" s="49"/>
      <c r="AN321" s="49"/>
      <c r="AO321" s="49"/>
      <c r="AP321" s="49"/>
      <c r="AQ321" s="49"/>
      <c r="AR321" s="49"/>
      <c r="AS321" s="49"/>
      <c r="AT321" s="49"/>
      <c r="AU321" s="49"/>
    </row>
    <row r="322" spans="1:47" s="12" customFormat="1" hidden="1" outlineLevel="1">
      <c r="A322" s="12">
        <f t="shared" si="450"/>
        <v>29</v>
      </c>
      <c r="B322"/>
      <c r="C322">
        <f>$F317</f>
        <v>0</v>
      </c>
      <c r="D322" s="3" t="str">
        <f t="shared" si="446"/>
        <v>T_BAD_DEBT - Tenant Bad Debt Expense</v>
      </c>
      <c r="E322"/>
      <c r="F322" s="19" t="str">
        <f>_xll.EVDES(D322)</f>
        <v>Tenant Bad Debt Expense</v>
      </c>
      <c r="G322" s="61">
        <f ca="1">SUMIFS(OFFSET('BPC Data'!$F:$F,0,Summary!G$2),'BPC Data'!$E:$E,Summary!$D322,'BPC Data'!$B:$B,Summary!$C322)</f>
        <v>0</v>
      </c>
      <c r="H322" s="65">
        <f ca="1">SUMIFS(OFFSET('BPC Data'!$F:$F,0,Summary!H$2),'BPC Data'!$E:$E,Summary!$D322,'BPC Data'!$B:$B,Summary!$C322)</f>
        <v>0</v>
      </c>
      <c r="I322" s="61">
        <f ca="1">SUMIFS(OFFSET('BPC Data'!$F:$F,0,Summary!I$2),'BPC Data'!$E:$E,Summary!$D322,'BPC Data'!$B:$B,Summary!$C322)</f>
        <v>0</v>
      </c>
      <c r="J322" s="65">
        <f ca="1">SUMIFS(OFFSET('BPC Data'!$F:$F,0,Summary!J$2),'BPC Data'!$E:$E,Summary!$D322,'BPC Data'!$B:$B,Summary!$C322)</f>
        <v>0</v>
      </c>
      <c r="K322" s="61">
        <f ca="1">SUMIFS(OFFSET('BPC Data'!$F:$F,0,Summary!K$2),'BPC Data'!$E:$E,Summary!$D322,'BPC Data'!$B:$B,Summary!$C322)</f>
        <v>0</v>
      </c>
      <c r="L322" s="65">
        <f ca="1">SUMIFS(OFFSET('BPC Data'!$F:$F,0,Summary!L$2),'BPC Data'!$E:$E,Summary!$D322,'BPC Data'!$B:$B,Summary!$C322)</f>
        <v>0</v>
      </c>
      <c r="M322" s="61">
        <f ca="1">SUMIFS(OFFSET('BPC Data'!$F:$F,0,Summary!M$2),'BPC Data'!$E:$E,Summary!$D322,'BPC Data'!$B:$B,Summary!$C322)</f>
        <v>0</v>
      </c>
      <c r="N322" s="65">
        <f ca="1">SUMIFS(OFFSET('BPC Data'!$F:$F,0,Summary!N$2),'BPC Data'!$E:$E,Summary!$D322,'BPC Data'!$B:$B,Summary!$C322)</f>
        <v>0</v>
      </c>
      <c r="O322" s="61">
        <f ca="1">SUMIFS(OFFSET('BPC Data'!$F:$F,0,Summary!O$2),'BPC Data'!$E:$E,Summary!$D322,'BPC Data'!$B:$B,Summary!$C322)</f>
        <v>0</v>
      </c>
      <c r="P322" s="65">
        <f ca="1">SUMIFS(OFFSET('BPC Data'!$F:$F,0,Summary!P$2),'BPC Data'!$E:$E,Summary!$D322,'BPC Data'!$B:$B,Summary!$C322)</f>
        <v>0</v>
      </c>
      <c r="Q322" s="61">
        <f ca="1">SUMIFS(OFFSET('BPC Data'!$F:$F,0,Summary!Q$2),'BPC Data'!$E:$E,Summary!$D322,'BPC Data'!$B:$B,Summary!$C322)</f>
        <v>0</v>
      </c>
      <c r="R322" s="65">
        <f ca="1">SUMIFS(OFFSET('BPC Data'!$F:$F,0,Summary!R$2),'BPC Data'!$E:$E,Summary!$D322,'BPC Data'!$B:$B,Summary!$C322)</f>
        <v>0</v>
      </c>
      <c r="S322" s="23"/>
      <c r="T322" s="76"/>
      <c r="AJ322" s="49"/>
      <c r="AK322" s="49"/>
      <c r="AL322" s="49"/>
      <c r="AM322" s="49"/>
      <c r="AN322" s="49"/>
      <c r="AO322" s="49"/>
      <c r="AP322" s="49"/>
      <c r="AQ322" s="49"/>
      <c r="AR322" s="49"/>
      <c r="AS322" s="49"/>
      <c r="AT322" s="49"/>
      <c r="AU322" s="49"/>
    </row>
    <row r="323" spans="1:47" s="12" customFormat="1" hidden="1" outlineLevel="1">
      <c r="A323" s="12">
        <f t="shared" si="450"/>
        <v>29</v>
      </c>
      <c r="B323"/>
      <c r="C323">
        <f>$F317</f>
        <v>0</v>
      </c>
      <c r="D323" s="2" t="str">
        <f t="shared" si="446"/>
        <v>T_EBITDARM - EBITDARM</v>
      </c>
      <c r="E323"/>
      <c r="F323" s="19" t="str">
        <f>_xll.EVDES(D323)</f>
        <v>EBITDARM</v>
      </c>
      <c r="G323" s="61">
        <f ca="1">SUMIFS(OFFSET('BPC Data'!$F:$F,0,Summary!G$2),'BPC Data'!$E:$E,Summary!$D323,'BPC Data'!$B:$B,Summary!$C323)</f>
        <v>0</v>
      </c>
      <c r="H323" s="65">
        <f ca="1">SUMIFS(OFFSET('BPC Data'!$F:$F,0,Summary!H$2),'BPC Data'!$E:$E,Summary!$D323,'BPC Data'!$B:$B,Summary!$C323)</f>
        <v>0</v>
      </c>
      <c r="I323" s="61">
        <f ca="1">SUMIFS(OFFSET('BPC Data'!$F:$F,0,Summary!I$2),'BPC Data'!$E:$E,Summary!$D323,'BPC Data'!$B:$B,Summary!$C323)</f>
        <v>0</v>
      </c>
      <c r="J323" s="65">
        <f ca="1">SUMIFS(OFFSET('BPC Data'!$F:$F,0,Summary!J$2),'BPC Data'!$E:$E,Summary!$D323,'BPC Data'!$B:$B,Summary!$C323)</f>
        <v>0</v>
      </c>
      <c r="K323" s="61">
        <f ca="1">SUMIFS(OFFSET('BPC Data'!$F:$F,0,Summary!K$2),'BPC Data'!$E:$E,Summary!$D323,'BPC Data'!$B:$B,Summary!$C323)</f>
        <v>0</v>
      </c>
      <c r="L323" s="65">
        <f ca="1">SUMIFS(OFFSET('BPC Data'!$F:$F,0,Summary!L$2),'BPC Data'!$E:$E,Summary!$D323,'BPC Data'!$B:$B,Summary!$C323)</f>
        <v>0</v>
      </c>
      <c r="M323" s="61">
        <f ca="1">SUMIFS(OFFSET('BPC Data'!$F:$F,0,Summary!M$2),'BPC Data'!$E:$E,Summary!$D323,'BPC Data'!$B:$B,Summary!$C323)</f>
        <v>0</v>
      </c>
      <c r="N323" s="65">
        <f ca="1">SUMIFS(OFFSET('BPC Data'!$F:$F,0,Summary!N$2),'BPC Data'!$E:$E,Summary!$D323,'BPC Data'!$B:$B,Summary!$C323)</f>
        <v>0</v>
      </c>
      <c r="O323" s="61">
        <f ca="1">SUMIFS(OFFSET('BPC Data'!$F:$F,0,Summary!O$2),'BPC Data'!$E:$E,Summary!$D323,'BPC Data'!$B:$B,Summary!$C323)</f>
        <v>0</v>
      </c>
      <c r="P323" s="65">
        <f ca="1">SUMIFS(OFFSET('BPC Data'!$F:$F,0,Summary!P$2),'BPC Data'!$E:$E,Summary!$D323,'BPC Data'!$B:$B,Summary!$C323)</f>
        <v>0</v>
      </c>
      <c r="Q323" s="61">
        <f ca="1">SUMIFS(OFFSET('BPC Data'!$F:$F,0,Summary!Q$2),'BPC Data'!$E:$E,Summary!$D323,'BPC Data'!$B:$B,Summary!$C323)</f>
        <v>0</v>
      </c>
      <c r="R323" s="65">
        <f ca="1">SUMIFS(OFFSET('BPC Data'!$F:$F,0,Summary!R$2),'BPC Data'!$E:$E,Summary!$D323,'BPC Data'!$B:$B,Summary!$C323)</f>
        <v>0</v>
      </c>
      <c r="S323" s="23"/>
      <c r="T323" s="76"/>
      <c r="AJ323" s="49"/>
      <c r="AK323" s="49"/>
      <c r="AL323" s="49"/>
      <c r="AM323" s="49"/>
      <c r="AN323" s="49"/>
      <c r="AO323" s="49"/>
      <c r="AP323" s="49"/>
      <c r="AQ323" s="49"/>
      <c r="AR323" s="49"/>
      <c r="AS323" s="49"/>
      <c r="AT323" s="49"/>
      <c r="AU323" s="49"/>
    </row>
    <row r="324" spans="1:47" s="12" customFormat="1" hidden="1" outlineLevel="1">
      <c r="A324" s="12">
        <f t="shared" si="450"/>
        <v>29</v>
      </c>
      <c r="B324"/>
      <c r="C324">
        <f>$F317</f>
        <v>0</v>
      </c>
      <c r="D324" s="2" t="str">
        <f t="shared" si="446"/>
        <v>T_MGMT_FEE - Tenant Management Fee - Actual</v>
      </c>
      <c r="E324"/>
      <c r="F324" s="19" t="str">
        <f>_xll.EVDES(D324)</f>
        <v>Tenant Management Fee - Actual</v>
      </c>
      <c r="G324" s="61">
        <f ca="1">SUMIFS(OFFSET('BPC Data'!$F:$F,0,Summary!G$2),'BPC Data'!$E:$E,Summary!$D324,'BPC Data'!$B:$B,Summary!$C324)</f>
        <v>0</v>
      </c>
      <c r="H324" s="65">
        <f ca="1">SUMIFS(OFFSET('BPC Data'!$F:$F,0,Summary!H$2),'BPC Data'!$E:$E,Summary!$D324,'BPC Data'!$B:$B,Summary!$C324)</f>
        <v>0</v>
      </c>
      <c r="I324" s="61">
        <f ca="1">SUMIFS(OFFSET('BPC Data'!$F:$F,0,Summary!I$2),'BPC Data'!$E:$E,Summary!$D324,'BPC Data'!$B:$B,Summary!$C324)</f>
        <v>0</v>
      </c>
      <c r="J324" s="65">
        <f ca="1">SUMIFS(OFFSET('BPC Data'!$F:$F,0,Summary!J$2),'BPC Data'!$E:$E,Summary!$D324,'BPC Data'!$B:$B,Summary!$C324)</f>
        <v>0</v>
      </c>
      <c r="K324" s="61">
        <f ca="1">SUMIFS(OFFSET('BPC Data'!$F:$F,0,Summary!K$2),'BPC Data'!$E:$E,Summary!$D324,'BPC Data'!$B:$B,Summary!$C324)</f>
        <v>0</v>
      </c>
      <c r="L324" s="65">
        <f ca="1">SUMIFS(OFFSET('BPC Data'!$F:$F,0,Summary!L$2),'BPC Data'!$E:$E,Summary!$D324,'BPC Data'!$B:$B,Summary!$C324)</f>
        <v>0</v>
      </c>
      <c r="M324" s="61">
        <f ca="1">SUMIFS(OFFSET('BPC Data'!$F:$F,0,Summary!M$2),'BPC Data'!$E:$E,Summary!$D324,'BPC Data'!$B:$B,Summary!$C324)</f>
        <v>0</v>
      </c>
      <c r="N324" s="65">
        <f ca="1">SUMIFS(OFFSET('BPC Data'!$F:$F,0,Summary!N$2),'BPC Data'!$E:$E,Summary!$D324,'BPC Data'!$B:$B,Summary!$C324)</f>
        <v>0</v>
      </c>
      <c r="O324" s="61">
        <f ca="1">SUMIFS(OFFSET('BPC Data'!$F:$F,0,Summary!O$2),'BPC Data'!$E:$E,Summary!$D324,'BPC Data'!$B:$B,Summary!$C324)</f>
        <v>0</v>
      </c>
      <c r="P324" s="65">
        <f ca="1">SUMIFS(OFFSET('BPC Data'!$F:$F,0,Summary!P$2),'BPC Data'!$E:$E,Summary!$D324,'BPC Data'!$B:$B,Summary!$C324)</f>
        <v>0</v>
      </c>
      <c r="Q324" s="61">
        <f ca="1">SUMIFS(OFFSET('BPC Data'!$F:$F,0,Summary!Q$2),'BPC Data'!$E:$E,Summary!$D324,'BPC Data'!$B:$B,Summary!$C324)</f>
        <v>0</v>
      </c>
      <c r="R324" s="65">
        <f ca="1">SUMIFS(OFFSET('BPC Data'!$F:$F,0,Summary!R$2),'BPC Data'!$E:$E,Summary!$D324,'BPC Data'!$B:$B,Summary!$C324)</f>
        <v>0</v>
      </c>
      <c r="S324" s="23"/>
      <c r="T324" s="76"/>
      <c r="AJ324" s="49"/>
      <c r="AK324" s="49"/>
      <c r="AL324" s="49"/>
      <c r="AM324" s="49"/>
      <c r="AN324" s="49"/>
      <c r="AO324" s="49"/>
      <c r="AP324" s="49"/>
      <c r="AQ324" s="49"/>
      <c r="AR324" s="49"/>
      <c r="AS324" s="49"/>
      <c r="AT324" s="49"/>
      <c r="AU324" s="49"/>
    </row>
    <row r="325" spans="1:47" s="12" customFormat="1" hidden="1" outlineLevel="1">
      <c r="A325" s="12">
        <f t="shared" si="450"/>
        <v>29</v>
      </c>
      <c r="B325"/>
      <c r="C325">
        <f>$F317</f>
        <v>0</v>
      </c>
      <c r="D325" s="1" t="str">
        <f t="shared" si="446"/>
        <v>T_EBITDAR - EBITDAR</v>
      </c>
      <c r="E325"/>
      <c r="F325" s="19" t="str">
        <f>_xll.EVDES(D325)</f>
        <v>EBITDAR</v>
      </c>
      <c r="G325" s="61">
        <f ca="1">SUMIFS(OFFSET('BPC Data'!$F:$F,0,Summary!G$2),'BPC Data'!$E:$E,Summary!$D325,'BPC Data'!$B:$B,Summary!$C325)</f>
        <v>0</v>
      </c>
      <c r="H325" s="65">
        <f ca="1">SUMIFS(OFFSET('BPC Data'!$F:$F,0,Summary!H$2),'BPC Data'!$E:$E,Summary!$D325,'BPC Data'!$B:$B,Summary!$C325)</f>
        <v>0</v>
      </c>
      <c r="I325" s="61">
        <f ca="1">SUMIFS(OFFSET('BPC Data'!$F:$F,0,Summary!I$2),'BPC Data'!$E:$E,Summary!$D325,'BPC Data'!$B:$B,Summary!$C325)</f>
        <v>0</v>
      </c>
      <c r="J325" s="65">
        <f ca="1">SUMIFS(OFFSET('BPC Data'!$F:$F,0,Summary!J$2),'BPC Data'!$E:$E,Summary!$D325,'BPC Data'!$B:$B,Summary!$C325)</f>
        <v>0</v>
      </c>
      <c r="K325" s="61">
        <f ca="1">SUMIFS(OFFSET('BPC Data'!$F:$F,0,Summary!K$2),'BPC Data'!$E:$E,Summary!$D325,'BPC Data'!$B:$B,Summary!$C325)</f>
        <v>0</v>
      </c>
      <c r="L325" s="65">
        <f ca="1">SUMIFS(OFFSET('BPC Data'!$F:$F,0,Summary!L$2),'BPC Data'!$E:$E,Summary!$D325,'BPC Data'!$B:$B,Summary!$C325)</f>
        <v>0</v>
      </c>
      <c r="M325" s="61">
        <f ca="1">SUMIFS(OFFSET('BPC Data'!$F:$F,0,Summary!M$2),'BPC Data'!$E:$E,Summary!$D325,'BPC Data'!$B:$B,Summary!$C325)</f>
        <v>0</v>
      </c>
      <c r="N325" s="65">
        <f ca="1">SUMIFS(OFFSET('BPC Data'!$F:$F,0,Summary!N$2),'BPC Data'!$E:$E,Summary!$D325,'BPC Data'!$B:$B,Summary!$C325)</f>
        <v>0</v>
      </c>
      <c r="O325" s="61">
        <f ca="1">SUMIFS(OFFSET('BPC Data'!$F:$F,0,Summary!O$2),'BPC Data'!$E:$E,Summary!$D325,'BPC Data'!$B:$B,Summary!$C325)</f>
        <v>0</v>
      </c>
      <c r="P325" s="65">
        <f ca="1">SUMIFS(OFFSET('BPC Data'!$F:$F,0,Summary!P$2),'BPC Data'!$E:$E,Summary!$D325,'BPC Data'!$B:$B,Summary!$C325)</f>
        <v>0</v>
      </c>
      <c r="Q325" s="61">
        <f ca="1">SUMIFS(OFFSET('BPC Data'!$F:$F,0,Summary!Q$2),'BPC Data'!$E:$E,Summary!$D325,'BPC Data'!$B:$B,Summary!$C325)</f>
        <v>0</v>
      </c>
      <c r="R325" s="65">
        <f ca="1">SUMIFS(OFFSET('BPC Data'!$F:$F,0,Summary!R$2),'BPC Data'!$E:$E,Summary!$D325,'BPC Data'!$B:$B,Summary!$C325)</f>
        <v>0</v>
      </c>
      <c r="S325" s="23"/>
      <c r="T325" s="76"/>
      <c r="AJ325" s="49"/>
      <c r="AK325" s="49"/>
      <c r="AL325" s="49"/>
      <c r="AM325" s="49"/>
      <c r="AN325" s="49"/>
      <c r="AO325" s="49"/>
      <c r="AP325" s="49"/>
      <c r="AQ325" s="49"/>
      <c r="AR325" s="49"/>
      <c r="AS325" s="49"/>
      <c r="AT325" s="49"/>
      <c r="AU325" s="49"/>
    </row>
    <row r="326" spans="1:47" s="12" customFormat="1" hidden="1" outlineLevel="1">
      <c r="A326" s="12">
        <f t="shared" si="450"/>
        <v>29</v>
      </c>
      <c r="B326"/>
      <c r="C326">
        <f>$F317</f>
        <v>0</v>
      </c>
      <c r="D326" s="1" t="str">
        <f t="shared" si="446"/>
        <v>T_RENT_EXP - Tenant Rent Expense</v>
      </c>
      <c r="E326"/>
      <c r="F326" s="19" t="str">
        <f>_xll.EVDES(D326)</f>
        <v>Tenant Rent Expense</v>
      </c>
      <c r="G326" s="61">
        <f ca="1">SUMIFS(OFFSET('BPC Data'!$F:$F,0,Summary!G$2),'BPC Data'!$E:$E,Summary!$D326,'BPC Data'!$B:$B,Summary!$C326)</f>
        <v>0</v>
      </c>
      <c r="H326" s="65">
        <f ca="1">SUMIFS(OFFSET('BPC Data'!$F:$F,0,Summary!H$2),'BPC Data'!$E:$E,Summary!$D326,'BPC Data'!$B:$B,Summary!$C326)</f>
        <v>0</v>
      </c>
      <c r="I326" s="61">
        <f ca="1">SUMIFS(OFFSET('BPC Data'!$F:$F,0,Summary!I$2),'BPC Data'!$E:$E,Summary!$D326,'BPC Data'!$B:$B,Summary!$C326)</f>
        <v>0</v>
      </c>
      <c r="J326" s="65">
        <f ca="1">SUMIFS(OFFSET('BPC Data'!$F:$F,0,Summary!J$2),'BPC Data'!$E:$E,Summary!$D326,'BPC Data'!$B:$B,Summary!$C326)</f>
        <v>0</v>
      </c>
      <c r="K326" s="61">
        <f ca="1">SUMIFS(OFFSET('BPC Data'!$F:$F,0,Summary!K$2),'BPC Data'!$E:$E,Summary!$D326,'BPC Data'!$B:$B,Summary!$C326)</f>
        <v>0</v>
      </c>
      <c r="L326" s="65">
        <f ca="1">SUMIFS(OFFSET('BPC Data'!$F:$F,0,Summary!L$2),'BPC Data'!$E:$E,Summary!$D326,'BPC Data'!$B:$B,Summary!$C326)</f>
        <v>0</v>
      </c>
      <c r="M326" s="61">
        <f ca="1">SUMIFS(OFFSET('BPC Data'!$F:$F,0,Summary!M$2),'BPC Data'!$E:$E,Summary!$D326,'BPC Data'!$B:$B,Summary!$C326)</f>
        <v>0</v>
      </c>
      <c r="N326" s="65">
        <f ca="1">SUMIFS(OFFSET('BPC Data'!$F:$F,0,Summary!N$2),'BPC Data'!$E:$E,Summary!$D326,'BPC Data'!$B:$B,Summary!$C326)</f>
        <v>0</v>
      </c>
      <c r="O326" s="61">
        <f ca="1">SUMIFS(OFFSET('BPC Data'!$F:$F,0,Summary!O$2),'BPC Data'!$E:$E,Summary!$D326,'BPC Data'!$B:$B,Summary!$C326)</f>
        <v>0</v>
      </c>
      <c r="P326" s="65">
        <f ca="1">SUMIFS(OFFSET('BPC Data'!$F:$F,0,Summary!P$2),'BPC Data'!$E:$E,Summary!$D326,'BPC Data'!$B:$B,Summary!$C326)</f>
        <v>0</v>
      </c>
      <c r="Q326" s="61">
        <f ca="1">SUMIFS(OFFSET('BPC Data'!$F:$F,0,Summary!Q$2),'BPC Data'!$E:$E,Summary!$D326,'BPC Data'!$B:$B,Summary!$C326)</f>
        <v>0</v>
      </c>
      <c r="R326" s="65">
        <f ca="1">SUMIFS(OFFSET('BPC Data'!$F:$F,0,Summary!R$2),'BPC Data'!$E:$E,Summary!$D326,'BPC Data'!$B:$B,Summary!$C326)</f>
        <v>0</v>
      </c>
      <c r="S326" s="23"/>
      <c r="T326" s="76"/>
      <c r="AJ326" s="49"/>
      <c r="AK326" s="49"/>
      <c r="AL326" s="49"/>
      <c r="AM326" s="49"/>
      <c r="AN326" s="49"/>
      <c r="AO326" s="49"/>
      <c r="AP326" s="49"/>
      <c r="AQ326" s="49"/>
      <c r="AR326" s="49"/>
      <c r="AS326" s="49"/>
      <c r="AT326" s="49"/>
      <c r="AU326" s="49"/>
    </row>
    <row r="327" spans="1:47" s="12" customFormat="1" hidden="1" outlineLevel="1">
      <c r="A327" s="12">
        <f t="shared" si="450"/>
        <v>29</v>
      </c>
      <c r="B327"/>
      <c r="C327"/>
      <c r="D327" s="1" t="str">
        <f t="shared" si="446"/>
        <v>x</v>
      </c>
      <c r="E327"/>
      <c r="F327" s="19" t="s">
        <v>0</v>
      </c>
      <c r="G327" s="61">
        <f ca="1">SUMIFS(OFFSET('BPC Data'!$F:$F,0,Summary!G$2),'BPC Data'!$E:$E,Summary!$D327,'BPC Data'!$B:$B,Summary!$C327)</f>
        <v>0</v>
      </c>
      <c r="H327" s="65">
        <f ca="1">SUMIFS(OFFSET('BPC Data'!$F:$F,0,Summary!H$2),'BPC Data'!$E:$E,Summary!$D327,'BPC Data'!$B:$B,Summary!$C327)</f>
        <v>0</v>
      </c>
      <c r="I327" s="61">
        <f ca="1">SUMIFS(OFFSET('BPC Data'!$F:$F,0,Summary!I$2),'BPC Data'!$E:$E,Summary!$D327,'BPC Data'!$B:$B,Summary!$C327)</f>
        <v>0</v>
      </c>
      <c r="J327" s="65">
        <f ca="1">SUMIFS(OFFSET('BPC Data'!$F:$F,0,Summary!J$2),'BPC Data'!$E:$E,Summary!$D327,'BPC Data'!$B:$B,Summary!$C327)</f>
        <v>0</v>
      </c>
      <c r="K327" s="61">
        <f ca="1">SUMIFS(OFFSET('BPC Data'!$F:$F,0,Summary!K$2),'BPC Data'!$E:$E,Summary!$D327,'BPC Data'!$B:$B,Summary!$C327)</f>
        <v>0</v>
      </c>
      <c r="L327" s="65">
        <f ca="1">SUMIFS(OFFSET('BPC Data'!$F:$F,0,Summary!L$2),'BPC Data'!$E:$E,Summary!$D327,'BPC Data'!$B:$B,Summary!$C327)</f>
        <v>0</v>
      </c>
      <c r="M327" s="61">
        <f ca="1">SUMIFS(OFFSET('BPC Data'!$F:$F,0,Summary!M$2),'BPC Data'!$E:$E,Summary!$D327,'BPC Data'!$B:$B,Summary!$C327)</f>
        <v>0</v>
      </c>
      <c r="N327" s="65">
        <f ca="1">SUMIFS(OFFSET('BPC Data'!$F:$F,0,Summary!N$2),'BPC Data'!$E:$E,Summary!$D327,'BPC Data'!$B:$B,Summary!$C327)</f>
        <v>0</v>
      </c>
      <c r="O327" s="61">
        <f ca="1">SUMIFS(OFFSET('BPC Data'!$F:$F,0,Summary!O$2),'BPC Data'!$E:$E,Summary!$D327,'BPC Data'!$B:$B,Summary!$C327)</f>
        <v>0</v>
      </c>
      <c r="P327" s="65">
        <f ca="1">SUMIFS(OFFSET('BPC Data'!$F:$F,0,Summary!P$2),'BPC Data'!$E:$E,Summary!$D327,'BPC Data'!$B:$B,Summary!$C327)</f>
        <v>0</v>
      </c>
      <c r="Q327" s="61">
        <f ca="1">SUMIFS(OFFSET('BPC Data'!$F:$F,0,Summary!Q$2),'BPC Data'!$E:$E,Summary!$D327,'BPC Data'!$B:$B,Summary!$C327)</f>
        <v>0</v>
      </c>
      <c r="R327" s="65">
        <f ca="1">SUMIFS(OFFSET('BPC Data'!$F:$F,0,Summary!R$2),'BPC Data'!$E:$E,Summary!$D327,'BPC Data'!$B:$B,Summary!$C327)</f>
        <v>0</v>
      </c>
      <c r="S327" s="23"/>
      <c r="T327" s="76"/>
      <c r="AJ327" s="49"/>
      <c r="AK327" s="49"/>
      <c r="AL327" s="49"/>
      <c r="AM327" s="49"/>
      <c r="AN327" s="49"/>
      <c r="AO327" s="49"/>
      <c r="AP327" s="49"/>
      <c r="AQ327" s="49"/>
      <c r="AR327" s="49"/>
      <c r="AS327" s="49"/>
      <c r="AT327" s="49"/>
      <c r="AU327" s="49"/>
    </row>
    <row r="328" spans="1:47" s="12" customFormat="1" hidden="1" outlineLevel="1">
      <c r="A328" s="12">
        <f>IF(AND(D328&lt;&gt;"",C328=""),A327+1,A327)</f>
        <v>30</v>
      </c>
      <c r="B328" s="5"/>
      <c r="C328" s="5"/>
      <c r="D328" s="5" t="str">
        <f t="shared" si="446"/>
        <v>x</v>
      </c>
      <c r="E328" s="5"/>
      <c r="F328" s="18">
        <f>INDEX(PropertyList!$D:$D,MATCH(Summary!$A328,PropertyList!$C:$C,0))</f>
        <v>0</v>
      </c>
      <c r="G328" s="61">
        <f ca="1">SUMIFS(OFFSET('BPC Data'!$F:$F,0,Summary!G$2),'BPC Data'!$E:$E,Summary!$D328,'BPC Data'!$B:$B,Summary!$C328)</f>
        <v>0</v>
      </c>
      <c r="H328" s="65">
        <f ca="1">SUMIFS(OFFSET('BPC Data'!$F:$F,0,Summary!H$2),'BPC Data'!$E:$E,Summary!$D328,'BPC Data'!$B:$B,Summary!$C328)</f>
        <v>0</v>
      </c>
      <c r="I328" s="61">
        <f ca="1">SUMIFS(OFFSET('BPC Data'!$F:$F,0,Summary!I$2),'BPC Data'!$E:$E,Summary!$D328,'BPC Data'!$B:$B,Summary!$C328)</f>
        <v>0</v>
      </c>
      <c r="J328" s="65">
        <f ca="1">SUMIFS(OFFSET('BPC Data'!$F:$F,0,Summary!J$2),'BPC Data'!$E:$E,Summary!$D328,'BPC Data'!$B:$B,Summary!$C328)</f>
        <v>0</v>
      </c>
      <c r="K328" s="61">
        <f ca="1">SUMIFS(OFFSET('BPC Data'!$F:$F,0,Summary!K$2),'BPC Data'!$E:$E,Summary!$D328,'BPC Data'!$B:$B,Summary!$C328)</f>
        <v>0</v>
      </c>
      <c r="L328" s="65">
        <f ca="1">SUMIFS(OFFSET('BPC Data'!$F:$F,0,Summary!L$2),'BPC Data'!$E:$E,Summary!$D328,'BPC Data'!$B:$B,Summary!$C328)</f>
        <v>0</v>
      </c>
      <c r="M328" s="61">
        <f ca="1">SUMIFS(OFFSET('BPC Data'!$F:$F,0,Summary!M$2),'BPC Data'!$E:$E,Summary!$D328,'BPC Data'!$B:$B,Summary!$C328)</f>
        <v>0</v>
      </c>
      <c r="N328" s="65">
        <f ca="1">SUMIFS(OFFSET('BPC Data'!$F:$F,0,Summary!N$2),'BPC Data'!$E:$E,Summary!$D328,'BPC Data'!$B:$B,Summary!$C328)</f>
        <v>0</v>
      </c>
      <c r="O328" s="61">
        <f ca="1">SUMIFS(OFFSET('BPC Data'!$F:$F,0,Summary!O$2),'BPC Data'!$E:$E,Summary!$D328,'BPC Data'!$B:$B,Summary!$C328)</f>
        <v>0</v>
      </c>
      <c r="P328" s="65">
        <f ca="1">SUMIFS(OFFSET('BPC Data'!$F:$F,0,Summary!P$2),'BPC Data'!$E:$E,Summary!$D328,'BPC Data'!$B:$B,Summary!$C328)</f>
        <v>0</v>
      </c>
      <c r="Q328" s="61">
        <f ca="1">SUMIFS(OFFSET('BPC Data'!$F:$F,0,Summary!Q$2),'BPC Data'!$E:$E,Summary!$D328,'BPC Data'!$B:$B,Summary!$C328)</f>
        <v>0</v>
      </c>
      <c r="R328" s="65">
        <f ca="1">SUMIFS(OFFSET('BPC Data'!$F:$F,0,Summary!R$2),'BPC Data'!$E:$E,Summary!$D328,'BPC Data'!$B:$B,Summary!$C328)</f>
        <v>0</v>
      </c>
      <c r="S328" s="23"/>
      <c r="T328" s="76"/>
      <c r="AJ328" s="49"/>
      <c r="AK328" s="49"/>
      <c r="AL328" s="49"/>
      <c r="AM328" s="49"/>
      <c r="AN328" s="49"/>
      <c r="AO328" s="49"/>
      <c r="AP328" s="49"/>
      <c r="AQ328" s="49"/>
      <c r="AR328" s="49"/>
      <c r="AS328" s="49"/>
      <c r="AT328" s="49"/>
      <c r="AU328" s="49"/>
    </row>
    <row r="329" spans="1:47" s="12" customFormat="1" hidden="1" outlineLevel="1">
      <c r="A329" s="12">
        <f>IF(AND(F329&lt;&gt;"",D329=""),A328+1,A328)</f>
        <v>30</v>
      </c>
      <c r="C329">
        <f>$F328</f>
        <v>0</v>
      </c>
      <c r="D329" s="3" t="str">
        <f t="shared" si="446"/>
        <v>PAY_PAT_DAYS - Total Payor Patient Days</v>
      </c>
      <c r="F329" s="19" t="str">
        <f>_xll.EVDES(D329)</f>
        <v>Total Payor Patient Days</v>
      </c>
      <c r="G329" s="61">
        <f ca="1">SUMIFS(OFFSET('BPC Data'!$F:$F,0,Summary!G$2),'BPC Data'!$E:$E,Summary!$D329,'BPC Data'!$B:$B,Summary!$C329)</f>
        <v>0</v>
      </c>
      <c r="H329" s="65">
        <f ca="1">SUMIFS(OFFSET('BPC Data'!$F:$F,0,Summary!H$2),'BPC Data'!$E:$E,Summary!$D329,'BPC Data'!$B:$B,Summary!$C329)</f>
        <v>0</v>
      </c>
      <c r="I329" s="61">
        <f ca="1">SUMIFS(OFFSET('BPC Data'!$F:$F,0,Summary!I$2),'BPC Data'!$E:$E,Summary!$D329,'BPC Data'!$B:$B,Summary!$C329)</f>
        <v>0</v>
      </c>
      <c r="J329" s="65">
        <f ca="1">SUMIFS(OFFSET('BPC Data'!$F:$F,0,Summary!J$2),'BPC Data'!$E:$E,Summary!$D329,'BPC Data'!$B:$B,Summary!$C329)</f>
        <v>0</v>
      </c>
      <c r="K329" s="61">
        <f ca="1">SUMIFS(OFFSET('BPC Data'!$F:$F,0,Summary!K$2),'BPC Data'!$E:$E,Summary!$D329,'BPC Data'!$B:$B,Summary!$C329)</f>
        <v>0</v>
      </c>
      <c r="L329" s="65">
        <f ca="1">SUMIFS(OFFSET('BPC Data'!$F:$F,0,Summary!L$2),'BPC Data'!$E:$E,Summary!$D329,'BPC Data'!$B:$B,Summary!$C329)</f>
        <v>0</v>
      </c>
      <c r="M329" s="61">
        <f ca="1">SUMIFS(OFFSET('BPC Data'!$F:$F,0,Summary!M$2),'BPC Data'!$E:$E,Summary!$D329,'BPC Data'!$B:$B,Summary!$C329)</f>
        <v>0</v>
      </c>
      <c r="N329" s="65">
        <f ca="1">SUMIFS(OFFSET('BPC Data'!$F:$F,0,Summary!N$2),'BPC Data'!$E:$E,Summary!$D329,'BPC Data'!$B:$B,Summary!$C329)</f>
        <v>0</v>
      </c>
      <c r="O329" s="61">
        <f ca="1">SUMIFS(OFFSET('BPC Data'!$F:$F,0,Summary!O$2),'BPC Data'!$E:$E,Summary!$D329,'BPC Data'!$B:$B,Summary!$C329)</f>
        <v>0</v>
      </c>
      <c r="P329" s="65">
        <f ca="1">SUMIFS(OFFSET('BPC Data'!$F:$F,0,Summary!P$2),'BPC Data'!$E:$E,Summary!$D329,'BPC Data'!$B:$B,Summary!$C329)</f>
        <v>0</v>
      </c>
      <c r="Q329" s="61">
        <f ca="1">SUMIFS(OFFSET('BPC Data'!$F:$F,0,Summary!Q$2),'BPC Data'!$E:$E,Summary!$D329,'BPC Data'!$B:$B,Summary!$C329)</f>
        <v>0</v>
      </c>
      <c r="R329" s="65">
        <f ca="1">SUMIFS(OFFSET('BPC Data'!$F:$F,0,Summary!R$2),'BPC Data'!$E:$E,Summary!$D329,'BPC Data'!$B:$B,Summary!$C329)</f>
        <v>0</v>
      </c>
      <c r="S329" s="23"/>
      <c r="T329" s="76"/>
      <c r="AJ329" s="49"/>
      <c r="AK329" s="49"/>
      <c r="AL329" s="49"/>
      <c r="AM329" s="49"/>
      <c r="AN329" s="49"/>
      <c r="AO329" s="49"/>
      <c r="AP329" s="49"/>
      <c r="AQ329" s="49"/>
      <c r="AR329" s="49"/>
      <c r="AS329" s="49"/>
      <c r="AT329" s="49"/>
      <c r="AU329" s="49"/>
    </row>
    <row r="330" spans="1:47" s="12" customFormat="1" hidden="1" outlineLevel="1">
      <c r="A330" s="12">
        <f t="shared" ref="A330:A338" si="451">IF(AND(F330&lt;&gt;"",D330=""),A329+1,A329)</f>
        <v>30</v>
      </c>
      <c r="C330">
        <f>$F328</f>
        <v>0</v>
      </c>
      <c r="D330" s="3" t="str">
        <f t="shared" si="446"/>
        <v>A_BEDS_TOTAL - Total Available Beds</v>
      </c>
      <c r="F330" s="19" t="str">
        <f>_xll.EVDES(D330)</f>
        <v>Total Available Beds</v>
      </c>
      <c r="G330" s="61">
        <f ca="1">SUMIFS(OFFSET('BPC Data'!$F:$F,0,Summary!G$2),'BPC Data'!$E:$E,Summary!$D330,'BPC Data'!$B:$B,Summary!$C330)</f>
        <v>0</v>
      </c>
      <c r="H330" s="65">
        <f ca="1">SUMIFS(OFFSET('BPC Data'!$F:$F,0,Summary!H$2),'BPC Data'!$E:$E,Summary!$D330,'BPC Data'!$B:$B,Summary!$C330)</f>
        <v>0</v>
      </c>
      <c r="I330" s="61">
        <f ca="1">SUMIFS(OFFSET('BPC Data'!$F:$F,0,Summary!I$2),'BPC Data'!$E:$E,Summary!$D330,'BPC Data'!$B:$B,Summary!$C330)</f>
        <v>0</v>
      </c>
      <c r="J330" s="65">
        <f ca="1">SUMIFS(OFFSET('BPC Data'!$F:$F,0,Summary!J$2),'BPC Data'!$E:$E,Summary!$D330,'BPC Data'!$B:$B,Summary!$C330)</f>
        <v>0</v>
      </c>
      <c r="K330" s="61">
        <f ca="1">SUMIFS(OFFSET('BPC Data'!$F:$F,0,Summary!K$2),'BPC Data'!$E:$E,Summary!$D330,'BPC Data'!$B:$B,Summary!$C330)</f>
        <v>0</v>
      </c>
      <c r="L330" s="65">
        <f ca="1">SUMIFS(OFFSET('BPC Data'!$F:$F,0,Summary!L$2),'BPC Data'!$E:$E,Summary!$D330,'BPC Data'!$B:$B,Summary!$C330)</f>
        <v>0</v>
      </c>
      <c r="M330" s="61">
        <f ca="1">SUMIFS(OFFSET('BPC Data'!$F:$F,0,Summary!M$2),'BPC Data'!$E:$E,Summary!$D330,'BPC Data'!$B:$B,Summary!$C330)</f>
        <v>0</v>
      </c>
      <c r="N330" s="65">
        <f ca="1">SUMIFS(OFFSET('BPC Data'!$F:$F,0,Summary!N$2),'BPC Data'!$E:$E,Summary!$D330,'BPC Data'!$B:$B,Summary!$C330)</f>
        <v>0</v>
      </c>
      <c r="O330" s="61">
        <f ca="1">SUMIFS(OFFSET('BPC Data'!$F:$F,0,Summary!O$2),'BPC Data'!$E:$E,Summary!$D330,'BPC Data'!$B:$B,Summary!$C330)</f>
        <v>0</v>
      </c>
      <c r="P330" s="65">
        <f ca="1">SUMIFS(OFFSET('BPC Data'!$F:$F,0,Summary!P$2),'BPC Data'!$E:$E,Summary!$D330,'BPC Data'!$B:$B,Summary!$C330)</f>
        <v>0</v>
      </c>
      <c r="Q330" s="61">
        <f ca="1">SUMIFS(OFFSET('BPC Data'!$F:$F,0,Summary!Q$2),'BPC Data'!$E:$E,Summary!$D330,'BPC Data'!$B:$B,Summary!$C330)</f>
        <v>0</v>
      </c>
      <c r="R330" s="65">
        <f ca="1">SUMIFS(OFFSET('BPC Data'!$F:$F,0,Summary!R$2),'BPC Data'!$E:$E,Summary!$D330,'BPC Data'!$B:$B,Summary!$C330)</f>
        <v>0</v>
      </c>
      <c r="S330" s="23"/>
      <c r="T330" s="76"/>
      <c r="AJ330" s="49"/>
      <c r="AK330" s="49"/>
      <c r="AL330" s="49"/>
      <c r="AM330" s="49"/>
      <c r="AN330" s="49"/>
      <c r="AO330" s="49"/>
      <c r="AP330" s="49"/>
      <c r="AQ330" s="49"/>
      <c r="AR330" s="49"/>
      <c r="AS330" s="49"/>
      <c r="AT330" s="49"/>
      <c r="AU330" s="49"/>
    </row>
    <row r="331" spans="1:47" s="12" customFormat="1" hidden="1" outlineLevel="1">
      <c r="A331" s="12">
        <f t="shared" si="451"/>
        <v>30</v>
      </c>
      <c r="B331"/>
      <c r="C331">
        <f>$F328</f>
        <v>0</v>
      </c>
      <c r="D331" s="3" t="str">
        <f t="shared" si="446"/>
        <v>T_REVENUES - Total Tenant Revenues</v>
      </c>
      <c r="E331"/>
      <c r="F331" s="19" t="str">
        <f>_xll.EVDES(D331)</f>
        <v>Total Tenant Revenues</v>
      </c>
      <c r="G331" s="61">
        <f ca="1">SUMIFS(OFFSET('BPC Data'!$F:$F,0,Summary!G$2),'BPC Data'!$E:$E,Summary!$D331,'BPC Data'!$B:$B,Summary!$C331)</f>
        <v>0</v>
      </c>
      <c r="H331" s="65">
        <f ca="1">SUMIFS(OFFSET('BPC Data'!$F:$F,0,Summary!H$2),'BPC Data'!$E:$E,Summary!$D331,'BPC Data'!$B:$B,Summary!$C331)</f>
        <v>0</v>
      </c>
      <c r="I331" s="61">
        <f ca="1">SUMIFS(OFFSET('BPC Data'!$F:$F,0,Summary!I$2),'BPC Data'!$E:$E,Summary!$D331,'BPC Data'!$B:$B,Summary!$C331)</f>
        <v>0</v>
      </c>
      <c r="J331" s="65">
        <f ca="1">SUMIFS(OFFSET('BPC Data'!$F:$F,0,Summary!J$2),'BPC Data'!$E:$E,Summary!$D331,'BPC Data'!$B:$B,Summary!$C331)</f>
        <v>0</v>
      </c>
      <c r="K331" s="61">
        <f ca="1">SUMIFS(OFFSET('BPC Data'!$F:$F,0,Summary!K$2),'BPC Data'!$E:$E,Summary!$D331,'BPC Data'!$B:$B,Summary!$C331)</f>
        <v>0</v>
      </c>
      <c r="L331" s="65">
        <f ca="1">SUMIFS(OFFSET('BPC Data'!$F:$F,0,Summary!L$2),'BPC Data'!$E:$E,Summary!$D331,'BPC Data'!$B:$B,Summary!$C331)</f>
        <v>0</v>
      </c>
      <c r="M331" s="61">
        <f ca="1">SUMIFS(OFFSET('BPC Data'!$F:$F,0,Summary!M$2),'BPC Data'!$E:$E,Summary!$D331,'BPC Data'!$B:$B,Summary!$C331)</f>
        <v>0</v>
      </c>
      <c r="N331" s="65">
        <f ca="1">SUMIFS(OFFSET('BPC Data'!$F:$F,0,Summary!N$2),'BPC Data'!$E:$E,Summary!$D331,'BPC Data'!$B:$B,Summary!$C331)</f>
        <v>0</v>
      </c>
      <c r="O331" s="61">
        <f ca="1">SUMIFS(OFFSET('BPC Data'!$F:$F,0,Summary!O$2),'BPC Data'!$E:$E,Summary!$D331,'BPC Data'!$B:$B,Summary!$C331)</f>
        <v>0</v>
      </c>
      <c r="P331" s="65">
        <f ca="1">SUMIFS(OFFSET('BPC Data'!$F:$F,0,Summary!P$2),'BPC Data'!$E:$E,Summary!$D331,'BPC Data'!$B:$B,Summary!$C331)</f>
        <v>0</v>
      </c>
      <c r="Q331" s="61">
        <f ca="1">SUMIFS(OFFSET('BPC Data'!$F:$F,0,Summary!Q$2),'BPC Data'!$E:$E,Summary!$D331,'BPC Data'!$B:$B,Summary!$C331)</f>
        <v>0</v>
      </c>
      <c r="R331" s="65">
        <f ca="1">SUMIFS(OFFSET('BPC Data'!$F:$F,0,Summary!R$2),'BPC Data'!$E:$E,Summary!$D331,'BPC Data'!$B:$B,Summary!$C331)</f>
        <v>0</v>
      </c>
      <c r="S331" s="23"/>
      <c r="T331" s="76"/>
      <c r="AJ331" s="49"/>
      <c r="AK331" s="49"/>
      <c r="AL331" s="49"/>
      <c r="AM331" s="49"/>
      <c r="AN331" s="49"/>
      <c r="AO331" s="49"/>
      <c r="AP331" s="49"/>
      <c r="AQ331" s="49"/>
      <c r="AR331" s="49"/>
      <c r="AS331" s="49"/>
      <c r="AT331" s="49"/>
      <c r="AU331" s="49"/>
    </row>
    <row r="332" spans="1:47" s="12" customFormat="1" hidden="1" outlineLevel="1">
      <c r="A332" s="12">
        <f t="shared" si="451"/>
        <v>30</v>
      </c>
      <c r="B332"/>
      <c r="C332">
        <f>$F328</f>
        <v>0</v>
      </c>
      <c r="D332" s="3" t="str">
        <f t="shared" si="446"/>
        <v>T_OPEX - Tenant Operating Expenses</v>
      </c>
      <c r="E332"/>
      <c r="F332" s="19" t="str">
        <f>_xll.EVDES(D332)</f>
        <v>Tenant Operating Expenses</v>
      </c>
      <c r="G332" s="61">
        <f ca="1">SUMIFS(OFFSET('BPC Data'!$F:$F,0,Summary!G$2),'BPC Data'!$E:$E,Summary!$D332,'BPC Data'!$B:$B,Summary!$C332)</f>
        <v>0</v>
      </c>
      <c r="H332" s="65">
        <f ca="1">SUMIFS(OFFSET('BPC Data'!$F:$F,0,Summary!H$2),'BPC Data'!$E:$E,Summary!$D332,'BPC Data'!$B:$B,Summary!$C332)</f>
        <v>0</v>
      </c>
      <c r="I332" s="61">
        <f ca="1">SUMIFS(OFFSET('BPC Data'!$F:$F,0,Summary!I$2),'BPC Data'!$E:$E,Summary!$D332,'BPC Data'!$B:$B,Summary!$C332)</f>
        <v>0</v>
      </c>
      <c r="J332" s="65">
        <f ca="1">SUMIFS(OFFSET('BPC Data'!$F:$F,0,Summary!J$2),'BPC Data'!$E:$E,Summary!$D332,'BPC Data'!$B:$B,Summary!$C332)</f>
        <v>0</v>
      </c>
      <c r="K332" s="61">
        <f ca="1">SUMIFS(OFFSET('BPC Data'!$F:$F,0,Summary!K$2),'BPC Data'!$E:$E,Summary!$D332,'BPC Data'!$B:$B,Summary!$C332)</f>
        <v>0</v>
      </c>
      <c r="L332" s="65">
        <f ca="1">SUMIFS(OFFSET('BPC Data'!$F:$F,0,Summary!L$2),'BPC Data'!$E:$E,Summary!$D332,'BPC Data'!$B:$B,Summary!$C332)</f>
        <v>0</v>
      </c>
      <c r="M332" s="61">
        <f ca="1">SUMIFS(OFFSET('BPC Data'!$F:$F,0,Summary!M$2),'BPC Data'!$E:$E,Summary!$D332,'BPC Data'!$B:$B,Summary!$C332)</f>
        <v>0</v>
      </c>
      <c r="N332" s="65">
        <f ca="1">SUMIFS(OFFSET('BPC Data'!$F:$F,0,Summary!N$2),'BPC Data'!$E:$E,Summary!$D332,'BPC Data'!$B:$B,Summary!$C332)</f>
        <v>0</v>
      </c>
      <c r="O332" s="61">
        <f ca="1">SUMIFS(OFFSET('BPC Data'!$F:$F,0,Summary!O$2),'BPC Data'!$E:$E,Summary!$D332,'BPC Data'!$B:$B,Summary!$C332)</f>
        <v>0</v>
      </c>
      <c r="P332" s="65">
        <f ca="1">SUMIFS(OFFSET('BPC Data'!$F:$F,0,Summary!P$2),'BPC Data'!$E:$E,Summary!$D332,'BPC Data'!$B:$B,Summary!$C332)</f>
        <v>0</v>
      </c>
      <c r="Q332" s="61">
        <f ca="1">SUMIFS(OFFSET('BPC Data'!$F:$F,0,Summary!Q$2),'BPC Data'!$E:$E,Summary!$D332,'BPC Data'!$B:$B,Summary!$C332)</f>
        <v>0</v>
      </c>
      <c r="R332" s="65">
        <f ca="1">SUMIFS(OFFSET('BPC Data'!$F:$F,0,Summary!R$2),'BPC Data'!$E:$E,Summary!$D332,'BPC Data'!$B:$B,Summary!$C332)</f>
        <v>0</v>
      </c>
      <c r="S332" s="23"/>
      <c r="T332" s="76"/>
      <c r="AJ332" s="49"/>
      <c r="AK332" s="49"/>
      <c r="AL332" s="49"/>
      <c r="AM332" s="49"/>
      <c r="AN332" s="49"/>
      <c r="AO332" s="49"/>
      <c r="AP332" s="49"/>
      <c r="AQ332" s="49"/>
      <c r="AR332" s="49"/>
      <c r="AS332" s="49"/>
      <c r="AT332" s="49"/>
      <c r="AU332" s="49"/>
    </row>
    <row r="333" spans="1:47" s="12" customFormat="1" hidden="1" outlineLevel="1">
      <c r="A333" s="12">
        <f t="shared" si="451"/>
        <v>30</v>
      </c>
      <c r="B333"/>
      <c r="C333">
        <f>$F328</f>
        <v>0</v>
      </c>
      <c r="D333" s="3" t="str">
        <f t="shared" si="446"/>
        <v>T_BAD_DEBT - Tenant Bad Debt Expense</v>
      </c>
      <c r="E333"/>
      <c r="F333" s="19" t="str">
        <f>_xll.EVDES(D333)</f>
        <v>Tenant Bad Debt Expense</v>
      </c>
      <c r="G333" s="61">
        <f ca="1">SUMIFS(OFFSET('BPC Data'!$F:$F,0,Summary!G$2),'BPC Data'!$E:$E,Summary!$D333,'BPC Data'!$B:$B,Summary!$C333)</f>
        <v>0</v>
      </c>
      <c r="H333" s="65">
        <f ca="1">SUMIFS(OFFSET('BPC Data'!$F:$F,0,Summary!H$2),'BPC Data'!$E:$E,Summary!$D333,'BPC Data'!$B:$B,Summary!$C333)</f>
        <v>0</v>
      </c>
      <c r="I333" s="61">
        <f ca="1">SUMIFS(OFFSET('BPC Data'!$F:$F,0,Summary!I$2),'BPC Data'!$E:$E,Summary!$D333,'BPC Data'!$B:$B,Summary!$C333)</f>
        <v>0</v>
      </c>
      <c r="J333" s="65">
        <f ca="1">SUMIFS(OFFSET('BPC Data'!$F:$F,0,Summary!J$2),'BPC Data'!$E:$E,Summary!$D333,'BPC Data'!$B:$B,Summary!$C333)</f>
        <v>0</v>
      </c>
      <c r="K333" s="61">
        <f ca="1">SUMIFS(OFFSET('BPC Data'!$F:$F,0,Summary!K$2),'BPC Data'!$E:$E,Summary!$D333,'BPC Data'!$B:$B,Summary!$C333)</f>
        <v>0</v>
      </c>
      <c r="L333" s="65">
        <f ca="1">SUMIFS(OFFSET('BPC Data'!$F:$F,0,Summary!L$2),'BPC Data'!$E:$E,Summary!$D333,'BPC Data'!$B:$B,Summary!$C333)</f>
        <v>0</v>
      </c>
      <c r="M333" s="61">
        <f ca="1">SUMIFS(OFFSET('BPC Data'!$F:$F,0,Summary!M$2),'BPC Data'!$E:$E,Summary!$D333,'BPC Data'!$B:$B,Summary!$C333)</f>
        <v>0</v>
      </c>
      <c r="N333" s="65">
        <f ca="1">SUMIFS(OFFSET('BPC Data'!$F:$F,0,Summary!N$2),'BPC Data'!$E:$E,Summary!$D333,'BPC Data'!$B:$B,Summary!$C333)</f>
        <v>0</v>
      </c>
      <c r="O333" s="61">
        <f ca="1">SUMIFS(OFFSET('BPC Data'!$F:$F,0,Summary!O$2),'BPC Data'!$E:$E,Summary!$D333,'BPC Data'!$B:$B,Summary!$C333)</f>
        <v>0</v>
      </c>
      <c r="P333" s="65">
        <f ca="1">SUMIFS(OFFSET('BPC Data'!$F:$F,0,Summary!P$2),'BPC Data'!$E:$E,Summary!$D333,'BPC Data'!$B:$B,Summary!$C333)</f>
        <v>0</v>
      </c>
      <c r="Q333" s="61">
        <f ca="1">SUMIFS(OFFSET('BPC Data'!$F:$F,0,Summary!Q$2),'BPC Data'!$E:$E,Summary!$D333,'BPC Data'!$B:$B,Summary!$C333)</f>
        <v>0</v>
      </c>
      <c r="R333" s="65">
        <f ca="1">SUMIFS(OFFSET('BPC Data'!$F:$F,0,Summary!R$2),'BPC Data'!$E:$E,Summary!$D333,'BPC Data'!$B:$B,Summary!$C333)</f>
        <v>0</v>
      </c>
      <c r="S333" s="23"/>
      <c r="T333" s="76"/>
      <c r="AJ333" s="49"/>
      <c r="AK333" s="49"/>
      <c r="AL333" s="49"/>
      <c r="AM333" s="49"/>
      <c r="AN333" s="49"/>
      <c r="AO333" s="49"/>
      <c r="AP333" s="49"/>
      <c r="AQ333" s="49"/>
      <c r="AR333" s="49"/>
      <c r="AS333" s="49"/>
      <c r="AT333" s="49"/>
      <c r="AU333" s="49"/>
    </row>
    <row r="334" spans="1:47" s="12" customFormat="1" hidden="1" outlineLevel="1">
      <c r="A334" s="12">
        <f t="shared" si="451"/>
        <v>30</v>
      </c>
      <c r="B334"/>
      <c r="C334">
        <f>$F328</f>
        <v>0</v>
      </c>
      <c r="D334" s="2" t="str">
        <f t="shared" si="446"/>
        <v>T_EBITDARM - EBITDARM</v>
      </c>
      <c r="E334"/>
      <c r="F334" s="19" t="str">
        <f>_xll.EVDES(D334)</f>
        <v>EBITDARM</v>
      </c>
      <c r="G334" s="61">
        <f ca="1">SUMIFS(OFFSET('BPC Data'!$F:$F,0,Summary!G$2),'BPC Data'!$E:$E,Summary!$D334,'BPC Data'!$B:$B,Summary!$C334)</f>
        <v>0</v>
      </c>
      <c r="H334" s="65">
        <f ca="1">SUMIFS(OFFSET('BPC Data'!$F:$F,0,Summary!H$2),'BPC Data'!$E:$E,Summary!$D334,'BPC Data'!$B:$B,Summary!$C334)</f>
        <v>0</v>
      </c>
      <c r="I334" s="61">
        <f ca="1">SUMIFS(OFFSET('BPC Data'!$F:$F,0,Summary!I$2),'BPC Data'!$E:$E,Summary!$D334,'BPC Data'!$B:$B,Summary!$C334)</f>
        <v>0</v>
      </c>
      <c r="J334" s="65">
        <f ca="1">SUMIFS(OFFSET('BPC Data'!$F:$F,0,Summary!J$2),'BPC Data'!$E:$E,Summary!$D334,'BPC Data'!$B:$B,Summary!$C334)</f>
        <v>0</v>
      </c>
      <c r="K334" s="61">
        <f ca="1">SUMIFS(OFFSET('BPC Data'!$F:$F,0,Summary!K$2),'BPC Data'!$E:$E,Summary!$D334,'BPC Data'!$B:$B,Summary!$C334)</f>
        <v>0</v>
      </c>
      <c r="L334" s="65">
        <f ca="1">SUMIFS(OFFSET('BPC Data'!$F:$F,0,Summary!L$2),'BPC Data'!$E:$E,Summary!$D334,'BPC Data'!$B:$B,Summary!$C334)</f>
        <v>0</v>
      </c>
      <c r="M334" s="61">
        <f ca="1">SUMIFS(OFFSET('BPC Data'!$F:$F,0,Summary!M$2),'BPC Data'!$E:$E,Summary!$D334,'BPC Data'!$B:$B,Summary!$C334)</f>
        <v>0</v>
      </c>
      <c r="N334" s="65">
        <f ca="1">SUMIFS(OFFSET('BPC Data'!$F:$F,0,Summary!N$2),'BPC Data'!$E:$E,Summary!$D334,'BPC Data'!$B:$B,Summary!$C334)</f>
        <v>0</v>
      </c>
      <c r="O334" s="61">
        <f ca="1">SUMIFS(OFFSET('BPC Data'!$F:$F,0,Summary!O$2),'BPC Data'!$E:$E,Summary!$D334,'BPC Data'!$B:$B,Summary!$C334)</f>
        <v>0</v>
      </c>
      <c r="P334" s="65">
        <f ca="1">SUMIFS(OFFSET('BPC Data'!$F:$F,0,Summary!P$2),'BPC Data'!$E:$E,Summary!$D334,'BPC Data'!$B:$B,Summary!$C334)</f>
        <v>0</v>
      </c>
      <c r="Q334" s="61">
        <f ca="1">SUMIFS(OFFSET('BPC Data'!$F:$F,0,Summary!Q$2),'BPC Data'!$E:$E,Summary!$D334,'BPC Data'!$B:$B,Summary!$C334)</f>
        <v>0</v>
      </c>
      <c r="R334" s="65">
        <f ca="1">SUMIFS(OFFSET('BPC Data'!$F:$F,0,Summary!R$2),'BPC Data'!$E:$E,Summary!$D334,'BPC Data'!$B:$B,Summary!$C334)</f>
        <v>0</v>
      </c>
      <c r="S334" s="23"/>
      <c r="T334" s="76"/>
      <c r="AJ334" s="49"/>
      <c r="AK334" s="49"/>
      <c r="AL334" s="49"/>
      <c r="AM334" s="49"/>
      <c r="AN334" s="49"/>
      <c r="AO334" s="49"/>
      <c r="AP334" s="49"/>
      <c r="AQ334" s="49"/>
      <c r="AR334" s="49"/>
      <c r="AS334" s="49"/>
      <c r="AT334" s="49"/>
      <c r="AU334" s="49"/>
    </row>
    <row r="335" spans="1:47" s="12" customFormat="1" hidden="1" outlineLevel="1">
      <c r="A335" s="12">
        <f t="shared" si="451"/>
        <v>30</v>
      </c>
      <c r="B335"/>
      <c r="C335">
        <f>$F328</f>
        <v>0</v>
      </c>
      <c r="D335" s="2" t="str">
        <f t="shared" si="446"/>
        <v>T_MGMT_FEE - Tenant Management Fee - Actual</v>
      </c>
      <c r="E335"/>
      <c r="F335" s="19" t="str">
        <f>_xll.EVDES(D335)</f>
        <v>Tenant Management Fee - Actual</v>
      </c>
      <c r="G335" s="61">
        <f ca="1">SUMIFS(OFFSET('BPC Data'!$F:$F,0,Summary!G$2),'BPC Data'!$E:$E,Summary!$D335,'BPC Data'!$B:$B,Summary!$C335)</f>
        <v>0</v>
      </c>
      <c r="H335" s="65">
        <f ca="1">SUMIFS(OFFSET('BPC Data'!$F:$F,0,Summary!H$2),'BPC Data'!$E:$E,Summary!$D335,'BPC Data'!$B:$B,Summary!$C335)</f>
        <v>0</v>
      </c>
      <c r="I335" s="61">
        <f ca="1">SUMIFS(OFFSET('BPC Data'!$F:$F,0,Summary!I$2),'BPC Data'!$E:$E,Summary!$D335,'BPC Data'!$B:$B,Summary!$C335)</f>
        <v>0</v>
      </c>
      <c r="J335" s="65">
        <f ca="1">SUMIFS(OFFSET('BPC Data'!$F:$F,0,Summary!J$2),'BPC Data'!$E:$E,Summary!$D335,'BPC Data'!$B:$B,Summary!$C335)</f>
        <v>0</v>
      </c>
      <c r="K335" s="61">
        <f ca="1">SUMIFS(OFFSET('BPC Data'!$F:$F,0,Summary!K$2),'BPC Data'!$E:$E,Summary!$D335,'BPC Data'!$B:$B,Summary!$C335)</f>
        <v>0</v>
      </c>
      <c r="L335" s="65">
        <f ca="1">SUMIFS(OFFSET('BPC Data'!$F:$F,0,Summary!L$2),'BPC Data'!$E:$E,Summary!$D335,'BPC Data'!$B:$B,Summary!$C335)</f>
        <v>0</v>
      </c>
      <c r="M335" s="61">
        <f ca="1">SUMIFS(OFFSET('BPC Data'!$F:$F,0,Summary!M$2),'BPC Data'!$E:$E,Summary!$D335,'BPC Data'!$B:$B,Summary!$C335)</f>
        <v>0</v>
      </c>
      <c r="N335" s="65">
        <f ca="1">SUMIFS(OFFSET('BPC Data'!$F:$F,0,Summary!N$2),'BPC Data'!$E:$E,Summary!$D335,'BPC Data'!$B:$B,Summary!$C335)</f>
        <v>0</v>
      </c>
      <c r="O335" s="61">
        <f ca="1">SUMIFS(OFFSET('BPC Data'!$F:$F,0,Summary!O$2),'BPC Data'!$E:$E,Summary!$D335,'BPC Data'!$B:$B,Summary!$C335)</f>
        <v>0</v>
      </c>
      <c r="P335" s="65">
        <f ca="1">SUMIFS(OFFSET('BPC Data'!$F:$F,0,Summary!P$2),'BPC Data'!$E:$E,Summary!$D335,'BPC Data'!$B:$B,Summary!$C335)</f>
        <v>0</v>
      </c>
      <c r="Q335" s="61">
        <f ca="1">SUMIFS(OFFSET('BPC Data'!$F:$F,0,Summary!Q$2),'BPC Data'!$E:$E,Summary!$D335,'BPC Data'!$B:$B,Summary!$C335)</f>
        <v>0</v>
      </c>
      <c r="R335" s="65">
        <f ca="1">SUMIFS(OFFSET('BPC Data'!$F:$F,0,Summary!R$2),'BPC Data'!$E:$E,Summary!$D335,'BPC Data'!$B:$B,Summary!$C335)</f>
        <v>0</v>
      </c>
      <c r="S335" s="23"/>
      <c r="T335" s="76"/>
      <c r="AJ335" s="49"/>
      <c r="AK335" s="49"/>
      <c r="AL335" s="49"/>
      <c r="AM335" s="49"/>
      <c r="AN335" s="49"/>
      <c r="AO335" s="49"/>
      <c r="AP335" s="49"/>
      <c r="AQ335" s="49"/>
      <c r="AR335" s="49"/>
      <c r="AS335" s="49"/>
      <c r="AT335" s="49"/>
      <c r="AU335" s="49"/>
    </row>
    <row r="336" spans="1:47" s="12" customFormat="1" hidden="1" outlineLevel="1">
      <c r="A336" s="12">
        <f t="shared" si="451"/>
        <v>30</v>
      </c>
      <c r="B336"/>
      <c r="C336">
        <f>$F328</f>
        <v>0</v>
      </c>
      <c r="D336" s="1" t="str">
        <f t="shared" si="446"/>
        <v>T_EBITDAR - EBITDAR</v>
      </c>
      <c r="E336"/>
      <c r="F336" s="19" t="str">
        <f>_xll.EVDES(D336)</f>
        <v>EBITDAR</v>
      </c>
      <c r="G336" s="61">
        <f ca="1">SUMIFS(OFFSET('BPC Data'!$F:$F,0,Summary!G$2),'BPC Data'!$E:$E,Summary!$D336,'BPC Data'!$B:$B,Summary!$C336)</f>
        <v>0</v>
      </c>
      <c r="H336" s="65">
        <f ca="1">SUMIFS(OFFSET('BPC Data'!$F:$F,0,Summary!H$2),'BPC Data'!$E:$E,Summary!$D336,'BPC Data'!$B:$B,Summary!$C336)</f>
        <v>0</v>
      </c>
      <c r="I336" s="61">
        <f ca="1">SUMIFS(OFFSET('BPC Data'!$F:$F,0,Summary!I$2),'BPC Data'!$E:$E,Summary!$D336,'BPC Data'!$B:$B,Summary!$C336)</f>
        <v>0</v>
      </c>
      <c r="J336" s="65">
        <f ca="1">SUMIFS(OFFSET('BPC Data'!$F:$F,0,Summary!J$2),'BPC Data'!$E:$E,Summary!$D336,'BPC Data'!$B:$B,Summary!$C336)</f>
        <v>0</v>
      </c>
      <c r="K336" s="61">
        <f ca="1">SUMIFS(OFFSET('BPC Data'!$F:$F,0,Summary!K$2),'BPC Data'!$E:$E,Summary!$D336,'BPC Data'!$B:$B,Summary!$C336)</f>
        <v>0</v>
      </c>
      <c r="L336" s="65">
        <f ca="1">SUMIFS(OFFSET('BPC Data'!$F:$F,0,Summary!L$2),'BPC Data'!$E:$E,Summary!$D336,'BPC Data'!$B:$B,Summary!$C336)</f>
        <v>0</v>
      </c>
      <c r="M336" s="61">
        <f ca="1">SUMIFS(OFFSET('BPC Data'!$F:$F,0,Summary!M$2),'BPC Data'!$E:$E,Summary!$D336,'BPC Data'!$B:$B,Summary!$C336)</f>
        <v>0</v>
      </c>
      <c r="N336" s="65">
        <f ca="1">SUMIFS(OFFSET('BPC Data'!$F:$F,0,Summary!N$2),'BPC Data'!$E:$E,Summary!$D336,'BPC Data'!$B:$B,Summary!$C336)</f>
        <v>0</v>
      </c>
      <c r="O336" s="61">
        <f ca="1">SUMIFS(OFFSET('BPC Data'!$F:$F,0,Summary!O$2),'BPC Data'!$E:$E,Summary!$D336,'BPC Data'!$B:$B,Summary!$C336)</f>
        <v>0</v>
      </c>
      <c r="P336" s="65">
        <f ca="1">SUMIFS(OFFSET('BPC Data'!$F:$F,0,Summary!P$2),'BPC Data'!$E:$E,Summary!$D336,'BPC Data'!$B:$B,Summary!$C336)</f>
        <v>0</v>
      </c>
      <c r="Q336" s="61">
        <f ca="1">SUMIFS(OFFSET('BPC Data'!$F:$F,0,Summary!Q$2),'BPC Data'!$E:$E,Summary!$D336,'BPC Data'!$B:$B,Summary!$C336)</f>
        <v>0</v>
      </c>
      <c r="R336" s="65">
        <f ca="1">SUMIFS(OFFSET('BPC Data'!$F:$F,0,Summary!R$2),'BPC Data'!$E:$E,Summary!$D336,'BPC Data'!$B:$B,Summary!$C336)</f>
        <v>0</v>
      </c>
      <c r="S336" s="23"/>
      <c r="T336" s="76"/>
      <c r="AJ336" s="49"/>
      <c r="AK336" s="49"/>
      <c r="AL336" s="49"/>
      <c r="AM336" s="49"/>
      <c r="AN336" s="49"/>
      <c r="AO336" s="49"/>
      <c r="AP336" s="49"/>
      <c r="AQ336" s="49"/>
      <c r="AR336" s="49"/>
      <c r="AS336" s="49"/>
      <c r="AT336" s="49"/>
      <c r="AU336" s="49"/>
    </row>
    <row r="337" spans="1:47" s="12" customFormat="1" hidden="1" outlineLevel="1">
      <c r="A337" s="12">
        <f t="shared" si="451"/>
        <v>30</v>
      </c>
      <c r="B337"/>
      <c r="C337">
        <f>$F328</f>
        <v>0</v>
      </c>
      <c r="D337" s="1" t="str">
        <f t="shared" si="446"/>
        <v>T_RENT_EXP - Tenant Rent Expense</v>
      </c>
      <c r="E337"/>
      <c r="F337" s="19" t="str">
        <f>_xll.EVDES(D337)</f>
        <v>Tenant Rent Expense</v>
      </c>
      <c r="G337" s="61">
        <f ca="1">SUMIFS(OFFSET('BPC Data'!$F:$F,0,Summary!G$2),'BPC Data'!$E:$E,Summary!$D337,'BPC Data'!$B:$B,Summary!$C337)</f>
        <v>0</v>
      </c>
      <c r="H337" s="65">
        <f ca="1">SUMIFS(OFFSET('BPC Data'!$F:$F,0,Summary!H$2),'BPC Data'!$E:$E,Summary!$D337,'BPC Data'!$B:$B,Summary!$C337)</f>
        <v>0</v>
      </c>
      <c r="I337" s="61">
        <f ca="1">SUMIFS(OFFSET('BPC Data'!$F:$F,0,Summary!I$2),'BPC Data'!$E:$E,Summary!$D337,'BPC Data'!$B:$B,Summary!$C337)</f>
        <v>0</v>
      </c>
      <c r="J337" s="65">
        <f ca="1">SUMIFS(OFFSET('BPC Data'!$F:$F,0,Summary!J$2),'BPC Data'!$E:$E,Summary!$D337,'BPC Data'!$B:$B,Summary!$C337)</f>
        <v>0</v>
      </c>
      <c r="K337" s="61">
        <f ca="1">SUMIFS(OFFSET('BPC Data'!$F:$F,0,Summary!K$2),'BPC Data'!$E:$E,Summary!$D337,'BPC Data'!$B:$B,Summary!$C337)</f>
        <v>0</v>
      </c>
      <c r="L337" s="65">
        <f ca="1">SUMIFS(OFFSET('BPC Data'!$F:$F,0,Summary!L$2),'BPC Data'!$E:$E,Summary!$D337,'BPC Data'!$B:$B,Summary!$C337)</f>
        <v>0</v>
      </c>
      <c r="M337" s="61">
        <f ca="1">SUMIFS(OFFSET('BPC Data'!$F:$F,0,Summary!M$2),'BPC Data'!$E:$E,Summary!$D337,'BPC Data'!$B:$B,Summary!$C337)</f>
        <v>0</v>
      </c>
      <c r="N337" s="65">
        <f ca="1">SUMIFS(OFFSET('BPC Data'!$F:$F,0,Summary!N$2),'BPC Data'!$E:$E,Summary!$D337,'BPC Data'!$B:$B,Summary!$C337)</f>
        <v>0</v>
      </c>
      <c r="O337" s="61">
        <f ca="1">SUMIFS(OFFSET('BPC Data'!$F:$F,0,Summary!O$2),'BPC Data'!$E:$E,Summary!$D337,'BPC Data'!$B:$B,Summary!$C337)</f>
        <v>0</v>
      </c>
      <c r="P337" s="65">
        <f ca="1">SUMIFS(OFFSET('BPC Data'!$F:$F,0,Summary!P$2),'BPC Data'!$E:$E,Summary!$D337,'BPC Data'!$B:$B,Summary!$C337)</f>
        <v>0</v>
      </c>
      <c r="Q337" s="61">
        <f ca="1">SUMIFS(OFFSET('BPC Data'!$F:$F,0,Summary!Q$2),'BPC Data'!$E:$E,Summary!$D337,'BPC Data'!$B:$B,Summary!$C337)</f>
        <v>0</v>
      </c>
      <c r="R337" s="65">
        <f ca="1">SUMIFS(OFFSET('BPC Data'!$F:$F,0,Summary!R$2),'BPC Data'!$E:$E,Summary!$D337,'BPC Data'!$B:$B,Summary!$C337)</f>
        <v>0</v>
      </c>
      <c r="S337" s="23"/>
      <c r="T337" s="76"/>
      <c r="AJ337" s="49"/>
      <c r="AK337" s="49"/>
      <c r="AL337" s="49"/>
      <c r="AM337" s="49"/>
      <c r="AN337" s="49"/>
      <c r="AO337" s="49"/>
      <c r="AP337" s="49"/>
      <c r="AQ337" s="49"/>
      <c r="AR337" s="49"/>
      <c r="AS337" s="49"/>
      <c r="AT337" s="49"/>
      <c r="AU337" s="49"/>
    </row>
    <row r="338" spans="1:47" s="12" customFormat="1" hidden="1" outlineLevel="1">
      <c r="A338" s="12">
        <f t="shared" si="451"/>
        <v>30</v>
      </c>
      <c r="B338"/>
      <c r="C338"/>
      <c r="D338" s="1" t="str">
        <f t="shared" si="446"/>
        <v>x</v>
      </c>
      <c r="E338"/>
      <c r="F338" s="19" t="s">
        <v>0</v>
      </c>
      <c r="G338" s="61">
        <f ca="1">SUMIFS(OFFSET('BPC Data'!$F:$F,0,Summary!G$2),'BPC Data'!$E:$E,Summary!$D338,'BPC Data'!$B:$B,Summary!$C338)</f>
        <v>0</v>
      </c>
      <c r="H338" s="65">
        <f ca="1">SUMIFS(OFFSET('BPC Data'!$F:$F,0,Summary!H$2),'BPC Data'!$E:$E,Summary!$D338,'BPC Data'!$B:$B,Summary!$C338)</f>
        <v>0</v>
      </c>
      <c r="I338" s="61">
        <f ca="1">SUMIFS(OFFSET('BPC Data'!$F:$F,0,Summary!I$2),'BPC Data'!$E:$E,Summary!$D338,'BPC Data'!$B:$B,Summary!$C338)</f>
        <v>0</v>
      </c>
      <c r="J338" s="65">
        <f ca="1">SUMIFS(OFFSET('BPC Data'!$F:$F,0,Summary!J$2),'BPC Data'!$E:$E,Summary!$D338,'BPC Data'!$B:$B,Summary!$C338)</f>
        <v>0</v>
      </c>
      <c r="K338" s="61">
        <f ca="1">SUMIFS(OFFSET('BPC Data'!$F:$F,0,Summary!K$2),'BPC Data'!$E:$E,Summary!$D338,'BPC Data'!$B:$B,Summary!$C338)</f>
        <v>0</v>
      </c>
      <c r="L338" s="65">
        <f ca="1">SUMIFS(OFFSET('BPC Data'!$F:$F,0,Summary!L$2),'BPC Data'!$E:$E,Summary!$D338,'BPC Data'!$B:$B,Summary!$C338)</f>
        <v>0</v>
      </c>
      <c r="M338" s="61">
        <f ca="1">SUMIFS(OFFSET('BPC Data'!$F:$F,0,Summary!M$2),'BPC Data'!$E:$E,Summary!$D338,'BPC Data'!$B:$B,Summary!$C338)</f>
        <v>0</v>
      </c>
      <c r="N338" s="65">
        <f ca="1">SUMIFS(OFFSET('BPC Data'!$F:$F,0,Summary!N$2),'BPC Data'!$E:$E,Summary!$D338,'BPC Data'!$B:$B,Summary!$C338)</f>
        <v>0</v>
      </c>
      <c r="O338" s="61">
        <f ca="1">SUMIFS(OFFSET('BPC Data'!$F:$F,0,Summary!O$2),'BPC Data'!$E:$E,Summary!$D338,'BPC Data'!$B:$B,Summary!$C338)</f>
        <v>0</v>
      </c>
      <c r="P338" s="65">
        <f ca="1">SUMIFS(OFFSET('BPC Data'!$F:$F,0,Summary!P$2),'BPC Data'!$E:$E,Summary!$D338,'BPC Data'!$B:$B,Summary!$C338)</f>
        <v>0</v>
      </c>
      <c r="Q338" s="61">
        <f ca="1">SUMIFS(OFFSET('BPC Data'!$F:$F,0,Summary!Q$2),'BPC Data'!$E:$E,Summary!$D338,'BPC Data'!$B:$B,Summary!$C338)</f>
        <v>0</v>
      </c>
      <c r="R338" s="65">
        <f ca="1">SUMIFS(OFFSET('BPC Data'!$F:$F,0,Summary!R$2),'BPC Data'!$E:$E,Summary!$D338,'BPC Data'!$B:$B,Summary!$C338)</f>
        <v>0</v>
      </c>
      <c r="S338" s="23"/>
      <c r="T338" s="76"/>
      <c r="AJ338" s="49"/>
      <c r="AK338" s="49"/>
      <c r="AL338" s="49"/>
      <c r="AM338" s="49"/>
      <c r="AN338" s="49"/>
      <c r="AO338" s="49"/>
      <c r="AP338" s="49"/>
      <c r="AQ338" s="49"/>
      <c r="AR338" s="49"/>
      <c r="AS338" s="49"/>
      <c r="AT338" s="49"/>
      <c r="AU338" s="49"/>
    </row>
    <row r="339" spans="1:47" s="12" customFormat="1" hidden="1" outlineLevel="1">
      <c r="A339" s="12">
        <f>IF(AND(D339&lt;&gt;"",C339=""),A338+1,A338)</f>
        <v>31</v>
      </c>
      <c r="B339" s="5"/>
      <c r="C339" s="5"/>
      <c r="D339" s="5" t="str">
        <f t="shared" si="446"/>
        <v>x</v>
      </c>
      <c r="E339" s="5"/>
      <c r="F339" s="18">
        <f>INDEX(PropertyList!$D:$D,MATCH(Summary!$A339,PropertyList!$C:$C,0))</f>
        <v>0</v>
      </c>
      <c r="G339" s="61">
        <f ca="1">SUMIFS(OFFSET('BPC Data'!$F:$F,0,Summary!G$2),'BPC Data'!$E:$E,Summary!$D339,'BPC Data'!$B:$B,Summary!$C339)</f>
        <v>0</v>
      </c>
      <c r="H339" s="65">
        <f ca="1">SUMIFS(OFFSET('BPC Data'!$F:$F,0,Summary!H$2),'BPC Data'!$E:$E,Summary!$D339,'BPC Data'!$B:$B,Summary!$C339)</f>
        <v>0</v>
      </c>
      <c r="I339" s="61">
        <f ca="1">SUMIFS(OFFSET('BPC Data'!$F:$F,0,Summary!I$2),'BPC Data'!$E:$E,Summary!$D339,'BPC Data'!$B:$B,Summary!$C339)</f>
        <v>0</v>
      </c>
      <c r="J339" s="65">
        <f ca="1">SUMIFS(OFFSET('BPC Data'!$F:$F,0,Summary!J$2),'BPC Data'!$E:$E,Summary!$D339,'BPC Data'!$B:$B,Summary!$C339)</f>
        <v>0</v>
      </c>
      <c r="K339" s="61">
        <f ca="1">SUMIFS(OFFSET('BPC Data'!$F:$F,0,Summary!K$2),'BPC Data'!$E:$E,Summary!$D339,'BPC Data'!$B:$B,Summary!$C339)</f>
        <v>0</v>
      </c>
      <c r="L339" s="65">
        <f ca="1">SUMIFS(OFFSET('BPC Data'!$F:$F,0,Summary!L$2),'BPC Data'!$E:$E,Summary!$D339,'BPC Data'!$B:$B,Summary!$C339)</f>
        <v>0</v>
      </c>
      <c r="M339" s="61">
        <f ca="1">SUMIFS(OFFSET('BPC Data'!$F:$F,0,Summary!M$2),'BPC Data'!$E:$E,Summary!$D339,'BPC Data'!$B:$B,Summary!$C339)</f>
        <v>0</v>
      </c>
      <c r="N339" s="65">
        <f ca="1">SUMIFS(OFFSET('BPC Data'!$F:$F,0,Summary!N$2),'BPC Data'!$E:$E,Summary!$D339,'BPC Data'!$B:$B,Summary!$C339)</f>
        <v>0</v>
      </c>
      <c r="O339" s="61">
        <f ca="1">SUMIFS(OFFSET('BPC Data'!$F:$F,0,Summary!O$2),'BPC Data'!$E:$E,Summary!$D339,'BPC Data'!$B:$B,Summary!$C339)</f>
        <v>0</v>
      </c>
      <c r="P339" s="65">
        <f ca="1">SUMIFS(OFFSET('BPC Data'!$F:$F,0,Summary!P$2),'BPC Data'!$E:$E,Summary!$D339,'BPC Data'!$B:$B,Summary!$C339)</f>
        <v>0</v>
      </c>
      <c r="Q339" s="61">
        <f ca="1">SUMIFS(OFFSET('BPC Data'!$F:$F,0,Summary!Q$2),'BPC Data'!$E:$E,Summary!$D339,'BPC Data'!$B:$B,Summary!$C339)</f>
        <v>0</v>
      </c>
      <c r="R339" s="65">
        <f ca="1">SUMIFS(OFFSET('BPC Data'!$F:$F,0,Summary!R$2),'BPC Data'!$E:$E,Summary!$D339,'BPC Data'!$B:$B,Summary!$C339)</f>
        <v>0</v>
      </c>
      <c r="S339" s="23"/>
      <c r="T339" s="76"/>
      <c r="AJ339" s="49"/>
      <c r="AK339" s="49"/>
      <c r="AL339" s="49"/>
      <c r="AM339" s="49"/>
      <c r="AN339" s="49"/>
      <c r="AO339" s="49"/>
      <c r="AP339" s="49"/>
      <c r="AQ339" s="49"/>
      <c r="AR339" s="49"/>
      <c r="AS339" s="49"/>
      <c r="AT339" s="49"/>
      <c r="AU339" s="49"/>
    </row>
    <row r="340" spans="1:47" s="12" customFormat="1" hidden="1" outlineLevel="1">
      <c r="A340" s="12">
        <f>IF(AND(F340&lt;&gt;"",D340=""),A339+1,A339)</f>
        <v>31</v>
      </c>
      <c r="C340">
        <f>$F339</f>
        <v>0</v>
      </c>
      <c r="D340" s="3" t="str">
        <f t="shared" si="446"/>
        <v>PAY_PAT_DAYS - Total Payor Patient Days</v>
      </c>
      <c r="F340" s="19" t="str">
        <f>_xll.EVDES(D340)</f>
        <v>Total Payor Patient Days</v>
      </c>
      <c r="G340" s="61">
        <f ca="1">SUMIFS(OFFSET('BPC Data'!$F:$F,0,Summary!G$2),'BPC Data'!$E:$E,Summary!$D340,'BPC Data'!$B:$B,Summary!$C340)</f>
        <v>0</v>
      </c>
      <c r="H340" s="65">
        <f ca="1">SUMIFS(OFFSET('BPC Data'!$F:$F,0,Summary!H$2),'BPC Data'!$E:$E,Summary!$D340,'BPC Data'!$B:$B,Summary!$C340)</f>
        <v>0</v>
      </c>
      <c r="I340" s="61">
        <f ca="1">SUMIFS(OFFSET('BPC Data'!$F:$F,0,Summary!I$2),'BPC Data'!$E:$E,Summary!$D340,'BPC Data'!$B:$B,Summary!$C340)</f>
        <v>0</v>
      </c>
      <c r="J340" s="65">
        <f ca="1">SUMIFS(OFFSET('BPC Data'!$F:$F,0,Summary!J$2),'BPC Data'!$E:$E,Summary!$D340,'BPC Data'!$B:$B,Summary!$C340)</f>
        <v>0</v>
      </c>
      <c r="K340" s="61">
        <f ca="1">SUMIFS(OFFSET('BPC Data'!$F:$F,0,Summary!K$2),'BPC Data'!$E:$E,Summary!$D340,'BPC Data'!$B:$B,Summary!$C340)</f>
        <v>0</v>
      </c>
      <c r="L340" s="65">
        <f ca="1">SUMIFS(OFFSET('BPC Data'!$F:$F,0,Summary!L$2),'BPC Data'!$E:$E,Summary!$D340,'BPC Data'!$B:$B,Summary!$C340)</f>
        <v>0</v>
      </c>
      <c r="M340" s="61">
        <f ca="1">SUMIFS(OFFSET('BPC Data'!$F:$F,0,Summary!M$2),'BPC Data'!$E:$E,Summary!$D340,'BPC Data'!$B:$B,Summary!$C340)</f>
        <v>0</v>
      </c>
      <c r="N340" s="65">
        <f ca="1">SUMIFS(OFFSET('BPC Data'!$F:$F,0,Summary!N$2),'BPC Data'!$E:$E,Summary!$D340,'BPC Data'!$B:$B,Summary!$C340)</f>
        <v>0</v>
      </c>
      <c r="O340" s="61">
        <f ca="1">SUMIFS(OFFSET('BPC Data'!$F:$F,0,Summary!O$2),'BPC Data'!$E:$E,Summary!$D340,'BPC Data'!$B:$B,Summary!$C340)</f>
        <v>0</v>
      </c>
      <c r="P340" s="65">
        <f ca="1">SUMIFS(OFFSET('BPC Data'!$F:$F,0,Summary!P$2),'BPC Data'!$E:$E,Summary!$D340,'BPC Data'!$B:$B,Summary!$C340)</f>
        <v>0</v>
      </c>
      <c r="Q340" s="61">
        <f ca="1">SUMIFS(OFFSET('BPC Data'!$F:$F,0,Summary!Q$2),'BPC Data'!$E:$E,Summary!$D340,'BPC Data'!$B:$B,Summary!$C340)</f>
        <v>0</v>
      </c>
      <c r="R340" s="65">
        <f ca="1">SUMIFS(OFFSET('BPC Data'!$F:$F,0,Summary!R$2),'BPC Data'!$E:$E,Summary!$D340,'BPC Data'!$B:$B,Summary!$C340)</f>
        <v>0</v>
      </c>
      <c r="S340" s="23"/>
      <c r="T340" s="76"/>
      <c r="AJ340" s="49"/>
      <c r="AK340" s="49"/>
      <c r="AL340" s="49"/>
      <c r="AM340" s="49"/>
      <c r="AN340" s="49"/>
      <c r="AO340" s="49"/>
      <c r="AP340" s="49"/>
      <c r="AQ340" s="49"/>
      <c r="AR340" s="49"/>
      <c r="AS340" s="49"/>
      <c r="AT340" s="49"/>
      <c r="AU340" s="49"/>
    </row>
    <row r="341" spans="1:47" s="12" customFormat="1" hidden="1" outlineLevel="1">
      <c r="A341" s="12">
        <f t="shared" ref="A341:A349" si="452">IF(AND(F341&lt;&gt;"",D341=""),A340+1,A340)</f>
        <v>31</v>
      </c>
      <c r="C341">
        <f>$F339</f>
        <v>0</v>
      </c>
      <c r="D341" s="3" t="str">
        <f t="shared" si="446"/>
        <v>A_BEDS_TOTAL - Total Available Beds</v>
      </c>
      <c r="F341" s="19" t="str">
        <f>_xll.EVDES(D341)</f>
        <v>Total Available Beds</v>
      </c>
      <c r="G341" s="61">
        <f ca="1">SUMIFS(OFFSET('BPC Data'!$F:$F,0,Summary!G$2),'BPC Data'!$E:$E,Summary!$D341,'BPC Data'!$B:$B,Summary!$C341)</f>
        <v>0</v>
      </c>
      <c r="H341" s="65">
        <f ca="1">SUMIFS(OFFSET('BPC Data'!$F:$F,0,Summary!H$2),'BPC Data'!$E:$E,Summary!$D341,'BPC Data'!$B:$B,Summary!$C341)</f>
        <v>0</v>
      </c>
      <c r="I341" s="61">
        <f ca="1">SUMIFS(OFFSET('BPC Data'!$F:$F,0,Summary!I$2),'BPC Data'!$E:$E,Summary!$D341,'BPC Data'!$B:$B,Summary!$C341)</f>
        <v>0</v>
      </c>
      <c r="J341" s="65">
        <f ca="1">SUMIFS(OFFSET('BPC Data'!$F:$F,0,Summary!J$2),'BPC Data'!$E:$E,Summary!$D341,'BPC Data'!$B:$B,Summary!$C341)</f>
        <v>0</v>
      </c>
      <c r="K341" s="61">
        <f ca="1">SUMIFS(OFFSET('BPC Data'!$F:$F,0,Summary!K$2),'BPC Data'!$E:$E,Summary!$D341,'BPC Data'!$B:$B,Summary!$C341)</f>
        <v>0</v>
      </c>
      <c r="L341" s="65">
        <f ca="1">SUMIFS(OFFSET('BPC Data'!$F:$F,0,Summary!L$2),'BPC Data'!$E:$E,Summary!$D341,'BPC Data'!$B:$B,Summary!$C341)</f>
        <v>0</v>
      </c>
      <c r="M341" s="61">
        <f ca="1">SUMIFS(OFFSET('BPC Data'!$F:$F,0,Summary!M$2),'BPC Data'!$E:$E,Summary!$D341,'BPC Data'!$B:$B,Summary!$C341)</f>
        <v>0</v>
      </c>
      <c r="N341" s="65">
        <f ca="1">SUMIFS(OFFSET('BPC Data'!$F:$F,0,Summary!N$2),'BPC Data'!$E:$E,Summary!$D341,'BPC Data'!$B:$B,Summary!$C341)</f>
        <v>0</v>
      </c>
      <c r="O341" s="61">
        <f ca="1">SUMIFS(OFFSET('BPC Data'!$F:$F,0,Summary!O$2),'BPC Data'!$E:$E,Summary!$D341,'BPC Data'!$B:$B,Summary!$C341)</f>
        <v>0</v>
      </c>
      <c r="P341" s="65">
        <f ca="1">SUMIFS(OFFSET('BPC Data'!$F:$F,0,Summary!P$2),'BPC Data'!$E:$E,Summary!$D341,'BPC Data'!$B:$B,Summary!$C341)</f>
        <v>0</v>
      </c>
      <c r="Q341" s="61">
        <f ca="1">SUMIFS(OFFSET('BPC Data'!$F:$F,0,Summary!Q$2),'BPC Data'!$E:$E,Summary!$D341,'BPC Data'!$B:$B,Summary!$C341)</f>
        <v>0</v>
      </c>
      <c r="R341" s="65">
        <f ca="1">SUMIFS(OFFSET('BPC Data'!$F:$F,0,Summary!R$2),'BPC Data'!$E:$E,Summary!$D341,'BPC Data'!$B:$B,Summary!$C341)</f>
        <v>0</v>
      </c>
      <c r="S341" s="23"/>
      <c r="T341" s="76"/>
      <c r="AJ341" s="49"/>
      <c r="AK341" s="49"/>
      <c r="AL341" s="49"/>
      <c r="AM341" s="49"/>
      <c r="AN341" s="49"/>
      <c r="AO341" s="49"/>
      <c r="AP341" s="49"/>
      <c r="AQ341" s="49"/>
      <c r="AR341" s="49"/>
      <c r="AS341" s="49"/>
      <c r="AT341" s="49"/>
      <c r="AU341" s="49"/>
    </row>
    <row r="342" spans="1:47" s="12" customFormat="1" hidden="1" outlineLevel="1">
      <c r="A342" s="12">
        <f t="shared" si="452"/>
        <v>31</v>
      </c>
      <c r="B342"/>
      <c r="C342">
        <f>$F339</f>
        <v>0</v>
      </c>
      <c r="D342" s="3" t="str">
        <f t="shared" ref="D342:D405" si="453">$D331</f>
        <v>T_REVENUES - Total Tenant Revenues</v>
      </c>
      <c r="E342"/>
      <c r="F342" s="19" t="str">
        <f>_xll.EVDES(D342)</f>
        <v>Total Tenant Revenues</v>
      </c>
      <c r="G342" s="61">
        <f ca="1">SUMIFS(OFFSET('BPC Data'!$F:$F,0,Summary!G$2),'BPC Data'!$E:$E,Summary!$D342,'BPC Data'!$B:$B,Summary!$C342)</f>
        <v>0</v>
      </c>
      <c r="H342" s="65">
        <f ca="1">SUMIFS(OFFSET('BPC Data'!$F:$F,0,Summary!H$2),'BPC Data'!$E:$E,Summary!$D342,'BPC Data'!$B:$B,Summary!$C342)</f>
        <v>0</v>
      </c>
      <c r="I342" s="61">
        <f ca="1">SUMIFS(OFFSET('BPC Data'!$F:$F,0,Summary!I$2),'BPC Data'!$E:$E,Summary!$D342,'BPC Data'!$B:$B,Summary!$C342)</f>
        <v>0</v>
      </c>
      <c r="J342" s="65">
        <f ca="1">SUMIFS(OFFSET('BPC Data'!$F:$F,0,Summary!J$2),'BPC Data'!$E:$E,Summary!$D342,'BPC Data'!$B:$B,Summary!$C342)</f>
        <v>0</v>
      </c>
      <c r="K342" s="61">
        <f ca="1">SUMIFS(OFFSET('BPC Data'!$F:$F,0,Summary!K$2),'BPC Data'!$E:$E,Summary!$D342,'BPC Data'!$B:$B,Summary!$C342)</f>
        <v>0</v>
      </c>
      <c r="L342" s="65">
        <f ca="1">SUMIFS(OFFSET('BPC Data'!$F:$F,0,Summary!L$2),'BPC Data'!$E:$E,Summary!$D342,'BPC Data'!$B:$B,Summary!$C342)</f>
        <v>0</v>
      </c>
      <c r="M342" s="61">
        <f ca="1">SUMIFS(OFFSET('BPC Data'!$F:$F,0,Summary!M$2),'BPC Data'!$E:$E,Summary!$D342,'BPC Data'!$B:$B,Summary!$C342)</f>
        <v>0</v>
      </c>
      <c r="N342" s="65">
        <f ca="1">SUMIFS(OFFSET('BPC Data'!$F:$F,0,Summary!N$2),'BPC Data'!$E:$E,Summary!$D342,'BPC Data'!$B:$B,Summary!$C342)</f>
        <v>0</v>
      </c>
      <c r="O342" s="61">
        <f ca="1">SUMIFS(OFFSET('BPC Data'!$F:$F,0,Summary!O$2),'BPC Data'!$E:$E,Summary!$D342,'BPC Data'!$B:$B,Summary!$C342)</f>
        <v>0</v>
      </c>
      <c r="P342" s="65">
        <f ca="1">SUMIFS(OFFSET('BPC Data'!$F:$F,0,Summary!P$2),'BPC Data'!$E:$E,Summary!$D342,'BPC Data'!$B:$B,Summary!$C342)</f>
        <v>0</v>
      </c>
      <c r="Q342" s="61">
        <f ca="1">SUMIFS(OFFSET('BPC Data'!$F:$F,0,Summary!Q$2),'BPC Data'!$E:$E,Summary!$D342,'BPC Data'!$B:$B,Summary!$C342)</f>
        <v>0</v>
      </c>
      <c r="R342" s="65">
        <f ca="1">SUMIFS(OFFSET('BPC Data'!$F:$F,0,Summary!R$2),'BPC Data'!$E:$E,Summary!$D342,'BPC Data'!$B:$B,Summary!$C342)</f>
        <v>0</v>
      </c>
      <c r="S342" s="23"/>
      <c r="T342" s="76"/>
      <c r="AJ342" s="49"/>
      <c r="AK342" s="49"/>
      <c r="AL342" s="49"/>
      <c r="AM342" s="49"/>
      <c r="AN342" s="49"/>
      <c r="AO342" s="49"/>
      <c r="AP342" s="49"/>
      <c r="AQ342" s="49"/>
      <c r="AR342" s="49"/>
      <c r="AS342" s="49"/>
      <c r="AT342" s="49"/>
      <c r="AU342" s="49"/>
    </row>
    <row r="343" spans="1:47" s="12" customFormat="1" hidden="1" outlineLevel="1">
      <c r="A343" s="12">
        <f t="shared" si="452"/>
        <v>31</v>
      </c>
      <c r="B343"/>
      <c r="C343">
        <f>$F339</f>
        <v>0</v>
      </c>
      <c r="D343" s="3" t="str">
        <f t="shared" si="453"/>
        <v>T_OPEX - Tenant Operating Expenses</v>
      </c>
      <c r="E343"/>
      <c r="F343" s="19" t="str">
        <f>_xll.EVDES(D343)</f>
        <v>Tenant Operating Expenses</v>
      </c>
      <c r="G343" s="61">
        <f ca="1">SUMIFS(OFFSET('BPC Data'!$F:$F,0,Summary!G$2),'BPC Data'!$E:$E,Summary!$D343,'BPC Data'!$B:$B,Summary!$C343)</f>
        <v>0</v>
      </c>
      <c r="H343" s="65">
        <f ca="1">SUMIFS(OFFSET('BPC Data'!$F:$F,0,Summary!H$2),'BPC Data'!$E:$E,Summary!$D343,'BPC Data'!$B:$B,Summary!$C343)</f>
        <v>0</v>
      </c>
      <c r="I343" s="61">
        <f ca="1">SUMIFS(OFFSET('BPC Data'!$F:$F,0,Summary!I$2),'BPC Data'!$E:$E,Summary!$D343,'BPC Data'!$B:$B,Summary!$C343)</f>
        <v>0</v>
      </c>
      <c r="J343" s="65">
        <f ca="1">SUMIFS(OFFSET('BPC Data'!$F:$F,0,Summary!J$2),'BPC Data'!$E:$E,Summary!$D343,'BPC Data'!$B:$B,Summary!$C343)</f>
        <v>0</v>
      </c>
      <c r="K343" s="61">
        <f ca="1">SUMIFS(OFFSET('BPC Data'!$F:$F,0,Summary!K$2),'BPC Data'!$E:$E,Summary!$D343,'BPC Data'!$B:$B,Summary!$C343)</f>
        <v>0</v>
      </c>
      <c r="L343" s="65">
        <f ca="1">SUMIFS(OFFSET('BPC Data'!$F:$F,0,Summary!L$2),'BPC Data'!$E:$E,Summary!$D343,'BPC Data'!$B:$B,Summary!$C343)</f>
        <v>0</v>
      </c>
      <c r="M343" s="61">
        <f ca="1">SUMIFS(OFFSET('BPC Data'!$F:$F,0,Summary!M$2),'BPC Data'!$E:$E,Summary!$D343,'BPC Data'!$B:$B,Summary!$C343)</f>
        <v>0</v>
      </c>
      <c r="N343" s="65">
        <f ca="1">SUMIFS(OFFSET('BPC Data'!$F:$F,0,Summary!N$2),'BPC Data'!$E:$E,Summary!$D343,'BPC Data'!$B:$B,Summary!$C343)</f>
        <v>0</v>
      </c>
      <c r="O343" s="61">
        <f ca="1">SUMIFS(OFFSET('BPC Data'!$F:$F,0,Summary!O$2),'BPC Data'!$E:$E,Summary!$D343,'BPC Data'!$B:$B,Summary!$C343)</f>
        <v>0</v>
      </c>
      <c r="P343" s="65">
        <f ca="1">SUMIFS(OFFSET('BPC Data'!$F:$F,0,Summary!P$2),'BPC Data'!$E:$E,Summary!$D343,'BPC Data'!$B:$B,Summary!$C343)</f>
        <v>0</v>
      </c>
      <c r="Q343" s="61">
        <f ca="1">SUMIFS(OFFSET('BPC Data'!$F:$F,0,Summary!Q$2),'BPC Data'!$E:$E,Summary!$D343,'BPC Data'!$B:$B,Summary!$C343)</f>
        <v>0</v>
      </c>
      <c r="R343" s="65">
        <f ca="1">SUMIFS(OFFSET('BPC Data'!$F:$F,0,Summary!R$2),'BPC Data'!$E:$E,Summary!$D343,'BPC Data'!$B:$B,Summary!$C343)</f>
        <v>0</v>
      </c>
      <c r="S343" s="23"/>
      <c r="T343" s="76"/>
      <c r="AJ343" s="49"/>
      <c r="AK343" s="49"/>
      <c r="AL343" s="49"/>
      <c r="AM343" s="49"/>
      <c r="AN343" s="49"/>
      <c r="AO343" s="49"/>
      <c r="AP343" s="49"/>
      <c r="AQ343" s="49"/>
      <c r="AR343" s="49"/>
      <c r="AS343" s="49"/>
      <c r="AT343" s="49"/>
      <c r="AU343" s="49"/>
    </row>
    <row r="344" spans="1:47" s="12" customFormat="1" hidden="1" outlineLevel="1">
      <c r="A344" s="12">
        <f t="shared" si="452"/>
        <v>31</v>
      </c>
      <c r="B344"/>
      <c r="C344">
        <f>$F339</f>
        <v>0</v>
      </c>
      <c r="D344" s="3" t="str">
        <f t="shared" si="453"/>
        <v>T_BAD_DEBT - Tenant Bad Debt Expense</v>
      </c>
      <c r="E344"/>
      <c r="F344" s="19" t="str">
        <f>_xll.EVDES(D344)</f>
        <v>Tenant Bad Debt Expense</v>
      </c>
      <c r="G344" s="61">
        <f ca="1">SUMIFS(OFFSET('BPC Data'!$F:$F,0,Summary!G$2),'BPC Data'!$E:$E,Summary!$D344,'BPC Data'!$B:$B,Summary!$C344)</f>
        <v>0</v>
      </c>
      <c r="H344" s="65">
        <f ca="1">SUMIFS(OFFSET('BPC Data'!$F:$F,0,Summary!H$2),'BPC Data'!$E:$E,Summary!$D344,'BPC Data'!$B:$B,Summary!$C344)</f>
        <v>0</v>
      </c>
      <c r="I344" s="61">
        <f ca="1">SUMIFS(OFFSET('BPC Data'!$F:$F,0,Summary!I$2),'BPC Data'!$E:$E,Summary!$D344,'BPC Data'!$B:$B,Summary!$C344)</f>
        <v>0</v>
      </c>
      <c r="J344" s="65">
        <f ca="1">SUMIFS(OFFSET('BPC Data'!$F:$F,0,Summary!J$2),'BPC Data'!$E:$E,Summary!$D344,'BPC Data'!$B:$B,Summary!$C344)</f>
        <v>0</v>
      </c>
      <c r="K344" s="61">
        <f ca="1">SUMIFS(OFFSET('BPC Data'!$F:$F,0,Summary!K$2),'BPC Data'!$E:$E,Summary!$D344,'BPC Data'!$B:$B,Summary!$C344)</f>
        <v>0</v>
      </c>
      <c r="L344" s="65">
        <f ca="1">SUMIFS(OFFSET('BPC Data'!$F:$F,0,Summary!L$2),'BPC Data'!$E:$E,Summary!$D344,'BPC Data'!$B:$B,Summary!$C344)</f>
        <v>0</v>
      </c>
      <c r="M344" s="61">
        <f ca="1">SUMIFS(OFFSET('BPC Data'!$F:$F,0,Summary!M$2),'BPC Data'!$E:$E,Summary!$D344,'BPC Data'!$B:$B,Summary!$C344)</f>
        <v>0</v>
      </c>
      <c r="N344" s="65">
        <f ca="1">SUMIFS(OFFSET('BPC Data'!$F:$F,0,Summary!N$2),'BPC Data'!$E:$E,Summary!$D344,'BPC Data'!$B:$B,Summary!$C344)</f>
        <v>0</v>
      </c>
      <c r="O344" s="61">
        <f ca="1">SUMIFS(OFFSET('BPC Data'!$F:$F,0,Summary!O$2),'BPC Data'!$E:$E,Summary!$D344,'BPC Data'!$B:$B,Summary!$C344)</f>
        <v>0</v>
      </c>
      <c r="P344" s="65">
        <f ca="1">SUMIFS(OFFSET('BPC Data'!$F:$F,0,Summary!P$2),'BPC Data'!$E:$E,Summary!$D344,'BPC Data'!$B:$B,Summary!$C344)</f>
        <v>0</v>
      </c>
      <c r="Q344" s="61">
        <f ca="1">SUMIFS(OFFSET('BPC Data'!$F:$F,0,Summary!Q$2),'BPC Data'!$E:$E,Summary!$D344,'BPC Data'!$B:$B,Summary!$C344)</f>
        <v>0</v>
      </c>
      <c r="R344" s="65">
        <f ca="1">SUMIFS(OFFSET('BPC Data'!$F:$F,0,Summary!R$2),'BPC Data'!$E:$E,Summary!$D344,'BPC Data'!$B:$B,Summary!$C344)</f>
        <v>0</v>
      </c>
      <c r="S344" s="23"/>
      <c r="T344" s="76"/>
      <c r="AJ344" s="49"/>
      <c r="AK344" s="49"/>
      <c r="AL344" s="49"/>
      <c r="AM344" s="49"/>
      <c r="AN344" s="49"/>
      <c r="AO344" s="49"/>
      <c r="AP344" s="49"/>
      <c r="AQ344" s="49"/>
      <c r="AR344" s="49"/>
      <c r="AS344" s="49"/>
      <c r="AT344" s="49"/>
      <c r="AU344" s="49"/>
    </row>
    <row r="345" spans="1:47" s="12" customFormat="1" hidden="1" outlineLevel="1">
      <c r="A345" s="12">
        <f t="shared" si="452"/>
        <v>31</v>
      </c>
      <c r="B345"/>
      <c r="C345">
        <f>$F339</f>
        <v>0</v>
      </c>
      <c r="D345" s="2" t="str">
        <f t="shared" si="453"/>
        <v>T_EBITDARM - EBITDARM</v>
      </c>
      <c r="E345"/>
      <c r="F345" s="19" t="str">
        <f>_xll.EVDES(D345)</f>
        <v>EBITDARM</v>
      </c>
      <c r="G345" s="61">
        <f ca="1">SUMIFS(OFFSET('BPC Data'!$F:$F,0,Summary!G$2),'BPC Data'!$E:$E,Summary!$D345,'BPC Data'!$B:$B,Summary!$C345)</f>
        <v>0</v>
      </c>
      <c r="H345" s="65">
        <f ca="1">SUMIFS(OFFSET('BPC Data'!$F:$F,0,Summary!H$2),'BPC Data'!$E:$E,Summary!$D345,'BPC Data'!$B:$B,Summary!$C345)</f>
        <v>0</v>
      </c>
      <c r="I345" s="61">
        <f ca="1">SUMIFS(OFFSET('BPC Data'!$F:$F,0,Summary!I$2),'BPC Data'!$E:$E,Summary!$D345,'BPC Data'!$B:$B,Summary!$C345)</f>
        <v>0</v>
      </c>
      <c r="J345" s="65">
        <f ca="1">SUMIFS(OFFSET('BPC Data'!$F:$F,0,Summary!J$2),'BPC Data'!$E:$E,Summary!$D345,'BPC Data'!$B:$B,Summary!$C345)</f>
        <v>0</v>
      </c>
      <c r="K345" s="61">
        <f ca="1">SUMIFS(OFFSET('BPC Data'!$F:$F,0,Summary!K$2),'BPC Data'!$E:$E,Summary!$D345,'BPC Data'!$B:$B,Summary!$C345)</f>
        <v>0</v>
      </c>
      <c r="L345" s="65">
        <f ca="1">SUMIFS(OFFSET('BPC Data'!$F:$F,0,Summary!L$2),'BPC Data'!$E:$E,Summary!$D345,'BPC Data'!$B:$B,Summary!$C345)</f>
        <v>0</v>
      </c>
      <c r="M345" s="61">
        <f ca="1">SUMIFS(OFFSET('BPC Data'!$F:$F,0,Summary!M$2),'BPC Data'!$E:$E,Summary!$D345,'BPC Data'!$B:$B,Summary!$C345)</f>
        <v>0</v>
      </c>
      <c r="N345" s="65">
        <f ca="1">SUMIFS(OFFSET('BPC Data'!$F:$F,0,Summary!N$2),'BPC Data'!$E:$E,Summary!$D345,'BPC Data'!$B:$B,Summary!$C345)</f>
        <v>0</v>
      </c>
      <c r="O345" s="61">
        <f ca="1">SUMIFS(OFFSET('BPC Data'!$F:$F,0,Summary!O$2),'BPC Data'!$E:$E,Summary!$D345,'BPC Data'!$B:$B,Summary!$C345)</f>
        <v>0</v>
      </c>
      <c r="P345" s="65">
        <f ca="1">SUMIFS(OFFSET('BPC Data'!$F:$F,0,Summary!P$2),'BPC Data'!$E:$E,Summary!$D345,'BPC Data'!$B:$B,Summary!$C345)</f>
        <v>0</v>
      </c>
      <c r="Q345" s="61">
        <f ca="1">SUMIFS(OFFSET('BPC Data'!$F:$F,0,Summary!Q$2),'BPC Data'!$E:$E,Summary!$D345,'BPC Data'!$B:$B,Summary!$C345)</f>
        <v>0</v>
      </c>
      <c r="R345" s="65">
        <f ca="1">SUMIFS(OFFSET('BPC Data'!$F:$F,0,Summary!R$2),'BPC Data'!$E:$E,Summary!$D345,'BPC Data'!$B:$B,Summary!$C345)</f>
        <v>0</v>
      </c>
      <c r="S345" s="23"/>
      <c r="T345" s="76"/>
      <c r="AJ345" s="49"/>
      <c r="AK345" s="49"/>
      <c r="AL345" s="49"/>
      <c r="AM345" s="49"/>
      <c r="AN345" s="49"/>
      <c r="AO345" s="49"/>
      <c r="AP345" s="49"/>
      <c r="AQ345" s="49"/>
      <c r="AR345" s="49"/>
      <c r="AS345" s="49"/>
      <c r="AT345" s="49"/>
      <c r="AU345" s="49"/>
    </row>
    <row r="346" spans="1:47" s="12" customFormat="1" hidden="1" outlineLevel="1">
      <c r="A346" s="12">
        <f t="shared" si="452"/>
        <v>31</v>
      </c>
      <c r="B346"/>
      <c r="C346">
        <f>$F339</f>
        <v>0</v>
      </c>
      <c r="D346" s="2" t="str">
        <f t="shared" si="453"/>
        <v>T_MGMT_FEE - Tenant Management Fee - Actual</v>
      </c>
      <c r="E346"/>
      <c r="F346" s="19" t="str">
        <f>_xll.EVDES(D346)</f>
        <v>Tenant Management Fee - Actual</v>
      </c>
      <c r="G346" s="61">
        <f ca="1">SUMIFS(OFFSET('BPC Data'!$F:$F,0,Summary!G$2),'BPC Data'!$E:$E,Summary!$D346,'BPC Data'!$B:$B,Summary!$C346)</f>
        <v>0</v>
      </c>
      <c r="H346" s="65">
        <f ca="1">SUMIFS(OFFSET('BPC Data'!$F:$F,0,Summary!H$2),'BPC Data'!$E:$E,Summary!$D346,'BPC Data'!$B:$B,Summary!$C346)</f>
        <v>0</v>
      </c>
      <c r="I346" s="61">
        <f ca="1">SUMIFS(OFFSET('BPC Data'!$F:$F,0,Summary!I$2),'BPC Data'!$E:$E,Summary!$D346,'BPC Data'!$B:$B,Summary!$C346)</f>
        <v>0</v>
      </c>
      <c r="J346" s="65">
        <f ca="1">SUMIFS(OFFSET('BPC Data'!$F:$F,0,Summary!J$2),'BPC Data'!$E:$E,Summary!$D346,'BPC Data'!$B:$B,Summary!$C346)</f>
        <v>0</v>
      </c>
      <c r="K346" s="61">
        <f ca="1">SUMIFS(OFFSET('BPC Data'!$F:$F,0,Summary!K$2),'BPC Data'!$E:$E,Summary!$D346,'BPC Data'!$B:$B,Summary!$C346)</f>
        <v>0</v>
      </c>
      <c r="L346" s="65">
        <f ca="1">SUMIFS(OFFSET('BPC Data'!$F:$F,0,Summary!L$2),'BPC Data'!$E:$E,Summary!$D346,'BPC Data'!$B:$B,Summary!$C346)</f>
        <v>0</v>
      </c>
      <c r="M346" s="61">
        <f ca="1">SUMIFS(OFFSET('BPC Data'!$F:$F,0,Summary!M$2),'BPC Data'!$E:$E,Summary!$D346,'BPC Data'!$B:$B,Summary!$C346)</f>
        <v>0</v>
      </c>
      <c r="N346" s="65">
        <f ca="1">SUMIFS(OFFSET('BPC Data'!$F:$F,0,Summary!N$2),'BPC Data'!$E:$E,Summary!$D346,'BPC Data'!$B:$B,Summary!$C346)</f>
        <v>0</v>
      </c>
      <c r="O346" s="61">
        <f ca="1">SUMIFS(OFFSET('BPC Data'!$F:$F,0,Summary!O$2),'BPC Data'!$E:$E,Summary!$D346,'BPC Data'!$B:$B,Summary!$C346)</f>
        <v>0</v>
      </c>
      <c r="P346" s="65">
        <f ca="1">SUMIFS(OFFSET('BPC Data'!$F:$F,0,Summary!P$2),'BPC Data'!$E:$E,Summary!$D346,'BPC Data'!$B:$B,Summary!$C346)</f>
        <v>0</v>
      </c>
      <c r="Q346" s="61">
        <f ca="1">SUMIFS(OFFSET('BPC Data'!$F:$F,0,Summary!Q$2),'BPC Data'!$E:$E,Summary!$D346,'BPC Data'!$B:$B,Summary!$C346)</f>
        <v>0</v>
      </c>
      <c r="R346" s="65">
        <f ca="1">SUMIFS(OFFSET('BPC Data'!$F:$F,0,Summary!R$2),'BPC Data'!$E:$E,Summary!$D346,'BPC Data'!$B:$B,Summary!$C346)</f>
        <v>0</v>
      </c>
      <c r="S346" s="23"/>
      <c r="T346" s="76"/>
      <c r="AJ346" s="49"/>
      <c r="AK346" s="49"/>
      <c r="AL346" s="49"/>
      <c r="AM346" s="49"/>
      <c r="AN346" s="49"/>
      <c r="AO346" s="49"/>
      <c r="AP346" s="49"/>
      <c r="AQ346" s="49"/>
      <c r="AR346" s="49"/>
      <c r="AS346" s="49"/>
      <c r="AT346" s="49"/>
      <c r="AU346" s="49"/>
    </row>
    <row r="347" spans="1:47" s="12" customFormat="1" hidden="1" outlineLevel="1">
      <c r="A347" s="12">
        <f t="shared" si="452"/>
        <v>31</v>
      </c>
      <c r="B347"/>
      <c r="C347">
        <f>$F339</f>
        <v>0</v>
      </c>
      <c r="D347" s="1" t="str">
        <f t="shared" si="453"/>
        <v>T_EBITDAR - EBITDAR</v>
      </c>
      <c r="E347"/>
      <c r="F347" s="19" t="str">
        <f>_xll.EVDES(D347)</f>
        <v>EBITDAR</v>
      </c>
      <c r="G347" s="61">
        <f ca="1">SUMIFS(OFFSET('BPC Data'!$F:$F,0,Summary!G$2),'BPC Data'!$E:$E,Summary!$D347,'BPC Data'!$B:$B,Summary!$C347)</f>
        <v>0</v>
      </c>
      <c r="H347" s="65">
        <f ca="1">SUMIFS(OFFSET('BPC Data'!$F:$F,0,Summary!H$2),'BPC Data'!$E:$E,Summary!$D347,'BPC Data'!$B:$B,Summary!$C347)</f>
        <v>0</v>
      </c>
      <c r="I347" s="61">
        <f ca="1">SUMIFS(OFFSET('BPC Data'!$F:$F,0,Summary!I$2),'BPC Data'!$E:$E,Summary!$D347,'BPC Data'!$B:$B,Summary!$C347)</f>
        <v>0</v>
      </c>
      <c r="J347" s="65">
        <f ca="1">SUMIFS(OFFSET('BPC Data'!$F:$F,0,Summary!J$2),'BPC Data'!$E:$E,Summary!$D347,'BPC Data'!$B:$B,Summary!$C347)</f>
        <v>0</v>
      </c>
      <c r="K347" s="61">
        <f ca="1">SUMIFS(OFFSET('BPC Data'!$F:$F,0,Summary!K$2),'BPC Data'!$E:$E,Summary!$D347,'BPC Data'!$B:$B,Summary!$C347)</f>
        <v>0</v>
      </c>
      <c r="L347" s="65">
        <f ca="1">SUMIFS(OFFSET('BPC Data'!$F:$F,0,Summary!L$2),'BPC Data'!$E:$E,Summary!$D347,'BPC Data'!$B:$B,Summary!$C347)</f>
        <v>0</v>
      </c>
      <c r="M347" s="61">
        <f ca="1">SUMIFS(OFFSET('BPC Data'!$F:$F,0,Summary!M$2),'BPC Data'!$E:$E,Summary!$D347,'BPC Data'!$B:$B,Summary!$C347)</f>
        <v>0</v>
      </c>
      <c r="N347" s="65">
        <f ca="1">SUMIFS(OFFSET('BPC Data'!$F:$F,0,Summary!N$2),'BPC Data'!$E:$E,Summary!$D347,'BPC Data'!$B:$B,Summary!$C347)</f>
        <v>0</v>
      </c>
      <c r="O347" s="61">
        <f ca="1">SUMIFS(OFFSET('BPC Data'!$F:$F,0,Summary!O$2),'BPC Data'!$E:$E,Summary!$D347,'BPC Data'!$B:$B,Summary!$C347)</f>
        <v>0</v>
      </c>
      <c r="P347" s="65">
        <f ca="1">SUMIFS(OFFSET('BPC Data'!$F:$F,0,Summary!P$2),'BPC Data'!$E:$E,Summary!$D347,'BPC Data'!$B:$B,Summary!$C347)</f>
        <v>0</v>
      </c>
      <c r="Q347" s="61">
        <f ca="1">SUMIFS(OFFSET('BPC Data'!$F:$F,0,Summary!Q$2),'BPC Data'!$E:$E,Summary!$D347,'BPC Data'!$B:$B,Summary!$C347)</f>
        <v>0</v>
      </c>
      <c r="R347" s="65">
        <f ca="1">SUMIFS(OFFSET('BPC Data'!$F:$F,0,Summary!R$2),'BPC Data'!$E:$E,Summary!$D347,'BPC Data'!$B:$B,Summary!$C347)</f>
        <v>0</v>
      </c>
      <c r="S347" s="23"/>
      <c r="T347" s="76"/>
      <c r="AJ347" s="49"/>
      <c r="AK347" s="49"/>
      <c r="AL347" s="49"/>
      <c r="AM347" s="49"/>
      <c r="AN347" s="49"/>
      <c r="AO347" s="49"/>
      <c r="AP347" s="49"/>
      <c r="AQ347" s="49"/>
      <c r="AR347" s="49"/>
      <c r="AS347" s="49"/>
      <c r="AT347" s="49"/>
      <c r="AU347" s="49"/>
    </row>
    <row r="348" spans="1:47" s="12" customFormat="1" hidden="1" outlineLevel="1">
      <c r="A348" s="12">
        <f t="shared" si="452"/>
        <v>31</v>
      </c>
      <c r="B348"/>
      <c r="C348">
        <f>$F339</f>
        <v>0</v>
      </c>
      <c r="D348" s="1" t="str">
        <f t="shared" si="453"/>
        <v>T_RENT_EXP - Tenant Rent Expense</v>
      </c>
      <c r="E348"/>
      <c r="F348" s="19" t="str">
        <f>_xll.EVDES(D348)</f>
        <v>Tenant Rent Expense</v>
      </c>
      <c r="G348" s="61">
        <f ca="1">SUMIFS(OFFSET('BPC Data'!$F:$F,0,Summary!G$2),'BPC Data'!$E:$E,Summary!$D348,'BPC Data'!$B:$B,Summary!$C348)</f>
        <v>0</v>
      </c>
      <c r="H348" s="65">
        <f ca="1">SUMIFS(OFFSET('BPC Data'!$F:$F,0,Summary!H$2),'BPC Data'!$E:$E,Summary!$D348,'BPC Data'!$B:$B,Summary!$C348)</f>
        <v>0</v>
      </c>
      <c r="I348" s="61">
        <f ca="1">SUMIFS(OFFSET('BPC Data'!$F:$F,0,Summary!I$2),'BPC Data'!$E:$E,Summary!$D348,'BPC Data'!$B:$B,Summary!$C348)</f>
        <v>0</v>
      </c>
      <c r="J348" s="65">
        <f ca="1">SUMIFS(OFFSET('BPC Data'!$F:$F,0,Summary!J$2),'BPC Data'!$E:$E,Summary!$D348,'BPC Data'!$B:$B,Summary!$C348)</f>
        <v>0</v>
      </c>
      <c r="K348" s="61">
        <f ca="1">SUMIFS(OFFSET('BPC Data'!$F:$F,0,Summary!K$2),'BPC Data'!$E:$E,Summary!$D348,'BPC Data'!$B:$B,Summary!$C348)</f>
        <v>0</v>
      </c>
      <c r="L348" s="65">
        <f ca="1">SUMIFS(OFFSET('BPC Data'!$F:$F,0,Summary!L$2),'BPC Data'!$E:$E,Summary!$D348,'BPC Data'!$B:$B,Summary!$C348)</f>
        <v>0</v>
      </c>
      <c r="M348" s="61">
        <f ca="1">SUMIFS(OFFSET('BPC Data'!$F:$F,0,Summary!M$2),'BPC Data'!$E:$E,Summary!$D348,'BPC Data'!$B:$B,Summary!$C348)</f>
        <v>0</v>
      </c>
      <c r="N348" s="65">
        <f ca="1">SUMIFS(OFFSET('BPC Data'!$F:$F,0,Summary!N$2),'BPC Data'!$E:$E,Summary!$D348,'BPC Data'!$B:$B,Summary!$C348)</f>
        <v>0</v>
      </c>
      <c r="O348" s="61">
        <f ca="1">SUMIFS(OFFSET('BPC Data'!$F:$F,0,Summary!O$2),'BPC Data'!$E:$E,Summary!$D348,'BPC Data'!$B:$B,Summary!$C348)</f>
        <v>0</v>
      </c>
      <c r="P348" s="65">
        <f ca="1">SUMIFS(OFFSET('BPC Data'!$F:$F,0,Summary!P$2),'BPC Data'!$E:$E,Summary!$D348,'BPC Data'!$B:$B,Summary!$C348)</f>
        <v>0</v>
      </c>
      <c r="Q348" s="61">
        <f ca="1">SUMIFS(OFFSET('BPC Data'!$F:$F,0,Summary!Q$2),'BPC Data'!$E:$E,Summary!$D348,'BPC Data'!$B:$B,Summary!$C348)</f>
        <v>0</v>
      </c>
      <c r="R348" s="65">
        <f ca="1">SUMIFS(OFFSET('BPC Data'!$F:$F,0,Summary!R$2),'BPC Data'!$E:$E,Summary!$D348,'BPC Data'!$B:$B,Summary!$C348)</f>
        <v>0</v>
      </c>
      <c r="S348" s="23"/>
      <c r="T348" s="76"/>
      <c r="AJ348" s="49"/>
      <c r="AK348" s="49"/>
      <c r="AL348" s="49"/>
      <c r="AM348" s="49"/>
      <c r="AN348" s="49"/>
      <c r="AO348" s="49"/>
      <c r="AP348" s="49"/>
      <c r="AQ348" s="49"/>
      <c r="AR348" s="49"/>
      <c r="AS348" s="49"/>
      <c r="AT348" s="49"/>
      <c r="AU348" s="49"/>
    </row>
    <row r="349" spans="1:47" s="12" customFormat="1" hidden="1" outlineLevel="1">
      <c r="A349" s="12">
        <f t="shared" si="452"/>
        <v>31</v>
      </c>
      <c r="B349"/>
      <c r="C349"/>
      <c r="D349" s="1" t="str">
        <f t="shared" si="453"/>
        <v>x</v>
      </c>
      <c r="E349"/>
      <c r="F349" s="19" t="s">
        <v>0</v>
      </c>
      <c r="G349" s="61">
        <f ca="1">SUMIFS(OFFSET('BPC Data'!$F:$F,0,Summary!G$2),'BPC Data'!$E:$E,Summary!$D349,'BPC Data'!$B:$B,Summary!$C349)</f>
        <v>0</v>
      </c>
      <c r="H349" s="65">
        <f ca="1">SUMIFS(OFFSET('BPC Data'!$F:$F,0,Summary!H$2),'BPC Data'!$E:$E,Summary!$D349,'BPC Data'!$B:$B,Summary!$C349)</f>
        <v>0</v>
      </c>
      <c r="I349" s="61">
        <f ca="1">SUMIFS(OFFSET('BPC Data'!$F:$F,0,Summary!I$2),'BPC Data'!$E:$E,Summary!$D349,'BPC Data'!$B:$B,Summary!$C349)</f>
        <v>0</v>
      </c>
      <c r="J349" s="65">
        <f ca="1">SUMIFS(OFFSET('BPC Data'!$F:$F,0,Summary!J$2),'BPC Data'!$E:$E,Summary!$D349,'BPC Data'!$B:$B,Summary!$C349)</f>
        <v>0</v>
      </c>
      <c r="K349" s="61">
        <f ca="1">SUMIFS(OFFSET('BPC Data'!$F:$F,0,Summary!K$2),'BPC Data'!$E:$E,Summary!$D349,'BPC Data'!$B:$B,Summary!$C349)</f>
        <v>0</v>
      </c>
      <c r="L349" s="65">
        <f ca="1">SUMIFS(OFFSET('BPC Data'!$F:$F,0,Summary!L$2),'BPC Data'!$E:$E,Summary!$D349,'BPC Data'!$B:$B,Summary!$C349)</f>
        <v>0</v>
      </c>
      <c r="M349" s="61">
        <f ca="1">SUMIFS(OFFSET('BPC Data'!$F:$F,0,Summary!M$2),'BPC Data'!$E:$E,Summary!$D349,'BPC Data'!$B:$B,Summary!$C349)</f>
        <v>0</v>
      </c>
      <c r="N349" s="65">
        <f ca="1">SUMIFS(OFFSET('BPC Data'!$F:$F,0,Summary!N$2),'BPC Data'!$E:$E,Summary!$D349,'BPC Data'!$B:$B,Summary!$C349)</f>
        <v>0</v>
      </c>
      <c r="O349" s="61">
        <f ca="1">SUMIFS(OFFSET('BPC Data'!$F:$F,0,Summary!O$2),'BPC Data'!$E:$E,Summary!$D349,'BPC Data'!$B:$B,Summary!$C349)</f>
        <v>0</v>
      </c>
      <c r="P349" s="65">
        <f ca="1">SUMIFS(OFFSET('BPC Data'!$F:$F,0,Summary!P$2),'BPC Data'!$E:$E,Summary!$D349,'BPC Data'!$B:$B,Summary!$C349)</f>
        <v>0</v>
      </c>
      <c r="Q349" s="61">
        <f ca="1">SUMIFS(OFFSET('BPC Data'!$F:$F,0,Summary!Q$2),'BPC Data'!$E:$E,Summary!$D349,'BPC Data'!$B:$B,Summary!$C349)</f>
        <v>0</v>
      </c>
      <c r="R349" s="65">
        <f ca="1">SUMIFS(OFFSET('BPC Data'!$F:$F,0,Summary!R$2),'BPC Data'!$E:$E,Summary!$D349,'BPC Data'!$B:$B,Summary!$C349)</f>
        <v>0</v>
      </c>
      <c r="S349" s="23"/>
      <c r="T349" s="76"/>
      <c r="AJ349" s="49"/>
      <c r="AK349" s="49"/>
      <c r="AL349" s="49"/>
      <c r="AM349" s="49"/>
      <c r="AN349" s="49"/>
      <c r="AO349" s="49"/>
      <c r="AP349" s="49"/>
      <c r="AQ349" s="49"/>
      <c r="AR349" s="49"/>
      <c r="AS349" s="49"/>
      <c r="AT349" s="49"/>
      <c r="AU349" s="49"/>
    </row>
    <row r="350" spans="1:47" s="12" customFormat="1" hidden="1" outlineLevel="1">
      <c r="A350" s="12">
        <f>IF(AND(D350&lt;&gt;"",C350=""),A349+1,A349)</f>
        <v>32</v>
      </c>
      <c r="B350" s="5"/>
      <c r="C350" s="5"/>
      <c r="D350" s="5" t="str">
        <f t="shared" si="453"/>
        <v>x</v>
      </c>
      <c r="E350" s="5"/>
      <c r="F350" s="18">
        <f>INDEX(PropertyList!$D:$D,MATCH(Summary!$A350,PropertyList!$C:$C,0))</f>
        <v>0</v>
      </c>
      <c r="G350" s="61">
        <f ca="1">SUMIFS(OFFSET('BPC Data'!$F:$F,0,Summary!G$2),'BPC Data'!$E:$E,Summary!$D350,'BPC Data'!$B:$B,Summary!$C350)</f>
        <v>0</v>
      </c>
      <c r="H350" s="65">
        <f ca="1">SUMIFS(OFFSET('BPC Data'!$F:$F,0,Summary!H$2),'BPC Data'!$E:$E,Summary!$D350,'BPC Data'!$B:$B,Summary!$C350)</f>
        <v>0</v>
      </c>
      <c r="I350" s="61">
        <f ca="1">SUMIFS(OFFSET('BPC Data'!$F:$F,0,Summary!I$2),'BPC Data'!$E:$E,Summary!$D350,'BPC Data'!$B:$B,Summary!$C350)</f>
        <v>0</v>
      </c>
      <c r="J350" s="65">
        <f ca="1">SUMIFS(OFFSET('BPC Data'!$F:$F,0,Summary!J$2),'BPC Data'!$E:$E,Summary!$D350,'BPC Data'!$B:$B,Summary!$C350)</f>
        <v>0</v>
      </c>
      <c r="K350" s="61">
        <f ca="1">SUMIFS(OFFSET('BPC Data'!$F:$F,0,Summary!K$2),'BPC Data'!$E:$E,Summary!$D350,'BPC Data'!$B:$B,Summary!$C350)</f>
        <v>0</v>
      </c>
      <c r="L350" s="65">
        <f ca="1">SUMIFS(OFFSET('BPC Data'!$F:$F,0,Summary!L$2),'BPC Data'!$E:$E,Summary!$D350,'BPC Data'!$B:$B,Summary!$C350)</f>
        <v>0</v>
      </c>
      <c r="M350" s="61">
        <f ca="1">SUMIFS(OFFSET('BPC Data'!$F:$F,0,Summary!M$2),'BPC Data'!$E:$E,Summary!$D350,'BPC Data'!$B:$B,Summary!$C350)</f>
        <v>0</v>
      </c>
      <c r="N350" s="65">
        <f ca="1">SUMIFS(OFFSET('BPC Data'!$F:$F,0,Summary!N$2),'BPC Data'!$E:$E,Summary!$D350,'BPC Data'!$B:$B,Summary!$C350)</f>
        <v>0</v>
      </c>
      <c r="O350" s="61">
        <f ca="1">SUMIFS(OFFSET('BPC Data'!$F:$F,0,Summary!O$2),'BPC Data'!$E:$E,Summary!$D350,'BPC Data'!$B:$B,Summary!$C350)</f>
        <v>0</v>
      </c>
      <c r="P350" s="65">
        <f ca="1">SUMIFS(OFFSET('BPC Data'!$F:$F,0,Summary!P$2),'BPC Data'!$E:$E,Summary!$D350,'BPC Data'!$B:$B,Summary!$C350)</f>
        <v>0</v>
      </c>
      <c r="Q350" s="61">
        <f ca="1">SUMIFS(OFFSET('BPC Data'!$F:$F,0,Summary!Q$2),'BPC Data'!$E:$E,Summary!$D350,'BPC Data'!$B:$B,Summary!$C350)</f>
        <v>0</v>
      </c>
      <c r="R350" s="65">
        <f ca="1">SUMIFS(OFFSET('BPC Data'!$F:$F,0,Summary!R$2),'BPC Data'!$E:$E,Summary!$D350,'BPC Data'!$B:$B,Summary!$C350)</f>
        <v>0</v>
      </c>
      <c r="S350" s="23"/>
      <c r="T350" s="76"/>
      <c r="AJ350" s="49"/>
      <c r="AK350" s="49"/>
      <c r="AL350" s="49"/>
      <c r="AM350" s="49"/>
      <c r="AN350" s="49"/>
      <c r="AO350" s="49"/>
      <c r="AP350" s="49"/>
      <c r="AQ350" s="49"/>
      <c r="AR350" s="49"/>
      <c r="AS350" s="49"/>
      <c r="AT350" s="49"/>
      <c r="AU350" s="49"/>
    </row>
    <row r="351" spans="1:47" s="12" customFormat="1" hidden="1" outlineLevel="1">
      <c r="A351" s="12">
        <f>IF(AND(F351&lt;&gt;"",D351=""),A350+1,A350)</f>
        <v>32</v>
      </c>
      <c r="C351">
        <f>$F350</f>
        <v>0</v>
      </c>
      <c r="D351" s="3" t="str">
        <f t="shared" si="453"/>
        <v>PAY_PAT_DAYS - Total Payor Patient Days</v>
      </c>
      <c r="F351" s="19" t="str">
        <f>_xll.EVDES(D351)</f>
        <v>Total Payor Patient Days</v>
      </c>
      <c r="G351" s="61">
        <f ca="1">SUMIFS(OFFSET('BPC Data'!$F:$F,0,Summary!G$2),'BPC Data'!$E:$E,Summary!$D351,'BPC Data'!$B:$B,Summary!$C351)</f>
        <v>0</v>
      </c>
      <c r="H351" s="65">
        <f ca="1">SUMIFS(OFFSET('BPC Data'!$F:$F,0,Summary!H$2),'BPC Data'!$E:$E,Summary!$D351,'BPC Data'!$B:$B,Summary!$C351)</f>
        <v>0</v>
      </c>
      <c r="I351" s="61">
        <f ca="1">SUMIFS(OFFSET('BPC Data'!$F:$F,0,Summary!I$2),'BPC Data'!$E:$E,Summary!$D351,'BPC Data'!$B:$B,Summary!$C351)</f>
        <v>0</v>
      </c>
      <c r="J351" s="65">
        <f ca="1">SUMIFS(OFFSET('BPC Data'!$F:$F,0,Summary!J$2),'BPC Data'!$E:$E,Summary!$D351,'BPC Data'!$B:$B,Summary!$C351)</f>
        <v>0</v>
      </c>
      <c r="K351" s="61">
        <f ca="1">SUMIFS(OFFSET('BPC Data'!$F:$F,0,Summary!K$2),'BPC Data'!$E:$E,Summary!$D351,'BPC Data'!$B:$B,Summary!$C351)</f>
        <v>0</v>
      </c>
      <c r="L351" s="65">
        <f ca="1">SUMIFS(OFFSET('BPC Data'!$F:$F,0,Summary!L$2),'BPC Data'!$E:$E,Summary!$D351,'BPC Data'!$B:$B,Summary!$C351)</f>
        <v>0</v>
      </c>
      <c r="M351" s="61">
        <f ca="1">SUMIFS(OFFSET('BPC Data'!$F:$F,0,Summary!M$2),'BPC Data'!$E:$E,Summary!$D351,'BPC Data'!$B:$B,Summary!$C351)</f>
        <v>0</v>
      </c>
      <c r="N351" s="65">
        <f ca="1">SUMIFS(OFFSET('BPC Data'!$F:$F,0,Summary!N$2),'BPC Data'!$E:$E,Summary!$D351,'BPC Data'!$B:$B,Summary!$C351)</f>
        <v>0</v>
      </c>
      <c r="O351" s="61">
        <f ca="1">SUMIFS(OFFSET('BPC Data'!$F:$F,0,Summary!O$2),'BPC Data'!$E:$E,Summary!$D351,'BPC Data'!$B:$B,Summary!$C351)</f>
        <v>0</v>
      </c>
      <c r="P351" s="65">
        <f ca="1">SUMIFS(OFFSET('BPC Data'!$F:$F,0,Summary!P$2),'BPC Data'!$E:$E,Summary!$D351,'BPC Data'!$B:$B,Summary!$C351)</f>
        <v>0</v>
      </c>
      <c r="Q351" s="61">
        <f ca="1">SUMIFS(OFFSET('BPC Data'!$F:$F,0,Summary!Q$2),'BPC Data'!$E:$E,Summary!$D351,'BPC Data'!$B:$B,Summary!$C351)</f>
        <v>0</v>
      </c>
      <c r="R351" s="65">
        <f ca="1">SUMIFS(OFFSET('BPC Data'!$F:$F,0,Summary!R$2),'BPC Data'!$E:$E,Summary!$D351,'BPC Data'!$B:$B,Summary!$C351)</f>
        <v>0</v>
      </c>
      <c r="S351" s="23"/>
      <c r="T351" s="76"/>
      <c r="AJ351" s="49"/>
      <c r="AK351" s="49"/>
      <c r="AL351" s="49"/>
      <c r="AM351" s="49"/>
      <c r="AN351" s="49"/>
      <c r="AO351" s="49"/>
      <c r="AP351" s="49"/>
      <c r="AQ351" s="49"/>
      <c r="AR351" s="49"/>
      <c r="AS351" s="49"/>
      <c r="AT351" s="49"/>
      <c r="AU351" s="49"/>
    </row>
    <row r="352" spans="1:47" s="12" customFormat="1" hidden="1" outlineLevel="1">
      <c r="A352" s="12">
        <f t="shared" ref="A352:A360" si="454">IF(AND(F352&lt;&gt;"",D352=""),A351+1,A351)</f>
        <v>32</v>
      </c>
      <c r="C352">
        <f>$F350</f>
        <v>0</v>
      </c>
      <c r="D352" s="3" t="str">
        <f t="shared" si="453"/>
        <v>A_BEDS_TOTAL - Total Available Beds</v>
      </c>
      <c r="F352" s="19" t="str">
        <f>_xll.EVDES(D352)</f>
        <v>Total Available Beds</v>
      </c>
      <c r="G352" s="61">
        <f ca="1">SUMIFS(OFFSET('BPC Data'!$F:$F,0,Summary!G$2),'BPC Data'!$E:$E,Summary!$D352,'BPC Data'!$B:$B,Summary!$C352)</f>
        <v>0</v>
      </c>
      <c r="H352" s="65">
        <f ca="1">SUMIFS(OFFSET('BPC Data'!$F:$F,0,Summary!H$2),'BPC Data'!$E:$E,Summary!$D352,'BPC Data'!$B:$B,Summary!$C352)</f>
        <v>0</v>
      </c>
      <c r="I352" s="61">
        <f ca="1">SUMIFS(OFFSET('BPC Data'!$F:$F,0,Summary!I$2),'BPC Data'!$E:$E,Summary!$D352,'BPC Data'!$B:$B,Summary!$C352)</f>
        <v>0</v>
      </c>
      <c r="J352" s="65">
        <f ca="1">SUMIFS(OFFSET('BPC Data'!$F:$F,0,Summary!J$2),'BPC Data'!$E:$E,Summary!$D352,'BPC Data'!$B:$B,Summary!$C352)</f>
        <v>0</v>
      </c>
      <c r="K352" s="61">
        <f ca="1">SUMIFS(OFFSET('BPC Data'!$F:$F,0,Summary!K$2),'BPC Data'!$E:$E,Summary!$D352,'BPC Data'!$B:$B,Summary!$C352)</f>
        <v>0</v>
      </c>
      <c r="L352" s="65">
        <f ca="1">SUMIFS(OFFSET('BPC Data'!$F:$F,0,Summary!L$2),'BPC Data'!$E:$E,Summary!$D352,'BPC Data'!$B:$B,Summary!$C352)</f>
        <v>0</v>
      </c>
      <c r="M352" s="61">
        <f ca="1">SUMIFS(OFFSET('BPC Data'!$F:$F,0,Summary!M$2),'BPC Data'!$E:$E,Summary!$D352,'BPC Data'!$B:$B,Summary!$C352)</f>
        <v>0</v>
      </c>
      <c r="N352" s="65">
        <f ca="1">SUMIFS(OFFSET('BPC Data'!$F:$F,0,Summary!N$2),'BPC Data'!$E:$E,Summary!$D352,'BPC Data'!$B:$B,Summary!$C352)</f>
        <v>0</v>
      </c>
      <c r="O352" s="61">
        <f ca="1">SUMIFS(OFFSET('BPC Data'!$F:$F,0,Summary!O$2),'BPC Data'!$E:$E,Summary!$D352,'BPC Data'!$B:$B,Summary!$C352)</f>
        <v>0</v>
      </c>
      <c r="P352" s="65">
        <f ca="1">SUMIFS(OFFSET('BPC Data'!$F:$F,0,Summary!P$2),'BPC Data'!$E:$E,Summary!$D352,'BPC Data'!$B:$B,Summary!$C352)</f>
        <v>0</v>
      </c>
      <c r="Q352" s="61">
        <f ca="1">SUMIFS(OFFSET('BPC Data'!$F:$F,0,Summary!Q$2),'BPC Data'!$E:$E,Summary!$D352,'BPC Data'!$B:$B,Summary!$C352)</f>
        <v>0</v>
      </c>
      <c r="R352" s="65">
        <f ca="1">SUMIFS(OFFSET('BPC Data'!$F:$F,0,Summary!R$2),'BPC Data'!$E:$E,Summary!$D352,'BPC Data'!$B:$B,Summary!$C352)</f>
        <v>0</v>
      </c>
      <c r="S352" s="23"/>
      <c r="T352" s="76"/>
      <c r="AJ352" s="49"/>
      <c r="AK352" s="49"/>
      <c r="AL352" s="49"/>
      <c r="AM352" s="49"/>
      <c r="AN352" s="49"/>
      <c r="AO352" s="49"/>
      <c r="AP352" s="49"/>
      <c r="AQ352" s="49"/>
      <c r="AR352" s="49"/>
      <c r="AS352" s="49"/>
      <c r="AT352" s="49"/>
      <c r="AU352" s="49"/>
    </row>
    <row r="353" spans="1:47" s="12" customFormat="1" hidden="1" outlineLevel="1">
      <c r="A353" s="12">
        <f t="shared" si="454"/>
        <v>32</v>
      </c>
      <c r="B353"/>
      <c r="C353">
        <f>$F350</f>
        <v>0</v>
      </c>
      <c r="D353" s="3" t="str">
        <f t="shared" si="453"/>
        <v>T_REVENUES - Total Tenant Revenues</v>
      </c>
      <c r="E353"/>
      <c r="F353" s="19" t="str">
        <f>_xll.EVDES(D353)</f>
        <v>Total Tenant Revenues</v>
      </c>
      <c r="G353" s="61">
        <f ca="1">SUMIFS(OFFSET('BPC Data'!$F:$F,0,Summary!G$2),'BPC Data'!$E:$E,Summary!$D353,'BPC Data'!$B:$B,Summary!$C353)</f>
        <v>0</v>
      </c>
      <c r="H353" s="65">
        <f ca="1">SUMIFS(OFFSET('BPC Data'!$F:$F,0,Summary!H$2),'BPC Data'!$E:$E,Summary!$D353,'BPC Data'!$B:$B,Summary!$C353)</f>
        <v>0</v>
      </c>
      <c r="I353" s="61">
        <f ca="1">SUMIFS(OFFSET('BPC Data'!$F:$F,0,Summary!I$2),'BPC Data'!$E:$E,Summary!$D353,'BPC Data'!$B:$B,Summary!$C353)</f>
        <v>0</v>
      </c>
      <c r="J353" s="65">
        <f ca="1">SUMIFS(OFFSET('BPC Data'!$F:$F,0,Summary!J$2),'BPC Data'!$E:$E,Summary!$D353,'BPC Data'!$B:$B,Summary!$C353)</f>
        <v>0</v>
      </c>
      <c r="K353" s="61">
        <f ca="1">SUMIFS(OFFSET('BPC Data'!$F:$F,0,Summary!K$2),'BPC Data'!$E:$E,Summary!$D353,'BPC Data'!$B:$B,Summary!$C353)</f>
        <v>0</v>
      </c>
      <c r="L353" s="65">
        <f ca="1">SUMIFS(OFFSET('BPC Data'!$F:$F,0,Summary!L$2),'BPC Data'!$E:$E,Summary!$D353,'BPC Data'!$B:$B,Summary!$C353)</f>
        <v>0</v>
      </c>
      <c r="M353" s="61">
        <f ca="1">SUMIFS(OFFSET('BPC Data'!$F:$F,0,Summary!M$2),'BPC Data'!$E:$E,Summary!$D353,'BPC Data'!$B:$B,Summary!$C353)</f>
        <v>0</v>
      </c>
      <c r="N353" s="65">
        <f ca="1">SUMIFS(OFFSET('BPC Data'!$F:$F,0,Summary!N$2),'BPC Data'!$E:$E,Summary!$D353,'BPC Data'!$B:$B,Summary!$C353)</f>
        <v>0</v>
      </c>
      <c r="O353" s="61">
        <f ca="1">SUMIFS(OFFSET('BPC Data'!$F:$F,0,Summary!O$2),'BPC Data'!$E:$E,Summary!$D353,'BPC Data'!$B:$B,Summary!$C353)</f>
        <v>0</v>
      </c>
      <c r="P353" s="65">
        <f ca="1">SUMIFS(OFFSET('BPC Data'!$F:$F,0,Summary!P$2),'BPC Data'!$E:$E,Summary!$D353,'BPC Data'!$B:$B,Summary!$C353)</f>
        <v>0</v>
      </c>
      <c r="Q353" s="61">
        <f ca="1">SUMIFS(OFFSET('BPC Data'!$F:$F,0,Summary!Q$2),'BPC Data'!$E:$E,Summary!$D353,'BPC Data'!$B:$B,Summary!$C353)</f>
        <v>0</v>
      </c>
      <c r="R353" s="65">
        <f ca="1">SUMIFS(OFFSET('BPC Data'!$F:$F,0,Summary!R$2),'BPC Data'!$E:$E,Summary!$D353,'BPC Data'!$B:$B,Summary!$C353)</f>
        <v>0</v>
      </c>
      <c r="S353" s="23"/>
      <c r="T353" s="76"/>
      <c r="AJ353" s="49"/>
      <c r="AK353" s="49"/>
      <c r="AL353" s="49"/>
      <c r="AM353" s="49"/>
      <c r="AN353" s="49"/>
      <c r="AO353" s="49"/>
      <c r="AP353" s="49"/>
      <c r="AQ353" s="49"/>
      <c r="AR353" s="49"/>
      <c r="AS353" s="49"/>
      <c r="AT353" s="49"/>
      <c r="AU353" s="49"/>
    </row>
    <row r="354" spans="1:47" s="12" customFormat="1" hidden="1" outlineLevel="1">
      <c r="A354" s="12">
        <f t="shared" si="454"/>
        <v>32</v>
      </c>
      <c r="B354"/>
      <c r="C354">
        <f>$F350</f>
        <v>0</v>
      </c>
      <c r="D354" s="3" t="str">
        <f t="shared" si="453"/>
        <v>T_OPEX - Tenant Operating Expenses</v>
      </c>
      <c r="E354"/>
      <c r="F354" s="19" t="str">
        <f>_xll.EVDES(D354)</f>
        <v>Tenant Operating Expenses</v>
      </c>
      <c r="G354" s="61">
        <f ca="1">SUMIFS(OFFSET('BPC Data'!$F:$F,0,Summary!G$2),'BPC Data'!$E:$E,Summary!$D354,'BPC Data'!$B:$B,Summary!$C354)</f>
        <v>0</v>
      </c>
      <c r="H354" s="65">
        <f ca="1">SUMIFS(OFFSET('BPC Data'!$F:$F,0,Summary!H$2),'BPC Data'!$E:$E,Summary!$D354,'BPC Data'!$B:$B,Summary!$C354)</f>
        <v>0</v>
      </c>
      <c r="I354" s="61">
        <f ca="1">SUMIFS(OFFSET('BPC Data'!$F:$F,0,Summary!I$2),'BPC Data'!$E:$E,Summary!$D354,'BPC Data'!$B:$B,Summary!$C354)</f>
        <v>0</v>
      </c>
      <c r="J354" s="65">
        <f ca="1">SUMIFS(OFFSET('BPC Data'!$F:$F,0,Summary!J$2),'BPC Data'!$E:$E,Summary!$D354,'BPC Data'!$B:$B,Summary!$C354)</f>
        <v>0</v>
      </c>
      <c r="K354" s="61">
        <f ca="1">SUMIFS(OFFSET('BPC Data'!$F:$F,0,Summary!K$2),'BPC Data'!$E:$E,Summary!$D354,'BPC Data'!$B:$B,Summary!$C354)</f>
        <v>0</v>
      </c>
      <c r="L354" s="65">
        <f ca="1">SUMIFS(OFFSET('BPC Data'!$F:$F,0,Summary!L$2),'BPC Data'!$E:$E,Summary!$D354,'BPC Data'!$B:$B,Summary!$C354)</f>
        <v>0</v>
      </c>
      <c r="M354" s="61">
        <f ca="1">SUMIFS(OFFSET('BPC Data'!$F:$F,0,Summary!M$2),'BPC Data'!$E:$E,Summary!$D354,'BPC Data'!$B:$B,Summary!$C354)</f>
        <v>0</v>
      </c>
      <c r="N354" s="65">
        <f ca="1">SUMIFS(OFFSET('BPC Data'!$F:$F,0,Summary!N$2),'BPC Data'!$E:$E,Summary!$D354,'BPC Data'!$B:$B,Summary!$C354)</f>
        <v>0</v>
      </c>
      <c r="O354" s="61">
        <f ca="1">SUMIFS(OFFSET('BPC Data'!$F:$F,0,Summary!O$2),'BPC Data'!$E:$E,Summary!$D354,'BPC Data'!$B:$B,Summary!$C354)</f>
        <v>0</v>
      </c>
      <c r="P354" s="65">
        <f ca="1">SUMIFS(OFFSET('BPC Data'!$F:$F,0,Summary!P$2),'BPC Data'!$E:$E,Summary!$D354,'BPC Data'!$B:$B,Summary!$C354)</f>
        <v>0</v>
      </c>
      <c r="Q354" s="61">
        <f ca="1">SUMIFS(OFFSET('BPC Data'!$F:$F,0,Summary!Q$2),'BPC Data'!$E:$E,Summary!$D354,'BPC Data'!$B:$B,Summary!$C354)</f>
        <v>0</v>
      </c>
      <c r="R354" s="65">
        <f ca="1">SUMIFS(OFFSET('BPC Data'!$F:$F,0,Summary!R$2),'BPC Data'!$E:$E,Summary!$D354,'BPC Data'!$B:$B,Summary!$C354)</f>
        <v>0</v>
      </c>
      <c r="S354" s="23"/>
      <c r="T354" s="76"/>
      <c r="AJ354" s="49"/>
      <c r="AK354" s="49"/>
      <c r="AL354" s="49"/>
      <c r="AM354" s="49"/>
      <c r="AN354" s="49"/>
      <c r="AO354" s="49"/>
      <c r="AP354" s="49"/>
      <c r="AQ354" s="49"/>
      <c r="AR354" s="49"/>
      <c r="AS354" s="49"/>
      <c r="AT354" s="49"/>
      <c r="AU354" s="49"/>
    </row>
    <row r="355" spans="1:47" s="12" customFormat="1" hidden="1" outlineLevel="1">
      <c r="A355" s="12">
        <f t="shared" si="454"/>
        <v>32</v>
      </c>
      <c r="B355"/>
      <c r="C355">
        <f>$F350</f>
        <v>0</v>
      </c>
      <c r="D355" s="3" t="str">
        <f t="shared" si="453"/>
        <v>T_BAD_DEBT - Tenant Bad Debt Expense</v>
      </c>
      <c r="E355"/>
      <c r="F355" s="19" t="str">
        <f>_xll.EVDES(D355)</f>
        <v>Tenant Bad Debt Expense</v>
      </c>
      <c r="G355" s="61">
        <f ca="1">SUMIFS(OFFSET('BPC Data'!$F:$F,0,Summary!G$2),'BPC Data'!$E:$E,Summary!$D355,'BPC Data'!$B:$B,Summary!$C355)</f>
        <v>0</v>
      </c>
      <c r="H355" s="65">
        <f ca="1">SUMIFS(OFFSET('BPC Data'!$F:$F,0,Summary!H$2),'BPC Data'!$E:$E,Summary!$D355,'BPC Data'!$B:$B,Summary!$C355)</f>
        <v>0</v>
      </c>
      <c r="I355" s="61">
        <f ca="1">SUMIFS(OFFSET('BPC Data'!$F:$F,0,Summary!I$2),'BPC Data'!$E:$E,Summary!$D355,'BPC Data'!$B:$B,Summary!$C355)</f>
        <v>0</v>
      </c>
      <c r="J355" s="65">
        <f ca="1">SUMIFS(OFFSET('BPC Data'!$F:$F,0,Summary!J$2),'BPC Data'!$E:$E,Summary!$D355,'BPC Data'!$B:$B,Summary!$C355)</f>
        <v>0</v>
      </c>
      <c r="K355" s="61">
        <f ca="1">SUMIFS(OFFSET('BPC Data'!$F:$F,0,Summary!K$2),'BPC Data'!$E:$E,Summary!$D355,'BPC Data'!$B:$B,Summary!$C355)</f>
        <v>0</v>
      </c>
      <c r="L355" s="65">
        <f ca="1">SUMIFS(OFFSET('BPC Data'!$F:$F,0,Summary!L$2),'BPC Data'!$E:$E,Summary!$D355,'BPC Data'!$B:$B,Summary!$C355)</f>
        <v>0</v>
      </c>
      <c r="M355" s="61">
        <f ca="1">SUMIFS(OFFSET('BPC Data'!$F:$F,0,Summary!M$2),'BPC Data'!$E:$E,Summary!$D355,'BPC Data'!$B:$B,Summary!$C355)</f>
        <v>0</v>
      </c>
      <c r="N355" s="65">
        <f ca="1">SUMIFS(OFFSET('BPC Data'!$F:$F,0,Summary!N$2),'BPC Data'!$E:$E,Summary!$D355,'BPC Data'!$B:$B,Summary!$C355)</f>
        <v>0</v>
      </c>
      <c r="O355" s="61">
        <f ca="1">SUMIFS(OFFSET('BPC Data'!$F:$F,0,Summary!O$2),'BPC Data'!$E:$E,Summary!$D355,'BPC Data'!$B:$B,Summary!$C355)</f>
        <v>0</v>
      </c>
      <c r="P355" s="65">
        <f ca="1">SUMIFS(OFFSET('BPC Data'!$F:$F,0,Summary!P$2),'BPC Data'!$E:$E,Summary!$D355,'BPC Data'!$B:$B,Summary!$C355)</f>
        <v>0</v>
      </c>
      <c r="Q355" s="61">
        <f ca="1">SUMIFS(OFFSET('BPC Data'!$F:$F,0,Summary!Q$2),'BPC Data'!$E:$E,Summary!$D355,'BPC Data'!$B:$B,Summary!$C355)</f>
        <v>0</v>
      </c>
      <c r="R355" s="65">
        <f ca="1">SUMIFS(OFFSET('BPC Data'!$F:$F,0,Summary!R$2),'BPC Data'!$E:$E,Summary!$D355,'BPC Data'!$B:$B,Summary!$C355)</f>
        <v>0</v>
      </c>
      <c r="S355" s="23"/>
      <c r="T355" s="76"/>
      <c r="AJ355" s="49"/>
      <c r="AK355" s="49"/>
      <c r="AL355" s="49"/>
      <c r="AM355" s="49"/>
      <c r="AN355" s="49"/>
      <c r="AO355" s="49"/>
      <c r="AP355" s="49"/>
      <c r="AQ355" s="49"/>
      <c r="AR355" s="49"/>
      <c r="AS355" s="49"/>
      <c r="AT355" s="49"/>
      <c r="AU355" s="49"/>
    </row>
    <row r="356" spans="1:47" s="12" customFormat="1" hidden="1" outlineLevel="1">
      <c r="A356" s="12">
        <f t="shared" si="454"/>
        <v>32</v>
      </c>
      <c r="B356"/>
      <c r="C356">
        <f>$F350</f>
        <v>0</v>
      </c>
      <c r="D356" s="2" t="str">
        <f t="shared" si="453"/>
        <v>T_EBITDARM - EBITDARM</v>
      </c>
      <c r="E356"/>
      <c r="F356" s="19" t="str">
        <f>_xll.EVDES(D356)</f>
        <v>EBITDARM</v>
      </c>
      <c r="G356" s="61">
        <f ca="1">SUMIFS(OFFSET('BPC Data'!$F:$F,0,Summary!G$2),'BPC Data'!$E:$E,Summary!$D356,'BPC Data'!$B:$B,Summary!$C356)</f>
        <v>0</v>
      </c>
      <c r="H356" s="65">
        <f ca="1">SUMIFS(OFFSET('BPC Data'!$F:$F,0,Summary!H$2),'BPC Data'!$E:$E,Summary!$D356,'BPC Data'!$B:$B,Summary!$C356)</f>
        <v>0</v>
      </c>
      <c r="I356" s="61">
        <f ca="1">SUMIFS(OFFSET('BPC Data'!$F:$F,0,Summary!I$2),'BPC Data'!$E:$E,Summary!$D356,'BPC Data'!$B:$B,Summary!$C356)</f>
        <v>0</v>
      </c>
      <c r="J356" s="65">
        <f ca="1">SUMIFS(OFFSET('BPC Data'!$F:$F,0,Summary!J$2),'BPC Data'!$E:$E,Summary!$D356,'BPC Data'!$B:$B,Summary!$C356)</f>
        <v>0</v>
      </c>
      <c r="K356" s="61">
        <f ca="1">SUMIFS(OFFSET('BPC Data'!$F:$F,0,Summary!K$2),'BPC Data'!$E:$E,Summary!$D356,'BPC Data'!$B:$B,Summary!$C356)</f>
        <v>0</v>
      </c>
      <c r="L356" s="65">
        <f ca="1">SUMIFS(OFFSET('BPC Data'!$F:$F,0,Summary!L$2),'BPC Data'!$E:$E,Summary!$D356,'BPC Data'!$B:$B,Summary!$C356)</f>
        <v>0</v>
      </c>
      <c r="M356" s="61">
        <f ca="1">SUMIFS(OFFSET('BPC Data'!$F:$F,0,Summary!M$2),'BPC Data'!$E:$E,Summary!$D356,'BPC Data'!$B:$B,Summary!$C356)</f>
        <v>0</v>
      </c>
      <c r="N356" s="65">
        <f ca="1">SUMIFS(OFFSET('BPC Data'!$F:$F,0,Summary!N$2),'BPC Data'!$E:$E,Summary!$D356,'BPC Data'!$B:$B,Summary!$C356)</f>
        <v>0</v>
      </c>
      <c r="O356" s="61">
        <f ca="1">SUMIFS(OFFSET('BPC Data'!$F:$F,0,Summary!O$2),'BPC Data'!$E:$E,Summary!$D356,'BPC Data'!$B:$B,Summary!$C356)</f>
        <v>0</v>
      </c>
      <c r="P356" s="65">
        <f ca="1">SUMIFS(OFFSET('BPC Data'!$F:$F,0,Summary!P$2),'BPC Data'!$E:$E,Summary!$D356,'BPC Data'!$B:$B,Summary!$C356)</f>
        <v>0</v>
      </c>
      <c r="Q356" s="61">
        <f ca="1">SUMIFS(OFFSET('BPC Data'!$F:$F,0,Summary!Q$2),'BPC Data'!$E:$E,Summary!$D356,'BPC Data'!$B:$B,Summary!$C356)</f>
        <v>0</v>
      </c>
      <c r="R356" s="65">
        <f ca="1">SUMIFS(OFFSET('BPC Data'!$F:$F,0,Summary!R$2),'BPC Data'!$E:$E,Summary!$D356,'BPC Data'!$B:$B,Summary!$C356)</f>
        <v>0</v>
      </c>
      <c r="S356" s="23"/>
      <c r="T356" s="76"/>
      <c r="AJ356" s="49"/>
      <c r="AK356" s="49"/>
      <c r="AL356" s="49"/>
      <c r="AM356" s="49"/>
      <c r="AN356" s="49"/>
      <c r="AO356" s="49"/>
      <c r="AP356" s="49"/>
      <c r="AQ356" s="49"/>
      <c r="AR356" s="49"/>
      <c r="AS356" s="49"/>
      <c r="AT356" s="49"/>
      <c r="AU356" s="49"/>
    </row>
    <row r="357" spans="1:47" s="12" customFormat="1" hidden="1" outlineLevel="1">
      <c r="A357" s="12">
        <f t="shared" si="454"/>
        <v>32</v>
      </c>
      <c r="B357"/>
      <c r="C357">
        <f>$F350</f>
        <v>0</v>
      </c>
      <c r="D357" s="2" t="str">
        <f t="shared" si="453"/>
        <v>T_MGMT_FEE - Tenant Management Fee - Actual</v>
      </c>
      <c r="E357"/>
      <c r="F357" s="19" t="str">
        <f>_xll.EVDES(D357)</f>
        <v>Tenant Management Fee - Actual</v>
      </c>
      <c r="G357" s="61">
        <f ca="1">SUMIFS(OFFSET('BPC Data'!$F:$F,0,Summary!G$2),'BPC Data'!$E:$E,Summary!$D357,'BPC Data'!$B:$B,Summary!$C357)</f>
        <v>0</v>
      </c>
      <c r="H357" s="65">
        <f ca="1">SUMIFS(OFFSET('BPC Data'!$F:$F,0,Summary!H$2),'BPC Data'!$E:$E,Summary!$D357,'BPC Data'!$B:$B,Summary!$C357)</f>
        <v>0</v>
      </c>
      <c r="I357" s="61">
        <f ca="1">SUMIFS(OFFSET('BPC Data'!$F:$F,0,Summary!I$2),'BPC Data'!$E:$E,Summary!$D357,'BPC Data'!$B:$B,Summary!$C357)</f>
        <v>0</v>
      </c>
      <c r="J357" s="65">
        <f ca="1">SUMIFS(OFFSET('BPC Data'!$F:$F,0,Summary!J$2),'BPC Data'!$E:$E,Summary!$D357,'BPC Data'!$B:$B,Summary!$C357)</f>
        <v>0</v>
      </c>
      <c r="K357" s="61">
        <f ca="1">SUMIFS(OFFSET('BPC Data'!$F:$F,0,Summary!K$2),'BPC Data'!$E:$E,Summary!$D357,'BPC Data'!$B:$B,Summary!$C357)</f>
        <v>0</v>
      </c>
      <c r="L357" s="65">
        <f ca="1">SUMIFS(OFFSET('BPC Data'!$F:$F,0,Summary!L$2),'BPC Data'!$E:$E,Summary!$D357,'BPC Data'!$B:$B,Summary!$C357)</f>
        <v>0</v>
      </c>
      <c r="M357" s="61">
        <f ca="1">SUMIFS(OFFSET('BPC Data'!$F:$F,0,Summary!M$2),'BPC Data'!$E:$E,Summary!$D357,'BPC Data'!$B:$B,Summary!$C357)</f>
        <v>0</v>
      </c>
      <c r="N357" s="65">
        <f ca="1">SUMIFS(OFFSET('BPC Data'!$F:$F,0,Summary!N$2),'BPC Data'!$E:$E,Summary!$D357,'BPC Data'!$B:$B,Summary!$C357)</f>
        <v>0</v>
      </c>
      <c r="O357" s="61">
        <f ca="1">SUMIFS(OFFSET('BPC Data'!$F:$F,0,Summary!O$2),'BPC Data'!$E:$E,Summary!$D357,'BPC Data'!$B:$B,Summary!$C357)</f>
        <v>0</v>
      </c>
      <c r="P357" s="65">
        <f ca="1">SUMIFS(OFFSET('BPC Data'!$F:$F,0,Summary!P$2),'BPC Data'!$E:$E,Summary!$D357,'BPC Data'!$B:$B,Summary!$C357)</f>
        <v>0</v>
      </c>
      <c r="Q357" s="61">
        <f ca="1">SUMIFS(OFFSET('BPC Data'!$F:$F,0,Summary!Q$2),'BPC Data'!$E:$E,Summary!$D357,'BPC Data'!$B:$B,Summary!$C357)</f>
        <v>0</v>
      </c>
      <c r="R357" s="65">
        <f ca="1">SUMIFS(OFFSET('BPC Data'!$F:$F,0,Summary!R$2),'BPC Data'!$E:$E,Summary!$D357,'BPC Data'!$B:$B,Summary!$C357)</f>
        <v>0</v>
      </c>
      <c r="S357" s="23"/>
      <c r="T357" s="76"/>
      <c r="AJ357" s="49"/>
      <c r="AK357" s="49"/>
      <c r="AL357" s="49"/>
      <c r="AM357" s="49"/>
      <c r="AN357" s="49"/>
      <c r="AO357" s="49"/>
      <c r="AP357" s="49"/>
      <c r="AQ357" s="49"/>
      <c r="AR357" s="49"/>
      <c r="AS357" s="49"/>
      <c r="AT357" s="49"/>
      <c r="AU357" s="49"/>
    </row>
    <row r="358" spans="1:47" s="12" customFormat="1" hidden="1" outlineLevel="1">
      <c r="A358" s="12">
        <f t="shared" si="454"/>
        <v>32</v>
      </c>
      <c r="B358"/>
      <c r="C358">
        <f>$F350</f>
        <v>0</v>
      </c>
      <c r="D358" s="1" t="str">
        <f t="shared" si="453"/>
        <v>T_EBITDAR - EBITDAR</v>
      </c>
      <c r="E358"/>
      <c r="F358" s="19" t="str">
        <f>_xll.EVDES(D358)</f>
        <v>EBITDAR</v>
      </c>
      <c r="G358" s="61">
        <f ca="1">SUMIFS(OFFSET('BPC Data'!$F:$F,0,Summary!G$2),'BPC Data'!$E:$E,Summary!$D358,'BPC Data'!$B:$B,Summary!$C358)</f>
        <v>0</v>
      </c>
      <c r="H358" s="65">
        <f ca="1">SUMIFS(OFFSET('BPC Data'!$F:$F,0,Summary!H$2),'BPC Data'!$E:$E,Summary!$D358,'BPC Data'!$B:$B,Summary!$C358)</f>
        <v>0</v>
      </c>
      <c r="I358" s="61">
        <f ca="1">SUMIFS(OFFSET('BPC Data'!$F:$F,0,Summary!I$2),'BPC Data'!$E:$E,Summary!$D358,'BPC Data'!$B:$B,Summary!$C358)</f>
        <v>0</v>
      </c>
      <c r="J358" s="65">
        <f ca="1">SUMIFS(OFFSET('BPC Data'!$F:$F,0,Summary!J$2),'BPC Data'!$E:$E,Summary!$D358,'BPC Data'!$B:$B,Summary!$C358)</f>
        <v>0</v>
      </c>
      <c r="K358" s="61">
        <f ca="1">SUMIFS(OFFSET('BPC Data'!$F:$F,0,Summary!K$2),'BPC Data'!$E:$E,Summary!$D358,'BPC Data'!$B:$B,Summary!$C358)</f>
        <v>0</v>
      </c>
      <c r="L358" s="65">
        <f ca="1">SUMIFS(OFFSET('BPC Data'!$F:$F,0,Summary!L$2),'BPC Data'!$E:$E,Summary!$D358,'BPC Data'!$B:$B,Summary!$C358)</f>
        <v>0</v>
      </c>
      <c r="M358" s="61">
        <f ca="1">SUMIFS(OFFSET('BPC Data'!$F:$F,0,Summary!M$2),'BPC Data'!$E:$E,Summary!$D358,'BPC Data'!$B:$B,Summary!$C358)</f>
        <v>0</v>
      </c>
      <c r="N358" s="65">
        <f ca="1">SUMIFS(OFFSET('BPC Data'!$F:$F,0,Summary!N$2),'BPC Data'!$E:$E,Summary!$D358,'BPC Data'!$B:$B,Summary!$C358)</f>
        <v>0</v>
      </c>
      <c r="O358" s="61">
        <f ca="1">SUMIFS(OFFSET('BPC Data'!$F:$F,0,Summary!O$2),'BPC Data'!$E:$E,Summary!$D358,'BPC Data'!$B:$B,Summary!$C358)</f>
        <v>0</v>
      </c>
      <c r="P358" s="65">
        <f ca="1">SUMIFS(OFFSET('BPC Data'!$F:$F,0,Summary!P$2),'BPC Data'!$E:$E,Summary!$D358,'BPC Data'!$B:$B,Summary!$C358)</f>
        <v>0</v>
      </c>
      <c r="Q358" s="61">
        <f ca="1">SUMIFS(OFFSET('BPC Data'!$F:$F,0,Summary!Q$2),'BPC Data'!$E:$E,Summary!$D358,'BPC Data'!$B:$B,Summary!$C358)</f>
        <v>0</v>
      </c>
      <c r="R358" s="65">
        <f ca="1">SUMIFS(OFFSET('BPC Data'!$F:$F,0,Summary!R$2),'BPC Data'!$E:$E,Summary!$D358,'BPC Data'!$B:$B,Summary!$C358)</f>
        <v>0</v>
      </c>
      <c r="S358" s="23"/>
      <c r="T358" s="76"/>
      <c r="AJ358" s="49"/>
      <c r="AK358" s="49"/>
      <c r="AL358" s="49"/>
      <c r="AM358" s="49"/>
      <c r="AN358" s="49"/>
      <c r="AO358" s="49"/>
      <c r="AP358" s="49"/>
      <c r="AQ358" s="49"/>
      <c r="AR358" s="49"/>
      <c r="AS358" s="49"/>
      <c r="AT358" s="49"/>
      <c r="AU358" s="49"/>
    </row>
    <row r="359" spans="1:47" s="12" customFormat="1" hidden="1" outlineLevel="1">
      <c r="A359" s="12">
        <f t="shared" si="454"/>
        <v>32</v>
      </c>
      <c r="B359"/>
      <c r="C359">
        <f>$F350</f>
        <v>0</v>
      </c>
      <c r="D359" s="1" t="str">
        <f t="shared" si="453"/>
        <v>T_RENT_EXP - Tenant Rent Expense</v>
      </c>
      <c r="E359"/>
      <c r="F359" s="19" t="str">
        <f>_xll.EVDES(D359)</f>
        <v>Tenant Rent Expense</v>
      </c>
      <c r="G359" s="61">
        <f ca="1">SUMIFS(OFFSET('BPC Data'!$F:$F,0,Summary!G$2),'BPC Data'!$E:$E,Summary!$D359,'BPC Data'!$B:$B,Summary!$C359)</f>
        <v>0</v>
      </c>
      <c r="H359" s="65">
        <f ca="1">SUMIFS(OFFSET('BPC Data'!$F:$F,0,Summary!H$2),'BPC Data'!$E:$E,Summary!$D359,'BPC Data'!$B:$B,Summary!$C359)</f>
        <v>0</v>
      </c>
      <c r="I359" s="61">
        <f ca="1">SUMIFS(OFFSET('BPC Data'!$F:$F,0,Summary!I$2),'BPC Data'!$E:$E,Summary!$D359,'BPC Data'!$B:$B,Summary!$C359)</f>
        <v>0</v>
      </c>
      <c r="J359" s="65">
        <f ca="1">SUMIFS(OFFSET('BPC Data'!$F:$F,0,Summary!J$2),'BPC Data'!$E:$E,Summary!$D359,'BPC Data'!$B:$B,Summary!$C359)</f>
        <v>0</v>
      </c>
      <c r="K359" s="61">
        <f ca="1">SUMIFS(OFFSET('BPC Data'!$F:$F,0,Summary!K$2),'BPC Data'!$E:$E,Summary!$D359,'BPC Data'!$B:$B,Summary!$C359)</f>
        <v>0</v>
      </c>
      <c r="L359" s="65">
        <f ca="1">SUMIFS(OFFSET('BPC Data'!$F:$F,0,Summary!L$2),'BPC Data'!$E:$E,Summary!$D359,'BPC Data'!$B:$B,Summary!$C359)</f>
        <v>0</v>
      </c>
      <c r="M359" s="61">
        <f ca="1">SUMIFS(OFFSET('BPC Data'!$F:$F,0,Summary!M$2),'BPC Data'!$E:$E,Summary!$D359,'BPC Data'!$B:$B,Summary!$C359)</f>
        <v>0</v>
      </c>
      <c r="N359" s="65">
        <f ca="1">SUMIFS(OFFSET('BPC Data'!$F:$F,0,Summary!N$2),'BPC Data'!$E:$E,Summary!$D359,'BPC Data'!$B:$B,Summary!$C359)</f>
        <v>0</v>
      </c>
      <c r="O359" s="61">
        <f ca="1">SUMIFS(OFFSET('BPC Data'!$F:$F,0,Summary!O$2),'BPC Data'!$E:$E,Summary!$D359,'BPC Data'!$B:$B,Summary!$C359)</f>
        <v>0</v>
      </c>
      <c r="P359" s="65">
        <f ca="1">SUMIFS(OFFSET('BPC Data'!$F:$F,0,Summary!P$2),'BPC Data'!$E:$E,Summary!$D359,'BPC Data'!$B:$B,Summary!$C359)</f>
        <v>0</v>
      </c>
      <c r="Q359" s="61">
        <f ca="1">SUMIFS(OFFSET('BPC Data'!$F:$F,0,Summary!Q$2),'BPC Data'!$E:$E,Summary!$D359,'BPC Data'!$B:$B,Summary!$C359)</f>
        <v>0</v>
      </c>
      <c r="R359" s="65">
        <f ca="1">SUMIFS(OFFSET('BPC Data'!$F:$F,0,Summary!R$2),'BPC Data'!$E:$E,Summary!$D359,'BPC Data'!$B:$B,Summary!$C359)</f>
        <v>0</v>
      </c>
      <c r="S359" s="23"/>
      <c r="T359" s="76"/>
      <c r="AJ359" s="49"/>
      <c r="AK359" s="49"/>
      <c r="AL359" s="49"/>
      <c r="AM359" s="49"/>
      <c r="AN359" s="49"/>
      <c r="AO359" s="49"/>
      <c r="AP359" s="49"/>
      <c r="AQ359" s="49"/>
      <c r="AR359" s="49"/>
      <c r="AS359" s="49"/>
      <c r="AT359" s="49"/>
      <c r="AU359" s="49"/>
    </row>
    <row r="360" spans="1:47" s="12" customFormat="1" hidden="1" outlineLevel="1">
      <c r="A360" s="12">
        <f t="shared" si="454"/>
        <v>32</v>
      </c>
      <c r="B360"/>
      <c r="C360"/>
      <c r="D360" s="1" t="str">
        <f t="shared" si="453"/>
        <v>x</v>
      </c>
      <c r="E360"/>
      <c r="F360" s="19" t="s">
        <v>0</v>
      </c>
      <c r="G360" s="61">
        <f ca="1">SUMIFS(OFFSET('BPC Data'!$F:$F,0,Summary!G$2),'BPC Data'!$E:$E,Summary!$D360,'BPC Data'!$B:$B,Summary!$C360)</f>
        <v>0</v>
      </c>
      <c r="H360" s="65">
        <f ca="1">SUMIFS(OFFSET('BPC Data'!$F:$F,0,Summary!H$2),'BPC Data'!$E:$E,Summary!$D360,'BPC Data'!$B:$B,Summary!$C360)</f>
        <v>0</v>
      </c>
      <c r="I360" s="61">
        <f ca="1">SUMIFS(OFFSET('BPC Data'!$F:$F,0,Summary!I$2),'BPC Data'!$E:$E,Summary!$D360,'BPC Data'!$B:$B,Summary!$C360)</f>
        <v>0</v>
      </c>
      <c r="J360" s="65">
        <f ca="1">SUMIFS(OFFSET('BPC Data'!$F:$F,0,Summary!J$2),'BPC Data'!$E:$E,Summary!$D360,'BPC Data'!$B:$B,Summary!$C360)</f>
        <v>0</v>
      </c>
      <c r="K360" s="61">
        <f ca="1">SUMIFS(OFFSET('BPC Data'!$F:$F,0,Summary!K$2),'BPC Data'!$E:$E,Summary!$D360,'BPC Data'!$B:$B,Summary!$C360)</f>
        <v>0</v>
      </c>
      <c r="L360" s="65">
        <f ca="1">SUMIFS(OFFSET('BPC Data'!$F:$F,0,Summary!L$2),'BPC Data'!$E:$E,Summary!$D360,'BPC Data'!$B:$B,Summary!$C360)</f>
        <v>0</v>
      </c>
      <c r="M360" s="61">
        <f ca="1">SUMIFS(OFFSET('BPC Data'!$F:$F,0,Summary!M$2),'BPC Data'!$E:$E,Summary!$D360,'BPC Data'!$B:$B,Summary!$C360)</f>
        <v>0</v>
      </c>
      <c r="N360" s="65">
        <f ca="1">SUMIFS(OFFSET('BPC Data'!$F:$F,0,Summary!N$2),'BPC Data'!$E:$E,Summary!$D360,'BPC Data'!$B:$B,Summary!$C360)</f>
        <v>0</v>
      </c>
      <c r="O360" s="61">
        <f ca="1">SUMIFS(OFFSET('BPC Data'!$F:$F,0,Summary!O$2),'BPC Data'!$E:$E,Summary!$D360,'BPC Data'!$B:$B,Summary!$C360)</f>
        <v>0</v>
      </c>
      <c r="P360" s="65">
        <f ca="1">SUMIFS(OFFSET('BPC Data'!$F:$F,0,Summary!P$2),'BPC Data'!$E:$E,Summary!$D360,'BPC Data'!$B:$B,Summary!$C360)</f>
        <v>0</v>
      </c>
      <c r="Q360" s="61">
        <f ca="1">SUMIFS(OFFSET('BPC Data'!$F:$F,0,Summary!Q$2),'BPC Data'!$E:$E,Summary!$D360,'BPC Data'!$B:$B,Summary!$C360)</f>
        <v>0</v>
      </c>
      <c r="R360" s="65">
        <f ca="1">SUMIFS(OFFSET('BPC Data'!$F:$F,0,Summary!R$2),'BPC Data'!$E:$E,Summary!$D360,'BPC Data'!$B:$B,Summary!$C360)</f>
        <v>0</v>
      </c>
      <c r="S360" s="23"/>
      <c r="T360" s="76"/>
      <c r="AJ360" s="49"/>
      <c r="AK360" s="49"/>
      <c r="AL360" s="49"/>
      <c r="AM360" s="49"/>
      <c r="AN360" s="49"/>
      <c r="AO360" s="49"/>
      <c r="AP360" s="49"/>
      <c r="AQ360" s="49"/>
      <c r="AR360" s="49"/>
      <c r="AS360" s="49"/>
      <c r="AT360" s="49"/>
      <c r="AU360" s="49"/>
    </row>
    <row r="361" spans="1:47" s="12" customFormat="1" hidden="1" outlineLevel="1">
      <c r="A361" s="12">
        <f>IF(AND(D361&lt;&gt;"",C361=""),A360+1,A360)</f>
        <v>33</v>
      </c>
      <c r="B361" s="5"/>
      <c r="C361" s="5"/>
      <c r="D361" s="5" t="str">
        <f t="shared" si="453"/>
        <v>x</v>
      </c>
      <c r="E361" s="5"/>
      <c r="F361" s="18">
        <f>INDEX(PropertyList!$D:$D,MATCH(Summary!$A361,PropertyList!$C:$C,0))</f>
        <v>0</v>
      </c>
      <c r="G361" s="61">
        <f ca="1">SUMIFS(OFFSET('BPC Data'!$F:$F,0,Summary!G$2),'BPC Data'!$E:$E,Summary!$D361,'BPC Data'!$B:$B,Summary!$C361)</f>
        <v>0</v>
      </c>
      <c r="H361" s="65">
        <f ca="1">SUMIFS(OFFSET('BPC Data'!$F:$F,0,Summary!H$2),'BPC Data'!$E:$E,Summary!$D361,'BPC Data'!$B:$B,Summary!$C361)</f>
        <v>0</v>
      </c>
      <c r="I361" s="61">
        <f ca="1">SUMIFS(OFFSET('BPC Data'!$F:$F,0,Summary!I$2),'BPC Data'!$E:$E,Summary!$D361,'BPC Data'!$B:$B,Summary!$C361)</f>
        <v>0</v>
      </c>
      <c r="J361" s="65">
        <f ca="1">SUMIFS(OFFSET('BPC Data'!$F:$F,0,Summary!J$2),'BPC Data'!$E:$E,Summary!$D361,'BPC Data'!$B:$B,Summary!$C361)</f>
        <v>0</v>
      </c>
      <c r="K361" s="61">
        <f ca="1">SUMIFS(OFFSET('BPC Data'!$F:$F,0,Summary!K$2),'BPC Data'!$E:$E,Summary!$D361,'BPC Data'!$B:$B,Summary!$C361)</f>
        <v>0</v>
      </c>
      <c r="L361" s="65">
        <f ca="1">SUMIFS(OFFSET('BPC Data'!$F:$F,0,Summary!L$2),'BPC Data'!$E:$E,Summary!$D361,'BPC Data'!$B:$B,Summary!$C361)</f>
        <v>0</v>
      </c>
      <c r="M361" s="61">
        <f ca="1">SUMIFS(OFFSET('BPC Data'!$F:$F,0,Summary!M$2),'BPC Data'!$E:$E,Summary!$D361,'BPC Data'!$B:$B,Summary!$C361)</f>
        <v>0</v>
      </c>
      <c r="N361" s="65">
        <f ca="1">SUMIFS(OFFSET('BPC Data'!$F:$F,0,Summary!N$2),'BPC Data'!$E:$E,Summary!$D361,'BPC Data'!$B:$B,Summary!$C361)</f>
        <v>0</v>
      </c>
      <c r="O361" s="61">
        <f ca="1">SUMIFS(OFFSET('BPC Data'!$F:$F,0,Summary!O$2),'BPC Data'!$E:$E,Summary!$D361,'BPC Data'!$B:$B,Summary!$C361)</f>
        <v>0</v>
      </c>
      <c r="P361" s="65">
        <f ca="1">SUMIFS(OFFSET('BPC Data'!$F:$F,0,Summary!P$2),'BPC Data'!$E:$E,Summary!$D361,'BPC Data'!$B:$B,Summary!$C361)</f>
        <v>0</v>
      </c>
      <c r="Q361" s="61">
        <f ca="1">SUMIFS(OFFSET('BPC Data'!$F:$F,0,Summary!Q$2),'BPC Data'!$E:$E,Summary!$D361,'BPC Data'!$B:$B,Summary!$C361)</f>
        <v>0</v>
      </c>
      <c r="R361" s="65">
        <f ca="1">SUMIFS(OFFSET('BPC Data'!$F:$F,0,Summary!R$2),'BPC Data'!$E:$E,Summary!$D361,'BPC Data'!$B:$B,Summary!$C361)</f>
        <v>0</v>
      </c>
      <c r="S361" s="23"/>
      <c r="T361" s="76"/>
      <c r="AJ361" s="49"/>
      <c r="AK361" s="49"/>
      <c r="AL361" s="49"/>
      <c r="AM361" s="49"/>
      <c r="AN361" s="49"/>
      <c r="AO361" s="49"/>
      <c r="AP361" s="49"/>
      <c r="AQ361" s="49"/>
      <c r="AR361" s="49"/>
      <c r="AS361" s="49"/>
      <c r="AT361" s="49"/>
      <c r="AU361" s="49"/>
    </row>
    <row r="362" spans="1:47" s="12" customFormat="1" hidden="1" outlineLevel="1">
      <c r="A362" s="12">
        <f>IF(AND(F362&lt;&gt;"",D362=""),A361+1,A361)</f>
        <v>33</v>
      </c>
      <c r="C362">
        <f>$F361</f>
        <v>0</v>
      </c>
      <c r="D362" s="3" t="str">
        <f t="shared" si="453"/>
        <v>PAY_PAT_DAYS - Total Payor Patient Days</v>
      </c>
      <c r="F362" s="19" t="str">
        <f>_xll.EVDES(D362)</f>
        <v>Total Payor Patient Days</v>
      </c>
      <c r="G362" s="61">
        <f ca="1">SUMIFS(OFFSET('BPC Data'!$F:$F,0,Summary!G$2),'BPC Data'!$E:$E,Summary!$D362,'BPC Data'!$B:$B,Summary!$C362)</f>
        <v>0</v>
      </c>
      <c r="H362" s="65">
        <f ca="1">SUMIFS(OFFSET('BPC Data'!$F:$F,0,Summary!H$2),'BPC Data'!$E:$E,Summary!$D362,'BPC Data'!$B:$B,Summary!$C362)</f>
        <v>0</v>
      </c>
      <c r="I362" s="61">
        <f ca="1">SUMIFS(OFFSET('BPC Data'!$F:$F,0,Summary!I$2),'BPC Data'!$E:$E,Summary!$D362,'BPC Data'!$B:$B,Summary!$C362)</f>
        <v>0</v>
      </c>
      <c r="J362" s="65">
        <f ca="1">SUMIFS(OFFSET('BPC Data'!$F:$F,0,Summary!J$2),'BPC Data'!$E:$E,Summary!$D362,'BPC Data'!$B:$B,Summary!$C362)</f>
        <v>0</v>
      </c>
      <c r="K362" s="61">
        <f ca="1">SUMIFS(OFFSET('BPC Data'!$F:$F,0,Summary!K$2),'BPC Data'!$E:$E,Summary!$D362,'BPC Data'!$B:$B,Summary!$C362)</f>
        <v>0</v>
      </c>
      <c r="L362" s="65">
        <f ca="1">SUMIFS(OFFSET('BPC Data'!$F:$F,0,Summary!L$2),'BPC Data'!$E:$E,Summary!$D362,'BPC Data'!$B:$B,Summary!$C362)</f>
        <v>0</v>
      </c>
      <c r="M362" s="61">
        <f ca="1">SUMIFS(OFFSET('BPC Data'!$F:$F,0,Summary!M$2),'BPC Data'!$E:$E,Summary!$D362,'BPC Data'!$B:$B,Summary!$C362)</f>
        <v>0</v>
      </c>
      <c r="N362" s="65">
        <f ca="1">SUMIFS(OFFSET('BPC Data'!$F:$F,0,Summary!N$2),'BPC Data'!$E:$E,Summary!$D362,'BPC Data'!$B:$B,Summary!$C362)</f>
        <v>0</v>
      </c>
      <c r="O362" s="61">
        <f ca="1">SUMIFS(OFFSET('BPC Data'!$F:$F,0,Summary!O$2),'BPC Data'!$E:$E,Summary!$D362,'BPC Data'!$B:$B,Summary!$C362)</f>
        <v>0</v>
      </c>
      <c r="P362" s="65">
        <f ca="1">SUMIFS(OFFSET('BPC Data'!$F:$F,0,Summary!P$2),'BPC Data'!$E:$E,Summary!$D362,'BPC Data'!$B:$B,Summary!$C362)</f>
        <v>0</v>
      </c>
      <c r="Q362" s="61">
        <f ca="1">SUMIFS(OFFSET('BPC Data'!$F:$F,0,Summary!Q$2),'BPC Data'!$E:$E,Summary!$D362,'BPC Data'!$B:$B,Summary!$C362)</f>
        <v>0</v>
      </c>
      <c r="R362" s="65">
        <f ca="1">SUMIFS(OFFSET('BPC Data'!$F:$F,0,Summary!R$2),'BPC Data'!$E:$E,Summary!$D362,'BPC Data'!$B:$B,Summary!$C362)</f>
        <v>0</v>
      </c>
      <c r="S362" s="23"/>
      <c r="T362" s="76"/>
      <c r="AJ362" s="49"/>
      <c r="AK362" s="49"/>
      <c r="AL362" s="49"/>
      <c r="AM362" s="49"/>
      <c r="AN362" s="49"/>
      <c r="AO362" s="49"/>
      <c r="AP362" s="49"/>
      <c r="AQ362" s="49"/>
      <c r="AR362" s="49"/>
      <c r="AS362" s="49"/>
      <c r="AT362" s="49"/>
      <c r="AU362" s="49"/>
    </row>
    <row r="363" spans="1:47" s="12" customFormat="1" hidden="1" outlineLevel="1">
      <c r="A363" s="12">
        <f t="shared" ref="A363:A371" si="455">IF(AND(F363&lt;&gt;"",D363=""),A362+1,A362)</f>
        <v>33</v>
      </c>
      <c r="C363">
        <f>$F361</f>
        <v>0</v>
      </c>
      <c r="D363" s="3" t="str">
        <f t="shared" si="453"/>
        <v>A_BEDS_TOTAL - Total Available Beds</v>
      </c>
      <c r="F363" s="19" t="str">
        <f>_xll.EVDES(D363)</f>
        <v>Total Available Beds</v>
      </c>
      <c r="G363" s="61">
        <f ca="1">SUMIFS(OFFSET('BPC Data'!$F:$F,0,Summary!G$2),'BPC Data'!$E:$E,Summary!$D363,'BPC Data'!$B:$B,Summary!$C363)</f>
        <v>0</v>
      </c>
      <c r="H363" s="65">
        <f ca="1">SUMIFS(OFFSET('BPC Data'!$F:$F,0,Summary!H$2),'BPC Data'!$E:$E,Summary!$D363,'BPC Data'!$B:$B,Summary!$C363)</f>
        <v>0</v>
      </c>
      <c r="I363" s="61">
        <f ca="1">SUMIFS(OFFSET('BPC Data'!$F:$F,0,Summary!I$2),'BPC Data'!$E:$E,Summary!$D363,'BPC Data'!$B:$B,Summary!$C363)</f>
        <v>0</v>
      </c>
      <c r="J363" s="65">
        <f ca="1">SUMIFS(OFFSET('BPC Data'!$F:$F,0,Summary!J$2),'BPC Data'!$E:$E,Summary!$D363,'BPC Data'!$B:$B,Summary!$C363)</f>
        <v>0</v>
      </c>
      <c r="K363" s="61">
        <f ca="1">SUMIFS(OFFSET('BPC Data'!$F:$F,0,Summary!K$2),'BPC Data'!$E:$E,Summary!$D363,'BPC Data'!$B:$B,Summary!$C363)</f>
        <v>0</v>
      </c>
      <c r="L363" s="65">
        <f ca="1">SUMIFS(OFFSET('BPC Data'!$F:$F,0,Summary!L$2),'BPC Data'!$E:$E,Summary!$D363,'BPC Data'!$B:$B,Summary!$C363)</f>
        <v>0</v>
      </c>
      <c r="M363" s="61">
        <f ca="1">SUMIFS(OFFSET('BPC Data'!$F:$F,0,Summary!M$2),'BPC Data'!$E:$E,Summary!$D363,'BPC Data'!$B:$B,Summary!$C363)</f>
        <v>0</v>
      </c>
      <c r="N363" s="65">
        <f ca="1">SUMIFS(OFFSET('BPC Data'!$F:$F,0,Summary!N$2),'BPC Data'!$E:$E,Summary!$D363,'BPC Data'!$B:$B,Summary!$C363)</f>
        <v>0</v>
      </c>
      <c r="O363" s="61">
        <f ca="1">SUMIFS(OFFSET('BPC Data'!$F:$F,0,Summary!O$2),'BPC Data'!$E:$E,Summary!$D363,'BPC Data'!$B:$B,Summary!$C363)</f>
        <v>0</v>
      </c>
      <c r="P363" s="65">
        <f ca="1">SUMIFS(OFFSET('BPC Data'!$F:$F,0,Summary!P$2),'BPC Data'!$E:$E,Summary!$D363,'BPC Data'!$B:$B,Summary!$C363)</f>
        <v>0</v>
      </c>
      <c r="Q363" s="61">
        <f ca="1">SUMIFS(OFFSET('BPC Data'!$F:$F,0,Summary!Q$2),'BPC Data'!$E:$E,Summary!$D363,'BPC Data'!$B:$B,Summary!$C363)</f>
        <v>0</v>
      </c>
      <c r="R363" s="65">
        <f ca="1">SUMIFS(OFFSET('BPC Data'!$F:$F,0,Summary!R$2),'BPC Data'!$E:$E,Summary!$D363,'BPC Data'!$B:$B,Summary!$C363)</f>
        <v>0</v>
      </c>
      <c r="S363" s="23"/>
      <c r="T363" s="76"/>
      <c r="AJ363" s="49"/>
      <c r="AK363" s="49"/>
      <c r="AL363" s="49"/>
      <c r="AM363" s="49"/>
      <c r="AN363" s="49"/>
      <c r="AO363" s="49"/>
      <c r="AP363" s="49"/>
      <c r="AQ363" s="49"/>
      <c r="AR363" s="49"/>
      <c r="AS363" s="49"/>
      <c r="AT363" s="49"/>
      <c r="AU363" s="49"/>
    </row>
    <row r="364" spans="1:47" s="12" customFormat="1" hidden="1" outlineLevel="1">
      <c r="A364" s="12">
        <f t="shared" si="455"/>
        <v>33</v>
      </c>
      <c r="B364"/>
      <c r="C364">
        <f>$F361</f>
        <v>0</v>
      </c>
      <c r="D364" s="3" t="str">
        <f t="shared" si="453"/>
        <v>T_REVENUES - Total Tenant Revenues</v>
      </c>
      <c r="E364"/>
      <c r="F364" s="19" t="str">
        <f>_xll.EVDES(D364)</f>
        <v>Total Tenant Revenues</v>
      </c>
      <c r="G364" s="61">
        <f ca="1">SUMIFS(OFFSET('BPC Data'!$F:$F,0,Summary!G$2),'BPC Data'!$E:$E,Summary!$D364,'BPC Data'!$B:$B,Summary!$C364)</f>
        <v>0</v>
      </c>
      <c r="H364" s="65">
        <f ca="1">SUMIFS(OFFSET('BPC Data'!$F:$F,0,Summary!H$2),'BPC Data'!$E:$E,Summary!$D364,'BPC Data'!$B:$B,Summary!$C364)</f>
        <v>0</v>
      </c>
      <c r="I364" s="61">
        <f ca="1">SUMIFS(OFFSET('BPC Data'!$F:$F,0,Summary!I$2),'BPC Data'!$E:$E,Summary!$D364,'BPC Data'!$B:$B,Summary!$C364)</f>
        <v>0</v>
      </c>
      <c r="J364" s="65">
        <f ca="1">SUMIFS(OFFSET('BPC Data'!$F:$F,0,Summary!J$2),'BPC Data'!$E:$E,Summary!$D364,'BPC Data'!$B:$B,Summary!$C364)</f>
        <v>0</v>
      </c>
      <c r="K364" s="61">
        <f ca="1">SUMIFS(OFFSET('BPC Data'!$F:$F,0,Summary!K$2),'BPC Data'!$E:$E,Summary!$D364,'BPC Data'!$B:$B,Summary!$C364)</f>
        <v>0</v>
      </c>
      <c r="L364" s="65">
        <f ca="1">SUMIFS(OFFSET('BPC Data'!$F:$F,0,Summary!L$2),'BPC Data'!$E:$E,Summary!$D364,'BPC Data'!$B:$B,Summary!$C364)</f>
        <v>0</v>
      </c>
      <c r="M364" s="61">
        <f ca="1">SUMIFS(OFFSET('BPC Data'!$F:$F,0,Summary!M$2),'BPC Data'!$E:$E,Summary!$D364,'BPC Data'!$B:$B,Summary!$C364)</f>
        <v>0</v>
      </c>
      <c r="N364" s="65">
        <f ca="1">SUMIFS(OFFSET('BPC Data'!$F:$F,0,Summary!N$2),'BPC Data'!$E:$E,Summary!$D364,'BPC Data'!$B:$B,Summary!$C364)</f>
        <v>0</v>
      </c>
      <c r="O364" s="61">
        <f ca="1">SUMIFS(OFFSET('BPC Data'!$F:$F,0,Summary!O$2),'BPC Data'!$E:$E,Summary!$D364,'BPC Data'!$B:$B,Summary!$C364)</f>
        <v>0</v>
      </c>
      <c r="P364" s="65">
        <f ca="1">SUMIFS(OFFSET('BPC Data'!$F:$F,0,Summary!P$2),'BPC Data'!$E:$E,Summary!$D364,'BPC Data'!$B:$B,Summary!$C364)</f>
        <v>0</v>
      </c>
      <c r="Q364" s="61">
        <f ca="1">SUMIFS(OFFSET('BPC Data'!$F:$F,0,Summary!Q$2),'BPC Data'!$E:$E,Summary!$D364,'BPC Data'!$B:$B,Summary!$C364)</f>
        <v>0</v>
      </c>
      <c r="R364" s="65">
        <f ca="1">SUMIFS(OFFSET('BPC Data'!$F:$F,0,Summary!R$2),'BPC Data'!$E:$E,Summary!$D364,'BPC Data'!$B:$B,Summary!$C364)</f>
        <v>0</v>
      </c>
      <c r="S364" s="23"/>
      <c r="T364" s="76"/>
      <c r="AJ364" s="49"/>
      <c r="AK364" s="49"/>
      <c r="AL364" s="49"/>
      <c r="AM364" s="49"/>
      <c r="AN364" s="49"/>
      <c r="AO364" s="49"/>
      <c r="AP364" s="49"/>
      <c r="AQ364" s="49"/>
      <c r="AR364" s="49"/>
      <c r="AS364" s="49"/>
      <c r="AT364" s="49"/>
      <c r="AU364" s="49"/>
    </row>
    <row r="365" spans="1:47" s="12" customFormat="1" hidden="1" outlineLevel="1">
      <c r="A365" s="12">
        <f t="shared" si="455"/>
        <v>33</v>
      </c>
      <c r="B365"/>
      <c r="C365">
        <f>$F361</f>
        <v>0</v>
      </c>
      <c r="D365" s="3" t="str">
        <f t="shared" si="453"/>
        <v>T_OPEX - Tenant Operating Expenses</v>
      </c>
      <c r="E365"/>
      <c r="F365" s="19" t="str">
        <f>_xll.EVDES(D365)</f>
        <v>Tenant Operating Expenses</v>
      </c>
      <c r="G365" s="61">
        <f ca="1">SUMIFS(OFFSET('BPC Data'!$F:$F,0,Summary!G$2),'BPC Data'!$E:$E,Summary!$D365,'BPC Data'!$B:$B,Summary!$C365)</f>
        <v>0</v>
      </c>
      <c r="H365" s="65">
        <f ca="1">SUMIFS(OFFSET('BPC Data'!$F:$F,0,Summary!H$2),'BPC Data'!$E:$E,Summary!$D365,'BPC Data'!$B:$B,Summary!$C365)</f>
        <v>0</v>
      </c>
      <c r="I365" s="61">
        <f ca="1">SUMIFS(OFFSET('BPC Data'!$F:$F,0,Summary!I$2),'BPC Data'!$E:$E,Summary!$D365,'BPC Data'!$B:$B,Summary!$C365)</f>
        <v>0</v>
      </c>
      <c r="J365" s="65">
        <f ca="1">SUMIFS(OFFSET('BPC Data'!$F:$F,0,Summary!J$2),'BPC Data'!$E:$E,Summary!$D365,'BPC Data'!$B:$B,Summary!$C365)</f>
        <v>0</v>
      </c>
      <c r="K365" s="61">
        <f ca="1">SUMIFS(OFFSET('BPC Data'!$F:$F,0,Summary!K$2),'BPC Data'!$E:$E,Summary!$D365,'BPC Data'!$B:$B,Summary!$C365)</f>
        <v>0</v>
      </c>
      <c r="L365" s="65">
        <f ca="1">SUMIFS(OFFSET('BPC Data'!$F:$F,0,Summary!L$2),'BPC Data'!$E:$E,Summary!$D365,'BPC Data'!$B:$B,Summary!$C365)</f>
        <v>0</v>
      </c>
      <c r="M365" s="61">
        <f ca="1">SUMIFS(OFFSET('BPC Data'!$F:$F,0,Summary!M$2),'BPC Data'!$E:$E,Summary!$D365,'BPC Data'!$B:$B,Summary!$C365)</f>
        <v>0</v>
      </c>
      <c r="N365" s="65">
        <f ca="1">SUMIFS(OFFSET('BPC Data'!$F:$F,0,Summary!N$2),'BPC Data'!$E:$E,Summary!$D365,'BPC Data'!$B:$B,Summary!$C365)</f>
        <v>0</v>
      </c>
      <c r="O365" s="61">
        <f ca="1">SUMIFS(OFFSET('BPC Data'!$F:$F,0,Summary!O$2),'BPC Data'!$E:$E,Summary!$D365,'BPC Data'!$B:$B,Summary!$C365)</f>
        <v>0</v>
      </c>
      <c r="P365" s="65">
        <f ca="1">SUMIFS(OFFSET('BPC Data'!$F:$F,0,Summary!P$2),'BPC Data'!$E:$E,Summary!$D365,'BPC Data'!$B:$B,Summary!$C365)</f>
        <v>0</v>
      </c>
      <c r="Q365" s="61">
        <f ca="1">SUMIFS(OFFSET('BPC Data'!$F:$F,0,Summary!Q$2),'BPC Data'!$E:$E,Summary!$D365,'BPC Data'!$B:$B,Summary!$C365)</f>
        <v>0</v>
      </c>
      <c r="R365" s="65">
        <f ca="1">SUMIFS(OFFSET('BPC Data'!$F:$F,0,Summary!R$2),'BPC Data'!$E:$E,Summary!$D365,'BPC Data'!$B:$B,Summary!$C365)</f>
        <v>0</v>
      </c>
      <c r="S365" s="23"/>
      <c r="T365" s="76"/>
      <c r="AJ365" s="49"/>
      <c r="AK365" s="49"/>
      <c r="AL365" s="49"/>
      <c r="AM365" s="49"/>
      <c r="AN365" s="49"/>
      <c r="AO365" s="49"/>
      <c r="AP365" s="49"/>
      <c r="AQ365" s="49"/>
      <c r="AR365" s="49"/>
      <c r="AS365" s="49"/>
      <c r="AT365" s="49"/>
      <c r="AU365" s="49"/>
    </row>
    <row r="366" spans="1:47" s="12" customFormat="1" hidden="1" outlineLevel="1">
      <c r="A366" s="12">
        <f t="shared" si="455"/>
        <v>33</v>
      </c>
      <c r="B366"/>
      <c r="C366">
        <f>$F361</f>
        <v>0</v>
      </c>
      <c r="D366" s="3" t="str">
        <f t="shared" si="453"/>
        <v>T_BAD_DEBT - Tenant Bad Debt Expense</v>
      </c>
      <c r="E366"/>
      <c r="F366" s="19" t="str">
        <f>_xll.EVDES(D366)</f>
        <v>Tenant Bad Debt Expense</v>
      </c>
      <c r="G366" s="61">
        <f ca="1">SUMIFS(OFFSET('BPC Data'!$F:$F,0,Summary!G$2),'BPC Data'!$E:$E,Summary!$D366,'BPC Data'!$B:$B,Summary!$C366)</f>
        <v>0</v>
      </c>
      <c r="H366" s="65">
        <f ca="1">SUMIFS(OFFSET('BPC Data'!$F:$F,0,Summary!H$2),'BPC Data'!$E:$E,Summary!$D366,'BPC Data'!$B:$B,Summary!$C366)</f>
        <v>0</v>
      </c>
      <c r="I366" s="61">
        <f ca="1">SUMIFS(OFFSET('BPC Data'!$F:$F,0,Summary!I$2),'BPC Data'!$E:$E,Summary!$D366,'BPC Data'!$B:$B,Summary!$C366)</f>
        <v>0</v>
      </c>
      <c r="J366" s="65">
        <f ca="1">SUMIFS(OFFSET('BPC Data'!$F:$F,0,Summary!J$2),'BPC Data'!$E:$E,Summary!$D366,'BPC Data'!$B:$B,Summary!$C366)</f>
        <v>0</v>
      </c>
      <c r="K366" s="61">
        <f ca="1">SUMIFS(OFFSET('BPC Data'!$F:$F,0,Summary!K$2),'BPC Data'!$E:$E,Summary!$D366,'BPC Data'!$B:$B,Summary!$C366)</f>
        <v>0</v>
      </c>
      <c r="L366" s="65">
        <f ca="1">SUMIFS(OFFSET('BPC Data'!$F:$F,0,Summary!L$2),'BPC Data'!$E:$E,Summary!$D366,'BPC Data'!$B:$B,Summary!$C366)</f>
        <v>0</v>
      </c>
      <c r="M366" s="61">
        <f ca="1">SUMIFS(OFFSET('BPC Data'!$F:$F,0,Summary!M$2),'BPC Data'!$E:$E,Summary!$D366,'BPC Data'!$B:$B,Summary!$C366)</f>
        <v>0</v>
      </c>
      <c r="N366" s="65">
        <f ca="1">SUMIFS(OFFSET('BPC Data'!$F:$F,0,Summary!N$2),'BPC Data'!$E:$E,Summary!$D366,'BPC Data'!$B:$B,Summary!$C366)</f>
        <v>0</v>
      </c>
      <c r="O366" s="61">
        <f ca="1">SUMIFS(OFFSET('BPC Data'!$F:$F,0,Summary!O$2),'BPC Data'!$E:$E,Summary!$D366,'BPC Data'!$B:$B,Summary!$C366)</f>
        <v>0</v>
      </c>
      <c r="P366" s="65">
        <f ca="1">SUMIFS(OFFSET('BPC Data'!$F:$F,0,Summary!P$2),'BPC Data'!$E:$E,Summary!$D366,'BPC Data'!$B:$B,Summary!$C366)</f>
        <v>0</v>
      </c>
      <c r="Q366" s="61">
        <f ca="1">SUMIFS(OFFSET('BPC Data'!$F:$F,0,Summary!Q$2),'BPC Data'!$E:$E,Summary!$D366,'BPC Data'!$B:$B,Summary!$C366)</f>
        <v>0</v>
      </c>
      <c r="R366" s="65">
        <f ca="1">SUMIFS(OFFSET('BPC Data'!$F:$F,0,Summary!R$2),'BPC Data'!$E:$E,Summary!$D366,'BPC Data'!$B:$B,Summary!$C366)</f>
        <v>0</v>
      </c>
      <c r="S366" s="23"/>
      <c r="T366" s="76"/>
      <c r="AJ366" s="49"/>
      <c r="AK366" s="49"/>
      <c r="AL366" s="49"/>
      <c r="AM366" s="49"/>
      <c r="AN366" s="49"/>
      <c r="AO366" s="49"/>
      <c r="AP366" s="49"/>
      <c r="AQ366" s="49"/>
      <c r="AR366" s="49"/>
      <c r="AS366" s="49"/>
      <c r="AT366" s="49"/>
      <c r="AU366" s="49"/>
    </row>
    <row r="367" spans="1:47" s="12" customFormat="1" hidden="1" outlineLevel="1">
      <c r="A367" s="12">
        <f t="shared" si="455"/>
        <v>33</v>
      </c>
      <c r="B367"/>
      <c r="C367">
        <f>$F361</f>
        <v>0</v>
      </c>
      <c r="D367" s="2" t="str">
        <f t="shared" si="453"/>
        <v>T_EBITDARM - EBITDARM</v>
      </c>
      <c r="E367"/>
      <c r="F367" s="19" t="str">
        <f>_xll.EVDES(D367)</f>
        <v>EBITDARM</v>
      </c>
      <c r="G367" s="61">
        <f ca="1">SUMIFS(OFFSET('BPC Data'!$F:$F,0,Summary!G$2),'BPC Data'!$E:$E,Summary!$D367,'BPC Data'!$B:$B,Summary!$C367)</f>
        <v>0</v>
      </c>
      <c r="H367" s="65">
        <f ca="1">SUMIFS(OFFSET('BPC Data'!$F:$F,0,Summary!H$2),'BPC Data'!$E:$E,Summary!$D367,'BPC Data'!$B:$B,Summary!$C367)</f>
        <v>0</v>
      </c>
      <c r="I367" s="61">
        <f ca="1">SUMIFS(OFFSET('BPC Data'!$F:$F,0,Summary!I$2),'BPC Data'!$E:$E,Summary!$D367,'BPC Data'!$B:$B,Summary!$C367)</f>
        <v>0</v>
      </c>
      <c r="J367" s="65">
        <f ca="1">SUMIFS(OFFSET('BPC Data'!$F:$F,0,Summary!J$2),'BPC Data'!$E:$E,Summary!$D367,'BPC Data'!$B:$B,Summary!$C367)</f>
        <v>0</v>
      </c>
      <c r="K367" s="61">
        <f ca="1">SUMIFS(OFFSET('BPC Data'!$F:$F,0,Summary!K$2),'BPC Data'!$E:$E,Summary!$D367,'BPC Data'!$B:$B,Summary!$C367)</f>
        <v>0</v>
      </c>
      <c r="L367" s="65">
        <f ca="1">SUMIFS(OFFSET('BPC Data'!$F:$F,0,Summary!L$2),'BPC Data'!$E:$E,Summary!$D367,'BPC Data'!$B:$B,Summary!$C367)</f>
        <v>0</v>
      </c>
      <c r="M367" s="61">
        <f ca="1">SUMIFS(OFFSET('BPC Data'!$F:$F,0,Summary!M$2),'BPC Data'!$E:$E,Summary!$D367,'BPC Data'!$B:$B,Summary!$C367)</f>
        <v>0</v>
      </c>
      <c r="N367" s="65">
        <f ca="1">SUMIFS(OFFSET('BPC Data'!$F:$F,0,Summary!N$2),'BPC Data'!$E:$E,Summary!$D367,'BPC Data'!$B:$B,Summary!$C367)</f>
        <v>0</v>
      </c>
      <c r="O367" s="61">
        <f ca="1">SUMIFS(OFFSET('BPC Data'!$F:$F,0,Summary!O$2),'BPC Data'!$E:$E,Summary!$D367,'BPC Data'!$B:$B,Summary!$C367)</f>
        <v>0</v>
      </c>
      <c r="P367" s="65">
        <f ca="1">SUMIFS(OFFSET('BPC Data'!$F:$F,0,Summary!P$2),'BPC Data'!$E:$E,Summary!$D367,'BPC Data'!$B:$B,Summary!$C367)</f>
        <v>0</v>
      </c>
      <c r="Q367" s="61">
        <f ca="1">SUMIFS(OFFSET('BPC Data'!$F:$F,0,Summary!Q$2),'BPC Data'!$E:$E,Summary!$D367,'BPC Data'!$B:$B,Summary!$C367)</f>
        <v>0</v>
      </c>
      <c r="R367" s="65">
        <f ca="1">SUMIFS(OFFSET('BPC Data'!$F:$F,0,Summary!R$2),'BPC Data'!$E:$E,Summary!$D367,'BPC Data'!$B:$B,Summary!$C367)</f>
        <v>0</v>
      </c>
      <c r="S367" s="23"/>
      <c r="T367" s="76"/>
      <c r="AJ367" s="49"/>
      <c r="AK367" s="49"/>
      <c r="AL367" s="49"/>
      <c r="AM367" s="49"/>
      <c r="AN367" s="49"/>
      <c r="AO367" s="49"/>
      <c r="AP367" s="49"/>
      <c r="AQ367" s="49"/>
      <c r="AR367" s="49"/>
      <c r="AS367" s="49"/>
      <c r="AT367" s="49"/>
      <c r="AU367" s="49"/>
    </row>
    <row r="368" spans="1:47" s="12" customFormat="1" hidden="1" outlineLevel="1">
      <c r="A368" s="12">
        <f t="shared" si="455"/>
        <v>33</v>
      </c>
      <c r="B368"/>
      <c r="C368">
        <f>$F361</f>
        <v>0</v>
      </c>
      <c r="D368" s="2" t="str">
        <f t="shared" si="453"/>
        <v>T_MGMT_FEE - Tenant Management Fee - Actual</v>
      </c>
      <c r="E368"/>
      <c r="F368" s="19" t="str">
        <f>_xll.EVDES(D368)</f>
        <v>Tenant Management Fee - Actual</v>
      </c>
      <c r="G368" s="61">
        <f ca="1">SUMIFS(OFFSET('BPC Data'!$F:$F,0,Summary!G$2),'BPC Data'!$E:$E,Summary!$D368,'BPC Data'!$B:$B,Summary!$C368)</f>
        <v>0</v>
      </c>
      <c r="H368" s="65">
        <f ca="1">SUMIFS(OFFSET('BPC Data'!$F:$F,0,Summary!H$2),'BPC Data'!$E:$E,Summary!$D368,'BPC Data'!$B:$B,Summary!$C368)</f>
        <v>0</v>
      </c>
      <c r="I368" s="61">
        <f ca="1">SUMIFS(OFFSET('BPC Data'!$F:$F,0,Summary!I$2),'BPC Data'!$E:$E,Summary!$D368,'BPC Data'!$B:$B,Summary!$C368)</f>
        <v>0</v>
      </c>
      <c r="J368" s="65">
        <f ca="1">SUMIFS(OFFSET('BPC Data'!$F:$F,0,Summary!J$2),'BPC Data'!$E:$E,Summary!$D368,'BPC Data'!$B:$B,Summary!$C368)</f>
        <v>0</v>
      </c>
      <c r="K368" s="61">
        <f ca="1">SUMIFS(OFFSET('BPC Data'!$F:$F,0,Summary!K$2),'BPC Data'!$E:$E,Summary!$D368,'BPC Data'!$B:$B,Summary!$C368)</f>
        <v>0</v>
      </c>
      <c r="L368" s="65">
        <f ca="1">SUMIFS(OFFSET('BPC Data'!$F:$F,0,Summary!L$2),'BPC Data'!$E:$E,Summary!$D368,'BPC Data'!$B:$B,Summary!$C368)</f>
        <v>0</v>
      </c>
      <c r="M368" s="61">
        <f ca="1">SUMIFS(OFFSET('BPC Data'!$F:$F,0,Summary!M$2),'BPC Data'!$E:$E,Summary!$D368,'BPC Data'!$B:$B,Summary!$C368)</f>
        <v>0</v>
      </c>
      <c r="N368" s="65">
        <f ca="1">SUMIFS(OFFSET('BPC Data'!$F:$F,0,Summary!N$2),'BPC Data'!$E:$E,Summary!$D368,'BPC Data'!$B:$B,Summary!$C368)</f>
        <v>0</v>
      </c>
      <c r="O368" s="61">
        <f ca="1">SUMIFS(OFFSET('BPC Data'!$F:$F,0,Summary!O$2),'BPC Data'!$E:$E,Summary!$D368,'BPC Data'!$B:$B,Summary!$C368)</f>
        <v>0</v>
      </c>
      <c r="P368" s="65">
        <f ca="1">SUMIFS(OFFSET('BPC Data'!$F:$F,0,Summary!P$2),'BPC Data'!$E:$E,Summary!$D368,'BPC Data'!$B:$B,Summary!$C368)</f>
        <v>0</v>
      </c>
      <c r="Q368" s="61">
        <f ca="1">SUMIFS(OFFSET('BPC Data'!$F:$F,0,Summary!Q$2),'BPC Data'!$E:$E,Summary!$D368,'BPC Data'!$B:$B,Summary!$C368)</f>
        <v>0</v>
      </c>
      <c r="R368" s="65">
        <f ca="1">SUMIFS(OFFSET('BPC Data'!$F:$F,0,Summary!R$2),'BPC Data'!$E:$E,Summary!$D368,'BPC Data'!$B:$B,Summary!$C368)</f>
        <v>0</v>
      </c>
      <c r="S368" s="23"/>
      <c r="T368" s="76"/>
      <c r="AJ368" s="49"/>
      <c r="AK368" s="49"/>
      <c r="AL368" s="49"/>
      <c r="AM368" s="49"/>
      <c r="AN368" s="49"/>
      <c r="AO368" s="49"/>
      <c r="AP368" s="49"/>
      <c r="AQ368" s="49"/>
      <c r="AR368" s="49"/>
      <c r="AS368" s="49"/>
      <c r="AT368" s="49"/>
      <c r="AU368" s="49"/>
    </row>
    <row r="369" spans="1:47" s="12" customFormat="1" hidden="1" outlineLevel="1">
      <c r="A369" s="12">
        <f t="shared" si="455"/>
        <v>33</v>
      </c>
      <c r="B369"/>
      <c r="C369">
        <f>$F361</f>
        <v>0</v>
      </c>
      <c r="D369" s="1" t="str">
        <f t="shared" si="453"/>
        <v>T_EBITDAR - EBITDAR</v>
      </c>
      <c r="E369"/>
      <c r="F369" s="19" t="str">
        <f>_xll.EVDES(D369)</f>
        <v>EBITDAR</v>
      </c>
      <c r="G369" s="61">
        <f ca="1">SUMIFS(OFFSET('BPC Data'!$F:$F,0,Summary!G$2),'BPC Data'!$E:$E,Summary!$D369,'BPC Data'!$B:$B,Summary!$C369)</f>
        <v>0</v>
      </c>
      <c r="H369" s="65">
        <f ca="1">SUMIFS(OFFSET('BPC Data'!$F:$F,0,Summary!H$2),'BPC Data'!$E:$E,Summary!$D369,'BPC Data'!$B:$B,Summary!$C369)</f>
        <v>0</v>
      </c>
      <c r="I369" s="61">
        <f ca="1">SUMIFS(OFFSET('BPC Data'!$F:$F,0,Summary!I$2),'BPC Data'!$E:$E,Summary!$D369,'BPC Data'!$B:$B,Summary!$C369)</f>
        <v>0</v>
      </c>
      <c r="J369" s="65">
        <f ca="1">SUMIFS(OFFSET('BPC Data'!$F:$F,0,Summary!J$2),'BPC Data'!$E:$E,Summary!$D369,'BPC Data'!$B:$B,Summary!$C369)</f>
        <v>0</v>
      </c>
      <c r="K369" s="61">
        <f ca="1">SUMIFS(OFFSET('BPC Data'!$F:$F,0,Summary!K$2),'BPC Data'!$E:$E,Summary!$D369,'BPC Data'!$B:$B,Summary!$C369)</f>
        <v>0</v>
      </c>
      <c r="L369" s="65">
        <f ca="1">SUMIFS(OFFSET('BPC Data'!$F:$F,0,Summary!L$2),'BPC Data'!$E:$E,Summary!$D369,'BPC Data'!$B:$B,Summary!$C369)</f>
        <v>0</v>
      </c>
      <c r="M369" s="61">
        <f ca="1">SUMIFS(OFFSET('BPC Data'!$F:$F,0,Summary!M$2),'BPC Data'!$E:$E,Summary!$D369,'BPC Data'!$B:$B,Summary!$C369)</f>
        <v>0</v>
      </c>
      <c r="N369" s="65">
        <f ca="1">SUMIFS(OFFSET('BPC Data'!$F:$F,0,Summary!N$2),'BPC Data'!$E:$E,Summary!$D369,'BPC Data'!$B:$B,Summary!$C369)</f>
        <v>0</v>
      </c>
      <c r="O369" s="61">
        <f ca="1">SUMIFS(OFFSET('BPC Data'!$F:$F,0,Summary!O$2),'BPC Data'!$E:$E,Summary!$D369,'BPC Data'!$B:$B,Summary!$C369)</f>
        <v>0</v>
      </c>
      <c r="P369" s="65">
        <f ca="1">SUMIFS(OFFSET('BPC Data'!$F:$F,0,Summary!P$2),'BPC Data'!$E:$E,Summary!$D369,'BPC Data'!$B:$B,Summary!$C369)</f>
        <v>0</v>
      </c>
      <c r="Q369" s="61">
        <f ca="1">SUMIFS(OFFSET('BPC Data'!$F:$F,0,Summary!Q$2),'BPC Data'!$E:$E,Summary!$D369,'BPC Data'!$B:$B,Summary!$C369)</f>
        <v>0</v>
      </c>
      <c r="R369" s="65">
        <f ca="1">SUMIFS(OFFSET('BPC Data'!$F:$F,0,Summary!R$2),'BPC Data'!$E:$E,Summary!$D369,'BPC Data'!$B:$B,Summary!$C369)</f>
        <v>0</v>
      </c>
      <c r="S369" s="23"/>
      <c r="T369" s="76"/>
      <c r="AJ369" s="49"/>
      <c r="AK369" s="49"/>
      <c r="AL369" s="49"/>
      <c r="AM369" s="49"/>
      <c r="AN369" s="49"/>
      <c r="AO369" s="49"/>
      <c r="AP369" s="49"/>
      <c r="AQ369" s="49"/>
      <c r="AR369" s="49"/>
      <c r="AS369" s="49"/>
      <c r="AT369" s="49"/>
      <c r="AU369" s="49"/>
    </row>
    <row r="370" spans="1:47" s="12" customFormat="1" hidden="1" outlineLevel="1">
      <c r="A370" s="12">
        <f t="shared" si="455"/>
        <v>33</v>
      </c>
      <c r="B370"/>
      <c r="C370">
        <f>$F361</f>
        <v>0</v>
      </c>
      <c r="D370" s="1" t="str">
        <f t="shared" si="453"/>
        <v>T_RENT_EXP - Tenant Rent Expense</v>
      </c>
      <c r="E370"/>
      <c r="F370" s="19" t="str">
        <f>_xll.EVDES(D370)</f>
        <v>Tenant Rent Expense</v>
      </c>
      <c r="G370" s="61">
        <f ca="1">SUMIFS(OFFSET('BPC Data'!$F:$F,0,Summary!G$2),'BPC Data'!$E:$E,Summary!$D370,'BPC Data'!$B:$B,Summary!$C370)</f>
        <v>0</v>
      </c>
      <c r="H370" s="65">
        <f ca="1">SUMIFS(OFFSET('BPC Data'!$F:$F,0,Summary!H$2),'BPC Data'!$E:$E,Summary!$D370,'BPC Data'!$B:$B,Summary!$C370)</f>
        <v>0</v>
      </c>
      <c r="I370" s="61">
        <f ca="1">SUMIFS(OFFSET('BPC Data'!$F:$F,0,Summary!I$2),'BPC Data'!$E:$E,Summary!$D370,'BPC Data'!$B:$B,Summary!$C370)</f>
        <v>0</v>
      </c>
      <c r="J370" s="65">
        <f ca="1">SUMIFS(OFFSET('BPC Data'!$F:$F,0,Summary!J$2),'BPC Data'!$E:$E,Summary!$D370,'BPC Data'!$B:$B,Summary!$C370)</f>
        <v>0</v>
      </c>
      <c r="K370" s="61">
        <f ca="1">SUMIFS(OFFSET('BPC Data'!$F:$F,0,Summary!K$2),'BPC Data'!$E:$E,Summary!$D370,'BPC Data'!$B:$B,Summary!$C370)</f>
        <v>0</v>
      </c>
      <c r="L370" s="65">
        <f ca="1">SUMIFS(OFFSET('BPC Data'!$F:$F,0,Summary!L$2),'BPC Data'!$E:$E,Summary!$D370,'BPC Data'!$B:$B,Summary!$C370)</f>
        <v>0</v>
      </c>
      <c r="M370" s="61">
        <f ca="1">SUMIFS(OFFSET('BPC Data'!$F:$F,0,Summary!M$2),'BPC Data'!$E:$E,Summary!$D370,'BPC Data'!$B:$B,Summary!$C370)</f>
        <v>0</v>
      </c>
      <c r="N370" s="65">
        <f ca="1">SUMIFS(OFFSET('BPC Data'!$F:$F,0,Summary!N$2),'BPC Data'!$E:$E,Summary!$D370,'BPC Data'!$B:$B,Summary!$C370)</f>
        <v>0</v>
      </c>
      <c r="O370" s="61">
        <f ca="1">SUMIFS(OFFSET('BPC Data'!$F:$F,0,Summary!O$2),'BPC Data'!$E:$E,Summary!$D370,'BPC Data'!$B:$B,Summary!$C370)</f>
        <v>0</v>
      </c>
      <c r="P370" s="65">
        <f ca="1">SUMIFS(OFFSET('BPC Data'!$F:$F,0,Summary!P$2),'BPC Data'!$E:$E,Summary!$D370,'BPC Data'!$B:$B,Summary!$C370)</f>
        <v>0</v>
      </c>
      <c r="Q370" s="61">
        <f ca="1">SUMIFS(OFFSET('BPC Data'!$F:$F,0,Summary!Q$2),'BPC Data'!$E:$E,Summary!$D370,'BPC Data'!$B:$B,Summary!$C370)</f>
        <v>0</v>
      </c>
      <c r="R370" s="65">
        <f ca="1">SUMIFS(OFFSET('BPC Data'!$F:$F,0,Summary!R$2),'BPC Data'!$E:$E,Summary!$D370,'BPC Data'!$B:$B,Summary!$C370)</f>
        <v>0</v>
      </c>
      <c r="S370" s="23"/>
      <c r="T370" s="76"/>
      <c r="AJ370" s="49"/>
      <c r="AK370" s="49"/>
      <c r="AL370" s="49"/>
      <c r="AM370" s="49"/>
      <c r="AN370" s="49"/>
      <c r="AO370" s="49"/>
      <c r="AP370" s="49"/>
      <c r="AQ370" s="49"/>
      <c r="AR370" s="49"/>
      <c r="AS370" s="49"/>
      <c r="AT370" s="49"/>
      <c r="AU370" s="49"/>
    </row>
    <row r="371" spans="1:47" s="12" customFormat="1" hidden="1" outlineLevel="1">
      <c r="A371" s="12">
        <f t="shared" si="455"/>
        <v>33</v>
      </c>
      <c r="B371"/>
      <c r="C371"/>
      <c r="D371" s="1" t="str">
        <f t="shared" si="453"/>
        <v>x</v>
      </c>
      <c r="E371"/>
      <c r="F371" s="19" t="s">
        <v>0</v>
      </c>
      <c r="G371" s="61">
        <f ca="1">SUMIFS(OFFSET('BPC Data'!$F:$F,0,Summary!G$2),'BPC Data'!$E:$E,Summary!$D371,'BPC Data'!$B:$B,Summary!$C371)</f>
        <v>0</v>
      </c>
      <c r="H371" s="65">
        <f ca="1">SUMIFS(OFFSET('BPC Data'!$F:$F,0,Summary!H$2),'BPC Data'!$E:$E,Summary!$D371,'BPC Data'!$B:$B,Summary!$C371)</f>
        <v>0</v>
      </c>
      <c r="I371" s="61">
        <f ca="1">SUMIFS(OFFSET('BPC Data'!$F:$F,0,Summary!I$2),'BPC Data'!$E:$E,Summary!$D371,'BPC Data'!$B:$B,Summary!$C371)</f>
        <v>0</v>
      </c>
      <c r="J371" s="65">
        <f ca="1">SUMIFS(OFFSET('BPC Data'!$F:$F,0,Summary!J$2),'BPC Data'!$E:$E,Summary!$D371,'BPC Data'!$B:$B,Summary!$C371)</f>
        <v>0</v>
      </c>
      <c r="K371" s="61">
        <f ca="1">SUMIFS(OFFSET('BPC Data'!$F:$F,0,Summary!K$2),'BPC Data'!$E:$E,Summary!$D371,'BPC Data'!$B:$B,Summary!$C371)</f>
        <v>0</v>
      </c>
      <c r="L371" s="65">
        <f ca="1">SUMIFS(OFFSET('BPC Data'!$F:$F,0,Summary!L$2),'BPC Data'!$E:$E,Summary!$D371,'BPC Data'!$B:$B,Summary!$C371)</f>
        <v>0</v>
      </c>
      <c r="M371" s="61">
        <f ca="1">SUMIFS(OFFSET('BPC Data'!$F:$F,0,Summary!M$2),'BPC Data'!$E:$E,Summary!$D371,'BPC Data'!$B:$B,Summary!$C371)</f>
        <v>0</v>
      </c>
      <c r="N371" s="65">
        <f ca="1">SUMIFS(OFFSET('BPC Data'!$F:$F,0,Summary!N$2),'BPC Data'!$E:$E,Summary!$D371,'BPC Data'!$B:$B,Summary!$C371)</f>
        <v>0</v>
      </c>
      <c r="O371" s="61">
        <f ca="1">SUMIFS(OFFSET('BPC Data'!$F:$F,0,Summary!O$2),'BPC Data'!$E:$E,Summary!$D371,'BPC Data'!$B:$B,Summary!$C371)</f>
        <v>0</v>
      </c>
      <c r="P371" s="65">
        <f ca="1">SUMIFS(OFFSET('BPC Data'!$F:$F,0,Summary!P$2),'BPC Data'!$E:$E,Summary!$D371,'BPC Data'!$B:$B,Summary!$C371)</f>
        <v>0</v>
      </c>
      <c r="Q371" s="61">
        <f ca="1">SUMIFS(OFFSET('BPC Data'!$F:$F,0,Summary!Q$2),'BPC Data'!$E:$E,Summary!$D371,'BPC Data'!$B:$B,Summary!$C371)</f>
        <v>0</v>
      </c>
      <c r="R371" s="65">
        <f ca="1">SUMIFS(OFFSET('BPC Data'!$F:$F,0,Summary!R$2),'BPC Data'!$E:$E,Summary!$D371,'BPC Data'!$B:$B,Summary!$C371)</f>
        <v>0</v>
      </c>
      <c r="S371" s="23"/>
      <c r="T371" s="76"/>
      <c r="AJ371" s="49"/>
      <c r="AK371" s="49"/>
      <c r="AL371" s="49"/>
      <c r="AM371" s="49"/>
      <c r="AN371" s="49"/>
      <c r="AO371" s="49"/>
      <c r="AP371" s="49"/>
      <c r="AQ371" s="49"/>
      <c r="AR371" s="49"/>
      <c r="AS371" s="49"/>
      <c r="AT371" s="49"/>
      <c r="AU371" s="49"/>
    </row>
    <row r="372" spans="1:47" s="12" customFormat="1" hidden="1" outlineLevel="1">
      <c r="A372" s="12">
        <f>IF(AND(D372&lt;&gt;"",C372=""),A371+1,A371)</f>
        <v>34</v>
      </c>
      <c r="B372" s="5"/>
      <c r="C372" s="5"/>
      <c r="D372" s="5" t="str">
        <f t="shared" si="453"/>
        <v>x</v>
      </c>
      <c r="E372" s="5"/>
      <c r="F372" s="18">
        <f>INDEX(PropertyList!$D:$D,MATCH(Summary!$A372,PropertyList!$C:$C,0))</f>
        <v>0</v>
      </c>
      <c r="G372" s="61">
        <f ca="1">SUMIFS(OFFSET('BPC Data'!$F:$F,0,Summary!G$2),'BPC Data'!$E:$E,Summary!$D372,'BPC Data'!$B:$B,Summary!$C372)</f>
        <v>0</v>
      </c>
      <c r="H372" s="65">
        <f ca="1">SUMIFS(OFFSET('BPC Data'!$F:$F,0,Summary!H$2),'BPC Data'!$E:$E,Summary!$D372,'BPC Data'!$B:$B,Summary!$C372)</f>
        <v>0</v>
      </c>
      <c r="I372" s="61">
        <f ca="1">SUMIFS(OFFSET('BPC Data'!$F:$F,0,Summary!I$2),'BPC Data'!$E:$E,Summary!$D372,'BPC Data'!$B:$B,Summary!$C372)</f>
        <v>0</v>
      </c>
      <c r="J372" s="65">
        <f ca="1">SUMIFS(OFFSET('BPC Data'!$F:$F,0,Summary!J$2),'BPC Data'!$E:$E,Summary!$D372,'BPC Data'!$B:$B,Summary!$C372)</f>
        <v>0</v>
      </c>
      <c r="K372" s="61">
        <f ca="1">SUMIFS(OFFSET('BPC Data'!$F:$F,0,Summary!K$2),'BPC Data'!$E:$E,Summary!$D372,'BPC Data'!$B:$B,Summary!$C372)</f>
        <v>0</v>
      </c>
      <c r="L372" s="65">
        <f ca="1">SUMIFS(OFFSET('BPC Data'!$F:$F,0,Summary!L$2),'BPC Data'!$E:$E,Summary!$D372,'BPC Data'!$B:$B,Summary!$C372)</f>
        <v>0</v>
      </c>
      <c r="M372" s="61">
        <f ca="1">SUMIFS(OFFSET('BPC Data'!$F:$F,0,Summary!M$2),'BPC Data'!$E:$E,Summary!$D372,'BPC Data'!$B:$B,Summary!$C372)</f>
        <v>0</v>
      </c>
      <c r="N372" s="65">
        <f ca="1">SUMIFS(OFFSET('BPC Data'!$F:$F,0,Summary!N$2),'BPC Data'!$E:$E,Summary!$D372,'BPC Data'!$B:$B,Summary!$C372)</f>
        <v>0</v>
      </c>
      <c r="O372" s="61">
        <f ca="1">SUMIFS(OFFSET('BPC Data'!$F:$F,0,Summary!O$2),'BPC Data'!$E:$E,Summary!$D372,'BPC Data'!$B:$B,Summary!$C372)</f>
        <v>0</v>
      </c>
      <c r="P372" s="65">
        <f ca="1">SUMIFS(OFFSET('BPC Data'!$F:$F,0,Summary!P$2),'BPC Data'!$E:$E,Summary!$D372,'BPC Data'!$B:$B,Summary!$C372)</f>
        <v>0</v>
      </c>
      <c r="Q372" s="61">
        <f ca="1">SUMIFS(OFFSET('BPC Data'!$F:$F,0,Summary!Q$2),'BPC Data'!$E:$E,Summary!$D372,'BPC Data'!$B:$B,Summary!$C372)</f>
        <v>0</v>
      </c>
      <c r="R372" s="65">
        <f ca="1">SUMIFS(OFFSET('BPC Data'!$F:$F,0,Summary!R$2),'BPC Data'!$E:$E,Summary!$D372,'BPC Data'!$B:$B,Summary!$C372)</f>
        <v>0</v>
      </c>
      <c r="S372" s="23"/>
      <c r="T372" s="76"/>
      <c r="AJ372" s="49"/>
      <c r="AK372" s="49"/>
      <c r="AL372" s="49"/>
      <c r="AM372" s="49"/>
      <c r="AN372" s="49"/>
      <c r="AO372" s="49"/>
      <c r="AP372" s="49"/>
      <c r="AQ372" s="49"/>
      <c r="AR372" s="49"/>
      <c r="AS372" s="49"/>
      <c r="AT372" s="49"/>
      <c r="AU372" s="49"/>
    </row>
    <row r="373" spans="1:47" s="12" customFormat="1" hidden="1" outlineLevel="1">
      <c r="A373" s="12">
        <f>IF(AND(F373&lt;&gt;"",D373=""),A372+1,A372)</f>
        <v>34</v>
      </c>
      <c r="C373">
        <f>$F372</f>
        <v>0</v>
      </c>
      <c r="D373" s="3" t="str">
        <f t="shared" si="453"/>
        <v>PAY_PAT_DAYS - Total Payor Patient Days</v>
      </c>
      <c r="F373" s="19" t="str">
        <f>_xll.EVDES(D373)</f>
        <v>Total Payor Patient Days</v>
      </c>
      <c r="G373" s="61">
        <f ca="1">SUMIFS(OFFSET('BPC Data'!$F:$F,0,Summary!G$2),'BPC Data'!$E:$E,Summary!$D373,'BPC Data'!$B:$B,Summary!$C373)</f>
        <v>0</v>
      </c>
      <c r="H373" s="65">
        <f ca="1">SUMIFS(OFFSET('BPC Data'!$F:$F,0,Summary!H$2),'BPC Data'!$E:$E,Summary!$D373,'BPC Data'!$B:$B,Summary!$C373)</f>
        <v>0</v>
      </c>
      <c r="I373" s="61">
        <f ca="1">SUMIFS(OFFSET('BPC Data'!$F:$F,0,Summary!I$2),'BPC Data'!$E:$E,Summary!$D373,'BPC Data'!$B:$B,Summary!$C373)</f>
        <v>0</v>
      </c>
      <c r="J373" s="65">
        <f ca="1">SUMIFS(OFFSET('BPC Data'!$F:$F,0,Summary!J$2),'BPC Data'!$E:$E,Summary!$D373,'BPC Data'!$B:$B,Summary!$C373)</f>
        <v>0</v>
      </c>
      <c r="K373" s="61">
        <f ca="1">SUMIFS(OFFSET('BPC Data'!$F:$F,0,Summary!K$2),'BPC Data'!$E:$E,Summary!$D373,'BPC Data'!$B:$B,Summary!$C373)</f>
        <v>0</v>
      </c>
      <c r="L373" s="65">
        <f ca="1">SUMIFS(OFFSET('BPC Data'!$F:$F,0,Summary!L$2),'BPC Data'!$E:$E,Summary!$D373,'BPC Data'!$B:$B,Summary!$C373)</f>
        <v>0</v>
      </c>
      <c r="M373" s="61">
        <f ca="1">SUMIFS(OFFSET('BPC Data'!$F:$F,0,Summary!M$2),'BPC Data'!$E:$E,Summary!$D373,'BPC Data'!$B:$B,Summary!$C373)</f>
        <v>0</v>
      </c>
      <c r="N373" s="65">
        <f ca="1">SUMIFS(OFFSET('BPC Data'!$F:$F,0,Summary!N$2),'BPC Data'!$E:$E,Summary!$D373,'BPC Data'!$B:$B,Summary!$C373)</f>
        <v>0</v>
      </c>
      <c r="O373" s="61">
        <f ca="1">SUMIFS(OFFSET('BPC Data'!$F:$F,0,Summary!O$2),'BPC Data'!$E:$E,Summary!$D373,'BPC Data'!$B:$B,Summary!$C373)</f>
        <v>0</v>
      </c>
      <c r="P373" s="65">
        <f ca="1">SUMIFS(OFFSET('BPC Data'!$F:$F,0,Summary!P$2),'BPC Data'!$E:$E,Summary!$D373,'BPC Data'!$B:$B,Summary!$C373)</f>
        <v>0</v>
      </c>
      <c r="Q373" s="61">
        <f ca="1">SUMIFS(OFFSET('BPC Data'!$F:$F,0,Summary!Q$2),'BPC Data'!$E:$E,Summary!$D373,'BPC Data'!$B:$B,Summary!$C373)</f>
        <v>0</v>
      </c>
      <c r="R373" s="65">
        <f ca="1">SUMIFS(OFFSET('BPC Data'!$F:$F,0,Summary!R$2),'BPC Data'!$E:$E,Summary!$D373,'BPC Data'!$B:$B,Summary!$C373)</f>
        <v>0</v>
      </c>
      <c r="S373" s="23"/>
      <c r="T373" s="76"/>
      <c r="AJ373" s="49"/>
      <c r="AK373" s="49"/>
      <c r="AL373" s="49"/>
      <c r="AM373" s="49"/>
      <c r="AN373" s="49"/>
      <c r="AO373" s="49"/>
      <c r="AP373" s="49"/>
      <c r="AQ373" s="49"/>
      <c r="AR373" s="49"/>
      <c r="AS373" s="49"/>
      <c r="AT373" s="49"/>
      <c r="AU373" s="49"/>
    </row>
    <row r="374" spans="1:47" s="12" customFormat="1" hidden="1" outlineLevel="1">
      <c r="A374" s="12">
        <f t="shared" ref="A374:A382" si="456">IF(AND(F374&lt;&gt;"",D374=""),A373+1,A373)</f>
        <v>34</v>
      </c>
      <c r="C374">
        <f>$F372</f>
        <v>0</v>
      </c>
      <c r="D374" s="3" t="str">
        <f t="shared" si="453"/>
        <v>A_BEDS_TOTAL - Total Available Beds</v>
      </c>
      <c r="F374" s="19" t="str">
        <f>_xll.EVDES(D374)</f>
        <v>Total Available Beds</v>
      </c>
      <c r="G374" s="61">
        <f ca="1">SUMIFS(OFFSET('BPC Data'!$F:$F,0,Summary!G$2),'BPC Data'!$E:$E,Summary!$D374,'BPC Data'!$B:$B,Summary!$C374)</f>
        <v>0</v>
      </c>
      <c r="H374" s="65">
        <f ca="1">SUMIFS(OFFSET('BPC Data'!$F:$F,0,Summary!H$2),'BPC Data'!$E:$E,Summary!$D374,'BPC Data'!$B:$B,Summary!$C374)</f>
        <v>0</v>
      </c>
      <c r="I374" s="61">
        <f ca="1">SUMIFS(OFFSET('BPC Data'!$F:$F,0,Summary!I$2),'BPC Data'!$E:$E,Summary!$D374,'BPC Data'!$B:$B,Summary!$C374)</f>
        <v>0</v>
      </c>
      <c r="J374" s="65">
        <f ca="1">SUMIFS(OFFSET('BPC Data'!$F:$F,0,Summary!J$2),'BPC Data'!$E:$E,Summary!$D374,'BPC Data'!$B:$B,Summary!$C374)</f>
        <v>0</v>
      </c>
      <c r="K374" s="61">
        <f ca="1">SUMIFS(OFFSET('BPC Data'!$F:$F,0,Summary!K$2),'BPC Data'!$E:$E,Summary!$D374,'BPC Data'!$B:$B,Summary!$C374)</f>
        <v>0</v>
      </c>
      <c r="L374" s="65">
        <f ca="1">SUMIFS(OFFSET('BPC Data'!$F:$F,0,Summary!L$2),'BPC Data'!$E:$E,Summary!$D374,'BPC Data'!$B:$B,Summary!$C374)</f>
        <v>0</v>
      </c>
      <c r="M374" s="61">
        <f ca="1">SUMIFS(OFFSET('BPC Data'!$F:$F,0,Summary!M$2),'BPC Data'!$E:$E,Summary!$D374,'BPC Data'!$B:$B,Summary!$C374)</f>
        <v>0</v>
      </c>
      <c r="N374" s="65">
        <f ca="1">SUMIFS(OFFSET('BPC Data'!$F:$F,0,Summary!N$2),'BPC Data'!$E:$E,Summary!$D374,'BPC Data'!$B:$B,Summary!$C374)</f>
        <v>0</v>
      </c>
      <c r="O374" s="61">
        <f ca="1">SUMIFS(OFFSET('BPC Data'!$F:$F,0,Summary!O$2),'BPC Data'!$E:$E,Summary!$D374,'BPC Data'!$B:$B,Summary!$C374)</f>
        <v>0</v>
      </c>
      <c r="P374" s="65">
        <f ca="1">SUMIFS(OFFSET('BPC Data'!$F:$F,0,Summary!P$2),'BPC Data'!$E:$E,Summary!$D374,'BPC Data'!$B:$B,Summary!$C374)</f>
        <v>0</v>
      </c>
      <c r="Q374" s="61">
        <f ca="1">SUMIFS(OFFSET('BPC Data'!$F:$F,0,Summary!Q$2),'BPC Data'!$E:$E,Summary!$D374,'BPC Data'!$B:$B,Summary!$C374)</f>
        <v>0</v>
      </c>
      <c r="R374" s="65">
        <f ca="1">SUMIFS(OFFSET('BPC Data'!$F:$F,0,Summary!R$2),'BPC Data'!$E:$E,Summary!$D374,'BPC Data'!$B:$B,Summary!$C374)</f>
        <v>0</v>
      </c>
      <c r="S374" s="23"/>
      <c r="T374" s="76"/>
      <c r="AJ374" s="49"/>
      <c r="AK374" s="49"/>
      <c r="AL374" s="49"/>
      <c r="AM374" s="49"/>
      <c r="AN374" s="49"/>
      <c r="AO374" s="49"/>
      <c r="AP374" s="49"/>
      <c r="AQ374" s="49"/>
      <c r="AR374" s="49"/>
      <c r="AS374" s="49"/>
      <c r="AT374" s="49"/>
      <c r="AU374" s="49"/>
    </row>
    <row r="375" spans="1:47" s="12" customFormat="1" hidden="1" outlineLevel="1">
      <c r="A375" s="12">
        <f t="shared" si="456"/>
        <v>34</v>
      </c>
      <c r="B375"/>
      <c r="C375">
        <f>$F372</f>
        <v>0</v>
      </c>
      <c r="D375" s="3" t="str">
        <f t="shared" si="453"/>
        <v>T_REVENUES - Total Tenant Revenues</v>
      </c>
      <c r="E375"/>
      <c r="F375" s="19" t="str">
        <f>_xll.EVDES(D375)</f>
        <v>Total Tenant Revenues</v>
      </c>
      <c r="G375" s="61">
        <f ca="1">SUMIFS(OFFSET('BPC Data'!$F:$F,0,Summary!G$2),'BPC Data'!$E:$E,Summary!$D375,'BPC Data'!$B:$B,Summary!$C375)</f>
        <v>0</v>
      </c>
      <c r="H375" s="65">
        <f ca="1">SUMIFS(OFFSET('BPC Data'!$F:$F,0,Summary!H$2),'BPC Data'!$E:$E,Summary!$D375,'BPC Data'!$B:$B,Summary!$C375)</f>
        <v>0</v>
      </c>
      <c r="I375" s="61">
        <f ca="1">SUMIFS(OFFSET('BPC Data'!$F:$F,0,Summary!I$2),'BPC Data'!$E:$E,Summary!$D375,'BPC Data'!$B:$B,Summary!$C375)</f>
        <v>0</v>
      </c>
      <c r="J375" s="65">
        <f ca="1">SUMIFS(OFFSET('BPC Data'!$F:$F,0,Summary!J$2),'BPC Data'!$E:$E,Summary!$D375,'BPC Data'!$B:$B,Summary!$C375)</f>
        <v>0</v>
      </c>
      <c r="K375" s="61">
        <f ca="1">SUMIFS(OFFSET('BPC Data'!$F:$F,0,Summary!K$2),'BPC Data'!$E:$E,Summary!$D375,'BPC Data'!$B:$B,Summary!$C375)</f>
        <v>0</v>
      </c>
      <c r="L375" s="65">
        <f ca="1">SUMIFS(OFFSET('BPC Data'!$F:$F,0,Summary!L$2),'BPC Data'!$E:$E,Summary!$D375,'BPC Data'!$B:$B,Summary!$C375)</f>
        <v>0</v>
      </c>
      <c r="M375" s="61">
        <f ca="1">SUMIFS(OFFSET('BPC Data'!$F:$F,0,Summary!M$2),'BPC Data'!$E:$E,Summary!$D375,'BPC Data'!$B:$B,Summary!$C375)</f>
        <v>0</v>
      </c>
      <c r="N375" s="65">
        <f ca="1">SUMIFS(OFFSET('BPC Data'!$F:$F,0,Summary!N$2),'BPC Data'!$E:$E,Summary!$D375,'BPC Data'!$B:$B,Summary!$C375)</f>
        <v>0</v>
      </c>
      <c r="O375" s="61">
        <f ca="1">SUMIFS(OFFSET('BPC Data'!$F:$F,0,Summary!O$2),'BPC Data'!$E:$E,Summary!$D375,'BPC Data'!$B:$B,Summary!$C375)</f>
        <v>0</v>
      </c>
      <c r="P375" s="65">
        <f ca="1">SUMIFS(OFFSET('BPC Data'!$F:$F,0,Summary!P$2),'BPC Data'!$E:$E,Summary!$D375,'BPC Data'!$B:$B,Summary!$C375)</f>
        <v>0</v>
      </c>
      <c r="Q375" s="61">
        <f ca="1">SUMIFS(OFFSET('BPC Data'!$F:$F,0,Summary!Q$2),'BPC Data'!$E:$E,Summary!$D375,'BPC Data'!$B:$B,Summary!$C375)</f>
        <v>0</v>
      </c>
      <c r="R375" s="65">
        <f ca="1">SUMIFS(OFFSET('BPC Data'!$F:$F,0,Summary!R$2),'BPC Data'!$E:$E,Summary!$D375,'BPC Data'!$B:$B,Summary!$C375)</f>
        <v>0</v>
      </c>
      <c r="S375" s="23"/>
      <c r="T375" s="76"/>
      <c r="AJ375" s="49"/>
      <c r="AK375" s="49"/>
      <c r="AL375" s="49"/>
      <c r="AM375" s="49"/>
      <c r="AN375" s="49"/>
      <c r="AO375" s="49"/>
      <c r="AP375" s="49"/>
      <c r="AQ375" s="49"/>
      <c r="AR375" s="49"/>
      <c r="AS375" s="49"/>
      <c r="AT375" s="49"/>
      <c r="AU375" s="49"/>
    </row>
    <row r="376" spans="1:47" s="12" customFormat="1" hidden="1" outlineLevel="1">
      <c r="A376" s="12">
        <f t="shared" si="456"/>
        <v>34</v>
      </c>
      <c r="B376"/>
      <c r="C376">
        <f>$F372</f>
        <v>0</v>
      </c>
      <c r="D376" s="3" t="str">
        <f t="shared" si="453"/>
        <v>T_OPEX - Tenant Operating Expenses</v>
      </c>
      <c r="E376"/>
      <c r="F376" s="19" t="str">
        <f>_xll.EVDES(D376)</f>
        <v>Tenant Operating Expenses</v>
      </c>
      <c r="G376" s="61">
        <f ca="1">SUMIFS(OFFSET('BPC Data'!$F:$F,0,Summary!G$2),'BPC Data'!$E:$E,Summary!$D376,'BPC Data'!$B:$B,Summary!$C376)</f>
        <v>0</v>
      </c>
      <c r="H376" s="65">
        <f ca="1">SUMIFS(OFFSET('BPC Data'!$F:$F,0,Summary!H$2),'BPC Data'!$E:$E,Summary!$D376,'BPC Data'!$B:$B,Summary!$C376)</f>
        <v>0</v>
      </c>
      <c r="I376" s="61">
        <f ca="1">SUMIFS(OFFSET('BPC Data'!$F:$F,0,Summary!I$2),'BPC Data'!$E:$E,Summary!$D376,'BPC Data'!$B:$B,Summary!$C376)</f>
        <v>0</v>
      </c>
      <c r="J376" s="65">
        <f ca="1">SUMIFS(OFFSET('BPC Data'!$F:$F,0,Summary!J$2),'BPC Data'!$E:$E,Summary!$D376,'BPC Data'!$B:$B,Summary!$C376)</f>
        <v>0</v>
      </c>
      <c r="K376" s="61">
        <f ca="1">SUMIFS(OFFSET('BPC Data'!$F:$F,0,Summary!K$2),'BPC Data'!$E:$E,Summary!$D376,'BPC Data'!$B:$B,Summary!$C376)</f>
        <v>0</v>
      </c>
      <c r="L376" s="65">
        <f ca="1">SUMIFS(OFFSET('BPC Data'!$F:$F,0,Summary!L$2),'BPC Data'!$E:$E,Summary!$D376,'BPC Data'!$B:$B,Summary!$C376)</f>
        <v>0</v>
      </c>
      <c r="M376" s="61">
        <f ca="1">SUMIFS(OFFSET('BPC Data'!$F:$F,0,Summary!M$2),'BPC Data'!$E:$E,Summary!$D376,'BPC Data'!$B:$B,Summary!$C376)</f>
        <v>0</v>
      </c>
      <c r="N376" s="65">
        <f ca="1">SUMIFS(OFFSET('BPC Data'!$F:$F,0,Summary!N$2),'BPC Data'!$E:$E,Summary!$D376,'BPC Data'!$B:$B,Summary!$C376)</f>
        <v>0</v>
      </c>
      <c r="O376" s="61">
        <f ca="1">SUMIFS(OFFSET('BPC Data'!$F:$F,0,Summary!O$2),'BPC Data'!$E:$E,Summary!$D376,'BPC Data'!$B:$B,Summary!$C376)</f>
        <v>0</v>
      </c>
      <c r="P376" s="65">
        <f ca="1">SUMIFS(OFFSET('BPC Data'!$F:$F,0,Summary!P$2),'BPC Data'!$E:$E,Summary!$D376,'BPC Data'!$B:$B,Summary!$C376)</f>
        <v>0</v>
      </c>
      <c r="Q376" s="61">
        <f ca="1">SUMIFS(OFFSET('BPC Data'!$F:$F,0,Summary!Q$2),'BPC Data'!$E:$E,Summary!$D376,'BPC Data'!$B:$B,Summary!$C376)</f>
        <v>0</v>
      </c>
      <c r="R376" s="65">
        <f ca="1">SUMIFS(OFFSET('BPC Data'!$F:$F,0,Summary!R$2),'BPC Data'!$E:$E,Summary!$D376,'BPC Data'!$B:$B,Summary!$C376)</f>
        <v>0</v>
      </c>
      <c r="S376" s="23"/>
      <c r="T376" s="76"/>
      <c r="AJ376" s="49"/>
      <c r="AK376" s="49"/>
      <c r="AL376" s="49"/>
      <c r="AM376" s="49"/>
      <c r="AN376" s="49"/>
      <c r="AO376" s="49"/>
      <c r="AP376" s="49"/>
      <c r="AQ376" s="49"/>
      <c r="AR376" s="49"/>
      <c r="AS376" s="49"/>
      <c r="AT376" s="49"/>
      <c r="AU376" s="49"/>
    </row>
    <row r="377" spans="1:47" s="12" customFormat="1" hidden="1" outlineLevel="1">
      <c r="A377" s="12">
        <f t="shared" si="456"/>
        <v>34</v>
      </c>
      <c r="B377"/>
      <c r="C377">
        <f>$F372</f>
        <v>0</v>
      </c>
      <c r="D377" s="3" t="str">
        <f t="shared" si="453"/>
        <v>T_BAD_DEBT - Tenant Bad Debt Expense</v>
      </c>
      <c r="E377"/>
      <c r="F377" s="19" t="str">
        <f>_xll.EVDES(D377)</f>
        <v>Tenant Bad Debt Expense</v>
      </c>
      <c r="G377" s="61">
        <f ca="1">SUMIFS(OFFSET('BPC Data'!$F:$F,0,Summary!G$2),'BPC Data'!$E:$E,Summary!$D377,'BPC Data'!$B:$B,Summary!$C377)</f>
        <v>0</v>
      </c>
      <c r="H377" s="65">
        <f ca="1">SUMIFS(OFFSET('BPC Data'!$F:$F,0,Summary!H$2),'BPC Data'!$E:$E,Summary!$D377,'BPC Data'!$B:$B,Summary!$C377)</f>
        <v>0</v>
      </c>
      <c r="I377" s="61">
        <f ca="1">SUMIFS(OFFSET('BPC Data'!$F:$F,0,Summary!I$2),'BPC Data'!$E:$E,Summary!$D377,'BPC Data'!$B:$B,Summary!$C377)</f>
        <v>0</v>
      </c>
      <c r="J377" s="65">
        <f ca="1">SUMIFS(OFFSET('BPC Data'!$F:$F,0,Summary!J$2),'BPC Data'!$E:$E,Summary!$D377,'BPC Data'!$B:$B,Summary!$C377)</f>
        <v>0</v>
      </c>
      <c r="K377" s="61">
        <f ca="1">SUMIFS(OFFSET('BPC Data'!$F:$F,0,Summary!K$2),'BPC Data'!$E:$E,Summary!$D377,'BPC Data'!$B:$B,Summary!$C377)</f>
        <v>0</v>
      </c>
      <c r="L377" s="65">
        <f ca="1">SUMIFS(OFFSET('BPC Data'!$F:$F,0,Summary!L$2),'BPC Data'!$E:$E,Summary!$D377,'BPC Data'!$B:$B,Summary!$C377)</f>
        <v>0</v>
      </c>
      <c r="M377" s="61">
        <f ca="1">SUMIFS(OFFSET('BPC Data'!$F:$F,0,Summary!M$2),'BPC Data'!$E:$E,Summary!$D377,'BPC Data'!$B:$B,Summary!$C377)</f>
        <v>0</v>
      </c>
      <c r="N377" s="65">
        <f ca="1">SUMIFS(OFFSET('BPC Data'!$F:$F,0,Summary!N$2),'BPC Data'!$E:$E,Summary!$D377,'BPC Data'!$B:$B,Summary!$C377)</f>
        <v>0</v>
      </c>
      <c r="O377" s="61">
        <f ca="1">SUMIFS(OFFSET('BPC Data'!$F:$F,0,Summary!O$2),'BPC Data'!$E:$E,Summary!$D377,'BPC Data'!$B:$B,Summary!$C377)</f>
        <v>0</v>
      </c>
      <c r="P377" s="65">
        <f ca="1">SUMIFS(OFFSET('BPC Data'!$F:$F,0,Summary!P$2),'BPC Data'!$E:$E,Summary!$D377,'BPC Data'!$B:$B,Summary!$C377)</f>
        <v>0</v>
      </c>
      <c r="Q377" s="61">
        <f ca="1">SUMIFS(OFFSET('BPC Data'!$F:$F,0,Summary!Q$2),'BPC Data'!$E:$E,Summary!$D377,'BPC Data'!$B:$B,Summary!$C377)</f>
        <v>0</v>
      </c>
      <c r="R377" s="65">
        <f ca="1">SUMIFS(OFFSET('BPC Data'!$F:$F,0,Summary!R$2),'BPC Data'!$E:$E,Summary!$D377,'BPC Data'!$B:$B,Summary!$C377)</f>
        <v>0</v>
      </c>
      <c r="S377" s="23"/>
      <c r="T377" s="76"/>
      <c r="AJ377" s="49"/>
      <c r="AK377" s="49"/>
      <c r="AL377" s="49"/>
      <c r="AM377" s="49"/>
      <c r="AN377" s="49"/>
      <c r="AO377" s="49"/>
      <c r="AP377" s="49"/>
      <c r="AQ377" s="49"/>
      <c r="AR377" s="49"/>
      <c r="AS377" s="49"/>
      <c r="AT377" s="49"/>
      <c r="AU377" s="49"/>
    </row>
    <row r="378" spans="1:47" s="12" customFormat="1" hidden="1" outlineLevel="1">
      <c r="A378" s="12">
        <f t="shared" si="456"/>
        <v>34</v>
      </c>
      <c r="B378"/>
      <c r="C378">
        <f>$F372</f>
        <v>0</v>
      </c>
      <c r="D378" s="2" t="str">
        <f t="shared" si="453"/>
        <v>T_EBITDARM - EBITDARM</v>
      </c>
      <c r="E378"/>
      <c r="F378" s="19" t="str">
        <f>_xll.EVDES(D378)</f>
        <v>EBITDARM</v>
      </c>
      <c r="G378" s="61">
        <f ca="1">SUMIFS(OFFSET('BPC Data'!$F:$F,0,Summary!G$2),'BPC Data'!$E:$E,Summary!$D378,'BPC Data'!$B:$B,Summary!$C378)</f>
        <v>0</v>
      </c>
      <c r="H378" s="65">
        <f ca="1">SUMIFS(OFFSET('BPC Data'!$F:$F,0,Summary!H$2),'BPC Data'!$E:$E,Summary!$D378,'BPC Data'!$B:$B,Summary!$C378)</f>
        <v>0</v>
      </c>
      <c r="I378" s="61">
        <f ca="1">SUMIFS(OFFSET('BPC Data'!$F:$F,0,Summary!I$2),'BPC Data'!$E:$E,Summary!$D378,'BPC Data'!$B:$B,Summary!$C378)</f>
        <v>0</v>
      </c>
      <c r="J378" s="65">
        <f ca="1">SUMIFS(OFFSET('BPC Data'!$F:$F,0,Summary!J$2),'BPC Data'!$E:$E,Summary!$D378,'BPC Data'!$B:$B,Summary!$C378)</f>
        <v>0</v>
      </c>
      <c r="K378" s="61">
        <f ca="1">SUMIFS(OFFSET('BPC Data'!$F:$F,0,Summary!K$2),'BPC Data'!$E:$E,Summary!$D378,'BPC Data'!$B:$B,Summary!$C378)</f>
        <v>0</v>
      </c>
      <c r="L378" s="65">
        <f ca="1">SUMIFS(OFFSET('BPC Data'!$F:$F,0,Summary!L$2),'BPC Data'!$E:$E,Summary!$D378,'BPC Data'!$B:$B,Summary!$C378)</f>
        <v>0</v>
      </c>
      <c r="M378" s="61">
        <f ca="1">SUMIFS(OFFSET('BPC Data'!$F:$F,0,Summary!M$2),'BPC Data'!$E:$E,Summary!$D378,'BPC Data'!$B:$B,Summary!$C378)</f>
        <v>0</v>
      </c>
      <c r="N378" s="65">
        <f ca="1">SUMIFS(OFFSET('BPC Data'!$F:$F,0,Summary!N$2),'BPC Data'!$E:$E,Summary!$D378,'BPC Data'!$B:$B,Summary!$C378)</f>
        <v>0</v>
      </c>
      <c r="O378" s="61">
        <f ca="1">SUMIFS(OFFSET('BPC Data'!$F:$F,0,Summary!O$2),'BPC Data'!$E:$E,Summary!$D378,'BPC Data'!$B:$B,Summary!$C378)</f>
        <v>0</v>
      </c>
      <c r="P378" s="65">
        <f ca="1">SUMIFS(OFFSET('BPC Data'!$F:$F,0,Summary!P$2),'BPC Data'!$E:$E,Summary!$D378,'BPC Data'!$B:$B,Summary!$C378)</f>
        <v>0</v>
      </c>
      <c r="Q378" s="61">
        <f ca="1">SUMIFS(OFFSET('BPC Data'!$F:$F,0,Summary!Q$2),'BPC Data'!$E:$E,Summary!$D378,'BPC Data'!$B:$B,Summary!$C378)</f>
        <v>0</v>
      </c>
      <c r="R378" s="65">
        <f ca="1">SUMIFS(OFFSET('BPC Data'!$F:$F,0,Summary!R$2),'BPC Data'!$E:$E,Summary!$D378,'BPC Data'!$B:$B,Summary!$C378)</f>
        <v>0</v>
      </c>
      <c r="S378" s="23"/>
      <c r="T378" s="76"/>
      <c r="AJ378" s="49"/>
      <c r="AK378" s="49"/>
      <c r="AL378" s="49"/>
      <c r="AM378" s="49"/>
      <c r="AN378" s="49"/>
      <c r="AO378" s="49"/>
      <c r="AP378" s="49"/>
      <c r="AQ378" s="49"/>
      <c r="AR378" s="49"/>
      <c r="AS378" s="49"/>
      <c r="AT378" s="49"/>
      <c r="AU378" s="49"/>
    </row>
    <row r="379" spans="1:47" s="12" customFormat="1" hidden="1" outlineLevel="1">
      <c r="A379" s="12">
        <f t="shared" si="456"/>
        <v>34</v>
      </c>
      <c r="B379"/>
      <c r="C379">
        <f>$F372</f>
        <v>0</v>
      </c>
      <c r="D379" s="2" t="str">
        <f t="shared" si="453"/>
        <v>T_MGMT_FEE - Tenant Management Fee - Actual</v>
      </c>
      <c r="E379"/>
      <c r="F379" s="19" t="str">
        <f>_xll.EVDES(D379)</f>
        <v>Tenant Management Fee - Actual</v>
      </c>
      <c r="G379" s="61">
        <f ca="1">SUMIFS(OFFSET('BPC Data'!$F:$F,0,Summary!G$2),'BPC Data'!$E:$E,Summary!$D379,'BPC Data'!$B:$B,Summary!$C379)</f>
        <v>0</v>
      </c>
      <c r="H379" s="65">
        <f ca="1">SUMIFS(OFFSET('BPC Data'!$F:$F,0,Summary!H$2),'BPC Data'!$E:$E,Summary!$D379,'BPC Data'!$B:$B,Summary!$C379)</f>
        <v>0</v>
      </c>
      <c r="I379" s="61">
        <f ca="1">SUMIFS(OFFSET('BPC Data'!$F:$F,0,Summary!I$2),'BPC Data'!$E:$E,Summary!$D379,'BPC Data'!$B:$B,Summary!$C379)</f>
        <v>0</v>
      </c>
      <c r="J379" s="65">
        <f ca="1">SUMIFS(OFFSET('BPC Data'!$F:$F,0,Summary!J$2),'BPC Data'!$E:$E,Summary!$D379,'BPC Data'!$B:$B,Summary!$C379)</f>
        <v>0</v>
      </c>
      <c r="K379" s="61">
        <f ca="1">SUMIFS(OFFSET('BPC Data'!$F:$F,0,Summary!K$2),'BPC Data'!$E:$E,Summary!$D379,'BPC Data'!$B:$B,Summary!$C379)</f>
        <v>0</v>
      </c>
      <c r="L379" s="65">
        <f ca="1">SUMIFS(OFFSET('BPC Data'!$F:$F,0,Summary!L$2),'BPC Data'!$E:$E,Summary!$D379,'BPC Data'!$B:$B,Summary!$C379)</f>
        <v>0</v>
      </c>
      <c r="M379" s="61">
        <f ca="1">SUMIFS(OFFSET('BPC Data'!$F:$F,0,Summary!M$2),'BPC Data'!$E:$E,Summary!$D379,'BPC Data'!$B:$B,Summary!$C379)</f>
        <v>0</v>
      </c>
      <c r="N379" s="65">
        <f ca="1">SUMIFS(OFFSET('BPC Data'!$F:$F,0,Summary!N$2),'BPC Data'!$E:$E,Summary!$D379,'BPC Data'!$B:$B,Summary!$C379)</f>
        <v>0</v>
      </c>
      <c r="O379" s="61">
        <f ca="1">SUMIFS(OFFSET('BPC Data'!$F:$F,0,Summary!O$2),'BPC Data'!$E:$E,Summary!$D379,'BPC Data'!$B:$B,Summary!$C379)</f>
        <v>0</v>
      </c>
      <c r="P379" s="65">
        <f ca="1">SUMIFS(OFFSET('BPC Data'!$F:$F,0,Summary!P$2),'BPC Data'!$E:$E,Summary!$D379,'BPC Data'!$B:$B,Summary!$C379)</f>
        <v>0</v>
      </c>
      <c r="Q379" s="61">
        <f ca="1">SUMIFS(OFFSET('BPC Data'!$F:$F,0,Summary!Q$2),'BPC Data'!$E:$E,Summary!$D379,'BPC Data'!$B:$B,Summary!$C379)</f>
        <v>0</v>
      </c>
      <c r="R379" s="65">
        <f ca="1">SUMIFS(OFFSET('BPC Data'!$F:$F,0,Summary!R$2),'BPC Data'!$E:$E,Summary!$D379,'BPC Data'!$B:$B,Summary!$C379)</f>
        <v>0</v>
      </c>
      <c r="S379" s="23"/>
      <c r="T379" s="76"/>
      <c r="AJ379" s="49"/>
      <c r="AK379" s="49"/>
      <c r="AL379" s="49"/>
      <c r="AM379" s="49"/>
      <c r="AN379" s="49"/>
      <c r="AO379" s="49"/>
      <c r="AP379" s="49"/>
      <c r="AQ379" s="49"/>
      <c r="AR379" s="49"/>
      <c r="AS379" s="49"/>
      <c r="AT379" s="49"/>
      <c r="AU379" s="49"/>
    </row>
    <row r="380" spans="1:47" s="12" customFormat="1" hidden="1" outlineLevel="1">
      <c r="A380" s="12">
        <f t="shared" si="456"/>
        <v>34</v>
      </c>
      <c r="B380"/>
      <c r="C380">
        <f>$F372</f>
        <v>0</v>
      </c>
      <c r="D380" s="1" t="str">
        <f t="shared" si="453"/>
        <v>T_EBITDAR - EBITDAR</v>
      </c>
      <c r="E380"/>
      <c r="F380" s="19" t="str">
        <f>_xll.EVDES(D380)</f>
        <v>EBITDAR</v>
      </c>
      <c r="G380" s="61">
        <f ca="1">SUMIFS(OFFSET('BPC Data'!$F:$F,0,Summary!G$2),'BPC Data'!$E:$E,Summary!$D380,'BPC Data'!$B:$B,Summary!$C380)</f>
        <v>0</v>
      </c>
      <c r="H380" s="65">
        <f ca="1">SUMIFS(OFFSET('BPC Data'!$F:$F,0,Summary!H$2),'BPC Data'!$E:$E,Summary!$D380,'BPC Data'!$B:$B,Summary!$C380)</f>
        <v>0</v>
      </c>
      <c r="I380" s="61">
        <f ca="1">SUMIFS(OFFSET('BPC Data'!$F:$F,0,Summary!I$2),'BPC Data'!$E:$E,Summary!$D380,'BPC Data'!$B:$B,Summary!$C380)</f>
        <v>0</v>
      </c>
      <c r="J380" s="65">
        <f ca="1">SUMIFS(OFFSET('BPC Data'!$F:$F,0,Summary!J$2),'BPC Data'!$E:$E,Summary!$D380,'BPC Data'!$B:$B,Summary!$C380)</f>
        <v>0</v>
      </c>
      <c r="K380" s="61">
        <f ca="1">SUMIFS(OFFSET('BPC Data'!$F:$F,0,Summary!K$2),'BPC Data'!$E:$E,Summary!$D380,'BPC Data'!$B:$B,Summary!$C380)</f>
        <v>0</v>
      </c>
      <c r="L380" s="65">
        <f ca="1">SUMIFS(OFFSET('BPC Data'!$F:$F,0,Summary!L$2),'BPC Data'!$E:$E,Summary!$D380,'BPC Data'!$B:$B,Summary!$C380)</f>
        <v>0</v>
      </c>
      <c r="M380" s="61">
        <f ca="1">SUMIFS(OFFSET('BPC Data'!$F:$F,0,Summary!M$2),'BPC Data'!$E:$E,Summary!$D380,'BPC Data'!$B:$B,Summary!$C380)</f>
        <v>0</v>
      </c>
      <c r="N380" s="65">
        <f ca="1">SUMIFS(OFFSET('BPC Data'!$F:$F,0,Summary!N$2),'BPC Data'!$E:$E,Summary!$D380,'BPC Data'!$B:$B,Summary!$C380)</f>
        <v>0</v>
      </c>
      <c r="O380" s="61">
        <f ca="1">SUMIFS(OFFSET('BPC Data'!$F:$F,0,Summary!O$2),'BPC Data'!$E:$E,Summary!$D380,'BPC Data'!$B:$B,Summary!$C380)</f>
        <v>0</v>
      </c>
      <c r="P380" s="65">
        <f ca="1">SUMIFS(OFFSET('BPC Data'!$F:$F,0,Summary!P$2),'BPC Data'!$E:$E,Summary!$D380,'BPC Data'!$B:$B,Summary!$C380)</f>
        <v>0</v>
      </c>
      <c r="Q380" s="61">
        <f ca="1">SUMIFS(OFFSET('BPC Data'!$F:$F,0,Summary!Q$2),'BPC Data'!$E:$E,Summary!$D380,'BPC Data'!$B:$B,Summary!$C380)</f>
        <v>0</v>
      </c>
      <c r="R380" s="65">
        <f ca="1">SUMIFS(OFFSET('BPC Data'!$F:$F,0,Summary!R$2),'BPC Data'!$E:$E,Summary!$D380,'BPC Data'!$B:$B,Summary!$C380)</f>
        <v>0</v>
      </c>
      <c r="S380" s="23"/>
      <c r="T380" s="76"/>
      <c r="AJ380" s="49"/>
      <c r="AK380" s="49"/>
      <c r="AL380" s="49"/>
      <c r="AM380" s="49"/>
      <c r="AN380" s="49"/>
      <c r="AO380" s="49"/>
      <c r="AP380" s="49"/>
      <c r="AQ380" s="49"/>
      <c r="AR380" s="49"/>
      <c r="AS380" s="49"/>
      <c r="AT380" s="49"/>
      <c r="AU380" s="49"/>
    </row>
    <row r="381" spans="1:47" s="12" customFormat="1" hidden="1" outlineLevel="1">
      <c r="A381" s="12">
        <f t="shared" si="456"/>
        <v>34</v>
      </c>
      <c r="B381"/>
      <c r="C381">
        <f>$F372</f>
        <v>0</v>
      </c>
      <c r="D381" s="1" t="str">
        <f t="shared" si="453"/>
        <v>T_RENT_EXP - Tenant Rent Expense</v>
      </c>
      <c r="E381"/>
      <c r="F381" s="19" t="str">
        <f>_xll.EVDES(D381)</f>
        <v>Tenant Rent Expense</v>
      </c>
      <c r="G381" s="61">
        <f ca="1">SUMIFS(OFFSET('BPC Data'!$F:$F,0,Summary!G$2),'BPC Data'!$E:$E,Summary!$D381,'BPC Data'!$B:$B,Summary!$C381)</f>
        <v>0</v>
      </c>
      <c r="H381" s="65">
        <f ca="1">SUMIFS(OFFSET('BPC Data'!$F:$F,0,Summary!H$2),'BPC Data'!$E:$E,Summary!$D381,'BPC Data'!$B:$B,Summary!$C381)</f>
        <v>0</v>
      </c>
      <c r="I381" s="61">
        <f ca="1">SUMIFS(OFFSET('BPC Data'!$F:$F,0,Summary!I$2),'BPC Data'!$E:$E,Summary!$D381,'BPC Data'!$B:$B,Summary!$C381)</f>
        <v>0</v>
      </c>
      <c r="J381" s="65">
        <f ca="1">SUMIFS(OFFSET('BPC Data'!$F:$F,0,Summary!J$2),'BPC Data'!$E:$E,Summary!$D381,'BPC Data'!$B:$B,Summary!$C381)</f>
        <v>0</v>
      </c>
      <c r="K381" s="61">
        <f ca="1">SUMIFS(OFFSET('BPC Data'!$F:$F,0,Summary!K$2),'BPC Data'!$E:$E,Summary!$D381,'BPC Data'!$B:$B,Summary!$C381)</f>
        <v>0</v>
      </c>
      <c r="L381" s="65">
        <f ca="1">SUMIFS(OFFSET('BPC Data'!$F:$F,0,Summary!L$2),'BPC Data'!$E:$E,Summary!$D381,'BPC Data'!$B:$B,Summary!$C381)</f>
        <v>0</v>
      </c>
      <c r="M381" s="61">
        <f ca="1">SUMIFS(OFFSET('BPC Data'!$F:$F,0,Summary!M$2),'BPC Data'!$E:$E,Summary!$D381,'BPC Data'!$B:$B,Summary!$C381)</f>
        <v>0</v>
      </c>
      <c r="N381" s="65">
        <f ca="1">SUMIFS(OFFSET('BPC Data'!$F:$F,0,Summary!N$2),'BPC Data'!$E:$E,Summary!$D381,'BPC Data'!$B:$B,Summary!$C381)</f>
        <v>0</v>
      </c>
      <c r="O381" s="61">
        <f ca="1">SUMIFS(OFFSET('BPC Data'!$F:$F,0,Summary!O$2),'BPC Data'!$E:$E,Summary!$D381,'BPC Data'!$B:$B,Summary!$C381)</f>
        <v>0</v>
      </c>
      <c r="P381" s="65">
        <f ca="1">SUMIFS(OFFSET('BPC Data'!$F:$F,0,Summary!P$2),'BPC Data'!$E:$E,Summary!$D381,'BPC Data'!$B:$B,Summary!$C381)</f>
        <v>0</v>
      </c>
      <c r="Q381" s="61">
        <f ca="1">SUMIFS(OFFSET('BPC Data'!$F:$F,0,Summary!Q$2),'BPC Data'!$E:$E,Summary!$D381,'BPC Data'!$B:$B,Summary!$C381)</f>
        <v>0</v>
      </c>
      <c r="R381" s="65">
        <f ca="1">SUMIFS(OFFSET('BPC Data'!$F:$F,0,Summary!R$2),'BPC Data'!$E:$E,Summary!$D381,'BPC Data'!$B:$B,Summary!$C381)</f>
        <v>0</v>
      </c>
      <c r="S381" s="23"/>
      <c r="T381" s="76"/>
      <c r="AJ381" s="49"/>
      <c r="AK381" s="49"/>
      <c r="AL381" s="49"/>
      <c r="AM381" s="49"/>
      <c r="AN381" s="49"/>
      <c r="AO381" s="49"/>
      <c r="AP381" s="49"/>
      <c r="AQ381" s="49"/>
      <c r="AR381" s="49"/>
      <c r="AS381" s="49"/>
      <c r="AT381" s="49"/>
      <c r="AU381" s="49"/>
    </row>
    <row r="382" spans="1:47" s="12" customFormat="1" hidden="1" outlineLevel="1">
      <c r="A382" s="12">
        <f t="shared" si="456"/>
        <v>34</v>
      </c>
      <c r="B382"/>
      <c r="C382"/>
      <c r="D382" s="1" t="str">
        <f t="shared" si="453"/>
        <v>x</v>
      </c>
      <c r="E382"/>
      <c r="F382" s="19" t="s">
        <v>0</v>
      </c>
      <c r="G382" s="61">
        <f ca="1">SUMIFS(OFFSET('BPC Data'!$F:$F,0,Summary!G$2),'BPC Data'!$E:$E,Summary!$D382,'BPC Data'!$B:$B,Summary!$C382)</f>
        <v>0</v>
      </c>
      <c r="H382" s="65">
        <f ca="1">SUMIFS(OFFSET('BPC Data'!$F:$F,0,Summary!H$2),'BPC Data'!$E:$E,Summary!$D382,'BPC Data'!$B:$B,Summary!$C382)</f>
        <v>0</v>
      </c>
      <c r="I382" s="61">
        <f ca="1">SUMIFS(OFFSET('BPC Data'!$F:$F,0,Summary!I$2),'BPC Data'!$E:$E,Summary!$D382,'BPC Data'!$B:$B,Summary!$C382)</f>
        <v>0</v>
      </c>
      <c r="J382" s="65">
        <f ca="1">SUMIFS(OFFSET('BPC Data'!$F:$F,0,Summary!J$2),'BPC Data'!$E:$E,Summary!$D382,'BPC Data'!$B:$B,Summary!$C382)</f>
        <v>0</v>
      </c>
      <c r="K382" s="61">
        <f ca="1">SUMIFS(OFFSET('BPC Data'!$F:$F,0,Summary!K$2),'BPC Data'!$E:$E,Summary!$D382,'BPC Data'!$B:$B,Summary!$C382)</f>
        <v>0</v>
      </c>
      <c r="L382" s="65">
        <f ca="1">SUMIFS(OFFSET('BPC Data'!$F:$F,0,Summary!L$2),'BPC Data'!$E:$E,Summary!$D382,'BPC Data'!$B:$B,Summary!$C382)</f>
        <v>0</v>
      </c>
      <c r="M382" s="61">
        <f ca="1">SUMIFS(OFFSET('BPC Data'!$F:$F,0,Summary!M$2),'BPC Data'!$E:$E,Summary!$D382,'BPC Data'!$B:$B,Summary!$C382)</f>
        <v>0</v>
      </c>
      <c r="N382" s="65">
        <f ca="1">SUMIFS(OFFSET('BPC Data'!$F:$F,0,Summary!N$2),'BPC Data'!$E:$E,Summary!$D382,'BPC Data'!$B:$B,Summary!$C382)</f>
        <v>0</v>
      </c>
      <c r="O382" s="61">
        <f ca="1">SUMIFS(OFFSET('BPC Data'!$F:$F,0,Summary!O$2),'BPC Data'!$E:$E,Summary!$D382,'BPC Data'!$B:$B,Summary!$C382)</f>
        <v>0</v>
      </c>
      <c r="P382" s="65">
        <f ca="1">SUMIFS(OFFSET('BPC Data'!$F:$F,0,Summary!P$2),'BPC Data'!$E:$E,Summary!$D382,'BPC Data'!$B:$B,Summary!$C382)</f>
        <v>0</v>
      </c>
      <c r="Q382" s="61">
        <f ca="1">SUMIFS(OFFSET('BPC Data'!$F:$F,0,Summary!Q$2),'BPC Data'!$E:$E,Summary!$D382,'BPC Data'!$B:$B,Summary!$C382)</f>
        <v>0</v>
      </c>
      <c r="R382" s="65">
        <f ca="1">SUMIFS(OFFSET('BPC Data'!$F:$F,0,Summary!R$2),'BPC Data'!$E:$E,Summary!$D382,'BPC Data'!$B:$B,Summary!$C382)</f>
        <v>0</v>
      </c>
      <c r="S382" s="23"/>
      <c r="T382" s="76"/>
      <c r="AJ382" s="49"/>
      <c r="AK382" s="49"/>
      <c r="AL382" s="49"/>
      <c r="AM382" s="49"/>
      <c r="AN382" s="49"/>
      <c r="AO382" s="49"/>
      <c r="AP382" s="49"/>
      <c r="AQ382" s="49"/>
      <c r="AR382" s="49"/>
      <c r="AS382" s="49"/>
      <c r="AT382" s="49"/>
      <c r="AU382" s="49"/>
    </row>
    <row r="383" spans="1:47" s="12" customFormat="1" hidden="1" outlineLevel="1">
      <c r="A383" s="12">
        <f>IF(AND(D383&lt;&gt;"",C383=""),A382+1,A382)</f>
        <v>35</v>
      </c>
      <c r="B383" s="5"/>
      <c r="C383" s="5"/>
      <c r="D383" s="5" t="str">
        <f t="shared" si="453"/>
        <v>x</v>
      </c>
      <c r="E383" s="5"/>
      <c r="F383" s="18">
        <f>INDEX(PropertyList!$D:$D,MATCH(Summary!$A383,PropertyList!$C:$C,0))</f>
        <v>0</v>
      </c>
      <c r="G383" s="61">
        <f ca="1">SUMIFS(OFFSET('BPC Data'!$F:$F,0,Summary!G$2),'BPC Data'!$E:$E,Summary!$D383,'BPC Data'!$B:$B,Summary!$C383)</f>
        <v>0</v>
      </c>
      <c r="H383" s="65">
        <f ca="1">SUMIFS(OFFSET('BPC Data'!$F:$F,0,Summary!H$2),'BPC Data'!$E:$E,Summary!$D383,'BPC Data'!$B:$B,Summary!$C383)</f>
        <v>0</v>
      </c>
      <c r="I383" s="61">
        <f ca="1">SUMIFS(OFFSET('BPC Data'!$F:$F,0,Summary!I$2),'BPC Data'!$E:$E,Summary!$D383,'BPC Data'!$B:$B,Summary!$C383)</f>
        <v>0</v>
      </c>
      <c r="J383" s="65">
        <f ca="1">SUMIFS(OFFSET('BPC Data'!$F:$F,0,Summary!J$2),'BPC Data'!$E:$E,Summary!$D383,'BPC Data'!$B:$B,Summary!$C383)</f>
        <v>0</v>
      </c>
      <c r="K383" s="61">
        <f ca="1">SUMIFS(OFFSET('BPC Data'!$F:$F,0,Summary!K$2),'BPC Data'!$E:$E,Summary!$D383,'BPC Data'!$B:$B,Summary!$C383)</f>
        <v>0</v>
      </c>
      <c r="L383" s="65">
        <f ca="1">SUMIFS(OFFSET('BPC Data'!$F:$F,0,Summary!L$2),'BPC Data'!$E:$E,Summary!$D383,'BPC Data'!$B:$B,Summary!$C383)</f>
        <v>0</v>
      </c>
      <c r="M383" s="61">
        <f ca="1">SUMIFS(OFFSET('BPC Data'!$F:$F,0,Summary!M$2),'BPC Data'!$E:$E,Summary!$D383,'BPC Data'!$B:$B,Summary!$C383)</f>
        <v>0</v>
      </c>
      <c r="N383" s="65">
        <f ca="1">SUMIFS(OFFSET('BPC Data'!$F:$F,0,Summary!N$2),'BPC Data'!$E:$E,Summary!$D383,'BPC Data'!$B:$B,Summary!$C383)</f>
        <v>0</v>
      </c>
      <c r="O383" s="61">
        <f ca="1">SUMIFS(OFFSET('BPC Data'!$F:$F,0,Summary!O$2),'BPC Data'!$E:$E,Summary!$D383,'BPC Data'!$B:$B,Summary!$C383)</f>
        <v>0</v>
      </c>
      <c r="P383" s="65">
        <f ca="1">SUMIFS(OFFSET('BPC Data'!$F:$F,0,Summary!P$2),'BPC Data'!$E:$E,Summary!$D383,'BPC Data'!$B:$B,Summary!$C383)</f>
        <v>0</v>
      </c>
      <c r="Q383" s="61">
        <f ca="1">SUMIFS(OFFSET('BPC Data'!$F:$F,0,Summary!Q$2),'BPC Data'!$E:$E,Summary!$D383,'BPC Data'!$B:$B,Summary!$C383)</f>
        <v>0</v>
      </c>
      <c r="R383" s="65">
        <f ca="1">SUMIFS(OFFSET('BPC Data'!$F:$F,0,Summary!R$2),'BPC Data'!$E:$E,Summary!$D383,'BPC Data'!$B:$B,Summary!$C383)</f>
        <v>0</v>
      </c>
      <c r="S383" s="23"/>
      <c r="T383" s="76"/>
      <c r="AJ383" s="49"/>
      <c r="AK383" s="49"/>
      <c r="AL383" s="49"/>
      <c r="AM383" s="49"/>
      <c r="AN383" s="49"/>
      <c r="AO383" s="49"/>
      <c r="AP383" s="49"/>
      <c r="AQ383" s="49"/>
      <c r="AR383" s="49"/>
      <c r="AS383" s="49"/>
      <c r="AT383" s="49"/>
      <c r="AU383" s="49"/>
    </row>
    <row r="384" spans="1:47" s="12" customFormat="1" hidden="1" outlineLevel="1">
      <c r="A384" s="12">
        <f>IF(AND(F384&lt;&gt;"",D384=""),A383+1,A383)</f>
        <v>35</v>
      </c>
      <c r="C384">
        <f>$F383</f>
        <v>0</v>
      </c>
      <c r="D384" s="3" t="str">
        <f t="shared" si="453"/>
        <v>PAY_PAT_DAYS - Total Payor Patient Days</v>
      </c>
      <c r="F384" s="19" t="str">
        <f>_xll.EVDES(D384)</f>
        <v>Total Payor Patient Days</v>
      </c>
      <c r="G384" s="61">
        <f ca="1">SUMIFS(OFFSET('BPC Data'!$F:$F,0,Summary!G$2),'BPC Data'!$E:$E,Summary!$D384,'BPC Data'!$B:$B,Summary!$C384)</f>
        <v>0</v>
      </c>
      <c r="H384" s="65">
        <f ca="1">SUMIFS(OFFSET('BPC Data'!$F:$F,0,Summary!H$2),'BPC Data'!$E:$E,Summary!$D384,'BPC Data'!$B:$B,Summary!$C384)</f>
        <v>0</v>
      </c>
      <c r="I384" s="61">
        <f ca="1">SUMIFS(OFFSET('BPC Data'!$F:$F,0,Summary!I$2),'BPC Data'!$E:$E,Summary!$D384,'BPC Data'!$B:$B,Summary!$C384)</f>
        <v>0</v>
      </c>
      <c r="J384" s="65">
        <f ca="1">SUMIFS(OFFSET('BPC Data'!$F:$F,0,Summary!J$2),'BPC Data'!$E:$E,Summary!$D384,'BPC Data'!$B:$B,Summary!$C384)</f>
        <v>0</v>
      </c>
      <c r="K384" s="61">
        <f ca="1">SUMIFS(OFFSET('BPC Data'!$F:$F,0,Summary!K$2),'BPC Data'!$E:$E,Summary!$D384,'BPC Data'!$B:$B,Summary!$C384)</f>
        <v>0</v>
      </c>
      <c r="L384" s="65">
        <f ca="1">SUMIFS(OFFSET('BPC Data'!$F:$F,0,Summary!L$2),'BPC Data'!$E:$E,Summary!$D384,'BPC Data'!$B:$B,Summary!$C384)</f>
        <v>0</v>
      </c>
      <c r="M384" s="61">
        <f ca="1">SUMIFS(OFFSET('BPC Data'!$F:$F,0,Summary!M$2),'BPC Data'!$E:$E,Summary!$D384,'BPC Data'!$B:$B,Summary!$C384)</f>
        <v>0</v>
      </c>
      <c r="N384" s="65">
        <f ca="1">SUMIFS(OFFSET('BPC Data'!$F:$F,0,Summary!N$2),'BPC Data'!$E:$E,Summary!$D384,'BPC Data'!$B:$B,Summary!$C384)</f>
        <v>0</v>
      </c>
      <c r="O384" s="61">
        <f ca="1">SUMIFS(OFFSET('BPC Data'!$F:$F,0,Summary!O$2),'BPC Data'!$E:$E,Summary!$D384,'BPC Data'!$B:$B,Summary!$C384)</f>
        <v>0</v>
      </c>
      <c r="P384" s="65">
        <f ca="1">SUMIFS(OFFSET('BPC Data'!$F:$F,0,Summary!P$2),'BPC Data'!$E:$E,Summary!$D384,'BPC Data'!$B:$B,Summary!$C384)</f>
        <v>0</v>
      </c>
      <c r="Q384" s="61">
        <f ca="1">SUMIFS(OFFSET('BPC Data'!$F:$F,0,Summary!Q$2),'BPC Data'!$E:$E,Summary!$D384,'BPC Data'!$B:$B,Summary!$C384)</f>
        <v>0</v>
      </c>
      <c r="R384" s="65">
        <f ca="1">SUMIFS(OFFSET('BPC Data'!$F:$F,0,Summary!R$2),'BPC Data'!$E:$E,Summary!$D384,'BPC Data'!$B:$B,Summary!$C384)</f>
        <v>0</v>
      </c>
      <c r="S384" s="23"/>
      <c r="T384" s="76"/>
      <c r="AJ384" s="49"/>
      <c r="AK384" s="49"/>
      <c r="AL384" s="49"/>
      <c r="AM384" s="49"/>
      <c r="AN384" s="49"/>
      <c r="AO384" s="49"/>
      <c r="AP384" s="49"/>
      <c r="AQ384" s="49"/>
      <c r="AR384" s="49"/>
      <c r="AS384" s="49"/>
      <c r="AT384" s="49"/>
      <c r="AU384" s="49"/>
    </row>
    <row r="385" spans="1:47" s="12" customFormat="1" hidden="1" outlineLevel="1">
      <c r="A385" s="12">
        <f t="shared" ref="A385:A393" si="457">IF(AND(F385&lt;&gt;"",D385=""),A384+1,A384)</f>
        <v>35</v>
      </c>
      <c r="C385">
        <f>$F383</f>
        <v>0</v>
      </c>
      <c r="D385" s="3" t="str">
        <f t="shared" si="453"/>
        <v>A_BEDS_TOTAL - Total Available Beds</v>
      </c>
      <c r="F385" s="19" t="str">
        <f>_xll.EVDES(D385)</f>
        <v>Total Available Beds</v>
      </c>
      <c r="G385" s="61">
        <f ca="1">SUMIFS(OFFSET('BPC Data'!$F:$F,0,Summary!G$2),'BPC Data'!$E:$E,Summary!$D385,'BPC Data'!$B:$B,Summary!$C385)</f>
        <v>0</v>
      </c>
      <c r="H385" s="65">
        <f ca="1">SUMIFS(OFFSET('BPC Data'!$F:$F,0,Summary!H$2),'BPC Data'!$E:$E,Summary!$D385,'BPC Data'!$B:$B,Summary!$C385)</f>
        <v>0</v>
      </c>
      <c r="I385" s="61">
        <f ca="1">SUMIFS(OFFSET('BPC Data'!$F:$F,0,Summary!I$2),'BPC Data'!$E:$E,Summary!$D385,'BPC Data'!$B:$B,Summary!$C385)</f>
        <v>0</v>
      </c>
      <c r="J385" s="65">
        <f ca="1">SUMIFS(OFFSET('BPC Data'!$F:$F,0,Summary!J$2),'BPC Data'!$E:$E,Summary!$D385,'BPC Data'!$B:$B,Summary!$C385)</f>
        <v>0</v>
      </c>
      <c r="K385" s="61">
        <f ca="1">SUMIFS(OFFSET('BPC Data'!$F:$F,0,Summary!K$2),'BPC Data'!$E:$E,Summary!$D385,'BPC Data'!$B:$B,Summary!$C385)</f>
        <v>0</v>
      </c>
      <c r="L385" s="65">
        <f ca="1">SUMIFS(OFFSET('BPC Data'!$F:$F,0,Summary!L$2),'BPC Data'!$E:$E,Summary!$D385,'BPC Data'!$B:$B,Summary!$C385)</f>
        <v>0</v>
      </c>
      <c r="M385" s="61">
        <f ca="1">SUMIFS(OFFSET('BPC Data'!$F:$F,0,Summary!M$2),'BPC Data'!$E:$E,Summary!$D385,'BPC Data'!$B:$B,Summary!$C385)</f>
        <v>0</v>
      </c>
      <c r="N385" s="65">
        <f ca="1">SUMIFS(OFFSET('BPC Data'!$F:$F,0,Summary!N$2),'BPC Data'!$E:$E,Summary!$D385,'BPC Data'!$B:$B,Summary!$C385)</f>
        <v>0</v>
      </c>
      <c r="O385" s="61">
        <f ca="1">SUMIFS(OFFSET('BPC Data'!$F:$F,0,Summary!O$2),'BPC Data'!$E:$E,Summary!$D385,'BPC Data'!$B:$B,Summary!$C385)</f>
        <v>0</v>
      </c>
      <c r="P385" s="65">
        <f ca="1">SUMIFS(OFFSET('BPC Data'!$F:$F,0,Summary!P$2),'BPC Data'!$E:$E,Summary!$D385,'BPC Data'!$B:$B,Summary!$C385)</f>
        <v>0</v>
      </c>
      <c r="Q385" s="61">
        <f ca="1">SUMIFS(OFFSET('BPC Data'!$F:$F,0,Summary!Q$2),'BPC Data'!$E:$E,Summary!$D385,'BPC Data'!$B:$B,Summary!$C385)</f>
        <v>0</v>
      </c>
      <c r="R385" s="65">
        <f ca="1">SUMIFS(OFFSET('BPC Data'!$F:$F,0,Summary!R$2),'BPC Data'!$E:$E,Summary!$D385,'BPC Data'!$B:$B,Summary!$C385)</f>
        <v>0</v>
      </c>
      <c r="S385" s="23"/>
      <c r="T385" s="76"/>
      <c r="AJ385" s="49"/>
      <c r="AK385" s="49"/>
      <c r="AL385" s="49"/>
      <c r="AM385" s="49"/>
      <c r="AN385" s="49"/>
      <c r="AO385" s="49"/>
      <c r="AP385" s="49"/>
      <c r="AQ385" s="49"/>
      <c r="AR385" s="49"/>
      <c r="AS385" s="49"/>
      <c r="AT385" s="49"/>
      <c r="AU385" s="49"/>
    </row>
    <row r="386" spans="1:47" s="12" customFormat="1" hidden="1" outlineLevel="1">
      <c r="A386" s="12">
        <f t="shared" si="457"/>
        <v>35</v>
      </c>
      <c r="B386"/>
      <c r="C386">
        <f>$F383</f>
        <v>0</v>
      </c>
      <c r="D386" s="3" t="str">
        <f t="shared" si="453"/>
        <v>T_REVENUES - Total Tenant Revenues</v>
      </c>
      <c r="E386"/>
      <c r="F386" s="19" t="str">
        <f>_xll.EVDES(D386)</f>
        <v>Total Tenant Revenues</v>
      </c>
      <c r="G386" s="61">
        <f ca="1">SUMIFS(OFFSET('BPC Data'!$F:$F,0,Summary!G$2),'BPC Data'!$E:$E,Summary!$D386,'BPC Data'!$B:$B,Summary!$C386)</f>
        <v>0</v>
      </c>
      <c r="H386" s="65">
        <f ca="1">SUMIFS(OFFSET('BPC Data'!$F:$F,0,Summary!H$2),'BPC Data'!$E:$E,Summary!$D386,'BPC Data'!$B:$B,Summary!$C386)</f>
        <v>0</v>
      </c>
      <c r="I386" s="61">
        <f ca="1">SUMIFS(OFFSET('BPC Data'!$F:$F,0,Summary!I$2),'BPC Data'!$E:$E,Summary!$D386,'BPC Data'!$B:$B,Summary!$C386)</f>
        <v>0</v>
      </c>
      <c r="J386" s="65">
        <f ca="1">SUMIFS(OFFSET('BPC Data'!$F:$F,0,Summary!J$2),'BPC Data'!$E:$E,Summary!$D386,'BPC Data'!$B:$B,Summary!$C386)</f>
        <v>0</v>
      </c>
      <c r="K386" s="61">
        <f ca="1">SUMIFS(OFFSET('BPC Data'!$F:$F,0,Summary!K$2),'BPC Data'!$E:$E,Summary!$D386,'BPC Data'!$B:$B,Summary!$C386)</f>
        <v>0</v>
      </c>
      <c r="L386" s="65">
        <f ca="1">SUMIFS(OFFSET('BPC Data'!$F:$F,0,Summary!L$2),'BPC Data'!$E:$E,Summary!$D386,'BPC Data'!$B:$B,Summary!$C386)</f>
        <v>0</v>
      </c>
      <c r="M386" s="61">
        <f ca="1">SUMIFS(OFFSET('BPC Data'!$F:$F,0,Summary!M$2),'BPC Data'!$E:$E,Summary!$D386,'BPC Data'!$B:$B,Summary!$C386)</f>
        <v>0</v>
      </c>
      <c r="N386" s="65">
        <f ca="1">SUMIFS(OFFSET('BPC Data'!$F:$F,0,Summary!N$2),'BPC Data'!$E:$E,Summary!$D386,'BPC Data'!$B:$B,Summary!$C386)</f>
        <v>0</v>
      </c>
      <c r="O386" s="61">
        <f ca="1">SUMIFS(OFFSET('BPC Data'!$F:$F,0,Summary!O$2),'BPC Data'!$E:$E,Summary!$D386,'BPC Data'!$B:$B,Summary!$C386)</f>
        <v>0</v>
      </c>
      <c r="P386" s="65">
        <f ca="1">SUMIFS(OFFSET('BPC Data'!$F:$F,0,Summary!P$2),'BPC Data'!$E:$E,Summary!$D386,'BPC Data'!$B:$B,Summary!$C386)</f>
        <v>0</v>
      </c>
      <c r="Q386" s="61">
        <f ca="1">SUMIFS(OFFSET('BPC Data'!$F:$F,0,Summary!Q$2),'BPC Data'!$E:$E,Summary!$D386,'BPC Data'!$B:$B,Summary!$C386)</f>
        <v>0</v>
      </c>
      <c r="R386" s="65">
        <f ca="1">SUMIFS(OFFSET('BPC Data'!$F:$F,0,Summary!R$2),'BPC Data'!$E:$E,Summary!$D386,'BPC Data'!$B:$B,Summary!$C386)</f>
        <v>0</v>
      </c>
      <c r="S386" s="23"/>
      <c r="T386" s="76"/>
      <c r="AJ386" s="49"/>
      <c r="AK386" s="49"/>
      <c r="AL386" s="49"/>
      <c r="AM386" s="49"/>
      <c r="AN386" s="49"/>
      <c r="AO386" s="49"/>
      <c r="AP386" s="49"/>
      <c r="AQ386" s="49"/>
      <c r="AR386" s="49"/>
      <c r="AS386" s="49"/>
      <c r="AT386" s="49"/>
      <c r="AU386" s="49"/>
    </row>
    <row r="387" spans="1:47" s="12" customFormat="1" hidden="1" outlineLevel="1">
      <c r="A387" s="12">
        <f t="shared" si="457"/>
        <v>35</v>
      </c>
      <c r="B387"/>
      <c r="C387">
        <f>$F383</f>
        <v>0</v>
      </c>
      <c r="D387" s="3" t="str">
        <f t="shared" si="453"/>
        <v>T_OPEX - Tenant Operating Expenses</v>
      </c>
      <c r="E387"/>
      <c r="F387" s="19" t="str">
        <f>_xll.EVDES(D387)</f>
        <v>Tenant Operating Expenses</v>
      </c>
      <c r="G387" s="61">
        <f ca="1">SUMIFS(OFFSET('BPC Data'!$F:$F,0,Summary!G$2),'BPC Data'!$E:$E,Summary!$D387,'BPC Data'!$B:$B,Summary!$C387)</f>
        <v>0</v>
      </c>
      <c r="H387" s="65">
        <f ca="1">SUMIFS(OFFSET('BPC Data'!$F:$F,0,Summary!H$2),'BPC Data'!$E:$E,Summary!$D387,'BPC Data'!$B:$B,Summary!$C387)</f>
        <v>0</v>
      </c>
      <c r="I387" s="61">
        <f ca="1">SUMIFS(OFFSET('BPC Data'!$F:$F,0,Summary!I$2),'BPC Data'!$E:$E,Summary!$D387,'BPC Data'!$B:$B,Summary!$C387)</f>
        <v>0</v>
      </c>
      <c r="J387" s="65">
        <f ca="1">SUMIFS(OFFSET('BPC Data'!$F:$F,0,Summary!J$2),'BPC Data'!$E:$E,Summary!$D387,'BPC Data'!$B:$B,Summary!$C387)</f>
        <v>0</v>
      </c>
      <c r="K387" s="61">
        <f ca="1">SUMIFS(OFFSET('BPC Data'!$F:$F,0,Summary!K$2),'BPC Data'!$E:$E,Summary!$D387,'BPC Data'!$B:$B,Summary!$C387)</f>
        <v>0</v>
      </c>
      <c r="L387" s="65">
        <f ca="1">SUMIFS(OFFSET('BPC Data'!$F:$F,0,Summary!L$2),'BPC Data'!$E:$E,Summary!$D387,'BPC Data'!$B:$B,Summary!$C387)</f>
        <v>0</v>
      </c>
      <c r="M387" s="61">
        <f ca="1">SUMIFS(OFFSET('BPC Data'!$F:$F,0,Summary!M$2),'BPC Data'!$E:$E,Summary!$D387,'BPC Data'!$B:$B,Summary!$C387)</f>
        <v>0</v>
      </c>
      <c r="N387" s="65">
        <f ca="1">SUMIFS(OFFSET('BPC Data'!$F:$F,0,Summary!N$2),'BPC Data'!$E:$E,Summary!$D387,'BPC Data'!$B:$B,Summary!$C387)</f>
        <v>0</v>
      </c>
      <c r="O387" s="61">
        <f ca="1">SUMIFS(OFFSET('BPC Data'!$F:$F,0,Summary!O$2),'BPC Data'!$E:$E,Summary!$D387,'BPC Data'!$B:$B,Summary!$C387)</f>
        <v>0</v>
      </c>
      <c r="P387" s="65">
        <f ca="1">SUMIFS(OFFSET('BPC Data'!$F:$F,0,Summary!P$2),'BPC Data'!$E:$E,Summary!$D387,'BPC Data'!$B:$B,Summary!$C387)</f>
        <v>0</v>
      </c>
      <c r="Q387" s="61">
        <f ca="1">SUMIFS(OFFSET('BPC Data'!$F:$F,0,Summary!Q$2),'BPC Data'!$E:$E,Summary!$D387,'BPC Data'!$B:$B,Summary!$C387)</f>
        <v>0</v>
      </c>
      <c r="R387" s="65">
        <f ca="1">SUMIFS(OFFSET('BPC Data'!$F:$F,0,Summary!R$2),'BPC Data'!$E:$E,Summary!$D387,'BPC Data'!$B:$B,Summary!$C387)</f>
        <v>0</v>
      </c>
      <c r="S387" s="23"/>
      <c r="T387" s="76"/>
      <c r="AJ387" s="49"/>
      <c r="AK387" s="49"/>
      <c r="AL387" s="49"/>
      <c r="AM387" s="49"/>
      <c r="AN387" s="49"/>
      <c r="AO387" s="49"/>
      <c r="AP387" s="49"/>
      <c r="AQ387" s="49"/>
      <c r="AR387" s="49"/>
      <c r="AS387" s="49"/>
      <c r="AT387" s="49"/>
      <c r="AU387" s="49"/>
    </row>
    <row r="388" spans="1:47" s="12" customFormat="1" hidden="1" outlineLevel="1">
      <c r="A388" s="12">
        <f t="shared" si="457"/>
        <v>35</v>
      </c>
      <c r="B388"/>
      <c r="C388">
        <f>$F383</f>
        <v>0</v>
      </c>
      <c r="D388" s="3" t="str">
        <f t="shared" si="453"/>
        <v>T_BAD_DEBT - Tenant Bad Debt Expense</v>
      </c>
      <c r="E388"/>
      <c r="F388" s="19" t="str">
        <f>_xll.EVDES(D388)</f>
        <v>Tenant Bad Debt Expense</v>
      </c>
      <c r="G388" s="61">
        <f ca="1">SUMIFS(OFFSET('BPC Data'!$F:$F,0,Summary!G$2),'BPC Data'!$E:$E,Summary!$D388,'BPC Data'!$B:$B,Summary!$C388)</f>
        <v>0</v>
      </c>
      <c r="H388" s="65">
        <f ca="1">SUMIFS(OFFSET('BPC Data'!$F:$F,0,Summary!H$2),'BPC Data'!$E:$E,Summary!$D388,'BPC Data'!$B:$B,Summary!$C388)</f>
        <v>0</v>
      </c>
      <c r="I388" s="61">
        <f ca="1">SUMIFS(OFFSET('BPC Data'!$F:$F,0,Summary!I$2),'BPC Data'!$E:$E,Summary!$D388,'BPC Data'!$B:$B,Summary!$C388)</f>
        <v>0</v>
      </c>
      <c r="J388" s="65">
        <f ca="1">SUMIFS(OFFSET('BPC Data'!$F:$F,0,Summary!J$2),'BPC Data'!$E:$E,Summary!$D388,'BPC Data'!$B:$B,Summary!$C388)</f>
        <v>0</v>
      </c>
      <c r="K388" s="61">
        <f ca="1">SUMIFS(OFFSET('BPC Data'!$F:$F,0,Summary!K$2),'BPC Data'!$E:$E,Summary!$D388,'BPC Data'!$B:$B,Summary!$C388)</f>
        <v>0</v>
      </c>
      <c r="L388" s="65">
        <f ca="1">SUMIFS(OFFSET('BPC Data'!$F:$F,0,Summary!L$2),'BPC Data'!$E:$E,Summary!$D388,'BPC Data'!$B:$B,Summary!$C388)</f>
        <v>0</v>
      </c>
      <c r="M388" s="61">
        <f ca="1">SUMIFS(OFFSET('BPC Data'!$F:$F,0,Summary!M$2),'BPC Data'!$E:$E,Summary!$D388,'BPC Data'!$B:$B,Summary!$C388)</f>
        <v>0</v>
      </c>
      <c r="N388" s="65">
        <f ca="1">SUMIFS(OFFSET('BPC Data'!$F:$F,0,Summary!N$2),'BPC Data'!$E:$E,Summary!$D388,'BPC Data'!$B:$B,Summary!$C388)</f>
        <v>0</v>
      </c>
      <c r="O388" s="61">
        <f ca="1">SUMIFS(OFFSET('BPC Data'!$F:$F,0,Summary!O$2),'BPC Data'!$E:$E,Summary!$D388,'BPC Data'!$B:$B,Summary!$C388)</f>
        <v>0</v>
      </c>
      <c r="P388" s="65">
        <f ca="1">SUMIFS(OFFSET('BPC Data'!$F:$F,0,Summary!P$2),'BPC Data'!$E:$E,Summary!$D388,'BPC Data'!$B:$B,Summary!$C388)</f>
        <v>0</v>
      </c>
      <c r="Q388" s="61">
        <f ca="1">SUMIFS(OFFSET('BPC Data'!$F:$F,0,Summary!Q$2),'BPC Data'!$E:$E,Summary!$D388,'BPC Data'!$B:$B,Summary!$C388)</f>
        <v>0</v>
      </c>
      <c r="R388" s="65">
        <f ca="1">SUMIFS(OFFSET('BPC Data'!$F:$F,0,Summary!R$2),'BPC Data'!$E:$E,Summary!$D388,'BPC Data'!$B:$B,Summary!$C388)</f>
        <v>0</v>
      </c>
      <c r="S388" s="23"/>
      <c r="T388" s="76"/>
      <c r="AJ388" s="49"/>
      <c r="AK388" s="49"/>
      <c r="AL388" s="49"/>
      <c r="AM388" s="49"/>
      <c r="AN388" s="49"/>
      <c r="AO388" s="49"/>
      <c r="AP388" s="49"/>
      <c r="AQ388" s="49"/>
      <c r="AR388" s="49"/>
      <c r="AS388" s="49"/>
      <c r="AT388" s="49"/>
      <c r="AU388" s="49"/>
    </row>
    <row r="389" spans="1:47" s="12" customFormat="1" hidden="1" outlineLevel="1">
      <c r="A389" s="12">
        <f t="shared" si="457"/>
        <v>35</v>
      </c>
      <c r="B389"/>
      <c r="C389">
        <f>$F383</f>
        <v>0</v>
      </c>
      <c r="D389" s="2" t="str">
        <f t="shared" si="453"/>
        <v>T_EBITDARM - EBITDARM</v>
      </c>
      <c r="E389"/>
      <c r="F389" s="19" t="str">
        <f>_xll.EVDES(D389)</f>
        <v>EBITDARM</v>
      </c>
      <c r="G389" s="61">
        <f ca="1">SUMIFS(OFFSET('BPC Data'!$F:$F,0,Summary!G$2),'BPC Data'!$E:$E,Summary!$D389,'BPC Data'!$B:$B,Summary!$C389)</f>
        <v>0</v>
      </c>
      <c r="H389" s="65">
        <f ca="1">SUMIFS(OFFSET('BPC Data'!$F:$F,0,Summary!H$2),'BPC Data'!$E:$E,Summary!$D389,'BPC Data'!$B:$B,Summary!$C389)</f>
        <v>0</v>
      </c>
      <c r="I389" s="61">
        <f ca="1">SUMIFS(OFFSET('BPC Data'!$F:$F,0,Summary!I$2),'BPC Data'!$E:$E,Summary!$D389,'BPC Data'!$B:$B,Summary!$C389)</f>
        <v>0</v>
      </c>
      <c r="J389" s="65">
        <f ca="1">SUMIFS(OFFSET('BPC Data'!$F:$F,0,Summary!J$2),'BPC Data'!$E:$E,Summary!$D389,'BPC Data'!$B:$B,Summary!$C389)</f>
        <v>0</v>
      </c>
      <c r="K389" s="61">
        <f ca="1">SUMIFS(OFFSET('BPC Data'!$F:$F,0,Summary!K$2),'BPC Data'!$E:$E,Summary!$D389,'BPC Data'!$B:$B,Summary!$C389)</f>
        <v>0</v>
      </c>
      <c r="L389" s="65">
        <f ca="1">SUMIFS(OFFSET('BPC Data'!$F:$F,0,Summary!L$2),'BPC Data'!$E:$E,Summary!$D389,'BPC Data'!$B:$B,Summary!$C389)</f>
        <v>0</v>
      </c>
      <c r="M389" s="61">
        <f ca="1">SUMIFS(OFFSET('BPC Data'!$F:$F,0,Summary!M$2),'BPC Data'!$E:$E,Summary!$D389,'BPC Data'!$B:$B,Summary!$C389)</f>
        <v>0</v>
      </c>
      <c r="N389" s="65">
        <f ca="1">SUMIFS(OFFSET('BPC Data'!$F:$F,0,Summary!N$2),'BPC Data'!$E:$E,Summary!$D389,'BPC Data'!$B:$B,Summary!$C389)</f>
        <v>0</v>
      </c>
      <c r="O389" s="61">
        <f ca="1">SUMIFS(OFFSET('BPC Data'!$F:$F,0,Summary!O$2),'BPC Data'!$E:$E,Summary!$D389,'BPC Data'!$B:$B,Summary!$C389)</f>
        <v>0</v>
      </c>
      <c r="P389" s="65">
        <f ca="1">SUMIFS(OFFSET('BPC Data'!$F:$F,0,Summary!P$2),'BPC Data'!$E:$E,Summary!$D389,'BPC Data'!$B:$B,Summary!$C389)</f>
        <v>0</v>
      </c>
      <c r="Q389" s="61">
        <f ca="1">SUMIFS(OFFSET('BPC Data'!$F:$F,0,Summary!Q$2),'BPC Data'!$E:$E,Summary!$D389,'BPC Data'!$B:$B,Summary!$C389)</f>
        <v>0</v>
      </c>
      <c r="R389" s="65">
        <f ca="1">SUMIFS(OFFSET('BPC Data'!$F:$F,0,Summary!R$2),'BPC Data'!$E:$E,Summary!$D389,'BPC Data'!$B:$B,Summary!$C389)</f>
        <v>0</v>
      </c>
      <c r="S389" s="23"/>
      <c r="T389" s="76"/>
      <c r="AJ389" s="49"/>
      <c r="AK389" s="49"/>
      <c r="AL389" s="49"/>
      <c r="AM389" s="49"/>
      <c r="AN389" s="49"/>
      <c r="AO389" s="49"/>
      <c r="AP389" s="49"/>
      <c r="AQ389" s="49"/>
      <c r="AR389" s="49"/>
      <c r="AS389" s="49"/>
      <c r="AT389" s="49"/>
      <c r="AU389" s="49"/>
    </row>
    <row r="390" spans="1:47" s="12" customFormat="1" hidden="1" outlineLevel="1">
      <c r="A390" s="12">
        <f t="shared" si="457"/>
        <v>35</v>
      </c>
      <c r="B390"/>
      <c r="C390">
        <f>$F383</f>
        <v>0</v>
      </c>
      <c r="D390" s="2" t="str">
        <f t="shared" si="453"/>
        <v>T_MGMT_FEE - Tenant Management Fee - Actual</v>
      </c>
      <c r="E390"/>
      <c r="F390" s="19" t="str">
        <f>_xll.EVDES(D390)</f>
        <v>Tenant Management Fee - Actual</v>
      </c>
      <c r="G390" s="61">
        <f ca="1">SUMIFS(OFFSET('BPC Data'!$F:$F,0,Summary!G$2),'BPC Data'!$E:$E,Summary!$D390,'BPC Data'!$B:$B,Summary!$C390)</f>
        <v>0</v>
      </c>
      <c r="H390" s="65">
        <f ca="1">SUMIFS(OFFSET('BPC Data'!$F:$F,0,Summary!H$2),'BPC Data'!$E:$E,Summary!$D390,'BPC Data'!$B:$B,Summary!$C390)</f>
        <v>0</v>
      </c>
      <c r="I390" s="61">
        <f ca="1">SUMIFS(OFFSET('BPC Data'!$F:$F,0,Summary!I$2),'BPC Data'!$E:$E,Summary!$D390,'BPC Data'!$B:$B,Summary!$C390)</f>
        <v>0</v>
      </c>
      <c r="J390" s="65">
        <f ca="1">SUMIFS(OFFSET('BPC Data'!$F:$F,0,Summary!J$2),'BPC Data'!$E:$E,Summary!$D390,'BPC Data'!$B:$B,Summary!$C390)</f>
        <v>0</v>
      </c>
      <c r="K390" s="61">
        <f ca="1">SUMIFS(OFFSET('BPC Data'!$F:$F,0,Summary!K$2),'BPC Data'!$E:$E,Summary!$D390,'BPC Data'!$B:$B,Summary!$C390)</f>
        <v>0</v>
      </c>
      <c r="L390" s="65">
        <f ca="1">SUMIFS(OFFSET('BPC Data'!$F:$F,0,Summary!L$2),'BPC Data'!$E:$E,Summary!$D390,'BPC Data'!$B:$B,Summary!$C390)</f>
        <v>0</v>
      </c>
      <c r="M390" s="61">
        <f ca="1">SUMIFS(OFFSET('BPC Data'!$F:$F,0,Summary!M$2),'BPC Data'!$E:$E,Summary!$D390,'BPC Data'!$B:$B,Summary!$C390)</f>
        <v>0</v>
      </c>
      <c r="N390" s="65">
        <f ca="1">SUMIFS(OFFSET('BPC Data'!$F:$F,0,Summary!N$2),'BPC Data'!$E:$E,Summary!$D390,'BPC Data'!$B:$B,Summary!$C390)</f>
        <v>0</v>
      </c>
      <c r="O390" s="61">
        <f ca="1">SUMIFS(OFFSET('BPC Data'!$F:$F,0,Summary!O$2),'BPC Data'!$E:$E,Summary!$D390,'BPC Data'!$B:$B,Summary!$C390)</f>
        <v>0</v>
      </c>
      <c r="P390" s="65">
        <f ca="1">SUMIFS(OFFSET('BPC Data'!$F:$F,0,Summary!P$2),'BPC Data'!$E:$E,Summary!$D390,'BPC Data'!$B:$B,Summary!$C390)</f>
        <v>0</v>
      </c>
      <c r="Q390" s="61">
        <f ca="1">SUMIFS(OFFSET('BPC Data'!$F:$F,0,Summary!Q$2),'BPC Data'!$E:$E,Summary!$D390,'BPC Data'!$B:$B,Summary!$C390)</f>
        <v>0</v>
      </c>
      <c r="R390" s="65">
        <f ca="1">SUMIFS(OFFSET('BPC Data'!$F:$F,0,Summary!R$2),'BPC Data'!$E:$E,Summary!$D390,'BPC Data'!$B:$B,Summary!$C390)</f>
        <v>0</v>
      </c>
      <c r="S390" s="23"/>
      <c r="T390" s="76"/>
      <c r="AJ390" s="49"/>
      <c r="AK390" s="49"/>
      <c r="AL390" s="49"/>
      <c r="AM390" s="49"/>
      <c r="AN390" s="49"/>
      <c r="AO390" s="49"/>
      <c r="AP390" s="49"/>
      <c r="AQ390" s="49"/>
      <c r="AR390" s="49"/>
      <c r="AS390" s="49"/>
      <c r="AT390" s="49"/>
      <c r="AU390" s="49"/>
    </row>
    <row r="391" spans="1:47" s="12" customFormat="1" hidden="1" outlineLevel="1">
      <c r="A391" s="12">
        <f t="shared" si="457"/>
        <v>35</v>
      </c>
      <c r="B391"/>
      <c r="C391">
        <f>$F383</f>
        <v>0</v>
      </c>
      <c r="D391" s="1" t="str">
        <f t="shared" si="453"/>
        <v>T_EBITDAR - EBITDAR</v>
      </c>
      <c r="E391"/>
      <c r="F391" s="19" t="str">
        <f>_xll.EVDES(D391)</f>
        <v>EBITDAR</v>
      </c>
      <c r="G391" s="61">
        <f ca="1">SUMIFS(OFFSET('BPC Data'!$F:$F,0,Summary!G$2),'BPC Data'!$E:$E,Summary!$D391,'BPC Data'!$B:$B,Summary!$C391)</f>
        <v>0</v>
      </c>
      <c r="H391" s="65">
        <f ca="1">SUMIFS(OFFSET('BPC Data'!$F:$F,0,Summary!H$2),'BPC Data'!$E:$E,Summary!$D391,'BPC Data'!$B:$B,Summary!$C391)</f>
        <v>0</v>
      </c>
      <c r="I391" s="61">
        <f ca="1">SUMIFS(OFFSET('BPC Data'!$F:$F,0,Summary!I$2),'BPC Data'!$E:$E,Summary!$D391,'BPC Data'!$B:$B,Summary!$C391)</f>
        <v>0</v>
      </c>
      <c r="J391" s="65">
        <f ca="1">SUMIFS(OFFSET('BPC Data'!$F:$F,0,Summary!J$2),'BPC Data'!$E:$E,Summary!$D391,'BPC Data'!$B:$B,Summary!$C391)</f>
        <v>0</v>
      </c>
      <c r="K391" s="61">
        <f ca="1">SUMIFS(OFFSET('BPC Data'!$F:$F,0,Summary!K$2),'BPC Data'!$E:$E,Summary!$D391,'BPC Data'!$B:$B,Summary!$C391)</f>
        <v>0</v>
      </c>
      <c r="L391" s="65">
        <f ca="1">SUMIFS(OFFSET('BPC Data'!$F:$F,0,Summary!L$2),'BPC Data'!$E:$E,Summary!$D391,'BPC Data'!$B:$B,Summary!$C391)</f>
        <v>0</v>
      </c>
      <c r="M391" s="61">
        <f ca="1">SUMIFS(OFFSET('BPC Data'!$F:$F,0,Summary!M$2),'BPC Data'!$E:$E,Summary!$D391,'BPC Data'!$B:$B,Summary!$C391)</f>
        <v>0</v>
      </c>
      <c r="N391" s="65">
        <f ca="1">SUMIFS(OFFSET('BPC Data'!$F:$F,0,Summary!N$2),'BPC Data'!$E:$E,Summary!$D391,'BPC Data'!$B:$B,Summary!$C391)</f>
        <v>0</v>
      </c>
      <c r="O391" s="61">
        <f ca="1">SUMIFS(OFFSET('BPC Data'!$F:$F,0,Summary!O$2),'BPC Data'!$E:$E,Summary!$D391,'BPC Data'!$B:$B,Summary!$C391)</f>
        <v>0</v>
      </c>
      <c r="P391" s="65">
        <f ca="1">SUMIFS(OFFSET('BPC Data'!$F:$F,0,Summary!P$2),'BPC Data'!$E:$E,Summary!$D391,'BPC Data'!$B:$B,Summary!$C391)</f>
        <v>0</v>
      </c>
      <c r="Q391" s="61">
        <f ca="1">SUMIFS(OFFSET('BPC Data'!$F:$F,0,Summary!Q$2),'BPC Data'!$E:$E,Summary!$D391,'BPC Data'!$B:$B,Summary!$C391)</f>
        <v>0</v>
      </c>
      <c r="R391" s="65">
        <f ca="1">SUMIFS(OFFSET('BPC Data'!$F:$F,0,Summary!R$2),'BPC Data'!$E:$E,Summary!$D391,'BPC Data'!$B:$B,Summary!$C391)</f>
        <v>0</v>
      </c>
      <c r="S391" s="23"/>
      <c r="T391" s="76"/>
      <c r="AJ391" s="49"/>
      <c r="AK391" s="49"/>
      <c r="AL391" s="49"/>
      <c r="AM391" s="49"/>
      <c r="AN391" s="49"/>
      <c r="AO391" s="49"/>
      <c r="AP391" s="49"/>
      <c r="AQ391" s="49"/>
      <c r="AR391" s="49"/>
      <c r="AS391" s="49"/>
      <c r="AT391" s="49"/>
      <c r="AU391" s="49"/>
    </row>
    <row r="392" spans="1:47" s="12" customFormat="1" hidden="1" outlineLevel="1">
      <c r="A392" s="12">
        <f t="shared" si="457"/>
        <v>35</v>
      </c>
      <c r="B392"/>
      <c r="C392">
        <f>$F383</f>
        <v>0</v>
      </c>
      <c r="D392" s="1" t="str">
        <f t="shared" si="453"/>
        <v>T_RENT_EXP - Tenant Rent Expense</v>
      </c>
      <c r="E392"/>
      <c r="F392" s="19" t="str">
        <f>_xll.EVDES(D392)</f>
        <v>Tenant Rent Expense</v>
      </c>
      <c r="G392" s="61">
        <f ca="1">SUMIFS(OFFSET('BPC Data'!$F:$F,0,Summary!G$2),'BPC Data'!$E:$E,Summary!$D392,'BPC Data'!$B:$B,Summary!$C392)</f>
        <v>0</v>
      </c>
      <c r="H392" s="65">
        <f ca="1">SUMIFS(OFFSET('BPC Data'!$F:$F,0,Summary!H$2),'BPC Data'!$E:$E,Summary!$D392,'BPC Data'!$B:$B,Summary!$C392)</f>
        <v>0</v>
      </c>
      <c r="I392" s="61">
        <f ca="1">SUMIFS(OFFSET('BPC Data'!$F:$F,0,Summary!I$2),'BPC Data'!$E:$E,Summary!$D392,'BPC Data'!$B:$B,Summary!$C392)</f>
        <v>0</v>
      </c>
      <c r="J392" s="65">
        <f ca="1">SUMIFS(OFFSET('BPC Data'!$F:$F,0,Summary!J$2),'BPC Data'!$E:$E,Summary!$D392,'BPC Data'!$B:$B,Summary!$C392)</f>
        <v>0</v>
      </c>
      <c r="K392" s="61">
        <f ca="1">SUMIFS(OFFSET('BPC Data'!$F:$F,0,Summary!K$2),'BPC Data'!$E:$E,Summary!$D392,'BPC Data'!$B:$B,Summary!$C392)</f>
        <v>0</v>
      </c>
      <c r="L392" s="65">
        <f ca="1">SUMIFS(OFFSET('BPC Data'!$F:$F,0,Summary!L$2),'BPC Data'!$E:$E,Summary!$D392,'BPC Data'!$B:$B,Summary!$C392)</f>
        <v>0</v>
      </c>
      <c r="M392" s="61">
        <f ca="1">SUMIFS(OFFSET('BPC Data'!$F:$F,0,Summary!M$2),'BPC Data'!$E:$E,Summary!$D392,'BPC Data'!$B:$B,Summary!$C392)</f>
        <v>0</v>
      </c>
      <c r="N392" s="65">
        <f ca="1">SUMIFS(OFFSET('BPC Data'!$F:$F,0,Summary!N$2),'BPC Data'!$E:$E,Summary!$D392,'BPC Data'!$B:$B,Summary!$C392)</f>
        <v>0</v>
      </c>
      <c r="O392" s="61">
        <f ca="1">SUMIFS(OFFSET('BPC Data'!$F:$F,0,Summary!O$2),'BPC Data'!$E:$E,Summary!$D392,'BPC Data'!$B:$B,Summary!$C392)</f>
        <v>0</v>
      </c>
      <c r="P392" s="65">
        <f ca="1">SUMIFS(OFFSET('BPC Data'!$F:$F,0,Summary!P$2),'BPC Data'!$E:$E,Summary!$D392,'BPC Data'!$B:$B,Summary!$C392)</f>
        <v>0</v>
      </c>
      <c r="Q392" s="61">
        <f ca="1">SUMIFS(OFFSET('BPC Data'!$F:$F,0,Summary!Q$2),'BPC Data'!$E:$E,Summary!$D392,'BPC Data'!$B:$B,Summary!$C392)</f>
        <v>0</v>
      </c>
      <c r="R392" s="65">
        <f ca="1">SUMIFS(OFFSET('BPC Data'!$F:$F,0,Summary!R$2),'BPC Data'!$E:$E,Summary!$D392,'BPC Data'!$B:$B,Summary!$C392)</f>
        <v>0</v>
      </c>
      <c r="S392" s="23"/>
      <c r="T392" s="76"/>
      <c r="AJ392" s="49"/>
      <c r="AK392" s="49"/>
      <c r="AL392" s="49"/>
      <c r="AM392" s="49"/>
      <c r="AN392" s="49"/>
      <c r="AO392" s="49"/>
      <c r="AP392" s="49"/>
      <c r="AQ392" s="49"/>
      <c r="AR392" s="49"/>
      <c r="AS392" s="49"/>
      <c r="AT392" s="49"/>
      <c r="AU392" s="49"/>
    </row>
    <row r="393" spans="1:47" s="12" customFormat="1" hidden="1" outlineLevel="1">
      <c r="A393" s="12">
        <f t="shared" si="457"/>
        <v>35</v>
      </c>
      <c r="B393"/>
      <c r="C393"/>
      <c r="D393" s="1" t="str">
        <f t="shared" si="453"/>
        <v>x</v>
      </c>
      <c r="E393"/>
      <c r="F393" s="19" t="s">
        <v>0</v>
      </c>
      <c r="G393" s="61">
        <f ca="1">SUMIFS(OFFSET('BPC Data'!$F:$F,0,Summary!G$2),'BPC Data'!$E:$E,Summary!$D393,'BPC Data'!$B:$B,Summary!$C393)</f>
        <v>0</v>
      </c>
      <c r="H393" s="65">
        <f ca="1">SUMIFS(OFFSET('BPC Data'!$F:$F,0,Summary!H$2),'BPC Data'!$E:$E,Summary!$D393,'BPC Data'!$B:$B,Summary!$C393)</f>
        <v>0</v>
      </c>
      <c r="I393" s="61">
        <f ca="1">SUMIFS(OFFSET('BPC Data'!$F:$F,0,Summary!I$2),'BPC Data'!$E:$E,Summary!$D393,'BPC Data'!$B:$B,Summary!$C393)</f>
        <v>0</v>
      </c>
      <c r="J393" s="65">
        <f ca="1">SUMIFS(OFFSET('BPC Data'!$F:$F,0,Summary!J$2),'BPC Data'!$E:$E,Summary!$D393,'BPC Data'!$B:$B,Summary!$C393)</f>
        <v>0</v>
      </c>
      <c r="K393" s="61">
        <f ca="1">SUMIFS(OFFSET('BPC Data'!$F:$F,0,Summary!K$2),'BPC Data'!$E:$E,Summary!$D393,'BPC Data'!$B:$B,Summary!$C393)</f>
        <v>0</v>
      </c>
      <c r="L393" s="65">
        <f ca="1">SUMIFS(OFFSET('BPC Data'!$F:$F,0,Summary!L$2),'BPC Data'!$E:$E,Summary!$D393,'BPC Data'!$B:$B,Summary!$C393)</f>
        <v>0</v>
      </c>
      <c r="M393" s="61">
        <f ca="1">SUMIFS(OFFSET('BPC Data'!$F:$F,0,Summary!M$2),'BPC Data'!$E:$E,Summary!$D393,'BPC Data'!$B:$B,Summary!$C393)</f>
        <v>0</v>
      </c>
      <c r="N393" s="65">
        <f ca="1">SUMIFS(OFFSET('BPC Data'!$F:$F,0,Summary!N$2),'BPC Data'!$E:$E,Summary!$D393,'BPC Data'!$B:$B,Summary!$C393)</f>
        <v>0</v>
      </c>
      <c r="O393" s="61">
        <f ca="1">SUMIFS(OFFSET('BPC Data'!$F:$F,0,Summary!O$2),'BPC Data'!$E:$E,Summary!$D393,'BPC Data'!$B:$B,Summary!$C393)</f>
        <v>0</v>
      </c>
      <c r="P393" s="65">
        <f ca="1">SUMIFS(OFFSET('BPC Data'!$F:$F,0,Summary!P$2),'BPC Data'!$E:$E,Summary!$D393,'BPC Data'!$B:$B,Summary!$C393)</f>
        <v>0</v>
      </c>
      <c r="Q393" s="61">
        <f ca="1">SUMIFS(OFFSET('BPC Data'!$F:$F,0,Summary!Q$2),'BPC Data'!$E:$E,Summary!$D393,'BPC Data'!$B:$B,Summary!$C393)</f>
        <v>0</v>
      </c>
      <c r="R393" s="65">
        <f ca="1">SUMIFS(OFFSET('BPC Data'!$F:$F,0,Summary!R$2),'BPC Data'!$E:$E,Summary!$D393,'BPC Data'!$B:$B,Summary!$C393)</f>
        <v>0</v>
      </c>
      <c r="S393" s="23"/>
      <c r="T393" s="76"/>
      <c r="AJ393" s="49"/>
      <c r="AK393" s="49"/>
      <c r="AL393" s="49"/>
      <c r="AM393" s="49"/>
      <c r="AN393" s="49"/>
      <c r="AO393" s="49"/>
      <c r="AP393" s="49"/>
      <c r="AQ393" s="49"/>
      <c r="AR393" s="49"/>
      <c r="AS393" s="49"/>
      <c r="AT393" s="49"/>
      <c r="AU393" s="49"/>
    </row>
    <row r="394" spans="1:47" s="12" customFormat="1" hidden="1" outlineLevel="1">
      <c r="A394" s="12">
        <f>IF(AND(D394&lt;&gt;"",C394=""),A393+1,A393)</f>
        <v>36</v>
      </c>
      <c r="B394" s="5"/>
      <c r="C394" s="5"/>
      <c r="D394" s="5" t="str">
        <f t="shared" si="453"/>
        <v>x</v>
      </c>
      <c r="E394" s="5"/>
      <c r="F394" s="18">
        <f>INDEX(PropertyList!$D:$D,MATCH(Summary!$A394,PropertyList!$C:$C,0))</f>
        <v>0</v>
      </c>
      <c r="G394" s="61">
        <f ca="1">SUMIFS(OFFSET('BPC Data'!$F:$F,0,Summary!G$2),'BPC Data'!$E:$E,Summary!$D394,'BPC Data'!$B:$B,Summary!$C394)</f>
        <v>0</v>
      </c>
      <c r="H394" s="65">
        <f ca="1">SUMIFS(OFFSET('BPC Data'!$F:$F,0,Summary!H$2),'BPC Data'!$E:$E,Summary!$D394,'BPC Data'!$B:$B,Summary!$C394)</f>
        <v>0</v>
      </c>
      <c r="I394" s="61">
        <f ca="1">SUMIFS(OFFSET('BPC Data'!$F:$F,0,Summary!I$2),'BPC Data'!$E:$E,Summary!$D394,'BPC Data'!$B:$B,Summary!$C394)</f>
        <v>0</v>
      </c>
      <c r="J394" s="65">
        <f ca="1">SUMIFS(OFFSET('BPC Data'!$F:$F,0,Summary!J$2),'BPC Data'!$E:$E,Summary!$D394,'BPC Data'!$B:$B,Summary!$C394)</f>
        <v>0</v>
      </c>
      <c r="K394" s="61">
        <f ca="1">SUMIFS(OFFSET('BPC Data'!$F:$F,0,Summary!K$2),'BPC Data'!$E:$E,Summary!$D394,'BPC Data'!$B:$B,Summary!$C394)</f>
        <v>0</v>
      </c>
      <c r="L394" s="65">
        <f ca="1">SUMIFS(OFFSET('BPC Data'!$F:$F,0,Summary!L$2),'BPC Data'!$E:$E,Summary!$D394,'BPC Data'!$B:$B,Summary!$C394)</f>
        <v>0</v>
      </c>
      <c r="M394" s="61">
        <f ca="1">SUMIFS(OFFSET('BPC Data'!$F:$F,0,Summary!M$2),'BPC Data'!$E:$E,Summary!$D394,'BPC Data'!$B:$B,Summary!$C394)</f>
        <v>0</v>
      </c>
      <c r="N394" s="65">
        <f ca="1">SUMIFS(OFFSET('BPC Data'!$F:$F,0,Summary!N$2),'BPC Data'!$E:$E,Summary!$D394,'BPC Data'!$B:$B,Summary!$C394)</f>
        <v>0</v>
      </c>
      <c r="O394" s="61">
        <f ca="1">SUMIFS(OFFSET('BPC Data'!$F:$F,0,Summary!O$2),'BPC Data'!$E:$E,Summary!$D394,'BPC Data'!$B:$B,Summary!$C394)</f>
        <v>0</v>
      </c>
      <c r="P394" s="65">
        <f ca="1">SUMIFS(OFFSET('BPC Data'!$F:$F,0,Summary!P$2),'BPC Data'!$E:$E,Summary!$D394,'BPC Data'!$B:$B,Summary!$C394)</f>
        <v>0</v>
      </c>
      <c r="Q394" s="61">
        <f ca="1">SUMIFS(OFFSET('BPC Data'!$F:$F,0,Summary!Q$2),'BPC Data'!$E:$E,Summary!$D394,'BPC Data'!$B:$B,Summary!$C394)</f>
        <v>0</v>
      </c>
      <c r="R394" s="65">
        <f ca="1">SUMIFS(OFFSET('BPC Data'!$F:$F,0,Summary!R$2),'BPC Data'!$E:$E,Summary!$D394,'BPC Data'!$B:$B,Summary!$C394)</f>
        <v>0</v>
      </c>
      <c r="S394" s="23"/>
      <c r="T394" s="76"/>
      <c r="AJ394" s="49"/>
      <c r="AK394" s="49"/>
      <c r="AL394" s="49"/>
      <c r="AM394" s="49"/>
      <c r="AN394" s="49"/>
      <c r="AO394" s="49"/>
      <c r="AP394" s="49"/>
      <c r="AQ394" s="49"/>
      <c r="AR394" s="49"/>
      <c r="AS394" s="49"/>
      <c r="AT394" s="49"/>
      <c r="AU394" s="49"/>
    </row>
    <row r="395" spans="1:47" s="12" customFormat="1" hidden="1" outlineLevel="1">
      <c r="A395" s="12">
        <f>IF(AND(F395&lt;&gt;"",D395=""),A394+1,A394)</f>
        <v>36</v>
      </c>
      <c r="C395">
        <f>$F394</f>
        <v>0</v>
      </c>
      <c r="D395" s="3" t="str">
        <f t="shared" si="453"/>
        <v>PAY_PAT_DAYS - Total Payor Patient Days</v>
      </c>
      <c r="F395" s="19" t="str">
        <f>_xll.EVDES(D395)</f>
        <v>Total Payor Patient Days</v>
      </c>
      <c r="G395" s="61">
        <f ca="1">SUMIFS(OFFSET('BPC Data'!$F:$F,0,Summary!G$2),'BPC Data'!$E:$E,Summary!$D395,'BPC Data'!$B:$B,Summary!$C395)</f>
        <v>0</v>
      </c>
      <c r="H395" s="65">
        <f ca="1">SUMIFS(OFFSET('BPC Data'!$F:$F,0,Summary!H$2),'BPC Data'!$E:$E,Summary!$D395,'BPC Data'!$B:$B,Summary!$C395)</f>
        <v>0</v>
      </c>
      <c r="I395" s="61">
        <f ca="1">SUMIFS(OFFSET('BPC Data'!$F:$F,0,Summary!I$2),'BPC Data'!$E:$E,Summary!$D395,'BPC Data'!$B:$B,Summary!$C395)</f>
        <v>0</v>
      </c>
      <c r="J395" s="65">
        <f ca="1">SUMIFS(OFFSET('BPC Data'!$F:$F,0,Summary!J$2),'BPC Data'!$E:$E,Summary!$D395,'BPC Data'!$B:$B,Summary!$C395)</f>
        <v>0</v>
      </c>
      <c r="K395" s="61">
        <f ca="1">SUMIFS(OFFSET('BPC Data'!$F:$F,0,Summary!K$2),'BPC Data'!$E:$E,Summary!$D395,'BPC Data'!$B:$B,Summary!$C395)</f>
        <v>0</v>
      </c>
      <c r="L395" s="65">
        <f ca="1">SUMIFS(OFFSET('BPC Data'!$F:$F,0,Summary!L$2),'BPC Data'!$E:$E,Summary!$D395,'BPC Data'!$B:$B,Summary!$C395)</f>
        <v>0</v>
      </c>
      <c r="M395" s="61">
        <f ca="1">SUMIFS(OFFSET('BPC Data'!$F:$F,0,Summary!M$2),'BPC Data'!$E:$E,Summary!$D395,'BPC Data'!$B:$B,Summary!$C395)</f>
        <v>0</v>
      </c>
      <c r="N395" s="65">
        <f ca="1">SUMIFS(OFFSET('BPC Data'!$F:$F,0,Summary!N$2),'BPC Data'!$E:$E,Summary!$D395,'BPC Data'!$B:$B,Summary!$C395)</f>
        <v>0</v>
      </c>
      <c r="O395" s="61">
        <f ca="1">SUMIFS(OFFSET('BPC Data'!$F:$F,0,Summary!O$2),'BPC Data'!$E:$E,Summary!$D395,'BPC Data'!$B:$B,Summary!$C395)</f>
        <v>0</v>
      </c>
      <c r="P395" s="65">
        <f ca="1">SUMIFS(OFFSET('BPC Data'!$F:$F,0,Summary!P$2),'BPC Data'!$E:$E,Summary!$D395,'BPC Data'!$B:$B,Summary!$C395)</f>
        <v>0</v>
      </c>
      <c r="Q395" s="61">
        <f ca="1">SUMIFS(OFFSET('BPC Data'!$F:$F,0,Summary!Q$2),'BPC Data'!$E:$E,Summary!$D395,'BPC Data'!$B:$B,Summary!$C395)</f>
        <v>0</v>
      </c>
      <c r="R395" s="65">
        <f ca="1">SUMIFS(OFFSET('BPC Data'!$F:$F,0,Summary!R$2),'BPC Data'!$E:$E,Summary!$D395,'BPC Data'!$B:$B,Summary!$C395)</f>
        <v>0</v>
      </c>
      <c r="S395" s="23"/>
      <c r="T395" s="76"/>
      <c r="AJ395" s="49"/>
      <c r="AK395" s="49"/>
      <c r="AL395" s="49"/>
      <c r="AM395" s="49"/>
      <c r="AN395" s="49"/>
      <c r="AO395" s="49"/>
      <c r="AP395" s="49"/>
      <c r="AQ395" s="49"/>
      <c r="AR395" s="49"/>
      <c r="AS395" s="49"/>
      <c r="AT395" s="49"/>
      <c r="AU395" s="49"/>
    </row>
    <row r="396" spans="1:47" s="12" customFormat="1" hidden="1" outlineLevel="1">
      <c r="A396" s="12">
        <f t="shared" ref="A396:A404" si="458">IF(AND(F396&lt;&gt;"",D396=""),A395+1,A395)</f>
        <v>36</v>
      </c>
      <c r="C396">
        <f>$F394</f>
        <v>0</v>
      </c>
      <c r="D396" s="3" t="str">
        <f t="shared" si="453"/>
        <v>A_BEDS_TOTAL - Total Available Beds</v>
      </c>
      <c r="F396" s="19" t="str">
        <f>_xll.EVDES(D396)</f>
        <v>Total Available Beds</v>
      </c>
      <c r="G396" s="61">
        <f ca="1">SUMIFS(OFFSET('BPC Data'!$F:$F,0,Summary!G$2),'BPC Data'!$E:$E,Summary!$D396,'BPC Data'!$B:$B,Summary!$C396)</f>
        <v>0</v>
      </c>
      <c r="H396" s="65">
        <f ca="1">SUMIFS(OFFSET('BPC Data'!$F:$F,0,Summary!H$2),'BPC Data'!$E:$E,Summary!$D396,'BPC Data'!$B:$B,Summary!$C396)</f>
        <v>0</v>
      </c>
      <c r="I396" s="61">
        <f ca="1">SUMIFS(OFFSET('BPC Data'!$F:$F,0,Summary!I$2),'BPC Data'!$E:$E,Summary!$D396,'BPC Data'!$B:$B,Summary!$C396)</f>
        <v>0</v>
      </c>
      <c r="J396" s="65">
        <f ca="1">SUMIFS(OFFSET('BPC Data'!$F:$F,0,Summary!J$2),'BPC Data'!$E:$E,Summary!$D396,'BPC Data'!$B:$B,Summary!$C396)</f>
        <v>0</v>
      </c>
      <c r="K396" s="61">
        <f ca="1">SUMIFS(OFFSET('BPC Data'!$F:$F,0,Summary!K$2),'BPC Data'!$E:$E,Summary!$D396,'BPC Data'!$B:$B,Summary!$C396)</f>
        <v>0</v>
      </c>
      <c r="L396" s="65">
        <f ca="1">SUMIFS(OFFSET('BPC Data'!$F:$F,0,Summary!L$2),'BPC Data'!$E:$E,Summary!$D396,'BPC Data'!$B:$B,Summary!$C396)</f>
        <v>0</v>
      </c>
      <c r="M396" s="61">
        <f ca="1">SUMIFS(OFFSET('BPC Data'!$F:$F,0,Summary!M$2),'BPC Data'!$E:$E,Summary!$D396,'BPC Data'!$B:$B,Summary!$C396)</f>
        <v>0</v>
      </c>
      <c r="N396" s="65">
        <f ca="1">SUMIFS(OFFSET('BPC Data'!$F:$F,0,Summary!N$2),'BPC Data'!$E:$E,Summary!$D396,'BPC Data'!$B:$B,Summary!$C396)</f>
        <v>0</v>
      </c>
      <c r="O396" s="61">
        <f ca="1">SUMIFS(OFFSET('BPC Data'!$F:$F,0,Summary!O$2),'BPC Data'!$E:$E,Summary!$D396,'BPC Data'!$B:$B,Summary!$C396)</f>
        <v>0</v>
      </c>
      <c r="P396" s="65">
        <f ca="1">SUMIFS(OFFSET('BPC Data'!$F:$F,0,Summary!P$2),'BPC Data'!$E:$E,Summary!$D396,'BPC Data'!$B:$B,Summary!$C396)</f>
        <v>0</v>
      </c>
      <c r="Q396" s="61">
        <f ca="1">SUMIFS(OFFSET('BPC Data'!$F:$F,0,Summary!Q$2),'BPC Data'!$E:$E,Summary!$D396,'BPC Data'!$B:$B,Summary!$C396)</f>
        <v>0</v>
      </c>
      <c r="R396" s="65">
        <f ca="1">SUMIFS(OFFSET('BPC Data'!$F:$F,0,Summary!R$2),'BPC Data'!$E:$E,Summary!$D396,'BPC Data'!$B:$B,Summary!$C396)</f>
        <v>0</v>
      </c>
      <c r="S396" s="23"/>
      <c r="T396" s="76"/>
      <c r="AJ396" s="49"/>
      <c r="AK396" s="49"/>
      <c r="AL396" s="49"/>
      <c r="AM396" s="49"/>
      <c r="AN396" s="49"/>
      <c r="AO396" s="49"/>
      <c r="AP396" s="49"/>
      <c r="AQ396" s="49"/>
      <c r="AR396" s="49"/>
      <c r="AS396" s="49"/>
      <c r="AT396" s="49"/>
      <c r="AU396" s="49"/>
    </row>
    <row r="397" spans="1:47" s="12" customFormat="1" hidden="1" outlineLevel="1">
      <c r="A397" s="12">
        <f t="shared" si="458"/>
        <v>36</v>
      </c>
      <c r="B397"/>
      <c r="C397">
        <f>$F394</f>
        <v>0</v>
      </c>
      <c r="D397" s="3" t="str">
        <f t="shared" si="453"/>
        <v>T_REVENUES - Total Tenant Revenues</v>
      </c>
      <c r="E397"/>
      <c r="F397" s="19" t="str">
        <f>_xll.EVDES(D397)</f>
        <v>Total Tenant Revenues</v>
      </c>
      <c r="G397" s="61">
        <f ca="1">SUMIFS(OFFSET('BPC Data'!$F:$F,0,Summary!G$2),'BPC Data'!$E:$E,Summary!$D397,'BPC Data'!$B:$B,Summary!$C397)</f>
        <v>0</v>
      </c>
      <c r="H397" s="65">
        <f ca="1">SUMIFS(OFFSET('BPC Data'!$F:$F,0,Summary!H$2),'BPC Data'!$E:$E,Summary!$D397,'BPC Data'!$B:$B,Summary!$C397)</f>
        <v>0</v>
      </c>
      <c r="I397" s="61">
        <f ca="1">SUMIFS(OFFSET('BPC Data'!$F:$F,0,Summary!I$2),'BPC Data'!$E:$E,Summary!$D397,'BPC Data'!$B:$B,Summary!$C397)</f>
        <v>0</v>
      </c>
      <c r="J397" s="65">
        <f ca="1">SUMIFS(OFFSET('BPC Data'!$F:$F,0,Summary!J$2),'BPC Data'!$E:$E,Summary!$D397,'BPC Data'!$B:$B,Summary!$C397)</f>
        <v>0</v>
      </c>
      <c r="K397" s="61">
        <f ca="1">SUMIFS(OFFSET('BPC Data'!$F:$F,0,Summary!K$2),'BPC Data'!$E:$E,Summary!$D397,'BPC Data'!$B:$B,Summary!$C397)</f>
        <v>0</v>
      </c>
      <c r="L397" s="65">
        <f ca="1">SUMIFS(OFFSET('BPC Data'!$F:$F,0,Summary!L$2),'BPC Data'!$E:$E,Summary!$D397,'BPC Data'!$B:$B,Summary!$C397)</f>
        <v>0</v>
      </c>
      <c r="M397" s="61">
        <f ca="1">SUMIFS(OFFSET('BPC Data'!$F:$F,0,Summary!M$2),'BPC Data'!$E:$E,Summary!$D397,'BPC Data'!$B:$B,Summary!$C397)</f>
        <v>0</v>
      </c>
      <c r="N397" s="65">
        <f ca="1">SUMIFS(OFFSET('BPC Data'!$F:$F,0,Summary!N$2),'BPC Data'!$E:$E,Summary!$D397,'BPC Data'!$B:$B,Summary!$C397)</f>
        <v>0</v>
      </c>
      <c r="O397" s="61">
        <f ca="1">SUMIFS(OFFSET('BPC Data'!$F:$F,0,Summary!O$2),'BPC Data'!$E:$E,Summary!$D397,'BPC Data'!$B:$B,Summary!$C397)</f>
        <v>0</v>
      </c>
      <c r="P397" s="65">
        <f ca="1">SUMIFS(OFFSET('BPC Data'!$F:$F,0,Summary!P$2),'BPC Data'!$E:$E,Summary!$D397,'BPC Data'!$B:$B,Summary!$C397)</f>
        <v>0</v>
      </c>
      <c r="Q397" s="61">
        <f ca="1">SUMIFS(OFFSET('BPC Data'!$F:$F,0,Summary!Q$2),'BPC Data'!$E:$E,Summary!$D397,'BPC Data'!$B:$B,Summary!$C397)</f>
        <v>0</v>
      </c>
      <c r="R397" s="65">
        <f ca="1">SUMIFS(OFFSET('BPC Data'!$F:$F,0,Summary!R$2),'BPC Data'!$E:$E,Summary!$D397,'BPC Data'!$B:$B,Summary!$C397)</f>
        <v>0</v>
      </c>
      <c r="S397" s="23"/>
      <c r="T397" s="76"/>
      <c r="AJ397" s="49"/>
      <c r="AK397" s="49"/>
      <c r="AL397" s="49"/>
      <c r="AM397" s="49"/>
      <c r="AN397" s="49"/>
      <c r="AO397" s="49"/>
      <c r="AP397" s="49"/>
      <c r="AQ397" s="49"/>
      <c r="AR397" s="49"/>
      <c r="AS397" s="49"/>
      <c r="AT397" s="49"/>
      <c r="AU397" s="49"/>
    </row>
    <row r="398" spans="1:47" s="12" customFormat="1" hidden="1" outlineLevel="1">
      <c r="A398" s="12">
        <f t="shared" si="458"/>
        <v>36</v>
      </c>
      <c r="B398"/>
      <c r="C398">
        <f>$F394</f>
        <v>0</v>
      </c>
      <c r="D398" s="3" t="str">
        <f t="shared" si="453"/>
        <v>T_OPEX - Tenant Operating Expenses</v>
      </c>
      <c r="E398"/>
      <c r="F398" s="19" t="str">
        <f>_xll.EVDES(D398)</f>
        <v>Tenant Operating Expenses</v>
      </c>
      <c r="G398" s="61">
        <f ca="1">SUMIFS(OFFSET('BPC Data'!$F:$F,0,Summary!G$2),'BPC Data'!$E:$E,Summary!$D398,'BPC Data'!$B:$B,Summary!$C398)</f>
        <v>0</v>
      </c>
      <c r="H398" s="65">
        <f ca="1">SUMIFS(OFFSET('BPC Data'!$F:$F,0,Summary!H$2),'BPC Data'!$E:$E,Summary!$D398,'BPC Data'!$B:$B,Summary!$C398)</f>
        <v>0</v>
      </c>
      <c r="I398" s="61">
        <f ca="1">SUMIFS(OFFSET('BPC Data'!$F:$F,0,Summary!I$2),'BPC Data'!$E:$E,Summary!$D398,'BPC Data'!$B:$B,Summary!$C398)</f>
        <v>0</v>
      </c>
      <c r="J398" s="65">
        <f ca="1">SUMIFS(OFFSET('BPC Data'!$F:$F,0,Summary!J$2),'BPC Data'!$E:$E,Summary!$D398,'BPC Data'!$B:$B,Summary!$C398)</f>
        <v>0</v>
      </c>
      <c r="K398" s="61">
        <f ca="1">SUMIFS(OFFSET('BPC Data'!$F:$F,0,Summary!K$2),'BPC Data'!$E:$E,Summary!$D398,'BPC Data'!$B:$B,Summary!$C398)</f>
        <v>0</v>
      </c>
      <c r="L398" s="65">
        <f ca="1">SUMIFS(OFFSET('BPC Data'!$F:$F,0,Summary!L$2),'BPC Data'!$E:$E,Summary!$D398,'BPC Data'!$B:$B,Summary!$C398)</f>
        <v>0</v>
      </c>
      <c r="M398" s="61">
        <f ca="1">SUMIFS(OFFSET('BPC Data'!$F:$F,0,Summary!M$2),'BPC Data'!$E:$E,Summary!$D398,'BPC Data'!$B:$B,Summary!$C398)</f>
        <v>0</v>
      </c>
      <c r="N398" s="65">
        <f ca="1">SUMIFS(OFFSET('BPC Data'!$F:$F,0,Summary!N$2),'BPC Data'!$E:$E,Summary!$D398,'BPC Data'!$B:$B,Summary!$C398)</f>
        <v>0</v>
      </c>
      <c r="O398" s="61">
        <f ca="1">SUMIFS(OFFSET('BPC Data'!$F:$F,0,Summary!O$2),'BPC Data'!$E:$E,Summary!$D398,'BPC Data'!$B:$B,Summary!$C398)</f>
        <v>0</v>
      </c>
      <c r="P398" s="65">
        <f ca="1">SUMIFS(OFFSET('BPC Data'!$F:$F,0,Summary!P$2),'BPC Data'!$E:$E,Summary!$D398,'BPC Data'!$B:$B,Summary!$C398)</f>
        <v>0</v>
      </c>
      <c r="Q398" s="61">
        <f ca="1">SUMIFS(OFFSET('BPC Data'!$F:$F,0,Summary!Q$2),'BPC Data'!$E:$E,Summary!$D398,'BPC Data'!$B:$B,Summary!$C398)</f>
        <v>0</v>
      </c>
      <c r="R398" s="65">
        <f ca="1">SUMIFS(OFFSET('BPC Data'!$F:$F,0,Summary!R$2),'BPC Data'!$E:$E,Summary!$D398,'BPC Data'!$B:$B,Summary!$C398)</f>
        <v>0</v>
      </c>
      <c r="S398" s="23"/>
      <c r="T398" s="76"/>
      <c r="AJ398" s="49"/>
      <c r="AK398" s="49"/>
      <c r="AL398" s="49"/>
      <c r="AM398" s="49"/>
      <c r="AN398" s="49"/>
      <c r="AO398" s="49"/>
      <c r="AP398" s="49"/>
      <c r="AQ398" s="49"/>
      <c r="AR398" s="49"/>
      <c r="AS398" s="49"/>
      <c r="AT398" s="49"/>
      <c r="AU398" s="49"/>
    </row>
    <row r="399" spans="1:47" s="12" customFormat="1" hidden="1" outlineLevel="1">
      <c r="A399" s="12">
        <f t="shared" si="458"/>
        <v>36</v>
      </c>
      <c r="B399"/>
      <c r="C399">
        <f>$F394</f>
        <v>0</v>
      </c>
      <c r="D399" s="3" t="str">
        <f t="shared" si="453"/>
        <v>T_BAD_DEBT - Tenant Bad Debt Expense</v>
      </c>
      <c r="E399"/>
      <c r="F399" s="19" t="str">
        <f>_xll.EVDES(D399)</f>
        <v>Tenant Bad Debt Expense</v>
      </c>
      <c r="G399" s="61">
        <f ca="1">SUMIFS(OFFSET('BPC Data'!$F:$F,0,Summary!G$2),'BPC Data'!$E:$E,Summary!$D399,'BPC Data'!$B:$B,Summary!$C399)</f>
        <v>0</v>
      </c>
      <c r="H399" s="65">
        <f ca="1">SUMIFS(OFFSET('BPC Data'!$F:$F,0,Summary!H$2),'BPC Data'!$E:$E,Summary!$D399,'BPC Data'!$B:$B,Summary!$C399)</f>
        <v>0</v>
      </c>
      <c r="I399" s="61">
        <f ca="1">SUMIFS(OFFSET('BPC Data'!$F:$F,0,Summary!I$2),'BPC Data'!$E:$E,Summary!$D399,'BPC Data'!$B:$B,Summary!$C399)</f>
        <v>0</v>
      </c>
      <c r="J399" s="65">
        <f ca="1">SUMIFS(OFFSET('BPC Data'!$F:$F,0,Summary!J$2),'BPC Data'!$E:$E,Summary!$D399,'BPC Data'!$B:$B,Summary!$C399)</f>
        <v>0</v>
      </c>
      <c r="K399" s="61">
        <f ca="1">SUMIFS(OFFSET('BPC Data'!$F:$F,0,Summary!K$2),'BPC Data'!$E:$E,Summary!$D399,'BPC Data'!$B:$B,Summary!$C399)</f>
        <v>0</v>
      </c>
      <c r="L399" s="65">
        <f ca="1">SUMIFS(OFFSET('BPC Data'!$F:$F,0,Summary!L$2),'BPC Data'!$E:$E,Summary!$D399,'BPC Data'!$B:$B,Summary!$C399)</f>
        <v>0</v>
      </c>
      <c r="M399" s="61">
        <f ca="1">SUMIFS(OFFSET('BPC Data'!$F:$F,0,Summary!M$2),'BPC Data'!$E:$E,Summary!$D399,'BPC Data'!$B:$B,Summary!$C399)</f>
        <v>0</v>
      </c>
      <c r="N399" s="65">
        <f ca="1">SUMIFS(OFFSET('BPC Data'!$F:$F,0,Summary!N$2),'BPC Data'!$E:$E,Summary!$D399,'BPC Data'!$B:$B,Summary!$C399)</f>
        <v>0</v>
      </c>
      <c r="O399" s="61">
        <f ca="1">SUMIFS(OFFSET('BPC Data'!$F:$F,0,Summary!O$2),'BPC Data'!$E:$E,Summary!$D399,'BPC Data'!$B:$B,Summary!$C399)</f>
        <v>0</v>
      </c>
      <c r="P399" s="65">
        <f ca="1">SUMIFS(OFFSET('BPC Data'!$F:$F,0,Summary!P$2),'BPC Data'!$E:$E,Summary!$D399,'BPC Data'!$B:$B,Summary!$C399)</f>
        <v>0</v>
      </c>
      <c r="Q399" s="61">
        <f ca="1">SUMIFS(OFFSET('BPC Data'!$F:$F,0,Summary!Q$2),'BPC Data'!$E:$E,Summary!$D399,'BPC Data'!$B:$B,Summary!$C399)</f>
        <v>0</v>
      </c>
      <c r="R399" s="65">
        <f ca="1">SUMIFS(OFFSET('BPC Data'!$F:$F,0,Summary!R$2),'BPC Data'!$E:$E,Summary!$D399,'BPC Data'!$B:$B,Summary!$C399)</f>
        <v>0</v>
      </c>
      <c r="S399" s="23"/>
      <c r="T399" s="76"/>
      <c r="AJ399" s="49"/>
      <c r="AK399" s="49"/>
      <c r="AL399" s="49"/>
      <c r="AM399" s="49"/>
      <c r="AN399" s="49"/>
      <c r="AO399" s="49"/>
      <c r="AP399" s="49"/>
      <c r="AQ399" s="49"/>
      <c r="AR399" s="49"/>
      <c r="AS399" s="49"/>
      <c r="AT399" s="49"/>
      <c r="AU399" s="49"/>
    </row>
    <row r="400" spans="1:47" s="12" customFormat="1" hidden="1" outlineLevel="1">
      <c r="A400" s="12">
        <f t="shared" si="458"/>
        <v>36</v>
      </c>
      <c r="B400"/>
      <c r="C400">
        <f>$F394</f>
        <v>0</v>
      </c>
      <c r="D400" s="2" t="str">
        <f t="shared" si="453"/>
        <v>T_EBITDARM - EBITDARM</v>
      </c>
      <c r="E400"/>
      <c r="F400" s="19" t="str">
        <f>_xll.EVDES(D400)</f>
        <v>EBITDARM</v>
      </c>
      <c r="G400" s="61">
        <f ca="1">SUMIFS(OFFSET('BPC Data'!$F:$F,0,Summary!G$2),'BPC Data'!$E:$E,Summary!$D400,'BPC Data'!$B:$B,Summary!$C400)</f>
        <v>0</v>
      </c>
      <c r="H400" s="65">
        <f ca="1">SUMIFS(OFFSET('BPC Data'!$F:$F,0,Summary!H$2),'BPC Data'!$E:$E,Summary!$D400,'BPC Data'!$B:$B,Summary!$C400)</f>
        <v>0</v>
      </c>
      <c r="I400" s="61">
        <f ca="1">SUMIFS(OFFSET('BPC Data'!$F:$F,0,Summary!I$2),'BPC Data'!$E:$E,Summary!$D400,'BPC Data'!$B:$B,Summary!$C400)</f>
        <v>0</v>
      </c>
      <c r="J400" s="65">
        <f ca="1">SUMIFS(OFFSET('BPC Data'!$F:$F,0,Summary!J$2),'BPC Data'!$E:$E,Summary!$D400,'BPC Data'!$B:$B,Summary!$C400)</f>
        <v>0</v>
      </c>
      <c r="K400" s="61">
        <f ca="1">SUMIFS(OFFSET('BPC Data'!$F:$F,0,Summary!K$2),'BPC Data'!$E:$E,Summary!$D400,'BPC Data'!$B:$B,Summary!$C400)</f>
        <v>0</v>
      </c>
      <c r="L400" s="65">
        <f ca="1">SUMIFS(OFFSET('BPC Data'!$F:$F,0,Summary!L$2),'BPC Data'!$E:$E,Summary!$D400,'BPC Data'!$B:$B,Summary!$C400)</f>
        <v>0</v>
      </c>
      <c r="M400" s="61">
        <f ca="1">SUMIFS(OFFSET('BPC Data'!$F:$F,0,Summary!M$2),'BPC Data'!$E:$E,Summary!$D400,'BPC Data'!$B:$B,Summary!$C400)</f>
        <v>0</v>
      </c>
      <c r="N400" s="65">
        <f ca="1">SUMIFS(OFFSET('BPC Data'!$F:$F,0,Summary!N$2),'BPC Data'!$E:$E,Summary!$D400,'BPC Data'!$B:$B,Summary!$C400)</f>
        <v>0</v>
      </c>
      <c r="O400" s="61">
        <f ca="1">SUMIFS(OFFSET('BPC Data'!$F:$F,0,Summary!O$2),'BPC Data'!$E:$E,Summary!$D400,'BPC Data'!$B:$B,Summary!$C400)</f>
        <v>0</v>
      </c>
      <c r="P400" s="65">
        <f ca="1">SUMIFS(OFFSET('BPC Data'!$F:$F,0,Summary!P$2),'BPC Data'!$E:$E,Summary!$D400,'BPC Data'!$B:$B,Summary!$C400)</f>
        <v>0</v>
      </c>
      <c r="Q400" s="61">
        <f ca="1">SUMIFS(OFFSET('BPC Data'!$F:$F,0,Summary!Q$2),'BPC Data'!$E:$E,Summary!$D400,'BPC Data'!$B:$B,Summary!$C400)</f>
        <v>0</v>
      </c>
      <c r="R400" s="65">
        <f ca="1">SUMIFS(OFFSET('BPC Data'!$F:$F,0,Summary!R$2),'BPC Data'!$E:$E,Summary!$D400,'BPC Data'!$B:$B,Summary!$C400)</f>
        <v>0</v>
      </c>
      <c r="S400" s="23"/>
      <c r="T400" s="76"/>
      <c r="AJ400" s="49"/>
      <c r="AK400" s="49"/>
      <c r="AL400" s="49"/>
      <c r="AM400" s="49"/>
      <c r="AN400" s="49"/>
      <c r="AO400" s="49"/>
      <c r="AP400" s="49"/>
      <c r="AQ400" s="49"/>
      <c r="AR400" s="49"/>
      <c r="AS400" s="49"/>
      <c r="AT400" s="49"/>
      <c r="AU400" s="49"/>
    </row>
    <row r="401" spans="1:47" s="12" customFormat="1" hidden="1" outlineLevel="1">
      <c r="A401" s="12">
        <f t="shared" si="458"/>
        <v>36</v>
      </c>
      <c r="B401"/>
      <c r="C401">
        <f>$F394</f>
        <v>0</v>
      </c>
      <c r="D401" s="2" t="str">
        <f t="shared" si="453"/>
        <v>T_MGMT_FEE - Tenant Management Fee - Actual</v>
      </c>
      <c r="E401"/>
      <c r="F401" s="19" t="str">
        <f>_xll.EVDES(D401)</f>
        <v>Tenant Management Fee - Actual</v>
      </c>
      <c r="G401" s="61">
        <f ca="1">SUMIFS(OFFSET('BPC Data'!$F:$F,0,Summary!G$2),'BPC Data'!$E:$E,Summary!$D401,'BPC Data'!$B:$B,Summary!$C401)</f>
        <v>0</v>
      </c>
      <c r="H401" s="65">
        <f ca="1">SUMIFS(OFFSET('BPC Data'!$F:$F,0,Summary!H$2),'BPC Data'!$E:$E,Summary!$D401,'BPC Data'!$B:$B,Summary!$C401)</f>
        <v>0</v>
      </c>
      <c r="I401" s="61">
        <f ca="1">SUMIFS(OFFSET('BPC Data'!$F:$F,0,Summary!I$2),'BPC Data'!$E:$E,Summary!$D401,'BPC Data'!$B:$B,Summary!$C401)</f>
        <v>0</v>
      </c>
      <c r="J401" s="65">
        <f ca="1">SUMIFS(OFFSET('BPC Data'!$F:$F,0,Summary!J$2),'BPC Data'!$E:$E,Summary!$D401,'BPC Data'!$B:$B,Summary!$C401)</f>
        <v>0</v>
      </c>
      <c r="K401" s="61">
        <f ca="1">SUMIFS(OFFSET('BPC Data'!$F:$F,0,Summary!K$2),'BPC Data'!$E:$E,Summary!$D401,'BPC Data'!$B:$B,Summary!$C401)</f>
        <v>0</v>
      </c>
      <c r="L401" s="65">
        <f ca="1">SUMIFS(OFFSET('BPC Data'!$F:$F,0,Summary!L$2),'BPC Data'!$E:$E,Summary!$D401,'BPC Data'!$B:$B,Summary!$C401)</f>
        <v>0</v>
      </c>
      <c r="M401" s="61">
        <f ca="1">SUMIFS(OFFSET('BPC Data'!$F:$F,0,Summary!M$2),'BPC Data'!$E:$E,Summary!$D401,'BPC Data'!$B:$B,Summary!$C401)</f>
        <v>0</v>
      </c>
      <c r="N401" s="65">
        <f ca="1">SUMIFS(OFFSET('BPC Data'!$F:$F,0,Summary!N$2),'BPC Data'!$E:$E,Summary!$D401,'BPC Data'!$B:$B,Summary!$C401)</f>
        <v>0</v>
      </c>
      <c r="O401" s="61">
        <f ca="1">SUMIFS(OFFSET('BPC Data'!$F:$F,0,Summary!O$2),'BPC Data'!$E:$E,Summary!$D401,'BPC Data'!$B:$B,Summary!$C401)</f>
        <v>0</v>
      </c>
      <c r="P401" s="65">
        <f ca="1">SUMIFS(OFFSET('BPC Data'!$F:$F,0,Summary!P$2),'BPC Data'!$E:$E,Summary!$D401,'BPC Data'!$B:$B,Summary!$C401)</f>
        <v>0</v>
      </c>
      <c r="Q401" s="61">
        <f ca="1">SUMIFS(OFFSET('BPC Data'!$F:$F,0,Summary!Q$2),'BPC Data'!$E:$E,Summary!$D401,'BPC Data'!$B:$B,Summary!$C401)</f>
        <v>0</v>
      </c>
      <c r="R401" s="65">
        <f ca="1">SUMIFS(OFFSET('BPC Data'!$F:$F,0,Summary!R$2),'BPC Data'!$E:$E,Summary!$D401,'BPC Data'!$B:$B,Summary!$C401)</f>
        <v>0</v>
      </c>
      <c r="S401" s="23"/>
      <c r="T401" s="76"/>
      <c r="AJ401" s="49"/>
      <c r="AK401" s="49"/>
      <c r="AL401" s="49"/>
      <c r="AM401" s="49"/>
      <c r="AN401" s="49"/>
      <c r="AO401" s="49"/>
      <c r="AP401" s="49"/>
      <c r="AQ401" s="49"/>
      <c r="AR401" s="49"/>
      <c r="AS401" s="49"/>
      <c r="AT401" s="49"/>
      <c r="AU401" s="49"/>
    </row>
    <row r="402" spans="1:47" s="12" customFormat="1" hidden="1" outlineLevel="1">
      <c r="A402" s="12">
        <f t="shared" si="458"/>
        <v>36</v>
      </c>
      <c r="B402"/>
      <c r="C402">
        <f>$F394</f>
        <v>0</v>
      </c>
      <c r="D402" s="1" t="str">
        <f t="shared" si="453"/>
        <v>T_EBITDAR - EBITDAR</v>
      </c>
      <c r="E402"/>
      <c r="F402" s="19" t="str">
        <f>_xll.EVDES(D402)</f>
        <v>EBITDAR</v>
      </c>
      <c r="G402" s="61">
        <f ca="1">SUMIFS(OFFSET('BPC Data'!$F:$F,0,Summary!G$2),'BPC Data'!$E:$E,Summary!$D402,'BPC Data'!$B:$B,Summary!$C402)</f>
        <v>0</v>
      </c>
      <c r="H402" s="65">
        <f ca="1">SUMIFS(OFFSET('BPC Data'!$F:$F,0,Summary!H$2),'BPC Data'!$E:$E,Summary!$D402,'BPC Data'!$B:$B,Summary!$C402)</f>
        <v>0</v>
      </c>
      <c r="I402" s="61">
        <f ca="1">SUMIFS(OFFSET('BPC Data'!$F:$F,0,Summary!I$2),'BPC Data'!$E:$E,Summary!$D402,'BPC Data'!$B:$B,Summary!$C402)</f>
        <v>0</v>
      </c>
      <c r="J402" s="65">
        <f ca="1">SUMIFS(OFFSET('BPC Data'!$F:$F,0,Summary!J$2),'BPC Data'!$E:$E,Summary!$D402,'BPC Data'!$B:$B,Summary!$C402)</f>
        <v>0</v>
      </c>
      <c r="K402" s="61">
        <f ca="1">SUMIFS(OFFSET('BPC Data'!$F:$F,0,Summary!K$2),'BPC Data'!$E:$E,Summary!$D402,'BPC Data'!$B:$B,Summary!$C402)</f>
        <v>0</v>
      </c>
      <c r="L402" s="65">
        <f ca="1">SUMIFS(OFFSET('BPC Data'!$F:$F,0,Summary!L$2),'BPC Data'!$E:$E,Summary!$D402,'BPC Data'!$B:$B,Summary!$C402)</f>
        <v>0</v>
      </c>
      <c r="M402" s="61">
        <f ca="1">SUMIFS(OFFSET('BPC Data'!$F:$F,0,Summary!M$2),'BPC Data'!$E:$E,Summary!$D402,'BPC Data'!$B:$B,Summary!$C402)</f>
        <v>0</v>
      </c>
      <c r="N402" s="65">
        <f ca="1">SUMIFS(OFFSET('BPC Data'!$F:$F,0,Summary!N$2),'BPC Data'!$E:$E,Summary!$D402,'BPC Data'!$B:$B,Summary!$C402)</f>
        <v>0</v>
      </c>
      <c r="O402" s="61">
        <f ca="1">SUMIFS(OFFSET('BPC Data'!$F:$F,0,Summary!O$2),'BPC Data'!$E:$E,Summary!$D402,'BPC Data'!$B:$B,Summary!$C402)</f>
        <v>0</v>
      </c>
      <c r="P402" s="65">
        <f ca="1">SUMIFS(OFFSET('BPC Data'!$F:$F,0,Summary!P$2),'BPC Data'!$E:$E,Summary!$D402,'BPC Data'!$B:$B,Summary!$C402)</f>
        <v>0</v>
      </c>
      <c r="Q402" s="61">
        <f ca="1">SUMIFS(OFFSET('BPC Data'!$F:$F,0,Summary!Q$2),'BPC Data'!$E:$E,Summary!$D402,'BPC Data'!$B:$B,Summary!$C402)</f>
        <v>0</v>
      </c>
      <c r="R402" s="65">
        <f ca="1">SUMIFS(OFFSET('BPC Data'!$F:$F,0,Summary!R$2),'BPC Data'!$E:$E,Summary!$D402,'BPC Data'!$B:$B,Summary!$C402)</f>
        <v>0</v>
      </c>
      <c r="S402" s="23"/>
      <c r="T402" s="76"/>
      <c r="AJ402" s="49"/>
      <c r="AK402" s="49"/>
      <c r="AL402" s="49"/>
      <c r="AM402" s="49"/>
      <c r="AN402" s="49"/>
      <c r="AO402" s="49"/>
      <c r="AP402" s="49"/>
      <c r="AQ402" s="49"/>
      <c r="AR402" s="49"/>
      <c r="AS402" s="49"/>
      <c r="AT402" s="49"/>
      <c r="AU402" s="49"/>
    </row>
    <row r="403" spans="1:47" s="12" customFormat="1" hidden="1" outlineLevel="1">
      <c r="A403" s="12">
        <f t="shared" si="458"/>
        <v>36</v>
      </c>
      <c r="B403"/>
      <c r="C403">
        <f>$F394</f>
        <v>0</v>
      </c>
      <c r="D403" s="1" t="str">
        <f t="shared" si="453"/>
        <v>T_RENT_EXP - Tenant Rent Expense</v>
      </c>
      <c r="E403"/>
      <c r="F403" s="19" t="str">
        <f>_xll.EVDES(D403)</f>
        <v>Tenant Rent Expense</v>
      </c>
      <c r="G403" s="61">
        <f ca="1">SUMIFS(OFFSET('BPC Data'!$F:$F,0,Summary!G$2),'BPC Data'!$E:$E,Summary!$D403,'BPC Data'!$B:$B,Summary!$C403)</f>
        <v>0</v>
      </c>
      <c r="H403" s="65">
        <f ca="1">SUMIFS(OFFSET('BPC Data'!$F:$F,0,Summary!H$2),'BPC Data'!$E:$E,Summary!$D403,'BPC Data'!$B:$B,Summary!$C403)</f>
        <v>0</v>
      </c>
      <c r="I403" s="61">
        <f ca="1">SUMIFS(OFFSET('BPC Data'!$F:$F,0,Summary!I$2),'BPC Data'!$E:$E,Summary!$D403,'BPC Data'!$B:$B,Summary!$C403)</f>
        <v>0</v>
      </c>
      <c r="J403" s="65">
        <f ca="1">SUMIFS(OFFSET('BPC Data'!$F:$F,0,Summary!J$2),'BPC Data'!$E:$E,Summary!$D403,'BPC Data'!$B:$B,Summary!$C403)</f>
        <v>0</v>
      </c>
      <c r="K403" s="61">
        <f ca="1">SUMIFS(OFFSET('BPC Data'!$F:$F,0,Summary!K$2),'BPC Data'!$E:$E,Summary!$D403,'BPC Data'!$B:$B,Summary!$C403)</f>
        <v>0</v>
      </c>
      <c r="L403" s="65">
        <f ca="1">SUMIFS(OFFSET('BPC Data'!$F:$F,0,Summary!L$2),'BPC Data'!$E:$E,Summary!$D403,'BPC Data'!$B:$B,Summary!$C403)</f>
        <v>0</v>
      </c>
      <c r="M403" s="61">
        <f ca="1">SUMIFS(OFFSET('BPC Data'!$F:$F,0,Summary!M$2),'BPC Data'!$E:$E,Summary!$D403,'BPC Data'!$B:$B,Summary!$C403)</f>
        <v>0</v>
      </c>
      <c r="N403" s="65">
        <f ca="1">SUMIFS(OFFSET('BPC Data'!$F:$F,0,Summary!N$2),'BPC Data'!$E:$E,Summary!$D403,'BPC Data'!$B:$B,Summary!$C403)</f>
        <v>0</v>
      </c>
      <c r="O403" s="61">
        <f ca="1">SUMIFS(OFFSET('BPC Data'!$F:$F,0,Summary!O$2),'BPC Data'!$E:$E,Summary!$D403,'BPC Data'!$B:$B,Summary!$C403)</f>
        <v>0</v>
      </c>
      <c r="P403" s="65">
        <f ca="1">SUMIFS(OFFSET('BPC Data'!$F:$F,0,Summary!P$2),'BPC Data'!$E:$E,Summary!$D403,'BPC Data'!$B:$B,Summary!$C403)</f>
        <v>0</v>
      </c>
      <c r="Q403" s="61">
        <f ca="1">SUMIFS(OFFSET('BPC Data'!$F:$F,0,Summary!Q$2),'BPC Data'!$E:$E,Summary!$D403,'BPC Data'!$B:$B,Summary!$C403)</f>
        <v>0</v>
      </c>
      <c r="R403" s="65">
        <f ca="1">SUMIFS(OFFSET('BPC Data'!$F:$F,0,Summary!R$2),'BPC Data'!$E:$E,Summary!$D403,'BPC Data'!$B:$B,Summary!$C403)</f>
        <v>0</v>
      </c>
      <c r="S403" s="23"/>
      <c r="T403" s="76"/>
      <c r="AJ403" s="49"/>
      <c r="AK403" s="49"/>
      <c r="AL403" s="49"/>
      <c r="AM403" s="49"/>
      <c r="AN403" s="49"/>
      <c r="AO403" s="49"/>
      <c r="AP403" s="49"/>
      <c r="AQ403" s="49"/>
      <c r="AR403" s="49"/>
      <c r="AS403" s="49"/>
      <c r="AT403" s="49"/>
      <c r="AU403" s="49"/>
    </row>
    <row r="404" spans="1:47" s="12" customFormat="1" hidden="1" outlineLevel="1">
      <c r="A404" s="12">
        <f t="shared" si="458"/>
        <v>36</v>
      </c>
      <c r="B404"/>
      <c r="C404"/>
      <c r="D404" s="1" t="str">
        <f t="shared" si="453"/>
        <v>x</v>
      </c>
      <c r="E404"/>
      <c r="F404" s="19" t="s">
        <v>0</v>
      </c>
      <c r="G404" s="61">
        <f ca="1">SUMIFS(OFFSET('BPC Data'!$F:$F,0,Summary!G$2),'BPC Data'!$E:$E,Summary!$D404,'BPC Data'!$B:$B,Summary!$C404)</f>
        <v>0</v>
      </c>
      <c r="H404" s="65">
        <f ca="1">SUMIFS(OFFSET('BPC Data'!$F:$F,0,Summary!H$2),'BPC Data'!$E:$E,Summary!$D404,'BPC Data'!$B:$B,Summary!$C404)</f>
        <v>0</v>
      </c>
      <c r="I404" s="61">
        <f ca="1">SUMIFS(OFFSET('BPC Data'!$F:$F,0,Summary!I$2),'BPC Data'!$E:$E,Summary!$D404,'BPC Data'!$B:$B,Summary!$C404)</f>
        <v>0</v>
      </c>
      <c r="J404" s="65">
        <f ca="1">SUMIFS(OFFSET('BPC Data'!$F:$F,0,Summary!J$2),'BPC Data'!$E:$E,Summary!$D404,'BPC Data'!$B:$B,Summary!$C404)</f>
        <v>0</v>
      </c>
      <c r="K404" s="61">
        <f ca="1">SUMIFS(OFFSET('BPC Data'!$F:$F,0,Summary!K$2),'BPC Data'!$E:$E,Summary!$D404,'BPC Data'!$B:$B,Summary!$C404)</f>
        <v>0</v>
      </c>
      <c r="L404" s="65">
        <f ca="1">SUMIFS(OFFSET('BPC Data'!$F:$F,0,Summary!L$2),'BPC Data'!$E:$E,Summary!$D404,'BPC Data'!$B:$B,Summary!$C404)</f>
        <v>0</v>
      </c>
      <c r="M404" s="61">
        <f ca="1">SUMIFS(OFFSET('BPC Data'!$F:$F,0,Summary!M$2),'BPC Data'!$E:$E,Summary!$D404,'BPC Data'!$B:$B,Summary!$C404)</f>
        <v>0</v>
      </c>
      <c r="N404" s="65">
        <f ca="1">SUMIFS(OFFSET('BPC Data'!$F:$F,0,Summary!N$2),'BPC Data'!$E:$E,Summary!$D404,'BPC Data'!$B:$B,Summary!$C404)</f>
        <v>0</v>
      </c>
      <c r="O404" s="61">
        <f ca="1">SUMIFS(OFFSET('BPC Data'!$F:$F,0,Summary!O$2),'BPC Data'!$E:$E,Summary!$D404,'BPC Data'!$B:$B,Summary!$C404)</f>
        <v>0</v>
      </c>
      <c r="P404" s="65">
        <f ca="1">SUMIFS(OFFSET('BPC Data'!$F:$F,0,Summary!P$2),'BPC Data'!$E:$E,Summary!$D404,'BPC Data'!$B:$B,Summary!$C404)</f>
        <v>0</v>
      </c>
      <c r="Q404" s="61">
        <f ca="1">SUMIFS(OFFSET('BPC Data'!$F:$F,0,Summary!Q$2),'BPC Data'!$E:$E,Summary!$D404,'BPC Data'!$B:$B,Summary!$C404)</f>
        <v>0</v>
      </c>
      <c r="R404" s="65">
        <f ca="1">SUMIFS(OFFSET('BPC Data'!$F:$F,0,Summary!R$2),'BPC Data'!$E:$E,Summary!$D404,'BPC Data'!$B:$B,Summary!$C404)</f>
        <v>0</v>
      </c>
      <c r="S404" s="23"/>
      <c r="T404" s="76"/>
      <c r="AJ404" s="49"/>
      <c r="AK404" s="49"/>
      <c r="AL404" s="49"/>
      <c r="AM404" s="49"/>
      <c r="AN404" s="49"/>
      <c r="AO404" s="49"/>
      <c r="AP404" s="49"/>
      <c r="AQ404" s="49"/>
      <c r="AR404" s="49"/>
      <c r="AS404" s="49"/>
      <c r="AT404" s="49"/>
      <c r="AU404" s="49"/>
    </row>
    <row r="405" spans="1:47" s="12" customFormat="1" hidden="1" outlineLevel="1">
      <c r="A405" s="12">
        <f>IF(AND(D405&lt;&gt;"",C405=""),A404+1,A404)</f>
        <v>37</v>
      </c>
      <c r="B405" s="5"/>
      <c r="C405" s="5"/>
      <c r="D405" s="5" t="str">
        <f t="shared" si="453"/>
        <v>x</v>
      </c>
      <c r="E405" s="5"/>
      <c r="F405" s="18">
        <f>INDEX(PropertyList!$D:$D,MATCH(Summary!$A405,PropertyList!$C:$C,0))</f>
        <v>0</v>
      </c>
      <c r="G405" s="61">
        <f ca="1">SUMIFS(OFFSET('BPC Data'!$F:$F,0,Summary!G$2),'BPC Data'!$E:$E,Summary!$D405,'BPC Data'!$B:$B,Summary!$C405)</f>
        <v>0</v>
      </c>
      <c r="H405" s="65">
        <f ca="1">SUMIFS(OFFSET('BPC Data'!$F:$F,0,Summary!H$2),'BPC Data'!$E:$E,Summary!$D405,'BPC Data'!$B:$B,Summary!$C405)</f>
        <v>0</v>
      </c>
      <c r="I405" s="61">
        <f ca="1">SUMIFS(OFFSET('BPC Data'!$F:$F,0,Summary!I$2),'BPC Data'!$E:$E,Summary!$D405,'BPC Data'!$B:$B,Summary!$C405)</f>
        <v>0</v>
      </c>
      <c r="J405" s="65">
        <f ca="1">SUMIFS(OFFSET('BPC Data'!$F:$F,0,Summary!J$2),'BPC Data'!$E:$E,Summary!$D405,'BPC Data'!$B:$B,Summary!$C405)</f>
        <v>0</v>
      </c>
      <c r="K405" s="61">
        <f ca="1">SUMIFS(OFFSET('BPC Data'!$F:$F,0,Summary!K$2),'BPC Data'!$E:$E,Summary!$D405,'BPC Data'!$B:$B,Summary!$C405)</f>
        <v>0</v>
      </c>
      <c r="L405" s="65">
        <f ca="1">SUMIFS(OFFSET('BPC Data'!$F:$F,0,Summary!L$2),'BPC Data'!$E:$E,Summary!$D405,'BPC Data'!$B:$B,Summary!$C405)</f>
        <v>0</v>
      </c>
      <c r="M405" s="61">
        <f ca="1">SUMIFS(OFFSET('BPC Data'!$F:$F,0,Summary!M$2),'BPC Data'!$E:$E,Summary!$D405,'BPC Data'!$B:$B,Summary!$C405)</f>
        <v>0</v>
      </c>
      <c r="N405" s="65">
        <f ca="1">SUMIFS(OFFSET('BPC Data'!$F:$F,0,Summary!N$2),'BPC Data'!$E:$E,Summary!$D405,'BPC Data'!$B:$B,Summary!$C405)</f>
        <v>0</v>
      </c>
      <c r="O405" s="61">
        <f ca="1">SUMIFS(OFFSET('BPC Data'!$F:$F,0,Summary!O$2),'BPC Data'!$E:$E,Summary!$D405,'BPC Data'!$B:$B,Summary!$C405)</f>
        <v>0</v>
      </c>
      <c r="P405" s="65">
        <f ca="1">SUMIFS(OFFSET('BPC Data'!$F:$F,0,Summary!P$2),'BPC Data'!$E:$E,Summary!$D405,'BPC Data'!$B:$B,Summary!$C405)</f>
        <v>0</v>
      </c>
      <c r="Q405" s="61">
        <f ca="1">SUMIFS(OFFSET('BPC Data'!$F:$F,0,Summary!Q$2),'BPC Data'!$E:$E,Summary!$D405,'BPC Data'!$B:$B,Summary!$C405)</f>
        <v>0</v>
      </c>
      <c r="R405" s="65">
        <f ca="1">SUMIFS(OFFSET('BPC Data'!$F:$F,0,Summary!R$2),'BPC Data'!$E:$E,Summary!$D405,'BPC Data'!$B:$B,Summary!$C405)</f>
        <v>0</v>
      </c>
      <c r="S405" s="23"/>
      <c r="T405" s="76"/>
      <c r="AJ405" s="49"/>
      <c r="AK405" s="49"/>
      <c r="AL405" s="49"/>
      <c r="AM405" s="49"/>
      <c r="AN405" s="49"/>
      <c r="AO405" s="49"/>
      <c r="AP405" s="49"/>
      <c r="AQ405" s="49"/>
      <c r="AR405" s="49"/>
      <c r="AS405" s="49"/>
      <c r="AT405" s="49"/>
      <c r="AU405" s="49"/>
    </row>
    <row r="406" spans="1:47" s="12" customFormat="1" hidden="1" outlineLevel="1">
      <c r="A406" s="12">
        <f>IF(AND(F406&lt;&gt;"",D406=""),A405+1,A405)</f>
        <v>37</v>
      </c>
      <c r="C406">
        <f>$F405</f>
        <v>0</v>
      </c>
      <c r="D406" s="3" t="str">
        <f t="shared" ref="D406:D469" si="459">$D395</f>
        <v>PAY_PAT_DAYS - Total Payor Patient Days</v>
      </c>
      <c r="F406" s="19" t="str">
        <f>_xll.EVDES(D406)</f>
        <v>Total Payor Patient Days</v>
      </c>
      <c r="G406" s="61">
        <f ca="1">SUMIFS(OFFSET('BPC Data'!$F:$F,0,Summary!G$2),'BPC Data'!$E:$E,Summary!$D406,'BPC Data'!$B:$B,Summary!$C406)</f>
        <v>0</v>
      </c>
      <c r="H406" s="65">
        <f ca="1">SUMIFS(OFFSET('BPC Data'!$F:$F,0,Summary!H$2),'BPC Data'!$E:$E,Summary!$D406,'BPC Data'!$B:$B,Summary!$C406)</f>
        <v>0</v>
      </c>
      <c r="I406" s="61">
        <f ca="1">SUMIFS(OFFSET('BPC Data'!$F:$F,0,Summary!I$2),'BPC Data'!$E:$E,Summary!$D406,'BPC Data'!$B:$B,Summary!$C406)</f>
        <v>0</v>
      </c>
      <c r="J406" s="65">
        <f ca="1">SUMIFS(OFFSET('BPC Data'!$F:$F,0,Summary!J$2),'BPC Data'!$E:$E,Summary!$D406,'BPC Data'!$B:$B,Summary!$C406)</f>
        <v>0</v>
      </c>
      <c r="K406" s="61">
        <f ca="1">SUMIFS(OFFSET('BPC Data'!$F:$F,0,Summary!K$2),'BPC Data'!$E:$E,Summary!$D406,'BPC Data'!$B:$B,Summary!$C406)</f>
        <v>0</v>
      </c>
      <c r="L406" s="65">
        <f ca="1">SUMIFS(OFFSET('BPC Data'!$F:$F,0,Summary!L$2),'BPC Data'!$E:$E,Summary!$D406,'BPC Data'!$B:$B,Summary!$C406)</f>
        <v>0</v>
      </c>
      <c r="M406" s="61">
        <f ca="1">SUMIFS(OFFSET('BPC Data'!$F:$F,0,Summary!M$2),'BPC Data'!$E:$E,Summary!$D406,'BPC Data'!$B:$B,Summary!$C406)</f>
        <v>0</v>
      </c>
      <c r="N406" s="65">
        <f ca="1">SUMIFS(OFFSET('BPC Data'!$F:$F,0,Summary!N$2),'BPC Data'!$E:$E,Summary!$D406,'BPC Data'!$B:$B,Summary!$C406)</f>
        <v>0</v>
      </c>
      <c r="O406" s="61">
        <f ca="1">SUMIFS(OFFSET('BPC Data'!$F:$F,0,Summary!O$2),'BPC Data'!$E:$E,Summary!$D406,'BPC Data'!$B:$B,Summary!$C406)</f>
        <v>0</v>
      </c>
      <c r="P406" s="65">
        <f ca="1">SUMIFS(OFFSET('BPC Data'!$F:$F,0,Summary!P$2),'BPC Data'!$E:$E,Summary!$D406,'BPC Data'!$B:$B,Summary!$C406)</f>
        <v>0</v>
      </c>
      <c r="Q406" s="61">
        <f ca="1">SUMIFS(OFFSET('BPC Data'!$F:$F,0,Summary!Q$2),'BPC Data'!$E:$E,Summary!$D406,'BPC Data'!$B:$B,Summary!$C406)</f>
        <v>0</v>
      </c>
      <c r="R406" s="65">
        <f ca="1">SUMIFS(OFFSET('BPC Data'!$F:$F,0,Summary!R$2),'BPC Data'!$E:$E,Summary!$D406,'BPC Data'!$B:$B,Summary!$C406)</f>
        <v>0</v>
      </c>
      <c r="S406" s="23"/>
      <c r="T406" s="76"/>
      <c r="AJ406" s="49"/>
      <c r="AK406" s="49"/>
      <c r="AL406" s="49"/>
      <c r="AM406" s="49"/>
      <c r="AN406" s="49"/>
      <c r="AO406" s="49"/>
      <c r="AP406" s="49"/>
      <c r="AQ406" s="49"/>
      <c r="AR406" s="49"/>
      <c r="AS406" s="49"/>
      <c r="AT406" s="49"/>
      <c r="AU406" s="49"/>
    </row>
    <row r="407" spans="1:47" s="12" customFormat="1" hidden="1" outlineLevel="1">
      <c r="A407" s="12">
        <f t="shared" ref="A407:A415" si="460">IF(AND(F407&lt;&gt;"",D407=""),A406+1,A406)</f>
        <v>37</v>
      </c>
      <c r="C407">
        <f>$F405</f>
        <v>0</v>
      </c>
      <c r="D407" s="3" t="str">
        <f t="shared" si="459"/>
        <v>A_BEDS_TOTAL - Total Available Beds</v>
      </c>
      <c r="F407" s="19" t="str">
        <f>_xll.EVDES(D407)</f>
        <v>Total Available Beds</v>
      </c>
      <c r="G407" s="61">
        <f ca="1">SUMIFS(OFFSET('BPC Data'!$F:$F,0,Summary!G$2),'BPC Data'!$E:$E,Summary!$D407,'BPC Data'!$B:$B,Summary!$C407)</f>
        <v>0</v>
      </c>
      <c r="H407" s="65">
        <f ca="1">SUMIFS(OFFSET('BPC Data'!$F:$F,0,Summary!H$2),'BPC Data'!$E:$E,Summary!$D407,'BPC Data'!$B:$B,Summary!$C407)</f>
        <v>0</v>
      </c>
      <c r="I407" s="61">
        <f ca="1">SUMIFS(OFFSET('BPC Data'!$F:$F,0,Summary!I$2),'BPC Data'!$E:$E,Summary!$D407,'BPC Data'!$B:$B,Summary!$C407)</f>
        <v>0</v>
      </c>
      <c r="J407" s="65">
        <f ca="1">SUMIFS(OFFSET('BPC Data'!$F:$F,0,Summary!J$2),'BPC Data'!$E:$E,Summary!$D407,'BPC Data'!$B:$B,Summary!$C407)</f>
        <v>0</v>
      </c>
      <c r="K407" s="61">
        <f ca="1">SUMIFS(OFFSET('BPC Data'!$F:$F,0,Summary!K$2),'BPC Data'!$E:$E,Summary!$D407,'BPC Data'!$B:$B,Summary!$C407)</f>
        <v>0</v>
      </c>
      <c r="L407" s="65">
        <f ca="1">SUMIFS(OFFSET('BPC Data'!$F:$F,0,Summary!L$2),'BPC Data'!$E:$E,Summary!$D407,'BPC Data'!$B:$B,Summary!$C407)</f>
        <v>0</v>
      </c>
      <c r="M407" s="61">
        <f ca="1">SUMIFS(OFFSET('BPC Data'!$F:$F,0,Summary!M$2),'BPC Data'!$E:$E,Summary!$D407,'BPC Data'!$B:$B,Summary!$C407)</f>
        <v>0</v>
      </c>
      <c r="N407" s="65">
        <f ca="1">SUMIFS(OFFSET('BPC Data'!$F:$F,0,Summary!N$2),'BPC Data'!$E:$E,Summary!$D407,'BPC Data'!$B:$B,Summary!$C407)</f>
        <v>0</v>
      </c>
      <c r="O407" s="61">
        <f ca="1">SUMIFS(OFFSET('BPC Data'!$F:$F,0,Summary!O$2),'BPC Data'!$E:$E,Summary!$D407,'BPC Data'!$B:$B,Summary!$C407)</f>
        <v>0</v>
      </c>
      <c r="P407" s="65">
        <f ca="1">SUMIFS(OFFSET('BPC Data'!$F:$F,0,Summary!P$2),'BPC Data'!$E:$E,Summary!$D407,'BPC Data'!$B:$B,Summary!$C407)</f>
        <v>0</v>
      </c>
      <c r="Q407" s="61">
        <f ca="1">SUMIFS(OFFSET('BPC Data'!$F:$F,0,Summary!Q$2),'BPC Data'!$E:$E,Summary!$D407,'BPC Data'!$B:$B,Summary!$C407)</f>
        <v>0</v>
      </c>
      <c r="R407" s="65">
        <f ca="1">SUMIFS(OFFSET('BPC Data'!$F:$F,0,Summary!R$2),'BPC Data'!$E:$E,Summary!$D407,'BPC Data'!$B:$B,Summary!$C407)</f>
        <v>0</v>
      </c>
      <c r="S407" s="23"/>
      <c r="T407" s="76"/>
      <c r="AJ407" s="49"/>
      <c r="AK407" s="49"/>
      <c r="AL407" s="49"/>
      <c r="AM407" s="49"/>
      <c r="AN407" s="49"/>
      <c r="AO407" s="49"/>
      <c r="AP407" s="49"/>
      <c r="AQ407" s="49"/>
      <c r="AR407" s="49"/>
      <c r="AS407" s="49"/>
      <c r="AT407" s="49"/>
      <c r="AU407" s="49"/>
    </row>
    <row r="408" spans="1:47" s="12" customFormat="1" hidden="1" outlineLevel="1">
      <c r="A408" s="12">
        <f t="shared" si="460"/>
        <v>37</v>
      </c>
      <c r="B408"/>
      <c r="C408">
        <f>$F405</f>
        <v>0</v>
      </c>
      <c r="D408" s="3" t="str">
        <f t="shared" si="459"/>
        <v>T_REVENUES - Total Tenant Revenues</v>
      </c>
      <c r="E408"/>
      <c r="F408" s="19" t="str">
        <f>_xll.EVDES(D408)</f>
        <v>Total Tenant Revenues</v>
      </c>
      <c r="G408" s="61">
        <f ca="1">SUMIFS(OFFSET('BPC Data'!$F:$F,0,Summary!G$2),'BPC Data'!$E:$E,Summary!$D408,'BPC Data'!$B:$B,Summary!$C408)</f>
        <v>0</v>
      </c>
      <c r="H408" s="65">
        <f ca="1">SUMIFS(OFFSET('BPC Data'!$F:$F,0,Summary!H$2),'BPC Data'!$E:$E,Summary!$D408,'BPC Data'!$B:$B,Summary!$C408)</f>
        <v>0</v>
      </c>
      <c r="I408" s="61">
        <f ca="1">SUMIFS(OFFSET('BPC Data'!$F:$F,0,Summary!I$2),'BPC Data'!$E:$E,Summary!$D408,'BPC Data'!$B:$B,Summary!$C408)</f>
        <v>0</v>
      </c>
      <c r="J408" s="65">
        <f ca="1">SUMIFS(OFFSET('BPC Data'!$F:$F,0,Summary!J$2),'BPC Data'!$E:$E,Summary!$D408,'BPC Data'!$B:$B,Summary!$C408)</f>
        <v>0</v>
      </c>
      <c r="K408" s="61">
        <f ca="1">SUMIFS(OFFSET('BPC Data'!$F:$F,0,Summary!K$2),'BPC Data'!$E:$E,Summary!$D408,'BPC Data'!$B:$B,Summary!$C408)</f>
        <v>0</v>
      </c>
      <c r="L408" s="65">
        <f ca="1">SUMIFS(OFFSET('BPC Data'!$F:$F,0,Summary!L$2),'BPC Data'!$E:$E,Summary!$D408,'BPC Data'!$B:$B,Summary!$C408)</f>
        <v>0</v>
      </c>
      <c r="M408" s="61">
        <f ca="1">SUMIFS(OFFSET('BPC Data'!$F:$F,0,Summary!M$2),'BPC Data'!$E:$E,Summary!$D408,'BPC Data'!$B:$B,Summary!$C408)</f>
        <v>0</v>
      </c>
      <c r="N408" s="65">
        <f ca="1">SUMIFS(OFFSET('BPC Data'!$F:$F,0,Summary!N$2),'BPC Data'!$E:$E,Summary!$D408,'BPC Data'!$B:$B,Summary!$C408)</f>
        <v>0</v>
      </c>
      <c r="O408" s="61">
        <f ca="1">SUMIFS(OFFSET('BPC Data'!$F:$F,0,Summary!O$2),'BPC Data'!$E:$E,Summary!$D408,'BPC Data'!$B:$B,Summary!$C408)</f>
        <v>0</v>
      </c>
      <c r="P408" s="65">
        <f ca="1">SUMIFS(OFFSET('BPC Data'!$F:$F,0,Summary!P$2),'BPC Data'!$E:$E,Summary!$D408,'BPC Data'!$B:$B,Summary!$C408)</f>
        <v>0</v>
      </c>
      <c r="Q408" s="61">
        <f ca="1">SUMIFS(OFFSET('BPC Data'!$F:$F,0,Summary!Q$2),'BPC Data'!$E:$E,Summary!$D408,'BPC Data'!$B:$B,Summary!$C408)</f>
        <v>0</v>
      </c>
      <c r="R408" s="65">
        <f ca="1">SUMIFS(OFFSET('BPC Data'!$F:$F,0,Summary!R$2),'BPC Data'!$E:$E,Summary!$D408,'BPC Data'!$B:$B,Summary!$C408)</f>
        <v>0</v>
      </c>
      <c r="S408" s="23"/>
      <c r="T408" s="76"/>
      <c r="AJ408" s="49"/>
      <c r="AK408" s="49"/>
      <c r="AL408" s="49"/>
      <c r="AM408" s="49"/>
      <c r="AN408" s="49"/>
      <c r="AO408" s="49"/>
      <c r="AP408" s="49"/>
      <c r="AQ408" s="49"/>
      <c r="AR408" s="49"/>
      <c r="AS408" s="49"/>
      <c r="AT408" s="49"/>
      <c r="AU408" s="49"/>
    </row>
    <row r="409" spans="1:47" s="12" customFormat="1" hidden="1" outlineLevel="1">
      <c r="A409" s="12">
        <f t="shared" si="460"/>
        <v>37</v>
      </c>
      <c r="B409"/>
      <c r="C409">
        <f>$F405</f>
        <v>0</v>
      </c>
      <c r="D409" s="3" t="str">
        <f t="shared" si="459"/>
        <v>T_OPEX - Tenant Operating Expenses</v>
      </c>
      <c r="E409"/>
      <c r="F409" s="19" t="str">
        <f>_xll.EVDES(D409)</f>
        <v>Tenant Operating Expenses</v>
      </c>
      <c r="G409" s="61">
        <f ca="1">SUMIFS(OFFSET('BPC Data'!$F:$F,0,Summary!G$2),'BPC Data'!$E:$E,Summary!$D409,'BPC Data'!$B:$B,Summary!$C409)</f>
        <v>0</v>
      </c>
      <c r="H409" s="65">
        <f ca="1">SUMIFS(OFFSET('BPC Data'!$F:$F,0,Summary!H$2),'BPC Data'!$E:$E,Summary!$D409,'BPC Data'!$B:$B,Summary!$C409)</f>
        <v>0</v>
      </c>
      <c r="I409" s="61">
        <f ca="1">SUMIFS(OFFSET('BPC Data'!$F:$F,0,Summary!I$2),'BPC Data'!$E:$E,Summary!$D409,'BPC Data'!$B:$B,Summary!$C409)</f>
        <v>0</v>
      </c>
      <c r="J409" s="65">
        <f ca="1">SUMIFS(OFFSET('BPC Data'!$F:$F,0,Summary!J$2),'BPC Data'!$E:$E,Summary!$D409,'BPC Data'!$B:$B,Summary!$C409)</f>
        <v>0</v>
      </c>
      <c r="K409" s="61">
        <f ca="1">SUMIFS(OFFSET('BPC Data'!$F:$F,0,Summary!K$2),'BPC Data'!$E:$E,Summary!$D409,'BPC Data'!$B:$B,Summary!$C409)</f>
        <v>0</v>
      </c>
      <c r="L409" s="65">
        <f ca="1">SUMIFS(OFFSET('BPC Data'!$F:$F,0,Summary!L$2),'BPC Data'!$E:$E,Summary!$D409,'BPC Data'!$B:$B,Summary!$C409)</f>
        <v>0</v>
      </c>
      <c r="M409" s="61">
        <f ca="1">SUMIFS(OFFSET('BPC Data'!$F:$F,0,Summary!M$2),'BPC Data'!$E:$E,Summary!$D409,'BPC Data'!$B:$B,Summary!$C409)</f>
        <v>0</v>
      </c>
      <c r="N409" s="65">
        <f ca="1">SUMIFS(OFFSET('BPC Data'!$F:$F,0,Summary!N$2),'BPC Data'!$E:$E,Summary!$D409,'BPC Data'!$B:$B,Summary!$C409)</f>
        <v>0</v>
      </c>
      <c r="O409" s="61">
        <f ca="1">SUMIFS(OFFSET('BPC Data'!$F:$F,0,Summary!O$2),'BPC Data'!$E:$E,Summary!$D409,'BPC Data'!$B:$B,Summary!$C409)</f>
        <v>0</v>
      </c>
      <c r="P409" s="65">
        <f ca="1">SUMIFS(OFFSET('BPC Data'!$F:$F,0,Summary!P$2),'BPC Data'!$E:$E,Summary!$D409,'BPC Data'!$B:$B,Summary!$C409)</f>
        <v>0</v>
      </c>
      <c r="Q409" s="61">
        <f ca="1">SUMIFS(OFFSET('BPC Data'!$F:$F,0,Summary!Q$2),'BPC Data'!$E:$E,Summary!$D409,'BPC Data'!$B:$B,Summary!$C409)</f>
        <v>0</v>
      </c>
      <c r="R409" s="65">
        <f ca="1">SUMIFS(OFFSET('BPC Data'!$F:$F,0,Summary!R$2),'BPC Data'!$E:$E,Summary!$D409,'BPC Data'!$B:$B,Summary!$C409)</f>
        <v>0</v>
      </c>
      <c r="S409" s="23"/>
      <c r="T409" s="76"/>
      <c r="AJ409" s="49"/>
      <c r="AK409" s="49"/>
      <c r="AL409" s="49"/>
      <c r="AM409" s="49"/>
      <c r="AN409" s="49"/>
      <c r="AO409" s="49"/>
      <c r="AP409" s="49"/>
      <c r="AQ409" s="49"/>
      <c r="AR409" s="49"/>
      <c r="AS409" s="49"/>
      <c r="AT409" s="49"/>
      <c r="AU409" s="49"/>
    </row>
    <row r="410" spans="1:47" s="12" customFormat="1" hidden="1" outlineLevel="1">
      <c r="A410" s="12">
        <f t="shared" si="460"/>
        <v>37</v>
      </c>
      <c r="B410"/>
      <c r="C410">
        <f>$F405</f>
        <v>0</v>
      </c>
      <c r="D410" s="3" t="str">
        <f t="shared" si="459"/>
        <v>T_BAD_DEBT - Tenant Bad Debt Expense</v>
      </c>
      <c r="E410"/>
      <c r="F410" s="19" t="str">
        <f>_xll.EVDES(D410)</f>
        <v>Tenant Bad Debt Expense</v>
      </c>
      <c r="G410" s="61">
        <f ca="1">SUMIFS(OFFSET('BPC Data'!$F:$F,0,Summary!G$2),'BPC Data'!$E:$E,Summary!$D410,'BPC Data'!$B:$B,Summary!$C410)</f>
        <v>0</v>
      </c>
      <c r="H410" s="65">
        <f ca="1">SUMIFS(OFFSET('BPC Data'!$F:$F,0,Summary!H$2),'BPC Data'!$E:$E,Summary!$D410,'BPC Data'!$B:$B,Summary!$C410)</f>
        <v>0</v>
      </c>
      <c r="I410" s="61">
        <f ca="1">SUMIFS(OFFSET('BPC Data'!$F:$F,0,Summary!I$2),'BPC Data'!$E:$E,Summary!$D410,'BPC Data'!$B:$B,Summary!$C410)</f>
        <v>0</v>
      </c>
      <c r="J410" s="65">
        <f ca="1">SUMIFS(OFFSET('BPC Data'!$F:$F,0,Summary!J$2),'BPC Data'!$E:$E,Summary!$D410,'BPC Data'!$B:$B,Summary!$C410)</f>
        <v>0</v>
      </c>
      <c r="K410" s="61">
        <f ca="1">SUMIFS(OFFSET('BPC Data'!$F:$F,0,Summary!K$2),'BPC Data'!$E:$E,Summary!$D410,'BPC Data'!$B:$B,Summary!$C410)</f>
        <v>0</v>
      </c>
      <c r="L410" s="65">
        <f ca="1">SUMIFS(OFFSET('BPC Data'!$F:$F,0,Summary!L$2),'BPC Data'!$E:$E,Summary!$D410,'BPC Data'!$B:$B,Summary!$C410)</f>
        <v>0</v>
      </c>
      <c r="M410" s="61">
        <f ca="1">SUMIFS(OFFSET('BPC Data'!$F:$F,0,Summary!M$2),'BPC Data'!$E:$E,Summary!$D410,'BPC Data'!$B:$B,Summary!$C410)</f>
        <v>0</v>
      </c>
      <c r="N410" s="65">
        <f ca="1">SUMIFS(OFFSET('BPC Data'!$F:$F,0,Summary!N$2),'BPC Data'!$E:$E,Summary!$D410,'BPC Data'!$B:$B,Summary!$C410)</f>
        <v>0</v>
      </c>
      <c r="O410" s="61">
        <f ca="1">SUMIFS(OFFSET('BPC Data'!$F:$F,0,Summary!O$2),'BPC Data'!$E:$E,Summary!$D410,'BPC Data'!$B:$B,Summary!$C410)</f>
        <v>0</v>
      </c>
      <c r="P410" s="65">
        <f ca="1">SUMIFS(OFFSET('BPC Data'!$F:$F,0,Summary!P$2),'BPC Data'!$E:$E,Summary!$D410,'BPC Data'!$B:$B,Summary!$C410)</f>
        <v>0</v>
      </c>
      <c r="Q410" s="61">
        <f ca="1">SUMIFS(OFFSET('BPC Data'!$F:$F,0,Summary!Q$2),'BPC Data'!$E:$E,Summary!$D410,'BPC Data'!$B:$B,Summary!$C410)</f>
        <v>0</v>
      </c>
      <c r="R410" s="65">
        <f ca="1">SUMIFS(OFFSET('BPC Data'!$F:$F,0,Summary!R$2),'BPC Data'!$E:$E,Summary!$D410,'BPC Data'!$B:$B,Summary!$C410)</f>
        <v>0</v>
      </c>
      <c r="S410" s="23"/>
      <c r="T410" s="76"/>
      <c r="AJ410" s="49"/>
      <c r="AK410" s="49"/>
      <c r="AL410" s="49"/>
      <c r="AM410" s="49"/>
      <c r="AN410" s="49"/>
      <c r="AO410" s="49"/>
      <c r="AP410" s="49"/>
      <c r="AQ410" s="49"/>
      <c r="AR410" s="49"/>
      <c r="AS410" s="49"/>
      <c r="AT410" s="49"/>
      <c r="AU410" s="49"/>
    </row>
    <row r="411" spans="1:47" s="12" customFormat="1" hidden="1" outlineLevel="1">
      <c r="A411" s="12">
        <f t="shared" si="460"/>
        <v>37</v>
      </c>
      <c r="B411"/>
      <c r="C411">
        <f>$F405</f>
        <v>0</v>
      </c>
      <c r="D411" s="2" t="str">
        <f t="shared" si="459"/>
        <v>T_EBITDARM - EBITDARM</v>
      </c>
      <c r="E411"/>
      <c r="F411" s="19" t="str">
        <f>_xll.EVDES(D411)</f>
        <v>EBITDARM</v>
      </c>
      <c r="G411" s="61">
        <f ca="1">SUMIFS(OFFSET('BPC Data'!$F:$F,0,Summary!G$2),'BPC Data'!$E:$E,Summary!$D411,'BPC Data'!$B:$B,Summary!$C411)</f>
        <v>0</v>
      </c>
      <c r="H411" s="65">
        <f ca="1">SUMIFS(OFFSET('BPC Data'!$F:$F,0,Summary!H$2),'BPC Data'!$E:$E,Summary!$D411,'BPC Data'!$B:$B,Summary!$C411)</f>
        <v>0</v>
      </c>
      <c r="I411" s="61">
        <f ca="1">SUMIFS(OFFSET('BPC Data'!$F:$F,0,Summary!I$2),'BPC Data'!$E:$E,Summary!$D411,'BPC Data'!$B:$B,Summary!$C411)</f>
        <v>0</v>
      </c>
      <c r="J411" s="65">
        <f ca="1">SUMIFS(OFFSET('BPC Data'!$F:$F,0,Summary!J$2),'BPC Data'!$E:$E,Summary!$D411,'BPC Data'!$B:$B,Summary!$C411)</f>
        <v>0</v>
      </c>
      <c r="K411" s="61">
        <f ca="1">SUMIFS(OFFSET('BPC Data'!$F:$F,0,Summary!K$2),'BPC Data'!$E:$E,Summary!$D411,'BPC Data'!$B:$B,Summary!$C411)</f>
        <v>0</v>
      </c>
      <c r="L411" s="65">
        <f ca="1">SUMIFS(OFFSET('BPC Data'!$F:$F,0,Summary!L$2),'BPC Data'!$E:$E,Summary!$D411,'BPC Data'!$B:$B,Summary!$C411)</f>
        <v>0</v>
      </c>
      <c r="M411" s="61">
        <f ca="1">SUMIFS(OFFSET('BPC Data'!$F:$F,0,Summary!M$2),'BPC Data'!$E:$E,Summary!$D411,'BPC Data'!$B:$B,Summary!$C411)</f>
        <v>0</v>
      </c>
      <c r="N411" s="65">
        <f ca="1">SUMIFS(OFFSET('BPC Data'!$F:$F,0,Summary!N$2),'BPC Data'!$E:$E,Summary!$D411,'BPC Data'!$B:$B,Summary!$C411)</f>
        <v>0</v>
      </c>
      <c r="O411" s="61">
        <f ca="1">SUMIFS(OFFSET('BPC Data'!$F:$F,0,Summary!O$2),'BPC Data'!$E:$E,Summary!$D411,'BPC Data'!$B:$B,Summary!$C411)</f>
        <v>0</v>
      </c>
      <c r="P411" s="65">
        <f ca="1">SUMIFS(OFFSET('BPC Data'!$F:$F,0,Summary!P$2),'BPC Data'!$E:$E,Summary!$D411,'BPC Data'!$B:$B,Summary!$C411)</f>
        <v>0</v>
      </c>
      <c r="Q411" s="61">
        <f ca="1">SUMIFS(OFFSET('BPC Data'!$F:$F,0,Summary!Q$2),'BPC Data'!$E:$E,Summary!$D411,'BPC Data'!$B:$B,Summary!$C411)</f>
        <v>0</v>
      </c>
      <c r="R411" s="65">
        <f ca="1">SUMIFS(OFFSET('BPC Data'!$F:$F,0,Summary!R$2),'BPC Data'!$E:$E,Summary!$D411,'BPC Data'!$B:$B,Summary!$C411)</f>
        <v>0</v>
      </c>
      <c r="S411" s="23"/>
      <c r="T411" s="76"/>
      <c r="AJ411" s="49"/>
      <c r="AK411" s="49"/>
      <c r="AL411" s="49"/>
      <c r="AM411" s="49"/>
      <c r="AN411" s="49"/>
      <c r="AO411" s="49"/>
      <c r="AP411" s="49"/>
      <c r="AQ411" s="49"/>
      <c r="AR411" s="49"/>
      <c r="AS411" s="49"/>
      <c r="AT411" s="49"/>
      <c r="AU411" s="49"/>
    </row>
    <row r="412" spans="1:47" s="12" customFormat="1" hidden="1" outlineLevel="1">
      <c r="A412" s="12">
        <f t="shared" si="460"/>
        <v>37</v>
      </c>
      <c r="B412"/>
      <c r="C412">
        <f>$F405</f>
        <v>0</v>
      </c>
      <c r="D412" s="2" t="str">
        <f t="shared" si="459"/>
        <v>T_MGMT_FEE - Tenant Management Fee - Actual</v>
      </c>
      <c r="E412"/>
      <c r="F412" s="19" t="str">
        <f>_xll.EVDES(D412)</f>
        <v>Tenant Management Fee - Actual</v>
      </c>
      <c r="G412" s="61">
        <f ca="1">SUMIFS(OFFSET('BPC Data'!$F:$F,0,Summary!G$2),'BPC Data'!$E:$E,Summary!$D412,'BPC Data'!$B:$B,Summary!$C412)</f>
        <v>0</v>
      </c>
      <c r="H412" s="65">
        <f ca="1">SUMIFS(OFFSET('BPC Data'!$F:$F,0,Summary!H$2),'BPC Data'!$E:$E,Summary!$D412,'BPC Data'!$B:$B,Summary!$C412)</f>
        <v>0</v>
      </c>
      <c r="I412" s="61">
        <f ca="1">SUMIFS(OFFSET('BPC Data'!$F:$F,0,Summary!I$2),'BPC Data'!$E:$E,Summary!$D412,'BPC Data'!$B:$B,Summary!$C412)</f>
        <v>0</v>
      </c>
      <c r="J412" s="65">
        <f ca="1">SUMIFS(OFFSET('BPC Data'!$F:$F,0,Summary!J$2),'BPC Data'!$E:$E,Summary!$D412,'BPC Data'!$B:$B,Summary!$C412)</f>
        <v>0</v>
      </c>
      <c r="K412" s="61">
        <f ca="1">SUMIFS(OFFSET('BPC Data'!$F:$F,0,Summary!K$2),'BPC Data'!$E:$E,Summary!$D412,'BPC Data'!$B:$B,Summary!$C412)</f>
        <v>0</v>
      </c>
      <c r="L412" s="65">
        <f ca="1">SUMIFS(OFFSET('BPC Data'!$F:$F,0,Summary!L$2),'BPC Data'!$E:$E,Summary!$D412,'BPC Data'!$B:$B,Summary!$C412)</f>
        <v>0</v>
      </c>
      <c r="M412" s="61">
        <f ca="1">SUMIFS(OFFSET('BPC Data'!$F:$F,0,Summary!M$2),'BPC Data'!$E:$E,Summary!$D412,'BPC Data'!$B:$B,Summary!$C412)</f>
        <v>0</v>
      </c>
      <c r="N412" s="65">
        <f ca="1">SUMIFS(OFFSET('BPC Data'!$F:$F,0,Summary!N$2),'BPC Data'!$E:$E,Summary!$D412,'BPC Data'!$B:$B,Summary!$C412)</f>
        <v>0</v>
      </c>
      <c r="O412" s="61">
        <f ca="1">SUMIFS(OFFSET('BPC Data'!$F:$F,0,Summary!O$2),'BPC Data'!$E:$E,Summary!$D412,'BPC Data'!$B:$B,Summary!$C412)</f>
        <v>0</v>
      </c>
      <c r="P412" s="65">
        <f ca="1">SUMIFS(OFFSET('BPC Data'!$F:$F,0,Summary!P$2),'BPC Data'!$E:$E,Summary!$D412,'BPC Data'!$B:$B,Summary!$C412)</f>
        <v>0</v>
      </c>
      <c r="Q412" s="61">
        <f ca="1">SUMIFS(OFFSET('BPC Data'!$F:$F,0,Summary!Q$2),'BPC Data'!$E:$E,Summary!$D412,'BPC Data'!$B:$B,Summary!$C412)</f>
        <v>0</v>
      </c>
      <c r="R412" s="65">
        <f ca="1">SUMIFS(OFFSET('BPC Data'!$F:$F,0,Summary!R$2),'BPC Data'!$E:$E,Summary!$D412,'BPC Data'!$B:$B,Summary!$C412)</f>
        <v>0</v>
      </c>
      <c r="S412" s="23"/>
      <c r="T412" s="76"/>
      <c r="AJ412" s="49"/>
      <c r="AK412" s="49"/>
      <c r="AL412" s="49"/>
      <c r="AM412" s="49"/>
      <c r="AN412" s="49"/>
      <c r="AO412" s="49"/>
      <c r="AP412" s="49"/>
      <c r="AQ412" s="49"/>
      <c r="AR412" s="49"/>
      <c r="AS412" s="49"/>
      <c r="AT412" s="49"/>
      <c r="AU412" s="49"/>
    </row>
    <row r="413" spans="1:47" s="12" customFormat="1" hidden="1" outlineLevel="1">
      <c r="A413" s="12">
        <f t="shared" si="460"/>
        <v>37</v>
      </c>
      <c r="B413"/>
      <c r="C413">
        <f>$F405</f>
        <v>0</v>
      </c>
      <c r="D413" s="1" t="str">
        <f t="shared" si="459"/>
        <v>T_EBITDAR - EBITDAR</v>
      </c>
      <c r="E413"/>
      <c r="F413" s="19" t="str">
        <f>_xll.EVDES(D413)</f>
        <v>EBITDAR</v>
      </c>
      <c r="G413" s="61">
        <f ca="1">SUMIFS(OFFSET('BPC Data'!$F:$F,0,Summary!G$2),'BPC Data'!$E:$E,Summary!$D413,'BPC Data'!$B:$B,Summary!$C413)</f>
        <v>0</v>
      </c>
      <c r="H413" s="65">
        <f ca="1">SUMIFS(OFFSET('BPC Data'!$F:$F,0,Summary!H$2),'BPC Data'!$E:$E,Summary!$D413,'BPC Data'!$B:$B,Summary!$C413)</f>
        <v>0</v>
      </c>
      <c r="I413" s="61">
        <f ca="1">SUMIFS(OFFSET('BPC Data'!$F:$F,0,Summary!I$2),'BPC Data'!$E:$E,Summary!$D413,'BPC Data'!$B:$B,Summary!$C413)</f>
        <v>0</v>
      </c>
      <c r="J413" s="65">
        <f ca="1">SUMIFS(OFFSET('BPC Data'!$F:$F,0,Summary!J$2),'BPC Data'!$E:$E,Summary!$D413,'BPC Data'!$B:$B,Summary!$C413)</f>
        <v>0</v>
      </c>
      <c r="K413" s="61">
        <f ca="1">SUMIFS(OFFSET('BPC Data'!$F:$F,0,Summary!K$2),'BPC Data'!$E:$E,Summary!$D413,'BPC Data'!$B:$B,Summary!$C413)</f>
        <v>0</v>
      </c>
      <c r="L413" s="65">
        <f ca="1">SUMIFS(OFFSET('BPC Data'!$F:$F,0,Summary!L$2),'BPC Data'!$E:$E,Summary!$D413,'BPC Data'!$B:$B,Summary!$C413)</f>
        <v>0</v>
      </c>
      <c r="M413" s="61">
        <f ca="1">SUMIFS(OFFSET('BPC Data'!$F:$F,0,Summary!M$2),'BPC Data'!$E:$E,Summary!$D413,'BPC Data'!$B:$B,Summary!$C413)</f>
        <v>0</v>
      </c>
      <c r="N413" s="65">
        <f ca="1">SUMIFS(OFFSET('BPC Data'!$F:$F,0,Summary!N$2),'BPC Data'!$E:$E,Summary!$D413,'BPC Data'!$B:$B,Summary!$C413)</f>
        <v>0</v>
      </c>
      <c r="O413" s="61">
        <f ca="1">SUMIFS(OFFSET('BPC Data'!$F:$F,0,Summary!O$2),'BPC Data'!$E:$E,Summary!$D413,'BPC Data'!$B:$B,Summary!$C413)</f>
        <v>0</v>
      </c>
      <c r="P413" s="65">
        <f ca="1">SUMIFS(OFFSET('BPC Data'!$F:$F,0,Summary!P$2),'BPC Data'!$E:$E,Summary!$D413,'BPC Data'!$B:$B,Summary!$C413)</f>
        <v>0</v>
      </c>
      <c r="Q413" s="61">
        <f ca="1">SUMIFS(OFFSET('BPC Data'!$F:$F,0,Summary!Q$2),'BPC Data'!$E:$E,Summary!$D413,'BPC Data'!$B:$B,Summary!$C413)</f>
        <v>0</v>
      </c>
      <c r="R413" s="65">
        <f ca="1">SUMIFS(OFFSET('BPC Data'!$F:$F,0,Summary!R$2),'BPC Data'!$E:$E,Summary!$D413,'BPC Data'!$B:$B,Summary!$C413)</f>
        <v>0</v>
      </c>
      <c r="S413" s="23"/>
      <c r="T413" s="76"/>
      <c r="AJ413" s="49"/>
      <c r="AK413" s="49"/>
      <c r="AL413" s="49"/>
      <c r="AM413" s="49"/>
      <c r="AN413" s="49"/>
      <c r="AO413" s="49"/>
      <c r="AP413" s="49"/>
      <c r="AQ413" s="49"/>
      <c r="AR413" s="49"/>
      <c r="AS413" s="49"/>
      <c r="AT413" s="49"/>
      <c r="AU413" s="49"/>
    </row>
    <row r="414" spans="1:47" s="12" customFormat="1" hidden="1" outlineLevel="1">
      <c r="A414" s="12">
        <f t="shared" si="460"/>
        <v>37</v>
      </c>
      <c r="B414"/>
      <c r="C414">
        <f>$F405</f>
        <v>0</v>
      </c>
      <c r="D414" s="1" t="str">
        <f t="shared" si="459"/>
        <v>T_RENT_EXP - Tenant Rent Expense</v>
      </c>
      <c r="E414"/>
      <c r="F414" s="19" t="str">
        <f>_xll.EVDES(D414)</f>
        <v>Tenant Rent Expense</v>
      </c>
      <c r="G414" s="61">
        <f ca="1">SUMIFS(OFFSET('BPC Data'!$F:$F,0,Summary!G$2),'BPC Data'!$E:$E,Summary!$D414,'BPC Data'!$B:$B,Summary!$C414)</f>
        <v>0</v>
      </c>
      <c r="H414" s="65">
        <f ca="1">SUMIFS(OFFSET('BPC Data'!$F:$F,0,Summary!H$2),'BPC Data'!$E:$E,Summary!$D414,'BPC Data'!$B:$B,Summary!$C414)</f>
        <v>0</v>
      </c>
      <c r="I414" s="61">
        <f ca="1">SUMIFS(OFFSET('BPC Data'!$F:$F,0,Summary!I$2),'BPC Data'!$E:$E,Summary!$D414,'BPC Data'!$B:$B,Summary!$C414)</f>
        <v>0</v>
      </c>
      <c r="J414" s="65">
        <f ca="1">SUMIFS(OFFSET('BPC Data'!$F:$F,0,Summary!J$2),'BPC Data'!$E:$E,Summary!$D414,'BPC Data'!$B:$B,Summary!$C414)</f>
        <v>0</v>
      </c>
      <c r="K414" s="61">
        <f ca="1">SUMIFS(OFFSET('BPC Data'!$F:$F,0,Summary!K$2),'BPC Data'!$E:$E,Summary!$D414,'BPC Data'!$B:$B,Summary!$C414)</f>
        <v>0</v>
      </c>
      <c r="L414" s="65">
        <f ca="1">SUMIFS(OFFSET('BPC Data'!$F:$F,0,Summary!L$2),'BPC Data'!$E:$E,Summary!$D414,'BPC Data'!$B:$B,Summary!$C414)</f>
        <v>0</v>
      </c>
      <c r="M414" s="61">
        <f ca="1">SUMIFS(OFFSET('BPC Data'!$F:$F,0,Summary!M$2),'BPC Data'!$E:$E,Summary!$D414,'BPC Data'!$B:$B,Summary!$C414)</f>
        <v>0</v>
      </c>
      <c r="N414" s="65">
        <f ca="1">SUMIFS(OFFSET('BPC Data'!$F:$F,0,Summary!N$2),'BPC Data'!$E:$E,Summary!$D414,'BPC Data'!$B:$B,Summary!$C414)</f>
        <v>0</v>
      </c>
      <c r="O414" s="61">
        <f ca="1">SUMIFS(OFFSET('BPC Data'!$F:$F,0,Summary!O$2),'BPC Data'!$E:$E,Summary!$D414,'BPC Data'!$B:$B,Summary!$C414)</f>
        <v>0</v>
      </c>
      <c r="P414" s="65">
        <f ca="1">SUMIFS(OFFSET('BPC Data'!$F:$F,0,Summary!P$2),'BPC Data'!$E:$E,Summary!$D414,'BPC Data'!$B:$B,Summary!$C414)</f>
        <v>0</v>
      </c>
      <c r="Q414" s="61">
        <f ca="1">SUMIFS(OFFSET('BPC Data'!$F:$F,0,Summary!Q$2),'BPC Data'!$E:$E,Summary!$D414,'BPC Data'!$B:$B,Summary!$C414)</f>
        <v>0</v>
      </c>
      <c r="R414" s="65">
        <f ca="1">SUMIFS(OFFSET('BPC Data'!$F:$F,0,Summary!R$2),'BPC Data'!$E:$E,Summary!$D414,'BPC Data'!$B:$B,Summary!$C414)</f>
        <v>0</v>
      </c>
      <c r="S414" s="23"/>
      <c r="T414" s="76"/>
      <c r="AJ414" s="49"/>
      <c r="AK414" s="49"/>
      <c r="AL414" s="49"/>
      <c r="AM414" s="49"/>
      <c r="AN414" s="49"/>
      <c r="AO414" s="49"/>
      <c r="AP414" s="49"/>
      <c r="AQ414" s="49"/>
      <c r="AR414" s="49"/>
      <c r="AS414" s="49"/>
      <c r="AT414" s="49"/>
      <c r="AU414" s="49"/>
    </row>
    <row r="415" spans="1:47" s="12" customFormat="1" hidden="1" outlineLevel="1">
      <c r="A415" s="12">
        <f t="shared" si="460"/>
        <v>37</v>
      </c>
      <c r="B415"/>
      <c r="C415"/>
      <c r="D415" s="1" t="str">
        <f t="shared" si="459"/>
        <v>x</v>
      </c>
      <c r="E415"/>
      <c r="F415" s="19" t="s">
        <v>0</v>
      </c>
      <c r="G415" s="61">
        <f ca="1">SUMIFS(OFFSET('BPC Data'!$F:$F,0,Summary!G$2),'BPC Data'!$E:$E,Summary!$D415,'BPC Data'!$B:$B,Summary!$C415)</f>
        <v>0</v>
      </c>
      <c r="H415" s="65">
        <f ca="1">SUMIFS(OFFSET('BPC Data'!$F:$F,0,Summary!H$2),'BPC Data'!$E:$E,Summary!$D415,'BPC Data'!$B:$B,Summary!$C415)</f>
        <v>0</v>
      </c>
      <c r="I415" s="61">
        <f ca="1">SUMIFS(OFFSET('BPC Data'!$F:$F,0,Summary!I$2),'BPC Data'!$E:$E,Summary!$D415,'BPC Data'!$B:$B,Summary!$C415)</f>
        <v>0</v>
      </c>
      <c r="J415" s="65">
        <f ca="1">SUMIFS(OFFSET('BPC Data'!$F:$F,0,Summary!J$2),'BPC Data'!$E:$E,Summary!$D415,'BPC Data'!$B:$B,Summary!$C415)</f>
        <v>0</v>
      </c>
      <c r="K415" s="61">
        <f ca="1">SUMIFS(OFFSET('BPC Data'!$F:$F,0,Summary!K$2),'BPC Data'!$E:$E,Summary!$D415,'BPC Data'!$B:$B,Summary!$C415)</f>
        <v>0</v>
      </c>
      <c r="L415" s="65">
        <f ca="1">SUMIFS(OFFSET('BPC Data'!$F:$F,0,Summary!L$2),'BPC Data'!$E:$E,Summary!$D415,'BPC Data'!$B:$B,Summary!$C415)</f>
        <v>0</v>
      </c>
      <c r="M415" s="61">
        <f ca="1">SUMIFS(OFFSET('BPC Data'!$F:$F,0,Summary!M$2),'BPC Data'!$E:$E,Summary!$D415,'BPC Data'!$B:$B,Summary!$C415)</f>
        <v>0</v>
      </c>
      <c r="N415" s="65">
        <f ca="1">SUMIFS(OFFSET('BPC Data'!$F:$F,0,Summary!N$2),'BPC Data'!$E:$E,Summary!$D415,'BPC Data'!$B:$B,Summary!$C415)</f>
        <v>0</v>
      </c>
      <c r="O415" s="61">
        <f ca="1">SUMIFS(OFFSET('BPC Data'!$F:$F,0,Summary!O$2),'BPC Data'!$E:$E,Summary!$D415,'BPC Data'!$B:$B,Summary!$C415)</f>
        <v>0</v>
      </c>
      <c r="P415" s="65">
        <f ca="1">SUMIFS(OFFSET('BPC Data'!$F:$F,0,Summary!P$2),'BPC Data'!$E:$E,Summary!$D415,'BPC Data'!$B:$B,Summary!$C415)</f>
        <v>0</v>
      </c>
      <c r="Q415" s="61">
        <f ca="1">SUMIFS(OFFSET('BPC Data'!$F:$F,0,Summary!Q$2),'BPC Data'!$E:$E,Summary!$D415,'BPC Data'!$B:$B,Summary!$C415)</f>
        <v>0</v>
      </c>
      <c r="R415" s="65">
        <f ca="1">SUMIFS(OFFSET('BPC Data'!$F:$F,0,Summary!R$2),'BPC Data'!$E:$E,Summary!$D415,'BPC Data'!$B:$B,Summary!$C415)</f>
        <v>0</v>
      </c>
      <c r="S415" s="23"/>
      <c r="T415" s="76"/>
      <c r="AJ415" s="49"/>
      <c r="AK415" s="49"/>
      <c r="AL415" s="49"/>
      <c r="AM415" s="49"/>
      <c r="AN415" s="49"/>
      <c r="AO415" s="49"/>
      <c r="AP415" s="49"/>
      <c r="AQ415" s="49"/>
      <c r="AR415" s="49"/>
      <c r="AS415" s="49"/>
      <c r="AT415" s="49"/>
      <c r="AU415" s="49"/>
    </row>
    <row r="416" spans="1:47" s="12" customFormat="1" hidden="1" outlineLevel="1">
      <c r="A416" s="12">
        <f>IF(AND(D416&lt;&gt;"",C416=""),A415+1,A415)</f>
        <v>38</v>
      </c>
      <c r="B416" s="5"/>
      <c r="C416" s="5"/>
      <c r="D416" s="5" t="str">
        <f t="shared" si="459"/>
        <v>x</v>
      </c>
      <c r="E416" s="5"/>
      <c r="F416" s="18">
        <f>INDEX(PropertyList!$D:$D,MATCH(Summary!$A416,PropertyList!$C:$C,0))</f>
        <v>0</v>
      </c>
      <c r="G416" s="61">
        <f ca="1">SUMIFS(OFFSET('BPC Data'!$F:$F,0,Summary!G$2),'BPC Data'!$E:$E,Summary!$D416,'BPC Data'!$B:$B,Summary!$C416)</f>
        <v>0</v>
      </c>
      <c r="H416" s="65">
        <f ca="1">SUMIFS(OFFSET('BPC Data'!$F:$F,0,Summary!H$2),'BPC Data'!$E:$E,Summary!$D416,'BPC Data'!$B:$B,Summary!$C416)</f>
        <v>0</v>
      </c>
      <c r="I416" s="61">
        <f ca="1">SUMIFS(OFFSET('BPC Data'!$F:$F,0,Summary!I$2),'BPC Data'!$E:$E,Summary!$D416,'BPC Data'!$B:$B,Summary!$C416)</f>
        <v>0</v>
      </c>
      <c r="J416" s="65">
        <f ca="1">SUMIFS(OFFSET('BPC Data'!$F:$F,0,Summary!J$2),'BPC Data'!$E:$E,Summary!$D416,'BPC Data'!$B:$B,Summary!$C416)</f>
        <v>0</v>
      </c>
      <c r="K416" s="61">
        <f ca="1">SUMIFS(OFFSET('BPC Data'!$F:$F,0,Summary!K$2),'BPC Data'!$E:$E,Summary!$D416,'BPC Data'!$B:$B,Summary!$C416)</f>
        <v>0</v>
      </c>
      <c r="L416" s="65">
        <f ca="1">SUMIFS(OFFSET('BPC Data'!$F:$F,0,Summary!L$2),'BPC Data'!$E:$E,Summary!$D416,'BPC Data'!$B:$B,Summary!$C416)</f>
        <v>0</v>
      </c>
      <c r="M416" s="61">
        <f ca="1">SUMIFS(OFFSET('BPC Data'!$F:$F,0,Summary!M$2),'BPC Data'!$E:$E,Summary!$D416,'BPC Data'!$B:$B,Summary!$C416)</f>
        <v>0</v>
      </c>
      <c r="N416" s="65">
        <f ca="1">SUMIFS(OFFSET('BPC Data'!$F:$F,0,Summary!N$2),'BPC Data'!$E:$E,Summary!$D416,'BPC Data'!$B:$B,Summary!$C416)</f>
        <v>0</v>
      </c>
      <c r="O416" s="61">
        <f ca="1">SUMIFS(OFFSET('BPC Data'!$F:$F,0,Summary!O$2),'BPC Data'!$E:$E,Summary!$D416,'BPC Data'!$B:$B,Summary!$C416)</f>
        <v>0</v>
      </c>
      <c r="P416" s="65">
        <f ca="1">SUMIFS(OFFSET('BPC Data'!$F:$F,0,Summary!P$2),'BPC Data'!$E:$E,Summary!$D416,'BPC Data'!$B:$B,Summary!$C416)</f>
        <v>0</v>
      </c>
      <c r="Q416" s="61">
        <f ca="1">SUMIFS(OFFSET('BPC Data'!$F:$F,0,Summary!Q$2),'BPC Data'!$E:$E,Summary!$D416,'BPC Data'!$B:$B,Summary!$C416)</f>
        <v>0</v>
      </c>
      <c r="R416" s="65">
        <f ca="1">SUMIFS(OFFSET('BPC Data'!$F:$F,0,Summary!R$2),'BPC Data'!$E:$E,Summary!$D416,'BPC Data'!$B:$B,Summary!$C416)</f>
        <v>0</v>
      </c>
      <c r="S416" s="23"/>
      <c r="T416" s="76"/>
      <c r="AJ416" s="49"/>
      <c r="AK416" s="49"/>
      <c r="AL416" s="49"/>
      <c r="AM416" s="49"/>
      <c r="AN416" s="49"/>
      <c r="AO416" s="49"/>
      <c r="AP416" s="49"/>
      <c r="AQ416" s="49"/>
      <c r="AR416" s="49"/>
      <c r="AS416" s="49"/>
      <c r="AT416" s="49"/>
      <c r="AU416" s="49"/>
    </row>
    <row r="417" spans="1:47" s="12" customFormat="1" hidden="1" outlineLevel="1">
      <c r="A417" s="12">
        <f>IF(AND(F417&lt;&gt;"",D417=""),A416+1,A416)</f>
        <v>38</v>
      </c>
      <c r="C417">
        <f>$F416</f>
        <v>0</v>
      </c>
      <c r="D417" s="3" t="str">
        <f t="shared" si="459"/>
        <v>PAY_PAT_DAYS - Total Payor Patient Days</v>
      </c>
      <c r="F417" s="19" t="str">
        <f>_xll.EVDES(D417)</f>
        <v>Total Payor Patient Days</v>
      </c>
      <c r="G417" s="61">
        <f ca="1">SUMIFS(OFFSET('BPC Data'!$F:$F,0,Summary!G$2),'BPC Data'!$E:$E,Summary!$D417,'BPC Data'!$B:$B,Summary!$C417)</f>
        <v>0</v>
      </c>
      <c r="H417" s="65">
        <f ca="1">SUMIFS(OFFSET('BPC Data'!$F:$F,0,Summary!H$2),'BPC Data'!$E:$E,Summary!$D417,'BPC Data'!$B:$B,Summary!$C417)</f>
        <v>0</v>
      </c>
      <c r="I417" s="61">
        <f ca="1">SUMIFS(OFFSET('BPC Data'!$F:$F,0,Summary!I$2),'BPC Data'!$E:$E,Summary!$D417,'BPC Data'!$B:$B,Summary!$C417)</f>
        <v>0</v>
      </c>
      <c r="J417" s="65">
        <f ca="1">SUMIFS(OFFSET('BPC Data'!$F:$F,0,Summary!J$2),'BPC Data'!$E:$E,Summary!$D417,'BPC Data'!$B:$B,Summary!$C417)</f>
        <v>0</v>
      </c>
      <c r="K417" s="61">
        <f ca="1">SUMIFS(OFFSET('BPC Data'!$F:$F,0,Summary!K$2),'BPC Data'!$E:$E,Summary!$D417,'BPC Data'!$B:$B,Summary!$C417)</f>
        <v>0</v>
      </c>
      <c r="L417" s="65">
        <f ca="1">SUMIFS(OFFSET('BPC Data'!$F:$F,0,Summary!L$2),'BPC Data'!$E:$E,Summary!$D417,'BPC Data'!$B:$B,Summary!$C417)</f>
        <v>0</v>
      </c>
      <c r="M417" s="61">
        <f ca="1">SUMIFS(OFFSET('BPC Data'!$F:$F,0,Summary!M$2),'BPC Data'!$E:$E,Summary!$D417,'BPC Data'!$B:$B,Summary!$C417)</f>
        <v>0</v>
      </c>
      <c r="N417" s="65">
        <f ca="1">SUMIFS(OFFSET('BPC Data'!$F:$F,0,Summary!N$2),'BPC Data'!$E:$E,Summary!$D417,'BPC Data'!$B:$B,Summary!$C417)</f>
        <v>0</v>
      </c>
      <c r="O417" s="61">
        <f ca="1">SUMIFS(OFFSET('BPC Data'!$F:$F,0,Summary!O$2),'BPC Data'!$E:$E,Summary!$D417,'BPC Data'!$B:$B,Summary!$C417)</f>
        <v>0</v>
      </c>
      <c r="P417" s="65">
        <f ca="1">SUMIFS(OFFSET('BPC Data'!$F:$F,0,Summary!P$2),'BPC Data'!$E:$E,Summary!$D417,'BPC Data'!$B:$B,Summary!$C417)</f>
        <v>0</v>
      </c>
      <c r="Q417" s="61">
        <f ca="1">SUMIFS(OFFSET('BPC Data'!$F:$F,0,Summary!Q$2),'BPC Data'!$E:$E,Summary!$D417,'BPC Data'!$B:$B,Summary!$C417)</f>
        <v>0</v>
      </c>
      <c r="R417" s="65">
        <f ca="1">SUMIFS(OFFSET('BPC Data'!$F:$F,0,Summary!R$2),'BPC Data'!$E:$E,Summary!$D417,'BPC Data'!$B:$B,Summary!$C417)</f>
        <v>0</v>
      </c>
      <c r="S417" s="23"/>
      <c r="T417" s="76"/>
      <c r="AJ417" s="49"/>
      <c r="AK417" s="49"/>
      <c r="AL417" s="49"/>
      <c r="AM417" s="49"/>
      <c r="AN417" s="49"/>
      <c r="AO417" s="49"/>
      <c r="AP417" s="49"/>
      <c r="AQ417" s="49"/>
      <c r="AR417" s="49"/>
      <c r="AS417" s="49"/>
      <c r="AT417" s="49"/>
      <c r="AU417" s="49"/>
    </row>
    <row r="418" spans="1:47" s="12" customFormat="1" hidden="1" outlineLevel="1">
      <c r="A418" s="12">
        <f t="shared" ref="A418:A426" si="461">IF(AND(F418&lt;&gt;"",D418=""),A417+1,A417)</f>
        <v>38</v>
      </c>
      <c r="C418">
        <f>$F416</f>
        <v>0</v>
      </c>
      <c r="D418" s="3" t="str">
        <f t="shared" si="459"/>
        <v>A_BEDS_TOTAL - Total Available Beds</v>
      </c>
      <c r="F418" s="19" t="str">
        <f>_xll.EVDES(D418)</f>
        <v>Total Available Beds</v>
      </c>
      <c r="G418" s="61">
        <f ca="1">SUMIFS(OFFSET('BPC Data'!$F:$F,0,Summary!G$2),'BPC Data'!$E:$E,Summary!$D418,'BPC Data'!$B:$B,Summary!$C418)</f>
        <v>0</v>
      </c>
      <c r="H418" s="65">
        <f ca="1">SUMIFS(OFFSET('BPC Data'!$F:$F,0,Summary!H$2),'BPC Data'!$E:$E,Summary!$D418,'BPC Data'!$B:$B,Summary!$C418)</f>
        <v>0</v>
      </c>
      <c r="I418" s="61">
        <f ca="1">SUMIFS(OFFSET('BPC Data'!$F:$F,0,Summary!I$2),'BPC Data'!$E:$E,Summary!$D418,'BPC Data'!$B:$B,Summary!$C418)</f>
        <v>0</v>
      </c>
      <c r="J418" s="65">
        <f ca="1">SUMIFS(OFFSET('BPC Data'!$F:$F,0,Summary!J$2),'BPC Data'!$E:$E,Summary!$D418,'BPC Data'!$B:$B,Summary!$C418)</f>
        <v>0</v>
      </c>
      <c r="K418" s="61">
        <f ca="1">SUMIFS(OFFSET('BPC Data'!$F:$F,0,Summary!K$2),'BPC Data'!$E:$E,Summary!$D418,'BPC Data'!$B:$B,Summary!$C418)</f>
        <v>0</v>
      </c>
      <c r="L418" s="65">
        <f ca="1">SUMIFS(OFFSET('BPC Data'!$F:$F,0,Summary!L$2),'BPC Data'!$E:$E,Summary!$D418,'BPC Data'!$B:$B,Summary!$C418)</f>
        <v>0</v>
      </c>
      <c r="M418" s="61">
        <f ca="1">SUMIFS(OFFSET('BPC Data'!$F:$F,0,Summary!M$2),'BPC Data'!$E:$E,Summary!$D418,'BPC Data'!$B:$B,Summary!$C418)</f>
        <v>0</v>
      </c>
      <c r="N418" s="65">
        <f ca="1">SUMIFS(OFFSET('BPC Data'!$F:$F,0,Summary!N$2),'BPC Data'!$E:$E,Summary!$D418,'BPC Data'!$B:$B,Summary!$C418)</f>
        <v>0</v>
      </c>
      <c r="O418" s="61">
        <f ca="1">SUMIFS(OFFSET('BPC Data'!$F:$F,0,Summary!O$2),'BPC Data'!$E:$E,Summary!$D418,'BPC Data'!$B:$B,Summary!$C418)</f>
        <v>0</v>
      </c>
      <c r="P418" s="65">
        <f ca="1">SUMIFS(OFFSET('BPC Data'!$F:$F,0,Summary!P$2),'BPC Data'!$E:$E,Summary!$D418,'BPC Data'!$B:$B,Summary!$C418)</f>
        <v>0</v>
      </c>
      <c r="Q418" s="61">
        <f ca="1">SUMIFS(OFFSET('BPC Data'!$F:$F,0,Summary!Q$2),'BPC Data'!$E:$E,Summary!$D418,'BPC Data'!$B:$B,Summary!$C418)</f>
        <v>0</v>
      </c>
      <c r="R418" s="65">
        <f ca="1">SUMIFS(OFFSET('BPC Data'!$F:$F,0,Summary!R$2),'BPC Data'!$E:$E,Summary!$D418,'BPC Data'!$B:$B,Summary!$C418)</f>
        <v>0</v>
      </c>
      <c r="S418" s="23"/>
      <c r="T418" s="76"/>
      <c r="AJ418" s="49"/>
      <c r="AK418" s="49"/>
      <c r="AL418" s="49"/>
      <c r="AM418" s="49"/>
      <c r="AN418" s="49"/>
      <c r="AO418" s="49"/>
      <c r="AP418" s="49"/>
      <c r="AQ418" s="49"/>
      <c r="AR418" s="49"/>
      <c r="AS418" s="49"/>
      <c r="AT418" s="49"/>
      <c r="AU418" s="49"/>
    </row>
    <row r="419" spans="1:47" s="12" customFormat="1" hidden="1" outlineLevel="1">
      <c r="A419" s="12">
        <f t="shared" si="461"/>
        <v>38</v>
      </c>
      <c r="B419"/>
      <c r="C419">
        <f>$F416</f>
        <v>0</v>
      </c>
      <c r="D419" s="3" t="str">
        <f t="shared" si="459"/>
        <v>T_REVENUES - Total Tenant Revenues</v>
      </c>
      <c r="E419"/>
      <c r="F419" s="19" t="str">
        <f>_xll.EVDES(D419)</f>
        <v>Total Tenant Revenues</v>
      </c>
      <c r="G419" s="61">
        <f ca="1">SUMIFS(OFFSET('BPC Data'!$F:$F,0,Summary!G$2),'BPC Data'!$E:$E,Summary!$D419,'BPC Data'!$B:$B,Summary!$C419)</f>
        <v>0</v>
      </c>
      <c r="H419" s="65">
        <f ca="1">SUMIFS(OFFSET('BPC Data'!$F:$F,0,Summary!H$2),'BPC Data'!$E:$E,Summary!$D419,'BPC Data'!$B:$B,Summary!$C419)</f>
        <v>0</v>
      </c>
      <c r="I419" s="61">
        <f ca="1">SUMIFS(OFFSET('BPC Data'!$F:$F,0,Summary!I$2),'BPC Data'!$E:$E,Summary!$D419,'BPC Data'!$B:$B,Summary!$C419)</f>
        <v>0</v>
      </c>
      <c r="J419" s="65">
        <f ca="1">SUMIFS(OFFSET('BPC Data'!$F:$F,0,Summary!J$2),'BPC Data'!$E:$E,Summary!$D419,'BPC Data'!$B:$B,Summary!$C419)</f>
        <v>0</v>
      </c>
      <c r="K419" s="61">
        <f ca="1">SUMIFS(OFFSET('BPC Data'!$F:$F,0,Summary!K$2),'BPC Data'!$E:$E,Summary!$D419,'BPC Data'!$B:$B,Summary!$C419)</f>
        <v>0</v>
      </c>
      <c r="L419" s="65">
        <f ca="1">SUMIFS(OFFSET('BPC Data'!$F:$F,0,Summary!L$2),'BPC Data'!$E:$E,Summary!$D419,'BPC Data'!$B:$B,Summary!$C419)</f>
        <v>0</v>
      </c>
      <c r="M419" s="61">
        <f ca="1">SUMIFS(OFFSET('BPC Data'!$F:$F,0,Summary!M$2),'BPC Data'!$E:$E,Summary!$D419,'BPC Data'!$B:$B,Summary!$C419)</f>
        <v>0</v>
      </c>
      <c r="N419" s="65">
        <f ca="1">SUMIFS(OFFSET('BPC Data'!$F:$F,0,Summary!N$2),'BPC Data'!$E:$E,Summary!$D419,'BPC Data'!$B:$B,Summary!$C419)</f>
        <v>0</v>
      </c>
      <c r="O419" s="61">
        <f ca="1">SUMIFS(OFFSET('BPC Data'!$F:$F,0,Summary!O$2),'BPC Data'!$E:$E,Summary!$D419,'BPC Data'!$B:$B,Summary!$C419)</f>
        <v>0</v>
      </c>
      <c r="P419" s="65">
        <f ca="1">SUMIFS(OFFSET('BPC Data'!$F:$F,0,Summary!P$2),'BPC Data'!$E:$E,Summary!$D419,'BPC Data'!$B:$B,Summary!$C419)</f>
        <v>0</v>
      </c>
      <c r="Q419" s="61">
        <f ca="1">SUMIFS(OFFSET('BPC Data'!$F:$F,0,Summary!Q$2),'BPC Data'!$E:$E,Summary!$D419,'BPC Data'!$B:$B,Summary!$C419)</f>
        <v>0</v>
      </c>
      <c r="R419" s="65">
        <f ca="1">SUMIFS(OFFSET('BPC Data'!$F:$F,0,Summary!R$2),'BPC Data'!$E:$E,Summary!$D419,'BPC Data'!$B:$B,Summary!$C419)</f>
        <v>0</v>
      </c>
      <c r="S419" s="23"/>
      <c r="T419" s="76"/>
      <c r="AJ419" s="49"/>
      <c r="AK419" s="49"/>
      <c r="AL419" s="49"/>
      <c r="AM419" s="49"/>
      <c r="AN419" s="49"/>
      <c r="AO419" s="49"/>
      <c r="AP419" s="49"/>
      <c r="AQ419" s="49"/>
      <c r="AR419" s="49"/>
      <c r="AS419" s="49"/>
      <c r="AT419" s="49"/>
      <c r="AU419" s="49"/>
    </row>
    <row r="420" spans="1:47" s="12" customFormat="1" hidden="1" outlineLevel="1">
      <c r="A420" s="12">
        <f t="shared" si="461"/>
        <v>38</v>
      </c>
      <c r="B420"/>
      <c r="C420">
        <f>$F416</f>
        <v>0</v>
      </c>
      <c r="D420" s="3" t="str">
        <f t="shared" si="459"/>
        <v>T_OPEX - Tenant Operating Expenses</v>
      </c>
      <c r="E420"/>
      <c r="F420" s="19" t="str">
        <f>_xll.EVDES(D420)</f>
        <v>Tenant Operating Expenses</v>
      </c>
      <c r="G420" s="61">
        <f ca="1">SUMIFS(OFFSET('BPC Data'!$F:$F,0,Summary!G$2),'BPC Data'!$E:$E,Summary!$D420,'BPC Data'!$B:$B,Summary!$C420)</f>
        <v>0</v>
      </c>
      <c r="H420" s="65">
        <f ca="1">SUMIFS(OFFSET('BPC Data'!$F:$F,0,Summary!H$2),'BPC Data'!$E:$E,Summary!$D420,'BPC Data'!$B:$B,Summary!$C420)</f>
        <v>0</v>
      </c>
      <c r="I420" s="61">
        <f ca="1">SUMIFS(OFFSET('BPC Data'!$F:$F,0,Summary!I$2),'BPC Data'!$E:$E,Summary!$D420,'BPC Data'!$B:$B,Summary!$C420)</f>
        <v>0</v>
      </c>
      <c r="J420" s="65">
        <f ca="1">SUMIFS(OFFSET('BPC Data'!$F:$F,0,Summary!J$2),'BPC Data'!$E:$E,Summary!$D420,'BPC Data'!$B:$B,Summary!$C420)</f>
        <v>0</v>
      </c>
      <c r="K420" s="61">
        <f ca="1">SUMIFS(OFFSET('BPC Data'!$F:$F,0,Summary!K$2),'BPC Data'!$E:$E,Summary!$D420,'BPC Data'!$B:$B,Summary!$C420)</f>
        <v>0</v>
      </c>
      <c r="L420" s="65">
        <f ca="1">SUMIFS(OFFSET('BPC Data'!$F:$F,0,Summary!L$2),'BPC Data'!$E:$E,Summary!$D420,'BPC Data'!$B:$B,Summary!$C420)</f>
        <v>0</v>
      </c>
      <c r="M420" s="61">
        <f ca="1">SUMIFS(OFFSET('BPC Data'!$F:$F,0,Summary!M$2),'BPC Data'!$E:$E,Summary!$D420,'BPC Data'!$B:$B,Summary!$C420)</f>
        <v>0</v>
      </c>
      <c r="N420" s="65">
        <f ca="1">SUMIFS(OFFSET('BPC Data'!$F:$F,0,Summary!N$2),'BPC Data'!$E:$E,Summary!$D420,'BPC Data'!$B:$B,Summary!$C420)</f>
        <v>0</v>
      </c>
      <c r="O420" s="61">
        <f ca="1">SUMIFS(OFFSET('BPC Data'!$F:$F,0,Summary!O$2),'BPC Data'!$E:$E,Summary!$D420,'BPC Data'!$B:$B,Summary!$C420)</f>
        <v>0</v>
      </c>
      <c r="P420" s="65">
        <f ca="1">SUMIFS(OFFSET('BPC Data'!$F:$F,0,Summary!P$2),'BPC Data'!$E:$E,Summary!$D420,'BPC Data'!$B:$B,Summary!$C420)</f>
        <v>0</v>
      </c>
      <c r="Q420" s="61">
        <f ca="1">SUMIFS(OFFSET('BPC Data'!$F:$F,0,Summary!Q$2),'BPC Data'!$E:$E,Summary!$D420,'BPC Data'!$B:$B,Summary!$C420)</f>
        <v>0</v>
      </c>
      <c r="R420" s="65">
        <f ca="1">SUMIFS(OFFSET('BPC Data'!$F:$F,0,Summary!R$2),'BPC Data'!$E:$E,Summary!$D420,'BPC Data'!$B:$B,Summary!$C420)</f>
        <v>0</v>
      </c>
      <c r="S420" s="23"/>
      <c r="T420" s="76"/>
      <c r="AJ420" s="49"/>
      <c r="AK420" s="49"/>
      <c r="AL420" s="49"/>
      <c r="AM420" s="49"/>
      <c r="AN420" s="49"/>
      <c r="AO420" s="49"/>
      <c r="AP420" s="49"/>
      <c r="AQ420" s="49"/>
      <c r="AR420" s="49"/>
      <c r="AS420" s="49"/>
      <c r="AT420" s="49"/>
      <c r="AU420" s="49"/>
    </row>
    <row r="421" spans="1:47" s="12" customFormat="1" hidden="1" outlineLevel="1">
      <c r="A421" s="12">
        <f t="shared" si="461"/>
        <v>38</v>
      </c>
      <c r="B421"/>
      <c r="C421">
        <f>$F416</f>
        <v>0</v>
      </c>
      <c r="D421" s="3" t="str">
        <f t="shared" si="459"/>
        <v>T_BAD_DEBT - Tenant Bad Debt Expense</v>
      </c>
      <c r="E421"/>
      <c r="F421" s="19" t="str">
        <f>_xll.EVDES(D421)</f>
        <v>Tenant Bad Debt Expense</v>
      </c>
      <c r="G421" s="61">
        <f ca="1">SUMIFS(OFFSET('BPC Data'!$F:$F,0,Summary!G$2),'BPC Data'!$E:$E,Summary!$D421,'BPC Data'!$B:$B,Summary!$C421)</f>
        <v>0</v>
      </c>
      <c r="H421" s="65">
        <f ca="1">SUMIFS(OFFSET('BPC Data'!$F:$F,0,Summary!H$2),'BPC Data'!$E:$E,Summary!$D421,'BPC Data'!$B:$B,Summary!$C421)</f>
        <v>0</v>
      </c>
      <c r="I421" s="61">
        <f ca="1">SUMIFS(OFFSET('BPC Data'!$F:$F,0,Summary!I$2),'BPC Data'!$E:$E,Summary!$D421,'BPC Data'!$B:$B,Summary!$C421)</f>
        <v>0</v>
      </c>
      <c r="J421" s="65">
        <f ca="1">SUMIFS(OFFSET('BPC Data'!$F:$F,0,Summary!J$2),'BPC Data'!$E:$E,Summary!$D421,'BPC Data'!$B:$B,Summary!$C421)</f>
        <v>0</v>
      </c>
      <c r="K421" s="61">
        <f ca="1">SUMIFS(OFFSET('BPC Data'!$F:$F,0,Summary!K$2),'BPC Data'!$E:$E,Summary!$D421,'BPC Data'!$B:$B,Summary!$C421)</f>
        <v>0</v>
      </c>
      <c r="L421" s="65">
        <f ca="1">SUMIFS(OFFSET('BPC Data'!$F:$F,0,Summary!L$2),'BPC Data'!$E:$E,Summary!$D421,'BPC Data'!$B:$B,Summary!$C421)</f>
        <v>0</v>
      </c>
      <c r="M421" s="61">
        <f ca="1">SUMIFS(OFFSET('BPC Data'!$F:$F,0,Summary!M$2),'BPC Data'!$E:$E,Summary!$D421,'BPC Data'!$B:$B,Summary!$C421)</f>
        <v>0</v>
      </c>
      <c r="N421" s="65">
        <f ca="1">SUMIFS(OFFSET('BPC Data'!$F:$F,0,Summary!N$2),'BPC Data'!$E:$E,Summary!$D421,'BPC Data'!$B:$B,Summary!$C421)</f>
        <v>0</v>
      </c>
      <c r="O421" s="61">
        <f ca="1">SUMIFS(OFFSET('BPC Data'!$F:$F,0,Summary!O$2),'BPC Data'!$E:$E,Summary!$D421,'BPC Data'!$B:$B,Summary!$C421)</f>
        <v>0</v>
      </c>
      <c r="P421" s="65">
        <f ca="1">SUMIFS(OFFSET('BPC Data'!$F:$F,0,Summary!P$2),'BPC Data'!$E:$E,Summary!$D421,'BPC Data'!$B:$B,Summary!$C421)</f>
        <v>0</v>
      </c>
      <c r="Q421" s="61">
        <f ca="1">SUMIFS(OFFSET('BPC Data'!$F:$F,0,Summary!Q$2),'BPC Data'!$E:$E,Summary!$D421,'BPC Data'!$B:$B,Summary!$C421)</f>
        <v>0</v>
      </c>
      <c r="R421" s="65">
        <f ca="1">SUMIFS(OFFSET('BPC Data'!$F:$F,0,Summary!R$2),'BPC Data'!$E:$E,Summary!$D421,'BPC Data'!$B:$B,Summary!$C421)</f>
        <v>0</v>
      </c>
      <c r="S421" s="23"/>
      <c r="T421" s="76"/>
      <c r="AJ421" s="49"/>
      <c r="AK421" s="49"/>
      <c r="AL421" s="49"/>
      <c r="AM421" s="49"/>
      <c r="AN421" s="49"/>
      <c r="AO421" s="49"/>
      <c r="AP421" s="49"/>
      <c r="AQ421" s="49"/>
      <c r="AR421" s="49"/>
      <c r="AS421" s="49"/>
      <c r="AT421" s="49"/>
      <c r="AU421" s="49"/>
    </row>
    <row r="422" spans="1:47" s="12" customFormat="1" hidden="1" outlineLevel="1">
      <c r="A422" s="12">
        <f t="shared" si="461"/>
        <v>38</v>
      </c>
      <c r="B422"/>
      <c r="C422">
        <f>$F416</f>
        <v>0</v>
      </c>
      <c r="D422" s="2" t="str">
        <f t="shared" si="459"/>
        <v>T_EBITDARM - EBITDARM</v>
      </c>
      <c r="E422"/>
      <c r="F422" s="19" t="str">
        <f>_xll.EVDES(D422)</f>
        <v>EBITDARM</v>
      </c>
      <c r="G422" s="61">
        <f ca="1">SUMIFS(OFFSET('BPC Data'!$F:$F,0,Summary!G$2),'BPC Data'!$E:$E,Summary!$D422,'BPC Data'!$B:$B,Summary!$C422)</f>
        <v>0</v>
      </c>
      <c r="H422" s="65">
        <f ca="1">SUMIFS(OFFSET('BPC Data'!$F:$F,0,Summary!H$2),'BPC Data'!$E:$E,Summary!$D422,'BPC Data'!$B:$B,Summary!$C422)</f>
        <v>0</v>
      </c>
      <c r="I422" s="61">
        <f ca="1">SUMIFS(OFFSET('BPC Data'!$F:$F,0,Summary!I$2),'BPC Data'!$E:$E,Summary!$D422,'BPC Data'!$B:$B,Summary!$C422)</f>
        <v>0</v>
      </c>
      <c r="J422" s="65">
        <f ca="1">SUMIFS(OFFSET('BPC Data'!$F:$F,0,Summary!J$2),'BPC Data'!$E:$E,Summary!$D422,'BPC Data'!$B:$B,Summary!$C422)</f>
        <v>0</v>
      </c>
      <c r="K422" s="61">
        <f ca="1">SUMIFS(OFFSET('BPC Data'!$F:$F,0,Summary!K$2),'BPC Data'!$E:$E,Summary!$D422,'BPC Data'!$B:$B,Summary!$C422)</f>
        <v>0</v>
      </c>
      <c r="L422" s="65">
        <f ca="1">SUMIFS(OFFSET('BPC Data'!$F:$F,0,Summary!L$2),'BPC Data'!$E:$E,Summary!$D422,'BPC Data'!$B:$B,Summary!$C422)</f>
        <v>0</v>
      </c>
      <c r="M422" s="61">
        <f ca="1">SUMIFS(OFFSET('BPC Data'!$F:$F,0,Summary!M$2),'BPC Data'!$E:$E,Summary!$D422,'BPC Data'!$B:$B,Summary!$C422)</f>
        <v>0</v>
      </c>
      <c r="N422" s="65">
        <f ca="1">SUMIFS(OFFSET('BPC Data'!$F:$F,0,Summary!N$2),'BPC Data'!$E:$E,Summary!$D422,'BPC Data'!$B:$B,Summary!$C422)</f>
        <v>0</v>
      </c>
      <c r="O422" s="61">
        <f ca="1">SUMIFS(OFFSET('BPC Data'!$F:$F,0,Summary!O$2),'BPC Data'!$E:$E,Summary!$D422,'BPC Data'!$B:$B,Summary!$C422)</f>
        <v>0</v>
      </c>
      <c r="P422" s="65">
        <f ca="1">SUMIFS(OFFSET('BPC Data'!$F:$F,0,Summary!P$2),'BPC Data'!$E:$E,Summary!$D422,'BPC Data'!$B:$B,Summary!$C422)</f>
        <v>0</v>
      </c>
      <c r="Q422" s="61">
        <f ca="1">SUMIFS(OFFSET('BPC Data'!$F:$F,0,Summary!Q$2),'BPC Data'!$E:$E,Summary!$D422,'BPC Data'!$B:$B,Summary!$C422)</f>
        <v>0</v>
      </c>
      <c r="R422" s="65">
        <f ca="1">SUMIFS(OFFSET('BPC Data'!$F:$F,0,Summary!R$2),'BPC Data'!$E:$E,Summary!$D422,'BPC Data'!$B:$B,Summary!$C422)</f>
        <v>0</v>
      </c>
      <c r="S422" s="23"/>
      <c r="T422" s="76"/>
      <c r="AJ422" s="49"/>
      <c r="AK422" s="49"/>
      <c r="AL422" s="49"/>
      <c r="AM422" s="49"/>
      <c r="AN422" s="49"/>
      <c r="AO422" s="49"/>
      <c r="AP422" s="49"/>
      <c r="AQ422" s="49"/>
      <c r="AR422" s="49"/>
      <c r="AS422" s="49"/>
      <c r="AT422" s="49"/>
      <c r="AU422" s="49"/>
    </row>
    <row r="423" spans="1:47" s="12" customFormat="1" hidden="1" outlineLevel="1">
      <c r="A423" s="12">
        <f t="shared" si="461"/>
        <v>38</v>
      </c>
      <c r="B423"/>
      <c r="C423">
        <f>$F416</f>
        <v>0</v>
      </c>
      <c r="D423" s="2" t="str">
        <f t="shared" si="459"/>
        <v>T_MGMT_FEE - Tenant Management Fee - Actual</v>
      </c>
      <c r="E423"/>
      <c r="F423" s="19" t="str">
        <f>_xll.EVDES(D423)</f>
        <v>Tenant Management Fee - Actual</v>
      </c>
      <c r="G423" s="61">
        <f ca="1">SUMIFS(OFFSET('BPC Data'!$F:$F,0,Summary!G$2),'BPC Data'!$E:$E,Summary!$D423,'BPC Data'!$B:$B,Summary!$C423)</f>
        <v>0</v>
      </c>
      <c r="H423" s="65">
        <f ca="1">SUMIFS(OFFSET('BPC Data'!$F:$F,0,Summary!H$2),'BPC Data'!$E:$E,Summary!$D423,'BPC Data'!$B:$B,Summary!$C423)</f>
        <v>0</v>
      </c>
      <c r="I423" s="61">
        <f ca="1">SUMIFS(OFFSET('BPC Data'!$F:$F,0,Summary!I$2),'BPC Data'!$E:$E,Summary!$D423,'BPC Data'!$B:$B,Summary!$C423)</f>
        <v>0</v>
      </c>
      <c r="J423" s="65">
        <f ca="1">SUMIFS(OFFSET('BPC Data'!$F:$F,0,Summary!J$2),'BPC Data'!$E:$E,Summary!$D423,'BPC Data'!$B:$B,Summary!$C423)</f>
        <v>0</v>
      </c>
      <c r="K423" s="61">
        <f ca="1">SUMIFS(OFFSET('BPC Data'!$F:$F,0,Summary!K$2),'BPC Data'!$E:$E,Summary!$D423,'BPC Data'!$B:$B,Summary!$C423)</f>
        <v>0</v>
      </c>
      <c r="L423" s="65">
        <f ca="1">SUMIFS(OFFSET('BPC Data'!$F:$F,0,Summary!L$2),'BPC Data'!$E:$E,Summary!$D423,'BPC Data'!$B:$B,Summary!$C423)</f>
        <v>0</v>
      </c>
      <c r="M423" s="61">
        <f ca="1">SUMIFS(OFFSET('BPC Data'!$F:$F,0,Summary!M$2),'BPC Data'!$E:$E,Summary!$D423,'BPC Data'!$B:$B,Summary!$C423)</f>
        <v>0</v>
      </c>
      <c r="N423" s="65">
        <f ca="1">SUMIFS(OFFSET('BPC Data'!$F:$F,0,Summary!N$2),'BPC Data'!$E:$E,Summary!$D423,'BPC Data'!$B:$B,Summary!$C423)</f>
        <v>0</v>
      </c>
      <c r="O423" s="61">
        <f ca="1">SUMIFS(OFFSET('BPC Data'!$F:$F,0,Summary!O$2),'BPC Data'!$E:$E,Summary!$D423,'BPC Data'!$B:$B,Summary!$C423)</f>
        <v>0</v>
      </c>
      <c r="P423" s="65">
        <f ca="1">SUMIFS(OFFSET('BPC Data'!$F:$F,0,Summary!P$2),'BPC Data'!$E:$E,Summary!$D423,'BPC Data'!$B:$B,Summary!$C423)</f>
        <v>0</v>
      </c>
      <c r="Q423" s="61">
        <f ca="1">SUMIFS(OFFSET('BPC Data'!$F:$F,0,Summary!Q$2),'BPC Data'!$E:$E,Summary!$D423,'BPC Data'!$B:$B,Summary!$C423)</f>
        <v>0</v>
      </c>
      <c r="R423" s="65">
        <f ca="1">SUMIFS(OFFSET('BPC Data'!$F:$F,0,Summary!R$2),'BPC Data'!$E:$E,Summary!$D423,'BPC Data'!$B:$B,Summary!$C423)</f>
        <v>0</v>
      </c>
      <c r="S423" s="23"/>
      <c r="T423" s="76"/>
      <c r="AJ423" s="49"/>
      <c r="AK423" s="49"/>
      <c r="AL423" s="49"/>
      <c r="AM423" s="49"/>
      <c r="AN423" s="49"/>
      <c r="AO423" s="49"/>
      <c r="AP423" s="49"/>
      <c r="AQ423" s="49"/>
      <c r="AR423" s="49"/>
      <c r="AS423" s="49"/>
      <c r="AT423" s="49"/>
      <c r="AU423" s="49"/>
    </row>
    <row r="424" spans="1:47" s="12" customFormat="1" hidden="1" outlineLevel="1">
      <c r="A424" s="12">
        <f t="shared" si="461"/>
        <v>38</v>
      </c>
      <c r="B424"/>
      <c r="C424">
        <f>$F416</f>
        <v>0</v>
      </c>
      <c r="D424" s="1" t="str">
        <f t="shared" si="459"/>
        <v>T_EBITDAR - EBITDAR</v>
      </c>
      <c r="E424"/>
      <c r="F424" s="19" t="str">
        <f>_xll.EVDES(D424)</f>
        <v>EBITDAR</v>
      </c>
      <c r="G424" s="61">
        <f ca="1">SUMIFS(OFFSET('BPC Data'!$F:$F,0,Summary!G$2),'BPC Data'!$E:$E,Summary!$D424,'BPC Data'!$B:$B,Summary!$C424)</f>
        <v>0</v>
      </c>
      <c r="H424" s="65">
        <f ca="1">SUMIFS(OFFSET('BPC Data'!$F:$F,0,Summary!H$2),'BPC Data'!$E:$E,Summary!$D424,'BPC Data'!$B:$B,Summary!$C424)</f>
        <v>0</v>
      </c>
      <c r="I424" s="61">
        <f ca="1">SUMIFS(OFFSET('BPC Data'!$F:$F,0,Summary!I$2),'BPC Data'!$E:$E,Summary!$D424,'BPC Data'!$B:$B,Summary!$C424)</f>
        <v>0</v>
      </c>
      <c r="J424" s="65">
        <f ca="1">SUMIFS(OFFSET('BPC Data'!$F:$F,0,Summary!J$2),'BPC Data'!$E:$E,Summary!$D424,'BPC Data'!$B:$B,Summary!$C424)</f>
        <v>0</v>
      </c>
      <c r="K424" s="61">
        <f ca="1">SUMIFS(OFFSET('BPC Data'!$F:$F,0,Summary!K$2),'BPC Data'!$E:$E,Summary!$D424,'BPC Data'!$B:$B,Summary!$C424)</f>
        <v>0</v>
      </c>
      <c r="L424" s="65">
        <f ca="1">SUMIFS(OFFSET('BPC Data'!$F:$F,0,Summary!L$2),'BPC Data'!$E:$E,Summary!$D424,'BPC Data'!$B:$B,Summary!$C424)</f>
        <v>0</v>
      </c>
      <c r="M424" s="61">
        <f ca="1">SUMIFS(OFFSET('BPC Data'!$F:$F,0,Summary!M$2),'BPC Data'!$E:$E,Summary!$D424,'BPC Data'!$B:$B,Summary!$C424)</f>
        <v>0</v>
      </c>
      <c r="N424" s="65">
        <f ca="1">SUMIFS(OFFSET('BPC Data'!$F:$F,0,Summary!N$2),'BPC Data'!$E:$E,Summary!$D424,'BPC Data'!$B:$B,Summary!$C424)</f>
        <v>0</v>
      </c>
      <c r="O424" s="61">
        <f ca="1">SUMIFS(OFFSET('BPC Data'!$F:$F,0,Summary!O$2),'BPC Data'!$E:$E,Summary!$D424,'BPC Data'!$B:$B,Summary!$C424)</f>
        <v>0</v>
      </c>
      <c r="P424" s="65">
        <f ca="1">SUMIFS(OFFSET('BPC Data'!$F:$F,0,Summary!P$2),'BPC Data'!$E:$E,Summary!$D424,'BPC Data'!$B:$B,Summary!$C424)</f>
        <v>0</v>
      </c>
      <c r="Q424" s="61">
        <f ca="1">SUMIFS(OFFSET('BPC Data'!$F:$F,0,Summary!Q$2),'BPC Data'!$E:$E,Summary!$D424,'BPC Data'!$B:$B,Summary!$C424)</f>
        <v>0</v>
      </c>
      <c r="R424" s="65">
        <f ca="1">SUMIFS(OFFSET('BPC Data'!$F:$F,0,Summary!R$2),'BPC Data'!$E:$E,Summary!$D424,'BPC Data'!$B:$B,Summary!$C424)</f>
        <v>0</v>
      </c>
      <c r="S424" s="23"/>
      <c r="T424" s="76"/>
      <c r="AJ424" s="49"/>
      <c r="AK424" s="49"/>
      <c r="AL424" s="49"/>
      <c r="AM424" s="49"/>
      <c r="AN424" s="49"/>
      <c r="AO424" s="49"/>
      <c r="AP424" s="49"/>
      <c r="AQ424" s="49"/>
      <c r="AR424" s="49"/>
      <c r="AS424" s="49"/>
      <c r="AT424" s="49"/>
      <c r="AU424" s="49"/>
    </row>
    <row r="425" spans="1:47" s="12" customFormat="1" hidden="1" outlineLevel="1">
      <c r="A425" s="12">
        <f t="shared" si="461"/>
        <v>38</v>
      </c>
      <c r="B425"/>
      <c r="C425">
        <f>$F416</f>
        <v>0</v>
      </c>
      <c r="D425" s="1" t="str">
        <f t="shared" si="459"/>
        <v>T_RENT_EXP - Tenant Rent Expense</v>
      </c>
      <c r="E425"/>
      <c r="F425" s="19" t="str">
        <f>_xll.EVDES(D425)</f>
        <v>Tenant Rent Expense</v>
      </c>
      <c r="G425" s="61">
        <f ca="1">SUMIFS(OFFSET('BPC Data'!$F:$F,0,Summary!G$2),'BPC Data'!$E:$E,Summary!$D425,'BPC Data'!$B:$B,Summary!$C425)</f>
        <v>0</v>
      </c>
      <c r="H425" s="65">
        <f ca="1">SUMIFS(OFFSET('BPC Data'!$F:$F,0,Summary!H$2),'BPC Data'!$E:$E,Summary!$D425,'BPC Data'!$B:$B,Summary!$C425)</f>
        <v>0</v>
      </c>
      <c r="I425" s="61">
        <f ca="1">SUMIFS(OFFSET('BPC Data'!$F:$F,0,Summary!I$2),'BPC Data'!$E:$E,Summary!$D425,'BPC Data'!$B:$B,Summary!$C425)</f>
        <v>0</v>
      </c>
      <c r="J425" s="65">
        <f ca="1">SUMIFS(OFFSET('BPC Data'!$F:$F,0,Summary!J$2),'BPC Data'!$E:$E,Summary!$D425,'BPC Data'!$B:$B,Summary!$C425)</f>
        <v>0</v>
      </c>
      <c r="K425" s="61">
        <f ca="1">SUMIFS(OFFSET('BPC Data'!$F:$F,0,Summary!K$2),'BPC Data'!$E:$E,Summary!$D425,'BPC Data'!$B:$B,Summary!$C425)</f>
        <v>0</v>
      </c>
      <c r="L425" s="65">
        <f ca="1">SUMIFS(OFFSET('BPC Data'!$F:$F,0,Summary!L$2),'BPC Data'!$E:$E,Summary!$D425,'BPC Data'!$B:$B,Summary!$C425)</f>
        <v>0</v>
      </c>
      <c r="M425" s="61">
        <f ca="1">SUMIFS(OFFSET('BPC Data'!$F:$F,0,Summary!M$2),'BPC Data'!$E:$E,Summary!$D425,'BPC Data'!$B:$B,Summary!$C425)</f>
        <v>0</v>
      </c>
      <c r="N425" s="65">
        <f ca="1">SUMIFS(OFFSET('BPC Data'!$F:$F,0,Summary!N$2),'BPC Data'!$E:$E,Summary!$D425,'BPC Data'!$B:$B,Summary!$C425)</f>
        <v>0</v>
      </c>
      <c r="O425" s="61">
        <f ca="1">SUMIFS(OFFSET('BPC Data'!$F:$F,0,Summary!O$2),'BPC Data'!$E:$E,Summary!$D425,'BPC Data'!$B:$B,Summary!$C425)</f>
        <v>0</v>
      </c>
      <c r="P425" s="65">
        <f ca="1">SUMIFS(OFFSET('BPC Data'!$F:$F,0,Summary!P$2),'BPC Data'!$E:$E,Summary!$D425,'BPC Data'!$B:$B,Summary!$C425)</f>
        <v>0</v>
      </c>
      <c r="Q425" s="61">
        <f ca="1">SUMIFS(OFFSET('BPC Data'!$F:$F,0,Summary!Q$2),'BPC Data'!$E:$E,Summary!$D425,'BPC Data'!$B:$B,Summary!$C425)</f>
        <v>0</v>
      </c>
      <c r="R425" s="65">
        <f ca="1">SUMIFS(OFFSET('BPC Data'!$F:$F,0,Summary!R$2),'BPC Data'!$E:$E,Summary!$D425,'BPC Data'!$B:$B,Summary!$C425)</f>
        <v>0</v>
      </c>
      <c r="S425" s="23"/>
      <c r="T425" s="76"/>
      <c r="AJ425" s="49"/>
      <c r="AK425" s="49"/>
      <c r="AL425" s="49"/>
      <c r="AM425" s="49"/>
      <c r="AN425" s="49"/>
      <c r="AO425" s="49"/>
      <c r="AP425" s="49"/>
      <c r="AQ425" s="49"/>
      <c r="AR425" s="49"/>
      <c r="AS425" s="49"/>
      <c r="AT425" s="49"/>
      <c r="AU425" s="49"/>
    </row>
    <row r="426" spans="1:47" s="12" customFormat="1" hidden="1" outlineLevel="1">
      <c r="A426" s="12">
        <f t="shared" si="461"/>
        <v>38</v>
      </c>
      <c r="B426"/>
      <c r="C426"/>
      <c r="D426" s="1" t="str">
        <f t="shared" si="459"/>
        <v>x</v>
      </c>
      <c r="E426"/>
      <c r="F426" s="19" t="s">
        <v>0</v>
      </c>
      <c r="G426" s="61">
        <f ca="1">SUMIFS(OFFSET('BPC Data'!$F:$F,0,Summary!G$2),'BPC Data'!$E:$E,Summary!$D426,'BPC Data'!$B:$B,Summary!$C426)</f>
        <v>0</v>
      </c>
      <c r="H426" s="65">
        <f ca="1">SUMIFS(OFFSET('BPC Data'!$F:$F,0,Summary!H$2),'BPC Data'!$E:$E,Summary!$D426,'BPC Data'!$B:$B,Summary!$C426)</f>
        <v>0</v>
      </c>
      <c r="I426" s="61">
        <f ca="1">SUMIFS(OFFSET('BPC Data'!$F:$F,0,Summary!I$2),'BPC Data'!$E:$E,Summary!$D426,'BPC Data'!$B:$B,Summary!$C426)</f>
        <v>0</v>
      </c>
      <c r="J426" s="65">
        <f ca="1">SUMIFS(OFFSET('BPC Data'!$F:$F,0,Summary!J$2),'BPC Data'!$E:$E,Summary!$D426,'BPC Data'!$B:$B,Summary!$C426)</f>
        <v>0</v>
      </c>
      <c r="K426" s="61">
        <f ca="1">SUMIFS(OFFSET('BPC Data'!$F:$F,0,Summary!K$2),'BPC Data'!$E:$E,Summary!$D426,'BPC Data'!$B:$B,Summary!$C426)</f>
        <v>0</v>
      </c>
      <c r="L426" s="65">
        <f ca="1">SUMIFS(OFFSET('BPC Data'!$F:$F,0,Summary!L$2),'BPC Data'!$E:$E,Summary!$D426,'BPC Data'!$B:$B,Summary!$C426)</f>
        <v>0</v>
      </c>
      <c r="M426" s="61">
        <f ca="1">SUMIFS(OFFSET('BPC Data'!$F:$F,0,Summary!M$2),'BPC Data'!$E:$E,Summary!$D426,'BPC Data'!$B:$B,Summary!$C426)</f>
        <v>0</v>
      </c>
      <c r="N426" s="65">
        <f ca="1">SUMIFS(OFFSET('BPC Data'!$F:$F,0,Summary!N$2),'BPC Data'!$E:$E,Summary!$D426,'BPC Data'!$B:$B,Summary!$C426)</f>
        <v>0</v>
      </c>
      <c r="O426" s="61">
        <f ca="1">SUMIFS(OFFSET('BPC Data'!$F:$F,0,Summary!O$2),'BPC Data'!$E:$E,Summary!$D426,'BPC Data'!$B:$B,Summary!$C426)</f>
        <v>0</v>
      </c>
      <c r="P426" s="65">
        <f ca="1">SUMIFS(OFFSET('BPC Data'!$F:$F,0,Summary!P$2),'BPC Data'!$E:$E,Summary!$D426,'BPC Data'!$B:$B,Summary!$C426)</f>
        <v>0</v>
      </c>
      <c r="Q426" s="61">
        <f ca="1">SUMIFS(OFFSET('BPC Data'!$F:$F,0,Summary!Q$2),'BPC Data'!$E:$E,Summary!$D426,'BPC Data'!$B:$B,Summary!$C426)</f>
        <v>0</v>
      </c>
      <c r="R426" s="65">
        <f ca="1">SUMIFS(OFFSET('BPC Data'!$F:$F,0,Summary!R$2),'BPC Data'!$E:$E,Summary!$D426,'BPC Data'!$B:$B,Summary!$C426)</f>
        <v>0</v>
      </c>
      <c r="S426" s="23"/>
      <c r="T426" s="76"/>
      <c r="AJ426" s="49"/>
      <c r="AK426" s="49"/>
      <c r="AL426" s="49"/>
      <c r="AM426" s="49"/>
      <c r="AN426" s="49"/>
      <c r="AO426" s="49"/>
      <c r="AP426" s="49"/>
      <c r="AQ426" s="49"/>
      <c r="AR426" s="49"/>
      <c r="AS426" s="49"/>
      <c r="AT426" s="49"/>
      <c r="AU426" s="49"/>
    </row>
    <row r="427" spans="1:47" s="12" customFormat="1" hidden="1" outlineLevel="1">
      <c r="A427" s="12">
        <f>IF(AND(D427&lt;&gt;"",C427=""),A426+1,A426)</f>
        <v>39</v>
      </c>
      <c r="B427" s="5"/>
      <c r="C427" s="5"/>
      <c r="D427" s="5" t="str">
        <f t="shared" si="459"/>
        <v>x</v>
      </c>
      <c r="E427" s="5"/>
      <c r="F427" s="18">
        <f>INDEX(PropertyList!$D:$D,MATCH(Summary!$A427,PropertyList!$C:$C,0))</f>
        <v>0</v>
      </c>
      <c r="G427" s="61">
        <f ca="1">SUMIFS(OFFSET('BPC Data'!$F:$F,0,Summary!G$2),'BPC Data'!$E:$E,Summary!$D427,'BPC Data'!$B:$B,Summary!$C427)</f>
        <v>0</v>
      </c>
      <c r="H427" s="65">
        <f ca="1">SUMIFS(OFFSET('BPC Data'!$F:$F,0,Summary!H$2),'BPC Data'!$E:$E,Summary!$D427,'BPC Data'!$B:$B,Summary!$C427)</f>
        <v>0</v>
      </c>
      <c r="I427" s="61">
        <f ca="1">SUMIFS(OFFSET('BPC Data'!$F:$F,0,Summary!I$2),'BPC Data'!$E:$E,Summary!$D427,'BPC Data'!$B:$B,Summary!$C427)</f>
        <v>0</v>
      </c>
      <c r="J427" s="65">
        <f ca="1">SUMIFS(OFFSET('BPC Data'!$F:$F,0,Summary!J$2),'BPC Data'!$E:$E,Summary!$D427,'BPC Data'!$B:$B,Summary!$C427)</f>
        <v>0</v>
      </c>
      <c r="K427" s="61">
        <f ca="1">SUMIFS(OFFSET('BPC Data'!$F:$F,0,Summary!K$2),'BPC Data'!$E:$E,Summary!$D427,'BPC Data'!$B:$B,Summary!$C427)</f>
        <v>0</v>
      </c>
      <c r="L427" s="65">
        <f ca="1">SUMIFS(OFFSET('BPC Data'!$F:$F,0,Summary!L$2),'BPC Data'!$E:$E,Summary!$D427,'BPC Data'!$B:$B,Summary!$C427)</f>
        <v>0</v>
      </c>
      <c r="M427" s="61">
        <f ca="1">SUMIFS(OFFSET('BPC Data'!$F:$F,0,Summary!M$2),'BPC Data'!$E:$E,Summary!$D427,'BPC Data'!$B:$B,Summary!$C427)</f>
        <v>0</v>
      </c>
      <c r="N427" s="65">
        <f ca="1">SUMIFS(OFFSET('BPC Data'!$F:$F,0,Summary!N$2),'BPC Data'!$E:$E,Summary!$D427,'BPC Data'!$B:$B,Summary!$C427)</f>
        <v>0</v>
      </c>
      <c r="O427" s="61">
        <f ca="1">SUMIFS(OFFSET('BPC Data'!$F:$F,0,Summary!O$2),'BPC Data'!$E:$E,Summary!$D427,'BPC Data'!$B:$B,Summary!$C427)</f>
        <v>0</v>
      </c>
      <c r="P427" s="65">
        <f ca="1">SUMIFS(OFFSET('BPC Data'!$F:$F,0,Summary!P$2),'BPC Data'!$E:$E,Summary!$D427,'BPC Data'!$B:$B,Summary!$C427)</f>
        <v>0</v>
      </c>
      <c r="Q427" s="61">
        <f ca="1">SUMIFS(OFFSET('BPC Data'!$F:$F,0,Summary!Q$2),'BPC Data'!$E:$E,Summary!$D427,'BPC Data'!$B:$B,Summary!$C427)</f>
        <v>0</v>
      </c>
      <c r="R427" s="65">
        <f ca="1">SUMIFS(OFFSET('BPC Data'!$F:$F,0,Summary!R$2),'BPC Data'!$E:$E,Summary!$D427,'BPC Data'!$B:$B,Summary!$C427)</f>
        <v>0</v>
      </c>
      <c r="S427" s="23"/>
      <c r="T427" s="76"/>
      <c r="AJ427" s="49"/>
      <c r="AK427" s="49"/>
      <c r="AL427" s="49"/>
      <c r="AM427" s="49"/>
      <c r="AN427" s="49"/>
      <c r="AO427" s="49"/>
      <c r="AP427" s="49"/>
      <c r="AQ427" s="49"/>
      <c r="AR427" s="49"/>
      <c r="AS427" s="49"/>
      <c r="AT427" s="49"/>
      <c r="AU427" s="49"/>
    </row>
    <row r="428" spans="1:47" s="12" customFormat="1" hidden="1" outlineLevel="1">
      <c r="A428" s="12">
        <f>IF(AND(F428&lt;&gt;"",D428=""),A427+1,A427)</f>
        <v>39</v>
      </c>
      <c r="C428">
        <f>$F427</f>
        <v>0</v>
      </c>
      <c r="D428" s="3" t="str">
        <f t="shared" si="459"/>
        <v>PAY_PAT_DAYS - Total Payor Patient Days</v>
      </c>
      <c r="F428" s="19" t="str">
        <f>_xll.EVDES(D428)</f>
        <v>Total Payor Patient Days</v>
      </c>
      <c r="G428" s="61">
        <f ca="1">SUMIFS(OFFSET('BPC Data'!$F:$F,0,Summary!G$2),'BPC Data'!$E:$E,Summary!$D428,'BPC Data'!$B:$B,Summary!$C428)</f>
        <v>0</v>
      </c>
      <c r="H428" s="65">
        <f ca="1">SUMIFS(OFFSET('BPC Data'!$F:$F,0,Summary!H$2),'BPC Data'!$E:$E,Summary!$D428,'BPC Data'!$B:$B,Summary!$C428)</f>
        <v>0</v>
      </c>
      <c r="I428" s="61">
        <f ca="1">SUMIFS(OFFSET('BPC Data'!$F:$F,0,Summary!I$2),'BPC Data'!$E:$E,Summary!$D428,'BPC Data'!$B:$B,Summary!$C428)</f>
        <v>0</v>
      </c>
      <c r="J428" s="65">
        <f ca="1">SUMIFS(OFFSET('BPC Data'!$F:$F,0,Summary!J$2),'BPC Data'!$E:$E,Summary!$D428,'BPC Data'!$B:$B,Summary!$C428)</f>
        <v>0</v>
      </c>
      <c r="K428" s="61">
        <f ca="1">SUMIFS(OFFSET('BPC Data'!$F:$F,0,Summary!K$2),'BPC Data'!$E:$E,Summary!$D428,'BPC Data'!$B:$B,Summary!$C428)</f>
        <v>0</v>
      </c>
      <c r="L428" s="65">
        <f ca="1">SUMIFS(OFFSET('BPC Data'!$F:$F,0,Summary!L$2),'BPC Data'!$E:$E,Summary!$D428,'BPC Data'!$B:$B,Summary!$C428)</f>
        <v>0</v>
      </c>
      <c r="M428" s="61">
        <f ca="1">SUMIFS(OFFSET('BPC Data'!$F:$F,0,Summary!M$2),'BPC Data'!$E:$E,Summary!$D428,'BPC Data'!$B:$B,Summary!$C428)</f>
        <v>0</v>
      </c>
      <c r="N428" s="65">
        <f ca="1">SUMIFS(OFFSET('BPC Data'!$F:$F,0,Summary!N$2),'BPC Data'!$E:$E,Summary!$D428,'BPC Data'!$B:$B,Summary!$C428)</f>
        <v>0</v>
      </c>
      <c r="O428" s="61">
        <f ca="1">SUMIFS(OFFSET('BPC Data'!$F:$F,0,Summary!O$2),'BPC Data'!$E:$E,Summary!$D428,'BPC Data'!$B:$B,Summary!$C428)</f>
        <v>0</v>
      </c>
      <c r="P428" s="65">
        <f ca="1">SUMIFS(OFFSET('BPC Data'!$F:$F,0,Summary!P$2),'BPC Data'!$E:$E,Summary!$D428,'BPC Data'!$B:$B,Summary!$C428)</f>
        <v>0</v>
      </c>
      <c r="Q428" s="61">
        <f ca="1">SUMIFS(OFFSET('BPC Data'!$F:$F,0,Summary!Q$2),'BPC Data'!$E:$E,Summary!$D428,'BPC Data'!$B:$B,Summary!$C428)</f>
        <v>0</v>
      </c>
      <c r="R428" s="65">
        <f ca="1">SUMIFS(OFFSET('BPC Data'!$F:$F,0,Summary!R$2),'BPC Data'!$E:$E,Summary!$D428,'BPC Data'!$B:$B,Summary!$C428)</f>
        <v>0</v>
      </c>
      <c r="S428" s="23"/>
      <c r="T428" s="76"/>
      <c r="AJ428" s="49"/>
      <c r="AK428" s="49"/>
      <c r="AL428" s="49"/>
      <c r="AM428" s="49"/>
      <c r="AN428" s="49"/>
      <c r="AO428" s="49"/>
      <c r="AP428" s="49"/>
      <c r="AQ428" s="49"/>
      <c r="AR428" s="49"/>
      <c r="AS428" s="49"/>
      <c r="AT428" s="49"/>
      <c r="AU428" s="49"/>
    </row>
    <row r="429" spans="1:47" s="12" customFormat="1" hidden="1" outlineLevel="1">
      <c r="A429" s="12">
        <f t="shared" ref="A429:A437" si="462">IF(AND(F429&lt;&gt;"",D429=""),A428+1,A428)</f>
        <v>39</v>
      </c>
      <c r="C429">
        <f>$F427</f>
        <v>0</v>
      </c>
      <c r="D429" s="3" t="str">
        <f t="shared" si="459"/>
        <v>A_BEDS_TOTAL - Total Available Beds</v>
      </c>
      <c r="F429" s="19" t="str">
        <f>_xll.EVDES(D429)</f>
        <v>Total Available Beds</v>
      </c>
      <c r="G429" s="61">
        <f ca="1">SUMIFS(OFFSET('BPC Data'!$F:$F,0,Summary!G$2),'BPC Data'!$E:$E,Summary!$D429,'BPC Data'!$B:$B,Summary!$C429)</f>
        <v>0</v>
      </c>
      <c r="H429" s="65">
        <f ca="1">SUMIFS(OFFSET('BPC Data'!$F:$F,0,Summary!H$2),'BPC Data'!$E:$E,Summary!$D429,'BPC Data'!$B:$B,Summary!$C429)</f>
        <v>0</v>
      </c>
      <c r="I429" s="61">
        <f ca="1">SUMIFS(OFFSET('BPC Data'!$F:$F,0,Summary!I$2),'BPC Data'!$E:$E,Summary!$D429,'BPC Data'!$B:$B,Summary!$C429)</f>
        <v>0</v>
      </c>
      <c r="J429" s="65">
        <f ca="1">SUMIFS(OFFSET('BPC Data'!$F:$F,0,Summary!J$2),'BPC Data'!$E:$E,Summary!$D429,'BPC Data'!$B:$B,Summary!$C429)</f>
        <v>0</v>
      </c>
      <c r="K429" s="61">
        <f ca="1">SUMIFS(OFFSET('BPC Data'!$F:$F,0,Summary!K$2),'BPC Data'!$E:$E,Summary!$D429,'BPC Data'!$B:$B,Summary!$C429)</f>
        <v>0</v>
      </c>
      <c r="L429" s="65">
        <f ca="1">SUMIFS(OFFSET('BPC Data'!$F:$F,0,Summary!L$2),'BPC Data'!$E:$E,Summary!$D429,'BPC Data'!$B:$B,Summary!$C429)</f>
        <v>0</v>
      </c>
      <c r="M429" s="61">
        <f ca="1">SUMIFS(OFFSET('BPC Data'!$F:$F,0,Summary!M$2),'BPC Data'!$E:$E,Summary!$D429,'BPC Data'!$B:$B,Summary!$C429)</f>
        <v>0</v>
      </c>
      <c r="N429" s="65">
        <f ca="1">SUMIFS(OFFSET('BPC Data'!$F:$F,0,Summary!N$2),'BPC Data'!$E:$E,Summary!$D429,'BPC Data'!$B:$B,Summary!$C429)</f>
        <v>0</v>
      </c>
      <c r="O429" s="61">
        <f ca="1">SUMIFS(OFFSET('BPC Data'!$F:$F,0,Summary!O$2),'BPC Data'!$E:$E,Summary!$D429,'BPC Data'!$B:$B,Summary!$C429)</f>
        <v>0</v>
      </c>
      <c r="P429" s="65">
        <f ca="1">SUMIFS(OFFSET('BPC Data'!$F:$F,0,Summary!P$2),'BPC Data'!$E:$E,Summary!$D429,'BPC Data'!$B:$B,Summary!$C429)</f>
        <v>0</v>
      </c>
      <c r="Q429" s="61">
        <f ca="1">SUMIFS(OFFSET('BPC Data'!$F:$F,0,Summary!Q$2),'BPC Data'!$E:$E,Summary!$D429,'BPC Data'!$B:$B,Summary!$C429)</f>
        <v>0</v>
      </c>
      <c r="R429" s="65">
        <f ca="1">SUMIFS(OFFSET('BPC Data'!$F:$F,0,Summary!R$2),'BPC Data'!$E:$E,Summary!$D429,'BPC Data'!$B:$B,Summary!$C429)</f>
        <v>0</v>
      </c>
      <c r="S429" s="23"/>
      <c r="T429" s="76"/>
      <c r="AJ429" s="49"/>
      <c r="AK429" s="49"/>
      <c r="AL429" s="49"/>
      <c r="AM429" s="49"/>
      <c r="AN429" s="49"/>
      <c r="AO429" s="49"/>
      <c r="AP429" s="49"/>
      <c r="AQ429" s="49"/>
      <c r="AR429" s="49"/>
      <c r="AS429" s="49"/>
      <c r="AT429" s="49"/>
      <c r="AU429" s="49"/>
    </row>
    <row r="430" spans="1:47" s="12" customFormat="1" hidden="1" outlineLevel="1">
      <c r="A430" s="12">
        <f t="shared" si="462"/>
        <v>39</v>
      </c>
      <c r="B430"/>
      <c r="C430">
        <f>$F427</f>
        <v>0</v>
      </c>
      <c r="D430" s="3" t="str">
        <f t="shared" si="459"/>
        <v>T_REVENUES - Total Tenant Revenues</v>
      </c>
      <c r="E430"/>
      <c r="F430" s="19" t="str">
        <f>_xll.EVDES(D430)</f>
        <v>Total Tenant Revenues</v>
      </c>
      <c r="G430" s="61">
        <f ca="1">SUMIFS(OFFSET('BPC Data'!$F:$F,0,Summary!G$2),'BPC Data'!$E:$E,Summary!$D430,'BPC Data'!$B:$B,Summary!$C430)</f>
        <v>0</v>
      </c>
      <c r="H430" s="65">
        <f ca="1">SUMIFS(OFFSET('BPC Data'!$F:$F,0,Summary!H$2),'BPC Data'!$E:$E,Summary!$D430,'BPC Data'!$B:$B,Summary!$C430)</f>
        <v>0</v>
      </c>
      <c r="I430" s="61">
        <f ca="1">SUMIFS(OFFSET('BPC Data'!$F:$F,0,Summary!I$2),'BPC Data'!$E:$E,Summary!$D430,'BPC Data'!$B:$B,Summary!$C430)</f>
        <v>0</v>
      </c>
      <c r="J430" s="65">
        <f ca="1">SUMIFS(OFFSET('BPC Data'!$F:$F,0,Summary!J$2),'BPC Data'!$E:$E,Summary!$D430,'BPC Data'!$B:$B,Summary!$C430)</f>
        <v>0</v>
      </c>
      <c r="K430" s="61">
        <f ca="1">SUMIFS(OFFSET('BPC Data'!$F:$F,0,Summary!K$2),'BPC Data'!$E:$E,Summary!$D430,'BPC Data'!$B:$B,Summary!$C430)</f>
        <v>0</v>
      </c>
      <c r="L430" s="65">
        <f ca="1">SUMIFS(OFFSET('BPC Data'!$F:$F,0,Summary!L$2),'BPC Data'!$E:$E,Summary!$D430,'BPC Data'!$B:$B,Summary!$C430)</f>
        <v>0</v>
      </c>
      <c r="M430" s="61">
        <f ca="1">SUMIFS(OFFSET('BPC Data'!$F:$F,0,Summary!M$2),'BPC Data'!$E:$E,Summary!$D430,'BPC Data'!$B:$B,Summary!$C430)</f>
        <v>0</v>
      </c>
      <c r="N430" s="65">
        <f ca="1">SUMIFS(OFFSET('BPC Data'!$F:$F,0,Summary!N$2),'BPC Data'!$E:$E,Summary!$D430,'BPC Data'!$B:$B,Summary!$C430)</f>
        <v>0</v>
      </c>
      <c r="O430" s="61">
        <f ca="1">SUMIFS(OFFSET('BPC Data'!$F:$F,0,Summary!O$2),'BPC Data'!$E:$E,Summary!$D430,'BPC Data'!$B:$B,Summary!$C430)</f>
        <v>0</v>
      </c>
      <c r="P430" s="65">
        <f ca="1">SUMIFS(OFFSET('BPC Data'!$F:$F,0,Summary!P$2),'BPC Data'!$E:$E,Summary!$D430,'BPC Data'!$B:$B,Summary!$C430)</f>
        <v>0</v>
      </c>
      <c r="Q430" s="61">
        <f ca="1">SUMIFS(OFFSET('BPC Data'!$F:$F,0,Summary!Q$2),'BPC Data'!$E:$E,Summary!$D430,'BPC Data'!$B:$B,Summary!$C430)</f>
        <v>0</v>
      </c>
      <c r="R430" s="65">
        <f ca="1">SUMIFS(OFFSET('BPC Data'!$F:$F,0,Summary!R$2),'BPC Data'!$E:$E,Summary!$D430,'BPC Data'!$B:$B,Summary!$C430)</f>
        <v>0</v>
      </c>
      <c r="S430" s="23"/>
      <c r="T430" s="76"/>
      <c r="AJ430" s="49"/>
      <c r="AK430" s="49"/>
      <c r="AL430" s="49"/>
      <c r="AM430" s="49"/>
      <c r="AN430" s="49"/>
      <c r="AO430" s="49"/>
      <c r="AP430" s="49"/>
      <c r="AQ430" s="49"/>
      <c r="AR430" s="49"/>
      <c r="AS430" s="49"/>
      <c r="AT430" s="49"/>
      <c r="AU430" s="49"/>
    </row>
    <row r="431" spans="1:47" s="12" customFormat="1" hidden="1" outlineLevel="1">
      <c r="A431" s="12">
        <f t="shared" si="462"/>
        <v>39</v>
      </c>
      <c r="B431"/>
      <c r="C431">
        <f>$F427</f>
        <v>0</v>
      </c>
      <c r="D431" s="3" t="str">
        <f t="shared" si="459"/>
        <v>T_OPEX - Tenant Operating Expenses</v>
      </c>
      <c r="E431"/>
      <c r="F431" s="19" t="str">
        <f>_xll.EVDES(D431)</f>
        <v>Tenant Operating Expenses</v>
      </c>
      <c r="G431" s="61">
        <f ca="1">SUMIFS(OFFSET('BPC Data'!$F:$F,0,Summary!G$2),'BPC Data'!$E:$E,Summary!$D431,'BPC Data'!$B:$B,Summary!$C431)</f>
        <v>0</v>
      </c>
      <c r="H431" s="65">
        <f ca="1">SUMIFS(OFFSET('BPC Data'!$F:$F,0,Summary!H$2),'BPC Data'!$E:$E,Summary!$D431,'BPC Data'!$B:$B,Summary!$C431)</f>
        <v>0</v>
      </c>
      <c r="I431" s="61">
        <f ca="1">SUMIFS(OFFSET('BPC Data'!$F:$F,0,Summary!I$2),'BPC Data'!$E:$E,Summary!$D431,'BPC Data'!$B:$B,Summary!$C431)</f>
        <v>0</v>
      </c>
      <c r="J431" s="65">
        <f ca="1">SUMIFS(OFFSET('BPC Data'!$F:$F,0,Summary!J$2),'BPC Data'!$E:$E,Summary!$D431,'BPC Data'!$B:$B,Summary!$C431)</f>
        <v>0</v>
      </c>
      <c r="K431" s="61">
        <f ca="1">SUMIFS(OFFSET('BPC Data'!$F:$F,0,Summary!K$2),'BPC Data'!$E:$E,Summary!$D431,'BPC Data'!$B:$B,Summary!$C431)</f>
        <v>0</v>
      </c>
      <c r="L431" s="65">
        <f ca="1">SUMIFS(OFFSET('BPC Data'!$F:$F,0,Summary!L$2),'BPC Data'!$E:$E,Summary!$D431,'BPC Data'!$B:$B,Summary!$C431)</f>
        <v>0</v>
      </c>
      <c r="M431" s="61">
        <f ca="1">SUMIFS(OFFSET('BPC Data'!$F:$F,0,Summary!M$2),'BPC Data'!$E:$E,Summary!$D431,'BPC Data'!$B:$B,Summary!$C431)</f>
        <v>0</v>
      </c>
      <c r="N431" s="65">
        <f ca="1">SUMIFS(OFFSET('BPC Data'!$F:$F,0,Summary!N$2),'BPC Data'!$E:$E,Summary!$D431,'BPC Data'!$B:$B,Summary!$C431)</f>
        <v>0</v>
      </c>
      <c r="O431" s="61">
        <f ca="1">SUMIFS(OFFSET('BPC Data'!$F:$F,0,Summary!O$2),'BPC Data'!$E:$E,Summary!$D431,'BPC Data'!$B:$B,Summary!$C431)</f>
        <v>0</v>
      </c>
      <c r="P431" s="65">
        <f ca="1">SUMIFS(OFFSET('BPC Data'!$F:$F,0,Summary!P$2),'BPC Data'!$E:$E,Summary!$D431,'BPC Data'!$B:$B,Summary!$C431)</f>
        <v>0</v>
      </c>
      <c r="Q431" s="61">
        <f ca="1">SUMIFS(OFFSET('BPC Data'!$F:$F,0,Summary!Q$2),'BPC Data'!$E:$E,Summary!$D431,'BPC Data'!$B:$B,Summary!$C431)</f>
        <v>0</v>
      </c>
      <c r="R431" s="65">
        <f ca="1">SUMIFS(OFFSET('BPC Data'!$F:$F,0,Summary!R$2),'BPC Data'!$E:$E,Summary!$D431,'BPC Data'!$B:$B,Summary!$C431)</f>
        <v>0</v>
      </c>
      <c r="S431" s="23"/>
      <c r="T431" s="76"/>
      <c r="AJ431" s="49"/>
      <c r="AK431" s="49"/>
      <c r="AL431" s="49"/>
      <c r="AM431" s="49"/>
      <c r="AN431" s="49"/>
      <c r="AO431" s="49"/>
      <c r="AP431" s="49"/>
      <c r="AQ431" s="49"/>
      <c r="AR431" s="49"/>
      <c r="AS431" s="49"/>
      <c r="AT431" s="49"/>
      <c r="AU431" s="49"/>
    </row>
    <row r="432" spans="1:47" s="12" customFormat="1" hidden="1" outlineLevel="1">
      <c r="A432" s="12">
        <f t="shared" si="462"/>
        <v>39</v>
      </c>
      <c r="B432"/>
      <c r="C432">
        <f>$F427</f>
        <v>0</v>
      </c>
      <c r="D432" s="3" t="str">
        <f t="shared" si="459"/>
        <v>T_BAD_DEBT - Tenant Bad Debt Expense</v>
      </c>
      <c r="E432"/>
      <c r="F432" s="19" t="str">
        <f>_xll.EVDES(D432)</f>
        <v>Tenant Bad Debt Expense</v>
      </c>
      <c r="G432" s="61">
        <f ca="1">SUMIFS(OFFSET('BPC Data'!$F:$F,0,Summary!G$2),'BPC Data'!$E:$E,Summary!$D432,'BPC Data'!$B:$B,Summary!$C432)</f>
        <v>0</v>
      </c>
      <c r="H432" s="65">
        <f ca="1">SUMIFS(OFFSET('BPC Data'!$F:$F,0,Summary!H$2),'BPC Data'!$E:$E,Summary!$D432,'BPC Data'!$B:$B,Summary!$C432)</f>
        <v>0</v>
      </c>
      <c r="I432" s="61">
        <f ca="1">SUMIFS(OFFSET('BPC Data'!$F:$F,0,Summary!I$2),'BPC Data'!$E:$E,Summary!$D432,'BPC Data'!$B:$B,Summary!$C432)</f>
        <v>0</v>
      </c>
      <c r="J432" s="65">
        <f ca="1">SUMIFS(OFFSET('BPC Data'!$F:$F,0,Summary!J$2),'BPC Data'!$E:$E,Summary!$D432,'BPC Data'!$B:$B,Summary!$C432)</f>
        <v>0</v>
      </c>
      <c r="K432" s="61">
        <f ca="1">SUMIFS(OFFSET('BPC Data'!$F:$F,0,Summary!K$2),'BPC Data'!$E:$E,Summary!$D432,'BPC Data'!$B:$B,Summary!$C432)</f>
        <v>0</v>
      </c>
      <c r="L432" s="65">
        <f ca="1">SUMIFS(OFFSET('BPC Data'!$F:$F,0,Summary!L$2),'BPC Data'!$E:$E,Summary!$D432,'BPC Data'!$B:$B,Summary!$C432)</f>
        <v>0</v>
      </c>
      <c r="M432" s="61">
        <f ca="1">SUMIFS(OFFSET('BPC Data'!$F:$F,0,Summary!M$2),'BPC Data'!$E:$E,Summary!$D432,'BPC Data'!$B:$B,Summary!$C432)</f>
        <v>0</v>
      </c>
      <c r="N432" s="65">
        <f ca="1">SUMIFS(OFFSET('BPC Data'!$F:$F,0,Summary!N$2),'BPC Data'!$E:$E,Summary!$D432,'BPC Data'!$B:$B,Summary!$C432)</f>
        <v>0</v>
      </c>
      <c r="O432" s="61">
        <f ca="1">SUMIFS(OFFSET('BPC Data'!$F:$F,0,Summary!O$2),'BPC Data'!$E:$E,Summary!$D432,'BPC Data'!$B:$B,Summary!$C432)</f>
        <v>0</v>
      </c>
      <c r="P432" s="65">
        <f ca="1">SUMIFS(OFFSET('BPC Data'!$F:$F,0,Summary!P$2),'BPC Data'!$E:$E,Summary!$D432,'BPC Data'!$B:$B,Summary!$C432)</f>
        <v>0</v>
      </c>
      <c r="Q432" s="61">
        <f ca="1">SUMIFS(OFFSET('BPC Data'!$F:$F,0,Summary!Q$2),'BPC Data'!$E:$E,Summary!$D432,'BPC Data'!$B:$B,Summary!$C432)</f>
        <v>0</v>
      </c>
      <c r="R432" s="65">
        <f ca="1">SUMIFS(OFFSET('BPC Data'!$F:$F,0,Summary!R$2),'BPC Data'!$E:$E,Summary!$D432,'BPC Data'!$B:$B,Summary!$C432)</f>
        <v>0</v>
      </c>
      <c r="S432" s="23"/>
      <c r="T432" s="76"/>
      <c r="AJ432" s="49"/>
      <c r="AK432" s="49"/>
      <c r="AL432" s="49"/>
      <c r="AM432" s="49"/>
      <c r="AN432" s="49"/>
      <c r="AO432" s="49"/>
      <c r="AP432" s="49"/>
      <c r="AQ432" s="49"/>
      <c r="AR432" s="49"/>
      <c r="AS432" s="49"/>
      <c r="AT432" s="49"/>
      <c r="AU432" s="49"/>
    </row>
    <row r="433" spans="1:47" s="12" customFormat="1" hidden="1" outlineLevel="1">
      <c r="A433" s="12">
        <f t="shared" si="462"/>
        <v>39</v>
      </c>
      <c r="B433"/>
      <c r="C433">
        <f>$F427</f>
        <v>0</v>
      </c>
      <c r="D433" s="2" t="str">
        <f t="shared" si="459"/>
        <v>T_EBITDARM - EBITDARM</v>
      </c>
      <c r="E433"/>
      <c r="F433" s="19" t="str">
        <f>_xll.EVDES(D433)</f>
        <v>EBITDARM</v>
      </c>
      <c r="G433" s="61">
        <f ca="1">SUMIFS(OFFSET('BPC Data'!$F:$F,0,Summary!G$2),'BPC Data'!$E:$E,Summary!$D433,'BPC Data'!$B:$B,Summary!$C433)</f>
        <v>0</v>
      </c>
      <c r="H433" s="65">
        <f ca="1">SUMIFS(OFFSET('BPC Data'!$F:$F,0,Summary!H$2),'BPC Data'!$E:$E,Summary!$D433,'BPC Data'!$B:$B,Summary!$C433)</f>
        <v>0</v>
      </c>
      <c r="I433" s="61">
        <f ca="1">SUMIFS(OFFSET('BPC Data'!$F:$F,0,Summary!I$2),'BPC Data'!$E:$E,Summary!$D433,'BPC Data'!$B:$B,Summary!$C433)</f>
        <v>0</v>
      </c>
      <c r="J433" s="65">
        <f ca="1">SUMIFS(OFFSET('BPC Data'!$F:$F,0,Summary!J$2),'BPC Data'!$E:$E,Summary!$D433,'BPC Data'!$B:$B,Summary!$C433)</f>
        <v>0</v>
      </c>
      <c r="K433" s="61">
        <f ca="1">SUMIFS(OFFSET('BPC Data'!$F:$F,0,Summary!K$2),'BPC Data'!$E:$E,Summary!$D433,'BPC Data'!$B:$B,Summary!$C433)</f>
        <v>0</v>
      </c>
      <c r="L433" s="65">
        <f ca="1">SUMIFS(OFFSET('BPC Data'!$F:$F,0,Summary!L$2),'BPC Data'!$E:$E,Summary!$D433,'BPC Data'!$B:$B,Summary!$C433)</f>
        <v>0</v>
      </c>
      <c r="M433" s="61">
        <f ca="1">SUMIFS(OFFSET('BPC Data'!$F:$F,0,Summary!M$2),'BPC Data'!$E:$E,Summary!$D433,'BPC Data'!$B:$B,Summary!$C433)</f>
        <v>0</v>
      </c>
      <c r="N433" s="65">
        <f ca="1">SUMIFS(OFFSET('BPC Data'!$F:$F,0,Summary!N$2),'BPC Data'!$E:$E,Summary!$D433,'BPC Data'!$B:$B,Summary!$C433)</f>
        <v>0</v>
      </c>
      <c r="O433" s="61">
        <f ca="1">SUMIFS(OFFSET('BPC Data'!$F:$F,0,Summary!O$2),'BPC Data'!$E:$E,Summary!$D433,'BPC Data'!$B:$B,Summary!$C433)</f>
        <v>0</v>
      </c>
      <c r="P433" s="65">
        <f ca="1">SUMIFS(OFFSET('BPC Data'!$F:$F,0,Summary!P$2),'BPC Data'!$E:$E,Summary!$D433,'BPC Data'!$B:$B,Summary!$C433)</f>
        <v>0</v>
      </c>
      <c r="Q433" s="61">
        <f ca="1">SUMIFS(OFFSET('BPC Data'!$F:$F,0,Summary!Q$2),'BPC Data'!$E:$E,Summary!$D433,'BPC Data'!$B:$B,Summary!$C433)</f>
        <v>0</v>
      </c>
      <c r="R433" s="65">
        <f ca="1">SUMIFS(OFFSET('BPC Data'!$F:$F,0,Summary!R$2),'BPC Data'!$E:$E,Summary!$D433,'BPC Data'!$B:$B,Summary!$C433)</f>
        <v>0</v>
      </c>
      <c r="S433" s="23"/>
      <c r="T433" s="76"/>
      <c r="AJ433" s="49"/>
      <c r="AK433" s="49"/>
      <c r="AL433" s="49"/>
      <c r="AM433" s="49"/>
      <c r="AN433" s="49"/>
      <c r="AO433" s="49"/>
      <c r="AP433" s="49"/>
      <c r="AQ433" s="49"/>
      <c r="AR433" s="49"/>
      <c r="AS433" s="49"/>
      <c r="AT433" s="49"/>
      <c r="AU433" s="49"/>
    </row>
    <row r="434" spans="1:47" s="12" customFormat="1" hidden="1" outlineLevel="1">
      <c r="A434" s="12">
        <f t="shared" si="462"/>
        <v>39</v>
      </c>
      <c r="B434"/>
      <c r="C434">
        <f>$F427</f>
        <v>0</v>
      </c>
      <c r="D434" s="2" t="str">
        <f t="shared" si="459"/>
        <v>T_MGMT_FEE - Tenant Management Fee - Actual</v>
      </c>
      <c r="E434"/>
      <c r="F434" s="19" t="str">
        <f>_xll.EVDES(D434)</f>
        <v>Tenant Management Fee - Actual</v>
      </c>
      <c r="G434" s="61">
        <f ca="1">SUMIFS(OFFSET('BPC Data'!$F:$F,0,Summary!G$2),'BPC Data'!$E:$E,Summary!$D434,'BPC Data'!$B:$B,Summary!$C434)</f>
        <v>0</v>
      </c>
      <c r="H434" s="65">
        <f ca="1">SUMIFS(OFFSET('BPC Data'!$F:$F,0,Summary!H$2),'BPC Data'!$E:$E,Summary!$D434,'BPC Data'!$B:$B,Summary!$C434)</f>
        <v>0</v>
      </c>
      <c r="I434" s="61">
        <f ca="1">SUMIFS(OFFSET('BPC Data'!$F:$F,0,Summary!I$2),'BPC Data'!$E:$E,Summary!$D434,'BPC Data'!$B:$B,Summary!$C434)</f>
        <v>0</v>
      </c>
      <c r="J434" s="65">
        <f ca="1">SUMIFS(OFFSET('BPC Data'!$F:$F,0,Summary!J$2),'BPC Data'!$E:$E,Summary!$D434,'BPC Data'!$B:$B,Summary!$C434)</f>
        <v>0</v>
      </c>
      <c r="K434" s="61">
        <f ca="1">SUMIFS(OFFSET('BPC Data'!$F:$F,0,Summary!K$2),'BPC Data'!$E:$E,Summary!$D434,'BPC Data'!$B:$B,Summary!$C434)</f>
        <v>0</v>
      </c>
      <c r="L434" s="65">
        <f ca="1">SUMIFS(OFFSET('BPC Data'!$F:$F,0,Summary!L$2),'BPC Data'!$E:$E,Summary!$D434,'BPC Data'!$B:$B,Summary!$C434)</f>
        <v>0</v>
      </c>
      <c r="M434" s="61">
        <f ca="1">SUMIFS(OFFSET('BPC Data'!$F:$F,0,Summary!M$2),'BPC Data'!$E:$E,Summary!$D434,'BPC Data'!$B:$B,Summary!$C434)</f>
        <v>0</v>
      </c>
      <c r="N434" s="65">
        <f ca="1">SUMIFS(OFFSET('BPC Data'!$F:$F,0,Summary!N$2),'BPC Data'!$E:$E,Summary!$D434,'BPC Data'!$B:$B,Summary!$C434)</f>
        <v>0</v>
      </c>
      <c r="O434" s="61">
        <f ca="1">SUMIFS(OFFSET('BPC Data'!$F:$F,0,Summary!O$2),'BPC Data'!$E:$E,Summary!$D434,'BPC Data'!$B:$B,Summary!$C434)</f>
        <v>0</v>
      </c>
      <c r="P434" s="65">
        <f ca="1">SUMIFS(OFFSET('BPC Data'!$F:$F,0,Summary!P$2),'BPC Data'!$E:$E,Summary!$D434,'BPC Data'!$B:$B,Summary!$C434)</f>
        <v>0</v>
      </c>
      <c r="Q434" s="61">
        <f ca="1">SUMIFS(OFFSET('BPC Data'!$F:$F,0,Summary!Q$2),'BPC Data'!$E:$E,Summary!$D434,'BPC Data'!$B:$B,Summary!$C434)</f>
        <v>0</v>
      </c>
      <c r="R434" s="65">
        <f ca="1">SUMIFS(OFFSET('BPC Data'!$F:$F,0,Summary!R$2),'BPC Data'!$E:$E,Summary!$D434,'BPC Data'!$B:$B,Summary!$C434)</f>
        <v>0</v>
      </c>
      <c r="S434" s="23"/>
      <c r="T434" s="76"/>
      <c r="AJ434" s="49"/>
      <c r="AK434" s="49"/>
      <c r="AL434" s="49"/>
      <c r="AM434" s="49"/>
      <c r="AN434" s="49"/>
      <c r="AO434" s="49"/>
      <c r="AP434" s="49"/>
      <c r="AQ434" s="49"/>
      <c r="AR434" s="49"/>
      <c r="AS434" s="49"/>
      <c r="AT434" s="49"/>
      <c r="AU434" s="49"/>
    </row>
    <row r="435" spans="1:47" s="12" customFormat="1" hidden="1" outlineLevel="1">
      <c r="A435" s="12">
        <f t="shared" si="462"/>
        <v>39</v>
      </c>
      <c r="B435"/>
      <c r="C435">
        <f>$F427</f>
        <v>0</v>
      </c>
      <c r="D435" s="1" t="str">
        <f t="shared" si="459"/>
        <v>T_EBITDAR - EBITDAR</v>
      </c>
      <c r="E435"/>
      <c r="F435" s="19" t="str">
        <f>_xll.EVDES(D435)</f>
        <v>EBITDAR</v>
      </c>
      <c r="G435" s="61">
        <f ca="1">SUMIFS(OFFSET('BPC Data'!$F:$F,0,Summary!G$2),'BPC Data'!$E:$E,Summary!$D435,'BPC Data'!$B:$B,Summary!$C435)</f>
        <v>0</v>
      </c>
      <c r="H435" s="65">
        <f ca="1">SUMIFS(OFFSET('BPC Data'!$F:$F,0,Summary!H$2),'BPC Data'!$E:$E,Summary!$D435,'BPC Data'!$B:$B,Summary!$C435)</f>
        <v>0</v>
      </c>
      <c r="I435" s="61">
        <f ca="1">SUMIFS(OFFSET('BPC Data'!$F:$F,0,Summary!I$2),'BPC Data'!$E:$E,Summary!$D435,'BPC Data'!$B:$B,Summary!$C435)</f>
        <v>0</v>
      </c>
      <c r="J435" s="65">
        <f ca="1">SUMIFS(OFFSET('BPC Data'!$F:$F,0,Summary!J$2),'BPC Data'!$E:$E,Summary!$D435,'BPC Data'!$B:$B,Summary!$C435)</f>
        <v>0</v>
      </c>
      <c r="K435" s="61">
        <f ca="1">SUMIFS(OFFSET('BPC Data'!$F:$F,0,Summary!K$2),'BPC Data'!$E:$E,Summary!$D435,'BPC Data'!$B:$B,Summary!$C435)</f>
        <v>0</v>
      </c>
      <c r="L435" s="65">
        <f ca="1">SUMIFS(OFFSET('BPC Data'!$F:$F,0,Summary!L$2),'BPC Data'!$E:$E,Summary!$D435,'BPC Data'!$B:$B,Summary!$C435)</f>
        <v>0</v>
      </c>
      <c r="M435" s="61">
        <f ca="1">SUMIFS(OFFSET('BPC Data'!$F:$F,0,Summary!M$2),'BPC Data'!$E:$E,Summary!$D435,'BPC Data'!$B:$B,Summary!$C435)</f>
        <v>0</v>
      </c>
      <c r="N435" s="65">
        <f ca="1">SUMIFS(OFFSET('BPC Data'!$F:$F,0,Summary!N$2),'BPC Data'!$E:$E,Summary!$D435,'BPC Data'!$B:$B,Summary!$C435)</f>
        <v>0</v>
      </c>
      <c r="O435" s="61">
        <f ca="1">SUMIFS(OFFSET('BPC Data'!$F:$F,0,Summary!O$2),'BPC Data'!$E:$E,Summary!$D435,'BPC Data'!$B:$B,Summary!$C435)</f>
        <v>0</v>
      </c>
      <c r="P435" s="65">
        <f ca="1">SUMIFS(OFFSET('BPC Data'!$F:$F,0,Summary!P$2),'BPC Data'!$E:$E,Summary!$D435,'BPC Data'!$B:$B,Summary!$C435)</f>
        <v>0</v>
      </c>
      <c r="Q435" s="61">
        <f ca="1">SUMIFS(OFFSET('BPC Data'!$F:$F,0,Summary!Q$2),'BPC Data'!$E:$E,Summary!$D435,'BPC Data'!$B:$B,Summary!$C435)</f>
        <v>0</v>
      </c>
      <c r="R435" s="65">
        <f ca="1">SUMIFS(OFFSET('BPC Data'!$F:$F,0,Summary!R$2),'BPC Data'!$E:$E,Summary!$D435,'BPC Data'!$B:$B,Summary!$C435)</f>
        <v>0</v>
      </c>
      <c r="S435" s="23"/>
      <c r="T435" s="76"/>
      <c r="AJ435" s="49"/>
      <c r="AK435" s="49"/>
      <c r="AL435" s="49"/>
      <c r="AM435" s="49"/>
      <c r="AN435" s="49"/>
      <c r="AO435" s="49"/>
      <c r="AP435" s="49"/>
      <c r="AQ435" s="49"/>
      <c r="AR435" s="49"/>
      <c r="AS435" s="49"/>
      <c r="AT435" s="49"/>
      <c r="AU435" s="49"/>
    </row>
    <row r="436" spans="1:47" s="12" customFormat="1" hidden="1" outlineLevel="1">
      <c r="A436" s="12">
        <f t="shared" si="462"/>
        <v>39</v>
      </c>
      <c r="B436"/>
      <c r="C436">
        <f>$F427</f>
        <v>0</v>
      </c>
      <c r="D436" s="1" t="str">
        <f t="shared" si="459"/>
        <v>T_RENT_EXP - Tenant Rent Expense</v>
      </c>
      <c r="E436"/>
      <c r="F436" s="19" t="str">
        <f>_xll.EVDES(D436)</f>
        <v>Tenant Rent Expense</v>
      </c>
      <c r="G436" s="61">
        <f ca="1">SUMIFS(OFFSET('BPC Data'!$F:$F,0,Summary!G$2),'BPC Data'!$E:$E,Summary!$D436,'BPC Data'!$B:$B,Summary!$C436)</f>
        <v>0</v>
      </c>
      <c r="H436" s="65">
        <f ca="1">SUMIFS(OFFSET('BPC Data'!$F:$F,0,Summary!H$2),'BPC Data'!$E:$E,Summary!$D436,'BPC Data'!$B:$B,Summary!$C436)</f>
        <v>0</v>
      </c>
      <c r="I436" s="61">
        <f ca="1">SUMIFS(OFFSET('BPC Data'!$F:$F,0,Summary!I$2),'BPC Data'!$E:$E,Summary!$D436,'BPC Data'!$B:$B,Summary!$C436)</f>
        <v>0</v>
      </c>
      <c r="J436" s="65">
        <f ca="1">SUMIFS(OFFSET('BPC Data'!$F:$F,0,Summary!J$2),'BPC Data'!$E:$E,Summary!$D436,'BPC Data'!$B:$B,Summary!$C436)</f>
        <v>0</v>
      </c>
      <c r="K436" s="61">
        <f ca="1">SUMIFS(OFFSET('BPC Data'!$F:$F,0,Summary!K$2),'BPC Data'!$E:$E,Summary!$D436,'BPC Data'!$B:$B,Summary!$C436)</f>
        <v>0</v>
      </c>
      <c r="L436" s="65">
        <f ca="1">SUMIFS(OFFSET('BPC Data'!$F:$F,0,Summary!L$2),'BPC Data'!$E:$E,Summary!$D436,'BPC Data'!$B:$B,Summary!$C436)</f>
        <v>0</v>
      </c>
      <c r="M436" s="61">
        <f ca="1">SUMIFS(OFFSET('BPC Data'!$F:$F,0,Summary!M$2),'BPC Data'!$E:$E,Summary!$D436,'BPC Data'!$B:$B,Summary!$C436)</f>
        <v>0</v>
      </c>
      <c r="N436" s="65">
        <f ca="1">SUMIFS(OFFSET('BPC Data'!$F:$F,0,Summary!N$2),'BPC Data'!$E:$E,Summary!$D436,'BPC Data'!$B:$B,Summary!$C436)</f>
        <v>0</v>
      </c>
      <c r="O436" s="61">
        <f ca="1">SUMIFS(OFFSET('BPC Data'!$F:$F,0,Summary!O$2),'BPC Data'!$E:$E,Summary!$D436,'BPC Data'!$B:$B,Summary!$C436)</f>
        <v>0</v>
      </c>
      <c r="P436" s="65">
        <f ca="1">SUMIFS(OFFSET('BPC Data'!$F:$F,0,Summary!P$2),'BPC Data'!$E:$E,Summary!$D436,'BPC Data'!$B:$B,Summary!$C436)</f>
        <v>0</v>
      </c>
      <c r="Q436" s="61">
        <f ca="1">SUMIFS(OFFSET('BPC Data'!$F:$F,0,Summary!Q$2),'BPC Data'!$E:$E,Summary!$D436,'BPC Data'!$B:$B,Summary!$C436)</f>
        <v>0</v>
      </c>
      <c r="R436" s="65">
        <f ca="1">SUMIFS(OFFSET('BPC Data'!$F:$F,0,Summary!R$2),'BPC Data'!$E:$E,Summary!$D436,'BPC Data'!$B:$B,Summary!$C436)</f>
        <v>0</v>
      </c>
      <c r="S436" s="23"/>
      <c r="T436" s="76"/>
      <c r="AJ436" s="49"/>
      <c r="AK436" s="49"/>
      <c r="AL436" s="49"/>
      <c r="AM436" s="49"/>
      <c r="AN436" s="49"/>
      <c r="AO436" s="49"/>
      <c r="AP436" s="49"/>
      <c r="AQ436" s="49"/>
      <c r="AR436" s="49"/>
      <c r="AS436" s="49"/>
      <c r="AT436" s="49"/>
      <c r="AU436" s="49"/>
    </row>
    <row r="437" spans="1:47" s="12" customFormat="1" hidden="1" outlineLevel="1">
      <c r="A437" s="12">
        <f t="shared" si="462"/>
        <v>39</v>
      </c>
      <c r="B437"/>
      <c r="C437"/>
      <c r="D437" s="1" t="str">
        <f t="shared" si="459"/>
        <v>x</v>
      </c>
      <c r="E437"/>
      <c r="F437" s="19" t="s">
        <v>0</v>
      </c>
      <c r="G437" s="61">
        <f ca="1">SUMIFS(OFFSET('BPC Data'!$F:$F,0,Summary!G$2),'BPC Data'!$E:$E,Summary!$D437,'BPC Data'!$B:$B,Summary!$C437)</f>
        <v>0</v>
      </c>
      <c r="H437" s="65">
        <f ca="1">SUMIFS(OFFSET('BPC Data'!$F:$F,0,Summary!H$2),'BPC Data'!$E:$E,Summary!$D437,'BPC Data'!$B:$B,Summary!$C437)</f>
        <v>0</v>
      </c>
      <c r="I437" s="61">
        <f ca="1">SUMIFS(OFFSET('BPC Data'!$F:$F,0,Summary!I$2),'BPC Data'!$E:$E,Summary!$D437,'BPC Data'!$B:$B,Summary!$C437)</f>
        <v>0</v>
      </c>
      <c r="J437" s="65">
        <f ca="1">SUMIFS(OFFSET('BPC Data'!$F:$F,0,Summary!J$2),'BPC Data'!$E:$E,Summary!$D437,'BPC Data'!$B:$B,Summary!$C437)</f>
        <v>0</v>
      </c>
      <c r="K437" s="61">
        <f ca="1">SUMIFS(OFFSET('BPC Data'!$F:$F,0,Summary!K$2),'BPC Data'!$E:$E,Summary!$D437,'BPC Data'!$B:$B,Summary!$C437)</f>
        <v>0</v>
      </c>
      <c r="L437" s="65">
        <f ca="1">SUMIFS(OFFSET('BPC Data'!$F:$F,0,Summary!L$2),'BPC Data'!$E:$E,Summary!$D437,'BPC Data'!$B:$B,Summary!$C437)</f>
        <v>0</v>
      </c>
      <c r="M437" s="61">
        <f ca="1">SUMIFS(OFFSET('BPC Data'!$F:$F,0,Summary!M$2),'BPC Data'!$E:$E,Summary!$D437,'BPC Data'!$B:$B,Summary!$C437)</f>
        <v>0</v>
      </c>
      <c r="N437" s="65">
        <f ca="1">SUMIFS(OFFSET('BPC Data'!$F:$F,0,Summary!N$2),'BPC Data'!$E:$E,Summary!$D437,'BPC Data'!$B:$B,Summary!$C437)</f>
        <v>0</v>
      </c>
      <c r="O437" s="61">
        <f ca="1">SUMIFS(OFFSET('BPC Data'!$F:$F,0,Summary!O$2),'BPC Data'!$E:$E,Summary!$D437,'BPC Data'!$B:$B,Summary!$C437)</f>
        <v>0</v>
      </c>
      <c r="P437" s="65">
        <f ca="1">SUMIFS(OFFSET('BPC Data'!$F:$F,0,Summary!P$2),'BPC Data'!$E:$E,Summary!$D437,'BPC Data'!$B:$B,Summary!$C437)</f>
        <v>0</v>
      </c>
      <c r="Q437" s="61">
        <f ca="1">SUMIFS(OFFSET('BPC Data'!$F:$F,0,Summary!Q$2),'BPC Data'!$E:$E,Summary!$D437,'BPC Data'!$B:$B,Summary!$C437)</f>
        <v>0</v>
      </c>
      <c r="R437" s="65">
        <f ca="1">SUMIFS(OFFSET('BPC Data'!$F:$F,0,Summary!R$2),'BPC Data'!$E:$E,Summary!$D437,'BPC Data'!$B:$B,Summary!$C437)</f>
        <v>0</v>
      </c>
      <c r="S437" s="23"/>
      <c r="T437" s="76"/>
      <c r="AJ437" s="49"/>
      <c r="AK437" s="49"/>
      <c r="AL437" s="49"/>
      <c r="AM437" s="49"/>
      <c r="AN437" s="49"/>
      <c r="AO437" s="49"/>
      <c r="AP437" s="49"/>
      <c r="AQ437" s="49"/>
      <c r="AR437" s="49"/>
      <c r="AS437" s="49"/>
      <c r="AT437" s="49"/>
      <c r="AU437" s="49"/>
    </row>
    <row r="438" spans="1:47" s="12" customFormat="1" hidden="1" outlineLevel="1">
      <c r="A438" s="12">
        <f>IF(AND(D438&lt;&gt;"",C438=""),A437+1,A437)</f>
        <v>40</v>
      </c>
      <c r="B438" s="5"/>
      <c r="C438" s="5"/>
      <c r="D438" s="5" t="str">
        <f t="shared" si="459"/>
        <v>x</v>
      </c>
      <c r="E438" s="5"/>
      <c r="F438" s="18">
        <f>INDEX(PropertyList!$D:$D,MATCH(Summary!$A438,PropertyList!$C:$C,0))</f>
        <v>0</v>
      </c>
      <c r="G438" s="61">
        <f ca="1">SUMIFS(OFFSET('BPC Data'!$F:$F,0,Summary!G$2),'BPC Data'!$E:$E,Summary!$D438,'BPC Data'!$B:$B,Summary!$C438)</f>
        <v>0</v>
      </c>
      <c r="H438" s="65">
        <f ca="1">SUMIFS(OFFSET('BPC Data'!$F:$F,0,Summary!H$2),'BPC Data'!$E:$E,Summary!$D438,'BPC Data'!$B:$B,Summary!$C438)</f>
        <v>0</v>
      </c>
      <c r="I438" s="61">
        <f ca="1">SUMIFS(OFFSET('BPC Data'!$F:$F,0,Summary!I$2),'BPC Data'!$E:$E,Summary!$D438,'BPC Data'!$B:$B,Summary!$C438)</f>
        <v>0</v>
      </c>
      <c r="J438" s="65">
        <f ca="1">SUMIFS(OFFSET('BPC Data'!$F:$F,0,Summary!J$2),'BPC Data'!$E:$E,Summary!$D438,'BPC Data'!$B:$B,Summary!$C438)</f>
        <v>0</v>
      </c>
      <c r="K438" s="61">
        <f ca="1">SUMIFS(OFFSET('BPC Data'!$F:$F,0,Summary!K$2),'BPC Data'!$E:$E,Summary!$D438,'BPC Data'!$B:$B,Summary!$C438)</f>
        <v>0</v>
      </c>
      <c r="L438" s="65">
        <f ca="1">SUMIFS(OFFSET('BPC Data'!$F:$F,0,Summary!L$2),'BPC Data'!$E:$E,Summary!$D438,'BPC Data'!$B:$B,Summary!$C438)</f>
        <v>0</v>
      </c>
      <c r="M438" s="61">
        <f ca="1">SUMIFS(OFFSET('BPC Data'!$F:$F,0,Summary!M$2),'BPC Data'!$E:$E,Summary!$D438,'BPC Data'!$B:$B,Summary!$C438)</f>
        <v>0</v>
      </c>
      <c r="N438" s="65">
        <f ca="1">SUMIFS(OFFSET('BPC Data'!$F:$F,0,Summary!N$2),'BPC Data'!$E:$E,Summary!$D438,'BPC Data'!$B:$B,Summary!$C438)</f>
        <v>0</v>
      </c>
      <c r="O438" s="61">
        <f ca="1">SUMIFS(OFFSET('BPC Data'!$F:$F,0,Summary!O$2),'BPC Data'!$E:$E,Summary!$D438,'BPC Data'!$B:$B,Summary!$C438)</f>
        <v>0</v>
      </c>
      <c r="P438" s="65">
        <f ca="1">SUMIFS(OFFSET('BPC Data'!$F:$F,0,Summary!P$2),'BPC Data'!$E:$E,Summary!$D438,'BPC Data'!$B:$B,Summary!$C438)</f>
        <v>0</v>
      </c>
      <c r="Q438" s="61">
        <f ca="1">SUMIFS(OFFSET('BPC Data'!$F:$F,0,Summary!Q$2),'BPC Data'!$E:$E,Summary!$D438,'BPC Data'!$B:$B,Summary!$C438)</f>
        <v>0</v>
      </c>
      <c r="R438" s="65">
        <f ca="1">SUMIFS(OFFSET('BPC Data'!$F:$F,0,Summary!R$2),'BPC Data'!$E:$E,Summary!$D438,'BPC Data'!$B:$B,Summary!$C438)</f>
        <v>0</v>
      </c>
      <c r="S438" s="23"/>
      <c r="T438" s="76"/>
      <c r="AJ438" s="49"/>
      <c r="AK438" s="49"/>
      <c r="AL438" s="49"/>
      <c r="AM438" s="49"/>
      <c r="AN438" s="49"/>
      <c r="AO438" s="49"/>
      <c r="AP438" s="49"/>
      <c r="AQ438" s="49"/>
      <c r="AR438" s="49"/>
      <c r="AS438" s="49"/>
      <c r="AT438" s="49"/>
      <c r="AU438" s="49"/>
    </row>
    <row r="439" spans="1:47" s="12" customFormat="1" hidden="1" outlineLevel="1">
      <c r="A439" s="12">
        <f>IF(AND(F439&lt;&gt;"",D439=""),A438+1,A438)</f>
        <v>40</v>
      </c>
      <c r="C439">
        <f>$F438</f>
        <v>0</v>
      </c>
      <c r="D439" s="3" t="str">
        <f t="shared" si="459"/>
        <v>PAY_PAT_DAYS - Total Payor Patient Days</v>
      </c>
      <c r="F439" s="19" t="str">
        <f>_xll.EVDES(D439)</f>
        <v>Total Payor Patient Days</v>
      </c>
      <c r="G439" s="61">
        <f ca="1">SUMIFS(OFFSET('BPC Data'!$F:$F,0,Summary!G$2),'BPC Data'!$E:$E,Summary!$D439,'BPC Data'!$B:$B,Summary!$C439)</f>
        <v>0</v>
      </c>
      <c r="H439" s="65">
        <f ca="1">SUMIFS(OFFSET('BPC Data'!$F:$F,0,Summary!H$2),'BPC Data'!$E:$E,Summary!$D439,'BPC Data'!$B:$B,Summary!$C439)</f>
        <v>0</v>
      </c>
      <c r="I439" s="61">
        <f ca="1">SUMIFS(OFFSET('BPC Data'!$F:$F,0,Summary!I$2),'BPC Data'!$E:$E,Summary!$D439,'BPC Data'!$B:$B,Summary!$C439)</f>
        <v>0</v>
      </c>
      <c r="J439" s="65">
        <f ca="1">SUMIFS(OFFSET('BPC Data'!$F:$F,0,Summary!J$2),'BPC Data'!$E:$E,Summary!$D439,'BPC Data'!$B:$B,Summary!$C439)</f>
        <v>0</v>
      </c>
      <c r="K439" s="61">
        <f ca="1">SUMIFS(OFFSET('BPC Data'!$F:$F,0,Summary!K$2),'BPC Data'!$E:$E,Summary!$D439,'BPC Data'!$B:$B,Summary!$C439)</f>
        <v>0</v>
      </c>
      <c r="L439" s="65">
        <f ca="1">SUMIFS(OFFSET('BPC Data'!$F:$F,0,Summary!L$2),'BPC Data'!$E:$E,Summary!$D439,'BPC Data'!$B:$B,Summary!$C439)</f>
        <v>0</v>
      </c>
      <c r="M439" s="61">
        <f ca="1">SUMIFS(OFFSET('BPC Data'!$F:$F,0,Summary!M$2),'BPC Data'!$E:$E,Summary!$D439,'BPC Data'!$B:$B,Summary!$C439)</f>
        <v>0</v>
      </c>
      <c r="N439" s="65">
        <f ca="1">SUMIFS(OFFSET('BPC Data'!$F:$F,0,Summary!N$2),'BPC Data'!$E:$E,Summary!$D439,'BPC Data'!$B:$B,Summary!$C439)</f>
        <v>0</v>
      </c>
      <c r="O439" s="61">
        <f ca="1">SUMIFS(OFFSET('BPC Data'!$F:$F,0,Summary!O$2),'BPC Data'!$E:$E,Summary!$D439,'BPC Data'!$B:$B,Summary!$C439)</f>
        <v>0</v>
      </c>
      <c r="P439" s="65">
        <f ca="1">SUMIFS(OFFSET('BPC Data'!$F:$F,0,Summary!P$2),'BPC Data'!$E:$E,Summary!$D439,'BPC Data'!$B:$B,Summary!$C439)</f>
        <v>0</v>
      </c>
      <c r="Q439" s="61">
        <f ca="1">SUMIFS(OFFSET('BPC Data'!$F:$F,0,Summary!Q$2),'BPC Data'!$E:$E,Summary!$D439,'BPC Data'!$B:$B,Summary!$C439)</f>
        <v>0</v>
      </c>
      <c r="R439" s="65">
        <f ca="1">SUMIFS(OFFSET('BPC Data'!$F:$F,0,Summary!R$2),'BPC Data'!$E:$E,Summary!$D439,'BPC Data'!$B:$B,Summary!$C439)</f>
        <v>0</v>
      </c>
      <c r="S439" s="23"/>
      <c r="T439" s="76"/>
      <c r="AJ439" s="49"/>
      <c r="AK439" s="49"/>
      <c r="AL439" s="49"/>
      <c r="AM439" s="49"/>
      <c r="AN439" s="49"/>
      <c r="AO439" s="49"/>
      <c r="AP439" s="49"/>
      <c r="AQ439" s="49"/>
      <c r="AR439" s="49"/>
      <c r="AS439" s="49"/>
      <c r="AT439" s="49"/>
      <c r="AU439" s="49"/>
    </row>
    <row r="440" spans="1:47" s="12" customFormat="1" hidden="1" outlineLevel="1">
      <c r="A440" s="12">
        <f t="shared" ref="A440:A448" si="463">IF(AND(F440&lt;&gt;"",D440=""),A439+1,A439)</f>
        <v>40</v>
      </c>
      <c r="C440">
        <f>$F438</f>
        <v>0</v>
      </c>
      <c r="D440" s="3" t="str">
        <f t="shared" si="459"/>
        <v>A_BEDS_TOTAL - Total Available Beds</v>
      </c>
      <c r="F440" s="19" t="str">
        <f>_xll.EVDES(D440)</f>
        <v>Total Available Beds</v>
      </c>
      <c r="G440" s="61">
        <f ca="1">SUMIFS(OFFSET('BPC Data'!$F:$F,0,Summary!G$2),'BPC Data'!$E:$E,Summary!$D440,'BPC Data'!$B:$B,Summary!$C440)</f>
        <v>0</v>
      </c>
      <c r="H440" s="65">
        <f ca="1">SUMIFS(OFFSET('BPC Data'!$F:$F,0,Summary!H$2),'BPC Data'!$E:$E,Summary!$D440,'BPC Data'!$B:$B,Summary!$C440)</f>
        <v>0</v>
      </c>
      <c r="I440" s="61">
        <f ca="1">SUMIFS(OFFSET('BPC Data'!$F:$F,0,Summary!I$2),'BPC Data'!$E:$E,Summary!$D440,'BPC Data'!$B:$B,Summary!$C440)</f>
        <v>0</v>
      </c>
      <c r="J440" s="65">
        <f ca="1">SUMIFS(OFFSET('BPC Data'!$F:$F,0,Summary!J$2),'BPC Data'!$E:$E,Summary!$D440,'BPC Data'!$B:$B,Summary!$C440)</f>
        <v>0</v>
      </c>
      <c r="K440" s="61">
        <f ca="1">SUMIFS(OFFSET('BPC Data'!$F:$F,0,Summary!K$2),'BPC Data'!$E:$E,Summary!$D440,'BPC Data'!$B:$B,Summary!$C440)</f>
        <v>0</v>
      </c>
      <c r="L440" s="65">
        <f ca="1">SUMIFS(OFFSET('BPC Data'!$F:$F,0,Summary!L$2),'BPC Data'!$E:$E,Summary!$D440,'BPC Data'!$B:$B,Summary!$C440)</f>
        <v>0</v>
      </c>
      <c r="M440" s="61">
        <f ca="1">SUMIFS(OFFSET('BPC Data'!$F:$F,0,Summary!M$2),'BPC Data'!$E:$E,Summary!$D440,'BPC Data'!$B:$B,Summary!$C440)</f>
        <v>0</v>
      </c>
      <c r="N440" s="65">
        <f ca="1">SUMIFS(OFFSET('BPC Data'!$F:$F,0,Summary!N$2),'BPC Data'!$E:$E,Summary!$D440,'BPC Data'!$B:$B,Summary!$C440)</f>
        <v>0</v>
      </c>
      <c r="O440" s="61">
        <f ca="1">SUMIFS(OFFSET('BPC Data'!$F:$F,0,Summary!O$2),'BPC Data'!$E:$E,Summary!$D440,'BPC Data'!$B:$B,Summary!$C440)</f>
        <v>0</v>
      </c>
      <c r="P440" s="65">
        <f ca="1">SUMIFS(OFFSET('BPC Data'!$F:$F,0,Summary!P$2),'BPC Data'!$E:$E,Summary!$D440,'BPC Data'!$B:$B,Summary!$C440)</f>
        <v>0</v>
      </c>
      <c r="Q440" s="61">
        <f ca="1">SUMIFS(OFFSET('BPC Data'!$F:$F,0,Summary!Q$2),'BPC Data'!$E:$E,Summary!$D440,'BPC Data'!$B:$B,Summary!$C440)</f>
        <v>0</v>
      </c>
      <c r="R440" s="65">
        <f ca="1">SUMIFS(OFFSET('BPC Data'!$F:$F,0,Summary!R$2),'BPC Data'!$E:$E,Summary!$D440,'BPC Data'!$B:$B,Summary!$C440)</f>
        <v>0</v>
      </c>
      <c r="S440" s="23"/>
      <c r="T440" s="76"/>
      <c r="AJ440" s="49"/>
      <c r="AK440" s="49"/>
      <c r="AL440" s="49"/>
      <c r="AM440" s="49"/>
      <c r="AN440" s="49"/>
      <c r="AO440" s="49"/>
      <c r="AP440" s="49"/>
      <c r="AQ440" s="49"/>
      <c r="AR440" s="49"/>
      <c r="AS440" s="49"/>
      <c r="AT440" s="49"/>
      <c r="AU440" s="49"/>
    </row>
    <row r="441" spans="1:47" s="12" customFormat="1" hidden="1" outlineLevel="1">
      <c r="A441" s="12">
        <f t="shared" si="463"/>
        <v>40</v>
      </c>
      <c r="B441"/>
      <c r="C441">
        <f>$F438</f>
        <v>0</v>
      </c>
      <c r="D441" s="3" t="str">
        <f t="shared" si="459"/>
        <v>T_REVENUES - Total Tenant Revenues</v>
      </c>
      <c r="E441"/>
      <c r="F441" s="19" t="str">
        <f>_xll.EVDES(D441)</f>
        <v>Total Tenant Revenues</v>
      </c>
      <c r="G441" s="61">
        <f ca="1">SUMIFS(OFFSET('BPC Data'!$F:$F,0,Summary!G$2),'BPC Data'!$E:$E,Summary!$D441,'BPC Data'!$B:$B,Summary!$C441)</f>
        <v>0</v>
      </c>
      <c r="H441" s="65">
        <f ca="1">SUMIFS(OFFSET('BPC Data'!$F:$F,0,Summary!H$2),'BPC Data'!$E:$E,Summary!$D441,'BPC Data'!$B:$B,Summary!$C441)</f>
        <v>0</v>
      </c>
      <c r="I441" s="61">
        <f ca="1">SUMIFS(OFFSET('BPC Data'!$F:$F,0,Summary!I$2),'BPC Data'!$E:$E,Summary!$D441,'BPC Data'!$B:$B,Summary!$C441)</f>
        <v>0</v>
      </c>
      <c r="J441" s="65">
        <f ca="1">SUMIFS(OFFSET('BPC Data'!$F:$F,0,Summary!J$2),'BPC Data'!$E:$E,Summary!$D441,'BPC Data'!$B:$B,Summary!$C441)</f>
        <v>0</v>
      </c>
      <c r="K441" s="61">
        <f ca="1">SUMIFS(OFFSET('BPC Data'!$F:$F,0,Summary!K$2),'BPC Data'!$E:$E,Summary!$D441,'BPC Data'!$B:$B,Summary!$C441)</f>
        <v>0</v>
      </c>
      <c r="L441" s="65">
        <f ca="1">SUMIFS(OFFSET('BPC Data'!$F:$F,0,Summary!L$2),'BPC Data'!$E:$E,Summary!$D441,'BPC Data'!$B:$B,Summary!$C441)</f>
        <v>0</v>
      </c>
      <c r="M441" s="61">
        <f ca="1">SUMIFS(OFFSET('BPC Data'!$F:$F,0,Summary!M$2),'BPC Data'!$E:$E,Summary!$D441,'BPC Data'!$B:$B,Summary!$C441)</f>
        <v>0</v>
      </c>
      <c r="N441" s="65">
        <f ca="1">SUMIFS(OFFSET('BPC Data'!$F:$F,0,Summary!N$2),'BPC Data'!$E:$E,Summary!$D441,'BPC Data'!$B:$B,Summary!$C441)</f>
        <v>0</v>
      </c>
      <c r="O441" s="61">
        <f ca="1">SUMIFS(OFFSET('BPC Data'!$F:$F,0,Summary!O$2),'BPC Data'!$E:$E,Summary!$D441,'BPC Data'!$B:$B,Summary!$C441)</f>
        <v>0</v>
      </c>
      <c r="P441" s="65">
        <f ca="1">SUMIFS(OFFSET('BPC Data'!$F:$F,0,Summary!P$2),'BPC Data'!$E:$E,Summary!$D441,'BPC Data'!$B:$B,Summary!$C441)</f>
        <v>0</v>
      </c>
      <c r="Q441" s="61">
        <f ca="1">SUMIFS(OFFSET('BPC Data'!$F:$F,0,Summary!Q$2),'BPC Data'!$E:$E,Summary!$D441,'BPC Data'!$B:$B,Summary!$C441)</f>
        <v>0</v>
      </c>
      <c r="R441" s="65">
        <f ca="1">SUMIFS(OFFSET('BPC Data'!$F:$F,0,Summary!R$2),'BPC Data'!$E:$E,Summary!$D441,'BPC Data'!$B:$B,Summary!$C441)</f>
        <v>0</v>
      </c>
      <c r="S441" s="23"/>
      <c r="T441" s="76"/>
      <c r="AJ441" s="49"/>
      <c r="AK441" s="49"/>
      <c r="AL441" s="49"/>
      <c r="AM441" s="49"/>
      <c r="AN441" s="49"/>
      <c r="AO441" s="49"/>
      <c r="AP441" s="49"/>
      <c r="AQ441" s="49"/>
      <c r="AR441" s="49"/>
      <c r="AS441" s="49"/>
      <c r="AT441" s="49"/>
      <c r="AU441" s="49"/>
    </row>
    <row r="442" spans="1:47" s="12" customFormat="1" hidden="1" outlineLevel="1">
      <c r="A442" s="12">
        <f t="shared" si="463"/>
        <v>40</v>
      </c>
      <c r="B442"/>
      <c r="C442">
        <f>$F438</f>
        <v>0</v>
      </c>
      <c r="D442" s="3" t="str">
        <f t="shared" si="459"/>
        <v>T_OPEX - Tenant Operating Expenses</v>
      </c>
      <c r="E442"/>
      <c r="F442" s="19" t="str">
        <f>_xll.EVDES(D442)</f>
        <v>Tenant Operating Expenses</v>
      </c>
      <c r="G442" s="61">
        <f ca="1">SUMIFS(OFFSET('BPC Data'!$F:$F,0,Summary!G$2),'BPC Data'!$E:$E,Summary!$D442,'BPC Data'!$B:$B,Summary!$C442)</f>
        <v>0</v>
      </c>
      <c r="H442" s="65">
        <f ca="1">SUMIFS(OFFSET('BPC Data'!$F:$F,0,Summary!H$2),'BPC Data'!$E:$E,Summary!$D442,'BPC Data'!$B:$B,Summary!$C442)</f>
        <v>0</v>
      </c>
      <c r="I442" s="61">
        <f ca="1">SUMIFS(OFFSET('BPC Data'!$F:$F,0,Summary!I$2),'BPC Data'!$E:$E,Summary!$D442,'BPC Data'!$B:$B,Summary!$C442)</f>
        <v>0</v>
      </c>
      <c r="J442" s="65">
        <f ca="1">SUMIFS(OFFSET('BPC Data'!$F:$F,0,Summary!J$2),'BPC Data'!$E:$E,Summary!$D442,'BPC Data'!$B:$B,Summary!$C442)</f>
        <v>0</v>
      </c>
      <c r="K442" s="61">
        <f ca="1">SUMIFS(OFFSET('BPC Data'!$F:$F,0,Summary!K$2),'BPC Data'!$E:$E,Summary!$D442,'BPC Data'!$B:$B,Summary!$C442)</f>
        <v>0</v>
      </c>
      <c r="L442" s="65">
        <f ca="1">SUMIFS(OFFSET('BPC Data'!$F:$F,0,Summary!L$2),'BPC Data'!$E:$E,Summary!$D442,'BPC Data'!$B:$B,Summary!$C442)</f>
        <v>0</v>
      </c>
      <c r="M442" s="61">
        <f ca="1">SUMIFS(OFFSET('BPC Data'!$F:$F,0,Summary!M$2),'BPC Data'!$E:$E,Summary!$D442,'BPC Data'!$B:$B,Summary!$C442)</f>
        <v>0</v>
      </c>
      <c r="N442" s="65">
        <f ca="1">SUMIFS(OFFSET('BPC Data'!$F:$F,0,Summary!N$2),'BPC Data'!$E:$E,Summary!$D442,'BPC Data'!$B:$B,Summary!$C442)</f>
        <v>0</v>
      </c>
      <c r="O442" s="61">
        <f ca="1">SUMIFS(OFFSET('BPC Data'!$F:$F,0,Summary!O$2),'BPC Data'!$E:$E,Summary!$D442,'BPC Data'!$B:$B,Summary!$C442)</f>
        <v>0</v>
      </c>
      <c r="P442" s="65">
        <f ca="1">SUMIFS(OFFSET('BPC Data'!$F:$F,0,Summary!P$2),'BPC Data'!$E:$E,Summary!$D442,'BPC Data'!$B:$B,Summary!$C442)</f>
        <v>0</v>
      </c>
      <c r="Q442" s="61">
        <f ca="1">SUMIFS(OFFSET('BPC Data'!$F:$F,0,Summary!Q$2),'BPC Data'!$E:$E,Summary!$D442,'BPC Data'!$B:$B,Summary!$C442)</f>
        <v>0</v>
      </c>
      <c r="R442" s="65">
        <f ca="1">SUMIFS(OFFSET('BPC Data'!$F:$F,0,Summary!R$2),'BPC Data'!$E:$E,Summary!$D442,'BPC Data'!$B:$B,Summary!$C442)</f>
        <v>0</v>
      </c>
      <c r="S442" s="23"/>
      <c r="T442" s="76"/>
      <c r="AJ442" s="49"/>
      <c r="AK442" s="49"/>
      <c r="AL442" s="49"/>
      <c r="AM442" s="49"/>
      <c r="AN442" s="49"/>
      <c r="AO442" s="49"/>
      <c r="AP442" s="49"/>
      <c r="AQ442" s="49"/>
      <c r="AR442" s="49"/>
      <c r="AS442" s="49"/>
      <c r="AT442" s="49"/>
      <c r="AU442" s="49"/>
    </row>
    <row r="443" spans="1:47" s="12" customFormat="1" hidden="1" outlineLevel="1">
      <c r="A443" s="12">
        <f t="shared" si="463"/>
        <v>40</v>
      </c>
      <c r="B443"/>
      <c r="C443">
        <f>$F438</f>
        <v>0</v>
      </c>
      <c r="D443" s="3" t="str">
        <f t="shared" si="459"/>
        <v>T_BAD_DEBT - Tenant Bad Debt Expense</v>
      </c>
      <c r="E443"/>
      <c r="F443" s="19" t="str">
        <f>_xll.EVDES(D443)</f>
        <v>Tenant Bad Debt Expense</v>
      </c>
      <c r="G443" s="61">
        <f ca="1">SUMIFS(OFFSET('BPC Data'!$F:$F,0,Summary!G$2),'BPC Data'!$E:$E,Summary!$D443,'BPC Data'!$B:$B,Summary!$C443)</f>
        <v>0</v>
      </c>
      <c r="H443" s="65">
        <f ca="1">SUMIFS(OFFSET('BPC Data'!$F:$F,0,Summary!H$2),'BPC Data'!$E:$E,Summary!$D443,'BPC Data'!$B:$B,Summary!$C443)</f>
        <v>0</v>
      </c>
      <c r="I443" s="61">
        <f ca="1">SUMIFS(OFFSET('BPC Data'!$F:$F,0,Summary!I$2),'BPC Data'!$E:$E,Summary!$D443,'BPC Data'!$B:$B,Summary!$C443)</f>
        <v>0</v>
      </c>
      <c r="J443" s="65">
        <f ca="1">SUMIFS(OFFSET('BPC Data'!$F:$F,0,Summary!J$2),'BPC Data'!$E:$E,Summary!$D443,'BPC Data'!$B:$B,Summary!$C443)</f>
        <v>0</v>
      </c>
      <c r="K443" s="61">
        <f ca="1">SUMIFS(OFFSET('BPC Data'!$F:$F,0,Summary!K$2),'BPC Data'!$E:$E,Summary!$D443,'BPC Data'!$B:$B,Summary!$C443)</f>
        <v>0</v>
      </c>
      <c r="L443" s="65">
        <f ca="1">SUMIFS(OFFSET('BPC Data'!$F:$F,0,Summary!L$2),'BPC Data'!$E:$E,Summary!$D443,'BPC Data'!$B:$B,Summary!$C443)</f>
        <v>0</v>
      </c>
      <c r="M443" s="61">
        <f ca="1">SUMIFS(OFFSET('BPC Data'!$F:$F,0,Summary!M$2),'BPC Data'!$E:$E,Summary!$D443,'BPC Data'!$B:$B,Summary!$C443)</f>
        <v>0</v>
      </c>
      <c r="N443" s="65">
        <f ca="1">SUMIFS(OFFSET('BPC Data'!$F:$F,0,Summary!N$2),'BPC Data'!$E:$E,Summary!$D443,'BPC Data'!$B:$B,Summary!$C443)</f>
        <v>0</v>
      </c>
      <c r="O443" s="61">
        <f ca="1">SUMIFS(OFFSET('BPC Data'!$F:$F,0,Summary!O$2),'BPC Data'!$E:$E,Summary!$D443,'BPC Data'!$B:$B,Summary!$C443)</f>
        <v>0</v>
      </c>
      <c r="P443" s="65">
        <f ca="1">SUMIFS(OFFSET('BPC Data'!$F:$F,0,Summary!P$2),'BPC Data'!$E:$E,Summary!$D443,'BPC Data'!$B:$B,Summary!$C443)</f>
        <v>0</v>
      </c>
      <c r="Q443" s="61">
        <f ca="1">SUMIFS(OFFSET('BPC Data'!$F:$F,0,Summary!Q$2),'BPC Data'!$E:$E,Summary!$D443,'BPC Data'!$B:$B,Summary!$C443)</f>
        <v>0</v>
      </c>
      <c r="R443" s="65">
        <f ca="1">SUMIFS(OFFSET('BPC Data'!$F:$F,0,Summary!R$2),'BPC Data'!$E:$E,Summary!$D443,'BPC Data'!$B:$B,Summary!$C443)</f>
        <v>0</v>
      </c>
      <c r="S443" s="23"/>
      <c r="T443" s="76"/>
      <c r="AJ443" s="49"/>
      <c r="AK443" s="49"/>
      <c r="AL443" s="49"/>
      <c r="AM443" s="49"/>
      <c r="AN443" s="49"/>
      <c r="AO443" s="49"/>
      <c r="AP443" s="49"/>
      <c r="AQ443" s="49"/>
      <c r="AR443" s="49"/>
      <c r="AS443" s="49"/>
      <c r="AT443" s="49"/>
      <c r="AU443" s="49"/>
    </row>
    <row r="444" spans="1:47" s="12" customFormat="1" hidden="1" outlineLevel="1">
      <c r="A444" s="12">
        <f t="shared" si="463"/>
        <v>40</v>
      </c>
      <c r="B444"/>
      <c r="C444">
        <f>$F438</f>
        <v>0</v>
      </c>
      <c r="D444" s="2" t="str">
        <f t="shared" si="459"/>
        <v>T_EBITDARM - EBITDARM</v>
      </c>
      <c r="E444"/>
      <c r="F444" s="19" t="str">
        <f>_xll.EVDES(D444)</f>
        <v>EBITDARM</v>
      </c>
      <c r="G444" s="61">
        <f ca="1">SUMIFS(OFFSET('BPC Data'!$F:$F,0,Summary!G$2),'BPC Data'!$E:$E,Summary!$D444,'BPC Data'!$B:$B,Summary!$C444)</f>
        <v>0</v>
      </c>
      <c r="H444" s="65">
        <f ca="1">SUMIFS(OFFSET('BPC Data'!$F:$F,0,Summary!H$2),'BPC Data'!$E:$E,Summary!$D444,'BPC Data'!$B:$B,Summary!$C444)</f>
        <v>0</v>
      </c>
      <c r="I444" s="61">
        <f ca="1">SUMIFS(OFFSET('BPC Data'!$F:$F,0,Summary!I$2),'BPC Data'!$E:$E,Summary!$D444,'BPC Data'!$B:$B,Summary!$C444)</f>
        <v>0</v>
      </c>
      <c r="J444" s="65">
        <f ca="1">SUMIFS(OFFSET('BPC Data'!$F:$F,0,Summary!J$2),'BPC Data'!$E:$E,Summary!$D444,'BPC Data'!$B:$B,Summary!$C444)</f>
        <v>0</v>
      </c>
      <c r="K444" s="61">
        <f ca="1">SUMIFS(OFFSET('BPC Data'!$F:$F,0,Summary!K$2),'BPC Data'!$E:$E,Summary!$D444,'BPC Data'!$B:$B,Summary!$C444)</f>
        <v>0</v>
      </c>
      <c r="L444" s="65">
        <f ca="1">SUMIFS(OFFSET('BPC Data'!$F:$F,0,Summary!L$2),'BPC Data'!$E:$E,Summary!$D444,'BPC Data'!$B:$B,Summary!$C444)</f>
        <v>0</v>
      </c>
      <c r="M444" s="61">
        <f ca="1">SUMIFS(OFFSET('BPC Data'!$F:$F,0,Summary!M$2),'BPC Data'!$E:$E,Summary!$D444,'BPC Data'!$B:$B,Summary!$C444)</f>
        <v>0</v>
      </c>
      <c r="N444" s="65">
        <f ca="1">SUMIFS(OFFSET('BPC Data'!$F:$F,0,Summary!N$2),'BPC Data'!$E:$E,Summary!$D444,'BPC Data'!$B:$B,Summary!$C444)</f>
        <v>0</v>
      </c>
      <c r="O444" s="61">
        <f ca="1">SUMIFS(OFFSET('BPC Data'!$F:$F,0,Summary!O$2),'BPC Data'!$E:$E,Summary!$D444,'BPC Data'!$B:$B,Summary!$C444)</f>
        <v>0</v>
      </c>
      <c r="P444" s="65">
        <f ca="1">SUMIFS(OFFSET('BPC Data'!$F:$F,0,Summary!P$2),'BPC Data'!$E:$E,Summary!$D444,'BPC Data'!$B:$B,Summary!$C444)</f>
        <v>0</v>
      </c>
      <c r="Q444" s="61">
        <f ca="1">SUMIFS(OFFSET('BPC Data'!$F:$F,0,Summary!Q$2),'BPC Data'!$E:$E,Summary!$D444,'BPC Data'!$B:$B,Summary!$C444)</f>
        <v>0</v>
      </c>
      <c r="R444" s="65">
        <f ca="1">SUMIFS(OFFSET('BPC Data'!$F:$F,0,Summary!R$2),'BPC Data'!$E:$E,Summary!$D444,'BPC Data'!$B:$B,Summary!$C444)</f>
        <v>0</v>
      </c>
      <c r="S444" s="23"/>
      <c r="T444" s="76"/>
      <c r="AJ444" s="49"/>
      <c r="AK444" s="49"/>
      <c r="AL444" s="49"/>
      <c r="AM444" s="49"/>
      <c r="AN444" s="49"/>
      <c r="AO444" s="49"/>
      <c r="AP444" s="49"/>
      <c r="AQ444" s="49"/>
      <c r="AR444" s="49"/>
      <c r="AS444" s="49"/>
      <c r="AT444" s="49"/>
      <c r="AU444" s="49"/>
    </row>
    <row r="445" spans="1:47" s="12" customFormat="1" hidden="1" outlineLevel="1">
      <c r="A445" s="12">
        <f t="shared" si="463"/>
        <v>40</v>
      </c>
      <c r="B445"/>
      <c r="C445">
        <f>$F438</f>
        <v>0</v>
      </c>
      <c r="D445" s="2" t="str">
        <f t="shared" si="459"/>
        <v>T_MGMT_FEE - Tenant Management Fee - Actual</v>
      </c>
      <c r="E445"/>
      <c r="F445" s="19" t="str">
        <f>_xll.EVDES(D445)</f>
        <v>Tenant Management Fee - Actual</v>
      </c>
      <c r="G445" s="61">
        <f ca="1">SUMIFS(OFFSET('BPC Data'!$F:$F,0,Summary!G$2),'BPC Data'!$E:$E,Summary!$D445,'BPC Data'!$B:$B,Summary!$C445)</f>
        <v>0</v>
      </c>
      <c r="H445" s="65">
        <f ca="1">SUMIFS(OFFSET('BPC Data'!$F:$F,0,Summary!H$2),'BPC Data'!$E:$E,Summary!$D445,'BPC Data'!$B:$B,Summary!$C445)</f>
        <v>0</v>
      </c>
      <c r="I445" s="61">
        <f ca="1">SUMIFS(OFFSET('BPC Data'!$F:$F,0,Summary!I$2),'BPC Data'!$E:$E,Summary!$D445,'BPC Data'!$B:$B,Summary!$C445)</f>
        <v>0</v>
      </c>
      <c r="J445" s="65">
        <f ca="1">SUMIFS(OFFSET('BPC Data'!$F:$F,0,Summary!J$2),'BPC Data'!$E:$E,Summary!$D445,'BPC Data'!$B:$B,Summary!$C445)</f>
        <v>0</v>
      </c>
      <c r="K445" s="61">
        <f ca="1">SUMIFS(OFFSET('BPC Data'!$F:$F,0,Summary!K$2),'BPC Data'!$E:$E,Summary!$D445,'BPC Data'!$B:$B,Summary!$C445)</f>
        <v>0</v>
      </c>
      <c r="L445" s="65">
        <f ca="1">SUMIFS(OFFSET('BPC Data'!$F:$F,0,Summary!L$2),'BPC Data'!$E:$E,Summary!$D445,'BPC Data'!$B:$B,Summary!$C445)</f>
        <v>0</v>
      </c>
      <c r="M445" s="61">
        <f ca="1">SUMIFS(OFFSET('BPC Data'!$F:$F,0,Summary!M$2),'BPC Data'!$E:$E,Summary!$D445,'BPC Data'!$B:$B,Summary!$C445)</f>
        <v>0</v>
      </c>
      <c r="N445" s="65">
        <f ca="1">SUMIFS(OFFSET('BPC Data'!$F:$F,0,Summary!N$2),'BPC Data'!$E:$E,Summary!$D445,'BPC Data'!$B:$B,Summary!$C445)</f>
        <v>0</v>
      </c>
      <c r="O445" s="61">
        <f ca="1">SUMIFS(OFFSET('BPC Data'!$F:$F,0,Summary!O$2),'BPC Data'!$E:$E,Summary!$D445,'BPC Data'!$B:$B,Summary!$C445)</f>
        <v>0</v>
      </c>
      <c r="P445" s="65">
        <f ca="1">SUMIFS(OFFSET('BPC Data'!$F:$F,0,Summary!P$2),'BPC Data'!$E:$E,Summary!$D445,'BPC Data'!$B:$B,Summary!$C445)</f>
        <v>0</v>
      </c>
      <c r="Q445" s="61">
        <f ca="1">SUMIFS(OFFSET('BPC Data'!$F:$F,0,Summary!Q$2),'BPC Data'!$E:$E,Summary!$D445,'BPC Data'!$B:$B,Summary!$C445)</f>
        <v>0</v>
      </c>
      <c r="R445" s="65">
        <f ca="1">SUMIFS(OFFSET('BPC Data'!$F:$F,0,Summary!R$2),'BPC Data'!$E:$E,Summary!$D445,'BPC Data'!$B:$B,Summary!$C445)</f>
        <v>0</v>
      </c>
      <c r="S445" s="23"/>
      <c r="T445" s="76"/>
      <c r="AJ445" s="49"/>
      <c r="AK445" s="49"/>
      <c r="AL445" s="49"/>
      <c r="AM445" s="49"/>
      <c r="AN445" s="49"/>
      <c r="AO445" s="49"/>
      <c r="AP445" s="49"/>
      <c r="AQ445" s="49"/>
      <c r="AR445" s="49"/>
      <c r="AS445" s="49"/>
      <c r="AT445" s="49"/>
      <c r="AU445" s="49"/>
    </row>
    <row r="446" spans="1:47" s="12" customFormat="1" hidden="1" outlineLevel="1">
      <c r="A446" s="12">
        <f t="shared" si="463"/>
        <v>40</v>
      </c>
      <c r="B446"/>
      <c r="C446">
        <f>$F438</f>
        <v>0</v>
      </c>
      <c r="D446" s="1" t="str">
        <f t="shared" si="459"/>
        <v>T_EBITDAR - EBITDAR</v>
      </c>
      <c r="E446"/>
      <c r="F446" s="19" t="str">
        <f>_xll.EVDES(D446)</f>
        <v>EBITDAR</v>
      </c>
      <c r="G446" s="61">
        <f ca="1">SUMIFS(OFFSET('BPC Data'!$F:$F,0,Summary!G$2),'BPC Data'!$E:$E,Summary!$D446,'BPC Data'!$B:$B,Summary!$C446)</f>
        <v>0</v>
      </c>
      <c r="H446" s="65">
        <f ca="1">SUMIFS(OFFSET('BPC Data'!$F:$F,0,Summary!H$2),'BPC Data'!$E:$E,Summary!$D446,'BPC Data'!$B:$B,Summary!$C446)</f>
        <v>0</v>
      </c>
      <c r="I446" s="61">
        <f ca="1">SUMIFS(OFFSET('BPC Data'!$F:$F,0,Summary!I$2),'BPC Data'!$E:$E,Summary!$D446,'BPC Data'!$B:$B,Summary!$C446)</f>
        <v>0</v>
      </c>
      <c r="J446" s="65">
        <f ca="1">SUMIFS(OFFSET('BPC Data'!$F:$F,0,Summary!J$2),'BPC Data'!$E:$E,Summary!$D446,'BPC Data'!$B:$B,Summary!$C446)</f>
        <v>0</v>
      </c>
      <c r="K446" s="61">
        <f ca="1">SUMIFS(OFFSET('BPC Data'!$F:$F,0,Summary!K$2),'BPC Data'!$E:$E,Summary!$D446,'BPC Data'!$B:$B,Summary!$C446)</f>
        <v>0</v>
      </c>
      <c r="L446" s="65">
        <f ca="1">SUMIFS(OFFSET('BPC Data'!$F:$F,0,Summary!L$2),'BPC Data'!$E:$E,Summary!$D446,'BPC Data'!$B:$B,Summary!$C446)</f>
        <v>0</v>
      </c>
      <c r="M446" s="61">
        <f ca="1">SUMIFS(OFFSET('BPC Data'!$F:$F,0,Summary!M$2),'BPC Data'!$E:$E,Summary!$D446,'BPC Data'!$B:$B,Summary!$C446)</f>
        <v>0</v>
      </c>
      <c r="N446" s="65">
        <f ca="1">SUMIFS(OFFSET('BPC Data'!$F:$F,0,Summary!N$2),'BPC Data'!$E:$E,Summary!$D446,'BPC Data'!$B:$B,Summary!$C446)</f>
        <v>0</v>
      </c>
      <c r="O446" s="61">
        <f ca="1">SUMIFS(OFFSET('BPC Data'!$F:$F,0,Summary!O$2),'BPC Data'!$E:$E,Summary!$D446,'BPC Data'!$B:$B,Summary!$C446)</f>
        <v>0</v>
      </c>
      <c r="P446" s="65">
        <f ca="1">SUMIFS(OFFSET('BPC Data'!$F:$F,0,Summary!P$2),'BPC Data'!$E:$E,Summary!$D446,'BPC Data'!$B:$B,Summary!$C446)</f>
        <v>0</v>
      </c>
      <c r="Q446" s="61">
        <f ca="1">SUMIFS(OFFSET('BPC Data'!$F:$F,0,Summary!Q$2),'BPC Data'!$E:$E,Summary!$D446,'BPC Data'!$B:$B,Summary!$C446)</f>
        <v>0</v>
      </c>
      <c r="R446" s="65">
        <f ca="1">SUMIFS(OFFSET('BPC Data'!$F:$F,0,Summary!R$2),'BPC Data'!$E:$E,Summary!$D446,'BPC Data'!$B:$B,Summary!$C446)</f>
        <v>0</v>
      </c>
      <c r="S446" s="23"/>
      <c r="T446" s="76"/>
      <c r="AJ446" s="49"/>
      <c r="AK446" s="49"/>
      <c r="AL446" s="49"/>
      <c r="AM446" s="49"/>
      <c r="AN446" s="49"/>
      <c r="AO446" s="49"/>
      <c r="AP446" s="49"/>
      <c r="AQ446" s="49"/>
      <c r="AR446" s="49"/>
      <c r="AS446" s="49"/>
      <c r="AT446" s="49"/>
      <c r="AU446" s="49"/>
    </row>
    <row r="447" spans="1:47" s="12" customFormat="1" hidden="1" outlineLevel="1">
      <c r="A447" s="12">
        <f t="shared" si="463"/>
        <v>40</v>
      </c>
      <c r="B447"/>
      <c r="C447">
        <f>$F438</f>
        <v>0</v>
      </c>
      <c r="D447" s="1" t="str">
        <f t="shared" si="459"/>
        <v>T_RENT_EXP - Tenant Rent Expense</v>
      </c>
      <c r="E447"/>
      <c r="F447" s="19" t="str">
        <f>_xll.EVDES(D447)</f>
        <v>Tenant Rent Expense</v>
      </c>
      <c r="G447" s="61">
        <f ca="1">SUMIFS(OFFSET('BPC Data'!$F:$F,0,Summary!G$2),'BPC Data'!$E:$E,Summary!$D447,'BPC Data'!$B:$B,Summary!$C447)</f>
        <v>0</v>
      </c>
      <c r="H447" s="65">
        <f ca="1">SUMIFS(OFFSET('BPC Data'!$F:$F,0,Summary!H$2),'BPC Data'!$E:$E,Summary!$D447,'BPC Data'!$B:$B,Summary!$C447)</f>
        <v>0</v>
      </c>
      <c r="I447" s="61">
        <f ca="1">SUMIFS(OFFSET('BPC Data'!$F:$F,0,Summary!I$2),'BPC Data'!$E:$E,Summary!$D447,'BPC Data'!$B:$B,Summary!$C447)</f>
        <v>0</v>
      </c>
      <c r="J447" s="65">
        <f ca="1">SUMIFS(OFFSET('BPC Data'!$F:$F,0,Summary!J$2),'BPC Data'!$E:$E,Summary!$D447,'BPC Data'!$B:$B,Summary!$C447)</f>
        <v>0</v>
      </c>
      <c r="K447" s="61">
        <f ca="1">SUMIFS(OFFSET('BPC Data'!$F:$F,0,Summary!K$2),'BPC Data'!$E:$E,Summary!$D447,'BPC Data'!$B:$B,Summary!$C447)</f>
        <v>0</v>
      </c>
      <c r="L447" s="65">
        <f ca="1">SUMIFS(OFFSET('BPC Data'!$F:$F,0,Summary!L$2),'BPC Data'!$E:$E,Summary!$D447,'BPC Data'!$B:$B,Summary!$C447)</f>
        <v>0</v>
      </c>
      <c r="M447" s="61">
        <f ca="1">SUMIFS(OFFSET('BPC Data'!$F:$F,0,Summary!M$2),'BPC Data'!$E:$E,Summary!$D447,'BPC Data'!$B:$B,Summary!$C447)</f>
        <v>0</v>
      </c>
      <c r="N447" s="65">
        <f ca="1">SUMIFS(OFFSET('BPC Data'!$F:$F,0,Summary!N$2),'BPC Data'!$E:$E,Summary!$D447,'BPC Data'!$B:$B,Summary!$C447)</f>
        <v>0</v>
      </c>
      <c r="O447" s="61">
        <f ca="1">SUMIFS(OFFSET('BPC Data'!$F:$F,0,Summary!O$2),'BPC Data'!$E:$E,Summary!$D447,'BPC Data'!$B:$B,Summary!$C447)</f>
        <v>0</v>
      </c>
      <c r="P447" s="65">
        <f ca="1">SUMIFS(OFFSET('BPC Data'!$F:$F,0,Summary!P$2),'BPC Data'!$E:$E,Summary!$D447,'BPC Data'!$B:$B,Summary!$C447)</f>
        <v>0</v>
      </c>
      <c r="Q447" s="61">
        <f ca="1">SUMIFS(OFFSET('BPC Data'!$F:$F,0,Summary!Q$2),'BPC Data'!$E:$E,Summary!$D447,'BPC Data'!$B:$B,Summary!$C447)</f>
        <v>0</v>
      </c>
      <c r="R447" s="65">
        <f ca="1">SUMIFS(OFFSET('BPC Data'!$F:$F,0,Summary!R$2),'BPC Data'!$E:$E,Summary!$D447,'BPC Data'!$B:$B,Summary!$C447)</f>
        <v>0</v>
      </c>
      <c r="S447" s="23"/>
      <c r="T447" s="76"/>
      <c r="AJ447" s="49"/>
      <c r="AK447" s="49"/>
      <c r="AL447" s="49"/>
      <c r="AM447" s="49"/>
      <c r="AN447" s="49"/>
      <c r="AO447" s="49"/>
      <c r="AP447" s="49"/>
      <c r="AQ447" s="49"/>
      <c r="AR447" s="49"/>
      <c r="AS447" s="49"/>
      <c r="AT447" s="49"/>
      <c r="AU447" s="49"/>
    </row>
    <row r="448" spans="1:47" s="12" customFormat="1" hidden="1" outlineLevel="1">
      <c r="A448" s="12">
        <f t="shared" si="463"/>
        <v>40</v>
      </c>
      <c r="B448"/>
      <c r="C448"/>
      <c r="D448" s="1" t="str">
        <f t="shared" si="459"/>
        <v>x</v>
      </c>
      <c r="E448"/>
      <c r="F448" s="19" t="s">
        <v>0</v>
      </c>
      <c r="G448" s="61">
        <f ca="1">SUMIFS(OFFSET('BPC Data'!$F:$F,0,Summary!G$2),'BPC Data'!$E:$E,Summary!$D448,'BPC Data'!$B:$B,Summary!$C448)</f>
        <v>0</v>
      </c>
      <c r="H448" s="65">
        <f ca="1">SUMIFS(OFFSET('BPC Data'!$F:$F,0,Summary!H$2),'BPC Data'!$E:$E,Summary!$D448,'BPC Data'!$B:$B,Summary!$C448)</f>
        <v>0</v>
      </c>
      <c r="I448" s="61">
        <f ca="1">SUMIFS(OFFSET('BPC Data'!$F:$F,0,Summary!I$2),'BPC Data'!$E:$E,Summary!$D448,'BPC Data'!$B:$B,Summary!$C448)</f>
        <v>0</v>
      </c>
      <c r="J448" s="65">
        <f ca="1">SUMIFS(OFFSET('BPC Data'!$F:$F,0,Summary!J$2),'BPC Data'!$E:$E,Summary!$D448,'BPC Data'!$B:$B,Summary!$C448)</f>
        <v>0</v>
      </c>
      <c r="K448" s="61">
        <f ca="1">SUMIFS(OFFSET('BPC Data'!$F:$F,0,Summary!K$2),'BPC Data'!$E:$E,Summary!$D448,'BPC Data'!$B:$B,Summary!$C448)</f>
        <v>0</v>
      </c>
      <c r="L448" s="65">
        <f ca="1">SUMIFS(OFFSET('BPC Data'!$F:$F,0,Summary!L$2),'BPC Data'!$E:$E,Summary!$D448,'BPC Data'!$B:$B,Summary!$C448)</f>
        <v>0</v>
      </c>
      <c r="M448" s="61">
        <f ca="1">SUMIFS(OFFSET('BPC Data'!$F:$F,0,Summary!M$2),'BPC Data'!$E:$E,Summary!$D448,'BPC Data'!$B:$B,Summary!$C448)</f>
        <v>0</v>
      </c>
      <c r="N448" s="65">
        <f ca="1">SUMIFS(OFFSET('BPC Data'!$F:$F,0,Summary!N$2),'BPC Data'!$E:$E,Summary!$D448,'BPC Data'!$B:$B,Summary!$C448)</f>
        <v>0</v>
      </c>
      <c r="O448" s="61">
        <f ca="1">SUMIFS(OFFSET('BPC Data'!$F:$F,0,Summary!O$2),'BPC Data'!$E:$E,Summary!$D448,'BPC Data'!$B:$B,Summary!$C448)</f>
        <v>0</v>
      </c>
      <c r="P448" s="65">
        <f ca="1">SUMIFS(OFFSET('BPC Data'!$F:$F,0,Summary!P$2),'BPC Data'!$E:$E,Summary!$D448,'BPC Data'!$B:$B,Summary!$C448)</f>
        <v>0</v>
      </c>
      <c r="Q448" s="61">
        <f ca="1">SUMIFS(OFFSET('BPC Data'!$F:$F,0,Summary!Q$2),'BPC Data'!$E:$E,Summary!$D448,'BPC Data'!$B:$B,Summary!$C448)</f>
        <v>0</v>
      </c>
      <c r="R448" s="65">
        <f ca="1">SUMIFS(OFFSET('BPC Data'!$F:$F,0,Summary!R$2),'BPC Data'!$E:$E,Summary!$D448,'BPC Data'!$B:$B,Summary!$C448)</f>
        <v>0</v>
      </c>
      <c r="S448" s="23"/>
      <c r="T448" s="76"/>
      <c r="AJ448" s="49"/>
      <c r="AK448" s="49"/>
      <c r="AL448" s="49"/>
      <c r="AM448" s="49"/>
      <c r="AN448" s="49"/>
      <c r="AO448" s="49"/>
      <c r="AP448" s="49"/>
      <c r="AQ448" s="49"/>
      <c r="AR448" s="49"/>
      <c r="AS448" s="49"/>
      <c r="AT448" s="49"/>
      <c r="AU448" s="49"/>
    </row>
    <row r="449" spans="1:47" s="12" customFormat="1" hidden="1" outlineLevel="1">
      <c r="A449" s="12">
        <f>IF(AND(D449&lt;&gt;"",C449=""),A448+1,A448)</f>
        <v>41</v>
      </c>
      <c r="B449" s="5"/>
      <c r="C449" s="5"/>
      <c r="D449" s="5" t="str">
        <f t="shared" si="459"/>
        <v>x</v>
      </c>
      <c r="E449" s="5"/>
      <c r="F449" s="18">
        <f>INDEX(PropertyList!$D:$D,MATCH(Summary!$A449,PropertyList!$C:$C,0))</f>
        <v>0</v>
      </c>
      <c r="G449" s="61">
        <f ca="1">SUMIFS(OFFSET('BPC Data'!$F:$F,0,Summary!G$2),'BPC Data'!$E:$E,Summary!$D449,'BPC Data'!$B:$B,Summary!$C449)</f>
        <v>0</v>
      </c>
      <c r="H449" s="65">
        <f ca="1">SUMIFS(OFFSET('BPC Data'!$F:$F,0,Summary!H$2),'BPC Data'!$E:$E,Summary!$D449,'BPC Data'!$B:$B,Summary!$C449)</f>
        <v>0</v>
      </c>
      <c r="I449" s="61">
        <f ca="1">SUMIFS(OFFSET('BPC Data'!$F:$F,0,Summary!I$2),'BPC Data'!$E:$E,Summary!$D449,'BPC Data'!$B:$B,Summary!$C449)</f>
        <v>0</v>
      </c>
      <c r="J449" s="65">
        <f ca="1">SUMIFS(OFFSET('BPC Data'!$F:$F,0,Summary!J$2),'BPC Data'!$E:$E,Summary!$D449,'BPC Data'!$B:$B,Summary!$C449)</f>
        <v>0</v>
      </c>
      <c r="K449" s="61">
        <f ca="1">SUMIFS(OFFSET('BPC Data'!$F:$F,0,Summary!K$2),'BPC Data'!$E:$E,Summary!$D449,'BPC Data'!$B:$B,Summary!$C449)</f>
        <v>0</v>
      </c>
      <c r="L449" s="65">
        <f ca="1">SUMIFS(OFFSET('BPC Data'!$F:$F,0,Summary!L$2),'BPC Data'!$E:$E,Summary!$D449,'BPC Data'!$B:$B,Summary!$C449)</f>
        <v>0</v>
      </c>
      <c r="M449" s="61">
        <f ca="1">SUMIFS(OFFSET('BPC Data'!$F:$F,0,Summary!M$2),'BPC Data'!$E:$E,Summary!$D449,'BPC Data'!$B:$B,Summary!$C449)</f>
        <v>0</v>
      </c>
      <c r="N449" s="65">
        <f ca="1">SUMIFS(OFFSET('BPC Data'!$F:$F,0,Summary!N$2),'BPC Data'!$E:$E,Summary!$D449,'BPC Data'!$B:$B,Summary!$C449)</f>
        <v>0</v>
      </c>
      <c r="O449" s="61">
        <f ca="1">SUMIFS(OFFSET('BPC Data'!$F:$F,0,Summary!O$2),'BPC Data'!$E:$E,Summary!$D449,'BPC Data'!$B:$B,Summary!$C449)</f>
        <v>0</v>
      </c>
      <c r="P449" s="65">
        <f ca="1">SUMIFS(OFFSET('BPC Data'!$F:$F,0,Summary!P$2),'BPC Data'!$E:$E,Summary!$D449,'BPC Data'!$B:$B,Summary!$C449)</f>
        <v>0</v>
      </c>
      <c r="Q449" s="61">
        <f ca="1">SUMIFS(OFFSET('BPC Data'!$F:$F,0,Summary!Q$2),'BPC Data'!$E:$E,Summary!$D449,'BPC Data'!$B:$B,Summary!$C449)</f>
        <v>0</v>
      </c>
      <c r="R449" s="65">
        <f ca="1">SUMIFS(OFFSET('BPC Data'!$F:$F,0,Summary!R$2),'BPC Data'!$E:$E,Summary!$D449,'BPC Data'!$B:$B,Summary!$C449)</f>
        <v>0</v>
      </c>
      <c r="S449" s="23"/>
      <c r="T449" s="76"/>
      <c r="AJ449" s="49"/>
      <c r="AK449" s="49"/>
      <c r="AL449" s="49"/>
      <c r="AM449" s="49"/>
      <c r="AN449" s="49"/>
      <c r="AO449" s="49"/>
      <c r="AP449" s="49"/>
      <c r="AQ449" s="49"/>
      <c r="AR449" s="49"/>
      <c r="AS449" s="49"/>
      <c r="AT449" s="49"/>
      <c r="AU449" s="49"/>
    </row>
    <row r="450" spans="1:47" s="12" customFormat="1" hidden="1" outlineLevel="1">
      <c r="A450" s="12">
        <f>IF(AND(F450&lt;&gt;"",D450=""),A449+1,A449)</f>
        <v>41</v>
      </c>
      <c r="C450">
        <f>$F449</f>
        <v>0</v>
      </c>
      <c r="D450" s="3" t="str">
        <f t="shared" si="459"/>
        <v>PAY_PAT_DAYS - Total Payor Patient Days</v>
      </c>
      <c r="F450" s="19" t="str">
        <f>_xll.EVDES(D450)</f>
        <v>Total Payor Patient Days</v>
      </c>
      <c r="G450" s="61">
        <f ca="1">SUMIFS(OFFSET('BPC Data'!$F:$F,0,Summary!G$2),'BPC Data'!$E:$E,Summary!$D450,'BPC Data'!$B:$B,Summary!$C450)</f>
        <v>0</v>
      </c>
      <c r="H450" s="65">
        <f ca="1">SUMIFS(OFFSET('BPC Data'!$F:$F,0,Summary!H$2),'BPC Data'!$E:$E,Summary!$D450,'BPC Data'!$B:$B,Summary!$C450)</f>
        <v>0</v>
      </c>
      <c r="I450" s="61">
        <f ca="1">SUMIFS(OFFSET('BPC Data'!$F:$F,0,Summary!I$2),'BPC Data'!$E:$E,Summary!$D450,'BPC Data'!$B:$B,Summary!$C450)</f>
        <v>0</v>
      </c>
      <c r="J450" s="65">
        <f ca="1">SUMIFS(OFFSET('BPC Data'!$F:$F,0,Summary!J$2),'BPC Data'!$E:$E,Summary!$D450,'BPC Data'!$B:$B,Summary!$C450)</f>
        <v>0</v>
      </c>
      <c r="K450" s="61">
        <f ca="1">SUMIFS(OFFSET('BPC Data'!$F:$F,0,Summary!K$2),'BPC Data'!$E:$E,Summary!$D450,'BPC Data'!$B:$B,Summary!$C450)</f>
        <v>0</v>
      </c>
      <c r="L450" s="65">
        <f ca="1">SUMIFS(OFFSET('BPC Data'!$F:$F,0,Summary!L$2),'BPC Data'!$E:$E,Summary!$D450,'BPC Data'!$B:$B,Summary!$C450)</f>
        <v>0</v>
      </c>
      <c r="M450" s="61">
        <f ca="1">SUMIFS(OFFSET('BPC Data'!$F:$F,0,Summary!M$2),'BPC Data'!$E:$E,Summary!$D450,'BPC Data'!$B:$B,Summary!$C450)</f>
        <v>0</v>
      </c>
      <c r="N450" s="65">
        <f ca="1">SUMIFS(OFFSET('BPC Data'!$F:$F,0,Summary!N$2),'BPC Data'!$E:$E,Summary!$D450,'BPC Data'!$B:$B,Summary!$C450)</f>
        <v>0</v>
      </c>
      <c r="O450" s="61">
        <f ca="1">SUMIFS(OFFSET('BPC Data'!$F:$F,0,Summary!O$2),'BPC Data'!$E:$E,Summary!$D450,'BPC Data'!$B:$B,Summary!$C450)</f>
        <v>0</v>
      </c>
      <c r="P450" s="65">
        <f ca="1">SUMIFS(OFFSET('BPC Data'!$F:$F,0,Summary!P$2),'BPC Data'!$E:$E,Summary!$D450,'BPC Data'!$B:$B,Summary!$C450)</f>
        <v>0</v>
      </c>
      <c r="Q450" s="61">
        <f ca="1">SUMIFS(OFFSET('BPC Data'!$F:$F,0,Summary!Q$2),'BPC Data'!$E:$E,Summary!$D450,'BPC Data'!$B:$B,Summary!$C450)</f>
        <v>0</v>
      </c>
      <c r="R450" s="65">
        <f ca="1">SUMIFS(OFFSET('BPC Data'!$F:$F,0,Summary!R$2),'BPC Data'!$E:$E,Summary!$D450,'BPC Data'!$B:$B,Summary!$C450)</f>
        <v>0</v>
      </c>
      <c r="S450" s="23"/>
      <c r="T450" s="76"/>
      <c r="AJ450" s="49"/>
      <c r="AK450" s="49"/>
      <c r="AL450" s="49"/>
      <c r="AM450" s="49"/>
      <c r="AN450" s="49"/>
      <c r="AO450" s="49"/>
      <c r="AP450" s="49"/>
      <c r="AQ450" s="49"/>
      <c r="AR450" s="49"/>
      <c r="AS450" s="49"/>
      <c r="AT450" s="49"/>
      <c r="AU450" s="49"/>
    </row>
    <row r="451" spans="1:47" s="12" customFormat="1" hidden="1" outlineLevel="1">
      <c r="A451" s="12">
        <f t="shared" ref="A451:A459" si="464">IF(AND(F451&lt;&gt;"",D451=""),A450+1,A450)</f>
        <v>41</v>
      </c>
      <c r="C451">
        <f>$F449</f>
        <v>0</v>
      </c>
      <c r="D451" s="3" t="str">
        <f t="shared" si="459"/>
        <v>A_BEDS_TOTAL - Total Available Beds</v>
      </c>
      <c r="F451" s="19" t="str">
        <f>_xll.EVDES(D451)</f>
        <v>Total Available Beds</v>
      </c>
      <c r="G451" s="61">
        <f ca="1">SUMIFS(OFFSET('BPC Data'!$F:$F,0,Summary!G$2),'BPC Data'!$E:$E,Summary!$D451,'BPC Data'!$B:$B,Summary!$C451)</f>
        <v>0</v>
      </c>
      <c r="H451" s="65">
        <f ca="1">SUMIFS(OFFSET('BPC Data'!$F:$F,0,Summary!H$2),'BPC Data'!$E:$E,Summary!$D451,'BPC Data'!$B:$B,Summary!$C451)</f>
        <v>0</v>
      </c>
      <c r="I451" s="61">
        <f ca="1">SUMIFS(OFFSET('BPC Data'!$F:$F,0,Summary!I$2),'BPC Data'!$E:$E,Summary!$D451,'BPC Data'!$B:$B,Summary!$C451)</f>
        <v>0</v>
      </c>
      <c r="J451" s="65">
        <f ca="1">SUMIFS(OFFSET('BPC Data'!$F:$F,0,Summary!J$2),'BPC Data'!$E:$E,Summary!$D451,'BPC Data'!$B:$B,Summary!$C451)</f>
        <v>0</v>
      </c>
      <c r="K451" s="61">
        <f ca="1">SUMIFS(OFFSET('BPC Data'!$F:$F,0,Summary!K$2),'BPC Data'!$E:$E,Summary!$D451,'BPC Data'!$B:$B,Summary!$C451)</f>
        <v>0</v>
      </c>
      <c r="L451" s="65">
        <f ca="1">SUMIFS(OFFSET('BPC Data'!$F:$F,0,Summary!L$2),'BPC Data'!$E:$E,Summary!$D451,'BPC Data'!$B:$B,Summary!$C451)</f>
        <v>0</v>
      </c>
      <c r="M451" s="61">
        <f ca="1">SUMIFS(OFFSET('BPC Data'!$F:$F,0,Summary!M$2),'BPC Data'!$E:$E,Summary!$D451,'BPC Data'!$B:$B,Summary!$C451)</f>
        <v>0</v>
      </c>
      <c r="N451" s="65">
        <f ca="1">SUMIFS(OFFSET('BPC Data'!$F:$F,0,Summary!N$2),'BPC Data'!$E:$E,Summary!$D451,'BPC Data'!$B:$B,Summary!$C451)</f>
        <v>0</v>
      </c>
      <c r="O451" s="61">
        <f ca="1">SUMIFS(OFFSET('BPC Data'!$F:$F,0,Summary!O$2),'BPC Data'!$E:$E,Summary!$D451,'BPC Data'!$B:$B,Summary!$C451)</f>
        <v>0</v>
      </c>
      <c r="P451" s="65">
        <f ca="1">SUMIFS(OFFSET('BPC Data'!$F:$F,0,Summary!P$2),'BPC Data'!$E:$E,Summary!$D451,'BPC Data'!$B:$B,Summary!$C451)</f>
        <v>0</v>
      </c>
      <c r="Q451" s="61">
        <f ca="1">SUMIFS(OFFSET('BPC Data'!$F:$F,0,Summary!Q$2),'BPC Data'!$E:$E,Summary!$D451,'BPC Data'!$B:$B,Summary!$C451)</f>
        <v>0</v>
      </c>
      <c r="R451" s="65">
        <f ca="1">SUMIFS(OFFSET('BPC Data'!$F:$F,0,Summary!R$2),'BPC Data'!$E:$E,Summary!$D451,'BPC Data'!$B:$B,Summary!$C451)</f>
        <v>0</v>
      </c>
      <c r="S451" s="23"/>
      <c r="T451" s="76"/>
      <c r="AJ451" s="49"/>
      <c r="AK451" s="49"/>
      <c r="AL451" s="49"/>
      <c r="AM451" s="49"/>
      <c r="AN451" s="49"/>
      <c r="AO451" s="49"/>
      <c r="AP451" s="49"/>
      <c r="AQ451" s="49"/>
      <c r="AR451" s="49"/>
      <c r="AS451" s="49"/>
      <c r="AT451" s="49"/>
      <c r="AU451" s="49"/>
    </row>
    <row r="452" spans="1:47" s="12" customFormat="1" hidden="1" outlineLevel="1">
      <c r="A452" s="12">
        <f t="shared" si="464"/>
        <v>41</v>
      </c>
      <c r="B452"/>
      <c r="C452">
        <f>$F449</f>
        <v>0</v>
      </c>
      <c r="D452" s="3" t="str">
        <f t="shared" si="459"/>
        <v>T_REVENUES - Total Tenant Revenues</v>
      </c>
      <c r="E452"/>
      <c r="F452" s="19" t="str">
        <f>_xll.EVDES(D452)</f>
        <v>Total Tenant Revenues</v>
      </c>
      <c r="G452" s="61">
        <f ca="1">SUMIFS(OFFSET('BPC Data'!$F:$F,0,Summary!G$2),'BPC Data'!$E:$E,Summary!$D452,'BPC Data'!$B:$B,Summary!$C452)</f>
        <v>0</v>
      </c>
      <c r="H452" s="65">
        <f ca="1">SUMIFS(OFFSET('BPC Data'!$F:$F,0,Summary!H$2),'BPC Data'!$E:$E,Summary!$D452,'BPC Data'!$B:$B,Summary!$C452)</f>
        <v>0</v>
      </c>
      <c r="I452" s="61">
        <f ca="1">SUMIFS(OFFSET('BPC Data'!$F:$F,0,Summary!I$2),'BPC Data'!$E:$E,Summary!$D452,'BPC Data'!$B:$B,Summary!$C452)</f>
        <v>0</v>
      </c>
      <c r="J452" s="65">
        <f ca="1">SUMIFS(OFFSET('BPC Data'!$F:$F,0,Summary!J$2),'BPC Data'!$E:$E,Summary!$D452,'BPC Data'!$B:$B,Summary!$C452)</f>
        <v>0</v>
      </c>
      <c r="K452" s="61">
        <f ca="1">SUMIFS(OFFSET('BPC Data'!$F:$F,0,Summary!K$2),'BPC Data'!$E:$E,Summary!$D452,'BPC Data'!$B:$B,Summary!$C452)</f>
        <v>0</v>
      </c>
      <c r="L452" s="65">
        <f ca="1">SUMIFS(OFFSET('BPC Data'!$F:$F,0,Summary!L$2),'BPC Data'!$E:$E,Summary!$D452,'BPC Data'!$B:$B,Summary!$C452)</f>
        <v>0</v>
      </c>
      <c r="M452" s="61">
        <f ca="1">SUMIFS(OFFSET('BPC Data'!$F:$F,0,Summary!M$2),'BPC Data'!$E:$E,Summary!$D452,'BPC Data'!$B:$B,Summary!$C452)</f>
        <v>0</v>
      </c>
      <c r="N452" s="65">
        <f ca="1">SUMIFS(OFFSET('BPC Data'!$F:$F,0,Summary!N$2),'BPC Data'!$E:$E,Summary!$D452,'BPC Data'!$B:$B,Summary!$C452)</f>
        <v>0</v>
      </c>
      <c r="O452" s="61">
        <f ca="1">SUMIFS(OFFSET('BPC Data'!$F:$F,0,Summary!O$2),'BPC Data'!$E:$E,Summary!$D452,'BPC Data'!$B:$B,Summary!$C452)</f>
        <v>0</v>
      </c>
      <c r="P452" s="65">
        <f ca="1">SUMIFS(OFFSET('BPC Data'!$F:$F,0,Summary!P$2),'BPC Data'!$E:$E,Summary!$D452,'BPC Data'!$B:$B,Summary!$C452)</f>
        <v>0</v>
      </c>
      <c r="Q452" s="61">
        <f ca="1">SUMIFS(OFFSET('BPC Data'!$F:$F,0,Summary!Q$2),'BPC Data'!$E:$E,Summary!$D452,'BPC Data'!$B:$B,Summary!$C452)</f>
        <v>0</v>
      </c>
      <c r="R452" s="65">
        <f ca="1">SUMIFS(OFFSET('BPC Data'!$F:$F,0,Summary!R$2),'BPC Data'!$E:$E,Summary!$D452,'BPC Data'!$B:$B,Summary!$C452)</f>
        <v>0</v>
      </c>
      <c r="S452" s="23"/>
      <c r="T452" s="76"/>
      <c r="AJ452" s="49"/>
      <c r="AK452" s="49"/>
      <c r="AL452" s="49"/>
      <c r="AM452" s="49"/>
      <c r="AN452" s="49"/>
      <c r="AO452" s="49"/>
      <c r="AP452" s="49"/>
      <c r="AQ452" s="49"/>
      <c r="AR452" s="49"/>
      <c r="AS452" s="49"/>
      <c r="AT452" s="49"/>
      <c r="AU452" s="49"/>
    </row>
    <row r="453" spans="1:47" s="12" customFormat="1" hidden="1" outlineLevel="1">
      <c r="A453" s="12">
        <f t="shared" si="464"/>
        <v>41</v>
      </c>
      <c r="B453"/>
      <c r="C453">
        <f>$F449</f>
        <v>0</v>
      </c>
      <c r="D453" s="3" t="str">
        <f t="shared" si="459"/>
        <v>T_OPEX - Tenant Operating Expenses</v>
      </c>
      <c r="E453"/>
      <c r="F453" s="19" t="str">
        <f>_xll.EVDES(D453)</f>
        <v>Tenant Operating Expenses</v>
      </c>
      <c r="G453" s="61">
        <f ca="1">SUMIFS(OFFSET('BPC Data'!$F:$F,0,Summary!G$2),'BPC Data'!$E:$E,Summary!$D453,'BPC Data'!$B:$B,Summary!$C453)</f>
        <v>0</v>
      </c>
      <c r="H453" s="65">
        <f ca="1">SUMIFS(OFFSET('BPC Data'!$F:$F,0,Summary!H$2),'BPC Data'!$E:$E,Summary!$D453,'BPC Data'!$B:$B,Summary!$C453)</f>
        <v>0</v>
      </c>
      <c r="I453" s="61">
        <f ca="1">SUMIFS(OFFSET('BPC Data'!$F:$F,0,Summary!I$2),'BPC Data'!$E:$E,Summary!$D453,'BPC Data'!$B:$B,Summary!$C453)</f>
        <v>0</v>
      </c>
      <c r="J453" s="65">
        <f ca="1">SUMIFS(OFFSET('BPC Data'!$F:$F,0,Summary!J$2),'BPC Data'!$E:$E,Summary!$D453,'BPC Data'!$B:$B,Summary!$C453)</f>
        <v>0</v>
      </c>
      <c r="K453" s="61">
        <f ca="1">SUMIFS(OFFSET('BPC Data'!$F:$F,0,Summary!K$2),'BPC Data'!$E:$E,Summary!$D453,'BPC Data'!$B:$B,Summary!$C453)</f>
        <v>0</v>
      </c>
      <c r="L453" s="65">
        <f ca="1">SUMIFS(OFFSET('BPC Data'!$F:$F,0,Summary!L$2),'BPC Data'!$E:$E,Summary!$D453,'BPC Data'!$B:$B,Summary!$C453)</f>
        <v>0</v>
      </c>
      <c r="M453" s="61">
        <f ca="1">SUMIFS(OFFSET('BPC Data'!$F:$F,0,Summary!M$2),'BPC Data'!$E:$E,Summary!$D453,'BPC Data'!$B:$B,Summary!$C453)</f>
        <v>0</v>
      </c>
      <c r="N453" s="65">
        <f ca="1">SUMIFS(OFFSET('BPC Data'!$F:$F,0,Summary!N$2),'BPC Data'!$E:$E,Summary!$D453,'BPC Data'!$B:$B,Summary!$C453)</f>
        <v>0</v>
      </c>
      <c r="O453" s="61">
        <f ca="1">SUMIFS(OFFSET('BPC Data'!$F:$F,0,Summary!O$2),'BPC Data'!$E:$E,Summary!$D453,'BPC Data'!$B:$B,Summary!$C453)</f>
        <v>0</v>
      </c>
      <c r="P453" s="65">
        <f ca="1">SUMIFS(OFFSET('BPC Data'!$F:$F,0,Summary!P$2),'BPC Data'!$E:$E,Summary!$D453,'BPC Data'!$B:$B,Summary!$C453)</f>
        <v>0</v>
      </c>
      <c r="Q453" s="61">
        <f ca="1">SUMIFS(OFFSET('BPC Data'!$F:$F,0,Summary!Q$2),'BPC Data'!$E:$E,Summary!$D453,'BPC Data'!$B:$B,Summary!$C453)</f>
        <v>0</v>
      </c>
      <c r="R453" s="65">
        <f ca="1">SUMIFS(OFFSET('BPC Data'!$F:$F,0,Summary!R$2),'BPC Data'!$E:$E,Summary!$D453,'BPC Data'!$B:$B,Summary!$C453)</f>
        <v>0</v>
      </c>
      <c r="S453" s="23"/>
      <c r="T453" s="76"/>
      <c r="AJ453" s="49"/>
      <c r="AK453" s="49"/>
      <c r="AL453" s="49"/>
      <c r="AM453" s="49"/>
      <c r="AN453" s="49"/>
      <c r="AO453" s="49"/>
      <c r="AP453" s="49"/>
      <c r="AQ453" s="49"/>
      <c r="AR453" s="49"/>
      <c r="AS453" s="49"/>
      <c r="AT453" s="49"/>
      <c r="AU453" s="49"/>
    </row>
    <row r="454" spans="1:47" s="12" customFormat="1" hidden="1" outlineLevel="1">
      <c r="A454" s="12">
        <f t="shared" si="464"/>
        <v>41</v>
      </c>
      <c r="B454"/>
      <c r="C454">
        <f>$F449</f>
        <v>0</v>
      </c>
      <c r="D454" s="3" t="str">
        <f t="shared" si="459"/>
        <v>T_BAD_DEBT - Tenant Bad Debt Expense</v>
      </c>
      <c r="E454"/>
      <c r="F454" s="19" t="str">
        <f>_xll.EVDES(D454)</f>
        <v>Tenant Bad Debt Expense</v>
      </c>
      <c r="G454" s="61">
        <f ca="1">SUMIFS(OFFSET('BPC Data'!$F:$F,0,Summary!G$2),'BPC Data'!$E:$E,Summary!$D454,'BPC Data'!$B:$B,Summary!$C454)</f>
        <v>0</v>
      </c>
      <c r="H454" s="65">
        <f ca="1">SUMIFS(OFFSET('BPC Data'!$F:$F,0,Summary!H$2),'BPC Data'!$E:$E,Summary!$D454,'BPC Data'!$B:$B,Summary!$C454)</f>
        <v>0</v>
      </c>
      <c r="I454" s="61">
        <f ca="1">SUMIFS(OFFSET('BPC Data'!$F:$F,0,Summary!I$2),'BPC Data'!$E:$E,Summary!$D454,'BPC Data'!$B:$B,Summary!$C454)</f>
        <v>0</v>
      </c>
      <c r="J454" s="65">
        <f ca="1">SUMIFS(OFFSET('BPC Data'!$F:$F,0,Summary!J$2),'BPC Data'!$E:$E,Summary!$D454,'BPC Data'!$B:$B,Summary!$C454)</f>
        <v>0</v>
      </c>
      <c r="K454" s="61">
        <f ca="1">SUMIFS(OFFSET('BPC Data'!$F:$F,0,Summary!K$2),'BPC Data'!$E:$E,Summary!$D454,'BPC Data'!$B:$B,Summary!$C454)</f>
        <v>0</v>
      </c>
      <c r="L454" s="65">
        <f ca="1">SUMIFS(OFFSET('BPC Data'!$F:$F,0,Summary!L$2),'BPC Data'!$E:$E,Summary!$D454,'BPC Data'!$B:$B,Summary!$C454)</f>
        <v>0</v>
      </c>
      <c r="M454" s="61">
        <f ca="1">SUMIFS(OFFSET('BPC Data'!$F:$F,0,Summary!M$2),'BPC Data'!$E:$E,Summary!$D454,'BPC Data'!$B:$B,Summary!$C454)</f>
        <v>0</v>
      </c>
      <c r="N454" s="65">
        <f ca="1">SUMIFS(OFFSET('BPC Data'!$F:$F,0,Summary!N$2),'BPC Data'!$E:$E,Summary!$D454,'BPC Data'!$B:$B,Summary!$C454)</f>
        <v>0</v>
      </c>
      <c r="O454" s="61">
        <f ca="1">SUMIFS(OFFSET('BPC Data'!$F:$F,0,Summary!O$2),'BPC Data'!$E:$E,Summary!$D454,'BPC Data'!$B:$B,Summary!$C454)</f>
        <v>0</v>
      </c>
      <c r="P454" s="65">
        <f ca="1">SUMIFS(OFFSET('BPC Data'!$F:$F,0,Summary!P$2),'BPC Data'!$E:$E,Summary!$D454,'BPC Data'!$B:$B,Summary!$C454)</f>
        <v>0</v>
      </c>
      <c r="Q454" s="61">
        <f ca="1">SUMIFS(OFFSET('BPC Data'!$F:$F,0,Summary!Q$2),'BPC Data'!$E:$E,Summary!$D454,'BPC Data'!$B:$B,Summary!$C454)</f>
        <v>0</v>
      </c>
      <c r="R454" s="65">
        <f ca="1">SUMIFS(OFFSET('BPC Data'!$F:$F,0,Summary!R$2),'BPC Data'!$E:$E,Summary!$D454,'BPC Data'!$B:$B,Summary!$C454)</f>
        <v>0</v>
      </c>
      <c r="S454" s="23"/>
      <c r="T454" s="76"/>
      <c r="AJ454" s="49"/>
      <c r="AK454" s="49"/>
      <c r="AL454" s="49"/>
      <c r="AM454" s="49"/>
      <c r="AN454" s="49"/>
      <c r="AO454" s="49"/>
      <c r="AP454" s="49"/>
      <c r="AQ454" s="49"/>
      <c r="AR454" s="49"/>
      <c r="AS454" s="49"/>
      <c r="AT454" s="49"/>
      <c r="AU454" s="49"/>
    </row>
    <row r="455" spans="1:47" s="12" customFormat="1" hidden="1" outlineLevel="1">
      <c r="A455" s="12">
        <f t="shared" si="464"/>
        <v>41</v>
      </c>
      <c r="B455"/>
      <c r="C455">
        <f>$F449</f>
        <v>0</v>
      </c>
      <c r="D455" s="2" t="str">
        <f t="shared" si="459"/>
        <v>T_EBITDARM - EBITDARM</v>
      </c>
      <c r="E455"/>
      <c r="F455" s="19" t="str">
        <f>_xll.EVDES(D455)</f>
        <v>EBITDARM</v>
      </c>
      <c r="G455" s="61">
        <f ca="1">SUMIFS(OFFSET('BPC Data'!$F:$F,0,Summary!G$2),'BPC Data'!$E:$E,Summary!$D455,'BPC Data'!$B:$B,Summary!$C455)</f>
        <v>0</v>
      </c>
      <c r="H455" s="65">
        <f ca="1">SUMIFS(OFFSET('BPC Data'!$F:$F,0,Summary!H$2),'BPC Data'!$E:$E,Summary!$D455,'BPC Data'!$B:$B,Summary!$C455)</f>
        <v>0</v>
      </c>
      <c r="I455" s="61">
        <f ca="1">SUMIFS(OFFSET('BPC Data'!$F:$F,0,Summary!I$2),'BPC Data'!$E:$E,Summary!$D455,'BPC Data'!$B:$B,Summary!$C455)</f>
        <v>0</v>
      </c>
      <c r="J455" s="65">
        <f ca="1">SUMIFS(OFFSET('BPC Data'!$F:$F,0,Summary!J$2),'BPC Data'!$E:$E,Summary!$D455,'BPC Data'!$B:$B,Summary!$C455)</f>
        <v>0</v>
      </c>
      <c r="K455" s="61">
        <f ca="1">SUMIFS(OFFSET('BPC Data'!$F:$F,0,Summary!K$2),'BPC Data'!$E:$E,Summary!$D455,'BPC Data'!$B:$B,Summary!$C455)</f>
        <v>0</v>
      </c>
      <c r="L455" s="65">
        <f ca="1">SUMIFS(OFFSET('BPC Data'!$F:$F,0,Summary!L$2),'BPC Data'!$E:$E,Summary!$D455,'BPC Data'!$B:$B,Summary!$C455)</f>
        <v>0</v>
      </c>
      <c r="M455" s="61">
        <f ca="1">SUMIFS(OFFSET('BPC Data'!$F:$F,0,Summary!M$2),'BPC Data'!$E:$E,Summary!$D455,'BPC Data'!$B:$B,Summary!$C455)</f>
        <v>0</v>
      </c>
      <c r="N455" s="65">
        <f ca="1">SUMIFS(OFFSET('BPC Data'!$F:$F,0,Summary!N$2),'BPC Data'!$E:$E,Summary!$D455,'BPC Data'!$B:$B,Summary!$C455)</f>
        <v>0</v>
      </c>
      <c r="O455" s="61">
        <f ca="1">SUMIFS(OFFSET('BPC Data'!$F:$F,0,Summary!O$2),'BPC Data'!$E:$E,Summary!$D455,'BPC Data'!$B:$B,Summary!$C455)</f>
        <v>0</v>
      </c>
      <c r="P455" s="65">
        <f ca="1">SUMIFS(OFFSET('BPC Data'!$F:$F,0,Summary!P$2),'BPC Data'!$E:$E,Summary!$D455,'BPC Data'!$B:$B,Summary!$C455)</f>
        <v>0</v>
      </c>
      <c r="Q455" s="61">
        <f ca="1">SUMIFS(OFFSET('BPC Data'!$F:$F,0,Summary!Q$2),'BPC Data'!$E:$E,Summary!$D455,'BPC Data'!$B:$B,Summary!$C455)</f>
        <v>0</v>
      </c>
      <c r="R455" s="65">
        <f ca="1">SUMIFS(OFFSET('BPC Data'!$F:$F,0,Summary!R$2),'BPC Data'!$E:$E,Summary!$D455,'BPC Data'!$B:$B,Summary!$C455)</f>
        <v>0</v>
      </c>
      <c r="S455" s="23"/>
      <c r="T455" s="76"/>
      <c r="AJ455" s="49"/>
      <c r="AK455" s="49"/>
      <c r="AL455" s="49"/>
      <c r="AM455" s="49"/>
      <c r="AN455" s="49"/>
      <c r="AO455" s="49"/>
      <c r="AP455" s="49"/>
      <c r="AQ455" s="49"/>
      <c r="AR455" s="49"/>
      <c r="AS455" s="49"/>
      <c r="AT455" s="49"/>
      <c r="AU455" s="49"/>
    </row>
    <row r="456" spans="1:47" s="12" customFormat="1" hidden="1" outlineLevel="1">
      <c r="A456" s="12">
        <f t="shared" si="464"/>
        <v>41</v>
      </c>
      <c r="B456"/>
      <c r="C456">
        <f>$F449</f>
        <v>0</v>
      </c>
      <c r="D456" s="2" t="str">
        <f t="shared" si="459"/>
        <v>T_MGMT_FEE - Tenant Management Fee - Actual</v>
      </c>
      <c r="E456"/>
      <c r="F456" s="19" t="str">
        <f>_xll.EVDES(D456)</f>
        <v>Tenant Management Fee - Actual</v>
      </c>
      <c r="G456" s="61">
        <f ca="1">SUMIFS(OFFSET('BPC Data'!$F:$F,0,Summary!G$2),'BPC Data'!$E:$E,Summary!$D456,'BPC Data'!$B:$B,Summary!$C456)</f>
        <v>0</v>
      </c>
      <c r="H456" s="65">
        <f ca="1">SUMIFS(OFFSET('BPC Data'!$F:$F,0,Summary!H$2),'BPC Data'!$E:$E,Summary!$D456,'BPC Data'!$B:$B,Summary!$C456)</f>
        <v>0</v>
      </c>
      <c r="I456" s="61">
        <f ca="1">SUMIFS(OFFSET('BPC Data'!$F:$F,0,Summary!I$2),'BPC Data'!$E:$E,Summary!$D456,'BPC Data'!$B:$B,Summary!$C456)</f>
        <v>0</v>
      </c>
      <c r="J456" s="65">
        <f ca="1">SUMIFS(OFFSET('BPC Data'!$F:$F,0,Summary!J$2),'BPC Data'!$E:$E,Summary!$D456,'BPC Data'!$B:$B,Summary!$C456)</f>
        <v>0</v>
      </c>
      <c r="K456" s="61">
        <f ca="1">SUMIFS(OFFSET('BPC Data'!$F:$F,0,Summary!K$2),'BPC Data'!$E:$E,Summary!$D456,'BPC Data'!$B:$B,Summary!$C456)</f>
        <v>0</v>
      </c>
      <c r="L456" s="65">
        <f ca="1">SUMIFS(OFFSET('BPC Data'!$F:$F,0,Summary!L$2),'BPC Data'!$E:$E,Summary!$D456,'BPC Data'!$B:$B,Summary!$C456)</f>
        <v>0</v>
      </c>
      <c r="M456" s="61">
        <f ca="1">SUMIFS(OFFSET('BPC Data'!$F:$F,0,Summary!M$2),'BPC Data'!$E:$E,Summary!$D456,'BPC Data'!$B:$B,Summary!$C456)</f>
        <v>0</v>
      </c>
      <c r="N456" s="65">
        <f ca="1">SUMIFS(OFFSET('BPC Data'!$F:$F,0,Summary!N$2),'BPC Data'!$E:$E,Summary!$D456,'BPC Data'!$B:$B,Summary!$C456)</f>
        <v>0</v>
      </c>
      <c r="O456" s="61">
        <f ca="1">SUMIFS(OFFSET('BPC Data'!$F:$F,0,Summary!O$2),'BPC Data'!$E:$E,Summary!$D456,'BPC Data'!$B:$B,Summary!$C456)</f>
        <v>0</v>
      </c>
      <c r="P456" s="65">
        <f ca="1">SUMIFS(OFFSET('BPC Data'!$F:$F,0,Summary!P$2),'BPC Data'!$E:$E,Summary!$D456,'BPC Data'!$B:$B,Summary!$C456)</f>
        <v>0</v>
      </c>
      <c r="Q456" s="61">
        <f ca="1">SUMIFS(OFFSET('BPC Data'!$F:$F,0,Summary!Q$2),'BPC Data'!$E:$E,Summary!$D456,'BPC Data'!$B:$B,Summary!$C456)</f>
        <v>0</v>
      </c>
      <c r="R456" s="65">
        <f ca="1">SUMIFS(OFFSET('BPC Data'!$F:$F,0,Summary!R$2),'BPC Data'!$E:$E,Summary!$D456,'BPC Data'!$B:$B,Summary!$C456)</f>
        <v>0</v>
      </c>
      <c r="S456" s="23"/>
      <c r="T456" s="76"/>
      <c r="AJ456" s="49"/>
      <c r="AK456" s="49"/>
      <c r="AL456" s="49"/>
      <c r="AM456" s="49"/>
      <c r="AN456" s="49"/>
      <c r="AO456" s="49"/>
      <c r="AP456" s="49"/>
      <c r="AQ456" s="49"/>
      <c r="AR456" s="49"/>
      <c r="AS456" s="49"/>
      <c r="AT456" s="49"/>
      <c r="AU456" s="49"/>
    </row>
    <row r="457" spans="1:47" s="12" customFormat="1" hidden="1" outlineLevel="1">
      <c r="A457" s="12">
        <f t="shared" si="464"/>
        <v>41</v>
      </c>
      <c r="B457"/>
      <c r="C457">
        <f>$F449</f>
        <v>0</v>
      </c>
      <c r="D457" s="1" t="str">
        <f t="shared" si="459"/>
        <v>T_EBITDAR - EBITDAR</v>
      </c>
      <c r="E457"/>
      <c r="F457" s="19" t="str">
        <f>_xll.EVDES(D457)</f>
        <v>EBITDAR</v>
      </c>
      <c r="G457" s="61">
        <f ca="1">SUMIFS(OFFSET('BPC Data'!$F:$F,0,Summary!G$2),'BPC Data'!$E:$E,Summary!$D457,'BPC Data'!$B:$B,Summary!$C457)</f>
        <v>0</v>
      </c>
      <c r="H457" s="65">
        <f ca="1">SUMIFS(OFFSET('BPC Data'!$F:$F,0,Summary!H$2),'BPC Data'!$E:$E,Summary!$D457,'BPC Data'!$B:$B,Summary!$C457)</f>
        <v>0</v>
      </c>
      <c r="I457" s="61">
        <f ca="1">SUMIFS(OFFSET('BPC Data'!$F:$F,0,Summary!I$2),'BPC Data'!$E:$E,Summary!$D457,'BPC Data'!$B:$B,Summary!$C457)</f>
        <v>0</v>
      </c>
      <c r="J457" s="65">
        <f ca="1">SUMIFS(OFFSET('BPC Data'!$F:$F,0,Summary!J$2),'BPC Data'!$E:$E,Summary!$D457,'BPC Data'!$B:$B,Summary!$C457)</f>
        <v>0</v>
      </c>
      <c r="K457" s="61">
        <f ca="1">SUMIFS(OFFSET('BPC Data'!$F:$F,0,Summary!K$2),'BPC Data'!$E:$E,Summary!$D457,'BPC Data'!$B:$B,Summary!$C457)</f>
        <v>0</v>
      </c>
      <c r="L457" s="65">
        <f ca="1">SUMIFS(OFFSET('BPC Data'!$F:$F,0,Summary!L$2),'BPC Data'!$E:$E,Summary!$D457,'BPC Data'!$B:$B,Summary!$C457)</f>
        <v>0</v>
      </c>
      <c r="M457" s="61">
        <f ca="1">SUMIFS(OFFSET('BPC Data'!$F:$F,0,Summary!M$2),'BPC Data'!$E:$E,Summary!$D457,'BPC Data'!$B:$B,Summary!$C457)</f>
        <v>0</v>
      </c>
      <c r="N457" s="65">
        <f ca="1">SUMIFS(OFFSET('BPC Data'!$F:$F,0,Summary!N$2),'BPC Data'!$E:$E,Summary!$D457,'BPC Data'!$B:$B,Summary!$C457)</f>
        <v>0</v>
      </c>
      <c r="O457" s="61">
        <f ca="1">SUMIFS(OFFSET('BPC Data'!$F:$F,0,Summary!O$2),'BPC Data'!$E:$E,Summary!$D457,'BPC Data'!$B:$B,Summary!$C457)</f>
        <v>0</v>
      </c>
      <c r="P457" s="65">
        <f ca="1">SUMIFS(OFFSET('BPC Data'!$F:$F,0,Summary!P$2),'BPC Data'!$E:$E,Summary!$D457,'BPC Data'!$B:$B,Summary!$C457)</f>
        <v>0</v>
      </c>
      <c r="Q457" s="61">
        <f ca="1">SUMIFS(OFFSET('BPC Data'!$F:$F,0,Summary!Q$2),'BPC Data'!$E:$E,Summary!$D457,'BPC Data'!$B:$B,Summary!$C457)</f>
        <v>0</v>
      </c>
      <c r="R457" s="65">
        <f ca="1">SUMIFS(OFFSET('BPC Data'!$F:$F,0,Summary!R$2),'BPC Data'!$E:$E,Summary!$D457,'BPC Data'!$B:$B,Summary!$C457)</f>
        <v>0</v>
      </c>
      <c r="S457" s="23"/>
      <c r="T457" s="76"/>
      <c r="AJ457" s="49"/>
      <c r="AK457" s="49"/>
      <c r="AL457" s="49"/>
      <c r="AM457" s="49"/>
      <c r="AN457" s="49"/>
      <c r="AO457" s="49"/>
      <c r="AP457" s="49"/>
      <c r="AQ457" s="49"/>
      <c r="AR457" s="49"/>
      <c r="AS457" s="49"/>
      <c r="AT457" s="49"/>
      <c r="AU457" s="49"/>
    </row>
    <row r="458" spans="1:47" s="12" customFormat="1" hidden="1" outlineLevel="1">
      <c r="A458" s="12">
        <f t="shared" si="464"/>
        <v>41</v>
      </c>
      <c r="B458"/>
      <c r="C458">
        <f>$F449</f>
        <v>0</v>
      </c>
      <c r="D458" s="1" t="str">
        <f t="shared" si="459"/>
        <v>T_RENT_EXP - Tenant Rent Expense</v>
      </c>
      <c r="E458"/>
      <c r="F458" s="19" t="str">
        <f>_xll.EVDES(D458)</f>
        <v>Tenant Rent Expense</v>
      </c>
      <c r="G458" s="61">
        <f ca="1">SUMIFS(OFFSET('BPC Data'!$F:$F,0,Summary!G$2),'BPC Data'!$E:$E,Summary!$D458,'BPC Data'!$B:$B,Summary!$C458)</f>
        <v>0</v>
      </c>
      <c r="H458" s="65">
        <f ca="1">SUMIFS(OFFSET('BPC Data'!$F:$F,0,Summary!H$2),'BPC Data'!$E:$E,Summary!$D458,'BPC Data'!$B:$B,Summary!$C458)</f>
        <v>0</v>
      </c>
      <c r="I458" s="61">
        <f ca="1">SUMIFS(OFFSET('BPC Data'!$F:$F,0,Summary!I$2),'BPC Data'!$E:$E,Summary!$D458,'BPC Data'!$B:$B,Summary!$C458)</f>
        <v>0</v>
      </c>
      <c r="J458" s="65">
        <f ca="1">SUMIFS(OFFSET('BPC Data'!$F:$F,0,Summary!J$2),'BPC Data'!$E:$E,Summary!$D458,'BPC Data'!$B:$B,Summary!$C458)</f>
        <v>0</v>
      </c>
      <c r="K458" s="61">
        <f ca="1">SUMIFS(OFFSET('BPC Data'!$F:$F,0,Summary!K$2),'BPC Data'!$E:$E,Summary!$D458,'BPC Data'!$B:$B,Summary!$C458)</f>
        <v>0</v>
      </c>
      <c r="L458" s="65">
        <f ca="1">SUMIFS(OFFSET('BPC Data'!$F:$F,0,Summary!L$2),'BPC Data'!$E:$E,Summary!$D458,'BPC Data'!$B:$B,Summary!$C458)</f>
        <v>0</v>
      </c>
      <c r="M458" s="61">
        <f ca="1">SUMIFS(OFFSET('BPC Data'!$F:$F,0,Summary!M$2),'BPC Data'!$E:$E,Summary!$D458,'BPC Data'!$B:$B,Summary!$C458)</f>
        <v>0</v>
      </c>
      <c r="N458" s="65">
        <f ca="1">SUMIFS(OFFSET('BPC Data'!$F:$F,0,Summary!N$2),'BPC Data'!$E:$E,Summary!$D458,'BPC Data'!$B:$B,Summary!$C458)</f>
        <v>0</v>
      </c>
      <c r="O458" s="61">
        <f ca="1">SUMIFS(OFFSET('BPC Data'!$F:$F,0,Summary!O$2),'BPC Data'!$E:$E,Summary!$D458,'BPC Data'!$B:$B,Summary!$C458)</f>
        <v>0</v>
      </c>
      <c r="P458" s="65">
        <f ca="1">SUMIFS(OFFSET('BPC Data'!$F:$F,0,Summary!P$2),'BPC Data'!$E:$E,Summary!$D458,'BPC Data'!$B:$B,Summary!$C458)</f>
        <v>0</v>
      </c>
      <c r="Q458" s="61">
        <f ca="1">SUMIFS(OFFSET('BPC Data'!$F:$F,0,Summary!Q$2),'BPC Data'!$E:$E,Summary!$D458,'BPC Data'!$B:$B,Summary!$C458)</f>
        <v>0</v>
      </c>
      <c r="R458" s="65">
        <f ca="1">SUMIFS(OFFSET('BPC Data'!$F:$F,0,Summary!R$2),'BPC Data'!$E:$E,Summary!$D458,'BPC Data'!$B:$B,Summary!$C458)</f>
        <v>0</v>
      </c>
      <c r="S458" s="23"/>
      <c r="T458" s="76"/>
      <c r="AJ458" s="49"/>
      <c r="AK458" s="49"/>
      <c r="AL458" s="49"/>
      <c r="AM458" s="49"/>
      <c r="AN458" s="49"/>
      <c r="AO458" s="49"/>
      <c r="AP458" s="49"/>
      <c r="AQ458" s="49"/>
      <c r="AR458" s="49"/>
      <c r="AS458" s="49"/>
      <c r="AT458" s="49"/>
      <c r="AU458" s="49"/>
    </row>
    <row r="459" spans="1:47" s="12" customFormat="1" hidden="1" outlineLevel="1">
      <c r="A459" s="12">
        <f t="shared" si="464"/>
        <v>41</v>
      </c>
      <c r="B459"/>
      <c r="C459"/>
      <c r="D459" s="1" t="str">
        <f t="shared" si="459"/>
        <v>x</v>
      </c>
      <c r="E459"/>
      <c r="F459" s="19" t="s">
        <v>0</v>
      </c>
      <c r="G459" s="61">
        <f ca="1">SUMIFS(OFFSET('BPC Data'!$F:$F,0,Summary!G$2),'BPC Data'!$E:$E,Summary!$D459,'BPC Data'!$B:$B,Summary!$C459)</f>
        <v>0</v>
      </c>
      <c r="H459" s="65">
        <f ca="1">SUMIFS(OFFSET('BPC Data'!$F:$F,0,Summary!H$2),'BPC Data'!$E:$E,Summary!$D459,'BPC Data'!$B:$B,Summary!$C459)</f>
        <v>0</v>
      </c>
      <c r="I459" s="61">
        <f ca="1">SUMIFS(OFFSET('BPC Data'!$F:$F,0,Summary!I$2),'BPC Data'!$E:$E,Summary!$D459,'BPC Data'!$B:$B,Summary!$C459)</f>
        <v>0</v>
      </c>
      <c r="J459" s="65">
        <f ca="1">SUMIFS(OFFSET('BPC Data'!$F:$F,0,Summary!J$2),'BPC Data'!$E:$E,Summary!$D459,'BPC Data'!$B:$B,Summary!$C459)</f>
        <v>0</v>
      </c>
      <c r="K459" s="61">
        <f ca="1">SUMIFS(OFFSET('BPC Data'!$F:$F,0,Summary!K$2),'BPC Data'!$E:$E,Summary!$D459,'BPC Data'!$B:$B,Summary!$C459)</f>
        <v>0</v>
      </c>
      <c r="L459" s="65">
        <f ca="1">SUMIFS(OFFSET('BPC Data'!$F:$F,0,Summary!L$2),'BPC Data'!$E:$E,Summary!$D459,'BPC Data'!$B:$B,Summary!$C459)</f>
        <v>0</v>
      </c>
      <c r="M459" s="61">
        <f ca="1">SUMIFS(OFFSET('BPC Data'!$F:$F,0,Summary!M$2),'BPC Data'!$E:$E,Summary!$D459,'BPC Data'!$B:$B,Summary!$C459)</f>
        <v>0</v>
      </c>
      <c r="N459" s="65">
        <f ca="1">SUMIFS(OFFSET('BPC Data'!$F:$F,0,Summary!N$2),'BPC Data'!$E:$E,Summary!$D459,'BPC Data'!$B:$B,Summary!$C459)</f>
        <v>0</v>
      </c>
      <c r="O459" s="61">
        <f ca="1">SUMIFS(OFFSET('BPC Data'!$F:$F,0,Summary!O$2),'BPC Data'!$E:$E,Summary!$D459,'BPC Data'!$B:$B,Summary!$C459)</f>
        <v>0</v>
      </c>
      <c r="P459" s="65">
        <f ca="1">SUMIFS(OFFSET('BPC Data'!$F:$F,0,Summary!P$2),'BPC Data'!$E:$E,Summary!$D459,'BPC Data'!$B:$B,Summary!$C459)</f>
        <v>0</v>
      </c>
      <c r="Q459" s="61">
        <f ca="1">SUMIFS(OFFSET('BPC Data'!$F:$F,0,Summary!Q$2),'BPC Data'!$E:$E,Summary!$D459,'BPC Data'!$B:$B,Summary!$C459)</f>
        <v>0</v>
      </c>
      <c r="R459" s="65">
        <f ca="1">SUMIFS(OFFSET('BPC Data'!$F:$F,0,Summary!R$2),'BPC Data'!$E:$E,Summary!$D459,'BPC Data'!$B:$B,Summary!$C459)</f>
        <v>0</v>
      </c>
      <c r="S459" s="23"/>
      <c r="T459" s="76"/>
      <c r="AJ459" s="49"/>
      <c r="AK459" s="49"/>
      <c r="AL459" s="49"/>
      <c r="AM459" s="49"/>
      <c r="AN459" s="49"/>
      <c r="AO459" s="49"/>
      <c r="AP459" s="49"/>
      <c r="AQ459" s="49"/>
      <c r="AR459" s="49"/>
      <c r="AS459" s="49"/>
      <c r="AT459" s="49"/>
      <c r="AU459" s="49"/>
    </row>
    <row r="460" spans="1:47" s="12" customFormat="1" hidden="1" outlineLevel="1">
      <c r="A460" s="12">
        <f>IF(AND(D460&lt;&gt;"",C460=""),A459+1,A459)</f>
        <v>42</v>
      </c>
      <c r="B460" s="5"/>
      <c r="C460" s="5"/>
      <c r="D460" s="5" t="str">
        <f t="shared" si="459"/>
        <v>x</v>
      </c>
      <c r="E460" s="5"/>
      <c r="F460" s="18">
        <f>INDEX(PropertyList!$D:$D,MATCH(Summary!$A460,PropertyList!$C:$C,0))</f>
        <v>0</v>
      </c>
      <c r="G460" s="61">
        <f ca="1">SUMIFS(OFFSET('BPC Data'!$F:$F,0,Summary!G$2),'BPC Data'!$E:$E,Summary!$D460,'BPC Data'!$B:$B,Summary!$C460)</f>
        <v>0</v>
      </c>
      <c r="H460" s="65">
        <f ca="1">SUMIFS(OFFSET('BPC Data'!$F:$F,0,Summary!H$2),'BPC Data'!$E:$E,Summary!$D460,'BPC Data'!$B:$B,Summary!$C460)</f>
        <v>0</v>
      </c>
      <c r="I460" s="61">
        <f ca="1">SUMIFS(OFFSET('BPC Data'!$F:$F,0,Summary!I$2),'BPC Data'!$E:$E,Summary!$D460,'BPC Data'!$B:$B,Summary!$C460)</f>
        <v>0</v>
      </c>
      <c r="J460" s="65">
        <f ca="1">SUMIFS(OFFSET('BPC Data'!$F:$F,0,Summary!J$2),'BPC Data'!$E:$E,Summary!$D460,'BPC Data'!$B:$B,Summary!$C460)</f>
        <v>0</v>
      </c>
      <c r="K460" s="61">
        <f ca="1">SUMIFS(OFFSET('BPC Data'!$F:$F,0,Summary!K$2),'BPC Data'!$E:$E,Summary!$D460,'BPC Data'!$B:$B,Summary!$C460)</f>
        <v>0</v>
      </c>
      <c r="L460" s="65">
        <f ca="1">SUMIFS(OFFSET('BPC Data'!$F:$F,0,Summary!L$2),'BPC Data'!$E:$E,Summary!$D460,'BPC Data'!$B:$B,Summary!$C460)</f>
        <v>0</v>
      </c>
      <c r="M460" s="61">
        <f ca="1">SUMIFS(OFFSET('BPC Data'!$F:$F,0,Summary!M$2),'BPC Data'!$E:$E,Summary!$D460,'BPC Data'!$B:$B,Summary!$C460)</f>
        <v>0</v>
      </c>
      <c r="N460" s="65">
        <f ca="1">SUMIFS(OFFSET('BPC Data'!$F:$F,0,Summary!N$2),'BPC Data'!$E:$E,Summary!$D460,'BPC Data'!$B:$B,Summary!$C460)</f>
        <v>0</v>
      </c>
      <c r="O460" s="61">
        <f ca="1">SUMIFS(OFFSET('BPC Data'!$F:$F,0,Summary!O$2),'BPC Data'!$E:$E,Summary!$D460,'BPC Data'!$B:$B,Summary!$C460)</f>
        <v>0</v>
      </c>
      <c r="P460" s="65">
        <f ca="1">SUMIFS(OFFSET('BPC Data'!$F:$F,0,Summary!P$2),'BPC Data'!$E:$E,Summary!$D460,'BPC Data'!$B:$B,Summary!$C460)</f>
        <v>0</v>
      </c>
      <c r="Q460" s="61">
        <f ca="1">SUMIFS(OFFSET('BPC Data'!$F:$F,0,Summary!Q$2),'BPC Data'!$E:$E,Summary!$D460,'BPC Data'!$B:$B,Summary!$C460)</f>
        <v>0</v>
      </c>
      <c r="R460" s="65">
        <f ca="1">SUMIFS(OFFSET('BPC Data'!$F:$F,0,Summary!R$2),'BPC Data'!$E:$E,Summary!$D460,'BPC Data'!$B:$B,Summary!$C460)</f>
        <v>0</v>
      </c>
      <c r="S460" s="23"/>
      <c r="T460" s="76"/>
      <c r="AJ460" s="49"/>
      <c r="AK460" s="49"/>
      <c r="AL460" s="49"/>
      <c r="AM460" s="49"/>
      <c r="AN460" s="49"/>
      <c r="AO460" s="49"/>
      <c r="AP460" s="49"/>
      <c r="AQ460" s="49"/>
      <c r="AR460" s="49"/>
      <c r="AS460" s="49"/>
      <c r="AT460" s="49"/>
      <c r="AU460" s="49"/>
    </row>
    <row r="461" spans="1:47" s="12" customFormat="1" hidden="1" outlineLevel="1">
      <c r="A461" s="12">
        <f>IF(AND(F461&lt;&gt;"",D461=""),A460+1,A460)</f>
        <v>42</v>
      </c>
      <c r="C461">
        <f>$F460</f>
        <v>0</v>
      </c>
      <c r="D461" s="3" t="str">
        <f t="shared" si="459"/>
        <v>PAY_PAT_DAYS - Total Payor Patient Days</v>
      </c>
      <c r="F461" s="19" t="str">
        <f>_xll.EVDES(D461)</f>
        <v>Total Payor Patient Days</v>
      </c>
      <c r="G461" s="61">
        <f ca="1">SUMIFS(OFFSET('BPC Data'!$F:$F,0,Summary!G$2),'BPC Data'!$E:$E,Summary!$D461,'BPC Data'!$B:$B,Summary!$C461)</f>
        <v>0</v>
      </c>
      <c r="H461" s="65">
        <f ca="1">SUMIFS(OFFSET('BPC Data'!$F:$F,0,Summary!H$2),'BPC Data'!$E:$E,Summary!$D461,'BPC Data'!$B:$B,Summary!$C461)</f>
        <v>0</v>
      </c>
      <c r="I461" s="61">
        <f ca="1">SUMIFS(OFFSET('BPC Data'!$F:$F,0,Summary!I$2),'BPC Data'!$E:$E,Summary!$D461,'BPC Data'!$B:$B,Summary!$C461)</f>
        <v>0</v>
      </c>
      <c r="J461" s="65">
        <f ca="1">SUMIFS(OFFSET('BPC Data'!$F:$F,0,Summary!J$2),'BPC Data'!$E:$E,Summary!$D461,'BPC Data'!$B:$B,Summary!$C461)</f>
        <v>0</v>
      </c>
      <c r="K461" s="61">
        <f ca="1">SUMIFS(OFFSET('BPC Data'!$F:$F,0,Summary!K$2),'BPC Data'!$E:$E,Summary!$D461,'BPC Data'!$B:$B,Summary!$C461)</f>
        <v>0</v>
      </c>
      <c r="L461" s="65">
        <f ca="1">SUMIFS(OFFSET('BPC Data'!$F:$F,0,Summary!L$2),'BPC Data'!$E:$E,Summary!$D461,'BPC Data'!$B:$B,Summary!$C461)</f>
        <v>0</v>
      </c>
      <c r="M461" s="61">
        <f ca="1">SUMIFS(OFFSET('BPC Data'!$F:$F,0,Summary!M$2),'BPC Data'!$E:$E,Summary!$D461,'BPC Data'!$B:$B,Summary!$C461)</f>
        <v>0</v>
      </c>
      <c r="N461" s="65">
        <f ca="1">SUMIFS(OFFSET('BPC Data'!$F:$F,0,Summary!N$2),'BPC Data'!$E:$E,Summary!$D461,'BPC Data'!$B:$B,Summary!$C461)</f>
        <v>0</v>
      </c>
      <c r="O461" s="61">
        <f ca="1">SUMIFS(OFFSET('BPC Data'!$F:$F,0,Summary!O$2),'BPC Data'!$E:$E,Summary!$D461,'BPC Data'!$B:$B,Summary!$C461)</f>
        <v>0</v>
      </c>
      <c r="P461" s="65">
        <f ca="1">SUMIFS(OFFSET('BPC Data'!$F:$F,0,Summary!P$2),'BPC Data'!$E:$E,Summary!$D461,'BPC Data'!$B:$B,Summary!$C461)</f>
        <v>0</v>
      </c>
      <c r="Q461" s="61">
        <f ca="1">SUMIFS(OFFSET('BPC Data'!$F:$F,0,Summary!Q$2),'BPC Data'!$E:$E,Summary!$D461,'BPC Data'!$B:$B,Summary!$C461)</f>
        <v>0</v>
      </c>
      <c r="R461" s="65">
        <f ca="1">SUMIFS(OFFSET('BPC Data'!$F:$F,0,Summary!R$2),'BPC Data'!$E:$E,Summary!$D461,'BPC Data'!$B:$B,Summary!$C461)</f>
        <v>0</v>
      </c>
      <c r="S461" s="23"/>
      <c r="T461" s="76"/>
      <c r="AJ461" s="49"/>
      <c r="AK461" s="49"/>
      <c r="AL461" s="49"/>
      <c r="AM461" s="49"/>
      <c r="AN461" s="49"/>
      <c r="AO461" s="49"/>
      <c r="AP461" s="49"/>
      <c r="AQ461" s="49"/>
      <c r="AR461" s="49"/>
      <c r="AS461" s="49"/>
      <c r="AT461" s="49"/>
      <c r="AU461" s="49"/>
    </row>
    <row r="462" spans="1:47" s="12" customFormat="1" hidden="1" outlineLevel="1">
      <c r="A462" s="12">
        <f t="shared" ref="A462:A470" si="465">IF(AND(F462&lt;&gt;"",D462=""),A461+1,A461)</f>
        <v>42</v>
      </c>
      <c r="C462">
        <f>$F460</f>
        <v>0</v>
      </c>
      <c r="D462" s="3" t="str">
        <f t="shared" si="459"/>
        <v>A_BEDS_TOTAL - Total Available Beds</v>
      </c>
      <c r="F462" s="19" t="str">
        <f>_xll.EVDES(D462)</f>
        <v>Total Available Beds</v>
      </c>
      <c r="G462" s="61">
        <f ca="1">SUMIFS(OFFSET('BPC Data'!$F:$F,0,Summary!G$2),'BPC Data'!$E:$E,Summary!$D462,'BPC Data'!$B:$B,Summary!$C462)</f>
        <v>0</v>
      </c>
      <c r="H462" s="65">
        <f ca="1">SUMIFS(OFFSET('BPC Data'!$F:$F,0,Summary!H$2),'BPC Data'!$E:$E,Summary!$D462,'BPC Data'!$B:$B,Summary!$C462)</f>
        <v>0</v>
      </c>
      <c r="I462" s="61">
        <f ca="1">SUMIFS(OFFSET('BPC Data'!$F:$F,0,Summary!I$2),'BPC Data'!$E:$E,Summary!$D462,'BPC Data'!$B:$B,Summary!$C462)</f>
        <v>0</v>
      </c>
      <c r="J462" s="65">
        <f ca="1">SUMIFS(OFFSET('BPC Data'!$F:$F,0,Summary!J$2),'BPC Data'!$E:$E,Summary!$D462,'BPC Data'!$B:$B,Summary!$C462)</f>
        <v>0</v>
      </c>
      <c r="K462" s="61">
        <f ca="1">SUMIFS(OFFSET('BPC Data'!$F:$F,0,Summary!K$2),'BPC Data'!$E:$E,Summary!$D462,'BPC Data'!$B:$B,Summary!$C462)</f>
        <v>0</v>
      </c>
      <c r="L462" s="65">
        <f ca="1">SUMIFS(OFFSET('BPC Data'!$F:$F,0,Summary!L$2),'BPC Data'!$E:$E,Summary!$D462,'BPC Data'!$B:$B,Summary!$C462)</f>
        <v>0</v>
      </c>
      <c r="M462" s="61">
        <f ca="1">SUMIFS(OFFSET('BPC Data'!$F:$F,0,Summary!M$2),'BPC Data'!$E:$E,Summary!$D462,'BPC Data'!$B:$B,Summary!$C462)</f>
        <v>0</v>
      </c>
      <c r="N462" s="65">
        <f ca="1">SUMIFS(OFFSET('BPC Data'!$F:$F,0,Summary!N$2),'BPC Data'!$E:$E,Summary!$D462,'BPC Data'!$B:$B,Summary!$C462)</f>
        <v>0</v>
      </c>
      <c r="O462" s="61">
        <f ca="1">SUMIFS(OFFSET('BPC Data'!$F:$F,0,Summary!O$2),'BPC Data'!$E:$E,Summary!$D462,'BPC Data'!$B:$B,Summary!$C462)</f>
        <v>0</v>
      </c>
      <c r="P462" s="65">
        <f ca="1">SUMIFS(OFFSET('BPC Data'!$F:$F,0,Summary!P$2),'BPC Data'!$E:$E,Summary!$D462,'BPC Data'!$B:$B,Summary!$C462)</f>
        <v>0</v>
      </c>
      <c r="Q462" s="61">
        <f ca="1">SUMIFS(OFFSET('BPC Data'!$F:$F,0,Summary!Q$2),'BPC Data'!$E:$E,Summary!$D462,'BPC Data'!$B:$B,Summary!$C462)</f>
        <v>0</v>
      </c>
      <c r="R462" s="65">
        <f ca="1">SUMIFS(OFFSET('BPC Data'!$F:$F,0,Summary!R$2),'BPC Data'!$E:$E,Summary!$D462,'BPC Data'!$B:$B,Summary!$C462)</f>
        <v>0</v>
      </c>
      <c r="S462" s="23"/>
      <c r="T462" s="76"/>
      <c r="AJ462" s="49"/>
      <c r="AK462" s="49"/>
      <c r="AL462" s="49"/>
      <c r="AM462" s="49"/>
      <c r="AN462" s="49"/>
      <c r="AO462" s="49"/>
      <c r="AP462" s="49"/>
      <c r="AQ462" s="49"/>
      <c r="AR462" s="49"/>
      <c r="AS462" s="49"/>
      <c r="AT462" s="49"/>
      <c r="AU462" s="49"/>
    </row>
    <row r="463" spans="1:47" s="12" customFormat="1" hidden="1" outlineLevel="1">
      <c r="A463" s="12">
        <f t="shared" si="465"/>
        <v>42</v>
      </c>
      <c r="B463"/>
      <c r="C463">
        <f>$F460</f>
        <v>0</v>
      </c>
      <c r="D463" s="3" t="str">
        <f t="shared" si="459"/>
        <v>T_REVENUES - Total Tenant Revenues</v>
      </c>
      <c r="E463"/>
      <c r="F463" s="19" t="str">
        <f>_xll.EVDES(D463)</f>
        <v>Total Tenant Revenues</v>
      </c>
      <c r="G463" s="61">
        <f ca="1">SUMIFS(OFFSET('BPC Data'!$F:$F,0,Summary!G$2),'BPC Data'!$E:$E,Summary!$D463,'BPC Data'!$B:$B,Summary!$C463)</f>
        <v>0</v>
      </c>
      <c r="H463" s="65">
        <f ca="1">SUMIFS(OFFSET('BPC Data'!$F:$F,0,Summary!H$2),'BPC Data'!$E:$E,Summary!$D463,'BPC Data'!$B:$B,Summary!$C463)</f>
        <v>0</v>
      </c>
      <c r="I463" s="61">
        <f ca="1">SUMIFS(OFFSET('BPC Data'!$F:$F,0,Summary!I$2),'BPC Data'!$E:$E,Summary!$D463,'BPC Data'!$B:$B,Summary!$C463)</f>
        <v>0</v>
      </c>
      <c r="J463" s="65">
        <f ca="1">SUMIFS(OFFSET('BPC Data'!$F:$F,0,Summary!J$2),'BPC Data'!$E:$E,Summary!$D463,'BPC Data'!$B:$B,Summary!$C463)</f>
        <v>0</v>
      </c>
      <c r="K463" s="61">
        <f ca="1">SUMIFS(OFFSET('BPC Data'!$F:$F,0,Summary!K$2),'BPC Data'!$E:$E,Summary!$D463,'BPC Data'!$B:$B,Summary!$C463)</f>
        <v>0</v>
      </c>
      <c r="L463" s="65">
        <f ca="1">SUMIFS(OFFSET('BPC Data'!$F:$F,0,Summary!L$2),'BPC Data'!$E:$E,Summary!$D463,'BPC Data'!$B:$B,Summary!$C463)</f>
        <v>0</v>
      </c>
      <c r="M463" s="61">
        <f ca="1">SUMIFS(OFFSET('BPC Data'!$F:$F,0,Summary!M$2),'BPC Data'!$E:$E,Summary!$D463,'BPC Data'!$B:$B,Summary!$C463)</f>
        <v>0</v>
      </c>
      <c r="N463" s="65">
        <f ca="1">SUMIFS(OFFSET('BPC Data'!$F:$F,0,Summary!N$2),'BPC Data'!$E:$E,Summary!$D463,'BPC Data'!$B:$B,Summary!$C463)</f>
        <v>0</v>
      </c>
      <c r="O463" s="61">
        <f ca="1">SUMIFS(OFFSET('BPC Data'!$F:$F,0,Summary!O$2),'BPC Data'!$E:$E,Summary!$D463,'BPC Data'!$B:$B,Summary!$C463)</f>
        <v>0</v>
      </c>
      <c r="P463" s="65">
        <f ca="1">SUMIFS(OFFSET('BPC Data'!$F:$F,0,Summary!P$2),'BPC Data'!$E:$E,Summary!$D463,'BPC Data'!$B:$B,Summary!$C463)</f>
        <v>0</v>
      </c>
      <c r="Q463" s="61">
        <f ca="1">SUMIFS(OFFSET('BPC Data'!$F:$F,0,Summary!Q$2),'BPC Data'!$E:$E,Summary!$D463,'BPC Data'!$B:$B,Summary!$C463)</f>
        <v>0</v>
      </c>
      <c r="R463" s="65">
        <f ca="1">SUMIFS(OFFSET('BPC Data'!$F:$F,0,Summary!R$2),'BPC Data'!$E:$E,Summary!$D463,'BPC Data'!$B:$B,Summary!$C463)</f>
        <v>0</v>
      </c>
      <c r="S463" s="23"/>
      <c r="T463" s="76"/>
      <c r="AJ463" s="49"/>
      <c r="AK463" s="49"/>
      <c r="AL463" s="49"/>
      <c r="AM463" s="49"/>
      <c r="AN463" s="49"/>
      <c r="AO463" s="49"/>
      <c r="AP463" s="49"/>
      <c r="AQ463" s="49"/>
      <c r="AR463" s="49"/>
      <c r="AS463" s="49"/>
      <c r="AT463" s="49"/>
      <c r="AU463" s="49"/>
    </row>
    <row r="464" spans="1:47" s="12" customFormat="1" hidden="1" outlineLevel="1">
      <c r="A464" s="12">
        <f t="shared" si="465"/>
        <v>42</v>
      </c>
      <c r="B464"/>
      <c r="C464">
        <f>$F460</f>
        <v>0</v>
      </c>
      <c r="D464" s="3" t="str">
        <f t="shared" si="459"/>
        <v>T_OPEX - Tenant Operating Expenses</v>
      </c>
      <c r="E464"/>
      <c r="F464" s="19" t="str">
        <f>_xll.EVDES(D464)</f>
        <v>Tenant Operating Expenses</v>
      </c>
      <c r="G464" s="61">
        <f ca="1">SUMIFS(OFFSET('BPC Data'!$F:$F,0,Summary!G$2),'BPC Data'!$E:$E,Summary!$D464,'BPC Data'!$B:$B,Summary!$C464)</f>
        <v>0</v>
      </c>
      <c r="H464" s="65">
        <f ca="1">SUMIFS(OFFSET('BPC Data'!$F:$F,0,Summary!H$2),'BPC Data'!$E:$E,Summary!$D464,'BPC Data'!$B:$B,Summary!$C464)</f>
        <v>0</v>
      </c>
      <c r="I464" s="61">
        <f ca="1">SUMIFS(OFFSET('BPC Data'!$F:$F,0,Summary!I$2),'BPC Data'!$E:$E,Summary!$D464,'BPC Data'!$B:$B,Summary!$C464)</f>
        <v>0</v>
      </c>
      <c r="J464" s="65">
        <f ca="1">SUMIFS(OFFSET('BPC Data'!$F:$F,0,Summary!J$2),'BPC Data'!$E:$E,Summary!$D464,'BPC Data'!$B:$B,Summary!$C464)</f>
        <v>0</v>
      </c>
      <c r="K464" s="61">
        <f ca="1">SUMIFS(OFFSET('BPC Data'!$F:$F,0,Summary!K$2),'BPC Data'!$E:$E,Summary!$D464,'BPC Data'!$B:$B,Summary!$C464)</f>
        <v>0</v>
      </c>
      <c r="L464" s="65">
        <f ca="1">SUMIFS(OFFSET('BPC Data'!$F:$F,0,Summary!L$2),'BPC Data'!$E:$E,Summary!$D464,'BPC Data'!$B:$B,Summary!$C464)</f>
        <v>0</v>
      </c>
      <c r="M464" s="61">
        <f ca="1">SUMIFS(OFFSET('BPC Data'!$F:$F,0,Summary!M$2),'BPC Data'!$E:$E,Summary!$D464,'BPC Data'!$B:$B,Summary!$C464)</f>
        <v>0</v>
      </c>
      <c r="N464" s="65">
        <f ca="1">SUMIFS(OFFSET('BPC Data'!$F:$F,0,Summary!N$2),'BPC Data'!$E:$E,Summary!$D464,'BPC Data'!$B:$B,Summary!$C464)</f>
        <v>0</v>
      </c>
      <c r="O464" s="61">
        <f ca="1">SUMIFS(OFFSET('BPC Data'!$F:$F,0,Summary!O$2),'BPC Data'!$E:$E,Summary!$D464,'BPC Data'!$B:$B,Summary!$C464)</f>
        <v>0</v>
      </c>
      <c r="P464" s="65">
        <f ca="1">SUMIFS(OFFSET('BPC Data'!$F:$F,0,Summary!P$2),'BPC Data'!$E:$E,Summary!$D464,'BPC Data'!$B:$B,Summary!$C464)</f>
        <v>0</v>
      </c>
      <c r="Q464" s="61">
        <f ca="1">SUMIFS(OFFSET('BPC Data'!$F:$F,0,Summary!Q$2),'BPC Data'!$E:$E,Summary!$D464,'BPC Data'!$B:$B,Summary!$C464)</f>
        <v>0</v>
      </c>
      <c r="R464" s="65">
        <f ca="1">SUMIFS(OFFSET('BPC Data'!$F:$F,0,Summary!R$2),'BPC Data'!$E:$E,Summary!$D464,'BPC Data'!$B:$B,Summary!$C464)</f>
        <v>0</v>
      </c>
      <c r="S464" s="23"/>
      <c r="T464" s="76"/>
      <c r="AJ464" s="49"/>
      <c r="AK464" s="49"/>
      <c r="AL464" s="49"/>
      <c r="AM464" s="49"/>
      <c r="AN464" s="49"/>
      <c r="AO464" s="49"/>
      <c r="AP464" s="49"/>
      <c r="AQ464" s="49"/>
      <c r="AR464" s="49"/>
      <c r="AS464" s="49"/>
      <c r="AT464" s="49"/>
      <c r="AU464" s="49"/>
    </row>
    <row r="465" spans="1:47" s="12" customFormat="1" hidden="1" outlineLevel="1">
      <c r="A465" s="12">
        <f t="shared" si="465"/>
        <v>42</v>
      </c>
      <c r="B465"/>
      <c r="C465">
        <f>$F460</f>
        <v>0</v>
      </c>
      <c r="D465" s="3" t="str">
        <f t="shared" si="459"/>
        <v>T_BAD_DEBT - Tenant Bad Debt Expense</v>
      </c>
      <c r="E465"/>
      <c r="F465" s="19" t="str">
        <f>_xll.EVDES(D465)</f>
        <v>Tenant Bad Debt Expense</v>
      </c>
      <c r="G465" s="61">
        <f ca="1">SUMIFS(OFFSET('BPC Data'!$F:$F,0,Summary!G$2),'BPC Data'!$E:$E,Summary!$D465,'BPC Data'!$B:$B,Summary!$C465)</f>
        <v>0</v>
      </c>
      <c r="H465" s="65">
        <f ca="1">SUMIFS(OFFSET('BPC Data'!$F:$F,0,Summary!H$2),'BPC Data'!$E:$E,Summary!$D465,'BPC Data'!$B:$B,Summary!$C465)</f>
        <v>0</v>
      </c>
      <c r="I465" s="61">
        <f ca="1">SUMIFS(OFFSET('BPC Data'!$F:$F,0,Summary!I$2),'BPC Data'!$E:$E,Summary!$D465,'BPC Data'!$B:$B,Summary!$C465)</f>
        <v>0</v>
      </c>
      <c r="J465" s="65">
        <f ca="1">SUMIFS(OFFSET('BPC Data'!$F:$F,0,Summary!J$2),'BPC Data'!$E:$E,Summary!$D465,'BPC Data'!$B:$B,Summary!$C465)</f>
        <v>0</v>
      </c>
      <c r="K465" s="61">
        <f ca="1">SUMIFS(OFFSET('BPC Data'!$F:$F,0,Summary!K$2),'BPC Data'!$E:$E,Summary!$D465,'BPC Data'!$B:$B,Summary!$C465)</f>
        <v>0</v>
      </c>
      <c r="L465" s="65">
        <f ca="1">SUMIFS(OFFSET('BPC Data'!$F:$F,0,Summary!L$2),'BPC Data'!$E:$E,Summary!$D465,'BPC Data'!$B:$B,Summary!$C465)</f>
        <v>0</v>
      </c>
      <c r="M465" s="61">
        <f ca="1">SUMIFS(OFFSET('BPC Data'!$F:$F,0,Summary!M$2),'BPC Data'!$E:$E,Summary!$D465,'BPC Data'!$B:$B,Summary!$C465)</f>
        <v>0</v>
      </c>
      <c r="N465" s="65">
        <f ca="1">SUMIFS(OFFSET('BPC Data'!$F:$F,0,Summary!N$2),'BPC Data'!$E:$E,Summary!$D465,'BPC Data'!$B:$B,Summary!$C465)</f>
        <v>0</v>
      </c>
      <c r="O465" s="61">
        <f ca="1">SUMIFS(OFFSET('BPC Data'!$F:$F,0,Summary!O$2),'BPC Data'!$E:$E,Summary!$D465,'BPC Data'!$B:$B,Summary!$C465)</f>
        <v>0</v>
      </c>
      <c r="P465" s="65">
        <f ca="1">SUMIFS(OFFSET('BPC Data'!$F:$F,0,Summary!P$2),'BPC Data'!$E:$E,Summary!$D465,'BPC Data'!$B:$B,Summary!$C465)</f>
        <v>0</v>
      </c>
      <c r="Q465" s="61">
        <f ca="1">SUMIFS(OFFSET('BPC Data'!$F:$F,0,Summary!Q$2),'BPC Data'!$E:$E,Summary!$D465,'BPC Data'!$B:$B,Summary!$C465)</f>
        <v>0</v>
      </c>
      <c r="R465" s="65">
        <f ca="1">SUMIFS(OFFSET('BPC Data'!$F:$F,0,Summary!R$2),'BPC Data'!$E:$E,Summary!$D465,'BPC Data'!$B:$B,Summary!$C465)</f>
        <v>0</v>
      </c>
      <c r="S465" s="23"/>
      <c r="T465" s="76"/>
      <c r="AJ465" s="49"/>
      <c r="AK465" s="49"/>
      <c r="AL465" s="49"/>
      <c r="AM465" s="49"/>
      <c r="AN465" s="49"/>
      <c r="AO465" s="49"/>
      <c r="AP465" s="49"/>
      <c r="AQ465" s="49"/>
      <c r="AR465" s="49"/>
      <c r="AS465" s="49"/>
      <c r="AT465" s="49"/>
      <c r="AU465" s="49"/>
    </row>
    <row r="466" spans="1:47" s="12" customFormat="1" hidden="1" outlineLevel="1">
      <c r="A466" s="12">
        <f t="shared" si="465"/>
        <v>42</v>
      </c>
      <c r="B466"/>
      <c r="C466">
        <f>$F460</f>
        <v>0</v>
      </c>
      <c r="D466" s="2" t="str">
        <f t="shared" si="459"/>
        <v>T_EBITDARM - EBITDARM</v>
      </c>
      <c r="E466"/>
      <c r="F466" s="19" t="str">
        <f>_xll.EVDES(D466)</f>
        <v>EBITDARM</v>
      </c>
      <c r="G466" s="61">
        <f ca="1">SUMIFS(OFFSET('BPC Data'!$F:$F,0,Summary!G$2),'BPC Data'!$E:$E,Summary!$D466,'BPC Data'!$B:$B,Summary!$C466)</f>
        <v>0</v>
      </c>
      <c r="H466" s="65">
        <f ca="1">SUMIFS(OFFSET('BPC Data'!$F:$F,0,Summary!H$2),'BPC Data'!$E:$E,Summary!$D466,'BPC Data'!$B:$B,Summary!$C466)</f>
        <v>0</v>
      </c>
      <c r="I466" s="61">
        <f ca="1">SUMIFS(OFFSET('BPC Data'!$F:$F,0,Summary!I$2),'BPC Data'!$E:$E,Summary!$D466,'BPC Data'!$B:$B,Summary!$C466)</f>
        <v>0</v>
      </c>
      <c r="J466" s="65">
        <f ca="1">SUMIFS(OFFSET('BPC Data'!$F:$F,0,Summary!J$2),'BPC Data'!$E:$E,Summary!$D466,'BPC Data'!$B:$B,Summary!$C466)</f>
        <v>0</v>
      </c>
      <c r="K466" s="61">
        <f ca="1">SUMIFS(OFFSET('BPC Data'!$F:$F,0,Summary!K$2),'BPC Data'!$E:$E,Summary!$D466,'BPC Data'!$B:$B,Summary!$C466)</f>
        <v>0</v>
      </c>
      <c r="L466" s="65">
        <f ca="1">SUMIFS(OFFSET('BPC Data'!$F:$F,0,Summary!L$2),'BPC Data'!$E:$E,Summary!$D466,'BPC Data'!$B:$B,Summary!$C466)</f>
        <v>0</v>
      </c>
      <c r="M466" s="61">
        <f ca="1">SUMIFS(OFFSET('BPC Data'!$F:$F,0,Summary!M$2),'BPC Data'!$E:$E,Summary!$D466,'BPC Data'!$B:$B,Summary!$C466)</f>
        <v>0</v>
      </c>
      <c r="N466" s="65">
        <f ca="1">SUMIFS(OFFSET('BPC Data'!$F:$F,0,Summary!N$2),'BPC Data'!$E:$E,Summary!$D466,'BPC Data'!$B:$B,Summary!$C466)</f>
        <v>0</v>
      </c>
      <c r="O466" s="61">
        <f ca="1">SUMIFS(OFFSET('BPC Data'!$F:$F,0,Summary!O$2),'BPC Data'!$E:$E,Summary!$D466,'BPC Data'!$B:$B,Summary!$C466)</f>
        <v>0</v>
      </c>
      <c r="P466" s="65">
        <f ca="1">SUMIFS(OFFSET('BPC Data'!$F:$F,0,Summary!P$2),'BPC Data'!$E:$E,Summary!$D466,'BPC Data'!$B:$B,Summary!$C466)</f>
        <v>0</v>
      </c>
      <c r="Q466" s="61">
        <f ca="1">SUMIFS(OFFSET('BPC Data'!$F:$F,0,Summary!Q$2),'BPC Data'!$E:$E,Summary!$D466,'BPC Data'!$B:$B,Summary!$C466)</f>
        <v>0</v>
      </c>
      <c r="R466" s="65">
        <f ca="1">SUMIFS(OFFSET('BPC Data'!$F:$F,0,Summary!R$2),'BPC Data'!$E:$E,Summary!$D466,'BPC Data'!$B:$B,Summary!$C466)</f>
        <v>0</v>
      </c>
      <c r="S466" s="23"/>
      <c r="T466" s="76"/>
      <c r="AJ466" s="49"/>
      <c r="AK466" s="49"/>
      <c r="AL466" s="49"/>
      <c r="AM466" s="49"/>
      <c r="AN466" s="49"/>
      <c r="AO466" s="49"/>
      <c r="AP466" s="49"/>
      <c r="AQ466" s="49"/>
      <c r="AR466" s="49"/>
      <c r="AS466" s="49"/>
      <c r="AT466" s="49"/>
      <c r="AU466" s="49"/>
    </row>
    <row r="467" spans="1:47" s="12" customFormat="1" hidden="1" outlineLevel="1">
      <c r="A467" s="12">
        <f t="shared" si="465"/>
        <v>42</v>
      </c>
      <c r="B467"/>
      <c r="C467">
        <f>$F460</f>
        <v>0</v>
      </c>
      <c r="D467" s="2" t="str">
        <f t="shared" si="459"/>
        <v>T_MGMT_FEE - Tenant Management Fee - Actual</v>
      </c>
      <c r="E467"/>
      <c r="F467" s="19" t="str">
        <f>_xll.EVDES(D467)</f>
        <v>Tenant Management Fee - Actual</v>
      </c>
      <c r="G467" s="61">
        <f ca="1">SUMIFS(OFFSET('BPC Data'!$F:$F,0,Summary!G$2),'BPC Data'!$E:$E,Summary!$D467,'BPC Data'!$B:$B,Summary!$C467)</f>
        <v>0</v>
      </c>
      <c r="H467" s="65">
        <f ca="1">SUMIFS(OFFSET('BPC Data'!$F:$F,0,Summary!H$2),'BPC Data'!$E:$E,Summary!$D467,'BPC Data'!$B:$B,Summary!$C467)</f>
        <v>0</v>
      </c>
      <c r="I467" s="61">
        <f ca="1">SUMIFS(OFFSET('BPC Data'!$F:$F,0,Summary!I$2),'BPC Data'!$E:$E,Summary!$D467,'BPC Data'!$B:$B,Summary!$C467)</f>
        <v>0</v>
      </c>
      <c r="J467" s="65">
        <f ca="1">SUMIFS(OFFSET('BPC Data'!$F:$F,0,Summary!J$2),'BPC Data'!$E:$E,Summary!$D467,'BPC Data'!$B:$B,Summary!$C467)</f>
        <v>0</v>
      </c>
      <c r="K467" s="61">
        <f ca="1">SUMIFS(OFFSET('BPC Data'!$F:$F,0,Summary!K$2),'BPC Data'!$E:$E,Summary!$D467,'BPC Data'!$B:$B,Summary!$C467)</f>
        <v>0</v>
      </c>
      <c r="L467" s="65">
        <f ca="1">SUMIFS(OFFSET('BPC Data'!$F:$F,0,Summary!L$2),'BPC Data'!$E:$E,Summary!$D467,'BPC Data'!$B:$B,Summary!$C467)</f>
        <v>0</v>
      </c>
      <c r="M467" s="61">
        <f ca="1">SUMIFS(OFFSET('BPC Data'!$F:$F,0,Summary!M$2),'BPC Data'!$E:$E,Summary!$D467,'BPC Data'!$B:$B,Summary!$C467)</f>
        <v>0</v>
      </c>
      <c r="N467" s="65">
        <f ca="1">SUMIFS(OFFSET('BPC Data'!$F:$F,0,Summary!N$2),'BPC Data'!$E:$E,Summary!$D467,'BPC Data'!$B:$B,Summary!$C467)</f>
        <v>0</v>
      </c>
      <c r="O467" s="61">
        <f ca="1">SUMIFS(OFFSET('BPC Data'!$F:$F,0,Summary!O$2),'BPC Data'!$E:$E,Summary!$D467,'BPC Data'!$B:$B,Summary!$C467)</f>
        <v>0</v>
      </c>
      <c r="P467" s="65">
        <f ca="1">SUMIFS(OFFSET('BPC Data'!$F:$F,0,Summary!P$2),'BPC Data'!$E:$E,Summary!$D467,'BPC Data'!$B:$B,Summary!$C467)</f>
        <v>0</v>
      </c>
      <c r="Q467" s="61">
        <f ca="1">SUMIFS(OFFSET('BPC Data'!$F:$F,0,Summary!Q$2),'BPC Data'!$E:$E,Summary!$D467,'BPC Data'!$B:$B,Summary!$C467)</f>
        <v>0</v>
      </c>
      <c r="R467" s="65">
        <f ca="1">SUMIFS(OFFSET('BPC Data'!$F:$F,0,Summary!R$2),'BPC Data'!$E:$E,Summary!$D467,'BPC Data'!$B:$B,Summary!$C467)</f>
        <v>0</v>
      </c>
      <c r="S467" s="23"/>
      <c r="T467" s="76"/>
      <c r="AJ467" s="49"/>
      <c r="AK467" s="49"/>
      <c r="AL467" s="49"/>
      <c r="AM467" s="49"/>
      <c r="AN467" s="49"/>
      <c r="AO467" s="49"/>
      <c r="AP467" s="49"/>
      <c r="AQ467" s="49"/>
      <c r="AR467" s="49"/>
      <c r="AS467" s="49"/>
      <c r="AT467" s="49"/>
      <c r="AU467" s="49"/>
    </row>
    <row r="468" spans="1:47" s="12" customFormat="1" hidden="1" outlineLevel="1">
      <c r="A468" s="12">
        <f t="shared" si="465"/>
        <v>42</v>
      </c>
      <c r="B468"/>
      <c r="C468">
        <f>$F460</f>
        <v>0</v>
      </c>
      <c r="D468" s="1" t="str">
        <f t="shared" si="459"/>
        <v>T_EBITDAR - EBITDAR</v>
      </c>
      <c r="E468"/>
      <c r="F468" s="19" t="str">
        <f>_xll.EVDES(D468)</f>
        <v>EBITDAR</v>
      </c>
      <c r="G468" s="61">
        <f ca="1">SUMIFS(OFFSET('BPC Data'!$F:$F,0,Summary!G$2),'BPC Data'!$E:$E,Summary!$D468,'BPC Data'!$B:$B,Summary!$C468)</f>
        <v>0</v>
      </c>
      <c r="H468" s="65">
        <f ca="1">SUMIFS(OFFSET('BPC Data'!$F:$F,0,Summary!H$2),'BPC Data'!$E:$E,Summary!$D468,'BPC Data'!$B:$B,Summary!$C468)</f>
        <v>0</v>
      </c>
      <c r="I468" s="61">
        <f ca="1">SUMIFS(OFFSET('BPC Data'!$F:$F,0,Summary!I$2),'BPC Data'!$E:$E,Summary!$D468,'BPC Data'!$B:$B,Summary!$C468)</f>
        <v>0</v>
      </c>
      <c r="J468" s="65">
        <f ca="1">SUMIFS(OFFSET('BPC Data'!$F:$F,0,Summary!J$2),'BPC Data'!$E:$E,Summary!$D468,'BPC Data'!$B:$B,Summary!$C468)</f>
        <v>0</v>
      </c>
      <c r="K468" s="61">
        <f ca="1">SUMIFS(OFFSET('BPC Data'!$F:$F,0,Summary!K$2),'BPC Data'!$E:$E,Summary!$D468,'BPC Data'!$B:$B,Summary!$C468)</f>
        <v>0</v>
      </c>
      <c r="L468" s="65">
        <f ca="1">SUMIFS(OFFSET('BPC Data'!$F:$F,0,Summary!L$2),'BPC Data'!$E:$E,Summary!$D468,'BPC Data'!$B:$B,Summary!$C468)</f>
        <v>0</v>
      </c>
      <c r="M468" s="61">
        <f ca="1">SUMIFS(OFFSET('BPC Data'!$F:$F,0,Summary!M$2),'BPC Data'!$E:$E,Summary!$D468,'BPC Data'!$B:$B,Summary!$C468)</f>
        <v>0</v>
      </c>
      <c r="N468" s="65">
        <f ca="1">SUMIFS(OFFSET('BPC Data'!$F:$F,0,Summary!N$2),'BPC Data'!$E:$E,Summary!$D468,'BPC Data'!$B:$B,Summary!$C468)</f>
        <v>0</v>
      </c>
      <c r="O468" s="61">
        <f ca="1">SUMIFS(OFFSET('BPC Data'!$F:$F,0,Summary!O$2),'BPC Data'!$E:$E,Summary!$D468,'BPC Data'!$B:$B,Summary!$C468)</f>
        <v>0</v>
      </c>
      <c r="P468" s="65">
        <f ca="1">SUMIFS(OFFSET('BPC Data'!$F:$F,0,Summary!P$2),'BPC Data'!$E:$E,Summary!$D468,'BPC Data'!$B:$B,Summary!$C468)</f>
        <v>0</v>
      </c>
      <c r="Q468" s="61">
        <f ca="1">SUMIFS(OFFSET('BPC Data'!$F:$F,0,Summary!Q$2),'BPC Data'!$E:$E,Summary!$D468,'BPC Data'!$B:$B,Summary!$C468)</f>
        <v>0</v>
      </c>
      <c r="R468" s="65">
        <f ca="1">SUMIFS(OFFSET('BPC Data'!$F:$F,0,Summary!R$2),'BPC Data'!$E:$E,Summary!$D468,'BPC Data'!$B:$B,Summary!$C468)</f>
        <v>0</v>
      </c>
      <c r="S468" s="23"/>
      <c r="T468" s="76"/>
      <c r="AJ468" s="49"/>
      <c r="AK468" s="49"/>
      <c r="AL468" s="49"/>
      <c r="AM468" s="49"/>
      <c r="AN468" s="49"/>
      <c r="AO468" s="49"/>
      <c r="AP468" s="49"/>
      <c r="AQ468" s="49"/>
      <c r="AR468" s="49"/>
      <c r="AS468" s="49"/>
      <c r="AT468" s="49"/>
      <c r="AU468" s="49"/>
    </row>
    <row r="469" spans="1:47" s="12" customFormat="1" hidden="1" outlineLevel="1">
      <c r="A469" s="12">
        <f t="shared" si="465"/>
        <v>42</v>
      </c>
      <c r="B469"/>
      <c r="C469">
        <f>$F460</f>
        <v>0</v>
      </c>
      <c r="D469" s="1" t="str">
        <f t="shared" si="459"/>
        <v>T_RENT_EXP - Tenant Rent Expense</v>
      </c>
      <c r="E469"/>
      <c r="F469" s="19" t="str">
        <f>_xll.EVDES(D469)</f>
        <v>Tenant Rent Expense</v>
      </c>
      <c r="G469" s="61">
        <f ca="1">SUMIFS(OFFSET('BPC Data'!$F:$F,0,Summary!G$2),'BPC Data'!$E:$E,Summary!$D469,'BPC Data'!$B:$B,Summary!$C469)</f>
        <v>0</v>
      </c>
      <c r="H469" s="65">
        <f ca="1">SUMIFS(OFFSET('BPC Data'!$F:$F,0,Summary!H$2),'BPC Data'!$E:$E,Summary!$D469,'BPC Data'!$B:$B,Summary!$C469)</f>
        <v>0</v>
      </c>
      <c r="I469" s="61">
        <f ca="1">SUMIFS(OFFSET('BPC Data'!$F:$F,0,Summary!I$2),'BPC Data'!$E:$E,Summary!$D469,'BPC Data'!$B:$B,Summary!$C469)</f>
        <v>0</v>
      </c>
      <c r="J469" s="65">
        <f ca="1">SUMIFS(OFFSET('BPC Data'!$F:$F,0,Summary!J$2),'BPC Data'!$E:$E,Summary!$D469,'BPC Data'!$B:$B,Summary!$C469)</f>
        <v>0</v>
      </c>
      <c r="K469" s="61">
        <f ca="1">SUMIFS(OFFSET('BPC Data'!$F:$F,0,Summary!K$2),'BPC Data'!$E:$E,Summary!$D469,'BPC Data'!$B:$B,Summary!$C469)</f>
        <v>0</v>
      </c>
      <c r="L469" s="65">
        <f ca="1">SUMIFS(OFFSET('BPC Data'!$F:$F,0,Summary!L$2),'BPC Data'!$E:$E,Summary!$D469,'BPC Data'!$B:$B,Summary!$C469)</f>
        <v>0</v>
      </c>
      <c r="M469" s="61">
        <f ca="1">SUMIFS(OFFSET('BPC Data'!$F:$F,0,Summary!M$2),'BPC Data'!$E:$E,Summary!$D469,'BPC Data'!$B:$B,Summary!$C469)</f>
        <v>0</v>
      </c>
      <c r="N469" s="65">
        <f ca="1">SUMIFS(OFFSET('BPC Data'!$F:$F,0,Summary!N$2),'BPC Data'!$E:$E,Summary!$D469,'BPC Data'!$B:$B,Summary!$C469)</f>
        <v>0</v>
      </c>
      <c r="O469" s="61">
        <f ca="1">SUMIFS(OFFSET('BPC Data'!$F:$F,0,Summary!O$2),'BPC Data'!$E:$E,Summary!$D469,'BPC Data'!$B:$B,Summary!$C469)</f>
        <v>0</v>
      </c>
      <c r="P469" s="65">
        <f ca="1">SUMIFS(OFFSET('BPC Data'!$F:$F,0,Summary!P$2),'BPC Data'!$E:$E,Summary!$D469,'BPC Data'!$B:$B,Summary!$C469)</f>
        <v>0</v>
      </c>
      <c r="Q469" s="61">
        <f ca="1">SUMIFS(OFFSET('BPC Data'!$F:$F,0,Summary!Q$2),'BPC Data'!$E:$E,Summary!$D469,'BPC Data'!$B:$B,Summary!$C469)</f>
        <v>0</v>
      </c>
      <c r="R469" s="65">
        <f ca="1">SUMIFS(OFFSET('BPC Data'!$F:$F,0,Summary!R$2),'BPC Data'!$E:$E,Summary!$D469,'BPC Data'!$B:$B,Summary!$C469)</f>
        <v>0</v>
      </c>
      <c r="S469" s="23"/>
      <c r="T469" s="76"/>
      <c r="AJ469" s="49"/>
      <c r="AK469" s="49"/>
      <c r="AL469" s="49"/>
      <c r="AM469" s="49"/>
      <c r="AN469" s="49"/>
      <c r="AO469" s="49"/>
      <c r="AP469" s="49"/>
      <c r="AQ469" s="49"/>
      <c r="AR469" s="49"/>
      <c r="AS469" s="49"/>
      <c r="AT469" s="49"/>
      <c r="AU469" s="49"/>
    </row>
    <row r="470" spans="1:47" s="12" customFormat="1" hidden="1" outlineLevel="1">
      <c r="A470" s="12">
        <f t="shared" si="465"/>
        <v>42</v>
      </c>
      <c r="B470"/>
      <c r="C470"/>
      <c r="D470" s="1" t="str">
        <f t="shared" ref="D470:D533" si="466">$D459</f>
        <v>x</v>
      </c>
      <c r="E470"/>
      <c r="F470" s="19" t="s">
        <v>0</v>
      </c>
      <c r="G470" s="61">
        <f ca="1">SUMIFS(OFFSET('BPC Data'!$F:$F,0,Summary!G$2),'BPC Data'!$E:$E,Summary!$D470,'BPC Data'!$B:$B,Summary!$C470)</f>
        <v>0</v>
      </c>
      <c r="H470" s="65">
        <f ca="1">SUMIFS(OFFSET('BPC Data'!$F:$F,0,Summary!H$2),'BPC Data'!$E:$E,Summary!$D470,'BPC Data'!$B:$B,Summary!$C470)</f>
        <v>0</v>
      </c>
      <c r="I470" s="61">
        <f ca="1">SUMIFS(OFFSET('BPC Data'!$F:$F,0,Summary!I$2),'BPC Data'!$E:$E,Summary!$D470,'BPC Data'!$B:$B,Summary!$C470)</f>
        <v>0</v>
      </c>
      <c r="J470" s="65">
        <f ca="1">SUMIFS(OFFSET('BPC Data'!$F:$F,0,Summary!J$2),'BPC Data'!$E:$E,Summary!$D470,'BPC Data'!$B:$B,Summary!$C470)</f>
        <v>0</v>
      </c>
      <c r="K470" s="61">
        <f ca="1">SUMIFS(OFFSET('BPC Data'!$F:$F,0,Summary!K$2),'BPC Data'!$E:$E,Summary!$D470,'BPC Data'!$B:$B,Summary!$C470)</f>
        <v>0</v>
      </c>
      <c r="L470" s="65">
        <f ca="1">SUMIFS(OFFSET('BPC Data'!$F:$F,0,Summary!L$2),'BPC Data'!$E:$E,Summary!$D470,'BPC Data'!$B:$B,Summary!$C470)</f>
        <v>0</v>
      </c>
      <c r="M470" s="61">
        <f ca="1">SUMIFS(OFFSET('BPC Data'!$F:$F,0,Summary!M$2),'BPC Data'!$E:$E,Summary!$D470,'BPC Data'!$B:$B,Summary!$C470)</f>
        <v>0</v>
      </c>
      <c r="N470" s="65">
        <f ca="1">SUMIFS(OFFSET('BPC Data'!$F:$F,0,Summary!N$2),'BPC Data'!$E:$E,Summary!$D470,'BPC Data'!$B:$B,Summary!$C470)</f>
        <v>0</v>
      </c>
      <c r="O470" s="61">
        <f ca="1">SUMIFS(OFFSET('BPC Data'!$F:$F,0,Summary!O$2),'BPC Data'!$E:$E,Summary!$D470,'BPC Data'!$B:$B,Summary!$C470)</f>
        <v>0</v>
      </c>
      <c r="P470" s="65">
        <f ca="1">SUMIFS(OFFSET('BPC Data'!$F:$F,0,Summary!P$2),'BPC Data'!$E:$E,Summary!$D470,'BPC Data'!$B:$B,Summary!$C470)</f>
        <v>0</v>
      </c>
      <c r="Q470" s="61">
        <f ca="1">SUMIFS(OFFSET('BPC Data'!$F:$F,0,Summary!Q$2),'BPC Data'!$E:$E,Summary!$D470,'BPC Data'!$B:$B,Summary!$C470)</f>
        <v>0</v>
      </c>
      <c r="R470" s="65">
        <f ca="1">SUMIFS(OFFSET('BPC Data'!$F:$F,0,Summary!R$2),'BPC Data'!$E:$E,Summary!$D470,'BPC Data'!$B:$B,Summary!$C470)</f>
        <v>0</v>
      </c>
      <c r="S470" s="23"/>
      <c r="T470" s="76"/>
      <c r="AJ470" s="49"/>
      <c r="AK470" s="49"/>
      <c r="AL470" s="49"/>
      <c r="AM470" s="49"/>
      <c r="AN470" s="49"/>
      <c r="AO470" s="49"/>
      <c r="AP470" s="49"/>
      <c r="AQ470" s="49"/>
      <c r="AR470" s="49"/>
      <c r="AS470" s="49"/>
      <c r="AT470" s="49"/>
      <c r="AU470" s="49"/>
    </row>
    <row r="471" spans="1:47" s="12" customFormat="1" hidden="1" outlineLevel="1">
      <c r="A471" s="12">
        <f>IF(AND(D471&lt;&gt;"",C471=""),A470+1,A470)</f>
        <v>43</v>
      </c>
      <c r="B471" s="5"/>
      <c r="C471" s="5"/>
      <c r="D471" s="5" t="str">
        <f t="shared" si="466"/>
        <v>x</v>
      </c>
      <c r="E471" s="5"/>
      <c r="F471" s="18">
        <f>INDEX(PropertyList!$D:$D,MATCH(Summary!$A471,PropertyList!$C:$C,0))</f>
        <v>0</v>
      </c>
      <c r="G471" s="61">
        <f ca="1">SUMIFS(OFFSET('BPC Data'!$F:$F,0,Summary!G$2),'BPC Data'!$E:$E,Summary!$D471,'BPC Data'!$B:$B,Summary!$C471)</f>
        <v>0</v>
      </c>
      <c r="H471" s="65">
        <f ca="1">SUMIFS(OFFSET('BPC Data'!$F:$F,0,Summary!H$2),'BPC Data'!$E:$E,Summary!$D471,'BPC Data'!$B:$B,Summary!$C471)</f>
        <v>0</v>
      </c>
      <c r="I471" s="61">
        <f ca="1">SUMIFS(OFFSET('BPC Data'!$F:$F,0,Summary!I$2),'BPC Data'!$E:$E,Summary!$D471,'BPC Data'!$B:$B,Summary!$C471)</f>
        <v>0</v>
      </c>
      <c r="J471" s="65">
        <f ca="1">SUMIFS(OFFSET('BPC Data'!$F:$F,0,Summary!J$2),'BPC Data'!$E:$E,Summary!$D471,'BPC Data'!$B:$B,Summary!$C471)</f>
        <v>0</v>
      </c>
      <c r="K471" s="61">
        <f ca="1">SUMIFS(OFFSET('BPC Data'!$F:$F,0,Summary!K$2),'BPC Data'!$E:$E,Summary!$D471,'BPC Data'!$B:$B,Summary!$C471)</f>
        <v>0</v>
      </c>
      <c r="L471" s="65">
        <f ca="1">SUMIFS(OFFSET('BPC Data'!$F:$F,0,Summary!L$2),'BPC Data'!$E:$E,Summary!$D471,'BPC Data'!$B:$B,Summary!$C471)</f>
        <v>0</v>
      </c>
      <c r="M471" s="61">
        <f ca="1">SUMIFS(OFFSET('BPC Data'!$F:$F,0,Summary!M$2),'BPC Data'!$E:$E,Summary!$D471,'BPC Data'!$B:$B,Summary!$C471)</f>
        <v>0</v>
      </c>
      <c r="N471" s="65">
        <f ca="1">SUMIFS(OFFSET('BPC Data'!$F:$F,0,Summary!N$2),'BPC Data'!$E:$E,Summary!$D471,'BPC Data'!$B:$B,Summary!$C471)</f>
        <v>0</v>
      </c>
      <c r="O471" s="61">
        <f ca="1">SUMIFS(OFFSET('BPC Data'!$F:$F,0,Summary!O$2),'BPC Data'!$E:$E,Summary!$D471,'BPC Data'!$B:$B,Summary!$C471)</f>
        <v>0</v>
      </c>
      <c r="P471" s="65">
        <f ca="1">SUMIFS(OFFSET('BPC Data'!$F:$F,0,Summary!P$2),'BPC Data'!$E:$E,Summary!$D471,'BPC Data'!$B:$B,Summary!$C471)</f>
        <v>0</v>
      </c>
      <c r="Q471" s="61">
        <f ca="1">SUMIFS(OFFSET('BPC Data'!$F:$F,0,Summary!Q$2),'BPC Data'!$E:$E,Summary!$D471,'BPC Data'!$B:$B,Summary!$C471)</f>
        <v>0</v>
      </c>
      <c r="R471" s="65">
        <f ca="1">SUMIFS(OFFSET('BPC Data'!$F:$F,0,Summary!R$2),'BPC Data'!$E:$E,Summary!$D471,'BPC Data'!$B:$B,Summary!$C471)</f>
        <v>0</v>
      </c>
      <c r="S471" s="23"/>
      <c r="T471" s="76"/>
      <c r="AJ471" s="49"/>
      <c r="AK471" s="49"/>
      <c r="AL471" s="49"/>
      <c r="AM471" s="49"/>
      <c r="AN471" s="49"/>
      <c r="AO471" s="49"/>
      <c r="AP471" s="49"/>
      <c r="AQ471" s="49"/>
      <c r="AR471" s="49"/>
      <c r="AS471" s="49"/>
      <c r="AT471" s="49"/>
      <c r="AU471" s="49"/>
    </row>
    <row r="472" spans="1:47" s="12" customFormat="1" hidden="1" outlineLevel="1">
      <c r="A472" s="12">
        <f>IF(AND(F472&lt;&gt;"",D472=""),A471+1,A471)</f>
        <v>43</v>
      </c>
      <c r="C472">
        <f>$F471</f>
        <v>0</v>
      </c>
      <c r="D472" s="3" t="str">
        <f t="shared" si="466"/>
        <v>PAY_PAT_DAYS - Total Payor Patient Days</v>
      </c>
      <c r="F472" s="19" t="str">
        <f>_xll.EVDES(D472)</f>
        <v>Total Payor Patient Days</v>
      </c>
      <c r="G472" s="61">
        <f ca="1">SUMIFS(OFFSET('BPC Data'!$F:$F,0,Summary!G$2),'BPC Data'!$E:$E,Summary!$D472,'BPC Data'!$B:$B,Summary!$C472)</f>
        <v>0</v>
      </c>
      <c r="H472" s="65">
        <f ca="1">SUMIFS(OFFSET('BPC Data'!$F:$F,0,Summary!H$2),'BPC Data'!$E:$E,Summary!$D472,'BPC Data'!$B:$B,Summary!$C472)</f>
        <v>0</v>
      </c>
      <c r="I472" s="61">
        <f ca="1">SUMIFS(OFFSET('BPC Data'!$F:$F,0,Summary!I$2),'BPC Data'!$E:$E,Summary!$D472,'BPC Data'!$B:$B,Summary!$C472)</f>
        <v>0</v>
      </c>
      <c r="J472" s="65">
        <f ca="1">SUMIFS(OFFSET('BPC Data'!$F:$F,0,Summary!J$2),'BPC Data'!$E:$E,Summary!$D472,'BPC Data'!$B:$B,Summary!$C472)</f>
        <v>0</v>
      </c>
      <c r="K472" s="61">
        <f ca="1">SUMIFS(OFFSET('BPC Data'!$F:$F,0,Summary!K$2),'BPC Data'!$E:$E,Summary!$D472,'BPC Data'!$B:$B,Summary!$C472)</f>
        <v>0</v>
      </c>
      <c r="L472" s="65">
        <f ca="1">SUMIFS(OFFSET('BPC Data'!$F:$F,0,Summary!L$2),'BPC Data'!$E:$E,Summary!$D472,'BPC Data'!$B:$B,Summary!$C472)</f>
        <v>0</v>
      </c>
      <c r="M472" s="61">
        <f ca="1">SUMIFS(OFFSET('BPC Data'!$F:$F,0,Summary!M$2),'BPC Data'!$E:$E,Summary!$D472,'BPC Data'!$B:$B,Summary!$C472)</f>
        <v>0</v>
      </c>
      <c r="N472" s="65">
        <f ca="1">SUMIFS(OFFSET('BPC Data'!$F:$F,0,Summary!N$2),'BPC Data'!$E:$E,Summary!$D472,'BPC Data'!$B:$B,Summary!$C472)</f>
        <v>0</v>
      </c>
      <c r="O472" s="61">
        <f ca="1">SUMIFS(OFFSET('BPC Data'!$F:$F,0,Summary!O$2),'BPC Data'!$E:$E,Summary!$D472,'BPC Data'!$B:$B,Summary!$C472)</f>
        <v>0</v>
      </c>
      <c r="P472" s="65">
        <f ca="1">SUMIFS(OFFSET('BPC Data'!$F:$F,0,Summary!P$2),'BPC Data'!$E:$E,Summary!$D472,'BPC Data'!$B:$B,Summary!$C472)</f>
        <v>0</v>
      </c>
      <c r="Q472" s="61">
        <f ca="1">SUMIFS(OFFSET('BPC Data'!$F:$F,0,Summary!Q$2),'BPC Data'!$E:$E,Summary!$D472,'BPC Data'!$B:$B,Summary!$C472)</f>
        <v>0</v>
      </c>
      <c r="R472" s="65">
        <f ca="1">SUMIFS(OFFSET('BPC Data'!$F:$F,0,Summary!R$2),'BPC Data'!$E:$E,Summary!$D472,'BPC Data'!$B:$B,Summary!$C472)</f>
        <v>0</v>
      </c>
      <c r="S472" s="23"/>
      <c r="T472" s="76"/>
      <c r="AJ472" s="49"/>
      <c r="AK472" s="49"/>
      <c r="AL472" s="49"/>
      <c r="AM472" s="49"/>
      <c r="AN472" s="49"/>
      <c r="AO472" s="49"/>
      <c r="AP472" s="49"/>
      <c r="AQ472" s="49"/>
      <c r="AR472" s="49"/>
      <c r="AS472" s="49"/>
      <c r="AT472" s="49"/>
      <c r="AU472" s="49"/>
    </row>
    <row r="473" spans="1:47" s="12" customFormat="1" hidden="1" outlineLevel="1">
      <c r="A473" s="12">
        <f t="shared" ref="A473:A481" si="467">IF(AND(F473&lt;&gt;"",D473=""),A472+1,A472)</f>
        <v>43</v>
      </c>
      <c r="C473">
        <f>$F471</f>
        <v>0</v>
      </c>
      <c r="D473" s="3" t="str">
        <f t="shared" si="466"/>
        <v>A_BEDS_TOTAL - Total Available Beds</v>
      </c>
      <c r="F473" s="19" t="str">
        <f>_xll.EVDES(D473)</f>
        <v>Total Available Beds</v>
      </c>
      <c r="G473" s="61">
        <f ca="1">SUMIFS(OFFSET('BPC Data'!$F:$F,0,Summary!G$2),'BPC Data'!$E:$E,Summary!$D473,'BPC Data'!$B:$B,Summary!$C473)</f>
        <v>0</v>
      </c>
      <c r="H473" s="65">
        <f ca="1">SUMIFS(OFFSET('BPC Data'!$F:$F,0,Summary!H$2),'BPC Data'!$E:$E,Summary!$D473,'BPC Data'!$B:$B,Summary!$C473)</f>
        <v>0</v>
      </c>
      <c r="I473" s="61">
        <f ca="1">SUMIFS(OFFSET('BPC Data'!$F:$F,0,Summary!I$2),'BPC Data'!$E:$E,Summary!$D473,'BPC Data'!$B:$B,Summary!$C473)</f>
        <v>0</v>
      </c>
      <c r="J473" s="65">
        <f ca="1">SUMIFS(OFFSET('BPC Data'!$F:$F,0,Summary!J$2),'BPC Data'!$E:$E,Summary!$D473,'BPC Data'!$B:$B,Summary!$C473)</f>
        <v>0</v>
      </c>
      <c r="K473" s="61">
        <f ca="1">SUMIFS(OFFSET('BPC Data'!$F:$F,0,Summary!K$2),'BPC Data'!$E:$E,Summary!$D473,'BPC Data'!$B:$B,Summary!$C473)</f>
        <v>0</v>
      </c>
      <c r="L473" s="65">
        <f ca="1">SUMIFS(OFFSET('BPC Data'!$F:$F,0,Summary!L$2),'BPC Data'!$E:$E,Summary!$D473,'BPC Data'!$B:$B,Summary!$C473)</f>
        <v>0</v>
      </c>
      <c r="M473" s="61">
        <f ca="1">SUMIFS(OFFSET('BPC Data'!$F:$F,0,Summary!M$2),'BPC Data'!$E:$E,Summary!$D473,'BPC Data'!$B:$B,Summary!$C473)</f>
        <v>0</v>
      </c>
      <c r="N473" s="65">
        <f ca="1">SUMIFS(OFFSET('BPC Data'!$F:$F,0,Summary!N$2),'BPC Data'!$E:$E,Summary!$D473,'BPC Data'!$B:$B,Summary!$C473)</f>
        <v>0</v>
      </c>
      <c r="O473" s="61">
        <f ca="1">SUMIFS(OFFSET('BPC Data'!$F:$F,0,Summary!O$2),'BPC Data'!$E:$E,Summary!$D473,'BPC Data'!$B:$B,Summary!$C473)</f>
        <v>0</v>
      </c>
      <c r="P473" s="65">
        <f ca="1">SUMIFS(OFFSET('BPC Data'!$F:$F,0,Summary!P$2),'BPC Data'!$E:$E,Summary!$D473,'BPC Data'!$B:$B,Summary!$C473)</f>
        <v>0</v>
      </c>
      <c r="Q473" s="61">
        <f ca="1">SUMIFS(OFFSET('BPC Data'!$F:$F,0,Summary!Q$2),'BPC Data'!$E:$E,Summary!$D473,'BPC Data'!$B:$B,Summary!$C473)</f>
        <v>0</v>
      </c>
      <c r="R473" s="65">
        <f ca="1">SUMIFS(OFFSET('BPC Data'!$F:$F,0,Summary!R$2),'BPC Data'!$E:$E,Summary!$D473,'BPC Data'!$B:$B,Summary!$C473)</f>
        <v>0</v>
      </c>
      <c r="S473" s="23"/>
      <c r="T473" s="76"/>
      <c r="AJ473" s="49"/>
      <c r="AK473" s="49"/>
      <c r="AL473" s="49"/>
      <c r="AM473" s="49"/>
      <c r="AN473" s="49"/>
      <c r="AO473" s="49"/>
      <c r="AP473" s="49"/>
      <c r="AQ473" s="49"/>
      <c r="AR473" s="49"/>
      <c r="AS473" s="49"/>
      <c r="AT473" s="49"/>
      <c r="AU473" s="49"/>
    </row>
    <row r="474" spans="1:47" s="12" customFormat="1" hidden="1" outlineLevel="1">
      <c r="A474" s="12">
        <f t="shared" si="467"/>
        <v>43</v>
      </c>
      <c r="B474"/>
      <c r="C474">
        <f>$F471</f>
        <v>0</v>
      </c>
      <c r="D474" s="3" t="str">
        <f t="shared" si="466"/>
        <v>T_REVENUES - Total Tenant Revenues</v>
      </c>
      <c r="E474"/>
      <c r="F474" s="19" t="str">
        <f>_xll.EVDES(D474)</f>
        <v>Total Tenant Revenues</v>
      </c>
      <c r="G474" s="61">
        <f ca="1">SUMIFS(OFFSET('BPC Data'!$F:$F,0,Summary!G$2),'BPC Data'!$E:$E,Summary!$D474,'BPC Data'!$B:$B,Summary!$C474)</f>
        <v>0</v>
      </c>
      <c r="H474" s="65">
        <f ca="1">SUMIFS(OFFSET('BPC Data'!$F:$F,0,Summary!H$2),'BPC Data'!$E:$E,Summary!$D474,'BPC Data'!$B:$B,Summary!$C474)</f>
        <v>0</v>
      </c>
      <c r="I474" s="61">
        <f ca="1">SUMIFS(OFFSET('BPC Data'!$F:$F,0,Summary!I$2),'BPC Data'!$E:$E,Summary!$D474,'BPC Data'!$B:$B,Summary!$C474)</f>
        <v>0</v>
      </c>
      <c r="J474" s="65">
        <f ca="1">SUMIFS(OFFSET('BPC Data'!$F:$F,0,Summary!J$2),'BPC Data'!$E:$E,Summary!$D474,'BPC Data'!$B:$B,Summary!$C474)</f>
        <v>0</v>
      </c>
      <c r="K474" s="61">
        <f ca="1">SUMIFS(OFFSET('BPC Data'!$F:$F,0,Summary!K$2),'BPC Data'!$E:$E,Summary!$D474,'BPC Data'!$B:$B,Summary!$C474)</f>
        <v>0</v>
      </c>
      <c r="L474" s="65">
        <f ca="1">SUMIFS(OFFSET('BPC Data'!$F:$F,0,Summary!L$2),'BPC Data'!$E:$E,Summary!$D474,'BPC Data'!$B:$B,Summary!$C474)</f>
        <v>0</v>
      </c>
      <c r="M474" s="61">
        <f ca="1">SUMIFS(OFFSET('BPC Data'!$F:$F,0,Summary!M$2),'BPC Data'!$E:$E,Summary!$D474,'BPC Data'!$B:$B,Summary!$C474)</f>
        <v>0</v>
      </c>
      <c r="N474" s="65">
        <f ca="1">SUMIFS(OFFSET('BPC Data'!$F:$F,0,Summary!N$2),'BPC Data'!$E:$E,Summary!$D474,'BPC Data'!$B:$B,Summary!$C474)</f>
        <v>0</v>
      </c>
      <c r="O474" s="61">
        <f ca="1">SUMIFS(OFFSET('BPC Data'!$F:$F,0,Summary!O$2),'BPC Data'!$E:$E,Summary!$D474,'BPC Data'!$B:$B,Summary!$C474)</f>
        <v>0</v>
      </c>
      <c r="P474" s="65">
        <f ca="1">SUMIFS(OFFSET('BPC Data'!$F:$F,0,Summary!P$2),'BPC Data'!$E:$E,Summary!$D474,'BPC Data'!$B:$B,Summary!$C474)</f>
        <v>0</v>
      </c>
      <c r="Q474" s="61">
        <f ca="1">SUMIFS(OFFSET('BPC Data'!$F:$F,0,Summary!Q$2),'BPC Data'!$E:$E,Summary!$D474,'BPC Data'!$B:$B,Summary!$C474)</f>
        <v>0</v>
      </c>
      <c r="R474" s="65">
        <f ca="1">SUMIFS(OFFSET('BPC Data'!$F:$F,0,Summary!R$2),'BPC Data'!$E:$E,Summary!$D474,'BPC Data'!$B:$B,Summary!$C474)</f>
        <v>0</v>
      </c>
      <c r="S474" s="23"/>
      <c r="T474" s="76"/>
      <c r="AJ474" s="49"/>
      <c r="AK474" s="49"/>
      <c r="AL474" s="49"/>
      <c r="AM474" s="49"/>
      <c r="AN474" s="49"/>
      <c r="AO474" s="49"/>
      <c r="AP474" s="49"/>
      <c r="AQ474" s="49"/>
      <c r="AR474" s="49"/>
      <c r="AS474" s="49"/>
      <c r="AT474" s="49"/>
      <c r="AU474" s="49"/>
    </row>
    <row r="475" spans="1:47" s="12" customFormat="1" hidden="1" outlineLevel="1">
      <c r="A475" s="12">
        <f t="shared" si="467"/>
        <v>43</v>
      </c>
      <c r="B475"/>
      <c r="C475">
        <f>$F471</f>
        <v>0</v>
      </c>
      <c r="D475" s="3" t="str">
        <f t="shared" si="466"/>
        <v>T_OPEX - Tenant Operating Expenses</v>
      </c>
      <c r="E475"/>
      <c r="F475" s="19" t="str">
        <f>_xll.EVDES(D475)</f>
        <v>Tenant Operating Expenses</v>
      </c>
      <c r="G475" s="61">
        <f ca="1">SUMIFS(OFFSET('BPC Data'!$F:$F,0,Summary!G$2),'BPC Data'!$E:$E,Summary!$D475,'BPC Data'!$B:$B,Summary!$C475)</f>
        <v>0</v>
      </c>
      <c r="H475" s="65">
        <f ca="1">SUMIFS(OFFSET('BPC Data'!$F:$F,0,Summary!H$2),'BPC Data'!$E:$E,Summary!$D475,'BPC Data'!$B:$B,Summary!$C475)</f>
        <v>0</v>
      </c>
      <c r="I475" s="61">
        <f ca="1">SUMIFS(OFFSET('BPC Data'!$F:$F,0,Summary!I$2),'BPC Data'!$E:$E,Summary!$D475,'BPC Data'!$B:$B,Summary!$C475)</f>
        <v>0</v>
      </c>
      <c r="J475" s="65">
        <f ca="1">SUMIFS(OFFSET('BPC Data'!$F:$F,0,Summary!J$2),'BPC Data'!$E:$E,Summary!$D475,'BPC Data'!$B:$B,Summary!$C475)</f>
        <v>0</v>
      </c>
      <c r="K475" s="61">
        <f ca="1">SUMIFS(OFFSET('BPC Data'!$F:$F,0,Summary!K$2),'BPC Data'!$E:$E,Summary!$D475,'BPC Data'!$B:$B,Summary!$C475)</f>
        <v>0</v>
      </c>
      <c r="L475" s="65">
        <f ca="1">SUMIFS(OFFSET('BPC Data'!$F:$F,0,Summary!L$2),'BPC Data'!$E:$E,Summary!$D475,'BPC Data'!$B:$B,Summary!$C475)</f>
        <v>0</v>
      </c>
      <c r="M475" s="61">
        <f ca="1">SUMIFS(OFFSET('BPC Data'!$F:$F,0,Summary!M$2),'BPC Data'!$E:$E,Summary!$D475,'BPC Data'!$B:$B,Summary!$C475)</f>
        <v>0</v>
      </c>
      <c r="N475" s="65">
        <f ca="1">SUMIFS(OFFSET('BPC Data'!$F:$F,0,Summary!N$2),'BPC Data'!$E:$E,Summary!$D475,'BPC Data'!$B:$B,Summary!$C475)</f>
        <v>0</v>
      </c>
      <c r="O475" s="61">
        <f ca="1">SUMIFS(OFFSET('BPC Data'!$F:$F,0,Summary!O$2),'BPC Data'!$E:$E,Summary!$D475,'BPC Data'!$B:$B,Summary!$C475)</f>
        <v>0</v>
      </c>
      <c r="P475" s="65">
        <f ca="1">SUMIFS(OFFSET('BPC Data'!$F:$F,0,Summary!P$2),'BPC Data'!$E:$E,Summary!$D475,'BPC Data'!$B:$B,Summary!$C475)</f>
        <v>0</v>
      </c>
      <c r="Q475" s="61">
        <f ca="1">SUMIFS(OFFSET('BPC Data'!$F:$F,0,Summary!Q$2),'BPC Data'!$E:$E,Summary!$D475,'BPC Data'!$B:$B,Summary!$C475)</f>
        <v>0</v>
      </c>
      <c r="R475" s="65">
        <f ca="1">SUMIFS(OFFSET('BPC Data'!$F:$F,0,Summary!R$2),'BPC Data'!$E:$E,Summary!$D475,'BPC Data'!$B:$B,Summary!$C475)</f>
        <v>0</v>
      </c>
      <c r="S475" s="23"/>
      <c r="T475" s="76"/>
      <c r="AJ475" s="49"/>
      <c r="AK475" s="49"/>
      <c r="AL475" s="49"/>
      <c r="AM475" s="49"/>
      <c r="AN475" s="49"/>
      <c r="AO475" s="49"/>
      <c r="AP475" s="49"/>
      <c r="AQ475" s="49"/>
      <c r="AR475" s="49"/>
      <c r="AS475" s="49"/>
      <c r="AT475" s="49"/>
      <c r="AU475" s="49"/>
    </row>
    <row r="476" spans="1:47" s="12" customFormat="1" hidden="1" outlineLevel="1">
      <c r="A476" s="12">
        <f t="shared" si="467"/>
        <v>43</v>
      </c>
      <c r="B476"/>
      <c r="C476">
        <f>$F471</f>
        <v>0</v>
      </c>
      <c r="D476" s="3" t="str">
        <f t="shared" si="466"/>
        <v>T_BAD_DEBT - Tenant Bad Debt Expense</v>
      </c>
      <c r="E476"/>
      <c r="F476" s="19" t="str">
        <f>_xll.EVDES(D476)</f>
        <v>Tenant Bad Debt Expense</v>
      </c>
      <c r="G476" s="61">
        <f ca="1">SUMIFS(OFFSET('BPC Data'!$F:$F,0,Summary!G$2),'BPC Data'!$E:$E,Summary!$D476,'BPC Data'!$B:$B,Summary!$C476)</f>
        <v>0</v>
      </c>
      <c r="H476" s="65">
        <f ca="1">SUMIFS(OFFSET('BPC Data'!$F:$F,0,Summary!H$2),'BPC Data'!$E:$E,Summary!$D476,'BPC Data'!$B:$B,Summary!$C476)</f>
        <v>0</v>
      </c>
      <c r="I476" s="61">
        <f ca="1">SUMIFS(OFFSET('BPC Data'!$F:$F,0,Summary!I$2),'BPC Data'!$E:$E,Summary!$D476,'BPC Data'!$B:$B,Summary!$C476)</f>
        <v>0</v>
      </c>
      <c r="J476" s="65">
        <f ca="1">SUMIFS(OFFSET('BPC Data'!$F:$F,0,Summary!J$2),'BPC Data'!$E:$E,Summary!$D476,'BPC Data'!$B:$B,Summary!$C476)</f>
        <v>0</v>
      </c>
      <c r="K476" s="61">
        <f ca="1">SUMIFS(OFFSET('BPC Data'!$F:$F,0,Summary!K$2),'BPC Data'!$E:$E,Summary!$D476,'BPC Data'!$B:$B,Summary!$C476)</f>
        <v>0</v>
      </c>
      <c r="L476" s="65">
        <f ca="1">SUMIFS(OFFSET('BPC Data'!$F:$F,0,Summary!L$2),'BPC Data'!$E:$E,Summary!$D476,'BPC Data'!$B:$B,Summary!$C476)</f>
        <v>0</v>
      </c>
      <c r="M476" s="61">
        <f ca="1">SUMIFS(OFFSET('BPC Data'!$F:$F,0,Summary!M$2),'BPC Data'!$E:$E,Summary!$D476,'BPC Data'!$B:$B,Summary!$C476)</f>
        <v>0</v>
      </c>
      <c r="N476" s="65">
        <f ca="1">SUMIFS(OFFSET('BPC Data'!$F:$F,0,Summary!N$2),'BPC Data'!$E:$E,Summary!$D476,'BPC Data'!$B:$B,Summary!$C476)</f>
        <v>0</v>
      </c>
      <c r="O476" s="61">
        <f ca="1">SUMIFS(OFFSET('BPC Data'!$F:$F,0,Summary!O$2),'BPC Data'!$E:$E,Summary!$D476,'BPC Data'!$B:$B,Summary!$C476)</f>
        <v>0</v>
      </c>
      <c r="P476" s="65">
        <f ca="1">SUMIFS(OFFSET('BPC Data'!$F:$F,0,Summary!P$2),'BPC Data'!$E:$E,Summary!$D476,'BPC Data'!$B:$B,Summary!$C476)</f>
        <v>0</v>
      </c>
      <c r="Q476" s="61">
        <f ca="1">SUMIFS(OFFSET('BPC Data'!$F:$F,0,Summary!Q$2),'BPC Data'!$E:$E,Summary!$D476,'BPC Data'!$B:$B,Summary!$C476)</f>
        <v>0</v>
      </c>
      <c r="R476" s="65">
        <f ca="1">SUMIFS(OFFSET('BPC Data'!$F:$F,0,Summary!R$2),'BPC Data'!$E:$E,Summary!$D476,'BPC Data'!$B:$B,Summary!$C476)</f>
        <v>0</v>
      </c>
      <c r="S476" s="23"/>
      <c r="T476" s="76"/>
      <c r="AJ476" s="49"/>
      <c r="AK476" s="49"/>
      <c r="AL476" s="49"/>
      <c r="AM476" s="49"/>
      <c r="AN476" s="49"/>
      <c r="AO476" s="49"/>
      <c r="AP476" s="49"/>
      <c r="AQ476" s="49"/>
      <c r="AR476" s="49"/>
      <c r="AS476" s="49"/>
      <c r="AT476" s="49"/>
      <c r="AU476" s="49"/>
    </row>
    <row r="477" spans="1:47" s="12" customFormat="1" hidden="1" outlineLevel="1">
      <c r="A477" s="12">
        <f t="shared" si="467"/>
        <v>43</v>
      </c>
      <c r="B477"/>
      <c r="C477">
        <f>$F471</f>
        <v>0</v>
      </c>
      <c r="D477" s="2" t="str">
        <f t="shared" si="466"/>
        <v>T_EBITDARM - EBITDARM</v>
      </c>
      <c r="E477"/>
      <c r="F477" s="19" t="str">
        <f>_xll.EVDES(D477)</f>
        <v>EBITDARM</v>
      </c>
      <c r="G477" s="61">
        <f ca="1">SUMIFS(OFFSET('BPC Data'!$F:$F,0,Summary!G$2),'BPC Data'!$E:$E,Summary!$D477,'BPC Data'!$B:$B,Summary!$C477)</f>
        <v>0</v>
      </c>
      <c r="H477" s="65">
        <f ca="1">SUMIFS(OFFSET('BPC Data'!$F:$F,0,Summary!H$2),'BPC Data'!$E:$E,Summary!$D477,'BPC Data'!$B:$B,Summary!$C477)</f>
        <v>0</v>
      </c>
      <c r="I477" s="61">
        <f ca="1">SUMIFS(OFFSET('BPC Data'!$F:$F,0,Summary!I$2),'BPC Data'!$E:$E,Summary!$D477,'BPC Data'!$B:$B,Summary!$C477)</f>
        <v>0</v>
      </c>
      <c r="J477" s="65">
        <f ca="1">SUMIFS(OFFSET('BPC Data'!$F:$F,0,Summary!J$2),'BPC Data'!$E:$E,Summary!$D477,'BPC Data'!$B:$B,Summary!$C477)</f>
        <v>0</v>
      </c>
      <c r="K477" s="61">
        <f ca="1">SUMIFS(OFFSET('BPC Data'!$F:$F,0,Summary!K$2),'BPC Data'!$E:$E,Summary!$D477,'BPC Data'!$B:$B,Summary!$C477)</f>
        <v>0</v>
      </c>
      <c r="L477" s="65">
        <f ca="1">SUMIFS(OFFSET('BPC Data'!$F:$F,0,Summary!L$2),'BPC Data'!$E:$E,Summary!$D477,'BPC Data'!$B:$B,Summary!$C477)</f>
        <v>0</v>
      </c>
      <c r="M477" s="61">
        <f ca="1">SUMIFS(OFFSET('BPC Data'!$F:$F,0,Summary!M$2),'BPC Data'!$E:$E,Summary!$D477,'BPC Data'!$B:$B,Summary!$C477)</f>
        <v>0</v>
      </c>
      <c r="N477" s="65">
        <f ca="1">SUMIFS(OFFSET('BPC Data'!$F:$F,0,Summary!N$2),'BPC Data'!$E:$E,Summary!$D477,'BPC Data'!$B:$B,Summary!$C477)</f>
        <v>0</v>
      </c>
      <c r="O477" s="61">
        <f ca="1">SUMIFS(OFFSET('BPC Data'!$F:$F,0,Summary!O$2),'BPC Data'!$E:$E,Summary!$D477,'BPC Data'!$B:$B,Summary!$C477)</f>
        <v>0</v>
      </c>
      <c r="P477" s="65">
        <f ca="1">SUMIFS(OFFSET('BPC Data'!$F:$F,0,Summary!P$2),'BPC Data'!$E:$E,Summary!$D477,'BPC Data'!$B:$B,Summary!$C477)</f>
        <v>0</v>
      </c>
      <c r="Q477" s="61">
        <f ca="1">SUMIFS(OFFSET('BPC Data'!$F:$F,0,Summary!Q$2),'BPC Data'!$E:$E,Summary!$D477,'BPC Data'!$B:$B,Summary!$C477)</f>
        <v>0</v>
      </c>
      <c r="R477" s="65">
        <f ca="1">SUMIFS(OFFSET('BPC Data'!$F:$F,0,Summary!R$2),'BPC Data'!$E:$E,Summary!$D477,'BPC Data'!$B:$B,Summary!$C477)</f>
        <v>0</v>
      </c>
      <c r="S477" s="23"/>
      <c r="T477" s="76"/>
      <c r="AJ477" s="49"/>
      <c r="AK477" s="49"/>
      <c r="AL477" s="49"/>
      <c r="AM477" s="49"/>
      <c r="AN477" s="49"/>
      <c r="AO477" s="49"/>
      <c r="AP477" s="49"/>
      <c r="AQ477" s="49"/>
      <c r="AR477" s="49"/>
      <c r="AS477" s="49"/>
      <c r="AT477" s="49"/>
      <c r="AU477" s="49"/>
    </row>
    <row r="478" spans="1:47" s="12" customFormat="1" hidden="1" outlineLevel="1">
      <c r="A478" s="12">
        <f t="shared" si="467"/>
        <v>43</v>
      </c>
      <c r="B478"/>
      <c r="C478">
        <f>$F471</f>
        <v>0</v>
      </c>
      <c r="D478" s="2" t="str">
        <f t="shared" si="466"/>
        <v>T_MGMT_FEE - Tenant Management Fee - Actual</v>
      </c>
      <c r="E478"/>
      <c r="F478" s="19" t="str">
        <f>_xll.EVDES(D478)</f>
        <v>Tenant Management Fee - Actual</v>
      </c>
      <c r="G478" s="61">
        <f ca="1">SUMIFS(OFFSET('BPC Data'!$F:$F,0,Summary!G$2),'BPC Data'!$E:$E,Summary!$D478,'BPC Data'!$B:$B,Summary!$C478)</f>
        <v>0</v>
      </c>
      <c r="H478" s="65">
        <f ca="1">SUMIFS(OFFSET('BPC Data'!$F:$F,0,Summary!H$2),'BPC Data'!$E:$E,Summary!$D478,'BPC Data'!$B:$B,Summary!$C478)</f>
        <v>0</v>
      </c>
      <c r="I478" s="61">
        <f ca="1">SUMIFS(OFFSET('BPC Data'!$F:$F,0,Summary!I$2),'BPC Data'!$E:$E,Summary!$D478,'BPC Data'!$B:$B,Summary!$C478)</f>
        <v>0</v>
      </c>
      <c r="J478" s="65">
        <f ca="1">SUMIFS(OFFSET('BPC Data'!$F:$F,0,Summary!J$2),'BPC Data'!$E:$E,Summary!$D478,'BPC Data'!$B:$B,Summary!$C478)</f>
        <v>0</v>
      </c>
      <c r="K478" s="61">
        <f ca="1">SUMIFS(OFFSET('BPC Data'!$F:$F,0,Summary!K$2),'BPC Data'!$E:$E,Summary!$D478,'BPC Data'!$B:$B,Summary!$C478)</f>
        <v>0</v>
      </c>
      <c r="L478" s="65">
        <f ca="1">SUMIFS(OFFSET('BPC Data'!$F:$F,0,Summary!L$2),'BPC Data'!$E:$E,Summary!$D478,'BPC Data'!$B:$B,Summary!$C478)</f>
        <v>0</v>
      </c>
      <c r="M478" s="61">
        <f ca="1">SUMIFS(OFFSET('BPC Data'!$F:$F,0,Summary!M$2),'BPC Data'!$E:$E,Summary!$D478,'BPC Data'!$B:$B,Summary!$C478)</f>
        <v>0</v>
      </c>
      <c r="N478" s="65">
        <f ca="1">SUMIFS(OFFSET('BPC Data'!$F:$F,0,Summary!N$2),'BPC Data'!$E:$E,Summary!$D478,'BPC Data'!$B:$B,Summary!$C478)</f>
        <v>0</v>
      </c>
      <c r="O478" s="61">
        <f ca="1">SUMIFS(OFFSET('BPC Data'!$F:$F,0,Summary!O$2),'BPC Data'!$E:$E,Summary!$D478,'BPC Data'!$B:$B,Summary!$C478)</f>
        <v>0</v>
      </c>
      <c r="P478" s="65">
        <f ca="1">SUMIFS(OFFSET('BPC Data'!$F:$F,0,Summary!P$2),'BPC Data'!$E:$E,Summary!$D478,'BPC Data'!$B:$B,Summary!$C478)</f>
        <v>0</v>
      </c>
      <c r="Q478" s="61">
        <f ca="1">SUMIFS(OFFSET('BPC Data'!$F:$F,0,Summary!Q$2),'BPC Data'!$E:$E,Summary!$D478,'BPC Data'!$B:$B,Summary!$C478)</f>
        <v>0</v>
      </c>
      <c r="R478" s="65">
        <f ca="1">SUMIFS(OFFSET('BPC Data'!$F:$F,0,Summary!R$2),'BPC Data'!$E:$E,Summary!$D478,'BPC Data'!$B:$B,Summary!$C478)</f>
        <v>0</v>
      </c>
      <c r="S478" s="23"/>
      <c r="T478" s="76"/>
      <c r="AJ478" s="49"/>
      <c r="AK478" s="49"/>
      <c r="AL478" s="49"/>
      <c r="AM478" s="49"/>
      <c r="AN478" s="49"/>
      <c r="AO478" s="49"/>
      <c r="AP478" s="49"/>
      <c r="AQ478" s="49"/>
      <c r="AR478" s="49"/>
      <c r="AS478" s="49"/>
      <c r="AT478" s="49"/>
      <c r="AU478" s="49"/>
    </row>
    <row r="479" spans="1:47" s="12" customFormat="1" hidden="1" outlineLevel="1">
      <c r="A479" s="12">
        <f t="shared" si="467"/>
        <v>43</v>
      </c>
      <c r="B479"/>
      <c r="C479">
        <f>$F471</f>
        <v>0</v>
      </c>
      <c r="D479" s="1" t="str">
        <f t="shared" si="466"/>
        <v>T_EBITDAR - EBITDAR</v>
      </c>
      <c r="E479"/>
      <c r="F479" s="19" t="str">
        <f>_xll.EVDES(D479)</f>
        <v>EBITDAR</v>
      </c>
      <c r="G479" s="61">
        <f ca="1">SUMIFS(OFFSET('BPC Data'!$F:$F,0,Summary!G$2),'BPC Data'!$E:$E,Summary!$D479,'BPC Data'!$B:$B,Summary!$C479)</f>
        <v>0</v>
      </c>
      <c r="H479" s="65">
        <f ca="1">SUMIFS(OFFSET('BPC Data'!$F:$F,0,Summary!H$2),'BPC Data'!$E:$E,Summary!$D479,'BPC Data'!$B:$B,Summary!$C479)</f>
        <v>0</v>
      </c>
      <c r="I479" s="61">
        <f ca="1">SUMIFS(OFFSET('BPC Data'!$F:$F,0,Summary!I$2),'BPC Data'!$E:$E,Summary!$D479,'BPC Data'!$B:$B,Summary!$C479)</f>
        <v>0</v>
      </c>
      <c r="J479" s="65">
        <f ca="1">SUMIFS(OFFSET('BPC Data'!$F:$F,0,Summary!J$2),'BPC Data'!$E:$E,Summary!$D479,'BPC Data'!$B:$B,Summary!$C479)</f>
        <v>0</v>
      </c>
      <c r="K479" s="61">
        <f ca="1">SUMIFS(OFFSET('BPC Data'!$F:$F,0,Summary!K$2),'BPC Data'!$E:$E,Summary!$D479,'BPC Data'!$B:$B,Summary!$C479)</f>
        <v>0</v>
      </c>
      <c r="L479" s="65">
        <f ca="1">SUMIFS(OFFSET('BPC Data'!$F:$F,0,Summary!L$2),'BPC Data'!$E:$E,Summary!$D479,'BPC Data'!$B:$B,Summary!$C479)</f>
        <v>0</v>
      </c>
      <c r="M479" s="61">
        <f ca="1">SUMIFS(OFFSET('BPC Data'!$F:$F,0,Summary!M$2),'BPC Data'!$E:$E,Summary!$D479,'BPC Data'!$B:$B,Summary!$C479)</f>
        <v>0</v>
      </c>
      <c r="N479" s="65">
        <f ca="1">SUMIFS(OFFSET('BPC Data'!$F:$F,0,Summary!N$2),'BPC Data'!$E:$E,Summary!$D479,'BPC Data'!$B:$B,Summary!$C479)</f>
        <v>0</v>
      </c>
      <c r="O479" s="61">
        <f ca="1">SUMIFS(OFFSET('BPC Data'!$F:$F,0,Summary!O$2),'BPC Data'!$E:$E,Summary!$D479,'BPC Data'!$B:$B,Summary!$C479)</f>
        <v>0</v>
      </c>
      <c r="P479" s="65">
        <f ca="1">SUMIFS(OFFSET('BPC Data'!$F:$F,0,Summary!P$2),'BPC Data'!$E:$E,Summary!$D479,'BPC Data'!$B:$B,Summary!$C479)</f>
        <v>0</v>
      </c>
      <c r="Q479" s="61">
        <f ca="1">SUMIFS(OFFSET('BPC Data'!$F:$F,0,Summary!Q$2),'BPC Data'!$E:$E,Summary!$D479,'BPC Data'!$B:$B,Summary!$C479)</f>
        <v>0</v>
      </c>
      <c r="R479" s="65">
        <f ca="1">SUMIFS(OFFSET('BPC Data'!$F:$F,0,Summary!R$2),'BPC Data'!$E:$E,Summary!$D479,'BPC Data'!$B:$B,Summary!$C479)</f>
        <v>0</v>
      </c>
      <c r="S479" s="23"/>
      <c r="T479" s="76"/>
      <c r="AJ479" s="49"/>
      <c r="AK479" s="49"/>
      <c r="AL479" s="49"/>
      <c r="AM479" s="49"/>
      <c r="AN479" s="49"/>
      <c r="AO479" s="49"/>
      <c r="AP479" s="49"/>
      <c r="AQ479" s="49"/>
      <c r="AR479" s="49"/>
      <c r="AS479" s="49"/>
      <c r="AT479" s="49"/>
      <c r="AU479" s="49"/>
    </row>
    <row r="480" spans="1:47" s="12" customFormat="1" hidden="1" outlineLevel="1">
      <c r="A480" s="12">
        <f t="shared" si="467"/>
        <v>43</v>
      </c>
      <c r="B480"/>
      <c r="C480">
        <f>$F471</f>
        <v>0</v>
      </c>
      <c r="D480" s="1" t="str">
        <f t="shared" si="466"/>
        <v>T_RENT_EXP - Tenant Rent Expense</v>
      </c>
      <c r="E480"/>
      <c r="F480" s="19" t="str">
        <f>_xll.EVDES(D480)</f>
        <v>Tenant Rent Expense</v>
      </c>
      <c r="G480" s="61">
        <f ca="1">SUMIFS(OFFSET('BPC Data'!$F:$F,0,Summary!G$2),'BPC Data'!$E:$E,Summary!$D480,'BPC Data'!$B:$B,Summary!$C480)</f>
        <v>0</v>
      </c>
      <c r="H480" s="65">
        <f ca="1">SUMIFS(OFFSET('BPC Data'!$F:$F,0,Summary!H$2),'BPC Data'!$E:$E,Summary!$D480,'BPC Data'!$B:$B,Summary!$C480)</f>
        <v>0</v>
      </c>
      <c r="I480" s="61">
        <f ca="1">SUMIFS(OFFSET('BPC Data'!$F:$F,0,Summary!I$2),'BPC Data'!$E:$E,Summary!$D480,'BPC Data'!$B:$B,Summary!$C480)</f>
        <v>0</v>
      </c>
      <c r="J480" s="65">
        <f ca="1">SUMIFS(OFFSET('BPC Data'!$F:$F,0,Summary!J$2),'BPC Data'!$E:$E,Summary!$D480,'BPC Data'!$B:$B,Summary!$C480)</f>
        <v>0</v>
      </c>
      <c r="K480" s="61">
        <f ca="1">SUMIFS(OFFSET('BPC Data'!$F:$F,0,Summary!K$2),'BPC Data'!$E:$E,Summary!$D480,'BPC Data'!$B:$B,Summary!$C480)</f>
        <v>0</v>
      </c>
      <c r="L480" s="65">
        <f ca="1">SUMIFS(OFFSET('BPC Data'!$F:$F,0,Summary!L$2),'BPC Data'!$E:$E,Summary!$D480,'BPC Data'!$B:$B,Summary!$C480)</f>
        <v>0</v>
      </c>
      <c r="M480" s="61">
        <f ca="1">SUMIFS(OFFSET('BPC Data'!$F:$F,0,Summary!M$2),'BPC Data'!$E:$E,Summary!$D480,'BPC Data'!$B:$B,Summary!$C480)</f>
        <v>0</v>
      </c>
      <c r="N480" s="65">
        <f ca="1">SUMIFS(OFFSET('BPC Data'!$F:$F,0,Summary!N$2),'BPC Data'!$E:$E,Summary!$D480,'BPC Data'!$B:$B,Summary!$C480)</f>
        <v>0</v>
      </c>
      <c r="O480" s="61">
        <f ca="1">SUMIFS(OFFSET('BPC Data'!$F:$F,0,Summary!O$2),'BPC Data'!$E:$E,Summary!$D480,'BPC Data'!$B:$B,Summary!$C480)</f>
        <v>0</v>
      </c>
      <c r="P480" s="65">
        <f ca="1">SUMIFS(OFFSET('BPC Data'!$F:$F,0,Summary!P$2),'BPC Data'!$E:$E,Summary!$D480,'BPC Data'!$B:$B,Summary!$C480)</f>
        <v>0</v>
      </c>
      <c r="Q480" s="61">
        <f ca="1">SUMIFS(OFFSET('BPC Data'!$F:$F,0,Summary!Q$2),'BPC Data'!$E:$E,Summary!$D480,'BPC Data'!$B:$B,Summary!$C480)</f>
        <v>0</v>
      </c>
      <c r="R480" s="65">
        <f ca="1">SUMIFS(OFFSET('BPC Data'!$F:$F,0,Summary!R$2),'BPC Data'!$E:$E,Summary!$D480,'BPC Data'!$B:$B,Summary!$C480)</f>
        <v>0</v>
      </c>
      <c r="S480" s="23"/>
      <c r="T480" s="76"/>
      <c r="AJ480" s="49"/>
      <c r="AK480" s="49"/>
      <c r="AL480" s="49"/>
      <c r="AM480" s="49"/>
      <c r="AN480" s="49"/>
      <c r="AO480" s="49"/>
      <c r="AP480" s="49"/>
      <c r="AQ480" s="49"/>
      <c r="AR480" s="49"/>
      <c r="AS480" s="49"/>
      <c r="AT480" s="49"/>
      <c r="AU480" s="49"/>
    </row>
    <row r="481" spans="1:47" s="12" customFormat="1" hidden="1" outlineLevel="1">
      <c r="A481" s="12">
        <f t="shared" si="467"/>
        <v>43</v>
      </c>
      <c r="B481"/>
      <c r="C481"/>
      <c r="D481" s="1" t="str">
        <f t="shared" si="466"/>
        <v>x</v>
      </c>
      <c r="E481"/>
      <c r="F481" s="19" t="s">
        <v>0</v>
      </c>
      <c r="G481" s="61">
        <f ca="1">SUMIFS(OFFSET('BPC Data'!$F:$F,0,Summary!G$2),'BPC Data'!$E:$E,Summary!$D481,'BPC Data'!$B:$B,Summary!$C481)</f>
        <v>0</v>
      </c>
      <c r="H481" s="65">
        <f ca="1">SUMIFS(OFFSET('BPC Data'!$F:$F,0,Summary!H$2),'BPC Data'!$E:$E,Summary!$D481,'BPC Data'!$B:$B,Summary!$C481)</f>
        <v>0</v>
      </c>
      <c r="I481" s="61">
        <f ca="1">SUMIFS(OFFSET('BPC Data'!$F:$F,0,Summary!I$2),'BPC Data'!$E:$E,Summary!$D481,'BPC Data'!$B:$B,Summary!$C481)</f>
        <v>0</v>
      </c>
      <c r="J481" s="65">
        <f ca="1">SUMIFS(OFFSET('BPC Data'!$F:$F,0,Summary!J$2),'BPC Data'!$E:$E,Summary!$D481,'BPC Data'!$B:$B,Summary!$C481)</f>
        <v>0</v>
      </c>
      <c r="K481" s="61">
        <f ca="1">SUMIFS(OFFSET('BPC Data'!$F:$F,0,Summary!K$2),'BPC Data'!$E:$E,Summary!$D481,'BPC Data'!$B:$B,Summary!$C481)</f>
        <v>0</v>
      </c>
      <c r="L481" s="65">
        <f ca="1">SUMIFS(OFFSET('BPC Data'!$F:$F,0,Summary!L$2),'BPC Data'!$E:$E,Summary!$D481,'BPC Data'!$B:$B,Summary!$C481)</f>
        <v>0</v>
      </c>
      <c r="M481" s="61">
        <f ca="1">SUMIFS(OFFSET('BPC Data'!$F:$F,0,Summary!M$2),'BPC Data'!$E:$E,Summary!$D481,'BPC Data'!$B:$B,Summary!$C481)</f>
        <v>0</v>
      </c>
      <c r="N481" s="65">
        <f ca="1">SUMIFS(OFFSET('BPC Data'!$F:$F,0,Summary!N$2),'BPC Data'!$E:$E,Summary!$D481,'BPC Data'!$B:$B,Summary!$C481)</f>
        <v>0</v>
      </c>
      <c r="O481" s="61">
        <f ca="1">SUMIFS(OFFSET('BPC Data'!$F:$F,0,Summary!O$2),'BPC Data'!$E:$E,Summary!$D481,'BPC Data'!$B:$B,Summary!$C481)</f>
        <v>0</v>
      </c>
      <c r="P481" s="65">
        <f ca="1">SUMIFS(OFFSET('BPC Data'!$F:$F,0,Summary!P$2),'BPC Data'!$E:$E,Summary!$D481,'BPC Data'!$B:$B,Summary!$C481)</f>
        <v>0</v>
      </c>
      <c r="Q481" s="61">
        <f ca="1">SUMIFS(OFFSET('BPC Data'!$F:$F,0,Summary!Q$2),'BPC Data'!$E:$E,Summary!$D481,'BPC Data'!$B:$B,Summary!$C481)</f>
        <v>0</v>
      </c>
      <c r="R481" s="65">
        <f ca="1">SUMIFS(OFFSET('BPC Data'!$F:$F,0,Summary!R$2),'BPC Data'!$E:$E,Summary!$D481,'BPC Data'!$B:$B,Summary!$C481)</f>
        <v>0</v>
      </c>
      <c r="S481" s="23"/>
      <c r="T481" s="76"/>
      <c r="AJ481" s="49"/>
      <c r="AK481" s="49"/>
      <c r="AL481" s="49"/>
      <c r="AM481" s="49"/>
      <c r="AN481" s="49"/>
      <c r="AO481" s="49"/>
      <c r="AP481" s="49"/>
      <c r="AQ481" s="49"/>
      <c r="AR481" s="49"/>
      <c r="AS481" s="49"/>
      <c r="AT481" s="49"/>
      <c r="AU481" s="49"/>
    </row>
    <row r="482" spans="1:47" s="12" customFormat="1" hidden="1" outlineLevel="1">
      <c r="A482" s="12">
        <f>IF(AND(D482&lt;&gt;"",C482=""),A481+1,A481)</f>
        <v>44</v>
      </c>
      <c r="B482" s="5"/>
      <c r="C482" s="5"/>
      <c r="D482" s="5" t="str">
        <f t="shared" si="466"/>
        <v>x</v>
      </c>
      <c r="E482" s="5"/>
      <c r="F482" s="18">
        <f>INDEX(PropertyList!$D:$D,MATCH(Summary!$A482,PropertyList!$C:$C,0))</f>
        <v>0</v>
      </c>
      <c r="G482" s="61">
        <f ca="1">SUMIFS(OFFSET('BPC Data'!$F:$F,0,Summary!G$2),'BPC Data'!$E:$E,Summary!$D482,'BPC Data'!$B:$B,Summary!$C482)</f>
        <v>0</v>
      </c>
      <c r="H482" s="65">
        <f ca="1">SUMIFS(OFFSET('BPC Data'!$F:$F,0,Summary!H$2),'BPC Data'!$E:$E,Summary!$D482,'BPC Data'!$B:$B,Summary!$C482)</f>
        <v>0</v>
      </c>
      <c r="I482" s="61">
        <f ca="1">SUMIFS(OFFSET('BPC Data'!$F:$F,0,Summary!I$2),'BPC Data'!$E:$E,Summary!$D482,'BPC Data'!$B:$B,Summary!$C482)</f>
        <v>0</v>
      </c>
      <c r="J482" s="65">
        <f ca="1">SUMIFS(OFFSET('BPC Data'!$F:$F,0,Summary!J$2),'BPC Data'!$E:$E,Summary!$D482,'BPC Data'!$B:$B,Summary!$C482)</f>
        <v>0</v>
      </c>
      <c r="K482" s="61">
        <f ca="1">SUMIFS(OFFSET('BPC Data'!$F:$F,0,Summary!K$2),'BPC Data'!$E:$E,Summary!$D482,'BPC Data'!$B:$B,Summary!$C482)</f>
        <v>0</v>
      </c>
      <c r="L482" s="65">
        <f ca="1">SUMIFS(OFFSET('BPC Data'!$F:$F,0,Summary!L$2),'BPC Data'!$E:$E,Summary!$D482,'BPC Data'!$B:$B,Summary!$C482)</f>
        <v>0</v>
      </c>
      <c r="M482" s="61">
        <f ca="1">SUMIFS(OFFSET('BPC Data'!$F:$F,0,Summary!M$2),'BPC Data'!$E:$E,Summary!$D482,'BPC Data'!$B:$B,Summary!$C482)</f>
        <v>0</v>
      </c>
      <c r="N482" s="65">
        <f ca="1">SUMIFS(OFFSET('BPC Data'!$F:$F,0,Summary!N$2),'BPC Data'!$E:$E,Summary!$D482,'BPC Data'!$B:$B,Summary!$C482)</f>
        <v>0</v>
      </c>
      <c r="O482" s="61">
        <f ca="1">SUMIFS(OFFSET('BPC Data'!$F:$F,0,Summary!O$2),'BPC Data'!$E:$E,Summary!$D482,'BPC Data'!$B:$B,Summary!$C482)</f>
        <v>0</v>
      </c>
      <c r="P482" s="65">
        <f ca="1">SUMIFS(OFFSET('BPC Data'!$F:$F,0,Summary!P$2),'BPC Data'!$E:$E,Summary!$D482,'BPC Data'!$B:$B,Summary!$C482)</f>
        <v>0</v>
      </c>
      <c r="Q482" s="61">
        <f ca="1">SUMIFS(OFFSET('BPC Data'!$F:$F,0,Summary!Q$2),'BPC Data'!$E:$E,Summary!$D482,'BPC Data'!$B:$B,Summary!$C482)</f>
        <v>0</v>
      </c>
      <c r="R482" s="65">
        <f ca="1">SUMIFS(OFFSET('BPC Data'!$F:$F,0,Summary!R$2),'BPC Data'!$E:$E,Summary!$D482,'BPC Data'!$B:$B,Summary!$C482)</f>
        <v>0</v>
      </c>
      <c r="S482" s="23"/>
      <c r="T482" s="76"/>
      <c r="AJ482" s="49"/>
      <c r="AK482" s="49"/>
      <c r="AL482" s="49"/>
      <c r="AM482" s="49"/>
      <c r="AN482" s="49"/>
      <c r="AO482" s="49"/>
      <c r="AP482" s="49"/>
      <c r="AQ482" s="49"/>
      <c r="AR482" s="49"/>
      <c r="AS482" s="49"/>
      <c r="AT482" s="49"/>
      <c r="AU482" s="49"/>
    </row>
    <row r="483" spans="1:47" s="12" customFormat="1" hidden="1" outlineLevel="1">
      <c r="A483" s="12">
        <f>IF(AND(F483&lt;&gt;"",D483=""),A482+1,A482)</f>
        <v>44</v>
      </c>
      <c r="C483">
        <f>$F482</f>
        <v>0</v>
      </c>
      <c r="D483" s="3" t="str">
        <f t="shared" si="466"/>
        <v>PAY_PAT_DAYS - Total Payor Patient Days</v>
      </c>
      <c r="F483" s="19" t="str">
        <f>_xll.EVDES(D483)</f>
        <v>Total Payor Patient Days</v>
      </c>
      <c r="G483" s="61">
        <f ca="1">SUMIFS(OFFSET('BPC Data'!$F:$F,0,Summary!G$2),'BPC Data'!$E:$E,Summary!$D483,'BPC Data'!$B:$B,Summary!$C483)</f>
        <v>0</v>
      </c>
      <c r="H483" s="65">
        <f ca="1">SUMIFS(OFFSET('BPC Data'!$F:$F,0,Summary!H$2),'BPC Data'!$E:$E,Summary!$D483,'BPC Data'!$B:$B,Summary!$C483)</f>
        <v>0</v>
      </c>
      <c r="I483" s="61">
        <f ca="1">SUMIFS(OFFSET('BPC Data'!$F:$F,0,Summary!I$2),'BPC Data'!$E:$E,Summary!$D483,'BPC Data'!$B:$B,Summary!$C483)</f>
        <v>0</v>
      </c>
      <c r="J483" s="65">
        <f ca="1">SUMIFS(OFFSET('BPC Data'!$F:$F,0,Summary!J$2),'BPC Data'!$E:$E,Summary!$D483,'BPC Data'!$B:$B,Summary!$C483)</f>
        <v>0</v>
      </c>
      <c r="K483" s="61">
        <f ca="1">SUMIFS(OFFSET('BPC Data'!$F:$F,0,Summary!K$2),'BPC Data'!$E:$E,Summary!$D483,'BPC Data'!$B:$B,Summary!$C483)</f>
        <v>0</v>
      </c>
      <c r="L483" s="65">
        <f ca="1">SUMIFS(OFFSET('BPC Data'!$F:$F,0,Summary!L$2),'BPC Data'!$E:$E,Summary!$D483,'BPC Data'!$B:$B,Summary!$C483)</f>
        <v>0</v>
      </c>
      <c r="M483" s="61">
        <f ca="1">SUMIFS(OFFSET('BPC Data'!$F:$F,0,Summary!M$2),'BPC Data'!$E:$E,Summary!$D483,'BPC Data'!$B:$B,Summary!$C483)</f>
        <v>0</v>
      </c>
      <c r="N483" s="65">
        <f ca="1">SUMIFS(OFFSET('BPC Data'!$F:$F,0,Summary!N$2),'BPC Data'!$E:$E,Summary!$D483,'BPC Data'!$B:$B,Summary!$C483)</f>
        <v>0</v>
      </c>
      <c r="O483" s="61">
        <f ca="1">SUMIFS(OFFSET('BPC Data'!$F:$F,0,Summary!O$2),'BPC Data'!$E:$E,Summary!$D483,'BPC Data'!$B:$B,Summary!$C483)</f>
        <v>0</v>
      </c>
      <c r="P483" s="65">
        <f ca="1">SUMIFS(OFFSET('BPC Data'!$F:$F,0,Summary!P$2),'BPC Data'!$E:$E,Summary!$D483,'BPC Data'!$B:$B,Summary!$C483)</f>
        <v>0</v>
      </c>
      <c r="Q483" s="61">
        <f ca="1">SUMIFS(OFFSET('BPC Data'!$F:$F,0,Summary!Q$2),'BPC Data'!$E:$E,Summary!$D483,'BPC Data'!$B:$B,Summary!$C483)</f>
        <v>0</v>
      </c>
      <c r="R483" s="65">
        <f ca="1">SUMIFS(OFFSET('BPC Data'!$F:$F,0,Summary!R$2),'BPC Data'!$E:$E,Summary!$D483,'BPC Data'!$B:$B,Summary!$C483)</f>
        <v>0</v>
      </c>
      <c r="S483" s="23"/>
      <c r="T483" s="76"/>
      <c r="AJ483" s="49"/>
      <c r="AK483" s="49"/>
      <c r="AL483" s="49"/>
      <c r="AM483" s="49"/>
      <c r="AN483" s="49"/>
      <c r="AO483" s="49"/>
      <c r="AP483" s="49"/>
      <c r="AQ483" s="49"/>
      <c r="AR483" s="49"/>
      <c r="AS483" s="49"/>
      <c r="AT483" s="49"/>
      <c r="AU483" s="49"/>
    </row>
    <row r="484" spans="1:47" s="12" customFormat="1" hidden="1" outlineLevel="1">
      <c r="A484" s="12">
        <f t="shared" ref="A484:A492" si="468">IF(AND(F484&lt;&gt;"",D484=""),A483+1,A483)</f>
        <v>44</v>
      </c>
      <c r="C484">
        <f>$F482</f>
        <v>0</v>
      </c>
      <c r="D484" s="3" t="str">
        <f t="shared" si="466"/>
        <v>A_BEDS_TOTAL - Total Available Beds</v>
      </c>
      <c r="F484" s="19" t="str">
        <f>_xll.EVDES(D484)</f>
        <v>Total Available Beds</v>
      </c>
      <c r="G484" s="61">
        <f ca="1">SUMIFS(OFFSET('BPC Data'!$F:$F,0,Summary!G$2),'BPC Data'!$E:$E,Summary!$D484,'BPC Data'!$B:$B,Summary!$C484)</f>
        <v>0</v>
      </c>
      <c r="H484" s="65">
        <f ca="1">SUMIFS(OFFSET('BPC Data'!$F:$F,0,Summary!H$2),'BPC Data'!$E:$E,Summary!$D484,'BPC Data'!$B:$B,Summary!$C484)</f>
        <v>0</v>
      </c>
      <c r="I484" s="61">
        <f ca="1">SUMIFS(OFFSET('BPC Data'!$F:$F,0,Summary!I$2),'BPC Data'!$E:$E,Summary!$D484,'BPC Data'!$B:$B,Summary!$C484)</f>
        <v>0</v>
      </c>
      <c r="J484" s="65">
        <f ca="1">SUMIFS(OFFSET('BPC Data'!$F:$F,0,Summary!J$2),'BPC Data'!$E:$E,Summary!$D484,'BPC Data'!$B:$B,Summary!$C484)</f>
        <v>0</v>
      </c>
      <c r="K484" s="61">
        <f ca="1">SUMIFS(OFFSET('BPC Data'!$F:$F,0,Summary!K$2),'BPC Data'!$E:$E,Summary!$D484,'BPC Data'!$B:$B,Summary!$C484)</f>
        <v>0</v>
      </c>
      <c r="L484" s="65">
        <f ca="1">SUMIFS(OFFSET('BPC Data'!$F:$F,0,Summary!L$2),'BPC Data'!$E:$E,Summary!$D484,'BPC Data'!$B:$B,Summary!$C484)</f>
        <v>0</v>
      </c>
      <c r="M484" s="61">
        <f ca="1">SUMIFS(OFFSET('BPC Data'!$F:$F,0,Summary!M$2),'BPC Data'!$E:$E,Summary!$D484,'BPC Data'!$B:$B,Summary!$C484)</f>
        <v>0</v>
      </c>
      <c r="N484" s="65">
        <f ca="1">SUMIFS(OFFSET('BPC Data'!$F:$F,0,Summary!N$2),'BPC Data'!$E:$E,Summary!$D484,'BPC Data'!$B:$B,Summary!$C484)</f>
        <v>0</v>
      </c>
      <c r="O484" s="61">
        <f ca="1">SUMIFS(OFFSET('BPC Data'!$F:$F,0,Summary!O$2),'BPC Data'!$E:$E,Summary!$D484,'BPC Data'!$B:$B,Summary!$C484)</f>
        <v>0</v>
      </c>
      <c r="P484" s="65">
        <f ca="1">SUMIFS(OFFSET('BPC Data'!$F:$F,0,Summary!P$2),'BPC Data'!$E:$E,Summary!$D484,'BPC Data'!$B:$B,Summary!$C484)</f>
        <v>0</v>
      </c>
      <c r="Q484" s="61">
        <f ca="1">SUMIFS(OFFSET('BPC Data'!$F:$F,0,Summary!Q$2),'BPC Data'!$E:$E,Summary!$D484,'BPC Data'!$B:$B,Summary!$C484)</f>
        <v>0</v>
      </c>
      <c r="R484" s="65">
        <f ca="1">SUMIFS(OFFSET('BPC Data'!$F:$F,0,Summary!R$2),'BPC Data'!$E:$E,Summary!$D484,'BPC Data'!$B:$B,Summary!$C484)</f>
        <v>0</v>
      </c>
      <c r="S484" s="23"/>
      <c r="T484" s="76"/>
      <c r="AJ484" s="49"/>
      <c r="AK484" s="49"/>
      <c r="AL484" s="49"/>
      <c r="AM484" s="49"/>
      <c r="AN484" s="49"/>
      <c r="AO484" s="49"/>
      <c r="AP484" s="49"/>
      <c r="AQ484" s="49"/>
      <c r="AR484" s="49"/>
      <c r="AS484" s="49"/>
      <c r="AT484" s="49"/>
      <c r="AU484" s="49"/>
    </row>
    <row r="485" spans="1:47" s="12" customFormat="1" hidden="1" outlineLevel="1">
      <c r="A485" s="12">
        <f t="shared" si="468"/>
        <v>44</v>
      </c>
      <c r="B485"/>
      <c r="C485">
        <f>$F482</f>
        <v>0</v>
      </c>
      <c r="D485" s="3" t="str">
        <f t="shared" si="466"/>
        <v>T_REVENUES - Total Tenant Revenues</v>
      </c>
      <c r="E485"/>
      <c r="F485" s="19" t="str">
        <f>_xll.EVDES(D485)</f>
        <v>Total Tenant Revenues</v>
      </c>
      <c r="G485" s="61">
        <f ca="1">SUMIFS(OFFSET('BPC Data'!$F:$F,0,Summary!G$2),'BPC Data'!$E:$E,Summary!$D485,'BPC Data'!$B:$B,Summary!$C485)</f>
        <v>0</v>
      </c>
      <c r="H485" s="65">
        <f ca="1">SUMIFS(OFFSET('BPC Data'!$F:$F,0,Summary!H$2),'BPC Data'!$E:$E,Summary!$D485,'BPC Data'!$B:$B,Summary!$C485)</f>
        <v>0</v>
      </c>
      <c r="I485" s="61">
        <f ca="1">SUMIFS(OFFSET('BPC Data'!$F:$F,0,Summary!I$2),'BPC Data'!$E:$E,Summary!$D485,'BPC Data'!$B:$B,Summary!$C485)</f>
        <v>0</v>
      </c>
      <c r="J485" s="65">
        <f ca="1">SUMIFS(OFFSET('BPC Data'!$F:$F,0,Summary!J$2),'BPC Data'!$E:$E,Summary!$D485,'BPC Data'!$B:$B,Summary!$C485)</f>
        <v>0</v>
      </c>
      <c r="K485" s="61">
        <f ca="1">SUMIFS(OFFSET('BPC Data'!$F:$F,0,Summary!K$2),'BPC Data'!$E:$E,Summary!$D485,'BPC Data'!$B:$B,Summary!$C485)</f>
        <v>0</v>
      </c>
      <c r="L485" s="65">
        <f ca="1">SUMIFS(OFFSET('BPC Data'!$F:$F,0,Summary!L$2),'BPC Data'!$E:$E,Summary!$D485,'BPC Data'!$B:$B,Summary!$C485)</f>
        <v>0</v>
      </c>
      <c r="M485" s="61">
        <f ca="1">SUMIFS(OFFSET('BPC Data'!$F:$F,0,Summary!M$2),'BPC Data'!$E:$E,Summary!$D485,'BPC Data'!$B:$B,Summary!$C485)</f>
        <v>0</v>
      </c>
      <c r="N485" s="65">
        <f ca="1">SUMIFS(OFFSET('BPC Data'!$F:$F,0,Summary!N$2),'BPC Data'!$E:$E,Summary!$D485,'BPC Data'!$B:$B,Summary!$C485)</f>
        <v>0</v>
      </c>
      <c r="O485" s="61">
        <f ca="1">SUMIFS(OFFSET('BPC Data'!$F:$F,0,Summary!O$2),'BPC Data'!$E:$E,Summary!$D485,'BPC Data'!$B:$B,Summary!$C485)</f>
        <v>0</v>
      </c>
      <c r="P485" s="65">
        <f ca="1">SUMIFS(OFFSET('BPC Data'!$F:$F,0,Summary!P$2),'BPC Data'!$E:$E,Summary!$D485,'BPC Data'!$B:$B,Summary!$C485)</f>
        <v>0</v>
      </c>
      <c r="Q485" s="61">
        <f ca="1">SUMIFS(OFFSET('BPC Data'!$F:$F,0,Summary!Q$2),'BPC Data'!$E:$E,Summary!$D485,'BPC Data'!$B:$B,Summary!$C485)</f>
        <v>0</v>
      </c>
      <c r="R485" s="65">
        <f ca="1">SUMIFS(OFFSET('BPC Data'!$F:$F,0,Summary!R$2),'BPC Data'!$E:$E,Summary!$D485,'BPC Data'!$B:$B,Summary!$C485)</f>
        <v>0</v>
      </c>
      <c r="S485" s="23"/>
      <c r="T485" s="76"/>
      <c r="AJ485" s="49"/>
      <c r="AK485" s="49"/>
      <c r="AL485" s="49"/>
      <c r="AM485" s="49"/>
      <c r="AN485" s="49"/>
      <c r="AO485" s="49"/>
      <c r="AP485" s="49"/>
      <c r="AQ485" s="49"/>
      <c r="AR485" s="49"/>
      <c r="AS485" s="49"/>
      <c r="AT485" s="49"/>
      <c r="AU485" s="49"/>
    </row>
    <row r="486" spans="1:47" s="12" customFormat="1" hidden="1" outlineLevel="1">
      <c r="A486" s="12">
        <f t="shared" si="468"/>
        <v>44</v>
      </c>
      <c r="B486"/>
      <c r="C486">
        <f>$F482</f>
        <v>0</v>
      </c>
      <c r="D486" s="3" t="str">
        <f t="shared" si="466"/>
        <v>T_OPEX - Tenant Operating Expenses</v>
      </c>
      <c r="E486"/>
      <c r="F486" s="19" t="str">
        <f>_xll.EVDES(D486)</f>
        <v>Tenant Operating Expenses</v>
      </c>
      <c r="G486" s="61">
        <f ca="1">SUMIFS(OFFSET('BPC Data'!$F:$F,0,Summary!G$2),'BPC Data'!$E:$E,Summary!$D486,'BPC Data'!$B:$B,Summary!$C486)</f>
        <v>0</v>
      </c>
      <c r="H486" s="65">
        <f ca="1">SUMIFS(OFFSET('BPC Data'!$F:$F,0,Summary!H$2),'BPC Data'!$E:$E,Summary!$D486,'BPC Data'!$B:$B,Summary!$C486)</f>
        <v>0</v>
      </c>
      <c r="I486" s="61">
        <f ca="1">SUMIFS(OFFSET('BPC Data'!$F:$F,0,Summary!I$2),'BPC Data'!$E:$E,Summary!$D486,'BPC Data'!$B:$B,Summary!$C486)</f>
        <v>0</v>
      </c>
      <c r="J486" s="65">
        <f ca="1">SUMIFS(OFFSET('BPC Data'!$F:$F,0,Summary!J$2),'BPC Data'!$E:$E,Summary!$D486,'BPC Data'!$B:$B,Summary!$C486)</f>
        <v>0</v>
      </c>
      <c r="K486" s="61">
        <f ca="1">SUMIFS(OFFSET('BPC Data'!$F:$F,0,Summary!K$2),'BPC Data'!$E:$E,Summary!$D486,'BPC Data'!$B:$B,Summary!$C486)</f>
        <v>0</v>
      </c>
      <c r="L486" s="65">
        <f ca="1">SUMIFS(OFFSET('BPC Data'!$F:$F,0,Summary!L$2),'BPC Data'!$E:$E,Summary!$D486,'BPC Data'!$B:$B,Summary!$C486)</f>
        <v>0</v>
      </c>
      <c r="M486" s="61">
        <f ca="1">SUMIFS(OFFSET('BPC Data'!$F:$F,0,Summary!M$2),'BPC Data'!$E:$E,Summary!$D486,'BPC Data'!$B:$B,Summary!$C486)</f>
        <v>0</v>
      </c>
      <c r="N486" s="65">
        <f ca="1">SUMIFS(OFFSET('BPC Data'!$F:$F,0,Summary!N$2),'BPC Data'!$E:$E,Summary!$D486,'BPC Data'!$B:$B,Summary!$C486)</f>
        <v>0</v>
      </c>
      <c r="O486" s="61">
        <f ca="1">SUMIFS(OFFSET('BPC Data'!$F:$F,0,Summary!O$2),'BPC Data'!$E:$E,Summary!$D486,'BPC Data'!$B:$B,Summary!$C486)</f>
        <v>0</v>
      </c>
      <c r="P486" s="65">
        <f ca="1">SUMIFS(OFFSET('BPC Data'!$F:$F,0,Summary!P$2),'BPC Data'!$E:$E,Summary!$D486,'BPC Data'!$B:$B,Summary!$C486)</f>
        <v>0</v>
      </c>
      <c r="Q486" s="61">
        <f ca="1">SUMIFS(OFFSET('BPC Data'!$F:$F,0,Summary!Q$2),'BPC Data'!$E:$E,Summary!$D486,'BPC Data'!$B:$B,Summary!$C486)</f>
        <v>0</v>
      </c>
      <c r="R486" s="65">
        <f ca="1">SUMIFS(OFFSET('BPC Data'!$F:$F,0,Summary!R$2),'BPC Data'!$E:$E,Summary!$D486,'BPC Data'!$B:$B,Summary!$C486)</f>
        <v>0</v>
      </c>
      <c r="S486" s="23"/>
      <c r="T486" s="76"/>
      <c r="AJ486" s="49"/>
      <c r="AK486" s="49"/>
      <c r="AL486" s="49"/>
      <c r="AM486" s="49"/>
      <c r="AN486" s="49"/>
      <c r="AO486" s="49"/>
      <c r="AP486" s="49"/>
      <c r="AQ486" s="49"/>
      <c r="AR486" s="49"/>
      <c r="AS486" s="49"/>
      <c r="AT486" s="49"/>
      <c r="AU486" s="49"/>
    </row>
    <row r="487" spans="1:47" s="12" customFormat="1" hidden="1" outlineLevel="1">
      <c r="A487" s="12">
        <f t="shared" si="468"/>
        <v>44</v>
      </c>
      <c r="B487"/>
      <c r="C487">
        <f>$F482</f>
        <v>0</v>
      </c>
      <c r="D487" s="3" t="str">
        <f t="shared" si="466"/>
        <v>T_BAD_DEBT - Tenant Bad Debt Expense</v>
      </c>
      <c r="E487"/>
      <c r="F487" s="19" t="str">
        <f>_xll.EVDES(D487)</f>
        <v>Tenant Bad Debt Expense</v>
      </c>
      <c r="G487" s="61">
        <f ca="1">SUMIFS(OFFSET('BPC Data'!$F:$F,0,Summary!G$2),'BPC Data'!$E:$E,Summary!$D487,'BPC Data'!$B:$B,Summary!$C487)</f>
        <v>0</v>
      </c>
      <c r="H487" s="65">
        <f ca="1">SUMIFS(OFFSET('BPC Data'!$F:$F,0,Summary!H$2),'BPC Data'!$E:$E,Summary!$D487,'BPC Data'!$B:$B,Summary!$C487)</f>
        <v>0</v>
      </c>
      <c r="I487" s="61">
        <f ca="1">SUMIFS(OFFSET('BPC Data'!$F:$F,0,Summary!I$2),'BPC Data'!$E:$E,Summary!$D487,'BPC Data'!$B:$B,Summary!$C487)</f>
        <v>0</v>
      </c>
      <c r="J487" s="65">
        <f ca="1">SUMIFS(OFFSET('BPC Data'!$F:$F,0,Summary!J$2),'BPC Data'!$E:$E,Summary!$D487,'BPC Data'!$B:$B,Summary!$C487)</f>
        <v>0</v>
      </c>
      <c r="K487" s="61">
        <f ca="1">SUMIFS(OFFSET('BPC Data'!$F:$F,0,Summary!K$2),'BPC Data'!$E:$E,Summary!$D487,'BPC Data'!$B:$B,Summary!$C487)</f>
        <v>0</v>
      </c>
      <c r="L487" s="65">
        <f ca="1">SUMIFS(OFFSET('BPC Data'!$F:$F,0,Summary!L$2),'BPC Data'!$E:$E,Summary!$D487,'BPC Data'!$B:$B,Summary!$C487)</f>
        <v>0</v>
      </c>
      <c r="M487" s="61">
        <f ca="1">SUMIFS(OFFSET('BPC Data'!$F:$F,0,Summary!M$2),'BPC Data'!$E:$E,Summary!$D487,'BPC Data'!$B:$B,Summary!$C487)</f>
        <v>0</v>
      </c>
      <c r="N487" s="65">
        <f ca="1">SUMIFS(OFFSET('BPC Data'!$F:$F,0,Summary!N$2),'BPC Data'!$E:$E,Summary!$D487,'BPC Data'!$B:$B,Summary!$C487)</f>
        <v>0</v>
      </c>
      <c r="O487" s="61">
        <f ca="1">SUMIFS(OFFSET('BPC Data'!$F:$F,0,Summary!O$2),'BPC Data'!$E:$E,Summary!$D487,'BPC Data'!$B:$B,Summary!$C487)</f>
        <v>0</v>
      </c>
      <c r="P487" s="65">
        <f ca="1">SUMIFS(OFFSET('BPC Data'!$F:$F,0,Summary!P$2),'BPC Data'!$E:$E,Summary!$D487,'BPC Data'!$B:$B,Summary!$C487)</f>
        <v>0</v>
      </c>
      <c r="Q487" s="61">
        <f ca="1">SUMIFS(OFFSET('BPC Data'!$F:$F,0,Summary!Q$2),'BPC Data'!$E:$E,Summary!$D487,'BPC Data'!$B:$B,Summary!$C487)</f>
        <v>0</v>
      </c>
      <c r="R487" s="65">
        <f ca="1">SUMIFS(OFFSET('BPC Data'!$F:$F,0,Summary!R$2),'BPC Data'!$E:$E,Summary!$D487,'BPC Data'!$B:$B,Summary!$C487)</f>
        <v>0</v>
      </c>
      <c r="S487" s="23"/>
      <c r="T487" s="76"/>
      <c r="AJ487" s="49"/>
      <c r="AK487" s="49"/>
      <c r="AL487" s="49"/>
      <c r="AM487" s="49"/>
      <c r="AN487" s="49"/>
      <c r="AO487" s="49"/>
      <c r="AP487" s="49"/>
      <c r="AQ487" s="49"/>
      <c r="AR487" s="49"/>
      <c r="AS487" s="49"/>
      <c r="AT487" s="49"/>
      <c r="AU487" s="49"/>
    </row>
    <row r="488" spans="1:47" s="12" customFormat="1" hidden="1" outlineLevel="1">
      <c r="A488" s="12">
        <f t="shared" si="468"/>
        <v>44</v>
      </c>
      <c r="B488"/>
      <c r="C488">
        <f>$F482</f>
        <v>0</v>
      </c>
      <c r="D488" s="2" t="str">
        <f t="shared" si="466"/>
        <v>T_EBITDARM - EBITDARM</v>
      </c>
      <c r="E488"/>
      <c r="F488" s="19" t="str">
        <f>_xll.EVDES(D488)</f>
        <v>EBITDARM</v>
      </c>
      <c r="G488" s="61">
        <f ca="1">SUMIFS(OFFSET('BPC Data'!$F:$F,0,Summary!G$2),'BPC Data'!$E:$E,Summary!$D488,'BPC Data'!$B:$B,Summary!$C488)</f>
        <v>0</v>
      </c>
      <c r="H488" s="65">
        <f ca="1">SUMIFS(OFFSET('BPC Data'!$F:$F,0,Summary!H$2),'BPC Data'!$E:$E,Summary!$D488,'BPC Data'!$B:$B,Summary!$C488)</f>
        <v>0</v>
      </c>
      <c r="I488" s="61">
        <f ca="1">SUMIFS(OFFSET('BPC Data'!$F:$F,0,Summary!I$2),'BPC Data'!$E:$E,Summary!$D488,'BPC Data'!$B:$B,Summary!$C488)</f>
        <v>0</v>
      </c>
      <c r="J488" s="65">
        <f ca="1">SUMIFS(OFFSET('BPC Data'!$F:$F,0,Summary!J$2),'BPC Data'!$E:$E,Summary!$D488,'BPC Data'!$B:$B,Summary!$C488)</f>
        <v>0</v>
      </c>
      <c r="K488" s="61">
        <f ca="1">SUMIFS(OFFSET('BPC Data'!$F:$F,0,Summary!K$2),'BPC Data'!$E:$E,Summary!$D488,'BPC Data'!$B:$B,Summary!$C488)</f>
        <v>0</v>
      </c>
      <c r="L488" s="65">
        <f ca="1">SUMIFS(OFFSET('BPC Data'!$F:$F,0,Summary!L$2),'BPC Data'!$E:$E,Summary!$D488,'BPC Data'!$B:$B,Summary!$C488)</f>
        <v>0</v>
      </c>
      <c r="M488" s="61">
        <f ca="1">SUMIFS(OFFSET('BPC Data'!$F:$F,0,Summary!M$2),'BPC Data'!$E:$E,Summary!$D488,'BPC Data'!$B:$B,Summary!$C488)</f>
        <v>0</v>
      </c>
      <c r="N488" s="65">
        <f ca="1">SUMIFS(OFFSET('BPC Data'!$F:$F,0,Summary!N$2),'BPC Data'!$E:$E,Summary!$D488,'BPC Data'!$B:$B,Summary!$C488)</f>
        <v>0</v>
      </c>
      <c r="O488" s="61">
        <f ca="1">SUMIFS(OFFSET('BPC Data'!$F:$F,0,Summary!O$2),'BPC Data'!$E:$E,Summary!$D488,'BPC Data'!$B:$B,Summary!$C488)</f>
        <v>0</v>
      </c>
      <c r="P488" s="65">
        <f ca="1">SUMIFS(OFFSET('BPC Data'!$F:$F,0,Summary!P$2),'BPC Data'!$E:$E,Summary!$D488,'BPC Data'!$B:$B,Summary!$C488)</f>
        <v>0</v>
      </c>
      <c r="Q488" s="61">
        <f ca="1">SUMIFS(OFFSET('BPC Data'!$F:$F,0,Summary!Q$2),'BPC Data'!$E:$E,Summary!$D488,'BPC Data'!$B:$B,Summary!$C488)</f>
        <v>0</v>
      </c>
      <c r="R488" s="65">
        <f ca="1">SUMIFS(OFFSET('BPC Data'!$F:$F,0,Summary!R$2),'BPC Data'!$E:$E,Summary!$D488,'BPC Data'!$B:$B,Summary!$C488)</f>
        <v>0</v>
      </c>
      <c r="S488" s="23"/>
      <c r="T488" s="76"/>
      <c r="AJ488" s="49"/>
      <c r="AK488" s="49"/>
      <c r="AL488" s="49"/>
      <c r="AM488" s="49"/>
      <c r="AN488" s="49"/>
      <c r="AO488" s="49"/>
      <c r="AP488" s="49"/>
      <c r="AQ488" s="49"/>
      <c r="AR488" s="49"/>
      <c r="AS488" s="49"/>
      <c r="AT488" s="49"/>
      <c r="AU488" s="49"/>
    </row>
    <row r="489" spans="1:47" s="12" customFormat="1" hidden="1" outlineLevel="1">
      <c r="A489" s="12">
        <f t="shared" si="468"/>
        <v>44</v>
      </c>
      <c r="B489"/>
      <c r="C489">
        <f>$F482</f>
        <v>0</v>
      </c>
      <c r="D489" s="2" t="str">
        <f t="shared" si="466"/>
        <v>T_MGMT_FEE - Tenant Management Fee - Actual</v>
      </c>
      <c r="E489"/>
      <c r="F489" s="19" t="str">
        <f>_xll.EVDES(D489)</f>
        <v>Tenant Management Fee - Actual</v>
      </c>
      <c r="G489" s="61">
        <f ca="1">SUMIFS(OFFSET('BPC Data'!$F:$F,0,Summary!G$2),'BPC Data'!$E:$E,Summary!$D489,'BPC Data'!$B:$B,Summary!$C489)</f>
        <v>0</v>
      </c>
      <c r="H489" s="65">
        <f ca="1">SUMIFS(OFFSET('BPC Data'!$F:$F,0,Summary!H$2),'BPC Data'!$E:$E,Summary!$D489,'BPC Data'!$B:$B,Summary!$C489)</f>
        <v>0</v>
      </c>
      <c r="I489" s="61">
        <f ca="1">SUMIFS(OFFSET('BPC Data'!$F:$F,0,Summary!I$2),'BPC Data'!$E:$E,Summary!$D489,'BPC Data'!$B:$B,Summary!$C489)</f>
        <v>0</v>
      </c>
      <c r="J489" s="65">
        <f ca="1">SUMIFS(OFFSET('BPC Data'!$F:$F,0,Summary!J$2),'BPC Data'!$E:$E,Summary!$D489,'BPC Data'!$B:$B,Summary!$C489)</f>
        <v>0</v>
      </c>
      <c r="K489" s="61">
        <f ca="1">SUMIFS(OFFSET('BPC Data'!$F:$F,0,Summary!K$2),'BPC Data'!$E:$E,Summary!$D489,'BPC Data'!$B:$B,Summary!$C489)</f>
        <v>0</v>
      </c>
      <c r="L489" s="65">
        <f ca="1">SUMIFS(OFFSET('BPC Data'!$F:$F,0,Summary!L$2),'BPC Data'!$E:$E,Summary!$D489,'BPC Data'!$B:$B,Summary!$C489)</f>
        <v>0</v>
      </c>
      <c r="M489" s="61">
        <f ca="1">SUMIFS(OFFSET('BPC Data'!$F:$F,0,Summary!M$2),'BPC Data'!$E:$E,Summary!$D489,'BPC Data'!$B:$B,Summary!$C489)</f>
        <v>0</v>
      </c>
      <c r="N489" s="65">
        <f ca="1">SUMIFS(OFFSET('BPC Data'!$F:$F,0,Summary!N$2),'BPC Data'!$E:$E,Summary!$D489,'BPC Data'!$B:$B,Summary!$C489)</f>
        <v>0</v>
      </c>
      <c r="O489" s="61">
        <f ca="1">SUMIFS(OFFSET('BPC Data'!$F:$F,0,Summary!O$2),'BPC Data'!$E:$E,Summary!$D489,'BPC Data'!$B:$B,Summary!$C489)</f>
        <v>0</v>
      </c>
      <c r="P489" s="65">
        <f ca="1">SUMIFS(OFFSET('BPC Data'!$F:$F,0,Summary!P$2),'BPC Data'!$E:$E,Summary!$D489,'BPC Data'!$B:$B,Summary!$C489)</f>
        <v>0</v>
      </c>
      <c r="Q489" s="61">
        <f ca="1">SUMIFS(OFFSET('BPC Data'!$F:$F,0,Summary!Q$2),'BPC Data'!$E:$E,Summary!$D489,'BPC Data'!$B:$B,Summary!$C489)</f>
        <v>0</v>
      </c>
      <c r="R489" s="65">
        <f ca="1">SUMIFS(OFFSET('BPC Data'!$F:$F,0,Summary!R$2),'BPC Data'!$E:$E,Summary!$D489,'BPC Data'!$B:$B,Summary!$C489)</f>
        <v>0</v>
      </c>
      <c r="S489" s="23"/>
      <c r="T489" s="76"/>
      <c r="AJ489" s="49"/>
      <c r="AK489" s="49"/>
      <c r="AL489" s="49"/>
      <c r="AM489" s="49"/>
      <c r="AN489" s="49"/>
      <c r="AO489" s="49"/>
      <c r="AP489" s="49"/>
      <c r="AQ489" s="49"/>
      <c r="AR489" s="49"/>
      <c r="AS489" s="49"/>
      <c r="AT489" s="49"/>
      <c r="AU489" s="49"/>
    </row>
    <row r="490" spans="1:47" s="12" customFormat="1" hidden="1" outlineLevel="1">
      <c r="A490" s="12">
        <f t="shared" si="468"/>
        <v>44</v>
      </c>
      <c r="B490"/>
      <c r="C490">
        <f>$F482</f>
        <v>0</v>
      </c>
      <c r="D490" s="1" t="str">
        <f t="shared" si="466"/>
        <v>T_EBITDAR - EBITDAR</v>
      </c>
      <c r="E490"/>
      <c r="F490" s="19" t="str">
        <f>_xll.EVDES(D490)</f>
        <v>EBITDAR</v>
      </c>
      <c r="G490" s="61">
        <f ca="1">SUMIFS(OFFSET('BPC Data'!$F:$F,0,Summary!G$2),'BPC Data'!$E:$E,Summary!$D490,'BPC Data'!$B:$B,Summary!$C490)</f>
        <v>0</v>
      </c>
      <c r="H490" s="65">
        <f ca="1">SUMIFS(OFFSET('BPC Data'!$F:$F,0,Summary!H$2),'BPC Data'!$E:$E,Summary!$D490,'BPC Data'!$B:$B,Summary!$C490)</f>
        <v>0</v>
      </c>
      <c r="I490" s="61">
        <f ca="1">SUMIFS(OFFSET('BPC Data'!$F:$F,0,Summary!I$2),'BPC Data'!$E:$E,Summary!$D490,'BPC Data'!$B:$B,Summary!$C490)</f>
        <v>0</v>
      </c>
      <c r="J490" s="65">
        <f ca="1">SUMIFS(OFFSET('BPC Data'!$F:$F,0,Summary!J$2),'BPC Data'!$E:$E,Summary!$D490,'BPC Data'!$B:$B,Summary!$C490)</f>
        <v>0</v>
      </c>
      <c r="K490" s="61">
        <f ca="1">SUMIFS(OFFSET('BPC Data'!$F:$F,0,Summary!K$2),'BPC Data'!$E:$E,Summary!$D490,'BPC Data'!$B:$B,Summary!$C490)</f>
        <v>0</v>
      </c>
      <c r="L490" s="65">
        <f ca="1">SUMIFS(OFFSET('BPC Data'!$F:$F,0,Summary!L$2),'BPC Data'!$E:$E,Summary!$D490,'BPC Data'!$B:$B,Summary!$C490)</f>
        <v>0</v>
      </c>
      <c r="M490" s="61">
        <f ca="1">SUMIFS(OFFSET('BPC Data'!$F:$F,0,Summary!M$2),'BPC Data'!$E:$E,Summary!$D490,'BPC Data'!$B:$B,Summary!$C490)</f>
        <v>0</v>
      </c>
      <c r="N490" s="65">
        <f ca="1">SUMIFS(OFFSET('BPC Data'!$F:$F,0,Summary!N$2),'BPC Data'!$E:$E,Summary!$D490,'BPC Data'!$B:$B,Summary!$C490)</f>
        <v>0</v>
      </c>
      <c r="O490" s="61">
        <f ca="1">SUMIFS(OFFSET('BPC Data'!$F:$F,0,Summary!O$2),'BPC Data'!$E:$E,Summary!$D490,'BPC Data'!$B:$B,Summary!$C490)</f>
        <v>0</v>
      </c>
      <c r="P490" s="65">
        <f ca="1">SUMIFS(OFFSET('BPC Data'!$F:$F,0,Summary!P$2),'BPC Data'!$E:$E,Summary!$D490,'BPC Data'!$B:$B,Summary!$C490)</f>
        <v>0</v>
      </c>
      <c r="Q490" s="61">
        <f ca="1">SUMIFS(OFFSET('BPC Data'!$F:$F,0,Summary!Q$2),'BPC Data'!$E:$E,Summary!$D490,'BPC Data'!$B:$B,Summary!$C490)</f>
        <v>0</v>
      </c>
      <c r="R490" s="65">
        <f ca="1">SUMIFS(OFFSET('BPC Data'!$F:$F,0,Summary!R$2),'BPC Data'!$E:$E,Summary!$D490,'BPC Data'!$B:$B,Summary!$C490)</f>
        <v>0</v>
      </c>
      <c r="S490" s="23"/>
      <c r="T490" s="76"/>
      <c r="AJ490" s="49"/>
      <c r="AK490" s="49"/>
      <c r="AL490" s="49"/>
      <c r="AM490" s="49"/>
      <c r="AN490" s="49"/>
      <c r="AO490" s="49"/>
      <c r="AP490" s="49"/>
      <c r="AQ490" s="49"/>
      <c r="AR490" s="49"/>
      <c r="AS490" s="49"/>
      <c r="AT490" s="49"/>
      <c r="AU490" s="49"/>
    </row>
    <row r="491" spans="1:47" s="12" customFormat="1" hidden="1" outlineLevel="1">
      <c r="A491" s="12">
        <f t="shared" si="468"/>
        <v>44</v>
      </c>
      <c r="B491"/>
      <c r="C491">
        <f>$F482</f>
        <v>0</v>
      </c>
      <c r="D491" s="1" t="str">
        <f t="shared" si="466"/>
        <v>T_RENT_EXP - Tenant Rent Expense</v>
      </c>
      <c r="E491"/>
      <c r="F491" s="19" t="str">
        <f>_xll.EVDES(D491)</f>
        <v>Tenant Rent Expense</v>
      </c>
      <c r="G491" s="61">
        <f ca="1">SUMIFS(OFFSET('BPC Data'!$F:$F,0,Summary!G$2),'BPC Data'!$E:$E,Summary!$D491,'BPC Data'!$B:$B,Summary!$C491)</f>
        <v>0</v>
      </c>
      <c r="H491" s="65">
        <f ca="1">SUMIFS(OFFSET('BPC Data'!$F:$F,0,Summary!H$2),'BPC Data'!$E:$E,Summary!$D491,'BPC Data'!$B:$B,Summary!$C491)</f>
        <v>0</v>
      </c>
      <c r="I491" s="61">
        <f ca="1">SUMIFS(OFFSET('BPC Data'!$F:$F,0,Summary!I$2),'BPC Data'!$E:$E,Summary!$D491,'BPC Data'!$B:$B,Summary!$C491)</f>
        <v>0</v>
      </c>
      <c r="J491" s="65">
        <f ca="1">SUMIFS(OFFSET('BPC Data'!$F:$F,0,Summary!J$2),'BPC Data'!$E:$E,Summary!$D491,'BPC Data'!$B:$B,Summary!$C491)</f>
        <v>0</v>
      </c>
      <c r="K491" s="61">
        <f ca="1">SUMIFS(OFFSET('BPC Data'!$F:$F,0,Summary!K$2),'BPC Data'!$E:$E,Summary!$D491,'BPC Data'!$B:$B,Summary!$C491)</f>
        <v>0</v>
      </c>
      <c r="L491" s="65">
        <f ca="1">SUMIFS(OFFSET('BPC Data'!$F:$F,0,Summary!L$2),'BPC Data'!$E:$E,Summary!$D491,'BPC Data'!$B:$B,Summary!$C491)</f>
        <v>0</v>
      </c>
      <c r="M491" s="61">
        <f ca="1">SUMIFS(OFFSET('BPC Data'!$F:$F,0,Summary!M$2),'BPC Data'!$E:$E,Summary!$D491,'BPC Data'!$B:$B,Summary!$C491)</f>
        <v>0</v>
      </c>
      <c r="N491" s="65">
        <f ca="1">SUMIFS(OFFSET('BPC Data'!$F:$F,0,Summary!N$2),'BPC Data'!$E:$E,Summary!$D491,'BPC Data'!$B:$B,Summary!$C491)</f>
        <v>0</v>
      </c>
      <c r="O491" s="61">
        <f ca="1">SUMIFS(OFFSET('BPC Data'!$F:$F,0,Summary!O$2),'BPC Data'!$E:$E,Summary!$D491,'BPC Data'!$B:$B,Summary!$C491)</f>
        <v>0</v>
      </c>
      <c r="P491" s="65">
        <f ca="1">SUMIFS(OFFSET('BPC Data'!$F:$F,0,Summary!P$2),'BPC Data'!$E:$E,Summary!$D491,'BPC Data'!$B:$B,Summary!$C491)</f>
        <v>0</v>
      </c>
      <c r="Q491" s="61">
        <f ca="1">SUMIFS(OFFSET('BPC Data'!$F:$F,0,Summary!Q$2),'BPC Data'!$E:$E,Summary!$D491,'BPC Data'!$B:$B,Summary!$C491)</f>
        <v>0</v>
      </c>
      <c r="R491" s="65">
        <f ca="1">SUMIFS(OFFSET('BPC Data'!$F:$F,0,Summary!R$2),'BPC Data'!$E:$E,Summary!$D491,'BPC Data'!$B:$B,Summary!$C491)</f>
        <v>0</v>
      </c>
      <c r="S491" s="23"/>
      <c r="T491" s="76"/>
      <c r="AJ491" s="49"/>
      <c r="AK491" s="49"/>
      <c r="AL491" s="49"/>
      <c r="AM491" s="49"/>
      <c r="AN491" s="49"/>
      <c r="AO491" s="49"/>
      <c r="AP491" s="49"/>
      <c r="AQ491" s="49"/>
      <c r="AR491" s="49"/>
      <c r="AS491" s="49"/>
      <c r="AT491" s="49"/>
      <c r="AU491" s="49"/>
    </row>
    <row r="492" spans="1:47" s="12" customFormat="1" hidden="1" outlineLevel="1">
      <c r="A492" s="12">
        <f t="shared" si="468"/>
        <v>44</v>
      </c>
      <c r="B492"/>
      <c r="C492"/>
      <c r="D492" s="1" t="str">
        <f t="shared" si="466"/>
        <v>x</v>
      </c>
      <c r="E492"/>
      <c r="F492" s="19" t="s">
        <v>0</v>
      </c>
      <c r="G492" s="61">
        <f ca="1">SUMIFS(OFFSET('BPC Data'!$F:$F,0,Summary!G$2),'BPC Data'!$E:$E,Summary!$D492,'BPC Data'!$B:$B,Summary!$C492)</f>
        <v>0</v>
      </c>
      <c r="H492" s="65">
        <f ca="1">SUMIFS(OFFSET('BPC Data'!$F:$F,0,Summary!H$2),'BPC Data'!$E:$E,Summary!$D492,'BPC Data'!$B:$B,Summary!$C492)</f>
        <v>0</v>
      </c>
      <c r="I492" s="61">
        <f ca="1">SUMIFS(OFFSET('BPC Data'!$F:$F,0,Summary!I$2),'BPC Data'!$E:$E,Summary!$D492,'BPC Data'!$B:$B,Summary!$C492)</f>
        <v>0</v>
      </c>
      <c r="J492" s="65">
        <f ca="1">SUMIFS(OFFSET('BPC Data'!$F:$F,0,Summary!J$2),'BPC Data'!$E:$E,Summary!$D492,'BPC Data'!$B:$B,Summary!$C492)</f>
        <v>0</v>
      </c>
      <c r="K492" s="61">
        <f ca="1">SUMIFS(OFFSET('BPC Data'!$F:$F,0,Summary!K$2),'BPC Data'!$E:$E,Summary!$D492,'BPC Data'!$B:$B,Summary!$C492)</f>
        <v>0</v>
      </c>
      <c r="L492" s="65">
        <f ca="1">SUMIFS(OFFSET('BPC Data'!$F:$F,0,Summary!L$2),'BPC Data'!$E:$E,Summary!$D492,'BPC Data'!$B:$B,Summary!$C492)</f>
        <v>0</v>
      </c>
      <c r="M492" s="61">
        <f ca="1">SUMIFS(OFFSET('BPC Data'!$F:$F,0,Summary!M$2),'BPC Data'!$E:$E,Summary!$D492,'BPC Data'!$B:$B,Summary!$C492)</f>
        <v>0</v>
      </c>
      <c r="N492" s="65">
        <f ca="1">SUMIFS(OFFSET('BPC Data'!$F:$F,0,Summary!N$2),'BPC Data'!$E:$E,Summary!$D492,'BPC Data'!$B:$B,Summary!$C492)</f>
        <v>0</v>
      </c>
      <c r="O492" s="61">
        <f ca="1">SUMIFS(OFFSET('BPC Data'!$F:$F,0,Summary!O$2),'BPC Data'!$E:$E,Summary!$D492,'BPC Data'!$B:$B,Summary!$C492)</f>
        <v>0</v>
      </c>
      <c r="P492" s="65">
        <f ca="1">SUMIFS(OFFSET('BPC Data'!$F:$F,0,Summary!P$2),'BPC Data'!$E:$E,Summary!$D492,'BPC Data'!$B:$B,Summary!$C492)</f>
        <v>0</v>
      </c>
      <c r="Q492" s="61">
        <f ca="1">SUMIFS(OFFSET('BPC Data'!$F:$F,0,Summary!Q$2),'BPC Data'!$E:$E,Summary!$D492,'BPC Data'!$B:$B,Summary!$C492)</f>
        <v>0</v>
      </c>
      <c r="R492" s="65">
        <f ca="1">SUMIFS(OFFSET('BPC Data'!$F:$F,0,Summary!R$2),'BPC Data'!$E:$E,Summary!$D492,'BPC Data'!$B:$B,Summary!$C492)</f>
        <v>0</v>
      </c>
      <c r="S492" s="23"/>
      <c r="T492" s="76"/>
      <c r="AJ492" s="49"/>
      <c r="AK492" s="49"/>
      <c r="AL492" s="49"/>
      <c r="AM492" s="49"/>
      <c r="AN492" s="49"/>
      <c r="AO492" s="49"/>
      <c r="AP492" s="49"/>
      <c r="AQ492" s="49"/>
      <c r="AR492" s="49"/>
      <c r="AS492" s="49"/>
      <c r="AT492" s="49"/>
      <c r="AU492" s="49"/>
    </row>
    <row r="493" spans="1:47" s="12" customFormat="1" hidden="1" outlineLevel="1">
      <c r="A493" s="12">
        <f>IF(AND(D493&lt;&gt;"",C493=""),A492+1,A492)</f>
        <v>45</v>
      </c>
      <c r="B493" s="5"/>
      <c r="C493" s="5"/>
      <c r="D493" s="5" t="str">
        <f t="shared" si="466"/>
        <v>x</v>
      </c>
      <c r="E493" s="5"/>
      <c r="F493" s="18">
        <f>INDEX(PropertyList!$D:$D,MATCH(Summary!$A493,PropertyList!$C:$C,0))</f>
        <v>0</v>
      </c>
      <c r="G493" s="61">
        <f ca="1">SUMIFS(OFFSET('BPC Data'!$F:$F,0,Summary!G$2),'BPC Data'!$E:$E,Summary!$D493,'BPC Data'!$B:$B,Summary!$C493)</f>
        <v>0</v>
      </c>
      <c r="H493" s="65">
        <f ca="1">SUMIFS(OFFSET('BPC Data'!$F:$F,0,Summary!H$2),'BPC Data'!$E:$E,Summary!$D493,'BPC Data'!$B:$B,Summary!$C493)</f>
        <v>0</v>
      </c>
      <c r="I493" s="61">
        <f ca="1">SUMIFS(OFFSET('BPC Data'!$F:$F,0,Summary!I$2),'BPC Data'!$E:$E,Summary!$D493,'BPC Data'!$B:$B,Summary!$C493)</f>
        <v>0</v>
      </c>
      <c r="J493" s="65">
        <f ca="1">SUMIFS(OFFSET('BPC Data'!$F:$F,0,Summary!J$2),'BPC Data'!$E:$E,Summary!$D493,'BPC Data'!$B:$B,Summary!$C493)</f>
        <v>0</v>
      </c>
      <c r="K493" s="61">
        <f ca="1">SUMIFS(OFFSET('BPC Data'!$F:$F,0,Summary!K$2),'BPC Data'!$E:$E,Summary!$D493,'BPC Data'!$B:$B,Summary!$C493)</f>
        <v>0</v>
      </c>
      <c r="L493" s="65">
        <f ca="1">SUMIFS(OFFSET('BPC Data'!$F:$F,0,Summary!L$2),'BPC Data'!$E:$E,Summary!$D493,'BPC Data'!$B:$B,Summary!$C493)</f>
        <v>0</v>
      </c>
      <c r="M493" s="61">
        <f ca="1">SUMIFS(OFFSET('BPC Data'!$F:$F,0,Summary!M$2),'BPC Data'!$E:$E,Summary!$D493,'BPC Data'!$B:$B,Summary!$C493)</f>
        <v>0</v>
      </c>
      <c r="N493" s="65">
        <f ca="1">SUMIFS(OFFSET('BPC Data'!$F:$F,0,Summary!N$2),'BPC Data'!$E:$E,Summary!$D493,'BPC Data'!$B:$B,Summary!$C493)</f>
        <v>0</v>
      </c>
      <c r="O493" s="61">
        <f ca="1">SUMIFS(OFFSET('BPC Data'!$F:$F,0,Summary!O$2),'BPC Data'!$E:$E,Summary!$D493,'BPC Data'!$B:$B,Summary!$C493)</f>
        <v>0</v>
      </c>
      <c r="P493" s="65">
        <f ca="1">SUMIFS(OFFSET('BPC Data'!$F:$F,0,Summary!P$2),'BPC Data'!$E:$E,Summary!$D493,'BPC Data'!$B:$B,Summary!$C493)</f>
        <v>0</v>
      </c>
      <c r="Q493" s="61">
        <f ca="1">SUMIFS(OFFSET('BPC Data'!$F:$F,0,Summary!Q$2),'BPC Data'!$E:$E,Summary!$D493,'BPC Data'!$B:$B,Summary!$C493)</f>
        <v>0</v>
      </c>
      <c r="R493" s="65">
        <f ca="1">SUMIFS(OFFSET('BPC Data'!$F:$F,0,Summary!R$2),'BPC Data'!$E:$E,Summary!$D493,'BPC Data'!$B:$B,Summary!$C493)</f>
        <v>0</v>
      </c>
      <c r="S493" s="23"/>
      <c r="T493" s="76"/>
      <c r="AJ493" s="49"/>
      <c r="AK493" s="49"/>
      <c r="AL493" s="49"/>
      <c r="AM493" s="49"/>
      <c r="AN493" s="49"/>
      <c r="AO493" s="49"/>
      <c r="AP493" s="49"/>
      <c r="AQ493" s="49"/>
      <c r="AR493" s="49"/>
      <c r="AS493" s="49"/>
      <c r="AT493" s="49"/>
      <c r="AU493" s="49"/>
    </row>
    <row r="494" spans="1:47" s="12" customFormat="1" hidden="1" outlineLevel="1">
      <c r="A494" s="12">
        <f>IF(AND(F494&lt;&gt;"",D494=""),A493+1,A493)</f>
        <v>45</v>
      </c>
      <c r="C494">
        <f>$F493</f>
        <v>0</v>
      </c>
      <c r="D494" s="3" t="str">
        <f t="shared" si="466"/>
        <v>PAY_PAT_DAYS - Total Payor Patient Days</v>
      </c>
      <c r="F494" s="19" t="str">
        <f>_xll.EVDES(D494)</f>
        <v>Total Payor Patient Days</v>
      </c>
      <c r="G494" s="61">
        <f ca="1">SUMIFS(OFFSET('BPC Data'!$F:$F,0,Summary!G$2),'BPC Data'!$E:$E,Summary!$D494,'BPC Data'!$B:$B,Summary!$C494)</f>
        <v>0</v>
      </c>
      <c r="H494" s="65">
        <f ca="1">SUMIFS(OFFSET('BPC Data'!$F:$F,0,Summary!H$2),'BPC Data'!$E:$E,Summary!$D494,'BPC Data'!$B:$B,Summary!$C494)</f>
        <v>0</v>
      </c>
      <c r="I494" s="61">
        <f ca="1">SUMIFS(OFFSET('BPC Data'!$F:$F,0,Summary!I$2),'BPC Data'!$E:$E,Summary!$D494,'BPC Data'!$B:$B,Summary!$C494)</f>
        <v>0</v>
      </c>
      <c r="J494" s="65">
        <f ca="1">SUMIFS(OFFSET('BPC Data'!$F:$F,0,Summary!J$2),'BPC Data'!$E:$E,Summary!$D494,'BPC Data'!$B:$B,Summary!$C494)</f>
        <v>0</v>
      </c>
      <c r="K494" s="61">
        <f ca="1">SUMIFS(OFFSET('BPC Data'!$F:$F,0,Summary!K$2),'BPC Data'!$E:$E,Summary!$D494,'BPC Data'!$B:$B,Summary!$C494)</f>
        <v>0</v>
      </c>
      <c r="L494" s="65">
        <f ca="1">SUMIFS(OFFSET('BPC Data'!$F:$F,0,Summary!L$2),'BPC Data'!$E:$E,Summary!$D494,'BPC Data'!$B:$B,Summary!$C494)</f>
        <v>0</v>
      </c>
      <c r="M494" s="61">
        <f ca="1">SUMIFS(OFFSET('BPC Data'!$F:$F,0,Summary!M$2),'BPC Data'!$E:$E,Summary!$D494,'BPC Data'!$B:$B,Summary!$C494)</f>
        <v>0</v>
      </c>
      <c r="N494" s="65">
        <f ca="1">SUMIFS(OFFSET('BPC Data'!$F:$F,0,Summary!N$2),'BPC Data'!$E:$E,Summary!$D494,'BPC Data'!$B:$B,Summary!$C494)</f>
        <v>0</v>
      </c>
      <c r="O494" s="61">
        <f ca="1">SUMIFS(OFFSET('BPC Data'!$F:$F,0,Summary!O$2),'BPC Data'!$E:$E,Summary!$D494,'BPC Data'!$B:$B,Summary!$C494)</f>
        <v>0</v>
      </c>
      <c r="P494" s="65">
        <f ca="1">SUMIFS(OFFSET('BPC Data'!$F:$F,0,Summary!P$2),'BPC Data'!$E:$E,Summary!$D494,'BPC Data'!$B:$B,Summary!$C494)</f>
        <v>0</v>
      </c>
      <c r="Q494" s="61">
        <f ca="1">SUMIFS(OFFSET('BPC Data'!$F:$F,0,Summary!Q$2),'BPC Data'!$E:$E,Summary!$D494,'BPC Data'!$B:$B,Summary!$C494)</f>
        <v>0</v>
      </c>
      <c r="R494" s="65">
        <f ca="1">SUMIFS(OFFSET('BPC Data'!$F:$F,0,Summary!R$2),'BPC Data'!$E:$E,Summary!$D494,'BPC Data'!$B:$B,Summary!$C494)</f>
        <v>0</v>
      </c>
      <c r="S494" s="23"/>
      <c r="T494" s="76"/>
      <c r="AJ494" s="49"/>
      <c r="AK494" s="49"/>
      <c r="AL494" s="49"/>
      <c r="AM494" s="49"/>
      <c r="AN494" s="49"/>
      <c r="AO494" s="49"/>
      <c r="AP494" s="49"/>
      <c r="AQ494" s="49"/>
      <c r="AR494" s="49"/>
      <c r="AS494" s="49"/>
      <c r="AT494" s="49"/>
      <c r="AU494" s="49"/>
    </row>
    <row r="495" spans="1:47" s="12" customFormat="1" hidden="1" outlineLevel="1">
      <c r="A495" s="12">
        <f t="shared" ref="A495:A503" si="469">IF(AND(F495&lt;&gt;"",D495=""),A494+1,A494)</f>
        <v>45</v>
      </c>
      <c r="C495">
        <f>$F493</f>
        <v>0</v>
      </c>
      <c r="D495" s="3" t="str">
        <f t="shared" si="466"/>
        <v>A_BEDS_TOTAL - Total Available Beds</v>
      </c>
      <c r="F495" s="19" t="str">
        <f>_xll.EVDES(D495)</f>
        <v>Total Available Beds</v>
      </c>
      <c r="G495" s="61">
        <f ca="1">SUMIFS(OFFSET('BPC Data'!$F:$F,0,Summary!G$2),'BPC Data'!$E:$E,Summary!$D495,'BPC Data'!$B:$B,Summary!$C495)</f>
        <v>0</v>
      </c>
      <c r="H495" s="65">
        <f ca="1">SUMIFS(OFFSET('BPC Data'!$F:$F,0,Summary!H$2),'BPC Data'!$E:$E,Summary!$D495,'BPC Data'!$B:$B,Summary!$C495)</f>
        <v>0</v>
      </c>
      <c r="I495" s="61">
        <f ca="1">SUMIFS(OFFSET('BPC Data'!$F:$F,0,Summary!I$2),'BPC Data'!$E:$E,Summary!$D495,'BPC Data'!$B:$B,Summary!$C495)</f>
        <v>0</v>
      </c>
      <c r="J495" s="65">
        <f ca="1">SUMIFS(OFFSET('BPC Data'!$F:$F,0,Summary!J$2),'BPC Data'!$E:$E,Summary!$D495,'BPC Data'!$B:$B,Summary!$C495)</f>
        <v>0</v>
      </c>
      <c r="K495" s="61">
        <f ca="1">SUMIFS(OFFSET('BPC Data'!$F:$F,0,Summary!K$2),'BPC Data'!$E:$E,Summary!$D495,'BPC Data'!$B:$B,Summary!$C495)</f>
        <v>0</v>
      </c>
      <c r="L495" s="65">
        <f ca="1">SUMIFS(OFFSET('BPC Data'!$F:$F,0,Summary!L$2),'BPC Data'!$E:$E,Summary!$D495,'BPC Data'!$B:$B,Summary!$C495)</f>
        <v>0</v>
      </c>
      <c r="M495" s="61">
        <f ca="1">SUMIFS(OFFSET('BPC Data'!$F:$F,0,Summary!M$2),'BPC Data'!$E:$E,Summary!$D495,'BPC Data'!$B:$B,Summary!$C495)</f>
        <v>0</v>
      </c>
      <c r="N495" s="65">
        <f ca="1">SUMIFS(OFFSET('BPC Data'!$F:$F,0,Summary!N$2),'BPC Data'!$E:$E,Summary!$D495,'BPC Data'!$B:$B,Summary!$C495)</f>
        <v>0</v>
      </c>
      <c r="O495" s="61">
        <f ca="1">SUMIFS(OFFSET('BPC Data'!$F:$F,0,Summary!O$2),'BPC Data'!$E:$E,Summary!$D495,'BPC Data'!$B:$B,Summary!$C495)</f>
        <v>0</v>
      </c>
      <c r="P495" s="65">
        <f ca="1">SUMIFS(OFFSET('BPC Data'!$F:$F,0,Summary!P$2),'BPC Data'!$E:$E,Summary!$D495,'BPC Data'!$B:$B,Summary!$C495)</f>
        <v>0</v>
      </c>
      <c r="Q495" s="61">
        <f ca="1">SUMIFS(OFFSET('BPC Data'!$F:$F,0,Summary!Q$2),'BPC Data'!$E:$E,Summary!$D495,'BPC Data'!$B:$B,Summary!$C495)</f>
        <v>0</v>
      </c>
      <c r="R495" s="65">
        <f ca="1">SUMIFS(OFFSET('BPC Data'!$F:$F,0,Summary!R$2),'BPC Data'!$E:$E,Summary!$D495,'BPC Data'!$B:$B,Summary!$C495)</f>
        <v>0</v>
      </c>
      <c r="S495" s="23"/>
      <c r="T495" s="76"/>
      <c r="AJ495" s="49"/>
      <c r="AK495" s="49"/>
      <c r="AL495" s="49"/>
      <c r="AM495" s="49"/>
      <c r="AN495" s="49"/>
      <c r="AO495" s="49"/>
      <c r="AP495" s="49"/>
      <c r="AQ495" s="49"/>
      <c r="AR495" s="49"/>
      <c r="AS495" s="49"/>
      <c r="AT495" s="49"/>
      <c r="AU495" s="49"/>
    </row>
    <row r="496" spans="1:47" s="12" customFormat="1" hidden="1" outlineLevel="1">
      <c r="A496" s="12">
        <f t="shared" si="469"/>
        <v>45</v>
      </c>
      <c r="B496"/>
      <c r="C496">
        <f>$F493</f>
        <v>0</v>
      </c>
      <c r="D496" s="3" t="str">
        <f t="shared" si="466"/>
        <v>T_REVENUES - Total Tenant Revenues</v>
      </c>
      <c r="E496"/>
      <c r="F496" s="19" t="str">
        <f>_xll.EVDES(D496)</f>
        <v>Total Tenant Revenues</v>
      </c>
      <c r="G496" s="61">
        <f ca="1">SUMIFS(OFFSET('BPC Data'!$F:$F,0,Summary!G$2),'BPC Data'!$E:$E,Summary!$D496,'BPC Data'!$B:$B,Summary!$C496)</f>
        <v>0</v>
      </c>
      <c r="H496" s="65">
        <f ca="1">SUMIFS(OFFSET('BPC Data'!$F:$F,0,Summary!H$2),'BPC Data'!$E:$E,Summary!$D496,'BPC Data'!$B:$B,Summary!$C496)</f>
        <v>0</v>
      </c>
      <c r="I496" s="61">
        <f ca="1">SUMIFS(OFFSET('BPC Data'!$F:$F,0,Summary!I$2),'BPC Data'!$E:$E,Summary!$D496,'BPC Data'!$B:$B,Summary!$C496)</f>
        <v>0</v>
      </c>
      <c r="J496" s="65">
        <f ca="1">SUMIFS(OFFSET('BPC Data'!$F:$F,0,Summary!J$2),'BPC Data'!$E:$E,Summary!$D496,'BPC Data'!$B:$B,Summary!$C496)</f>
        <v>0</v>
      </c>
      <c r="K496" s="61">
        <f ca="1">SUMIFS(OFFSET('BPC Data'!$F:$F,0,Summary!K$2),'BPC Data'!$E:$E,Summary!$D496,'BPC Data'!$B:$B,Summary!$C496)</f>
        <v>0</v>
      </c>
      <c r="L496" s="65">
        <f ca="1">SUMIFS(OFFSET('BPC Data'!$F:$F,0,Summary!L$2),'BPC Data'!$E:$E,Summary!$D496,'BPC Data'!$B:$B,Summary!$C496)</f>
        <v>0</v>
      </c>
      <c r="M496" s="61">
        <f ca="1">SUMIFS(OFFSET('BPC Data'!$F:$F,0,Summary!M$2),'BPC Data'!$E:$E,Summary!$D496,'BPC Data'!$B:$B,Summary!$C496)</f>
        <v>0</v>
      </c>
      <c r="N496" s="65">
        <f ca="1">SUMIFS(OFFSET('BPC Data'!$F:$F,0,Summary!N$2),'BPC Data'!$E:$E,Summary!$D496,'BPC Data'!$B:$B,Summary!$C496)</f>
        <v>0</v>
      </c>
      <c r="O496" s="61">
        <f ca="1">SUMIFS(OFFSET('BPC Data'!$F:$F,0,Summary!O$2),'BPC Data'!$E:$E,Summary!$D496,'BPC Data'!$B:$B,Summary!$C496)</f>
        <v>0</v>
      </c>
      <c r="P496" s="65">
        <f ca="1">SUMIFS(OFFSET('BPC Data'!$F:$F,0,Summary!P$2),'BPC Data'!$E:$E,Summary!$D496,'BPC Data'!$B:$B,Summary!$C496)</f>
        <v>0</v>
      </c>
      <c r="Q496" s="61">
        <f ca="1">SUMIFS(OFFSET('BPC Data'!$F:$F,0,Summary!Q$2),'BPC Data'!$E:$E,Summary!$D496,'BPC Data'!$B:$B,Summary!$C496)</f>
        <v>0</v>
      </c>
      <c r="R496" s="65">
        <f ca="1">SUMIFS(OFFSET('BPC Data'!$F:$F,0,Summary!R$2),'BPC Data'!$E:$E,Summary!$D496,'BPC Data'!$B:$B,Summary!$C496)</f>
        <v>0</v>
      </c>
      <c r="S496" s="23"/>
      <c r="T496" s="76"/>
      <c r="AJ496" s="49"/>
      <c r="AK496" s="49"/>
      <c r="AL496" s="49"/>
      <c r="AM496" s="49"/>
      <c r="AN496" s="49"/>
      <c r="AO496" s="49"/>
      <c r="AP496" s="49"/>
      <c r="AQ496" s="49"/>
      <c r="AR496" s="49"/>
      <c r="AS496" s="49"/>
      <c r="AT496" s="49"/>
      <c r="AU496" s="49"/>
    </row>
    <row r="497" spans="1:47" s="12" customFormat="1" hidden="1" outlineLevel="1">
      <c r="A497" s="12">
        <f t="shared" si="469"/>
        <v>45</v>
      </c>
      <c r="B497"/>
      <c r="C497">
        <f>$F493</f>
        <v>0</v>
      </c>
      <c r="D497" s="3" t="str">
        <f t="shared" si="466"/>
        <v>T_OPEX - Tenant Operating Expenses</v>
      </c>
      <c r="E497"/>
      <c r="F497" s="19" t="str">
        <f>_xll.EVDES(D497)</f>
        <v>Tenant Operating Expenses</v>
      </c>
      <c r="G497" s="61">
        <f ca="1">SUMIFS(OFFSET('BPC Data'!$F:$F,0,Summary!G$2),'BPC Data'!$E:$E,Summary!$D497,'BPC Data'!$B:$B,Summary!$C497)</f>
        <v>0</v>
      </c>
      <c r="H497" s="65">
        <f ca="1">SUMIFS(OFFSET('BPC Data'!$F:$F,0,Summary!H$2),'BPC Data'!$E:$E,Summary!$D497,'BPC Data'!$B:$B,Summary!$C497)</f>
        <v>0</v>
      </c>
      <c r="I497" s="61">
        <f ca="1">SUMIFS(OFFSET('BPC Data'!$F:$F,0,Summary!I$2),'BPC Data'!$E:$E,Summary!$D497,'BPC Data'!$B:$B,Summary!$C497)</f>
        <v>0</v>
      </c>
      <c r="J497" s="65">
        <f ca="1">SUMIFS(OFFSET('BPC Data'!$F:$F,0,Summary!J$2),'BPC Data'!$E:$E,Summary!$D497,'BPC Data'!$B:$B,Summary!$C497)</f>
        <v>0</v>
      </c>
      <c r="K497" s="61">
        <f ca="1">SUMIFS(OFFSET('BPC Data'!$F:$F,0,Summary!K$2),'BPC Data'!$E:$E,Summary!$D497,'BPC Data'!$B:$B,Summary!$C497)</f>
        <v>0</v>
      </c>
      <c r="L497" s="65">
        <f ca="1">SUMIFS(OFFSET('BPC Data'!$F:$F,0,Summary!L$2),'BPC Data'!$E:$E,Summary!$D497,'BPC Data'!$B:$B,Summary!$C497)</f>
        <v>0</v>
      </c>
      <c r="M497" s="61">
        <f ca="1">SUMIFS(OFFSET('BPC Data'!$F:$F,0,Summary!M$2),'BPC Data'!$E:$E,Summary!$D497,'BPC Data'!$B:$B,Summary!$C497)</f>
        <v>0</v>
      </c>
      <c r="N497" s="65">
        <f ca="1">SUMIFS(OFFSET('BPC Data'!$F:$F,0,Summary!N$2),'BPC Data'!$E:$E,Summary!$D497,'BPC Data'!$B:$B,Summary!$C497)</f>
        <v>0</v>
      </c>
      <c r="O497" s="61">
        <f ca="1">SUMIFS(OFFSET('BPC Data'!$F:$F,0,Summary!O$2),'BPC Data'!$E:$E,Summary!$D497,'BPC Data'!$B:$B,Summary!$C497)</f>
        <v>0</v>
      </c>
      <c r="P497" s="65">
        <f ca="1">SUMIFS(OFFSET('BPC Data'!$F:$F,0,Summary!P$2),'BPC Data'!$E:$E,Summary!$D497,'BPC Data'!$B:$B,Summary!$C497)</f>
        <v>0</v>
      </c>
      <c r="Q497" s="61">
        <f ca="1">SUMIFS(OFFSET('BPC Data'!$F:$F,0,Summary!Q$2),'BPC Data'!$E:$E,Summary!$D497,'BPC Data'!$B:$B,Summary!$C497)</f>
        <v>0</v>
      </c>
      <c r="R497" s="65">
        <f ca="1">SUMIFS(OFFSET('BPC Data'!$F:$F,0,Summary!R$2),'BPC Data'!$E:$E,Summary!$D497,'BPC Data'!$B:$B,Summary!$C497)</f>
        <v>0</v>
      </c>
      <c r="S497" s="23"/>
      <c r="T497" s="76"/>
      <c r="AJ497" s="49"/>
      <c r="AK497" s="49"/>
      <c r="AL497" s="49"/>
      <c r="AM497" s="49"/>
      <c r="AN497" s="49"/>
      <c r="AO497" s="49"/>
      <c r="AP497" s="49"/>
      <c r="AQ497" s="49"/>
      <c r="AR497" s="49"/>
      <c r="AS497" s="49"/>
      <c r="AT497" s="49"/>
      <c r="AU497" s="49"/>
    </row>
    <row r="498" spans="1:47" s="12" customFormat="1" hidden="1" outlineLevel="1">
      <c r="A498" s="12">
        <f t="shared" si="469"/>
        <v>45</v>
      </c>
      <c r="B498"/>
      <c r="C498">
        <f>$F493</f>
        <v>0</v>
      </c>
      <c r="D498" s="3" t="str">
        <f t="shared" si="466"/>
        <v>T_BAD_DEBT - Tenant Bad Debt Expense</v>
      </c>
      <c r="E498"/>
      <c r="F498" s="19" t="str">
        <f>_xll.EVDES(D498)</f>
        <v>Tenant Bad Debt Expense</v>
      </c>
      <c r="G498" s="61">
        <f ca="1">SUMIFS(OFFSET('BPC Data'!$F:$F,0,Summary!G$2),'BPC Data'!$E:$E,Summary!$D498,'BPC Data'!$B:$B,Summary!$C498)</f>
        <v>0</v>
      </c>
      <c r="H498" s="65">
        <f ca="1">SUMIFS(OFFSET('BPC Data'!$F:$F,0,Summary!H$2),'BPC Data'!$E:$E,Summary!$D498,'BPC Data'!$B:$B,Summary!$C498)</f>
        <v>0</v>
      </c>
      <c r="I498" s="61">
        <f ca="1">SUMIFS(OFFSET('BPC Data'!$F:$F,0,Summary!I$2),'BPC Data'!$E:$E,Summary!$D498,'BPC Data'!$B:$B,Summary!$C498)</f>
        <v>0</v>
      </c>
      <c r="J498" s="65">
        <f ca="1">SUMIFS(OFFSET('BPC Data'!$F:$F,0,Summary!J$2),'BPC Data'!$E:$E,Summary!$D498,'BPC Data'!$B:$B,Summary!$C498)</f>
        <v>0</v>
      </c>
      <c r="K498" s="61">
        <f ca="1">SUMIFS(OFFSET('BPC Data'!$F:$F,0,Summary!K$2),'BPC Data'!$E:$E,Summary!$D498,'BPC Data'!$B:$B,Summary!$C498)</f>
        <v>0</v>
      </c>
      <c r="L498" s="65">
        <f ca="1">SUMIFS(OFFSET('BPC Data'!$F:$F,0,Summary!L$2),'BPC Data'!$E:$E,Summary!$D498,'BPC Data'!$B:$B,Summary!$C498)</f>
        <v>0</v>
      </c>
      <c r="M498" s="61">
        <f ca="1">SUMIFS(OFFSET('BPC Data'!$F:$F,0,Summary!M$2),'BPC Data'!$E:$E,Summary!$D498,'BPC Data'!$B:$B,Summary!$C498)</f>
        <v>0</v>
      </c>
      <c r="N498" s="65">
        <f ca="1">SUMIFS(OFFSET('BPC Data'!$F:$F,0,Summary!N$2),'BPC Data'!$E:$E,Summary!$D498,'BPC Data'!$B:$B,Summary!$C498)</f>
        <v>0</v>
      </c>
      <c r="O498" s="61">
        <f ca="1">SUMIFS(OFFSET('BPC Data'!$F:$F,0,Summary!O$2),'BPC Data'!$E:$E,Summary!$D498,'BPC Data'!$B:$B,Summary!$C498)</f>
        <v>0</v>
      </c>
      <c r="P498" s="65">
        <f ca="1">SUMIFS(OFFSET('BPC Data'!$F:$F,0,Summary!P$2),'BPC Data'!$E:$E,Summary!$D498,'BPC Data'!$B:$B,Summary!$C498)</f>
        <v>0</v>
      </c>
      <c r="Q498" s="61">
        <f ca="1">SUMIFS(OFFSET('BPC Data'!$F:$F,0,Summary!Q$2),'BPC Data'!$E:$E,Summary!$D498,'BPC Data'!$B:$B,Summary!$C498)</f>
        <v>0</v>
      </c>
      <c r="R498" s="65">
        <f ca="1">SUMIFS(OFFSET('BPC Data'!$F:$F,0,Summary!R$2),'BPC Data'!$E:$E,Summary!$D498,'BPC Data'!$B:$B,Summary!$C498)</f>
        <v>0</v>
      </c>
      <c r="S498" s="23"/>
      <c r="T498" s="76"/>
      <c r="AJ498" s="49"/>
      <c r="AK498" s="49"/>
      <c r="AL498" s="49"/>
      <c r="AM498" s="49"/>
      <c r="AN498" s="49"/>
      <c r="AO498" s="49"/>
      <c r="AP498" s="49"/>
      <c r="AQ498" s="49"/>
      <c r="AR498" s="49"/>
      <c r="AS498" s="49"/>
      <c r="AT498" s="49"/>
      <c r="AU498" s="49"/>
    </row>
    <row r="499" spans="1:47" s="12" customFormat="1" hidden="1" outlineLevel="1">
      <c r="A499" s="12">
        <f t="shared" si="469"/>
        <v>45</v>
      </c>
      <c r="B499"/>
      <c r="C499">
        <f>$F493</f>
        <v>0</v>
      </c>
      <c r="D499" s="2" t="str">
        <f t="shared" si="466"/>
        <v>T_EBITDARM - EBITDARM</v>
      </c>
      <c r="E499"/>
      <c r="F499" s="19" t="str">
        <f>_xll.EVDES(D499)</f>
        <v>EBITDARM</v>
      </c>
      <c r="G499" s="61">
        <f ca="1">SUMIFS(OFFSET('BPC Data'!$F:$F,0,Summary!G$2),'BPC Data'!$E:$E,Summary!$D499,'BPC Data'!$B:$B,Summary!$C499)</f>
        <v>0</v>
      </c>
      <c r="H499" s="65">
        <f ca="1">SUMIFS(OFFSET('BPC Data'!$F:$F,0,Summary!H$2),'BPC Data'!$E:$E,Summary!$D499,'BPC Data'!$B:$B,Summary!$C499)</f>
        <v>0</v>
      </c>
      <c r="I499" s="61">
        <f ca="1">SUMIFS(OFFSET('BPC Data'!$F:$F,0,Summary!I$2),'BPC Data'!$E:$E,Summary!$D499,'BPC Data'!$B:$B,Summary!$C499)</f>
        <v>0</v>
      </c>
      <c r="J499" s="65">
        <f ca="1">SUMIFS(OFFSET('BPC Data'!$F:$F,0,Summary!J$2),'BPC Data'!$E:$E,Summary!$D499,'BPC Data'!$B:$B,Summary!$C499)</f>
        <v>0</v>
      </c>
      <c r="K499" s="61">
        <f ca="1">SUMIFS(OFFSET('BPC Data'!$F:$F,0,Summary!K$2),'BPC Data'!$E:$E,Summary!$D499,'BPC Data'!$B:$B,Summary!$C499)</f>
        <v>0</v>
      </c>
      <c r="L499" s="65">
        <f ca="1">SUMIFS(OFFSET('BPC Data'!$F:$F,0,Summary!L$2),'BPC Data'!$E:$E,Summary!$D499,'BPC Data'!$B:$B,Summary!$C499)</f>
        <v>0</v>
      </c>
      <c r="M499" s="61">
        <f ca="1">SUMIFS(OFFSET('BPC Data'!$F:$F,0,Summary!M$2),'BPC Data'!$E:$E,Summary!$D499,'BPC Data'!$B:$B,Summary!$C499)</f>
        <v>0</v>
      </c>
      <c r="N499" s="65">
        <f ca="1">SUMIFS(OFFSET('BPC Data'!$F:$F,0,Summary!N$2),'BPC Data'!$E:$E,Summary!$D499,'BPC Data'!$B:$B,Summary!$C499)</f>
        <v>0</v>
      </c>
      <c r="O499" s="61">
        <f ca="1">SUMIFS(OFFSET('BPC Data'!$F:$F,0,Summary!O$2),'BPC Data'!$E:$E,Summary!$D499,'BPC Data'!$B:$B,Summary!$C499)</f>
        <v>0</v>
      </c>
      <c r="P499" s="65">
        <f ca="1">SUMIFS(OFFSET('BPC Data'!$F:$F,0,Summary!P$2),'BPC Data'!$E:$E,Summary!$D499,'BPC Data'!$B:$B,Summary!$C499)</f>
        <v>0</v>
      </c>
      <c r="Q499" s="61">
        <f ca="1">SUMIFS(OFFSET('BPC Data'!$F:$F,0,Summary!Q$2),'BPC Data'!$E:$E,Summary!$D499,'BPC Data'!$B:$B,Summary!$C499)</f>
        <v>0</v>
      </c>
      <c r="R499" s="65">
        <f ca="1">SUMIFS(OFFSET('BPC Data'!$F:$F,0,Summary!R$2),'BPC Data'!$E:$E,Summary!$D499,'BPC Data'!$B:$B,Summary!$C499)</f>
        <v>0</v>
      </c>
      <c r="S499" s="23"/>
      <c r="T499" s="76"/>
      <c r="AJ499" s="49"/>
      <c r="AK499" s="49"/>
      <c r="AL499" s="49"/>
      <c r="AM499" s="49"/>
      <c r="AN499" s="49"/>
      <c r="AO499" s="49"/>
      <c r="AP499" s="49"/>
      <c r="AQ499" s="49"/>
      <c r="AR499" s="49"/>
      <c r="AS499" s="49"/>
      <c r="AT499" s="49"/>
      <c r="AU499" s="49"/>
    </row>
    <row r="500" spans="1:47" s="12" customFormat="1" hidden="1" outlineLevel="1">
      <c r="A500" s="12">
        <f t="shared" si="469"/>
        <v>45</v>
      </c>
      <c r="B500"/>
      <c r="C500">
        <f>$F493</f>
        <v>0</v>
      </c>
      <c r="D500" s="2" t="str">
        <f t="shared" si="466"/>
        <v>T_MGMT_FEE - Tenant Management Fee - Actual</v>
      </c>
      <c r="E500"/>
      <c r="F500" s="19" t="str">
        <f>_xll.EVDES(D500)</f>
        <v>Tenant Management Fee - Actual</v>
      </c>
      <c r="G500" s="61">
        <f ca="1">SUMIFS(OFFSET('BPC Data'!$F:$F,0,Summary!G$2),'BPC Data'!$E:$E,Summary!$D500,'BPC Data'!$B:$B,Summary!$C500)</f>
        <v>0</v>
      </c>
      <c r="H500" s="65">
        <f ca="1">SUMIFS(OFFSET('BPC Data'!$F:$F,0,Summary!H$2),'BPC Data'!$E:$E,Summary!$D500,'BPC Data'!$B:$B,Summary!$C500)</f>
        <v>0</v>
      </c>
      <c r="I500" s="61">
        <f ca="1">SUMIFS(OFFSET('BPC Data'!$F:$F,0,Summary!I$2),'BPC Data'!$E:$E,Summary!$D500,'BPC Data'!$B:$B,Summary!$C500)</f>
        <v>0</v>
      </c>
      <c r="J500" s="65">
        <f ca="1">SUMIFS(OFFSET('BPC Data'!$F:$F,0,Summary!J$2),'BPC Data'!$E:$E,Summary!$D500,'BPC Data'!$B:$B,Summary!$C500)</f>
        <v>0</v>
      </c>
      <c r="K500" s="61">
        <f ca="1">SUMIFS(OFFSET('BPC Data'!$F:$F,0,Summary!K$2),'BPC Data'!$E:$E,Summary!$D500,'BPC Data'!$B:$B,Summary!$C500)</f>
        <v>0</v>
      </c>
      <c r="L500" s="65">
        <f ca="1">SUMIFS(OFFSET('BPC Data'!$F:$F,0,Summary!L$2),'BPC Data'!$E:$E,Summary!$D500,'BPC Data'!$B:$B,Summary!$C500)</f>
        <v>0</v>
      </c>
      <c r="M500" s="61">
        <f ca="1">SUMIFS(OFFSET('BPC Data'!$F:$F,0,Summary!M$2),'BPC Data'!$E:$E,Summary!$D500,'BPC Data'!$B:$B,Summary!$C500)</f>
        <v>0</v>
      </c>
      <c r="N500" s="65">
        <f ca="1">SUMIFS(OFFSET('BPC Data'!$F:$F,0,Summary!N$2),'BPC Data'!$E:$E,Summary!$D500,'BPC Data'!$B:$B,Summary!$C500)</f>
        <v>0</v>
      </c>
      <c r="O500" s="61">
        <f ca="1">SUMIFS(OFFSET('BPC Data'!$F:$F,0,Summary!O$2),'BPC Data'!$E:$E,Summary!$D500,'BPC Data'!$B:$B,Summary!$C500)</f>
        <v>0</v>
      </c>
      <c r="P500" s="65">
        <f ca="1">SUMIFS(OFFSET('BPC Data'!$F:$F,0,Summary!P$2),'BPC Data'!$E:$E,Summary!$D500,'BPC Data'!$B:$B,Summary!$C500)</f>
        <v>0</v>
      </c>
      <c r="Q500" s="61">
        <f ca="1">SUMIFS(OFFSET('BPC Data'!$F:$F,0,Summary!Q$2),'BPC Data'!$E:$E,Summary!$D500,'BPC Data'!$B:$B,Summary!$C500)</f>
        <v>0</v>
      </c>
      <c r="R500" s="65">
        <f ca="1">SUMIFS(OFFSET('BPC Data'!$F:$F,0,Summary!R$2),'BPC Data'!$E:$E,Summary!$D500,'BPC Data'!$B:$B,Summary!$C500)</f>
        <v>0</v>
      </c>
      <c r="S500" s="23"/>
      <c r="T500" s="76"/>
      <c r="AJ500" s="49"/>
      <c r="AK500" s="49"/>
      <c r="AL500" s="49"/>
      <c r="AM500" s="49"/>
      <c r="AN500" s="49"/>
      <c r="AO500" s="49"/>
      <c r="AP500" s="49"/>
      <c r="AQ500" s="49"/>
      <c r="AR500" s="49"/>
      <c r="AS500" s="49"/>
      <c r="AT500" s="49"/>
      <c r="AU500" s="49"/>
    </row>
    <row r="501" spans="1:47" s="12" customFormat="1" hidden="1" outlineLevel="1">
      <c r="A501" s="12">
        <f t="shared" si="469"/>
        <v>45</v>
      </c>
      <c r="B501"/>
      <c r="C501">
        <f>$F493</f>
        <v>0</v>
      </c>
      <c r="D501" s="1" t="str">
        <f t="shared" si="466"/>
        <v>T_EBITDAR - EBITDAR</v>
      </c>
      <c r="E501"/>
      <c r="F501" s="19" t="str">
        <f>_xll.EVDES(D501)</f>
        <v>EBITDAR</v>
      </c>
      <c r="G501" s="61">
        <f ca="1">SUMIFS(OFFSET('BPC Data'!$F:$F,0,Summary!G$2),'BPC Data'!$E:$E,Summary!$D501,'BPC Data'!$B:$B,Summary!$C501)</f>
        <v>0</v>
      </c>
      <c r="H501" s="65">
        <f ca="1">SUMIFS(OFFSET('BPC Data'!$F:$F,0,Summary!H$2),'BPC Data'!$E:$E,Summary!$D501,'BPC Data'!$B:$B,Summary!$C501)</f>
        <v>0</v>
      </c>
      <c r="I501" s="61">
        <f ca="1">SUMIFS(OFFSET('BPC Data'!$F:$F,0,Summary!I$2),'BPC Data'!$E:$E,Summary!$D501,'BPC Data'!$B:$B,Summary!$C501)</f>
        <v>0</v>
      </c>
      <c r="J501" s="65">
        <f ca="1">SUMIFS(OFFSET('BPC Data'!$F:$F,0,Summary!J$2),'BPC Data'!$E:$E,Summary!$D501,'BPC Data'!$B:$B,Summary!$C501)</f>
        <v>0</v>
      </c>
      <c r="K501" s="61">
        <f ca="1">SUMIFS(OFFSET('BPC Data'!$F:$F,0,Summary!K$2),'BPC Data'!$E:$E,Summary!$D501,'BPC Data'!$B:$B,Summary!$C501)</f>
        <v>0</v>
      </c>
      <c r="L501" s="65">
        <f ca="1">SUMIFS(OFFSET('BPC Data'!$F:$F,0,Summary!L$2),'BPC Data'!$E:$E,Summary!$D501,'BPC Data'!$B:$B,Summary!$C501)</f>
        <v>0</v>
      </c>
      <c r="M501" s="61">
        <f ca="1">SUMIFS(OFFSET('BPC Data'!$F:$F,0,Summary!M$2),'BPC Data'!$E:$E,Summary!$D501,'BPC Data'!$B:$B,Summary!$C501)</f>
        <v>0</v>
      </c>
      <c r="N501" s="65">
        <f ca="1">SUMIFS(OFFSET('BPC Data'!$F:$F,0,Summary!N$2),'BPC Data'!$E:$E,Summary!$D501,'BPC Data'!$B:$B,Summary!$C501)</f>
        <v>0</v>
      </c>
      <c r="O501" s="61">
        <f ca="1">SUMIFS(OFFSET('BPC Data'!$F:$F,0,Summary!O$2),'BPC Data'!$E:$E,Summary!$D501,'BPC Data'!$B:$B,Summary!$C501)</f>
        <v>0</v>
      </c>
      <c r="P501" s="65">
        <f ca="1">SUMIFS(OFFSET('BPC Data'!$F:$F,0,Summary!P$2),'BPC Data'!$E:$E,Summary!$D501,'BPC Data'!$B:$B,Summary!$C501)</f>
        <v>0</v>
      </c>
      <c r="Q501" s="61">
        <f ca="1">SUMIFS(OFFSET('BPC Data'!$F:$F,0,Summary!Q$2),'BPC Data'!$E:$E,Summary!$D501,'BPC Data'!$B:$B,Summary!$C501)</f>
        <v>0</v>
      </c>
      <c r="R501" s="65">
        <f ca="1">SUMIFS(OFFSET('BPC Data'!$F:$F,0,Summary!R$2),'BPC Data'!$E:$E,Summary!$D501,'BPC Data'!$B:$B,Summary!$C501)</f>
        <v>0</v>
      </c>
      <c r="S501" s="23"/>
      <c r="T501" s="76"/>
      <c r="AJ501" s="49"/>
      <c r="AK501" s="49"/>
      <c r="AL501" s="49"/>
      <c r="AM501" s="49"/>
      <c r="AN501" s="49"/>
      <c r="AO501" s="49"/>
      <c r="AP501" s="49"/>
      <c r="AQ501" s="49"/>
      <c r="AR501" s="49"/>
      <c r="AS501" s="49"/>
      <c r="AT501" s="49"/>
      <c r="AU501" s="49"/>
    </row>
    <row r="502" spans="1:47" s="12" customFormat="1" hidden="1" outlineLevel="1">
      <c r="A502" s="12">
        <f t="shared" si="469"/>
        <v>45</v>
      </c>
      <c r="B502"/>
      <c r="C502">
        <f>$F493</f>
        <v>0</v>
      </c>
      <c r="D502" s="1" t="str">
        <f t="shared" si="466"/>
        <v>T_RENT_EXP - Tenant Rent Expense</v>
      </c>
      <c r="E502"/>
      <c r="F502" s="19" t="str">
        <f>_xll.EVDES(D502)</f>
        <v>Tenant Rent Expense</v>
      </c>
      <c r="G502" s="61">
        <f ca="1">SUMIFS(OFFSET('BPC Data'!$F:$F,0,Summary!G$2),'BPC Data'!$E:$E,Summary!$D502,'BPC Data'!$B:$B,Summary!$C502)</f>
        <v>0</v>
      </c>
      <c r="H502" s="65">
        <f ca="1">SUMIFS(OFFSET('BPC Data'!$F:$F,0,Summary!H$2),'BPC Data'!$E:$E,Summary!$D502,'BPC Data'!$B:$B,Summary!$C502)</f>
        <v>0</v>
      </c>
      <c r="I502" s="61">
        <f ca="1">SUMIFS(OFFSET('BPC Data'!$F:$F,0,Summary!I$2),'BPC Data'!$E:$E,Summary!$D502,'BPC Data'!$B:$B,Summary!$C502)</f>
        <v>0</v>
      </c>
      <c r="J502" s="65">
        <f ca="1">SUMIFS(OFFSET('BPC Data'!$F:$F,0,Summary!J$2),'BPC Data'!$E:$E,Summary!$D502,'BPC Data'!$B:$B,Summary!$C502)</f>
        <v>0</v>
      </c>
      <c r="K502" s="61">
        <f ca="1">SUMIFS(OFFSET('BPC Data'!$F:$F,0,Summary!K$2),'BPC Data'!$E:$E,Summary!$D502,'BPC Data'!$B:$B,Summary!$C502)</f>
        <v>0</v>
      </c>
      <c r="L502" s="65">
        <f ca="1">SUMIFS(OFFSET('BPC Data'!$F:$F,0,Summary!L$2),'BPC Data'!$E:$E,Summary!$D502,'BPC Data'!$B:$B,Summary!$C502)</f>
        <v>0</v>
      </c>
      <c r="M502" s="61">
        <f ca="1">SUMIFS(OFFSET('BPC Data'!$F:$F,0,Summary!M$2),'BPC Data'!$E:$E,Summary!$D502,'BPC Data'!$B:$B,Summary!$C502)</f>
        <v>0</v>
      </c>
      <c r="N502" s="65">
        <f ca="1">SUMIFS(OFFSET('BPC Data'!$F:$F,0,Summary!N$2),'BPC Data'!$E:$E,Summary!$D502,'BPC Data'!$B:$B,Summary!$C502)</f>
        <v>0</v>
      </c>
      <c r="O502" s="61">
        <f ca="1">SUMIFS(OFFSET('BPC Data'!$F:$F,0,Summary!O$2),'BPC Data'!$E:$E,Summary!$D502,'BPC Data'!$B:$B,Summary!$C502)</f>
        <v>0</v>
      </c>
      <c r="P502" s="65">
        <f ca="1">SUMIFS(OFFSET('BPC Data'!$F:$F,0,Summary!P$2),'BPC Data'!$E:$E,Summary!$D502,'BPC Data'!$B:$B,Summary!$C502)</f>
        <v>0</v>
      </c>
      <c r="Q502" s="61">
        <f ca="1">SUMIFS(OFFSET('BPC Data'!$F:$F,0,Summary!Q$2),'BPC Data'!$E:$E,Summary!$D502,'BPC Data'!$B:$B,Summary!$C502)</f>
        <v>0</v>
      </c>
      <c r="R502" s="65">
        <f ca="1">SUMIFS(OFFSET('BPC Data'!$F:$F,0,Summary!R$2),'BPC Data'!$E:$E,Summary!$D502,'BPC Data'!$B:$B,Summary!$C502)</f>
        <v>0</v>
      </c>
      <c r="S502" s="23"/>
      <c r="T502" s="76"/>
      <c r="AJ502" s="49"/>
      <c r="AK502" s="49"/>
      <c r="AL502" s="49"/>
      <c r="AM502" s="49"/>
      <c r="AN502" s="49"/>
      <c r="AO502" s="49"/>
      <c r="AP502" s="49"/>
      <c r="AQ502" s="49"/>
      <c r="AR502" s="49"/>
      <c r="AS502" s="49"/>
      <c r="AT502" s="49"/>
      <c r="AU502" s="49"/>
    </row>
    <row r="503" spans="1:47" s="12" customFormat="1" hidden="1" outlineLevel="1">
      <c r="A503" s="12">
        <f t="shared" si="469"/>
        <v>45</v>
      </c>
      <c r="B503"/>
      <c r="C503"/>
      <c r="D503" s="1" t="str">
        <f t="shared" si="466"/>
        <v>x</v>
      </c>
      <c r="E503"/>
      <c r="F503" s="19" t="s">
        <v>0</v>
      </c>
      <c r="G503" s="61">
        <f ca="1">SUMIFS(OFFSET('BPC Data'!$F:$F,0,Summary!G$2),'BPC Data'!$E:$E,Summary!$D503,'BPC Data'!$B:$B,Summary!$C503)</f>
        <v>0</v>
      </c>
      <c r="H503" s="65">
        <f ca="1">SUMIFS(OFFSET('BPC Data'!$F:$F,0,Summary!H$2),'BPC Data'!$E:$E,Summary!$D503,'BPC Data'!$B:$B,Summary!$C503)</f>
        <v>0</v>
      </c>
      <c r="I503" s="61">
        <f ca="1">SUMIFS(OFFSET('BPC Data'!$F:$F,0,Summary!I$2),'BPC Data'!$E:$E,Summary!$D503,'BPC Data'!$B:$B,Summary!$C503)</f>
        <v>0</v>
      </c>
      <c r="J503" s="65">
        <f ca="1">SUMIFS(OFFSET('BPC Data'!$F:$F,0,Summary!J$2),'BPC Data'!$E:$E,Summary!$D503,'BPC Data'!$B:$B,Summary!$C503)</f>
        <v>0</v>
      </c>
      <c r="K503" s="61">
        <f ca="1">SUMIFS(OFFSET('BPC Data'!$F:$F,0,Summary!K$2),'BPC Data'!$E:$E,Summary!$D503,'BPC Data'!$B:$B,Summary!$C503)</f>
        <v>0</v>
      </c>
      <c r="L503" s="65">
        <f ca="1">SUMIFS(OFFSET('BPC Data'!$F:$F,0,Summary!L$2),'BPC Data'!$E:$E,Summary!$D503,'BPC Data'!$B:$B,Summary!$C503)</f>
        <v>0</v>
      </c>
      <c r="M503" s="61">
        <f ca="1">SUMIFS(OFFSET('BPC Data'!$F:$F,0,Summary!M$2),'BPC Data'!$E:$E,Summary!$D503,'BPC Data'!$B:$B,Summary!$C503)</f>
        <v>0</v>
      </c>
      <c r="N503" s="65">
        <f ca="1">SUMIFS(OFFSET('BPC Data'!$F:$F,0,Summary!N$2),'BPC Data'!$E:$E,Summary!$D503,'BPC Data'!$B:$B,Summary!$C503)</f>
        <v>0</v>
      </c>
      <c r="O503" s="61">
        <f ca="1">SUMIFS(OFFSET('BPC Data'!$F:$F,0,Summary!O$2),'BPC Data'!$E:$E,Summary!$D503,'BPC Data'!$B:$B,Summary!$C503)</f>
        <v>0</v>
      </c>
      <c r="P503" s="65">
        <f ca="1">SUMIFS(OFFSET('BPC Data'!$F:$F,0,Summary!P$2),'BPC Data'!$E:$E,Summary!$D503,'BPC Data'!$B:$B,Summary!$C503)</f>
        <v>0</v>
      </c>
      <c r="Q503" s="61">
        <f ca="1">SUMIFS(OFFSET('BPC Data'!$F:$F,0,Summary!Q$2),'BPC Data'!$E:$E,Summary!$D503,'BPC Data'!$B:$B,Summary!$C503)</f>
        <v>0</v>
      </c>
      <c r="R503" s="65">
        <f ca="1">SUMIFS(OFFSET('BPC Data'!$F:$F,0,Summary!R$2),'BPC Data'!$E:$E,Summary!$D503,'BPC Data'!$B:$B,Summary!$C503)</f>
        <v>0</v>
      </c>
      <c r="S503" s="23"/>
      <c r="T503" s="76"/>
      <c r="AJ503" s="49"/>
      <c r="AK503" s="49"/>
      <c r="AL503" s="49"/>
      <c r="AM503" s="49"/>
      <c r="AN503" s="49"/>
      <c r="AO503" s="49"/>
      <c r="AP503" s="49"/>
      <c r="AQ503" s="49"/>
      <c r="AR503" s="49"/>
      <c r="AS503" s="49"/>
      <c r="AT503" s="49"/>
      <c r="AU503" s="49"/>
    </row>
    <row r="504" spans="1:47" s="12" customFormat="1" hidden="1" outlineLevel="1">
      <c r="A504" s="12">
        <f>IF(AND(D504&lt;&gt;"",C504=""),A503+1,A503)</f>
        <v>46</v>
      </c>
      <c r="B504" s="5"/>
      <c r="C504" s="5"/>
      <c r="D504" s="5" t="str">
        <f t="shared" si="466"/>
        <v>x</v>
      </c>
      <c r="E504" s="5"/>
      <c r="F504" s="18">
        <f>INDEX(PropertyList!$D:$D,MATCH(Summary!$A504,PropertyList!$C:$C,0))</f>
        <v>0</v>
      </c>
      <c r="G504" s="61">
        <f ca="1">SUMIFS(OFFSET('BPC Data'!$F:$F,0,Summary!G$2),'BPC Data'!$E:$E,Summary!$D504,'BPC Data'!$B:$B,Summary!$C504)</f>
        <v>0</v>
      </c>
      <c r="H504" s="65">
        <f ca="1">SUMIFS(OFFSET('BPC Data'!$F:$F,0,Summary!H$2),'BPC Data'!$E:$E,Summary!$D504,'BPC Data'!$B:$B,Summary!$C504)</f>
        <v>0</v>
      </c>
      <c r="I504" s="61">
        <f ca="1">SUMIFS(OFFSET('BPC Data'!$F:$F,0,Summary!I$2),'BPC Data'!$E:$E,Summary!$D504,'BPC Data'!$B:$B,Summary!$C504)</f>
        <v>0</v>
      </c>
      <c r="J504" s="65">
        <f ca="1">SUMIFS(OFFSET('BPC Data'!$F:$F,0,Summary!J$2),'BPC Data'!$E:$E,Summary!$D504,'BPC Data'!$B:$B,Summary!$C504)</f>
        <v>0</v>
      </c>
      <c r="K504" s="61">
        <f ca="1">SUMIFS(OFFSET('BPC Data'!$F:$F,0,Summary!K$2),'BPC Data'!$E:$E,Summary!$D504,'BPC Data'!$B:$B,Summary!$C504)</f>
        <v>0</v>
      </c>
      <c r="L504" s="65">
        <f ca="1">SUMIFS(OFFSET('BPC Data'!$F:$F,0,Summary!L$2),'BPC Data'!$E:$E,Summary!$D504,'BPC Data'!$B:$B,Summary!$C504)</f>
        <v>0</v>
      </c>
      <c r="M504" s="61">
        <f ca="1">SUMIFS(OFFSET('BPC Data'!$F:$F,0,Summary!M$2),'BPC Data'!$E:$E,Summary!$D504,'BPC Data'!$B:$B,Summary!$C504)</f>
        <v>0</v>
      </c>
      <c r="N504" s="65">
        <f ca="1">SUMIFS(OFFSET('BPC Data'!$F:$F,0,Summary!N$2),'BPC Data'!$E:$E,Summary!$D504,'BPC Data'!$B:$B,Summary!$C504)</f>
        <v>0</v>
      </c>
      <c r="O504" s="61">
        <f ca="1">SUMIFS(OFFSET('BPC Data'!$F:$F,0,Summary!O$2),'BPC Data'!$E:$E,Summary!$D504,'BPC Data'!$B:$B,Summary!$C504)</f>
        <v>0</v>
      </c>
      <c r="P504" s="65">
        <f ca="1">SUMIFS(OFFSET('BPC Data'!$F:$F,0,Summary!P$2),'BPC Data'!$E:$E,Summary!$D504,'BPC Data'!$B:$B,Summary!$C504)</f>
        <v>0</v>
      </c>
      <c r="Q504" s="61">
        <f ca="1">SUMIFS(OFFSET('BPC Data'!$F:$F,0,Summary!Q$2),'BPC Data'!$E:$E,Summary!$D504,'BPC Data'!$B:$B,Summary!$C504)</f>
        <v>0</v>
      </c>
      <c r="R504" s="65">
        <f ca="1">SUMIFS(OFFSET('BPC Data'!$F:$F,0,Summary!R$2),'BPC Data'!$E:$E,Summary!$D504,'BPC Data'!$B:$B,Summary!$C504)</f>
        <v>0</v>
      </c>
      <c r="S504" s="23"/>
      <c r="T504" s="76"/>
      <c r="AJ504" s="49"/>
      <c r="AK504" s="49"/>
      <c r="AL504" s="49"/>
      <c r="AM504" s="49"/>
      <c r="AN504" s="49"/>
      <c r="AO504" s="49"/>
      <c r="AP504" s="49"/>
      <c r="AQ504" s="49"/>
      <c r="AR504" s="49"/>
      <c r="AS504" s="49"/>
      <c r="AT504" s="49"/>
      <c r="AU504" s="49"/>
    </row>
    <row r="505" spans="1:47" s="12" customFormat="1" hidden="1" outlineLevel="1">
      <c r="A505" s="12">
        <f>IF(AND(F505&lt;&gt;"",D505=""),A504+1,A504)</f>
        <v>46</v>
      </c>
      <c r="C505">
        <f>$F504</f>
        <v>0</v>
      </c>
      <c r="D505" s="3" t="str">
        <f t="shared" si="466"/>
        <v>PAY_PAT_DAYS - Total Payor Patient Days</v>
      </c>
      <c r="F505" s="19" t="str">
        <f>_xll.EVDES(D505)</f>
        <v>Total Payor Patient Days</v>
      </c>
      <c r="G505" s="61">
        <f ca="1">SUMIFS(OFFSET('BPC Data'!$F:$F,0,Summary!G$2),'BPC Data'!$E:$E,Summary!$D505,'BPC Data'!$B:$B,Summary!$C505)</f>
        <v>0</v>
      </c>
      <c r="H505" s="65">
        <f ca="1">SUMIFS(OFFSET('BPC Data'!$F:$F,0,Summary!H$2),'BPC Data'!$E:$E,Summary!$D505,'BPC Data'!$B:$B,Summary!$C505)</f>
        <v>0</v>
      </c>
      <c r="I505" s="61">
        <f ca="1">SUMIFS(OFFSET('BPC Data'!$F:$F,0,Summary!I$2),'BPC Data'!$E:$E,Summary!$D505,'BPC Data'!$B:$B,Summary!$C505)</f>
        <v>0</v>
      </c>
      <c r="J505" s="65">
        <f ca="1">SUMIFS(OFFSET('BPC Data'!$F:$F,0,Summary!J$2),'BPC Data'!$E:$E,Summary!$D505,'BPC Data'!$B:$B,Summary!$C505)</f>
        <v>0</v>
      </c>
      <c r="K505" s="61">
        <f ca="1">SUMIFS(OFFSET('BPC Data'!$F:$F,0,Summary!K$2),'BPC Data'!$E:$E,Summary!$D505,'BPC Data'!$B:$B,Summary!$C505)</f>
        <v>0</v>
      </c>
      <c r="L505" s="65">
        <f ca="1">SUMIFS(OFFSET('BPC Data'!$F:$F,0,Summary!L$2),'BPC Data'!$E:$E,Summary!$D505,'BPC Data'!$B:$B,Summary!$C505)</f>
        <v>0</v>
      </c>
      <c r="M505" s="61">
        <f ca="1">SUMIFS(OFFSET('BPC Data'!$F:$F,0,Summary!M$2),'BPC Data'!$E:$E,Summary!$D505,'BPC Data'!$B:$B,Summary!$C505)</f>
        <v>0</v>
      </c>
      <c r="N505" s="65">
        <f ca="1">SUMIFS(OFFSET('BPC Data'!$F:$F,0,Summary!N$2),'BPC Data'!$E:$E,Summary!$D505,'BPC Data'!$B:$B,Summary!$C505)</f>
        <v>0</v>
      </c>
      <c r="O505" s="61">
        <f ca="1">SUMIFS(OFFSET('BPC Data'!$F:$F,0,Summary!O$2),'BPC Data'!$E:$E,Summary!$D505,'BPC Data'!$B:$B,Summary!$C505)</f>
        <v>0</v>
      </c>
      <c r="P505" s="65">
        <f ca="1">SUMIFS(OFFSET('BPC Data'!$F:$F,0,Summary!P$2),'BPC Data'!$E:$E,Summary!$D505,'BPC Data'!$B:$B,Summary!$C505)</f>
        <v>0</v>
      </c>
      <c r="Q505" s="61">
        <f ca="1">SUMIFS(OFFSET('BPC Data'!$F:$F,0,Summary!Q$2),'BPC Data'!$E:$E,Summary!$D505,'BPC Data'!$B:$B,Summary!$C505)</f>
        <v>0</v>
      </c>
      <c r="R505" s="65">
        <f ca="1">SUMIFS(OFFSET('BPC Data'!$F:$F,0,Summary!R$2),'BPC Data'!$E:$E,Summary!$D505,'BPC Data'!$B:$B,Summary!$C505)</f>
        <v>0</v>
      </c>
      <c r="S505" s="23"/>
      <c r="T505" s="76"/>
      <c r="AJ505" s="49"/>
      <c r="AK505" s="49"/>
      <c r="AL505" s="49"/>
      <c r="AM505" s="49"/>
      <c r="AN505" s="49"/>
      <c r="AO505" s="49"/>
      <c r="AP505" s="49"/>
      <c r="AQ505" s="49"/>
      <c r="AR505" s="49"/>
      <c r="AS505" s="49"/>
      <c r="AT505" s="49"/>
      <c r="AU505" s="49"/>
    </row>
    <row r="506" spans="1:47" s="12" customFormat="1" hidden="1" outlineLevel="1">
      <c r="A506" s="12">
        <f t="shared" ref="A506:A514" si="470">IF(AND(F506&lt;&gt;"",D506=""),A505+1,A505)</f>
        <v>46</v>
      </c>
      <c r="C506">
        <f>$F504</f>
        <v>0</v>
      </c>
      <c r="D506" s="3" t="str">
        <f t="shared" si="466"/>
        <v>A_BEDS_TOTAL - Total Available Beds</v>
      </c>
      <c r="F506" s="19" t="str">
        <f>_xll.EVDES(D506)</f>
        <v>Total Available Beds</v>
      </c>
      <c r="G506" s="61">
        <f ca="1">SUMIFS(OFFSET('BPC Data'!$F:$F,0,Summary!G$2),'BPC Data'!$E:$E,Summary!$D506,'BPC Data'!$B:$B,Summary!$C506)</f>
        <v>0</v>
      </c>
      <c r="H506" s="65">
        <f ca="1">SUMIFS(OFFSET('BPC Data'!$F:$F,0,Summary!H$2),'BPC Data'!$E:$E,Summary!$D506,'BPC Data'!$B:$B,Summary!$C506)</f>
        <v>0</v>
      </c>
      <c r="I506" s="61">
        <f ca="1">SUMIFS(OFFSET('BPC Data'!$F:$F,0,Summary!I$2),'BPC Data'!$E:$E,Summary!$D506,'BPC Data'!$B:$B,Summary!$C506)</f>
        <v>0</v>
      </c>
      <c r="J506" s="65">
        <f ca="1">SUMIFS(OFFSET('BPC Data'!$F:$F,0,Summary!J$2),'BPC Data'!$E:$E,Summary!$D506,'BPC Data'!$B:$B,Summary!$C506)</f>
        <v>0</v>
      </c>
      <c r="K506" s="61">
        <f ca="1">SUMIFS(OFFSET('BPC Data'!$F:$F,0,Summary!K$2),'BPC Data'!$E:$E,Summary!$D506,'BPC Data'!$B:$B,Summary!$C506)</f>
        <v>0</v>
      </c>
      <c r="L506" s="65">
        <f ca="1">SUMIFS(OFFSET('BPC Data'!$F:$F,0,Summary!L$2),'BPC Data'!$E:$E,Summary!$D506,'BPC Data'!$B:$B,Summary!$C506)</f>
        <v>0</v>
      </c>
      <c r="M506" s="61">
        <f ca="1">SUMIFS(OFFSET('BPC Data'!$F:$F,0,Summary!M$2),'BPC Data'!$E:$E,Summary!$D506,'BPC Data'!$B:$B,Summary!$C506)</f>
        <v>0</v>
      </c>
      <c r="N506" s="65">
        <f ca="1">SUMIFS(OFFSET('BPC Data'!$F:$F,0,Summary!N$2),'BPC Data'!$E:$E,Summary!$D506,'BPC Data'!$B:$B,Summary!$C506)</f>
        <v>0</v>
      </c>
      <c r="O506" s="61">
        <f ca="1">SUMIFS(OFFSET('BPC Data'!$F:$F,0,Summary!O$2),'BPC Data'!$E:$E,Summary!$D506,'BPC Data'!$B:$B,Summary!$C506)</f>
        <v>0</v>
      </c>
      <c r="P506" s="65">
        <f ca="1">SUMIFS(OFFSET('BPC Data'!$F:$F,0,Summary!P$2),'BPC Data'!$E:$E,Summary!$D506,'BPC Data'!$B:$B,Summary!$C506)</f>
        <v>0</v>
      </c>
      <c r="Q506" s="61">
        <f ca="1">SUMIFS(OFFSET('BPC Data'!$F:$F,0,Summary!Q$2),'BPC Data'!$E:$E,Summary!$D506,'BPC Data'!$B:$B,Summary!$C506)</f>
        <v>0</v>
      </c>
      <c r="R506" s="65">
        <f ca="1">SUMIFS(OFFSET('BPC Data'!$F:$F,0,Summary!R$2),'BPC Data'!$E:$E,Summary!$D506,'BPC Data'!$B:$B,Summary!$C506)</f>
        <v>0</v>
      </c>
      <c r="S506" s="23"/>
      <c r="T506" s="76"/>
      <c r="AJ506" s="49"/>
      <c r="AK506" s="49"/>
      <c r="AL506" s="49"/>
      <c r="AM506" s="49"/>
      <c r="AN506" s="49"/>
      <c r="AO506" s="49"/>
      <c r="AP506" s="49"/>
      <c r="AQ506" s="49"/>
      <c r="AR506" s="49"/>
      <c r="AS506" s="49"/>
      <c r="AT506" s="49"/>
      <c r="AU506" s="49"/>
    </row>
    <row r="507" spans="1:47" s="12" customFormat="1" hidden="1" outlineLevel="1">
      <c r="A507" s="12">
        <f t="shared" si="470"/>
        <v>46</v>
      </c>
      <c r="B507"/>
      <c r="C507">
        <f>$F504</f>
        <v>0</v>
      </c>
      <c r="D507" s="3" t="str">
        <f t="shared" si="466"/>
        <v>T_REVENUES - Total Tenant Revenues</v>
      </c>
      <c r="E507"/>
      <c r="F507" s="19" t="str">
        <f>_xll.EVDES(D507)</f>
        <v>Total Tenant Revenues</v>
      </c>
      <c r="G507" s="61">
        <f ca="1">SUMIFS(OFFSET('BPC Data'!$F:$F,0,Summary!G$2),'BPC Data'!$E:$E,Summary!$D507,'BPC Data'!$B:$B,Summary!$C507)</f>
        <v>0</v>
      </c>
      <c r="H507" s="65">
        <f ca="1">SUMIFS(OFFSET('BPC Data'!$F:$F,0,Summary!H$2),'BPC Data'!$E:$E,Summary!$D507,'BPC Data'!$B:$B,Summary!$C507)</f>
        <v>0</v>
      </c>
      <c r="I507" s="61">
        <f ca="1">SUMIFS(OFFSET('BPC Data'!$F:$F,0,Summary!I$2),'BPC Data'!$E:$E,Summary!$D507,'BPC Data'!$B:$B,Summary!$C507)</f>
        <v>0</v>
      </c>
      <c r="J507" s="65">
        <f ca="1">SUMIFS(OFFSET('BPC Data'!$F:$F,0,Summary!J$2),'BPC Data'!$E:$E,Summary!$D507,'BPC Data'!$B:$B,Summary!$C507)</f>
        <v>0</v>
      </c>
      <c r="K507" s="61">
        <f ca="1">SUMIFS(OFFSET('BPC Data'!$F:$F,0,Summary!K$2),'BPC Data'!$E:$E,Summary!$D507,'BPC Data'!$B:$B,Summary!$C507)</f>
        <v>0</v>
      </c>
      <c r="L507" s="65">
        <f ca="1">SUMIFS(OFFSET('BPC Data'!$F:$F,0,Summary!L$2),'BPC Data'!$E:$E,Summary!$D507,'BPC Data'!$B:$B,Summary!$C507)</f>
        <v>0</v>
      </c>
      <c r="M507" s="61">
        <f ca="1">SUMIFS(OFFSET('BPC Data'!$F:$F,0,Summary!M$2),'BPC Data'!$E:$E,Summary!$D507,'BPC Data'!$B:$B,Summary!$C507)</f>
        <v>0</v>
      </c>
      <c r="N507" s="65">
        <f ca="1">SUMIFS(OFFSET('BPC Data'!$F:$F,0,Summary!N$2),'BPC Data'!$E:$E,Summary!$D507,'BPC Data'!$B:$B,Summary!$C507)</f>
        <v>0</v>
      </c>
      <c r="O507" s="61">
        <f ca="1">SUMIFS(OFFSET('BPC Data'!$F:$F,0,Summary!O$2),'BPC Data'!$E:$E,Summary!$D507,'BPC Data'!$B:$B,Summary!$C507)</f>
        <v>0</v>
      </c>
      <c r="P507" s="65">
        <f ca="1">SUMIFS(OFFSET('BPC Data'!$F:$F,0,Summary!P$2),'BPC Data'!$E:$E,Summary!$D507,'BPC Data'!$B:$B,Summary!$C507)</f>
        <v>0</v>
      </c>
      <c r="Q507" s="61">
        <f ca="1">SUMIFS(OFFSET('BPC Data'!$F:$F,0,Summary!Q$2),'BPC Data'!$E:$E,Summary!$D507,'BPC Data'!$B:$B,Summary!$C507)</f>
        <v>0</v>
      </c>
      <c r="R507" s="65">
        <f ca="1">SUMIFS(OFFSET('BPC Data'!$F:$F,0,Summary!R$2),'BPC Data'!$E:$E,Summary!$D507,'BPC Data'!$B:$B,Summary!$C507)</f>
        <v>0</v>
      </c>
      <c r="S507" s="23"/>
      <c r="T507" s="76"/>
      <c r="AJ507" s="49"/>
      <c r="AK507" s="49"/>
      <c r="AL507" s="49"/>
      <c r="AM507" s="49"/>
      <c r="AN507" s="49"/>
      <c r="AO507" s="49"/>
      <c r="AP507" s="49"/>
      <c r="AQ507" s="49"/>
      <c r="AR507" s="49"/>
      <c r="AS507" s="49"/>
      <c r="AT507" s="49"/>
      <c r="AU507" s="49"/>
    </row>
    <row r="508" spans="1:47" s="12" customFormat="1" hidden="1" outlineLevel="1">
      <c r="A508" s="12">
        <f t="shared" si="470"/>
        <v>46</v>
      </c>
      <c r="B508"/>
      <c r="C508">
        <f>$F504</f>
        <v>0</v>
      </c>
      <c r="D508" s="3" t="str">
        <f t="shared" si="466"/>
        <v>T_OPEX - Tenant Operating Expenses</v>
      </c>
      <c r="E508"/>
      <c r="F508" s="19" t="str">
        <f>_xll.EVDES(D508)</f>
        <v>Tenant Operating Expenses</v>
      </c>
      <c r="G508" s="61">
        <f ca="1">SUMIFS(OFFSET('BPC Data'!$F:$F,0,Summary!G$2),'BPC Data'!$E:$E,Summary!$D508,'BPC Data'!$B:$B,Summary!$C508)</f>
        <v>0</v>
      </c>
      <c r="H508" s="65">
        <f ca="1">SUMIFS(OFFSET('BPC Data'!$F:$F,0,Summary!H$2),'BPC Data'!$E:$E,Summary!$D508,'BPC Data'!$B:$B,Summary!$C508)</f>
        <v>0</v>
      </c>
      <c r="I508" s="61">
        <f ca="1">SUMIFS(OFFSET('BPC Data'!$F:$F,0,Summary!I$2),'BPC Data'!$E:$E,Summary!$D508,'BPC Data'!$B:$B,Summary!$C508)</f>
        <v>0</v>
      </c>
      <c r="J508" s="65">
        <f ca="1">SUMIFS(OFFSET('BPC Data'!$F:$F,0,Summary!J$2),'BPC Data'!$E:$E,Summary!$D508,'BPC Data'!$B:$B,Summary!$C508)</f>
        <v>0</v>
      </c>
      <c r="K508" s="61">
        <f ca="1">SUMIFS(OFFSET('BPC Data'!$F:$F,0,Summary!K$2),'BPC Data'!$E:$E,Summary!$D508,'BPC Data'!$B:$B,Summary!$C508)</f>
        <v>0</v>
      </c>
      <c r="L508" s="65">
        <f ca="1">SUMIFS(OFFSET('BPC Data'!$F:$F,0,Summary!L$2),'BPC Data'!$E:$E,Summary!$D508,'BPC Data'!$B:$B,Summary!$C508)</f>
        <v>0</v>
      </c>
      <c r="M508" s="61">
        <f ca="1">SUMIFS(OFFSET('BPC Data'!$F:$F,0,Summary!M$2),'BPC Data'!$E:$E,Summary!$D508,'BPC Data'!$B:$B,Summary!$C508)</f>
        <v>0</v>
      </c>
      <c r="N508" s="65">
        <f ca="1">SUMIFS(OFFSET('BPC Data'!$F:$F,0,Summary!N$2),'BPC Data'!$E:$E,Summary!$D508,'BPC Data'!$B:$B,Summary!$C508)</f>
        <v>0</v>
      </c>
      <c r="O508" s="61">
        <f ca="1">SUMIFS(OFFSET('BPC Data'!$F:$F,0,Summary!O$2),'BPC Data'!$E:$E,Summary!$D508,'BPC Data'!$B:$B,Summary!$C508)</f>
        <v>0</v>
      </c>
      <c r="P508" s="65">
        <f ca="1">SUMIFS(OFFSET('BPC Data'!$F:$F,0,Summary!P$2),'BPC Data'!$E:$E,Summary!$D508,'BPC Data'!$B:$B,Summary!$C508)</f>
        <v>0</v>
      </c>
      <c r="Q508" s="61">
        <f ca="1">SUMIFS(OFFSET('BPC Data'!$F:$F,0,Summary!Q$2),'BPC Data'!$E:$E,Summary!$D508,'BPC Data'!$B:$B,Summary!$C508)</f>
        <v>0</v>
      </c>
      <c r="R508" s="65">
        <f ca="1">SUMIFS(OFFSET('BPC Data'!$F:$F,0,Summary!R$2),'BPC Data'!$E:$E,Summary!$D508,'BPC Data'!$B:$B,Summary!$C508)</f>
        <v>0</v>
      </c>
      <c r="S508" s="23"/>
      <c r="T508" s="76"/>
      <c r="AJ508" s="49"/>
      <c r="AK508" s="49"/>
      <c r="AL508" s="49"/>
      <c r="AM508" s="49"/>
      <c r="AN508" s="49"/>
      <c r="AO508" s="49"/>
      <c r="AP508" s="49"/>
      <c r="AQ508" s="49"/>
      <c r="AR508" s="49"/>
      <c r="AS508" s="49"/>
      <c r="AT508" s="49"/>
      <c r="AU508" s="49"/>
    </row>
    <row r="509" spans="1:47" s="12" customFormat="1" hidden="1" outlineLevel="1">
      <c r="A509" s="12">
        <f t="shared" si="470"/>
        <v>46</v>
      </c>
      <c r="B509"/>
      <c r="C509">
        <f>$F504</f>
        <v>0</v>
      </c>
      <c r="D509" s="3" t="str">
        <f t="shared" si="466"/>
        <v>T_BAD_DEBT - Tenant Bad Debt Expense</v>
      </c>
      <c r="E509"/>
      <c r="F509" s="19" t="str">
        <f>_xll.EVDES(D509)</f>
        <v>Tenant Bad Debt Expense</v>
      </c>
      <c r="G509" s="61">
        <f ca="1">SUMIFS(OFFSET('BPC Data'!$F:$F,0,Summary!G$2),'BPC Data'!$E:$E,Summary!$D509,'BPC Data'!$B:$B,Summary!$C509)</f>
        <v>0</v>
      </c>
      <c r="H509" s="65">
        <f ca="1">SUMIFS(OFFSET('BPC Data'!$F:$F,0,Summary!H$2),'BPC Data'!$E:$E,Summary!$D509,'BPC Data'!$B:$B,Summary!$C509)</f>
        <v>0</v>
      </c>
      <c r="I509" s="61">
        <f ca="1">SUMIFS(OFFSET('BPC Data'!$F:$F,0,Summary!I$2),'BPC Data'!$E:$E,Summary!$D509,'BPC Data'!$B:$B,Summary!$C509)</f>
        <v>0</v>
      </c>
      <c r="J509" s="65">
        <f ca="1">SUMIFS(OFFSET('BPC Data'!$F:$F,0,Summary!J$2),'BPC Data'!$E:$E,Summary!$D509,'BPC Data'!$B:$B,Summary!$C509)</f>
        <v>0</v>
      </c>
      <c r="K509" s="61">
        <f ca="1">SUMIFS(OFFSET('BPC Data'!$F:$F,0,Summary!K$2),'BPC Data'!$E:$E,Summary!$D509,'BPC Data'!$B:$B,Summary!$C509)</f>
        <v>0</v>
      </c>
      <c r="L509" s="65">
        <f ca="1">SUMIFS(OFFSET('BPC Data'!$F:$F,0,Summary!L$2),'BPC Data'!$E:$E,Summary!$D509,'BPC Data'!$B:$B,Summary!$C509)</f>
        <v>0</v>
      </c>
      <c r="M509" s="61">
        <f ca="1">SUMIFS(OFFSET('BPC Data'!$F:$F,0,Summary!M$2),'BPC Data'!$E:$E,Summary!$D509,'BPC Data'!$B:$B,Summary!$C509)</f>
        <v>0</v>
      </c>
      <c r="N509" s="65">
        <f ca="1">SUMIFS(OFFSET('BPC Data'!$F:$F,0,Summary!N$2),'BPC Data'!$E:$E,Summary!$D509,'BPC Data'!$B:$B,Summary!$C509)</f>
        <v>0</v>
      </c>
      <c r="O509" s="61">
        <f ca="1">SUMIFS(OFFSET('BPC Data'!$F:$F,0,Summary!O$2),'BPC Data'!$E:$E,Summary!$D509,'BPC Data'!$B:$B,Summary!$C509)</f>
        <v>0</v>
      </c>
      <c r="P509" s="65">
        <f ca="1">SUMIFS(OFFSET('BPC Data'!$F:$F,0,Summary!P$2),'BPC Data'!$E:$E,Summary!$D509,'BPC Data'!$B:$B,Summary!$C509)</f>
        <v>0</v>
      </c>
      <c r="Q509" s="61">
        <f ca="1">SUMIFS(OFFSET('BPC Data'!$F:$F,0,Summary!Q$2),'BPC Data'!$E:$E,Summary!$D509,'BPC Data'!$B:$B,Summary!$C509)</f>
        <v>0</v>
      </c>
      <c r="R509" s="65">
        <f ca="1">SUMIFS(OFFSET('BPC Data'!$F:$F,0,Summary!R$2),'BPC Data'!$E:$E,Summary!$D509,'BPC Data'!$B:$B,Summary!$C509)</f>
        <v>0</v>
      </c>
      <c r="S509" s="23"/>
      <c r="T509" s="76"/>
      <c r="AJ509" s="49"/>
      <c r="AK509" s="49"/>
      <c r="AL509" s="49"/>
      <c r="AM509" s="49"/>
      <c r="AN509" s="49"/>
      <c r="AO509" s="49"/>
      <c r="AP509" s="49"/>
      <c r="AQ509" s="49"/>
      <c r="AR509" s="49"/>
      <c r="AS509" s="49"/>
      <c r="AT509" s="49"/>
      <c r="AU509" s="49"/>
    </row>
    <row r="510" spans="1:47" s="12" customFormat="1" hidden="1" outlineLevel="1">
      <c r="A510" s="12">
        <f t="shared" si="470"/>
        <v>46</v>
      </c>
      <c r="B510"/>
      <c r="C510">
        <f>$F504</f>
        <v>0</v>
      </c>
      <c r="D510" s="2" t="str">
        <f t="shared" si="466"/>
        <v>T_EBITDARM - EBITDARM</v>
      </c>
      <c r="E510"/>
      <c r="F510" s="19" t="str">
        <f>_xll.EVDES(D510)</f>
        <v>EBITDARM</v>
      </c>
      <c r="G510" s="61">
        <f ca="1">SUMIFS(OFFSET('BPC Data'!$F:$F,0,Summary!G$2),'BPC Data'!$E:$E,Summary!$D510,'BPC Data'!$B:$B,Summary!$C510)</f>
        <v>0</v>
      </c>
      <c r="H510" s="65">
        <f ca="1">SUMIFS(OFFSET('BPC Data'!$F:$F,0,Summary!H$2),'BPC Data'!$E:$E,Summary!$D510,'BPC Data'!$B:$B,Summary!$C510)</f>
        <v>0</v>
      </c>
      <c r="I510" s="61">
        <f ca="1">SUMIFS(OFFSET('BPC Data'!$F:$F,0,Summary!I$2),'BPC Data'!$E:$E,Summary!$D510,'BPC Data'!$B:$B,Summary!$C510)</f>
        <v>0</v>
      </c>
      <c r="J510" s="65">
        <f ca="1">SUMIFS(OFFSET('BPC Data'!$F:$F,0,Summary!J$2),'BPC Data'!$E:$E,Summary!$D510,'BPC Data'!$B:$B,Summary!$C510)</f>
        <v>0</v>
      </c>
      <c r="K510" s="61">
        <f ca="1">SUMIFS(OFFSET('BPC Data'!$F:$F,0,Summary!K$2),'BPC Data'!$E:$E,Summary!$D510,'BPC Data'!$B:$B,Summary!$C510)</f>
        <v>0</v>
      </c>
      <c r="L510" s="65">
        <f ca="1">SUMIFS(OFFSET('BPC Data'!$F:$F,0,Summary!L$2),'BPC Data'!$E:$E,Summary!$D510,'BPC Data'!$B:$B,Summary!$C510)</f>
        <v>0</v>
      </c>
      <c r="M510" s="61">
        <f ca="1">SUMIFS(OFFSET('BPC Data'!$F:$F,0,Summary!M$2),'BPC Data'!$E:$E,Summary!$D510,'BPC Data'!$B:$B,Summary!$C510)</f>
        <v>0</v>
      </c>
      <c r="N510" s="65">
        <f ca="1">SUMIFS(OFFSET('BPC Data'!$F:$F,0,Summary!N$2),'BPC Data'!$E:$E,Summary!$D510,'BPC Data'!$B:$B,Summary!$C510)</f>
        <v>0</v>
      </c>
      <c r="O510" s="61">
        <f ca="1">SUMIFS(OFFSET('BPC Data'!$F:$F,0,Summary!O$2),'BPC Data'!$E:$E,Summary!$D510,'BPC Data'!$B:$B,Summary!$C510)</f>
        <v>0</v>
      </c>
      <c r="P510" s="65">
        <f ca="1">SUMIFS(OFFSET('BPC Data'!$F:$F,0,Summary!P$2),'BPC Data'!$E:$E,Summary!$D510,'BPC Data'!$B:$B,Summary!$C510)</f>
        <v>0</v>
      </c>
      <c r="Q510" s="61">
        <f ca="1">SUMIFS(OFFSET('BPC Data'!$F:$F,0,Summary!Q$2),'BPC Data'!$E:$E,Summary!$D510,'BPC Data'!$B:$B,Summary!$C510)</f>
        <v>0</v>
      </c>
      <c r="R510" s="65">
        <f ca="1">SUMIFS(OFFSET('BPC Data'!$F:$F,0,Summary!R$2),'BPC Data'!$E:$E,Summary!$D510,'BPC Data'!$B:$B,Summary!$C510)</f>
        <v>0</v>
      </c>
      <c r="S510" s="23"/>
      <c r="T510" s="76"/>
      <c r="AJ510" s="49"/>
      <c r="AK510" s="49"/>
      <c r="AL510" s="49"/>
      <c r="AM510" s="49"/>
      <c r="AN510" s="49"/>
      <c r="AO510" s="49"/>
      <c r="AP510" s="49"/>
      <c r="AQ510" s="49"/>
      <c r="AR510" s="49"/>
      <c r="AS510" s="49"/>
      <c r="AT510" s="49"/>
      <c r="AU510" s="49"/>
    </row>
    <row r="511" spans="1:47" s="12" customFormat="1" hidden="1" outlineLevel="1">
      <c r="A511" s="12">
        <f t="shared" si="470"/>
        <v>46</v>
      </c>
      <c r="B511"/>
      <c r="C511">
        <f>$F504</f>
        <v>0</v>
      </c>
      <c r="D511" s="2" t="str">
        <f t="shared" si="466"/>
        <v>T_MGMT_FEE - Tenant Management Fee - Actual</v>
      </c>
      <c r="E511"/>
      <c r="F511" s="19" t="str">
        <f>_xll.EVDES(D511)</f>
        <v>Tenant Management Fee - Actual</v>
      </c>
      <c r="G511" s="61">
        <f ca="1">SUMIFS(OFFSET('BPC Data'!$F:$F,0,Summary!G$2),'BPC Data'!$E:$E,Summary!$D511,'BPC Data'!$B:$B,Summary!$C511)</f>
        <v>0</v>
      </c>
      <c r="H511" s="65">
        <f ca="1">SUMIFS(OFFSET('BPC Data'!$F:$F,0,Summary!H$2),'BPC Data'!$E:$E,Summary!$D511,'BPC Data'!$B:$B,Summary!$C511)</f>
        <v>0</v>
      </c>
      <c r="I511" s="61">
        <f ca="1">SUMIFS(OFFSET('BPC Data'!$F:$F,0,Summary!I$2),'BPC Data'!$E:$E,Summary!$D511,'BPC Data'!$B:$B,Summary!$C511)</f>
        <v>0</v>
      </c>
      <c r="J511" s="65">
        <f ca="1">SUMIFS(OFFSET('BPC Data'!$F:$F,0,Summary!J$2),'BPC Data'!$E:$E,Summary!$D511,'BPC Data'!$B:$B,Summary!$C511)</f>
        <v>0</v>
      </c>
      <c r="K511" s="61">
        <f ca="1">SUMIFS(OFFSET('BPC Data'!$F:$F,0,Summary!K$2),'BPC Data'!$E:$E,Summary!$D511,'BPC Data'!$B:$B,Summary!$C511)</f>
        <v>0</v>
      </c>
      <c r="L511" s="65">
        <f ca="1">SUMIFS(OFFSET('BPC Data'!$F:$F,0,Summary!L$2),'BPC Data'!$E:$E,Summary!$D511,'BPC Data'!$B:$B,Summary!$C511)</f>
        <v>0</v>
      </c>
      <c r="M511" s="61">
        <f ca="1">SUMIFS(OFFSET('BPC Data'!$F:$F,0,Summary!M$2),'BPC Data'!$E:$E,Summary!$D511,'BPC Data'!$B:$B,Summary!$C511)</f>
        <v>0</v>
      </c>
      <c r="N511" s="65">
        <f ca="1">SUMIFS(OFFSET('BPC Data'!$F:$F,0,Summary!N$2),'BPC Data'!$E:$E,Summary!$D511,'BPC Data'!$B:$B,Summary!$C511)</f>
        <v>0</v>
      </c>
      <c r="O511" s="61">
        <f ca="1">SUMIFS(OFFSET('BPC Data'!$F:$F,0,Summary!O$2),'BPC Data'!$E:$E,Summary!$D511,'BPC Data'!$B:$B,Summary!$C511)</f>
        <v>0</v>
      </c>
      <c r="P511" s="65">
        <f ca="1">SUMIFS(OFFSET('BPC Data'!$F:$F,0,Summary!P$2),'BPC Data'!$E:$E,Summary!$D511,'BPC Data'!$B:$B,Summary!$C511)</f>
        <v>0</v>
      </c>
      <c r="Q511" s="61">
        <f ca="1">SUMIFS(OFFSET('BPC Data'!$F:$F,0,Summary!Q$2),'BPC Data'!$E:$E,Summary!$D511,'BPC Data'!$B:$B,Summary!$C511)</f>
        <v>0</v>
      </c>
      <c r="R511" s="65">
        <f ca="1">SUMIFS(OFFSET('BPC Data'!$F:$F,0,Summary!R$2),'BPC Data'!$E:$E,Summary!$D511,'BPC Data'!$B:$B,Summary!$C511)</f>
        <v>0</v>
      </c>
      <c r="S511" s="23"/>
      <c r="T511" s="76"/>
      <c r="AJ511" s="49"/>
      <c r="AK511" s="49"/>
      <c r="AL511" s="49"/>
      <c r="AM511" s="49"/>
      <c r="AN511" s="49"/>
      <c r="AO511" s="49"/>
      <c r="AP511" s="49"/>
      <c r="AQ511" s="49"/>
      <c r="AR511" s="49"/>
      <c r="AS511" s="49"/>
      <c r="AT511" s="49"/>
      <c r="AU511" s="49"/>
    </row>
    <row r="512" spans="1:47" s="12" customFormat="1" hidden="1" outlineLevel="1">
      <c r="A512" s="12">
        <f t="shared" si="470"/>
        <v>46</v>
      </c>
      <c r="B512"/>
      <c r="C512">
        <f>$F504</f>
        <v>0</v>
      </c>
      <c r="D512" s="1" t="str">
        <f t="shared" si="466"/>
        <v>T_EBITDAR - EBITDAR</v>
      </c>
      <c r="E512"/>
      <c r="F512" s="19" t="str">
        <f>_xll.EVDES(D512)</f>
        <v>EBITDAR</v>
      </c>
      <c r="G512" s="61">
        <f ca="1">SUMIFS(OFFSET('BPC Data'!$F:$F,0,Summary!G$2),'BPC Data'!$E:$E,Summary!$D512,'BPC Data'!$B:$B,Summary!$C512)</f>
        <v>0</v>
      </c>
      <c r="H512" s="65">
        <f ca="1">SUMIFS(OFFSET('BPC Data'!$F:$F,0,Summary!H$2),'BPC Data'!$E:$E,Summary!$D512,'BPC Data'!$B:$B,Summary!$C512)</f>
        <v>0</v>
      </c>
      <c r="I512" s="61">
        <f ca="1">SUMIFS(OFFSET('BPC Data'!$F:$F,0,Summary!I$2),'BPC Data'!$E:$E,Summary!$D512,'BPC Data'!$B:$B,Summary!$C512)</f>
        <v>0</v>
      </c>
      <c r="J512" s="65">
        <f ca="1">SUMIFS(OFFSET('BPC Data'!$F:$F,0,Summary!J$2),'BPC Data'!$E:$E,Summary!$D512,'BPC Data'!$B:$B,Summary!$C512)</f>
        <v>0</v>
      </c>
      <c r="K512" s="61">
        <f ca="1">SUMIFS(OFFSET('BPC Data'!$F:$F,0,Summary!K$2),'BPC Data'!$E:$E,Summary!$D512,'BPC Data'!$B:$B,Summary!$C512)</f>
        <v>0</v>
      </c>
      <c r="L512" s="65">
        <f ca="1">SUMIFS(OFFSET('BPC Data'!$F:$F,0,Summary!L$2),'BPC Data'!$E:$E,Summary!$D512,'BPC Data'!$B:$B,Summary!$C512)</f>
        <v>0</v>
      </c>
      <c r="M512" s="61">
        <f ca="1">SUMIFS(OFFSET('BPC Data'!$F:$F,0,Summary!M$2),'BPC Data'!$E:$E,Summary!$D512,'BPC Data'!$B:$B,Summary!$C512)</f>
        <v>0</v>
      </c>
      <c r="N512" s="65">
        <f ca="1">SUMIFS(OFFSET('BPC Data'!$F:$F,0,Summary!N$2),'BPC Data'!$E:$E,Summary!$D512,'BPC Data'!$B:$B,Summary!$C512)</f>
        <v>0</v>
      </c>
      <c r="O512" s="61">
        <f ca="1">SUMIFS(OFFSET('BPC Data'!$F:$F,0,Summary!O$2),'BPC Data'!$E:$E,Summary!$D512,'BPC Data'!$B:$B,Summary!$C512)</f>
        <v>0</v>
      </c>
      <c r="P512" s="65">
        <f ca="1">SUMIFS(OFFSET('BPC Data'!$F:$F,0,Summary!P$2),'BPC Data'!$E:$E,Summary!$D512,'BPC Data'!$B:$B,Summary!$C512)</f>
        <v>0</v>
      </c>
      <c r="Q512" s="61">
        <f ca="1">SUMIFS(OFFSET('BPC Data'!$F:$F,0,Summary!Q$2),'BPC Data'!$E:$E,Summary!$D512,'BPC Data'!$B:$B,Summary!$C512)</f>
        <v>0</v>
      </c>
      <c r="R512" s="65">
        <f ca="1">SUMIFS(OFFSET('BPC Data'!$F:$F,0,Summary!R$2),'BPC Data'!$E:$E,Summary!$D512,'BPC Data'!$B:$B,Summary!$C512)</f>
        <v>0</v>
      </c>
      <c r="S512" s="23"/>
      <c r="T512" s="76"/>
      <c r="AJ512" s="49"/>
      <c r="AK512" s="49"/>
      <c r="AL512" s="49"/>
      <c r="AM512" s="49"/>
      <c r="AN512" s="49"/>
      <c r="AO512" s="49"/>
      <c r="AP512" s="49"/>
      <c r="AQ512" s="49"/>
      <c r="AR512" s="49"/>
      <c r="AS512" s="49"/>
      <c r="AT512" s="49"/>
      <c r="AU512" s="49"/>
    </row>
    <row r="513" spans="1:47" s="12" customFormat="1" hidden="1" outlineLevel="1">
      <c r="A513" s="12">
        <f t="shared" si="470"/>
        <v>46</v>
      </c>
      <c r="B513"/>
      <c r="C513">
        <f>$F504</f>
        <v>0</v>
      </c>
      <c r="D513" s="1" t="str">
        <f t="shared" si="466"/>
        <v>T_RENT_EXP - Tenant Rent Expense</v>
      </c>
      <c r="E513"/>
      <c r="F513" s="19" t="str">
        <f>_xll.EVDES(D513)</f>
        <v>Tenant Rent Expense</v>
      </c>
      <c r="G513" s="61">
        <f ca="1">SUMIFS(OFFSET('BPC Data'!$F:$F,0,Summary!G$2),'BPC Data'!$E:$E,Summary!$D513,'BPC Data'!$B:$B,Summary!$C513)</f>
        <v>0</v>
      </c>
      <c r="H513" s="65">
        <f ca="1">SUMIFS(OFFSET('BPC Data'!$F:$F,0,Summary!H$2),'BPC Data'!$E:$E,Summary!$D513,'BPC Data'!$B:$B,Summary!$C513)</f>
        <v>0</v>
      </c>
      <c r="I513" s="61">
        <f ca="1">SUMIFS(OFFSET('BPC Data'!$F:$F,0,Summary!I$2),'BPC Data'!$E:$E,Summary!$D513,'BPC Data'!$B:$B,Summary!$C513)</f>
        <v>0</v>
      </c>
      <c r="J513" s="65">
        <f ca="1">SUMIFS(OFFSET('BPC Data'!$F:$F,0,Summary!J$2),'BPC Data'!$E:$E,Summary!$D513,'BPC Data'!$B:$B,Summary!$C513)</f>
        <v>0</v>
      </c>
      <c r="K513" s="61">
        <f ca="1">SUMIFS(OFFSET('BPC Data'!$F:$F,0,Summary!K$2),'BPC Data'!$E:$E,Summary!$D513,'BPC Data'!$B:$B,Summary!$C513)</f>
        <v>0</v>
      </c>
      <c r="L513" s="65">
        <f ca="1">SUMIFS(OFFSET('BPC Data'!$F:$F,0,Summary!L$2),'BPC Data'!$E:$E,Summary!$D513,'BPC Data'!$B:$B,Summary!$C513)</f>
        <v>0</v>
      </c>
      <c r="M513" s="61">
        <f ca="1">SUMIFS(OFFSET('BPC Data'!$F:$F,0,Summary!M$2),'BPC Data'!$E:$E,Summary!$D513,'BPC Data'!$B:$B,Summary!$C513)</f>
        <v>0</v>
      </c>
      <c r="N513" s="65">
        <f ca="1">SUMIFS(OFFSET('BPC Data'!$F:$F,0,Summary!N$2),'BPC Data'!$E:$E,Summary!$D513,'BPC Data'!$B:$B,Summary!$C513)</f>
        <v>0</v>
      </c>
      <c r="O513" s="61">
        <f ca="1">SUMIFS(OFFSET('BPC Data'!$F:$F,0,Summary!O$2),'BPC Data'!$E:$E,Summary!$D513,'BPC Data'!$B:$B,Summary!$C513)</f>
        <v>0</v>
      </c>
      <c r="P513" s="65">
        <f ca="1">SUMIFS(OFFSET('BPC Data'!$F:$F,0,Summary!P$2),'BPC Data'!$E:$E,Summary!$D513,'BPC Data'!$B:$B,Summary!$C513)</f>
        <v>0</v>
      </c>
      <c r="Q513" s="61">
        <f ca="1">SUMIFS(OFFSET('BPC Data'!$F:$F,0,Summary!Q$2),'BPC Data'!$E:$E,Summary!$D513,'BPC Data'!$B:$B,Summary!$C513)</f>
        <v>0</v>
      </c>
      <c r="R513" s="65">
        <f ca="1">SUMIFS(OFFSET('BPC Data'!$F:$F,0,Summary!R$2),'BPC Data'!$E:$E,Summary!$D513,'BPC Data'!$B:$B,Summary!$C513)</f>
        <v>0</v>
      </c>
      <c r="S513" s="23"/>
      <c r="T513" s="76"/>
      <c r="AJ513" s="49"/>
      <c r="AK513" s="49"/>
      <c r="AL513" s="49"/>
      <c r="AM513" s="49"/>
      <c r="AN513" s="49"/>
      <c r="AO513" s="49"/>
      <c r="AP513" s="49"/>
      <c r="AQ513" s="49"/>
      <c r="AR513" s="49"/>
      <c r="AS513" s="49"/>
      <c r="AT513" s="49"/>
      <c r="AU513" s="49"/>
    </row>
    <row r="514" spans="1:47" s="12" customFormat="1" hidden="1" outlineLevel="1">
      <c r="A514" s="12">
        <f t="shared" si="470"/>
        <v>46</v>
      </c>
      <c r="B514"/>
      <c r="C514"/>
      <c r="D514" s="1" t="str">
        <f t="shared" si="466"/>
        <v>x</v>
      </c>
      <c r="E514"/>
      <c r="F514" s="19" t="s">
        <v>0</v>
      </c>
      <c r="G514" s="61">
        <f ca="1">SUMIFS(OFFSET('BPC Data'!$F:$F,0,Summary!G$2),'BPC Data'!$E:$E,Summary!$D514,'BPC Data'!$B:$B,Summary!$C514)</f>
        <v>0</v>
      </c>
      <c r="H514" s="65">
        <f ca="1">SUMIFS(OFFSET('BPC Data'!$F:$F,0,Summary!H$2),'BPC Data'!$E:$E,Summary!$D514,'BPC Data'!$B:$B,Summary!$C514)</f>
        <v>0</v>
      </c>
      <c r="I514" s="61">
        <f ca="1">SUMIFS(OFFSET('BPC Data'!$F:$F,0,Summary!I$2),'BPC Data'!$E:$E,Summary!$D514,'BPC Data'!$B:$B,Summary!$C514)</f>
        <v>0</v>
      </c>
      <c r="J514" s="65">
        <f ca="1">SUMIFS(OFFSET('BPC Data'!$F:$F,0,Summary!J$2),'BPC Data'!$E:$E,Summary!$D514,'BPC Data'!$B:$B,Summary!$C514)</f>
        <v>0</v>
      </c>
      <c r="K514" s="61">
        <f ca="1">SUMIFS(OFFSET('BPC Data'!$F:$F,0,Summary!K$2),'BPC Data'!$E:$E,Summary!$D514,'BPC Data'!$B:$B,Summary!$C514)</f>
        <v>0</v>
      </c>
      <c r="L514" s="65">
        <f ca="1">SUMIFS(OFFSET('BPC Data'!$F:$F,0,Summary!L$2),'BPC Data'!$E:$E,Summary!$D514,'BPC Data'!$B:$B,Summary!$C514)</f>
        <v>0</v>
      </c>
      <c r="M514" s="61">
        <f ca="1">SUMIFS(OFFSET('BPC Data'!$F:$F,0,Summary!M$2),'BPC Data'!$E:$E,Summary!$D514,'BPC Data'!$B:$B,Summary!$C514)</f>
        <v>0</v>
      </c>
      <c r="N514" s="65">
        <f ca="1">SUMIFS(OFFSET('BPC Data'!$F:$F,0,Summary!N$2),'BPC Data'!$E:$E,Summary!$D514,'BPC Data'!$B:$B,Summary!$C514)</f>
        <v>0</v>
      </c>
      <c r="O514" s="61">
        <f ca="1">SUMIFS(OFFSET('BPC Data'!$F:$F,0,Summary!O$2),'BPC Data'!$E:$E,Summary!$D514,'BPC Data'!$B:$B,Summary!$C514)</f>
        <v>0</v>
      </c>
      <c r="P514" s="65">
        <f ca="1">SUMIFS(OFFSET('BPC Data'!$F:$F,0,Summary!P$2),'BPC Data'!$E:$E,Summary!$D514,'BPC Data'!$B:$B,Summary!$C514)</f>
        <v>0</v>
      </c>
      <c r="Q514" s="61">
        <f ca="1">SUMIFS(OFFSET('BPC Data'!$F:$F,0,Summary!Q$2),'BPC Data'!$E:$E,Summary!$D514,'BPC Data'!$B:$B,Summary!$C514)</f>
        <v>0</v>
      </c>
      <c r="R514" s="65">
        <f ca="1">SUMIFS(OFFSET('BPC Data'!$F:$F,0,Summary!R$2),'BPC Data'!$E:$E,Summary!$D514,'BPC Data'!$B:$B,Summary!$C514)</f>
        <v>0</v>
      </c>
      <c r="S514" s="23"/>
      <c r="T514" s="76"/>
      <c r="AJ514" s="49"/>
      <c r="AK514" s="49"/>
      <c r="AL514" s="49"/>
      <c r="AM514" s="49"/>
      <c r="AN514" s="49"/>
      <c r="AO514" s="49"/>
      <c r="AP514" s="49"/>
      <c r="AQ514" s="49"/>
      <c r="AR514" s="49"/>
      <c r="AS514" s="49"/>
      <c r="AT514" s="49"/>
      <c r="AU514" s="49"/>
    </row>
    <row r="515" spans="1:47" s="12" customFormat="1" hidden="1" outlineLevel="1">
      <c r="A515" s="12">
        <f>IF(AND(D515&lt;&gt;"",C515=""),A514+1,A514)</f>
        <v>47</v>
      </c>
      <c r="B515" s="5"/>
      <c r="C515" s="5"/>
      <c r="D515" s="5" t="str">
        <f t="shared" si="466"/>
        <v>x</v>
      </c>
      <c r="E515" s="5"/>
      <c r="F515" s="18">
        <f>INDEX(PropertyList!$D:$D,MATCH(Summary!$A515,PropertyList!$C:$C,0))</f>
        <v>0</v>
      </c>
      <c r="G515" s="61">
        <f ca="1">SUMIFS(OFFSET('BPC Data'!$F:$F,0,Summary!G$2),'BPC Data'!$E:$E,Summary!$D515,'BPC Data'!$B:$B,Summary!$C515)</f>
        <v>0</v>
      </c>
      <c r="H515" s="65">
        <f ca="1">SUMIFS(OFFSET('BPC Data'!$F:$F,0,Summary!H$2),'BPC Data'!$E:$E,Summary!$D515,'BPC Data'!$B:$B,Summary!$C515)</f>
        <v>0</v>
      </c>
      <c r="I515" s="61">
        <f ca="1">SUMIFS(OFFSET('BPC Data'!$F:$F,0,Summary!I$2),'BPC Data'!$E:$E,Summary!$D515,'BPC Data'!$B:$B,Summary!$C515)</f>
        <v>0</v>
      </c>
      <c r="J515" s="65">
        <f ca="1">SUMIFS(OFFSET('BPC Data'!$F:$F,0,Summary!J$2),'BPC Data'!$E:$E,Summary!$D515,'BPC Data'!$B:$B,Summary!$C515)</f>
        <v>0</v>
      </c>
      <c r="K515" s="61">
        <f ca="1">SUMIFS(OFFSET('BPC Data'!$F:$F,0,Summary!K$2),'BPC Data'!$E:$E,Summary!$D515,'BPC Data'!$B:$B,Summary!$C515)</f>
        <v>0</v>
      </c>
      <c r="L515" s="65">
        <f ca="1">SUMIFS(OFFSET('BPC Data'!$F:$F,0,Summary!L$2),'BPC Data'!$E:$E,Summary!$D515,'BPC Data'!$B:$B,Summary!$C515)</f>
        <v>0</v>
      </c>
      <c r="M515" s="61">
        <f ca="1">SUMIFS(OFFSET('BPC Data'!$F:$F,0,Summary!M$2),'BPC Data'!$E:$E,Summary!$D515,'BPC Data'!$B:$B,Summary!$C515)</f>
        <v>0</v>
      </c>
      <c r="N515" s="65">
        <f ca="1">SUMIFS(OFFSET('BPC Data'!$F:$F,0,Summary!N$2),'BPC Data'!$E:$E,Summary!$D515,'BPC Data'!$B:$B,Summary!$C515)</f>
        <v>0</v>
      </c>
      <c r="O515" s="61">
        <f ca="1">SUMIFS(OFFSET('BPC Data'!$F:$F,0,Summary!O$2),'BPC Data'!$E:$E,Summary!$D515,'BPC Data'!$B:$B,Summary!$C515)</f>
        <v>0</v>
      </c>
      <c r="P515" s="65">
        <f ca="1">SUMIFS(OFFSET('BPC Data'!$F:$F,0,Summary!P$2),'BPC Data'!$E:$E,Summary!$D515,'BPC Data'!$B:$B,Summary!$C515)</f>
        <v>0</v>
      </c>
      <c r="Q515" s="61">
        <f ca="1">SUMIFS(OFFSET('BPC Data'!$F:$F,0,Summary!Q$2),'BPC Data'!$E:$E,Summary!$D515,'BPC Data'!$B:$B,Summary!$C515)</f>
        <v>0</v>
      </c>
      <c r="R515" s="65">
        <f ca="1">SUMIFS(OFFSET('BPC Data'!$F:$F,0,Summary!R$2),'BPC Data'!$E:$E,Summary!$D515,'BPC Data'!$B:$B,Summary!$C515)</f>
        <v>0</v>
      </c>
      <c r="S515" s="23"/>
      <c r="T515" s="76"/>
      <c r="AJ515" s="49"/>
      <c r="AK515" s="49"/>
      <c r="AL515" s="49"/>
      <c r="AM515" s="49"/>
      <c r="AN515" s="49"/>
      <c r="AO515" s="49"/>
      <c r="AP515" s="49"/>
      <c r="AQ515" s="49"/>
      <c r="AR515" s="49"/>
      <c r="AS515" s="49"/>
      <c r="AT515" s="49"/>
      <c r="AU515" s="49"/>
    </row>
    <row r="516" spans="1:47" s="12" customFormat="1" hidden="1" outlineLevel="1">
      <c r="A516" s="12">
        <f>IF(AND(F516&lt;&gt;"",D516=""),A515+1,A515)</f>
        <v>47</v>
      </c>
      <c r="C516">
        <f>$F515</f>
        <v>0</v>
      </c>
      <c r="D516" s="3" t="str">
        <f t="shared" si="466"/>
        <v>PAY_PAT_DAYS - Total Payor Patient Days</v>
      </c>
      <c r="F516" s="19" t="str">
        <f>_xll.EVDES(D516)</f>
        <v>Total Payor Patient Days</v>
      </c>
      <c r="G516" s="61">
        <f ca="1">SUMIFS(OFFSET('BPC Data'!$F:$F,0,Summary!G$2),'BPC Data'!$E:$E,Summary!$D516,'BPC Data'!$B:$B,Summary!$C516)</f>
        <v>0</v>
      </c>
      <c r="H516" s="65">
        <f ca="1">SUMIFS(OFFSET('BPC Data'!$F:$F,0,Summary!H$2),'BPC Data'!$E:$E,Summary!$D516,'BPC Data'!$B:$B,Summary!$C516)</f>
        <v>0</v>
      </c>
      <c r="I516" s="61">
        <f ca="1">SUMIFS(OFFSET('BPC Data'!$F:$F,0,Summary!I$2),'BPC Data'!$E:$E,Summary!$D516,'BPC Data'!$B:$B,Summary!$C516)</f>
        <v>0</v>
      </c>
      <c r="J516" s="65">
        <f ca="1">SUMIFS(OFFSET('BPC Data'!$F:$F,0,Summary!J$2),'BPC Data'!$E:$E,Summary!$D516,'BPC Data'!$B:$B,Summary!$C516)</f>
        <v>0</v>
      </c>
      <c r="K516" s="61">
        <f ca="1">SUMIFS(OFFSET('BPC Data'!$F:$F,0,Summary!K$2),'BPC Data'!$E:$E,Summary!$D516,'BPC Data'!$B:$B,Summary!$C516)</f>
        <v>0</v>
      </c>
      <c r="L516" s="65">
        <f ca="1">SUMIFS(OFFSET('BPC Data'!$F:$F,0,Summary!L$2),'BPC Data'!$E:$E,Summary!$D516,'BPC Data'!$B:$B,Summary!$C516)</f>
        <v>0</v>
      </c>
      <c r="M516" s="61">
        <f ca="1">SUMIFS(OFFSET('BPC Data'!$F:$F,0,Summary!M$2),'BPC Data'!$E:$E,Summary!$D516,'BPC Data'!$B:$B,Summary!$C516)</f>
        <v>0</v>
      </c>
      <c r="N516" s="65">
        <f ca="1">SUMIFS(OFFSET('BPC Data'!$F:$F,0,Summary!N$2),'BPC Data'!$E:$E,Summary!$D516,'BPC Data'!$B:$B,Summary!$C516)</f>
        <v>0</v>
      </c>
      <c r="O516" s="61">
        <f ca="1">SUMIFS(OFFSET('BPC Data'!$F:$F,0,Summary!O$2),'BPC Data'!$E:$E,Summary!$D516,'BPC Data'!$B:$B,Summary!$C516)</f>
        <v>0</v>
      </c>
      <c r="P516" s="65">
        <f ca="1">SUMIFS(OFFSET('BPC Data'!$F:$F,0,Summary!P$2),'BPC Data'!$E:$E,Summary!$D516,'BPC Data'!$B:$B,Summary!$C516)</f>
        <v>0</v>
      </c>
      <c r="Q516" s="61">
        <f ca="1">SUMIFS(OFFSET('BPC Data'!$F:$F,0,Summary!Q$2),'BPC Data'!$E:$E,Summary!$D516,'BPC Data'!$B:$B,Summary!$C516)</f>
        <v>0</v>
      </c>
      <c r="R516" s="65">
        <f ca="1">SUMIFS(OFFSET('BPC Data'!$F:$F,0,Summary!R$2),'BPC Data'!$E:$E,Summary!$D516,'BPC Data'!$B:$B,Summary!$C516)</f>
        <v>0</v>
      </c>
      <c r="S516" s="23"/>
      <c r="T516" s="76"/>
      <c r="AJ516" s="49"/>
      <c r="AK516" s="49"/>
      <c r="AL516" s="49"/>
      <c r="AM516" s="49"/>
      <c r="AN516" s="49"/>
      <c r="AO516" s="49"/>
      <c r="AP516" s="49"/>
      <c r="AQ516" s="49"/>
      <c r="AR516" s="49"/>
      <c r="AS516" s="49"/>
      <c r="AT516" s="49"/>
      <c r="AU516" s="49"/>
    </row>
    <row r="517" spans="1:47" s="12" customFormat="1" hidden="1" outlineLevel="1">
      <c r="A517" s="12">
        <f t="shared" ref="A517:A525" si="471">IF(AND(F517&lt;&gt;"",D517=""),A516+1,A516)</f>
        <v>47</v>
      </c>
      <c r="C517">
        <f>$F515</f>
        <v>0</v>
      </c>
      <c r="D517" s="3" t="str">
        <f t="shared" si="466"/>
        <v>A_BEDS_TOTAL - Total Available Beds</v>
      </c>
      <c r="F517" s="19" t="str">
        <f>_xll.EVDES(D517)</f>
        <v>Total Available Beds</v>
      </c>
      <c r="G517" s="61">
        <f ca="1">SUMIFS(OFFSET('BPC Data'!$F:$F,0,Summary!G$2),'BPC Data'!$E:$E,Summary!$D517,'BPC Data'!$B:$B,Summary!$C517)</f>
        <v>0</v>
      </c>
      <c r="H517" s="65">
        <f ca="1">SUMIFS(OFFSET('BPC Data'!$F:$F,0,Summary!H$2),'BPC Data'!$E:$E,Summary!$D517,'BPC Data'!$B:$B,Summary!$C517)</f>
        <v>0</v>
      </c>
      <c r="I517" s="61">
        <f ca="1">SUMIFS(OFFSET('BPC Data'!$F:$F,0,Summary!I$2),'BPC Data'!$E:$E,Summary!$D517,'BPC Data'!$B:$B,Summary!$C517)</f>
        <v>0</v>
      </c>
      <c r="J517" s="65">
        <f ca="1">SUMIFS(OFFSET('BPC Data'!$F:$F,0,Summary!J$2),'BPC Data'!$E:$E,Summary!$D517,'BPC Data'!$B:$B,Summary!$C517)</f>
        <v>0</v>
      </c>
      <c r="K517" s="61">
        <f ca="1">SUMIFS(OFFSET('BPC Data'!$F:$F,0,Summary!K$2),'BPC Data'!$E:$E,Summary!$D517,'BPC Data'!$B:$B,Summary!$C517)</f>
        <v>0</v>
      </c>
      <c r="L517" s="65">
        <f ca="1">SUMIFS(OFFSET('BPC Data'!$F:$F,0,Summary!L$2),'BPC Data'!$E:$E,Summary!$D517,'BPC Data'!$B:$B,Summary!$C517)</f>
        <v>0</v>
      </c>
      <c r="M517" s="61">
        <f ca="1">SUMIFS(OFFSET('BPC Data'!$F:$F,0,Summary!M$2),'BPC Data'!$E:$E,Summary!$D517,'BPC Data'!$B:$B,Summary!$C517)</f>
        <v>0</v>
      </c>
      <c r="N517" s="65">
        <f ca="1">SUMIFS(OFFSET('BPC Data'!$F:$F,0,Summary!N$2),'BPC Data'!$E:$E,Summary!$D517,'BPC Data'!$B:$B,Summary!$C517)</f>
        <v>0</v>
      </c>
      <c r="O517" s="61">
        <f ca="1">SUMIFS(OFFSET('BPC Data'!$F:$F,0,Summary!O$2),'BPC Data'!$E:$E,Summary!$D517,'BPC Data'!$B:$B,Summary!$C517)</f>
        <v>0</v>
      </c>
      <c r="P517" s="65">
        <f ca="1">SUMIFS(OFFSET('BPC Data'!$F:$F,0,Summary!P$2),'BPC Data'!$E:$E,Summary!$D517,'BPC Data'!$B:$B,Summary!$C517)</f>
        <v>0</v>
      </c>
      <c r="Q517" s="61">
        <f ca="1">SUMIFS(OFFSET('BPC Data'!$F:$F,0,Summary!Q$2),'BPC Data'!$E:$E,Summary!$D517,'BPC Data'!$B:$B,Summary!$C517)</f>
        <v>0</v>
      </c>
      <c r="R517" s="65">
        <f ca="1">SUMIFS(OFFSET('BPC Data'!$F:$F,0,Summary!R$2),'BPC Data'!$E:$E,Summary!$D517,'BPC Data'!$B:$B,Summary!$C517)</f>
        <v>0</v>
      </c>
      <c r="S517" s="23"/>
      <c r="T517" s="76"/>
      <c r="AJ517" s="49"/>
      <c r="AK517" s="49"/>
      <c r="AL517" s="49"/>
      <c r="AM517" s="49"/>
      <c r="AN517" s="49"/>
      <c r="AO517" s="49"/>
      <c r="AP517" s="49"/>
      <c r="AQ517" s="49"/>
      <c r="AR517" s="49"/>
      <c r="AS517" s="49"/>
      <c r="AT517" s="49"/>
      <c r="AU517" s="49"/>
    </row>
    <row r="518" spans="1:47" s="12" customFormat="1" hidden="1" outlineLevel="1">
      <c r="A518" s="12">
        <f t="shared" si="471"/>
        <v>47</v>
      </c>
      <c r="B518"/>
      <c r="C518">
        <f>$F515</f>
        <v>0</v>
      </c>
      <c r="D518" s="3" t="str">
        <f t="shared" si="466"/>
        <v>T_REVENUES - Total Tenant Revenues</v>
      </c>
      <c r="E518"/>
      <c r="F518" s="19" t="str">
        <f>_xll.EVDES(D518)</f>
        <v>Total Tenant Revenues</v>
      </c>
      <c r="G518" s="61">
        <f ca="1">SUMIFS(OFFSET('BPC Data'!$F:$F,0,Summary!G$2),'BPC Data'!$E:$E,Summary!$D518,'BPC Data'!$B:$B,Summary!$C518)</f>
        <v>0</v>
      </c>
      <c r="H518" s="65">
        <f ca="1">SUMIFS(OFFSET('BPC Data'!$F:$F,0,Summary!H$2),'BPC Data'!$E:$E,Summary!$D518,'BPC Data'!$B:$B,Summary!$C518)</f>
        <v>0</v>
      </c>
      <c r="I518" s="61">
        <f ca="1">SUMIFS(OFFSET('BPC Data'!$F:$F,0,Summary!I$2),'BPC Data'!$E:$E,Summary!$D518,'BPC Data'!$B:$B,Summary!$C518)</f>
        <v>0</v>
      </c>
      <c r="J518" s="65">
        <f ca="1">SUMIFS(OFFSET('BPC Data'!$F:$F,0,Summary!J$2),'BPC Data'!$E:$E,Summary!$D518,'BPC Data'!$B:$B,Summary!$C518)</f>
        <v>0</v>
      </c>
      <c r="K518" s="61">
        <f ca="1">SUMIFS(OFFSET('BPC Data'!$F:$F,0,Summary!K$2),'BPC Data'!$E:$E,Summary!$D518,'BPC Data'!$B:$B,Summary!$C518)</f>
        <v>0</v>
      </c>
      <c r="L518" s="65">
        <f ca="1">SUMIFS(OFFSET('BPC Data'!$F:$F,0,Summary!L$2),'BPC Data'!$E:$E,Summary!$D518,'BPC Data'!$B:$B,Summary!$C518)</f>
        <v>0</v>
      </c>
      <c r="M518" s="61">
        <f ca="1">SUMIFS(OFFSET('BPC Data'!$F:$F,0,Summary!M$2),'BPC Data'!$E:$E,Summary!$D518,'BPC Data'!$B:$B,Summary!$C518)</f>
        <v>0</v>
      </c>
      <c r="N518" s="65">
        <f ca="1">SUMIFS(OFFSET('BPC Data'!$F:$F,0,Summary!N$2),'BPC Data'!$E:$E,Summary!$D518,'BPC Data'!$B:$B,Summary!$C518)</f>
        <v>0</v>
      </c>
      <c r="O518" s="61">
        <f ca="1">SUMIFS(OFFSET('BPC Data'!$F:$F,0,Summary!O$2),'BPC Data'!$E:$E,Summary!$D518,'BPC Data'!$B:$B,Summary!$C518)</f>
        <v>0</v>
      </c>
      <c r="P518" s="65">
        <f ca="1">SUMIFS(OFFSET('BPC Data'!$F:$F,0,Summary!P$2),'BPC Data'!$E:$E,Summary!$D518,'BPC Data'!$B:$B,Summary!$C518)</f>
        <v>0</v>
      </c>
      <c r="Q518" s="61">
        <f ca="1">SUMIFS(OFFSET('BPC Data'!$F:$F,0,Summary!Q$2),'BPC Data'!$E:$E,Summary!$D518,'BPC Data'!$B:$B,Summary!$C518)</f>
        <v>0</v>
      </c>
      <c r="R518" s="65">
        <f ca="1">SUMIFS(OFFSET('BPC Data'!$F:$F,0,Summary!R$2),'BPC Data'!$E:$E,Summary!$D518,'BPC Data'!$B:$B,Summary!$C518)</f>
        <v>0</v>
      </c>
      <c r="S518" s="23"/>
      <c r="T518" s="76"/>
      <c r="AJ518" s="49"/>
      <c r="AK518" s="49"/>
      <c r="AL518" s="49"/>
      <c r="AM518" s="49"/>
      <c r="AN518" s="49"/>
      <c r="AO518" s="49"/>
      <c r="AP518" s="49"/>
      <c r="AQ518" s="49"/>
      <c r="AR518" s="49"/>
      <c r="AS518" s="49"/>
      <c r="AT518" s="49"/>
      <c r="AU518" s="49"/>
    </row>
    <row r="519" spans="1:47" s="12" customFormat="1" hidden="1" outlineLevel="1">
      <c r="A519" s="12">
        <f t="shared" si="471"/>
        <v>47</v>
      </c>
      <c r="B519"/>
      <c r="C519">
        <f>$F515</f>
        <v>0</v>
      </c>
      <c r="D519" s="3" t="str">
        <f t="shared" si="466"/>
        <v>T_OPEX - Tenant Operating Expenses</v>
      </c>
      <c r="E519"/>
      <c r="F519" s="19" t="str">
        <f>_xll.EVDES(D519)</f>
        <v>Tenant Operating Expenses</v>
      </c>
      <c r="G519" s="61">
        <f ca="1">SUMIFS(OFFSET('BPC Data'!$F:$F,0,Summary!G$2),'BPC Data'!$E:$E,Summary!$D519,'BPC Data'!$B:$B,Summary!$C519)</f>
        <v>0</v>
      </c>
      <c r="H519" s="65">
        <f ca="1">SUMIFS(OFFSET('BPC Data'!$F:$F,0,Summary!H$2),'BPC Data'!$E:$E,Summary!$D519,'BPC Data'!$B:$B,Summary!$C519)</f>
        <v>0</v>
      </c>
      <c r="I519" s="61">
        <f ca="1">SUMIFS(OFFSET('BPC Data'!$F:$F,0,Summary!I$2),'BPC Data'!$E:$E,Summary!$D519,'BPC Data'!$B:$B,Summary!$C519)</f>
        <v>0</v>
      </c>
      <c r="J519" s="65">
        <f ca="1">SUMIFS(OFFSET('BPC Data'!$F:$F,0,Summary!J$2),'BPC Data'!$E:$E,Summary!$D519,'BPC Data'!$B:$B,Summary!$C519)</f>
        <v>0</v>
      </c>
      <c r="K519" s="61">
        <f ca="1">SUMIFS(OFFSET('BPC Data'!$F:$F,0,Summary!K$2),'BPC Data'!$E:$E,Summary!$D519,'BPC Data'!$B:$B,Summary!$C519)</f>
        <v>0</v>
      </c>
      <c r="L519" s="65">
        <f ca="1">SUMIFS(OFFSET('BPC Data'!$F:$F,0,Summary!L$2),'BPC Data'!$E:$E,Summary!$D519,'BPC Data'!$B:$B,Summary!$C519)</f>
        <v>0</v>
      </c>
      <c r="M519" s="61">
        <f ca="1">SUMIFS(OFFSET('BPC Data'!$F:$F,0,Summary!M$2),'BPC Data'!$E:$E,Summary!$D519,'BPC Data'!$B:$B,Summary!$C519)</f>
        <v>0</v>
      </c>
      <c r="N519" s="65">
        <f ca="1">SUMIFS(OFFSET('BPC Data'!$F:$F,0,Summary!N$2),'BPC Data'!$E:$E,Summary!$D519,'BPC Data'!$B:$B,Summary!$C519)</f>
        <v>0</v>
      </c>
      <c r="O519" s="61">
        <f ca="1">SUMIFS(OFFSET('BPC Data'!$F:$F,0,Summary!O$2),'BPC Data'!$E:$E,Summary!$D519,'BPC Data'!$B:$B,Summary!$C519)</f>
        <v>0</v>
      </c>
      <c r="P519" s="65">
        <f ca="1">SUMIFS(OFFSET('BPC Data'!$F:$F,0,Summary!P$2),'BPC Data'!$E:$E,Summary!$D519,'BPC Data'!$B:$B,Summary!$C519)</f>
        <v>0</v>
      </c>
      <c r="Q519" s="61">
        <f ca="1">SUMIFS(OFFSET('BPC Data'!$F:$F,0,Summary!Q$2),'BPC Data'!$E:$E,Summary!$D519,'BPC Data'!$B:$B,Summary!$C519)</f>
        <v>0</v>
      </c>
      <c r="R519" s="65">
        <f ca="1">SUMIFS(OFFSET('BPC Data'!$F:$F,0,Summary!R$2),'BPC Data'!$E:$E,Summary!$D519,'BPC Data'!$B:$B,Summary!$C519)</f>
        <v>0</v>
      </c>
      <c r="S519" s="23"/>
      <c r="T519" s="76"/>
      <c r="AJ519" s="49"/>
      <c r="AK519" s="49"/>
      <c r="AL519" s="49"/>
      <c r="AM519" s="49"/>
      <c r="AN519" s="49"/>
      <c r="AO519" s="49"/>
      <c r="AP519" s="49"/>
      <c r="AQ519" s="49"/>
      <c r="AR519" s="49"/>
      <c r="AS519" s="49"/>
      <c r="AT519" s="49"/>
      <c r="AU519" s="49"/>
    </row>
    <row r="520" spans="1:47" s="12" customFormat="1" hidden="1" outlineLevel="1">
      <c r="A520" s="12">
        <f t="shared" si="471"/>
        <v>47</v>
      </c>
      <c r="B520"/>
      <c r="C520">
        <f>$F515</f>
        <v>0</v>
      </c>
      <c r="D520" s="3" t="str">
        <f t="shared" si="466"/>
        <v>T_BAD_DEBT - Tenant Bad Debt Expense</v>
      </c>
      <c r="E520"/>
      <c r="F520" s="19" t="str">
        <f>_xll.EVDES(D520)</f>
        <v>Tenant Bad Debt Expense</v>
      </c>
      <c r="G520" s="61">
        <f ca="1">SUMIFS(OFFSET('BPC Data'!$F:$F,0,Summary!G$2),'BPC Data'!$E:$E,Summary!$D520,'BPC Data'!$B:$B,Summary!$C520)</f>
        <v>0</v>
      </c>
      <c r="H520" s="65">
        <f ca="1">SUMIFS(OFFSET('BPC Data'!$F:$F,0,Summary!H$2),'BPC Data'!$E:$E,Summary!$D520,'BPC Data'!$B:$B,Summary!$C520)</f>
        <v>0</v>
      </c>
      <c r="I520" s="61">
        <f ca="1">SUMIFS(OFFSET('BPC Data'!$F:$F,0,Summary!I$2),'BPC Data'!$E:$E,Summary!$D520,'BPC Data'!$B:$B,Summary!$C520)</f>
        <v>0</v>
      </c>
      <c r="J520" s="65">
        <f ca="1">SUMIFS(OFFSET('BPC Data'!$F:$F,0,Summary!J$2),'BPC Data'!$E:$E,Summary!$D520,'BPC Data'!$B:$B,Summary!$C520)</f>
        <v>0</v>
      </c>
      <c r="K520" s="61">
        <f ca="1">SUMIFS(OFFSET('BPC Data'!$F:$F,0,Summary!K$2),'BPC Data'!$E:$E,Summary!$D520,'BPC Data'!$B:$B,Summary!$C520)</f>
        <v>0</v>
      </c>
      <c r="L520" s="65">
        <f ca="1">SUMIFS(OFFSET('BPC Data'!$F:$F,0,Summary!L$2),'BPC Data'!$E:$E,Summary!$D520,'BPC Data'!$B:$B,Summary!$C520)</f>
        <v>0</v>
      </c>
      <c r="M520" s="61">
        <f ca="1">SUMIFS(OFFSET('BPC Data'!$F:$F,0,Summary!M$2),'BPC Data'!$E:$E,Summary!$D520,'BPC Data'!$B:$B,Summary!$C520)</f>
        <v>0</v>
      </c>
      <c r="N520" s="65">
        <f ca="1">SUMIFS(OFFSET('BPC Data'!$F:$F,0,Summary!N$2),'BPC Data'!$E:$E,Summary!$D520,'BPC Data'!$B:$B,Summary!$C520)</f>
        <v>0</v>
      </c>
      <c r="O520" s="61">
        <f ca="1">SUMIFS(OFFSET('BPC Data'!$F:$F,0,Summary!O$2),'BPC Data'!$E:$E,Summary!$D520,'BPC Data'!$B:$B,Summary!$C520)</f>
        <v>0</v>
      </c>
      <c r="P520" s="65">
        <f ca="1">SUMIFS(OFFSET('BPC Data'!$F:$F,0,Summary!P$2),'BPC Data'!$E:$E,Summary!$D520,'BPC Data'!$B:$B,Summary!$C520)</f>
        <v>0</v>
      </c>
      <c r="Q520" s="61">
        <f ca="1">SUMIFS(OFFSET('BPC Data'!$F:$F,0,Summary!Q$2),'BPC Data'!$E:$E,Summary!$D520,'BPC Data'!$B:$B,Summary!$C520)</f>
        <v>0</v>
      </c>
      <c r="R520" s="65">
        <f ca="1">SUMIFS(OFFSET('BPC Data'!$F:$F,0,Summary!R$2),'BPC Data'!$E:$E,Summary!$D520,'BPC Data'!$B:$B,Summary!$C520)</f>
        <v>0</v>
      </c>
      <c r="S520" s="23"/>
      <c r="T520" s="76"/>
      <c r="AJ520" s="49"/>
      <c r="AK520" s="49"/>
      <c r="AL520" s="49"/>
      <c r="AM520" s="49"/>
      <c r="AN520" s="49"/>
      <c r="AO520" s="49"/>
      <c r="AP520" s="49"/>
      <c r="AQ520" s="49"/>
      <c r="AR520" s="49"/>
      <c r="AS520" s="49"/>
      <c r="AT520" s="49"/>
      <c r="AU520" s="49"/>
    </row>
    <row r="521" spans="1:47" s="12" customFormat="1" hidden="1" outlineLevel="1">
      <c r="A521" s="12">
        <f t="shared" si="471"/>
        <v>47</v>
      </c>
      <c r="B521"/>
      <c r="C521">
        <f>$F515</f>
        <v>0</v>
      </c>
      <c r="D521" s="2" t="str">
        <f t="shared" si="466"/>
        <v>T_EBITDARM - EBITDARM</v>
      </c>
      <c r="E521"/>
      <c r="F521" s="19" t="str">
        <f>_xll.EVDES(D521)</f>
        <v>EBITDARM</v>
      </c>
      <c r="G521" s="61">
        <f ca="1">SUMIFS(OFFSET('BPC Data'!$F:$F,0,Summary!G$2),'BPC Data'!$E:$E,Summary!$D521,'BPC Data'!$B:$B,Summary!$C521)</f>
        <v>0</v>
      </c>
      <c r="H521" s="65">
        <f ca="1">SUMIFS(OFFSET('BPC Data'!$F:$F,0,Summary!H$2),'BPC Data'!$E:$E,Summary!$D521,'BPC Data'!$B:$B,Summary!$C521)</f>
        <v>0</v>
      </c>
      <c r="I521" s="61">
        <f ca="1">SUMIFS(OFFSET('BPC Data'!$F:$F,0,Summary!I$2),'BPC Data'!$E:$E,Summary!$D521,'BPC Data'!$B:$B,Summary!$C521)</f>
        <v>0</v>
      </c>
      <c r="J521" s="65">
        <f ca="1">SUMIFS(OFFSET('BPC Data'!$F:$F,0,Summary!J$2),'BPC Data'!$E:$E,Summary!$D521,'BPC Data'!$B:$B,Summary!$C521)</f>
        <v>0</v>
      </c>
      <c r="K521" s="61">
        <f ca="1">SUMIFS(OFFSET('BPC Data'!$F:$F,0,Summary!K$2),'BPC Data'!$E:$E,Summary!$D521,'BPC Data'!$B:$B,Summary!$C521)</f>
        <v>0</v>
      </c>
      <c r="L521" s="65">
        <f ca="1">SUMIFS(OFFSET('BPC Data'!$F:$F,0,Summary!L$2),'BPC Data'!$E:$E,Summary!$D521,'BPC Data'!$B:$B,Summary!$C521)</f>
        <v>0</v>
      </c>
      <c r="M521" s="61">
        <f ca="1">SUMIFS(OFFSET('BPC Data'!$F:$F,0,Summary!M$2),'BPC Data'!$E:$E,Summary!$D521,'BPC Data'!$B:$B,Summary!$C521)</f>
        <v>0</v>
      </c>
      <c r="N521" s="65">
        <f ca="1">SUMIFS(OFFSET('BPC Data'!$F:$F,0,Summary!N$2),'BPC Data'!$E:$E,Summary!$D521,'BPC Data'!$B:$B,Summary!$C521)</f>
        <v>0</v>
      </c>
      <c r="O521" s="61">
        <f ca="1">SUMIFS(OFFSET('BPC Data'!$F:$F,0,Summary!O$2),'BPC Data'!$E:$E,Summary!$D521,'BPC Data'!$B:$B,Summary!$C521)</f>
        <v>0</v>
      </c>
      <c r="P521" s="65">
        <f ca="1">SUMIFS(OFFSET('BPC Data'!$F:$F,0,Summary!P$2),'BPC Data'!$E:$E,Summary!$D521,'BPC Data'!$B:$B,Summary!$C521)</f>
        <v>0</v>
      </c>
      <c r="Q521" s="61">
        <f ca="1">SUMIFS(OFFSET('BPC Data'!$F:$F,0,Summary!Q$2),'BPC Data'!$E:$E,Summary!$D521,'BPC Data'!$B:$B,Summary!$C521)</f>
        <v>0</v>
      </c>
      <c r="R521" s="65">
        <f ca="1">SUMIFS(OFFSET('BPC Data'!$F:$F,0,Summary!R$2),'BPC Data'!$E:$E,Summary!$D521,'BPC Data'!$B:$B,Summary!$C521)</f>
        <v>0</v>
      </c>
      <c r="S521" s="23"/>
      <c r="T521" s="76"/>
      <c r="AJ521" s="49"/>
      <c r="AK521" s="49"/>
      <c r="AL521" s="49"/>
      <c r="AM521" s="49"/>
      <c r="AN521" s="49"/>
      <c r="AO521" s="49"/>
      <c r="AP521" s="49"/>
      <c r="AQ521" s="49"/>
      <c r="AR521" s="49"/>
      <c r="AS521" s="49"/>
      <c r="AT521" s="49"/>
      <c r="AU521" s="49"/>
    </row>
    <row r="522" spans="1:47" s="12" customFormat="1" hidden="1" outlineLevel="1">
      <c r="A522" s="12">
        <f t="shared" si="471"/>
        <v>47</v>
      </c>
      <c r="B522"/>
      <c r="C522">
        <f>$F515</f>
        <v>0</v>
      </c>
      <c r="D522" s="2" t="str">
        <f t="shared" si="466"/>
        <v>T_MGMT_FEE - Tenant Management Fee - Actual</v>
      </c>
      <c r="E522"/>
      <c r="F522" s="19" t="str">
        <f>_xll.EVDES(D522)</f>
        <v>Tenant Management Fee - Actual</v>
      </c>
      <c r="G522" s="61">
        <f ca="1">SUMIFS(OFFSET('BPC Data'!$F:$F,0,Summary!G$2),'BPC Data'!$E:$E,Summary!$D522,'BPC Data'!$B:$B,Summary!$C522)</f>
        <v>0</v>
      </c>
      <c r="H522" s="65">
        <f ca="1">SUMIFS(OFFSET('BPC Data'!$F:$F,0,Summary!H$2),'BPC Data'!$E:$E,Summary!$D522,'BPC Data'!$B:$B,Summary!$C522)</f>
        <v>0</v>
      </c>
      <c r="I522" s="61">
        <f ca="1">SUMIFS(OFFSET('BPC Data'!$F:$F,0,Summary!I$2),'BPC Data'!$E:$E,Summary!$D522,'BPC Data'!$B:$B,Summary!$C522)</f>
        <v>0</v>
      </c>
      <c r="J522" s="65">
        <f ca="1">SUMIFS(OFFSET('BPC Data'!$F:$F,0,Summary!J$2),'BPC Data'!$E:$E,Summary!$D522,'BPC Data'!$B:$B,Summary!$C522)</f>
        <v>0</v>
      </c>
      <c r="K522" s="61">
        <f ca="1">SUMIFS(OFFSET('BPC Data'!$F:$F,0,Summary!K$2),'BPC Data'!$E:$E,Summary!$D522,'BPC Data'!$B:$B,Summary!$C522)</f>
        <v>0</v>
      </c>
      <c r="L522" s="65">
        <f ca="1">SUMIFS(OFFSET('BPC Data'!$F:$F,0,Summary!L$2),'BPC Data'!$E:$E,Summary!$D522,'BPC Data'!$B:$B,Summary!$C522)</f>
        <v>0</v>
      </c>
      <c r="M522" s="61">
        <f ca="1">SUMIFS(OFFSET('BPC Data'!$F:$F,0,Summary!M$2),'BPC Data'!$E:$E,Summary!$D522,'BPC Data'!$B:$B,Summary!$C522)</f>
        <v>0</v>
      </c>
      <c r="N522" s="65">
        <f ca="1">SUMIFS(OFFSET('BPC Data'!$F:$F,0,Summary!N$2),'BPC Data'!$E:$E,Summary!$D522,'BPC Data'!$B:$B,Summary!$C522)</f>
        <v>0</v>
      </c>
      <c r="O522" s="61">
        <f ca="1">SUMIFS(OFFSET('BPC Data'!$F:$F,0,Summary!O$2),'BPC Data'!$E:$E,Summary!$D522,'BPC Data'!$B:$B,Summary!$C522)</f>
        <v>0</v>
      </c>
      <c r="P522" s="65">
        <f ca="1">SUMIFS(OFFSET('BPC Data'!$F:$F,0,Summary!P$2),'BPC Data'!$E:$E,Summary!$D522,'BPC Data'!$B:$B,Summary!$C522)</f>
        <v>0</v>
      </c>
      <c r="Q522" s="61">
        <f ca="1">SUMIFS(OFFSET('BPC Data'!$F:$F,0,Summary!Q$2),'BPC Data'!$E:$E,Summary!$D522,'BPC Data'!$B:$B,Summary!$C522)</f>
        <v>0</v>
      </c>
      <c r="R522" s="65">
        <f ca="1">SUMIFS(OFFSET('BPC Data'!$F:$F,0,Summary!R$2),'BPC Data'!$E:$E,Summary!$D522,'BPC Data'!$B:$B,Summary!$C522)</f>
        <v>0</v>
      </c>
      <c r="S522" s="23"/>
      <c r="T522" s="76"/>
      <c r="AJ522" s="49"/>
      <c r="AK522" s="49"/>
      <c r="AL522" s="49"/>
      <c r="AM522" s="49"/>
      <c r="AN522" s="49"/>
      <c r="AO522" s="49"/>
      <c r="AP522" s="49"/>
      <c r="AQ522" s="49"/>
      <c r="AR522" s="49"/>
      <c r="AS522" s="49"/>
      <c r="AT522" s="49"/>
      <c r="AU522" s="49"/>
    </row>
    <row r="523" spans="1:47" s="12" customFormat="1" hidden="1" outlineLevel="1">
      <c r="A523" s="12">
        <f t="shared" si="471"/>
        <v>47</v>
      </c>
      <c r="B523"/>
      <c r="C523">
        <f>$F515</f>
        <v>0</v>
      </c>
      <c r="D523" s="1" t="str">
        <f t="shared" si="466"/>
        <v>T_EBITDAR - EBITDAR</v>
      </c>
      <c r="E523"/>
      <c r="F523" s="19" t="str">
        <f>_xll.EVDES(D523)</f>
        <v>EBITDAR</v>
      </c>
      <c r="G523" s="61">
        <f ca="1">SUMIFS(OFFSET('BPC Data'!$F:$F,0,Summary!G$2),'BPC Data'!$E:$E,Summary!$D523,'BPC Data'!$B:$B,Summary!$C523)</f>
        <v>0</v>
      </c>
      <c r="H523" s="65">
        <f ca="1">SUMIFS(OFFSET('BPC Data'!$F:$F,0,Summary!H$2),'BPC Data'!$E:$E,Summary!$D523,'BPC Data'!$B:$B,Summary!$C523)</f>
        <v>0</v>
      </c>
      <c r="I523" s="61">
        <f ca="1">SUMIFS(OFFSET('BPC Data'!$F:$F,0,Summary!I$2),'BPC Data'!$E:$E,Summary!$D523,'BPC Data'!$B:$B,Summary!$C523)</f>
        <v>0</v>
      </c>
      <c r="J523" s="65">
        <f ca="1">SUMIFS(OFFSET('BPC Data'!$F:$F,0,Summary!J$2),'BPC Data'!$E:$E,Summary!$D523,'BPC Data'!$B:$B,Summary!$C523)</f>
        <v>0</v>
      </c>
      <c r="K523" s="61">
        <f ca="1">SUMIFS(OFFSET('BPC Data'!$F:$F,0,Summary!K$2),'BPC Data'!$E:$E,Summary!$D523,'BPC Data'!$B:$B,Summary!$C523)</f>
        <v>0</v>
      </c>
      <c r="L523" s="65">
        <f ca="1">SUMIFS(OFFSET('BPC Data'!$F:$F,0,Summary!L$2),'BPC Data'!$E:$E,Summary!$D523,'BPC Data'!$B:$B,Summary!$C523)</f>
        <v>0</v>
      </c>
      <c r="M523" s="61">
        <f ca="1">SUMIFS(OFFSET('BPC Data'!$F:$F,0,Summary!M$2),'BPC Data'!$E:$E,Summary!$D523,'BPC Data'!$B:$B,Summary!$C523)</f>
        <v>0</v>
      </c>
      <c r="N523" s="65">
        <f ca="1">SUMIFS(OFFSET('BPC Data'!$F:$F,0,Summary!N$2),'BPC Data'!$E:$E,Summary!$D523,'BPC Data'!$B:$B,Summary!$C523)</f>
        <v>0</v>
      </c>
      <c r="O523" s="61">
        <f ca="1">SUMIFS(OFFSET('BPC Data'!$F:$F,0,Summary!O$2),'BPC Data'!$E:$E,Summary!$D523,'BPC Data'!$B:$B,Summary!$C523)</f>
        <v>0</v>
      </c>
      <c r="P523" s="65">
        <f ca="1">SUMIFS(OFFSET('BPC Data'!$F:$F,0,Summary!P$2),'BPC Data'!$E:$E,Summary!$D523,'BPC Data'!$B:$B,Summary!$C523)</f>
        <v>0</v>
      </c>
      <c r="Q523" s="61">
        <f ca="1">SUMIFS(OFFSET('BPC Data'!$F:$F,0,Summary!Q$2),'BPC Data'!$E:$E,Summary!$D523,'BPC Data'!$B:$B,Summary!$C523)</f>
        <v>0</v>
      </c>
      <c r="R523" s="65">
        <f ca="1">SUMIFS(OFFSET('BPC Data'!$F:$F,0,Summary!R$2),'BPC Data'!$E:$E,Summary!$D523,'BPC Data'!$B:$B,Summary!$C523)</f>
        <v>0</v>
      </c>
      <c r="S523" s="23"/>
      <c r="T523" s="76"/>
      <c r="AJ523" s="49"/>
      <c r="AK523" s="49"/>
      <c r="AL523" s="49"/>
      <c r="AM523" s="49"/>
      <c r="AN523" s="49"/>
      <c r="AO523" s="49"/>
      <c r="AP523" s="49"/>
      <c r="AQ523" s="49"/>
      <c r="AR523" s="49"/>
      <c r="AS523" s="49"/>
      <c r="AT523" s="49"/>
      <c r="AU523" s="49"/>
    </row>
    <row r="524" spans="1:47" s="12" customFormat="1" hidden="1" outlineLevel="1">
      <c r="A524" s="12">
        <f t="shared" si="471"/>
        <v>47</v>
      </c>
      <c r="B524"/>
      <c r="C524">
        <f>$F515</f>
        <v>0</v>
      </c>
      <c r="D524" s="1" t="str">
        <f t="shared" si="466"/>
        <v>T_RENT_EXP - Tenant Rent Expense</v>
      </c>
      <c r="E524"/>
      <c r="F524" s="19" t="str">
        <f>_xll.EVDES(D524)</f>
        <v>Tenant Rent Expense</v>
      </c>
      <c r="G524" s="61">
        <f ca="1">SUMIFS(OFFSET('BPC Data'!$F:$F,0,Summary!G$2),'BPC Data'!$E:$E,Summary!$D524,'BPC Data'!$B:$B,Summary!$C524)</f>
        <v>0</v>
      </c>
      <c r="H524" s="65">
        <f ca="1">SUMIFS(OFFSET('BPC Data'!$F:$F,0,Summary!H$2),'BPC Data'!$E:$E,Summary!$D524,'BPC Data'!$B:$B,Summary!$C524)</f>
        <v>0</v>
      </c>
      <c r="I524" s="61">
        <f ca="1">SUMIFS(OFFSET('BPC Data'!$F:$F,0,Summary!I$2),'BPC Data'!$E:$E,Summary!$D524,'BPC Data'!$B:$B,Summary!$C524)</f>
        <v>0</v>
      </c>
      <c r="J524" s="65">
        <f ca="1">SUMIFS(OFFSET('BPC Data'!$F:$F,0,Summary!J$2),'BPC Data'!$E:$E,Summary!$D524,'BPC Data'!$B:$B,Summary!$C524)</f>
        <v>0</v>
      </c>
      <c r="K524" s="61">
        <f ca="1">SUMIFS(OFFSET('BPC Data'!$F:$F,0,Summary!K$2),'BPC Data'!$E:$E,Summary!$D524,'BPC Data'!$B:$B,Summary!$C524)</f>
        <v>0</v>
      </c>
      <c r="L524" s="65">
        <f ca="1">SUMIFS(OFFSET('BPC Data'!$F:$F,0,Summary!L$2),'BPC Data'!$E:$E,Summary!$D524,'BPC Data'!$B:$B,Summary!$C524)</f>
        <v>0</v>
      </c>
      <c r="M524" s="61">
        <f ca="1">SUMIFS(OFFSET('BPC Data'!$F:$F,0,Summary!M$2),'BPC Data'!$E:$E,Summary!$D524,'BPC Data'!$B:$B,Summary!$C524)</f>
        <v>0</v>
      </c>
      <c r="N524" s="65">
        <f ca="1">SUMIFS(OFFSET('BPC Data'!$F:$F,0,Summary!N$2),'BPC Data'!$E:$E,Summary!$D524,'BPC Data'!$B:$B,Summary!$C524)</f>
        <v>0</v>
      </c>
      <c r="O524" s="61">
        <f ca="1">SUMIFS(OFFSET('BPC Data'!$F:$F,0,Summary!O$2),'BPC Data'!$E:$E,Summary!$D524,'BPC Data'!$B:$B,Summary!$C524)</f>
        <v>0</v>
      </c>
      <c r="P524" s="65">
        <f ca="1">SUMIFS(OFFSET('BPC Data'!$F:$F,0,Summary!P$2),'BPC Data'!$E:$E,Summary!$D524,'BPC Data'!$B:$B,Summary!$C524)</f>
        <v>0</v>
      </c>
      <c r="Q524" s="61">
        <f ca="1">SUMIFS(OFFSET('BPC Data'!$F:$F,0,Summary!Q$2),'BPC Data'!$E:$E,Summary!$D524,'BPC Data'!$B:$B,Summary!$C524)</f>
        <v>0</v>
      </c>
      <c r="R524" s="65">
        <f ca="1">SUMIFS(OFFSET('BPC Data'!$F:$F,0,Summary!R$2),'BPC Data'!$E:$E,Summary!$D524,'BPC Data'!$B:$B,Summary!$C524)</f>
        <v>0</v>
      </c>
      <c r="S524" s="23"/>
      <c r="T524" s="76"/>
      <c r="AJ524" s="49"/>
      <c r="AK524" s="49"/>
      <c r="AL524" s="49"/>
      <c r="AM524" s="49"/>
      <c r="AN524" s="49"/>
      <c r="AO524" s="49"/>
      <c r="AP524" s="49"/>
      <c r="AQ524" s="49"/>
      <c r="AR524" s="49"/>
      <c r="AS524" s="49"/>
      <c r="AT524" s="49"/>
      <c r="AU524" s="49"/>
    </row>
    <row r="525" spans="1:47" s="12" customFormat="1" hidden="1" outlineLevel="1">
      <c r="A525" s="12">
        <f t="shared" si="471"/>
        <v>47</v>
      </c>
      <c r="B525"/>
      <c r="C525"/>
      <c r="D525" s="1" t="str">
        <f t="shared" si="466"/>
        <v>x</v>
      </c>
      <c r="E525"/>
      <c r="F525" s="19" t="s">
        <v>0</v>
      </c>
      <c r="G525" s="61">
        <f ca="1">SUMIFS(OFFSET('BPC Data'!$F:$F,0,Summary!G$2),'BPC Data'!$E:$E,Summary!$D525,'BPC Data'!$B:$B,Summary!$C525)</f>
        <v>0</v>
      </c>
      <c r="H525" s="65">
        <f ca="1">SUMIFS(OFFSET('BPC Data'!$F:$F,0,Summary!H$2),'BPC Data'!$E:$E,Summary!$D525,'BPC Data'!$B:$B,Summary!$C525)</f>
        <v>0</v>
      </c>
      <c r="I525" s="61">
        <f ca="1">SUMIFS(OFFSET('BPC Data'!$F:$F,0,Summary!I$2),'BPC Data'!$E:$E,Summary!$D525,'BPC Data'!$B:$B,Summary!$C525)</f>
        <v>0</v>
      </c>
      <c r="J525" s="65">
        <f ca="1">SUMIFS(OFFSET('BPC Data'!$F:$F,0,Summary!J$2),'BPC Data'!$E:$E,Summary!$D525,'BPC Data'!$B:$B,Summary!$C525)</f>
        <v>0</v>
      </c>
      <c r="K525" s="61">
        <f ca="1">SUMIFS(OFFSET('BPC Data'!$F:$F,0,Summary!K$2),'BPC Data'!$E:$E,Summary!$D525,'BPC Data'!$B:$B,Summary!$C525)</f>
        <v>0</v>
      </c>
      <c r="L525" s="65">
        <f ca="1">SUMIFS(OFFSET('BPC Data'!$F:$F,0,Summary!L$2),'BPC Data'!$E:$E,Summary!$D525,'BPC Data'!$B:$B,Summary!$C525)</f>
        <v>0</v>
      </c>
      <c r="M525" s="61">
        <f ca="1">SUMIFS(OFFSET('BPC Data'!$F:$F,0,Summary!M$2),'BPC Data'!$E:$E,Summary!$D525,'BPC Data'!$B:$B,Summary!$C525)</f>
        <v>0</v>
      </c>
      <c r="N525" s="65">
        <f ca="1">SUMIFS(OFFSET('BPC Data'!$F:$F,0,Summary!N$2),'BPC Data'!$E:$E,Summary!$D525,'BPC Data'!$B:$B,Summary!$C525)</f>
        <v>0</v>
      </c>
      <c r="O525" s="61">
        <f ca="1">SUMIFS(OFFSET('BPC Data'!$F:$F,0,Summary!O$2),'BPC Data'!$E:$E,Summary!$D525,'BPC Data'!$B:$B,Summary!$C525)</f>
        <v>0</v>
      </c>
      <c r="P525" s="65">
        <f ca="1">SUMIFS(OFFSET('BPC Data'!$F:$F,0,Summary!P$2),'BPC Data'!$E:$E,Summary!$D525,'BPC Data'!$B:$B,Summary!$C525)</f>
        <v>0</v>
      </c>
      <c r="Q525" s="61">
        <f ca="1">SUMIFS(OFFSET('BPC Data'!$F:$F,0,Summary!Q$2),'BPC Data'!$E:$E,Summary!$D525,'BPC Data'!$B:$B,Summary!$C525)</f>
        <v>0</v>
      </c>
      <c r="R525" s="65">
        <f ca="1">SUMIFS(OFFSET('BPC Data'!$F:$F,0,Summary!R$2),'BPC Data'!$E:$E,Summary!$D525,'BPC Data'!$B:$B,Summary!$C525)</f>
        <v>0</v>
      </c>
      <c r="S525" s="23"/>
      <c r="T525" s="76"/>
      <c r="AJ525" s="49"/>
      <c r="AK525" s="49"/>
      <c r="AL525" s="49"/>
      <c r="AM525" s="49"/>
      <c r="AN525" s="49"/>
      <c r="AO525" s="49"/>
      <c r="AP525" s="49"/>
      <c r="AQ525" s="49"/>
      <c r="AR525" s="49"/>
      <c r="AS525" s="49"/>
      <c r="AT525" s="49"/>
      <c r="AU525" s="49"/>
    </row>
    <row r="526" spans="1:47" s="12" customFormat="1" hidden="1" outlineLevel="1">
      <c r="A526" s="12">
        <f>IF(AND(D526&lt;&gt;"",C526=""),A525+1,A525)</f>
        <v>48</v>
      </c>
      <c r="B526" s="5"/>
      <c r="C526" s="5"/>
      <c r="D526" s="5" t="str">
        <f t="shared" si="466"/>
        <v>x</v>
      </c>
      <c r="E526" s="5"/>
      <c r="F526" s="18">
        <f>INDEX(PropertyList!$D:$D,MATCH(Summary!$A526,PropertyList!$C:$C,0))</f>
        <v>0</v>
      </c>
      <c r="G526" s="61">
        <f ca="1">SUMIFS(OFFSET('BPC Data'!$F:$F,0,Summary!G$2),'BPC Data'!$E:$E,Summary!$D526,'BPC Data'!$B:$B,Summary!$C526)</f>
        <v>0</v>
      </c>
      <c r="H526" s="65">
        <f ca="1">SUMIFS(OFFSET('BPC Data'!$F:$F,0,Summary!H$2),'BPC Data'!$E:$E,Summary!$D526,'BPC Data'!$B:$B,Summary!$C526)</f>
        <v>0</v>
      </c>
      <c r="I526" s="61">
        <f ca="1">SUMIFS(OFFSET('BPC Data'!$F:$F,0,Summary!I$2),'BPC Data'!$E:$E,Summary!$D526,'BPC Data'!$B:$B,Summary!$C526)</f>
        <v>0</v>
      </c>
      <c r="J526" s="65">
        <f ca="1">SUMIFS(OFFSET('BPC Data'!$F:$F,0,Summary!J$2),'BPC Data'!$E:$E,Summary!$D526,'BPC Data'!$B:$B,Summary!$C526)</f>
        <v>0</v>
      </c>
      <c r="K526" s="61">
        <f ca="1">SUMIFS(OFFSET('BPC Data'!$F:$F,0,Summary!K$2),'BPC Data'!$E:$E,Summary!$D526,'BPC Data'!$B:$B,Summary!$C526)</f>
        <v>0</v>
      </c>
      <c r="L526" s="65">
        <f ca="1">SUMIFS(OFFSET('BPC Data'!$F:$F,0,Summary!L$2),'BPC Data'!$E:$E,Summary!$D526,'BPC Data'!$B:$B,Summary!$C526)</f>
        <v>0</v>
      </c>
      <c r="M526" s="61">
        <f ca="1">SUMIFS(OFFSET('BPC Data'!$F:$F,0,Summary!M$2),'BPC Data'!$E:$E,Summary!$D526,'BPC Data'!$B:$B,Summary!$C526)</f>
        <v>0</v>
      </c>
      <c r="N526" s="65">
        <f ca="1">SUMIFS(OFFSET('BPC Data'!$F:$F,0,Summary!N$2),'BPC Data'!$E:$E,Summary!$D526,'BPC Data'!$B:$B,Summary!$C526)</f>
        <v>0</v>
      </c>
      <c r="O526" s="61">
        <f ca="1">SUMIFS(OFFSET('BPC Data'!$F:$F,0,Summary!O$2),'BPC Data'!$E:$E,Summary!$D526,'BPC Data'!$B:$B,Summary!$C526)</f>
        <v>0</v>
      </c>
      <c r="P526" s="65">
        <f ca="1">SUMIFS(OFFSET('BPC Data'!$F:$F,0,Summary!P$2),'BPC Data'!$E:$E,Summary!$D526,'BPC Data'!$B:$B,Summary!$C526)</f>
        <v>0</v>
      </c>
      <c r="Q526" s="61">
        <f ca="1">SUMIFS(OFFSET('BPC Data'!$F:$F,0,Summary!Q$2),'BPC Data'!$E:$E,Summary!$D526,'BPC Data'!$B:$B,Summary!$C526)</f>
        <v>0</v>
      </c>
      <c r="R526" s="65">
        <f ca="1">SUMIFS(OFFSET('BPC Data'!$F:$F,0,Summary!R$2),'BPC Data'!$E:$E,Summary!$D526,'BPC Data'!$B:$B,Summary!$C526)</f>
        <v>0</v>
      </c>
      <c r="S526" s="23"/>
      <c r="T526" s="76"/>
      <c r="AJ526" s="49"/>
      <c r="AK526" s="49"/>
      <c r="AL526" s="49"/>
      <c r="AM526" s="49"/>
      <c r="AN526" s="49"/>
      <c r="AO526" s="49"/>
      <c r="AP526" s="49"/>
      <c r="AQ526" s="49"/>
      <c r="AR526" s="49"/>
      <c r="AS526" s="49"/>
      <c r="AT526" s="49"/>
      <c r="AU526" s="49"/>
    </row>
    <row r="527" spans="1:47" s="12" customFormat="1" hidden="1" outlineLevel="1">
      <c r="A527" s="12">
        <f>IF(AND(F527&lt;&gt;"",D527=""),A526+1,A526)</f>
        <v>48</v>
      </c>
      <c r="C527">
        <f>$F526</f>
        <v>0</v>
      </c>
      <c r="D527" s="3" t="str">
        <f t="shared" si="466"/>
        <v>PAY_PAT_DAYS - Total Payor Patient Days</v>
      </c>
      <c r="F527" s="19" t="str">
        <f>_xll.EVDES(D527)</f>
        <v>Total Payor Patient Days</v>
      </c>
      <c r="G527" s="61">
        <f ca="1">SUMIFS(OFFSET('BPC Data'!$F:$F,0,Summary!G$2),'BPC Data'!$E:$E,Summary!$D527,'BPC Data'!$B:$B,Summary!$C527)</f>
        <v>0</v>
      </c>
      <c r="H527" s="65">
        <f ca="1">SUMIFS(OFFSET('BPC Data'!$F:$F,0,Summary!H$2),'BPC Data'!$E:$E,Summary!$D527,'BPC Data'!$B:$B,Summary!$C527)</f>
        <v>0</v>
      </c>
      <c r="I527" s="61">
        <f ca="1">SUMIFS(OFFSET('BPC Data'!$F:$F,0,Summary!I$2),'BPC Data'!$E:$E,Summary!$D527,'BPC Data'!$B:$B,Summary!$C527)</f>
        <v>0</v>
      </c>
      <c r="J527" s="65">
        <f ca="1">SUMIFS(OFFSET('BPC Data'!$F:$F,0,Summary!J$2),'BPC Data'!$E:$E,Summary!$D527,'BPC Data'!$B:$B,Summary!$C527)</f>
        <v>0</v>
      </c>
      <c r="K527" s="61">
        <f ca="1">SUMIFS(OFFSET('BPC Data'!$F:$F,0,Summary!K$2),'BPC Data'!$E:$E,Summary!$D527,'BPC Data'!$B:$B,Summary!$C527)</f>
        <v>0</v>
      </c>
      <c r="L527" s="65">
        <f ca="1">SUMIFS(OFFSET('BPC Data'!$F:$F,0,Summary!L$2),'BPC Data'!$E:$E,Summary!$D527,'BPC Data'!$B:$B,Summary!$C527)</f>
        <v>0</v>
      </c>
      <c r="M527" s="61">
        <f ca="1">SUMIFS(OFFSET('BPC Data'!$F:$F,0,Summary!M$2),'BPC Data'!$E:$E,Summary!$D527,'BPC Data'!$B:$B,Summary!$C527)</f>
        <v>0</v>
      </c>
      <c r="N527" s="65">
        <f ca="1">SUMIFS(OFFSET('BPC Data'!$F:$F,0,Summary!N$2),'BPC Data'!$E:$E,Summary!$D527,'BPC Data'!$B:$B,Summary!$C527)</f>
        <v>0</v>
      </c>
      <c r="O527" s="61">
        <f ca="1">SUMIFS(OFFSET('BPC Data'!$F:$F,0,Summary!O$2),'BPC Data'!$E:$E,Summary!$D527,'BPC Data'!$B:$B,Summary!$C527)</f>
        <v>0</v>
      </c>
      <c r="P527" s="65">
        <f ca="1">SUMIFS(OFFSET('BPC Data'!$F:$F,0,Summary!P$2),'BPC Data'!$E:$E,Summary!$D527,'BPC Data'!$B:$B,Summary!$C527)</f>
        <v>0</v>
      </c>
      <c r="Q527" s="61">
        <f ca="1">SUMIFS(OFFSET('BPC Data'!$F:$F,0,Summary!Q$2),'BPC Data'!$E:$E,Summary!$D527,'BPC Data'!$B:$B,Summary!$C527)</f>
        <v>0</v>
      </c>
      <c r="R527" s="65">
        <f ca="1">SUMIFS(OFFSET('BPC Data'!$F:$F,0,Summary!R$2),'BPC Data'!$E:$E,Summary!$D527,'BPC Data'!$B:$B,Summary!$C527)</f>
        <v>0</v>
      </c>
      <c r="S527" s="23"/>
      <c r="T527" s="76"/>
      <c r="AJ527" s="49"/>
      <c r="AK527" s="49"/>
      <c r="AL527" s="49"/>
      <c r="AM527" s="49"/>
      <c r="AN527" s="49"/>
      <c r="AO527" s="49"/>
      <c r="AP527" s="49"/>
      <c r="AQ527" s="49"/>
      <c r="AR527" s="49"/>
      <c r="AS527" s="49"/>
      <c r="AT527" s="49"/>
      <c r="AU527" s="49"/>
    </row>
    <row r="528" spans="1:47" s="12" customFormat="1" hidden="1" outlineLevel="1">
      <c r="A528" s="12">
        <f t="shared" ref="A528:A536" si="472">IF(AND(F528&lt;&gt;"",D528=""),A527+1,A527)</f>
        <v>48</v>
      </c>
      <c r="C528">
        <f>$F526</f>
        <v>0</v>
      </c>
      <c r="D528" s="3" t="str">
        <f t="shared" si="466"/>
        <v>A_BEDS_TOTAL - Total Available Beds</v>
      </c>
      <c r="F528" s="19" t="str">
        <f>_xll.EVDES(D528)</f>
        <v>Total Available Beds</v>
      </c>
      <c r="G528" s="61">
        <f ca="1">SUMIFS(OFFSET('BPC Data'!$F:$F,0,Summary!G$2),'BPC Data'!$E:$E,Summary!$D528,'BPC Data'!$B:$B,Summary!$C528)</f>
        <v>0</v>
      </c>
      <c r="H528" s="65">
        <f ca="1">SUMIFS(OFFSET('BPC Data'!$F:$F,0,Summary!H$2),'BPC Data'!$E:$E,Summary!$D528,'BPC Data'!$B:$B,Summary!$C528)</f>
        <v>0</v>
      </c>
      <c r="I528" s="61">
        <f ca="1">SUMIFS(OFFSET('BPC Data'!$F:$F,0,Summary!I$2),'BPC Data'!$E:$E,Summary!$D528,'BPC Data'!$B:$B,Summary!$C528)</f>
        <v>0</v>
      </c>
      <c r="J528" s="65">
        <f ca="1">SUMIFS(OFFSET('BPC Data'!$F:$F,0,Summary!J$2),'BPC Data'!$E:$E,Summary!$D528,'BPC Data'!$B:$B,Summary!$C528)</f>
        <v>0</v>
      </c>
      <c r="K528" s="61">
        <f ca="1">SUMIFS(OFFSET('BPC Data'!$F:$F,0,Summary!K$2),'BPC Data'!$E:$E,Summary!$D528,'BPC Data'!$B:$B,Summary!$C528)</f>
        <v>0</v>
      </c>
      <c r="L528" s="65">
        <f ca="1">SUMIFS(OFFSET('BPC Data'!$F:$F,0,Summary!L$2),'BPC Data'!$E:$E,Summary!$D528,'BPC Data'!$B:$B,Summary!$C528)</f>
        <v>0</v>
      </c>
      <c r="M528" s="61">
        <f ca="1">SUMIFS(OFFSET('BPC Data'!$F:$F,0,Summary!M$2),'BPC Data'!$E:$E,Summary!$D528,'BPC Data'!$B:$B,Summary!$C528)</f>
        <v>0</v>
      </c>
      <c r="N528" s="65">
        <f ca="1">SUMIFS(OFFSET('BPC Data'!$F:$F,0,Summary!N$2),'BPC Data'!$E:$E,Summary!$D528,'BPC Data'!$B:$B,Summary!$C528)</f>
        <v>0</v>
      </c>
      <c r="O528" s="61">
        <f ca="1">SUMIFS(OFFSET('BPC Data'!$F:$F,0,Summary!O$2),'BPC Data'!$E:$E,Summary!$D528,'BPC Data'!$B:$B,Summary!$C528)</f>
        <v>0</v>
      </c>
      <c r="P528" s="65">
        <f ca="1">SUMIFS(OFFSET('BPC Data'!$F:$F,0,Summary!P$2),'BPC Data'!$E:$E,Summary!$D528,'BPC Data'!$B:$B,Summary!$C528)</f>
        <v>0</v>
      </c>
      <c r="Q528" s="61">
        <f ca="1">SUMIFS(OFFSET('BPC Data'!$F:$F,0,Summary!Q$2),'BPC Data'!$E:$E,Summary!$D528,'BPC Data'!$B:$B,Summary!$C528)</f>
        <v>0</v>
      </c>
      <c r="R528" s="65">
        <f ca="1">SUMIFS(OFFSET('BPC Data'!$F:$F,0,Summary!R$2),'BPC Data'!$E:$E,Summary!$D528,'BPC Data'!$B:$B,Summary!$C528)</f>
        <v>0</v>
      </c>
      <c r="S528" s="23"/>
      <c r="T528" s="76"/>
      <c r="AJ528" s="49"/>
      <c r="AK528" s="49"/>
      <c r="AL528" s="49"/>
      <c r="AM528" s="49"/>
      <c r="AN528" s="49"/>
      <c r="AO528" s="49"/>
      <c r="AP528" s="49"/>
      <c r="AQ528" s="49"/>
      <c r="AR528" s="49"/>
      <c r="AS528" s="49"/>
      <c r="AT528" s="49"/>
      <c r="AU528" s="49"/>
    </row>
    <row r="529" spans="1:47" s="12" customFormat="1" hidden="1" outlineLevel="1">
      <c r="A529" s="12">
        <f t="shared" si="472"/>
        <v>48</v>
      </c>
      <c r="B529"/>
      <c r="C529">
        <f>$F526</f>
        <v>0</v>
      </c>
      <c r="D529" s="3" t="str">
        <f t="shared" si="466"/>
        <v>T_REVENUES - Total Tenant Revenues</v>
      </c>
      <c r="E529"/>
      <c r="F529" s="19" t="str">
        <f>_xll.EVDES(D529)</f>
        <v>Total Tenant Revenues</v>
      </c>
      <c r="G529" s="61">
        <f ca="1">SUMIFS(OFFSET('BPC Data'!$F:$F,0,Summary!G$2),'BPC Data'!$E:$E,Summary!$D529,'BPC Data'!$B:$B,Summary!$C529)</f>
        <v>0</v>
      </c>
      <c r="H529" s="65">
        <f ca="1">SUMIFS(OFFSET('BPC Data'!$F:$F,0,Summary!H$2),'BPC Data'!$E:$E,Summary!$D529,'BPC Data'!$B:$B,Summary!$C529)</f>
        <v>0</v>
      </c>
      <c r="I529" s="61">
        <f ca="1">SUMIFS(OFFSET('BPC Data'!$F:$F,0,Summary!I$2),'BPC Data'!$E:$E,Summary!$D529,'BPC Data'!$B:$B,Summary!$C529)</f>
        <v>0</v>
      </c>
      <c r="J529" s="65">
        <f ca="1">SUMIFS(OFFSET('BPC Data'!$F:$F,0,Summary!J$2),'BPC Data'!$E:$E,Summary!$D529,'BPC Data'!$B:$B,Summary!$C529)</f>
        <v>0</v>
      </c>
      <c r="K529" s="61">
        <f ca="1">SUMIFS(OFFSET('BPC Data'!$F:$F,0,Summary!K$2),'BPC Data'!$E:$E,Summary!$D529,'BPC Data'!$B:$B,Summary!$C529)</f>
        <v>0</v>
      </c>
      <c r="L529" s="65">
        <f ca="1">SUMIFS(OFFSET('BPC Data'!$F:$F,0,Summary!L$2),'BPC Data'!$E:$E,Summary!$D529,'BPC Data'!$B:$B,Summary!$C529)</f>
        <v>0</v>
      </c>
      <c r="M529" s="61">
        <f ca="1">SUMIFS(OFFSET('BPC Data'!$F:$F,0,Summary!M$2),'BPC Data'!$E:$E,Summary!$D529,'BPC Data'!$B:$B,Summary!$C529)</f>
        <v>0</v>
      </c>
      <c r="N529" s="65">
        <f ca="1">SUMIFS(OFFSET('BPC Data'!$F:$F,0,Summary!N$2),'BPC Data'!$E:$E,Summary!$D529,'BPC Data'!$B:$B,Summary!$C529)</f>
        <v>0</v>
      </c>
      <c r="O529" s="61">
        <f ca="1">SUMIFS(OFFSET('BPC Data'!$F:$F,0,Summary!O$2),'BPC Data'!$E:$E,Summary!$D529,'BPC Data'!$B:$B,Summary!$C529)</f>
        <v>0</v>
      </c>
      <c r="P529" s="65">
        <f ca="1">SUMIFS(OFFSET('BPC Data'!$F:$F,0,Summary!P$2),'BPC Data'!$E:$E,Summary!$D529,'BPC Data'!$B:$B,Summary!$C529)</f>
        <v>0</v>
      </c>
      <c r="Q529" s="61">
        <f ca="1">SUMIFS(OFFSET('BPC Data'!$F:$F,0,Summary!Q$2),'BPC Data'!$E:$E,Summary!$D529,'BPC Data'!$B:$B,Summary!$C529)</f>
        <v>0</v>
      </c>
      <c r="R529" s="65">
        <f ca="1">SUMIFS(OFFSET('BPC Data'!$F:$F,0,Summary!R$2),'BPC Data'!$E:$E,Summary!$D529,'BPC Data'!$B:$B,Summary!$C529)</f>
        <v>0</v>
      </c>
      <c r="S529" s="23"/>
      <c r="T529" s="76"/>
      <c r="AJ529" s="49"/>
      <c r="AK529" s="49"/>
      <c r="AL529" s="49"/>
      <c r="AM529" s="49"/>
      <c r="AN529" s="49"/>
      <c r="AO529" s="49"/>
      <c r="AP529" s="49"/>
      <c r="AQ529" s="49"/>
      <c r="AR529" s="49"/>
      <c r="AS529" s="49"/>
      <c r="AT529" s="49"/>
      <c r="AU529" s="49"/>
    </row>
    <row r="530" spans="1:47" s="12" customFormat="1" hidden="1" outlineLevel="1">
      <c r="A530" s="12">
        <f t="shared" si="472"/>
        <v>48</v>
      </c>
      <c r="B530"/>
      <c r="C530">
        <f>$F526</f>
        <v>0</v>
      </c>
      <c r="D530" s="3" t="str">
        <f t="shared" si="466"/>
        <v>T_OPEX - Tenant Operating Expenses</v>
      </c>
      <c r="E530"/>
      <c r="F530" s="19" t="str">
        <f>_xll.EVDES(D530)</f>
        <v>Tenant Operating Expenses</v>
      </c>
      <c r="G530" s="61">
        <f ca="1">SUMIFS(OFFSET('BPC Data'!$F:$F,0,Summary!G$2),'BPC Data'!$E:$E,Summary!$D530,'BPC Data'!$B:$B,Summary!$C530)</f>
        <v>0</v>
      </c>
      <c r="H530" s="65">
        <f ca="1">SUMIFS(OFFSET('BPC Data'!$F:$F,0,Summary!H$2),'BPC Data'!$E:$E,Summary!$D530,'BPC Data'!$B:$B,Summary!$C530)</f>
        <v>0</v>
      </c>
      <c r="I530" s="61">
        <f ca="1">SUMIFS(OFFSET('BPC Data'!$F:$F,0,Summary!I$2),'BPC Data'!$E:$E,Summary!$D530,'BPC Data'!$B:$B,Summary!$C530)</f>
        <v>0</v>
      </c>
      <c r="J530" s="65">
        <f ca="1">SUMIFS(OFFSET('BPC Data'!$F:$F,0,Summary!J$2),'BPC Data'!$E:$E,Summary!$D530,'BPC Data'!$B:$B,Summary!$C530)</f>
        <v>0</v>
      </c>
      <c r="K530" s="61">
        <f ca="1">SUMIFS(OFFSET('BPC Data'!$F:$F,0,Summary!K$2),'BPC Data'!$E:$E,Summary!$D530,'BPC Data'!$B:$B,Summary!$C530)</f>
        <v>0</v>
      </c>
      <c r="L530" s="65">
        <f ca="1">SUMIFS(OFFSET('BPC Data'!$F:$F,0,Summary!L$2),'BPC Data'!$E:$E,Summary!$D530,'BPC Data'!$B:$B,Summary!$C530)</f>
        <v>0</v>
      </c>
      <c r="M530" s="61">
        <f ca="1">SUMIFS(OFFSET('BPC Data'!$F:$F,0,Summary!M$2),'BPC Data'!$E:$E,Summary!$D530,'BPC Data'!$B:$B,Summary!$C530)</f>
        <v>0</v>
      </c>
      <c r="N530" s="65">
        <f ca="1">SUMIFS(OFFSET('BPC Data'!$F:$F,0,Summary!N$2),'BPC Data'!$E:$E,Summary!$D530,'BPC Data'!$B:$B,Summary!$C530)</f>
        <v>0</v>
      </c>
      <c r="O530" s="61">
        <f ca="1">SUMIFS(OFFSET('BPC Data'!$F:$F,0,Summary!O$2),'BPC Data'!$E:$E,Summary!$D530,'BPC Data'!$B:$B,Summary!$C530)</f>
        <v>0</v>
      </c>
      <c r="P530" s="65">
        <f ca="1">SUMIFS(OFFSET('BPC Data'!$F:$F,0,Summary!P$2),'BPC Data'!$E:$E,Summary!$D530,'BPC Data'!$B:$B,Summary!$C530)</f>
        <v>0</v>
      </c>
      <c r="Q530" s="61">
        <f ca="1">SUMIFS(OFFSET('BPC Data'!$F:$F,0,Summary!Q$2),'BPC Data'!$E:$E,Summary!$D530,'BPC Data'!$B:$B,Summary!$C530)</f>
        <v>0</v>
      </c>
      <c r="R530" s="65">
        <f ca="1">SUMIFS(OFFSET('BPC Data'!$F:$F,0,Summary!R$2),'BPC Data'!$E:$E,Summary!$D530,'BPC Data'!$B:$B,Summary!$C530)</f>
        <v>0</v>
      </c>
      <c r="S530" s="23"/>
      <c r="T530" s="76"/>
      <c r="AJ530" s="49"/>
      <c r="AK530" s="49"/>
      <c r="AL530" s="49"/>
      <c r="AM530" s="49"/>
      <c r="AN530" s="49"/>
      <c r="AO530" s="49"/>
      <c r="AP530" s="49"/>
      <c r="AQ530" s="49"/>
      <c r="AR530" s="49"/>
      <c r="AS530" s="49"/>
      <c r="AT530" s="49"/>
      <c r="AU530" s="49"/>
    </row>
    <row r="531" spans="1:47" s="12" customFormat="1" hidden="1" outlineLevel="1">
      <c r="A531" s="12">
        <f t="shared" si="472"/>
        <v>48</v>
      </c>
      <c r="B531"/>
      <c r="C531">
        <f>$F526</f>
        <v>0</v>
      </c>
      <c r="D531" s="3" t="str">
        <f t="shared" si="466"/>
        <v>T_BAD_DEBT - Tenant Bad Debt Expense</v>
      </c>
      <c r="E531"/>
      <c r="F531" s="19" t="str">
        <f>_xll.EVDES(D531)</f>
        <v>Tenant Bad Debt Expense</v>
      </c>
      <c r="G531" s="61">
        <f ca="1">SUMIFS(OFFSET('BPC Data'!$F:$F,0,Summary!G$2),'BPC Data'!$E:$E,Summary!$D531,'BPC Data'!$B:$B,Summary!$C531)</f>
        <v>0</v>
      </c>
      <c r="H531" s="65">
        <f ca="1">SUMIFS(OFFSET('BPC Data'!$F:$F,0,Summary!H$2),'BPC Data'!$E:$E,Summary!$D531,'BPC Data'!$B:$B,Summary!$C531)</f>
        <v>0</v>
      </c>
      <c r="I531" s="61">
        <f ca="1">SUMIFS(OFFSET('BPC Data'!$F:$F,0,Summary!I$2),'BPC Data'!$E:$E,Summary!$D531,'BPC Data'!$B:$B,Summary!$C531)</f>
        <v>0</v>
      </c>
      <c r="J531" s="65">
        <f ca="1">SUMIFS(OFFSET('BPC Data'!$F:$F,0,Summary!J$2),'BPC Data'!$E:$E,Summary!$D531,'BPC Data'!$B:$B,Summary!$C531)</f>
        <v>0</v>
      </c>
      <c r="K531" s="61">
        <f ca="1">SUMIFS(OFFSET('BPC Data'!$F:$F,0,Summary!K$2),'BPC Data'!$E:$E,Summary!$D531,'BPC Data'!$B:$B,Summary!$C531)</f>
        <v>0</v>
      </c>
      <c r="L531" s="65">
        <f ca="1">SUMIFS(OFFSET('BPC Data'!$F:$F,0,Summary!L$2),'BPC Data'!$E:$E,Summary!$D531,'BPC Data'!$B:$B,Summary!$C531)</f>
        <v>0</v>
      </c>
      <c r="M531" s="61">
        <f ca="1">SUMIFS(OFFSET('BPC Data'!$F:$F,0,Summary!M$2),'BPC Data'!$E:$E,Summary!$D531,'BPC Data'!$B:$B,Summary!$C531)</f>
        <v>0</v>
      </c>
      <c r="N531" s="65">
        <f ca="1">SUMIFS(OFFSET('BPC Data'!$F:$F,0,Summary!N$2),'BPC Data'!$E:$E,Summary!$D531,'BPC Data'!$B:$B,Summary!$C531)</f>
        <v>0</v>
      </c>
      <c r="O531" s="61">
        <f ca="1">SUMIFS(OFFSET('BPC Data'!$F:$F,0,Summary!O$2),'BPC Data'!$E:$E,Summary!$D531,'BPC Data'!$B:$B,Summary!$C531)</f>
        <v>0</v>
      </c>
      <c r="P531" s="65">
        <f ca="1">SUMIFS(OFFSET('BPC Data'!$F:$F,0,Summary!P$2),'BPC Data'!$E:$E,Summary!$D531,'BPC Data'!$B:$B,Summary!$C531)</f>
        <v>0</v>
      </c>
      <c r="Q531" s="61">
        <f ca="1">SUMIFS(OFFSET('BPC Data'!$F:$F,0,Summary!Q$2),'BPC Data'!$E:$E,Summary!$D531,'BPC Data'!$B:$B,Summary!$C531)</f>
        <v>0</v>
      </c>
      <c r="R531" s="65">
        <f ca="1">SUMIFS(OFFSET('BPC Data'!$F:$F,0,Summary!R$2),'BPC Data'!$E:$E,Summary!$D531,'BPC Data'!$B:$B,Summary!$C531)</f>
        <v>0</v>
      </c>
      <c r="S531" s="23"/>
      <c r="T531" s="76"/>
      <c r="AJ531" s="49"/>
      <c r="AK531" s="49"/>
      <c r="AL531" s="49"/>
      <c r="AM531" s="49"/>
      <c r="AN531" s="49"/>
      <c r="AO531" s="49"/>
      <c r="AP531" s="49"/>
      <c r="AQ531" s="49"/>
      <c r="AR531" s="49"/>
      <c r="AS531" s="49"/>
      <c r="AT531" s="49"/>
      <c r="AU531" s="49"/>
    </row>
    <row r="532" spans="1:47" s="12" customFormat="1" hidden="1" outlineLevel="1">
      <c r="A532" s="12">
        <f t="shared" si="472"/>
        <v>48</v>
      </c>
      <c r="B532"/>
      <c r="C532">
        <f>$F526</f>
        <v>0</v>
      </c>
      <c r="D532" s="2" t="str">
        <f t="shared" si="466"/>
        <v>T_EBITDARM - EBITDARM</v>
      </c>
      <c r="E532"/>
      <c r="F532" s="19" t="str">
        <f>_xll.EVDES(D532)</f>
        <v>EBITDARM</v>
      </c>
      <c r="G532" s="61">
        <f ca="1">SUMIFS(OFFSET('BPC Data'!$F:$F,0,Summary!G$2),'BPC Data'!$E:$E,Summary!$D532,'BPC Data'!$B:$B,Summary!$C532)</f>
        <v>0</v>
      </c>
      <c r="H532" s="65">
        <f ca="1">SUMIFS(OFFSET('BPC Data'!$F:$F,0,Summary!H$2),'BPC Data'!$E:$E,Summary!$D532,'BPC Data'!$B:$B,Summary!$C532)</f>
        <v>0</v>
      </c>
      <c r="I532" s="61">
        <f ca="1">SUMIFS(OFFSET('BPC Data'!$F:$F,0,Summary!I$2),'BPC Data'!$E:$E,Summary!$D532,'BPC Data'!$B:$B,Summary!$C532)</f>
        <v>0</v>
      </c>
      <c r="J532" s="65">
        <f ca="1">SUMIFS(OFFSET('BPC Data'!$F:$F,0,Summary!J$2),'BPC Data'!$E:$E,Summary!$D532,'BPC Data'!$B:$B,Summary!$C532)</f>
        <v>0</v>
      </c>
      <c r="K532" s="61">
        <f ca="1">SUMIFS(OFFSET('BPC Data'!$F:$F,0,Summary!K$2),'BPC Data'!$E:$E,Summary!$D532,'BPC Data'!$B:$B,Summary!$C532)</f>
        <v>0</v>
      </c>
      <c r="L532" s="65">
        <f ca="1">SUMIFS(OFFSET('BPC Data'!$F:$F,0,Summary!L$2),'BPC Data'!$E:$E,Summary!$D532,'BPC Data'!$B:$B,Summary!$C532)</f>
        <v>0</v>
      </c>
      <c r="M532" s="61">
        <f ca="1">SUMIFS(OFFSET('BPC Data'!$F:$F,0,Summary!M$2),'BPC Data'!$E:$E,Summary!$D532,'BPC Data'!$B:$B,Summary!$C532)</f>
        <v>0</v>
      </c>
      <c r="N532" s="65">
        <f ca="1">SUMIFS(OFFSET('BPC Data'!$F:$F,0,Summary!N$2),'BPC Data'!$E:$E,Summary!$D532,'BPC Data'!$B:$B,Summary!$C532)</f>
        <v>0</v>
      </c>
      <c r="O532" s="61">
        <f ca="1">SUMIFS(OFFSET('BPC Data'!$F:$F,0,Summary!O$2),'BPC Data'!$E:$E,Summary!$D532,'BPC Data'!$B:$B,Summary!$C532)</f>
        <v>0</v>
      </c>
      <c r="P532" s="65">
        <f ca="1">SUMIFS(OFFSET('BPC Data'!$F:$F,0,Summary!P$2),'BPC Data'!$E:$E,Summary!$D532,'BPC Data'!$B:$B,Summary!$C532)</f>
        <v>0</v>
      </c>
      <c r="Q532" s="61">
        <f ca="1">SUMIFS(OFFSET('BPC Data'!$F:$F,0,Summary!Q$2),'BPC Data'!$E:$E,Summary!$D532,'BPC Data'!$B:$B,Summary!$C532)</f>
        <v>0</v>
      </c>
      <c r="R532" s="65">
        <f ca="1">SUMIFS(OFFSET('BPC Data'!$F:$F,0,Summary!R$2),'BPC Data'!$E:$E,Summary!$D532,'BPC Data'!$B:$B,Summary!$C532)</f>
        <v>0</v>
      </c>
      <c r="S532" s="23"/>
      <c r="T532" s="76"/>
      <c r="AJ532" s="49"/>
      <c r="AK532" s="49"/>
      <c r="AL532" s="49"/>
      <c r="AM532" s="49"/>
      <c r="AN532" s="49"/>
      <c r="AO532" s="49"/>
      <c r="AP532" s="49"/>
      <c r="AQ532" s="49"/>
      <c r="AR532" s="49"/>
      <c r="AS532" s="49"/>
      <c r="AT532" s="49"/>
      <c r="AU532" s="49"/>
    </row>
    <row r="533" spans="1:47" s="12" customFormat="1" hidden="1" outlineLevel="1">
      <c r="A533" s="12">
        <f t="shared" si="472"/>
        <v>48</v>
      </c>
      <c r="B533"/>
      <c r="C533">
        <f>$F526</f>
        <v>0</v>
      </c>
      <c r="D533" s="2" t="str">
        <f t="shared" si="466"/>
        <v>T_MGMT_FEE - Tenant Management Fee - Actual</v>
      </c>
      <c r="E533"/>
      <c r="F533" s="19" t="str">
        <f>_xll.EVDES(D533)</f>
        <v>Tenant Management Fee - Actual</v>
      </c>
      <c r="G533" s="61">
        <f ca="1">SUMIFS(OFFSET('BPC Data'!$F:$F,0,Summary!G$2),'BPC Data'!$E:$E,Summary!$D533,'BPC Data'!$B:$B,Summary!$C533)</f>
        <v>0</v>
      </c>
      <c r="H533" s="65">
        <f ca="1">SUMIFS(OFFSET('BPC Data'!$F:$F,0,Summary!H$2),'BPC Data'!$E:$E,Summary!$D533,'BPC Data'!$B:$B,Summary!$C533)</f>
        <v>0</v>
      </c>
      <c r="I533" s="61">
        <f ca="1">SUMIFS(OFFSET('BPC Data'!$F:$F,0,Summary!I$2),'BPC Data'!$E:$E,Summary!$D533,'BPC Data'!$B:$B,Summary!$C533)</f>
        <v>0</v>
      </c>
      <c r="J533" s="65">
        <f ca="1">SUMIFS(OFFSET('BPC Data'!$F:$F,0,Summary!J$2),'BPC Data'!$E:$E,Summary!$D533,'BPC Data'!$B:$B,Summary!$C533)</f>
        <v>0</v>
      </c>
      <c r="K533" s="61">
        <f ca="1">SUMIFS(OFFSET('BPC Data'!$F:$F,0,Summary!K$2),'BPC Data'!$E:$E,Summary!$D533,'BPC Data'!$B:$B,Summary!$C533)</f>
        <v>0</v>
      </c>
      <c r="L533" s="65">
        <f ca="1">SUMIFS(OFFSET('BPC Data'!$F:$F,0,Summary!L$2),'BPC Data'!$E:$E,Summary!$D533,'BPC Data'!$B:$B,Summary!$C533)</f>
        <v>0</v>
      </c>
      <c r="M533" s="61">
        <f ca="1">SUMIFS(OFFSET('BPC Data'!$F:$F,0,Summary!M$2),'BPC Data'!$E:$E,Summary!$D533,'BPC Data'!$B:$B,Summary!$C533)</f>
        <v>0</v>
      </c>
      <c r="N533" s="65">
        <f ca="1">SUMIFS(OFFSET('BPC Data'!$F:$F,0,Summary!N$2),'BPC Data'!$E:$E,Summary!$D533,'BPC Data'!$B:$B,Summary!$C533)</f>
        <v>0</v>
      </c>
      <c r="O533" s="61">
        <f ca="1">SUMIFS(OFFSET('BPC Data'!$F:$F,0,Summary!O$2),'BPC Data'!$E:$E,Summary!$D533,'BPC Data'!$B:$B,Summary!$C533)</f>
        <v>0</v>
      </c>
      <c r="P533" s="65">
        <f ca="1">SUMIFS(OFFSET('BPC Data'!$F:$F,0,Summary!P$2),'BPC Data'!$E:$E,Summary!$D533,'BPC Data'!$B:$B,Summary!$C533)</f>
        <v>0</v>
      </c>
      <c r="Q533" s="61">
        <f ca="1">SUMIFS(OFFSET('BPC Data'!$F:$F,0,Summary!Q$2),'BPC Data'!$E:$E,Summary!$D533,'BPC Data'!$B:$B,Summary!$C533)</f>
        <v>0</v>
      </c>
      <c r="R533" s="65">
        <f ca="1">SUMIFS(OFFSET('BPC Data'!$F:$F,0,Summary!R$2),'BPC Data'!$E:$E,Summary!$D533,'BPC Data'!$B:$B,Summary!$C533)</f>
        <v>0</v>
      </c>
      <c r="S533" s="23"/>
      <c r="T533" s="76"/>
      <c r="AJ533" s="49"/>
      <c r="AK533" s="49"/>
      <c r="AL533" s="49"/>
      <c r="AM533" s="49"/>
      <c r="AN533" s="49"/>
      <c r="AO533" s="49"/>
      <c r="AP533" s="49"/>
      <c r="AQ533" s="49"/>
      <c r="AR533" s="49"/>
      <c r="AS533" s="49"/>
      <c r="AT533" s="49"/>
      <c r="AU533" s="49"/>
    </row>
    <row r="534" spans="1:47" s="12" customFormat="1" hidden="1" outlineLevel="1">
      <c r="A534" s="12">
        <f t="shared" si="472"/>
        <v>48</v>
      </c>
      <c r="B534"/>
      <c r="C534">
        <f>$F526</f>
        <v>0</v>
      </c>
      <c r="D534" s="1" t="str">
        <f t="shared" ref="D534:D537" si="473">$D523</f>
        <v>T_EBITDAR - EBITDAR</v>
      </c>
      <c r="E534"/>
      <c r="F534" s="19" t="str">
        <f>_xll.EVDES(D534)</f>
        <v>EBITDAR</v>
      </c>
      <c r="G534" s="61">
        <f ca="1">SUMIFS(OFFSET('BPC Data'!$F:$F,0,Summary!G$2),'BPC Data'!$E:$E,Summary!$D534,'BPC Data'!$B:$B,Summary!$C534)</f>
        <v>0</v>
      </c>
      <c r="H534" s="65">
        <f ca="1">SUMIFS(OFFSET('BPC Data'!$F:$F,0,Summary!H$2),'BPC Data'!$E:$E,Summary!$D534,'BPC Data'!$B:$B,Summary!$C534)</f>
        <v>0</v>
      </c>
      <c r="I534" s="61">
        <f ca="1">SUMIFS(OFFSET('BPC Data'!$F:$F,0,Summary!I$2),'BPC Data'!$E:$E,Summary!$D534,'BPC Data'!$B:$B,Summary!$C534)</f>
        <v>0</v>
      </c>
      <c r="J534" s="65">
        <f ca="1">SUMIFS(OFFSET('BPC Data'!$F:$F,0,Summary!J$2),'BPC Data'!$E:$E,Summary!$D534,'BPC Data'!$B:$B,Summary!$C534)</f>
        <v>0</v>
      </c>
      <c r="K534" s="61">
        <f ca="1">SUMIFS(OFFSET('BPC Data'!$F:$F,0,Summary!K$2),'BPC Data'!$E:$E,Summary!$D534,'BPC Data'!$B:$B,Summary!$C534)</f>
        <v>0</v>
      </c>
      <c r="L534" s="65">
        <f ca="1">SUMIFS(OFFSET('BPC Data'!$F:$F,0,Summary!L$2),'BPC Data'!$E:$E,Summary!$D534,'BPC Data'!$B:$B,Summary!$C534)</f>
        <v>0</v>
      </c>
      <c r="M534" s="61">
        <f ca="1">SUMIFS(OFFSET('BPC Data'!$F:$F,0,Summary!M$2),'BPC Data'!$E:$E,Summary!$D534,'BPC Data'!$B:$B,Summary!$C534)</f>
        <v>0</v>
      </c>
      <c r="N534" s="65">
        <f ca="1">SUMIFS(OFFSET('BPC Data'!$F:$F,0,Summary!N$2),'BPC Data'!$E:$E,Summary!$D534,'BPC Data'!$B:$B,Summary!$C534)</f>
        <v>0</v>
      </c>
      <c r="O534" s="61">
        <f ca="1">SUMIFS(OFFSET('BPC Data'!$F:$F,0,Summary!O$2),'BPC Data'!$E:$E,Summary!$D534,'BPC Data'!$B:$B,Summary!$C534)</f>
        <v>0</v>
      </c>
      <c r="P534" s="65">
        <f ca="1">SUMIFS(OFFSET('BPC Data'!$F:$F,0,Summary!P$2),'BPC Data'!$E:$E,Summary!$D534,'BPC Data'!$B:$B,Summary!$C534)</f>
        <v>0</v>
      </c>
      <c r="Q534" s="61">
        <f ca="1">SUMIFS(OFFSET('BPC Data'!$F:$F,0,Summary!Q$2),'BPC Data'!$E:$E,Summary!$D534,'BPC Data'!$B:$B,Summary!$C534)</f>
        <v>0</v>
      </c>
      <c r="R534" s="65">
        <f ca="1">SUMIFS(OFFSET('BPC Data'!$F:$F,0,Summary!R$2),'BPC Data'!$E:$E,Summary!$D534,'BPC Data'!$B:$B,Summary!$C534)</f>
        <v>0</v>
      </c>
      <c r="S534" s="23"/>
      <c r="T534" s="76"/>
      <c r="AJ534" s="49"/>
      <c r="AK534" s="49"/>
      <c r="AL534" s="49"/>
      <c r="AM534" s="49"/>
      <c r="AN534" s="49"/>
      <c r="AO534" s="49"/>
      <c r="AP534" s="49"/>
      <c r="AQ534" s="49"/>
      <c r="AR534" s="49"/>
      <c r="AS534" s="49"/>
      <c r="AT534" s="49"/>
      <c r="AU534" s="49"/>
    </row>
    <row r="535" spans="1:47" s="12" customFormat="1" hidden="1" outlineLevel="1">
      <c r="A535" s="12">
        <f t="shared" si="472"/>
        <v>48</v>
      </c>
      <c r="B535"/>
      <c r="C535">
        <f>$F526</f>
        <v>0</v>
      </c>
      <c r="D535" s="1" t="str">
        <f t="shared" si="473"/>
        <v>T_RENT_EXP - Tenant Rent Expense</v>
      </c>
      <c r="E535"/>
      <c r="F535" s="19" t="str">
        <f>_xll.EVDES(D535)</f>
        <v>Tenant Rent Expense</v>
      </c>
      <c r="G535" s="61">
        <f ca="1">SUMIFS(OFFSET('BPC Data'!$F:$F,0,Summary!G$2),'BPC Data'!$E:$E,Summary!$D535,'BPC Data'!$B:$B,Summary!$C535)</f>
        <v>0</v>
      </c>
      <c r="H535" s="65">
        <f ca="1">SUMIFS(OFFSET('BPC Data'!$F:$F,0,Summary!H$2),'BPC Data'!$E:$E,Summary!$D535,'BPC Data'!$B:$B,Summary!$C535)</f>
        <v>0</v>
      </c>
      <c r="I535" s="61">
        <f ca="1">SUMIFS(OFFSET('BPC Data'!$F:$F,0,Summary!I$2),'BPC Data'!$E:$E,Summary!$D535,'BPC Data'!$B:$B,Summary!$C535)</f>
        <v>0</v>
      </c>
      <c r="J535" s="65">
        <f ca="1">SUMIFS(OFFSET('BPC Data'!$F:$F,0,Summary!J$2),'BPC Data'!$E:$E,Summary!$D535,'BPC Data'!$B:$B,Summary!$C535)</f>
        <v>0</v>
      </c>
      <c r="K535" s="61">
        <f ca="1">SUMIFS(OFFSET('BPC Data'!$F:$F,0,Summary!K$2),'BPC Data'!$E:$E,Summary!$D535,'BPC Data'!$B:$B,Summary!$C535)</f>
        <v>0</v>
      </c>
      <c r="L535" s="65">
        <f ca="1">SUMIFS(OFFSET('BPC Data'!$F:$F,0,Summary!L$2),'BPC Data'!$E:$E,Summary!$D535,'BPC Data'!$B:$B,Summary!$C535)</f>
        <v>0</v>
      </c>
      <c r="M535" s="61">
        <f ca="1">SUMIFS(OFFSET('BPC Data'!$F:$F,0,Summary!M$2),'BPC Data'!$E:$E,Summary!$D535,'BPC Data'!$B:$B,Summary!$C535)</f>
        <v>0</v>
      </c>
      <c r="N535" s="65">
        <f ca="1">SUMIFS(OFFSET('BPC Data'!$F:$F,0,Summary!N$2),'BPC Data'!$E:$E,Summary!$D535,'BPC Data'!$B:$B,Summary!$C535)</f>
        <v>0</v>
      </c>
      <c r="O535" s="61">
        <f ca="1">SUMIFS(OFFSET('BPC Data'!$F:$F,0,Summary!O$2),'BPC Data'!$E:$E,Summary!$D535,'BPC Data'!$B:$B,Summary!$C535)</f>
        <v>0</v>
      </c>
      <c r="P535" s="65">
        <f ca="1">SUMIFS(OFFSET('BPC Data'!$F:$F,0,Summary!P$2),'BPC Data'!$E:$E,Summary!$D535,'BPC Data'!$B:$B,Summary!$C535)</f>
        <v>0</v>
      </c>
      <c r="Q535" s="61">
        <f ca="1">SUMIFS(OFFSET('BPC Data'!$F:$F,0,Summary!Q$2),'BPC Data'!$E:$E,Summary!$D535,'BPC Data'!$B:$B,Summary!$C535)</f>
        <v>0</v>
      </c>
      <c r="R535" s="65">
        <f ca="1">SUMIFS(OFFSET('BPC Data'!$F:$F,0,Summary!R$2),'BPC Data'!$E:$E,Summary!$D535,'BPC Data'!$B:$B,Summary!$C535)</f>
        <v>0</v>
      </c>
      <c r="S535" s="23"/>
      <c r="T535" s="76"/>
      <c r="AJ535" s="49"/>
      <c r="AK535" s="49"/>
      <c r="AL535" s="49"/>
      <c r="AM535" s="49"/>
      <c r="AN535" s="49"/>
      <c r="AO535" s="49"/>
      <c r="AP535" s="49"/>
      <c r="AQ535" s="49"/>
      <c r="AR535" s="49"/>
      <c r="AS535" s="49"/>
      <c r="AT535" s="49"/>
      <c r="AU535" s="49"/>
    </row>
    <row r="536" spans="1:47" s="12" customFormat="1" hidden="1" outlineLevel="1">
      <c r="A536" s="12">
        <f t="shared" si="472"/>
        <v>48</v>
      </c>
      <c r="B536"/>
      <c r="C536"/>
      <c r="D536" s="1" t="str">
        <f t="shared" si="473"/>
        <v>x</v>
      </c>
      <c r="E536"/>
      <c r="F536" s="19" t="s">
        <v>0</v>
      </c>
      <c r="G536" s="61">
        <f ca="1">SUMIFS(OFFSET('BPC Data'!$F:$F,0,Summary!G$2),'BPC Data'!$E:$E,Summary!$D536,'BPC Data'!$B:$B,Summary!$C536)</f>
        <v>0</v>
      </c>
      <c r="H536" s="65">
        <f ca="1">SUMIFS(OFFSET('BPC Data'!$F:$F,0,Summary!H$2),'BPC Data'!$E:$E,Summary!$D536,'BPC Data'!$B:$B,Summary!$C536)</f>
        <v>0</v>
      </c>
      <c r="I536" s="61">
        <f ca="1">SUMIFS(OFFSET('BPC Data'!$F:$F,0,Summary!I$2),'BPC Data'!$E:$E,Summary!$D536,'BPC Data'!$B:$B,Summary!$C536)</f>
        <v>0</v>
      </c>
      <c r="J536" s="65">
        <f ca="1">SUMIFS(OFFSET('BPC Data'!$F:$F,0,Summary!J$2),'BPC Data'!$E:$E,Summary!$D536,'BPC Data'!$B:$B,Summary!$C536)</f>
        <v>0</v>
      </c>
      <c r="K536" s="61">
        <f ca="1">SUMIFS(OFFSET('BPC Data'!$F:$F,0,Summary!K$2),'BPC Data'!$E:$E,Summary!$D536,'BPC Data'!$B:$B,Summary!$C536)</f>
        <v>0</v>
      </c>
      <c r="L536" s="65">
        <f ca="1">SUMIFS(OFFSET('BPC Data'!$F:$F,0,Summary!L$2),'BPC Data'!$E:$E,Summary!$D536,'BPC Data'!$B:$B,Summary!$C536)</f>
        <v>0</v>
      </c>
      <c r="M536" s="61">
        <f ca="1">SUMIFS(OFFSET('BPC Data'!$F:$F,0,Summary!M$2),'BPC Data'!$E:$E,Summary!$D536,'BPC Data'!$B:$B,Summary!$C536)</f>
        <v>0</v>
      </c>
      <c r="N536" s="65">
        <f ca="1">SUMIFS(OFFSET('BPC Data'!$F:$F,0,Summary!N$2),'BPC Data'!$E:$E,Summary!$D536,'BPC Data'!$B:$B,Summary!$C536)</f>
        <v>0</v>
      </c>
      <c r="O536" s="61">
        <f ca="1">SUMIFS(OFFSET('BPC Data'!$F:$F,0,Summary!O$2),'BPC Data'!$E:$E,Summary!$D536,'BPC Data'!$B:$B,Summary!$C536)</f>
        <v>0</v>
      </c>
      <c r="P536" s="65">
        <f ca="1">SUMIFS(OFFSET('BPC Data'!$F:$F,0,Summary!P$2),'BPC Data'!$E:$E,Summary!$D536,'BPC Data'!$B:$B,Summary!$C536)</f>
        <v>0</v>
      </c>
      <c r="Q536" s="61">
        <f ca="1">SUMIFS(OFFSET('BPC Data'!$F:$F,0,Summary!Q$2),'BPC Data'!$E:$E,Summary!$D536,'BPC Data'!$B:$B,Summary!$C536)</f>
        <v>0</v>
      </c>
      <c r="R536" s="65">
        <f ca="1">SUMIFS(OFFSET('BPC Data'!$F:$F,0,Summary!R$2),'BPC Data'!$E:$E,Summary!$D536,'BPC Data'!$B:$B,Summary!$C536)</f>
        <v>0</v>
      </c>
      <c r="S536" s="23"/>
      <c r="T536" s="76"/>
      <c r="AJ536" s="49"/>
      <c r="AK536" s="49"/>
      <c r="AL536" s="49"/>
      <c r="AM536" s="49"/>
      <c r="AN536" s="49"/>
      <c r="AO536" s="49"/>
      <c r="AP536" s="49"/>
      <c r="AQ536" s="49"/>
      <c r="AR536" s="49"/>
      <c r="AS536" s="49"/>
      <c r="AT536" s="49"/>
      <c r="AU536" s="49"/>
    </row>
    <row r="537" spans="1:47" s="12" customFormat="1" hidden="1" outlineLevel="1">
      <c r="A537" s="12">
        <f>IF(AND(D537&lt;&gt;"",C537=""),A536+1,A536)</f>
        <v>49</v>
      </c>
      <c r="B537" s="5"/>
      <c r="C537" s="5"/>
      <c r="D537" s="5" t="str">
        <f t="shared" si="473"/>
        <v>x</v>
      </c>
      <c r="E537" s="5"/>
      <c r="F537" s="18">
        <f>INDEX(PropertyList!$D:$D,MATCH(Summary!$A537,PropertyList!$C:$C,0))</f>
        <v>0</v>
      </c>
      <c r="G537" s="61">
        <f ca="1">SUMIFS(OFFSET('BPC Data'!$F:$F,0,Summary!G$2),'BPC Data'!$E:$E,Summary!$D537,'BPC Data'!$B:$B,Summary!$C537)</f>
        <v>0</v>
      </c>
      <c r="H537" s="65">
        <f ca="1">SUMIFS(OFFSET('BPC Data'!$F:$F,0,Summary!H$2),'BPC Data'!$E:$E,Summary!$D537,'BPC Data'!$B:$B,Summary!$C537)</f>
        <v>0</v>
      </c>
      <c r="I537" s="61">
        <f ca="1">SUMIFS(OFFSET('BPC Data'!$F:$F,0,Summary!I$2),'BPC Data'!$E:$E,Summary!$D537,'BPC Data'!$B:$B,Summary!$C537)</f>
        <v>0</v>
      </c>
      <c r="J537" s="65">
        <f ca="1">SUMIFS(OFFSET('BPC Data'!$F:$F,0,Summary!J$2),'BPC Data'!$E:$E,Summary!$D537,'BPC Data'!$B:$B,Summary!$C537)</f>
        <v>0</v>
      </c>
      <c r="K537" s="61">
        <f ca="1">SUMIFS(OFFSET('BPC Data'!$F:$F,0,Summary!K$2),'BPC Data'!$E:$E,Summary!$D537,'BPC Data'!$B:$B,Summary!$C537)</f>
        <v>0</v>
      </c>
      <c r="L537" s="65">
        <f ca="1">SUMIFS(OFFSET('BPC Data'!$F:$F,0,Summary!L$2),'BPC Data'!$E:$E,Summary!$D537,'BPC Data'!$B:$B,Summary!$C537)</f>
        <v>0</v>
      </c>
      <c r="M537" s="61">
        <f ca="1">SUMIFS(OFFSET('BPC Data'!$F:$F,0,Summary!M$2),'BPC Data'!$E:$E,Summary!$D537,'BPC Data'!$B:$B,Summary!$C537)</f>
        <v>0</v>
      </c>
      <c r="N537" s="65">
        <f ca="1">SUMIFS(OFFSET('BPC Data'!$F:$F,0,Summary!N$2),'BPC Data'!$E:$E,Summary!$D537,'BPC Data'!$B:$B,Summary!$C537)</f>
        <v>0</v>
      </c>
      <c r="O537" s="61">
        <f ca="1">SUMIFS(OFFSET('BPC Data'!$F:$F,0,Summary!O$2),'BPC Data'!$E:$E,Summary!$D537,'BPC Data'!$B:$B,Summary!$C537)</f>
        <v>0</v>
      </c>
      <c r="P537" s="65">
        <f ca="1">SUMIFS(OFFSET('BPC Data'!$F:$F,0,Summary!P$2),'BPC Data'!$E:$E,Summary!$D537,'BPC Data'!$B:$B,Summary!$C537)</f>
        <v>0</v>
      </c>
      <c r="Q537" s="61">
        <f ca="1">SUMIFS(OFFSET('BPC Data'!$F:$F,0,Summary!Q$2),'BPC Data'!$E:$E,Summary!$D537,'BPC Data'!$B:$B,Summary!$C537)</f>
        <v>0</v>
      </c>
      <c r="R537" s="65">
        <f ca="1">SUMIFS(OFFSET('BPC Data'!$F:$F,0,Summary!R$2),'BPC Data'!$E:$E,Summary!$D537,'BPC Data'!$B:$B,Summary!$C537)</f>
        <v>0</v>
      </c>
      <c r="S537" s="23"/>
      <c r="T537" s="76"/>
      <c r="AJ537" s="49"/>
      <c r="AK537" s="49"/>
      <c r="AL537" s="49"/>
      <c r="AM537" s="49"/>
      <c r="AN537" s="49"/>
      <c r="AO537" s="49"/>
      <c r="AP537" s="49"/>
      <c r="AQ537" s="49"/>
      <c r="AR537" s="49"/>
      <c r="AS537" s="49"/>
      <c r="AT537" s="49"/>
      <c r="AU537" s="49"/>
    </row>
    <row r="538" spans="1:47" s="12" customFormat="1" hidden="1" outlineLevel="1">
      <c r="A538" s="12">
        <f>IF(AND(F538&lt;&gt;"",D538=""),A537+1,A537)</f>
        <v>49</v>
      </c>
      <c r="C538">
        <f>$F537</f>
        <v>0</v>
      </c>
      <c r="D538" s="3" t="str">
        <f>$D527</f>
        <v>PAY_PAT_DAYS - Total Payor Patient Days</v>
      </c>
      <c r="F538" s="19" t="str">
        <f>_xll.EVDES(D538)</f>
        <v>Total Payor Patient Days</v>
      </c>
      <c r="G538" s="61">
        <f ca="1">SUMIFS(OFFSET('BPC Data'!$F:$F,0,Summary!G$2),'BPC Data'!$E:$E,Summary!$D538,'BPC Data'!$B:$B,Summary!$C538)</f>
        <v>0</v>
      </c>
      <c r="H538" s="65">
        <f ca="1">SUMIFS(OFFSET('BPC Data'!$F:$F,0,Summary!H$2),'BPC Data'!$E:$E,Summary!$D538,'BPC Data'!$B:$B,Summary!$C538)</f>
        <v>0</v>
      </c>
      <c r="I538" s="61">
        <f ca="1">SUMIFS(OFFSET('BPC Data'!$F:$F,0,Summary!I$2),'BPC Data'!$E:$E,Summary!$D538,'BPC Data'!$B:$B,Summary!$C538)</f>
        <v>0</v>
      </c>
      <c r="J538" s="65">
        <f ca="1">SUMIFS(OFFSET('BPC Data'!$F:$F,0,Summary!J$2),'BPC Data'!$E:$E,Summary!$D538,'BPC Data'!$B:$B,Summary!$C538)</f>
        <v>0</v>
      </c>
      <c r="K538" s="61">
        <f ca="1">SUMIFS(OFFSET('BPC Data'!$F:$F,0,Summary!K$2),'BPC Data'!$E:$E,Summary!$D538,'BPC Data'!$B:$B,Summary!$C538)</f>
        <v>0</v>
      </c>
      <c r="L538" s="65">
        <f ca="1">SUMIFS(OFFSET('BPC Data'!$F:$F,0,Summary!L$2),'BPC Data'!$E:$E,Summary!$D538,'BPC Data'!$B:$B,Summary!$C538)</f>
        <v>0</v>
      </c>
      <c r="M538" s="61">
        <f ca="1">SUMIFS(OFFSET('BPC Data'!$F:$F,0,Summary!M$2),'BPC Data'!$E:$E,Summary!$D538,'BPC Data'!$B:$B,Summary!$C538)</f>
        <v>0</v>
      </c>
      <c r="N538" s="65">
        <f ca="1">SUMIFS(OFFSET('BPC Data'!$F:$F,0,Summary!N$2),'BPC Data'!$E:$E,Summary!$D538,'BPC Data'!$B:$B,Summary!$C538)</f>
        <v>0</v>
      </c>
      <c r="O538" s="61">
        <f ca="1">SUMIFS(OFFSET('BPC Data'!$F:$F,0,Summary!O$2),'BPC Data'!$E:$E,Summary!$D538,'BPC Data'!$B:$B,Summary!$C538)</f>
        <v>0</v>
      </c>
      <c r="P538" s="65">
        <f ca="1">SUMIFS(OFFSET('BPC Data'!$F:$F,0,Summary!P$2),'BPC Data'!$E:$E,Summary!$D538,'BPC Data'!$B:$B,Summary!$C538)</f>
        <v>0</v>
      </c>
      <c r="Q538" s="61">
        <f ca="1">SUMIFS(OFFSET('BPC Data'!$F:$F,0,Summary!Q$2),'BPC Data'!$E:$E,Summary!$D538,'BPC Data'!$B:$B,Summary!$C538)</f>
        <v>0</v>
      </c>
      <c r="R538" s="65">
        <f ca="1">SUMIFS(OFFSET('BPC Data'!$F:$F,0,Summary!R$2),'BPC Data'!$E:$E,Summary!$D538,'BPC Data'!$B:$B,Summary!$C538)</f>
        <v>0</v>
      </c>
      <c r="S538" s="23"/>
      <c r="T538" s="76"/>
      <c r="AJ538" s="49"/>
      <c r="AK538" s="49"/>
      <c r="AL538" s="49"/>
      <c r="AM538" s="49"/>
      <c r="AN538" s="49"/>
      <c r="AO538" s="49"/>
      <c r="AP538" s="49"/>
      <c r="AQ538" s="49"/>
      <c r="AR538" s="49"/>
      <c r="AS538" s="49"/>
      <c r="AT538" s="49"/>
      <c r="AU538" s="49"/>
    </row>
    <row r="539" spans="1:47" s="12" customFormat="1" hidden="1" outlineLevel="1">
      <c r="A539" s="12">
        <f t="shared" ref="A539:A547" si="474">IF(AND(F539&lt;&gt;"",D539=""),A538+1,A538)</f>
        <v>49</v>
      </c>
      <c r="C539">
        <f>$F537</f>
        <v>0</v>
      </c>
      <c r="D539" s="3" t="str">
        <f t="shared" ref="D539:D547" si="475">$D528</f>
        <v>A_BEDS_TOTAL - Total Available Beds</v>
      </c>
      <c r="F539" s="19" t="str">
        <f>_xll.EVDES(D539)</f>
        <v>Total Available Beds</v>
      </c>
      <c r="G539" s="61">
        <f ca="1">SUMIFS(OFFSET('BPC Data'!$F:$F,0,Summary!G$2),'BPC Data'!$E:$E,Summary!$D539,'BPC Data'!$B:$B,Summary!$C539)</f>
        <v>0</v>
      </c>
      <c r="H539" s="65">
        <f ca="1">SUMIFS(OFFSET('BPC Data'!$F:$F,0,Summary!H$2),'BPC Data'!$E:$E,Summary!$D539,'BPC Data'!$B:$B,Summary!$C539)</f>
        <v>0</v>
      </c>
      <c r="I539" s="61">
        <f ca="1">SUMIFS(OFFSET('BPC Data'!$F:$F,0,Summary!I$2),'BPC Data'!$E:$E,Summary!$D539,'BPC Data'!$B:$B,Summary!$C539)</f>
        <v>0</v>
      </c>
      <c r="J539" s="65">
        <f ca="1">SUMIFS(OFFSET('BPC Data'!$F:$F,0,Summary!J$2),'BPC Data'!$E:$E,Summary!$D539,'BPC Data'!$B:$B,Summary!$C539)</f>
        <v>0</v>
      </c>
      <c r="K539" s="61">
        <f ca="1">SUMIFS(OFFSET('BPC Data'!$F:$F,0,Summary!K$2),'BPC Data'!$E:$E,Summary!$D539,'BPC Data'!$B:$B,Summary!$C539)</f>
        <v>0</v>
      </c>
      <c r="L539" s="65">
        <f ca="1">SUMIFS(OFFSET('BPC Data'!$F:$F,0,Summary!L$2),'BPC Data'!$E:$E,Summary!$D539,'BPC Data'!$B:$B,Summary!$C539)</f>
        <v>0</v>
      </c>
      <c r="M539" s="61">
        <f ca="1">SUMIFS(OFFSET('BPC Data'!$F:$F,0,Summary!M$2),'BPC Data'!$E:$E,Summary!$D539,'BPC Data'!$B:$B,Summary!$C539)</f>
        <v>0</v>
      </c>
      <c r="N539" s="65">
        <f ca="1">SUMIFS(OFFSET('BPC Data'!$F:$F,0,Summary!N$2),'BPC Data'!$E:$E,Summary!$D539,'BPC Data'!$B:$B,Summary!$C539)</f>
        <v>0</v>
      </c>
      <c r="O539" s="61">
        <f ca="1">SUMIFS(OFFSET('BPC Data'!$F:$F,0,Summary!O$2),'BPC Data'!$E:$E,Summary!$D539,'BPC Data'!$B:$B,Summary!$C539)</f>
        <v>0</v>
      </c>
      <c r="P539" s="65">
        <f ca="1">SUMIFS(OFFSET('BPC Data'!$F:$F,0,Summary!P$2),'BPC Data'!$E:$E,Summary!$D539,'BPC Data'!$B:$B,Summary!$C539)</f>
        <v>0</v>
      </c>
      <c r="Q539" s="61">
        <f ca="1">SUMIFS(OFFSET('BPC Data'!$F:$F,0,Summary!Q$2),'BPC Data'!$E:$E,Summary!$D539,'BPC Data'!$B:$B,Summary!$C539)</f>
        <v>0</v>
      </c>
      <c r="R539" s="65">
        <f ca="1">SUMIFS(OFFSET('BPC Data'!$F:$F,0,Summary!R$2),'BPC Data'!$E:$E,Summary!$D539,'BPC Data'!$B:$B,Summary!$C539)</f>
        <v>0</v>
      </c>
      <c r="S539" s="23"/>
      <c r="T539" s="76"/>
      <c r="AJ539" s="49"/>
      <c r="AK539" s="49"/>
      <c r="AL539" s="49"/>
      <c r="AM539" s="49"/>
      <c r="AN539" s="49"/>
      <c r="AO539" s="49"/>
      <c r="AP539" s="49"/>
      <c r="AQ539" s="49"/>
      <c r="AR539" s="49"/>
      <c r="AS539" s="49"/>
      <c r="AT539" s="49"/>
      <c r="AU539" s="49"/>
    </row>
    <row r="540" spans="1:47" s="12" customFormat="1" hidden="1" outlineLevel="1">
      <c r="A540" s="12">
        <f t="shared" si="474"/>
        <v>49</v>
      </c>
      <c r="B540"/>
      <c r="C540">
        <f>$F537</f>
        <v>0</v>
      </c>
      <c r="D540" s="3" t="str">
        <f t="shared" si="475"/>
        <v>T_REVENUES - Total Tenant Revenues</v>
      </c>
      <c r="E540"/>
      <c r="F540" s="19" t="str">
        <f>_xll.EVDES(D540)</f>
        <v>Total Tenant Revenues</v>
      </c>
      <c r="G540" s="61">
        <f ca="1">SUMIFS(OFFSET('BPC Data'!$F:$F,0,Summary!G$2),'BPC Data'!$E:$E,Summary!$D540,'BPC Data'!$B:$B,Summary!$C540)</f>
        <v>0</v>
      </c>
      <c r="H540" s="65">
        <f ca="1">SUMIFS(OFFSET('BPC Data'!$F:$F,0,Summary!H$2),'BPC Data'!$E:$E,Summary!$D540,'BPC Data'!$B:$B,Summary!$C540)</f>
        <v>0</v>
      </c>
      <c r="I540" s="61">
        <f ca="1">SUMIFS(OFFSET('BPC Data'!$F:$F,0,Summary!I$2),'BPC Data'!$E:$E,Summary!$D540,'BPC Data'!$B:$B,Summary!$C540)</f>
        <v>0</v>
      </c>
      <c r="J540" s="65">
        <f ca="1">SUMIFS(OFFSET('BPC Data'!$F:$F,0,Summary!J$2),'BPC Data'!$E:$E,Summary!$D540,'BPC Data'!$B:$B,Summary!$C540)</f>
        <v>0</v>
      </c>
      <c r="K540" s="61">
        <f ca="1">SUMIFS(OFFSET('BPC Data'!$F:$F,0,Summary!K$2),'BPC Data'!$E:$E,Summary!$D540,'BPC Data'!$B:$B,Summary!$C540)</f>
        <v>0</v>
      </c>
      <c r="L540" s="65">
        <f ca="1">SUMIFS(OFFSET('BPC Data'!$F:$F,0,Summary!L$2),'BPC Data'!$E:$E,Summary!$D540,'BPC Data'!$B:$B,Summary!$C540)</f>
        <v>0</v>
      </c>
      <c r="M540" s="61">
        <f ca="1">SUMIFS(OFFSET('BPC Data'!$F:$F,0,Summary!M$2),'BPC Data'!$E:$E,Summary!$D540,'BPC Data'!$B:$B,Summary!$C540)</f>
        <v>0</v>
      </c>
      <c r="N540" s="65">
        <f ca="1">SUMIFS(OFFSET('BPC Data'!$F:$F,0,Summary!N$2),'BPC Data'!$E:$E,Summary!$D540,'BPC Data'!$B:$B,Summary!$C540)</f>
        <v>0</v>
      </c>
      <c r="O540" s="61">
        <f ca="1">SUMIFS(OFFSET('BPC Data'!$F:$F,0,Summary!O$2),'BPC Data'!$E:$E,Summary!$D540,'BPC Data'!$B:$B,Summary!$C540)</f>
        <v>0</v>
      </c>
      <c r="P540" s="65">
        <f ca="1">SUMIFS(OFFSET('BPC Data'!$F:$F,0,Summary!P$2),'BPC Data'!$E:$E,Summary!$D540,'BPC Data'!$B:$B,Summary!$C540)</f>
        <v>0</v>
      </c>
      <c r="Q540" s="61">
        <f ca="1">SUMIFS(OFFSET('BPC Data'!$F:$F,0,Summary!Q$2),'BPC Data'!$E:$E,Summary!$D540,'BPC Data'!$B:$B,Summary!$C540)</f>
        <v>0</v>
      </c>
      <c r="R540" s="65">
        <f ca="1">SUMIFS(OFFSET('BPC Data'!$F:$F,0,Summary!R$2),'BPC Data'!$E:$E,Summary!$D540,'BPC Data'!$B:$B,Summary!$C540)</f>
        <v>0</v>
      </c>
      <c r="S540" s="23"/>
      <c r="T540" s="76"/>
      <c r="AJ540" s="49"/>
      <c r="AK540" s="49"/>
      <c r="AL540" s="49"/>
      <c r="AM540" s="49"/>
      <c r="AN540" s="49"/>
      <c r="AO540" s="49"/>
      <c r="AP540" s="49"/>
      <c r="AQ540" s="49"/>
      <c r="AR540" s="49"/>
      <c r="AS540" s="49"/>
      <c r="AT540" s="49"/>
      <c r="AU540" s="49"/>
    </row>
    <row r="541" spans="1:47" s="12" customFormat="1" hidden="1" outlineLevel="1">
      <c r="A541" s="12">
        <f t="shared" si="474"/>
        <v>49</v>
      </c>
      <c r="B541"/>
      <c r="C541">
        <f>$F537</f>
        <v>0</v>
      </c>
      <c r="D541" s="3" t="str">
        <f t="shared" si="475"/>
        <v>T_OPEX - Tenant Operating Expenses</v>
      </c>
      <c r="E541"/>
      <c r="F541" s="19" t="str">
        <f>_xll.EVDES(D541)</f>
        <v>Tenant Operating Expenses</v>
      </c>
      <c r="G541" s="61">
        <f ca="1">SUMIFS(OFFSET('BPC Data'!$F:$F,0,Summary!G$2),'BPC Data'!$E:$E,Summary!$D541,'BPC Data'!$B:$B,Summary!$C541)</f>
        <v>0</v>
      </c>
      <c r="H541" s="65">
        <f ca="1">SUMIFS(OFFSET('BPC Data'!$F:$F,0,Summary!H$2),'BPC Data'!$E:$E,Summary!$D541,'BPC Data'!$B:$B,Summary!$C541)</f>
        <v>0</v>
      </c>
      <c r="I541" s="61">
        <f ca="1">SUMIFS(OFFSET('BPC Data'!$F:$F,0,Summary!I$2),'BPC Data'!$E:$E,Summary!$D541,'BPC Data'!$B:$B,Summary!$C541)</f>
        <v>0</v>
      </c>
      <c r="J541" s="65">
        <f ca="1">SUMIFS(OFFSET('BPC Data'!$F:$F,0,Summary!J$2),'BPC Data'!$E:$E,Summary!$D541,'BPC Data'!$B:$B,Summary!$C541)</f>
        <v>0</v>
      </c>
      <c r="K541" s="61">
        <f ca="1">SUMIFS(OFFSET('BPC Data'!$F:$F,0,Summary!K$2),'BPC Data'!$E:$E,Summary!$D541,'BPC Data'!$B:$B,Summary!$C541)</f>
        <v>0</v>
      </c>
      <c r="L541" s="65">
        <f ca="1">SUMIFS(OFFSET('BPC Data'!$F:$F,0,Summary!L$2),'BPC Data'!$E:$E,Summary!$D541,'BPC Data'!$B:$B,Summary!$C541)</f>
        <v>0</v>
      </c>
      <c r="M541" s="61">
        <f ca="1">SUMIFS(OFFSET('BPC Data'!$F:$F,0,Summary!M$2),'BPC Data'!$E:$E,Summary!$D541,'BPC Data'!$B:$B,Summary!$C541)</f>
        <v>0</v>
      </c>
      <c r="N541" s="65">
        <f ca="1">SUMIFS(OFFSET('BPC Data'!$F:$F,0,Summary!N$2),'BPC Data'!$E:$E,Summary!$D541,'BPC Data'!$B:$B,Summary!$C541)</f>
        <v>0</v>
      </c>
      <c r="O541" s="61">
        <f ca="1">SUMIFS(OFFSET('BPC Data'!$F:$F,0,Summary!O$2),'BPC Data'!$E:$E,Summary!$D541,'BPC Data'!$B:$B,Summary!$C541)</f>
        <v>0</v>
      </c>
      <c r="P541" s="65">
        <f ca="1">SUMIFS(OFFSET('BPC Data'!$F:$F,0,Summary!P$2),'BPC Data'!$E:$E,Summary!$D541,'BPC Data'!$B:$B,Summary!$C541)</f>
        <v>0</v>
      </c>
      <c r="Q541" s="61">
        <f ca="1">SUMIFS(OFFSET('BPC Data'!$F:$F,0,Summary!Q$2),'BPC Data'!$E:$E,Summary!$D541,'BPC Data'!$B:$B,Summary!$C541)</f>
        <v>0</v>
      </c>
      <c r="R541" s="65">
        <f ca="1">SUMIFS(OFFSET('BPC Data'!$F:$F,0,Summary!R$2),'BPC Data'!$E:$E,Summary!$D541,'BPC Data'!$B:$B,Summary!$C541)</f>
        <v>0</v>
      </c>
      <c r="S541" s="23"/>
      <c r="T541" s="76"/>
      <c r="AJ541" s="49"/>
      <c r="AK541" s="49"/>
      <c r="AL541" s="49"/>
      <c r="AM541" s="49"/>
      <c r="AN541" s="49"/>
      <c r="AO541" s="49"/>
      <c r="AP541" s="49"/>
      <c r="AQ541" s="49"/>
      <c r="AR541" s="49"/>
      <c r="AS541" s="49"/>
      <c r="AT541" s="49"/>
      <c r="AU541" s="49"/>
    </row>
    <row r="542" spans="1:47" s="12" customFormat="1" hidden="1" outlineLevel="1">
      <c r="A542" s="12">
        <f t="shared" si="474"/>
        <v>49</v>
      </c>
      <c r="B542"/>
      <c r="C542">
        <f>$F537</f>
        <v>0</v>
      </c>
      <c r="D542" s="3" t="str">
        <f t="shared" si="475"/>
        <v>T_BAD_DEBT - Tenant Bad Debt Expense</v>
      </c>
      <c r="E542"/>
      <c r="F542" s="19" t="str">
        <f>_xll.EVDES(D542)</f>
        <v>Tenant Bad Debt Expense</v>
      </c>
      <c r="G542" s="61">
        <f ca="1">SUMIFS(OFFSET('BPC Data'!$F:$F,0,Summary!G$2),'BPC Data'!$E:$E,Summary!$D542,'BPC Data'!$B:$B,Summary!$C542)</f>
        <v>0</v>
      </c>
      <c r="H542" s="65">
        <f ca="1">SUMIFS(OFFSET('BPC Data'!$F:$F,0,Summary!H$2),'BPC Data'!$E:$E,Summary!$D542,'BPC Data'!$B:$B,Summary!$C542)</f>
        <v>0</v>
      </c>
      <c r="I542" s="61">
        <f ca="1">SUMIFS(OFFSET('BPC Data'!$F:$F,0,Summary!I$2),'BPC Data'!$E:$E,Summary!$D542,'BPC Data'!$B:$B,Summary!$C542)</f>
        <v>0</v>
      </c>
      <c r="J542" s="65">
        <f ca="1">SUMIFS(OFFSET('BPC Data'!$F:$F,0,Summary!J$2),'BPC Data'!$E:$E,Summary!$D542,'BPC Data'!$B:$B,Summary!$C542)</f>
        <v>0</v>
      </c>
      <c r="K542" s="61">
        <f ca="1">SUMIFS(OFFSET('BPC Data'!$F:$F,0,Summary!K$2),'BPC Data'!$E:$E,Summary!$D542,'BPC Data'!$B:$B,Summary!$C542)</f>
        <v>0</v>
      </c>
      <c r="L542" s="65">
        <f ca="1">SUMIFS(OFFSET('BPC Data'!$F:$F,0,Summary!L$2),'BPC Data'!$E:$E,Summary!$D542,'BPC Data'!$B:$B,Summary!$C542)</f>
        <v>0</v>
      </c>
      <c r="M542" s="61">
        <f ca="1">SUMIFS(OFFSET('BPC Data'!$F:$F,0,Summary!M$2),'BPC Data'!$E:$E,Summary!$D542,'BPC Data'!$B:$B,Summary!$C542)</f>
        <v>0</v>
      </c>
      <c r="N542" s="65">
        <f ca="1">SUMIFS(OFFSET('BPC Data'!$F:$F,0,Summary!N$2),'BPC Data'!$E:$E,Summary!$D542,'BPC Data'!$B:$B,Summary!$C542)</f>
        <v>0</v>
      </c>
      <c r="O542" s="61">
        <f ca="1">SUMIFS(OFFSET('BPC Data'!$F:$F,0,Summary!O$2),'BPC Data'!$E:$E,Summary!$D542,'BPC Data'!$B:$B,Summary!$C542)</f>
        <v>0</v>
      </c>
      <c r="P542" s="65">
        <f ca="1">SUMIFS(OFFSET('BPC Data'!$F:$F,0,Summary!P$2),'BPC Data'!$E:$E,Summary!$D542,'BPC Data'!$B:$B,Summary!$C542)</f>
        <v>0</v>
      </c>
      <c r="Q542" s="61">
        <f ca="1">SUMIFS(OFFSET('BPC Data'!$F:$F,0,Summary!Q$2),'BPC Data'!$E:$E,Summary!$D542,'BPC Data'!$B:$B,Summary!$C542)</f>
        <v>0</v>
      </c>
      <c r="R542" s="65">
        <f ca="1">SUMIFS(OFFSET('BPC Data'!$F:$F,0,Summary!R$2),'BPC Data'!$E:$E,Summary!$D542,'BPC Data'!$B:$B,Summary!$C542)</f>
        <v>0</v>
      </c>
      <c r="S542" s="23"/>
      <c r="T542" s="76"/>
      <c r="AJ542" s="49"/>
      <c r="AK542" s="49"/>
      <c r="AL542" s="49"/>
      <c r="AM542" s="49"/>
      <c r="AN542" s="49"/>
      <c r="AO542" s="49"/>
      <c r="AP542" s="49"/>
      <c r="AQ542" s="49"/>
      <c r="AR542" s="49"/>
      <c r="AS542" s="49"/>
      <c r="AT542" s="49"/>
      <c r="AU542" s="49"/>
    </row>
    <row r="543" spans="1:47" s="12" customFormat="1" hidden="1" outlineLevel="1">
      <c r="A543" s="12">
        <f t="shared" si="474"/>
        <v>49</v>
      </c>
      <c r="B543"/>
      <c r="C543">
        <f>$F537</f>
        <v>0</v>
      </c>
      <c r="D543" s="2" t="str">
        <f t="shared" si="475"/>
        <v>T_EBITDARM - EBITDARM</v>
      </c>
      <c r="E543"/>
      <c r="F543" s="19" t="str">
        <f>_xll.EVDES(D543)</f>
        <v>EBITDARM</v>
      </c>
      <c r="G543" s="61">
        <f ca="1">SUMIFS(OFFSET('BPC Data'!$F:$F,0,Summary!G$2),'BPC Data'!$E:$E,Summary!$D543,'BPC Data'!$B:$B,Summary!$C543)</f>
        <v>0</v>
      </c>
      <c r="H543" s="65">
        <f ca="1">SUMIFS(OFFSET('BPC Data'!$F:$F,0,Summary!H$2),'BPC Data'!$E:$E,Summary!$D543,'BPC Data'!$B:$B,Summary!$C543)</f>
        <v>0</v>
      </c>
      <c r="I543" s="61">
        <f ca="1">SUMIFS(OFFSET('BPC Data'!$F:$F,0,Summary!I$2),'BPC Data'!$E:$E,Summary!$D543,'BPC Data'!$B:$B,Summary!$C543)</f>
        <v>0</v>
      </c>
      <c r="J543" s="65">
        <f ca="1">SUMIFS(OFFSET('BPC Data'!$F:$F,0,Summary!J$2),'BPC Data'!$E:$E,Summary!$D543,'BPC Data'!$B:$B,Summary!$C543)</f>
        <v>0</v>
      </c>
      <c r="K543" s="61">
        <f ca="1">SUMIFS(OFFSET('BPC Data'!$F:$F,0,Summary!K$2),'BPC Data'!$E:$E,Summary!$D543,'BPC Data'!$B:$B,Summary!$C543)</f>
        <v>0</v>
      </c>
      <c r="L543" s="65">
        <f ca="1">SUMIFS(OFFSET('BPC Data'!$F:$F,0,Summary!L$2),'BPC Data'!$E:$E,Summary!$D543,'BPC Data'!$B:$B,Summary!$C543)</f>
        <v>0</v>
      </c>
      <c r="M543" s="61">
        <f ca="1">SUMIFS(OFFSET('BPC Data'!$F:$F,0,Summary!M$2),'BPC Data'!$E:$E,Summary!$D543,'BPC Data'!$B:$B,Summary!$C543)</f>
        <v>0</v>
      </c>
      <c r="N543" s="65">
        <f ca="1">SUMIFS(OFFSET('BPC Data'!$F:$F,0,Summary!N$2),'BPC Data'!$E:$E,Summary!$D543,'BPC Data'!$B:$B,Summary!$C543)</f>
        <v>0</v>
      </c>
      <c r="O543" s="61">
        <f ca="1">SUMIFS(OFFSET('BPC Data'!$F:$F,0,Summary!O$2),'BPC Data'!$E:$E,Summary!$D543,'BPC Data'!$B:$B,Summary!$C543)</f>
        <v>0</v>
      </c>
      <c r="P543" s="65">
        <f ca="1">SUMIFS(OFFSET('BPC Data'!$F:$F,0,Summary!P$2),'BPC Data'!$E:$E,Summary!$D543,'BPC Data'!$B:$B,Summary!$C543)</f>
        <v>0</v>
      </c>
      <c r="Q543" s="61">
        <f ca="1">SUMIFS(OFFSET('BPC Data'!$F:$F,0,Summary!Q$2),'BPC Data'!$E:$E,Summary!$D543,'BPC Data'!$B:$B,Summary!$C543)</f>
        <v>0</v>
      </c>
      <c r="R543" s="65">
        <f ca="1">SUMIFS(OFFSET('BPC Data'!$F:$F,0,Summary!R$2),'BPC Data'!$E:$E,Summary!$D543,'BPC Data'!$B:$B,Summary!$C543)</f>
        <v>0</v>
      </c>
      <c r="S543" s="23"/>
      <c r="T543" s="76"/>
      <c r="AJ543" s="49"/>
      <c r="AK543" s="49"/>
      <c r="AL543" s="49"/>
      <c r="AM543" s="49"/>
      <c r="AN543" s="49"/>
      <c r="AO543" s="49"/>
      <c r="AP543" s="49"/>
      <c r="AQ543" s="49"/>
      <c r="AR543" s="49"/>
      <c r="AS543" s="49"/>
      <c r="AT543" s="49"/>
      <c r="AU543" s="49"/>
    </row>
    <row r="544" spans="1:47" s="12" customFormat="1" hidden="1" outlineLevel="1">
      <c r="A544" s="12">
        <f t="shared" si="474"/>
        <v>49</v>
      </c>
      <c r="B544"/>
      <c r="C544">
        <f>$F537</f>
        <v>0</v>
      </c>
      <c r="D544" s="2" t="str">
        <f t="shared" si="475"/>
        <v>T_MGMT_FEE - Tenant Management Fee - Actual</v>
      </c>
      <c r="E544"/>
      <c r="F544" s="19" t="str">
        <f>_xll.EVDES(D544)</f>
        <v>Tenant Management Fee - Actual</v>
      </c>
      <c r="G544" s="61">
        <f ca="1">SUMIFS(OFFSET('BPC Data'!$F:$F,0,Summary!G$2),'BPC Data'!$E:$E,Summary!$D544,'BPC Data'!$B:$B,Summary!$C544)</f>
        <v>0</v>
      </c>
      <c r="H544" s="65">
        <f ca="1">SUMIFS(OFFSET('BPC Data'!$F:$F,0,Summary!H$2),'BPC Data'!$E:$E,Summary!$D544,'BPC Data'!$B:$B,Summary!$C544)</f>
        <v>0</v>
      </c>
      <c r="I544" s="61">
        <f ca="1">SUMIFS(OFFSET('BPC Data'!$F:$F,0,Summary!I$2),'BPC Data'!$E:$E,Summary!$D544,'BPC Data'!$B:$B,Summary!$C544)</f>
        <v>0</v>
      </c>
      <c r="J544" s="65">
        <f ca="1">SUMIFS(OFFSET('BPC Data'!$F:$F,0,Summary!J$2),'BPC Data'!$E:$E,Summary!$D544,'BPC Data'!$B:$B,Summary!$C544)</f>
        <v>0</v>
      </c>
      <c r="K544" s="61">
        <f ca="1">SUMIFS(OFFSET('BPC Data'!$F:$F,0,Summary!K$2),'BPC Data'!$E:$E,Summary!$D544,'BPC Data'!$B:$B,Summary!$C544)</f>
        <v>0</v>
      </c>
      <c r="L544" s="65">
        <f ca="1">SUMIFS(OFFSET('BPC Data'!$F:$F,0,Summary!L$2),'BPC Data'!$E:$E,Summary!$D544,'BPC Data'!$B:$B,Summary!$C544)</f>
        <v>0</v>
      </c>
      <c r="M544" s="61">
        <f ca="1">SUMIFS(OFFSET('BPC Data'!$F:$F,0,Summary!M$2),'BPC Data'!$E:$E,Summary!$D544,'BPC Data'!$B:$B,Summary!$C544)</f>
        <v>0</v>
      </c>
      <c r="N544" s="65">
        <f ca="1">SUMIFS(OFFSET('BPC Data'!$F:$F,0,Summary!N$2),'BPC Data'!$E:$E,Summary!$D544,'BPC Data'!$B:$B,Summary!$C544)</f>
        <v>0</v>
      </c>
      <c r="O544" s="61">
        <f ca="1">SUMIFS(OFFSET('BPC Data'!$F:$F,0,Summary!O$2),'BPC Data'!$E:$E,Summary!$D544,'BPC Data'!$B:$B,Summary!$C544)</f>
        <v>0</v>
      </c>
      <c r="P544" s="65">
        <f ca="1">SUMIFS(OFFSET('BPC Data'!$F:$F,0,Summary!P$2),'BPC Data'!$E:$E,Summary!$D544,'BPC Data'!$B:$B,Summary!$C544)</f>
        <v>0</v>
      </c>
      <c r="Q544" s="61">
        <f ca="1">SUMIFS(OFFSET('BPC Data'!$F:$F,0,Summary!Q$2),'BPC Data'!$E:$E,Summary!$D544,'BPC Data'!$B:$B,Summary!$C544)</f>
        <v>0</v>
      </c>
      <c r="R544" s="65">
        <f ca="1">SUMIFS(OFFSET('BPC Data'!$F:$F,0,Summary!R$2),'BPC Data'!$E:$E,Summary!$D544,'BPC Data'!$B:$B,Summary!$C544)</f>
        <v>0</v>
      </c>
      <c r="S544" s="23"/>
      <c r="T544" s="76"/>
      <c r="AJ544" s="49"/>
      <c r="AK544" s="49"/>
      <c r="AL544" s="49"/>
      <c r="AM544" s="49"/>
      <c r="AN544" s="49"/>
      <c r="AO544" s="49"/>
      <c r="AP544" s="49"/>
      <c r="AQ544" s="49"/>
      <c r="AR544" s="49"/>
      <c r="AS544" s="49"/>
      <c r="AT544" s="49"/>
      <c r="AU544" s="49"/>
    </row>
    <row r="545" spans="1:47" s="12" customFormat="1" hidden="1" outlineLevel="1">
      <c r="A545" s="12">
        <f t="shared" si="474"/>
        <v>49</v>
      </c>
      <c r="B545"/>
      <c r="C545">
        <f>$F537</f>
        <v>0</v>
      </c>
      <c r="D545" s="1" t="str">
        <f t="shared" si="475"/>
        <v>T_EBITDAR - EBITDAR</v>
      </c>
      <c r="E545"/>
      <c r="F545" s="19" t="str">
        <f>_xll.EVDES(D545)</f>
        <v>EBITDAR</v>
      </c>
      <c r="G545" s="61">
        <f ca="1">SUMIFS(OFFSET('BPC Data'!$F:$F,0,Summary!G$2),'BPC Data'!$E:$E,Summary!$D545,'BPC Data'!$B:$B,Summary!$C545)</f>
        <v>0</v>
      </c>
      <c r="H545" s="65">
        <f ca="1">SUMIFS(OFFSET('BPC Data'!$F:$F,0,Summary!H$2),'BPC Data'!$E:$E,Summary!$D545,'BPC Data'!$B:$B,Summary!$C545)</f>
        <v>0</v>
      </c>
      <c r="I545" s="61">
        <f ca="1">SUMIFS(OFFSET('BPC Data'!$F:$F,0,Summary!I$2),'BPC Data'!$E:$E,Summary!$D545,'BPC Data'!$B:$B,Summary!$C545)</f>
        <v>0</v>
      </c>
      <c r="J545" s="65">
        <f ca="1">SUMIFS(OFFSET('BPC Data'!$F:$F,0,Summary!J$2),'BPC Data'!$E:$E,Summary!$D545,'BPC Data'!$B:$B,Summary!$C545)</f>
        <v>0</v>
      </c>
      <c r="K545" s="61">
        <f ca="1">SUMIFS(OFFSET('BPC Data'!$F:$F,0,Summary!K$2),'BPC Data'!$E:$E,Summary!$D545,'BPC Data'!$B:$B,Summary!$C545)</f>
        <v>0</v>
      </c>
      <c r="L545" s="65">
        <f ca="1">SUMIFS(OFFSET('BPC Data'!$F:$F,0,Summary!L$2),'BPC Data'!$E:$E,Summary!$D545,'BPC Data'!$B:$B,Summary!$C545)</f>
        <v>0</v>
      </c>
      <c r="M545" s="61">
        <f ca="1">SUMIFS(OFFSET('BPC Data'!$F:$F,0,Summary!M$2),'BPC Data'!$E:$E,Summary!$D545,'BPC Data'!$B:$B,Summary!$C545)</f>
        <v>0</v>
      </c>
      <c r="N545" s="65">
        <f ca="1">SUMIFS(OFFSET('BPC Data'!$F:$F,0,Summary!N$2),'BPC Data'!$E:$E,Summary!$D545,'BPC Data'!$B:$B,Summary!$C545)</f>
        <v>0</v>
      </c>
      <c r="O545" s="61">
        <f ca="1">SUMIFS(OFFSET('BPC Data'!$F:$F,0,Summary!O$2),'BPC Data'!$E:$E,Summary!$D545,'BPC Data'!$B:$B,Summary!$C545)</f>
        <v>0</v>
      </c>
      <c r="P545" s="65">
        <f ca="1">SUMIFS(OFFSET('BPC Data'!$F:$F,0,Summary!P$2),'BPC Data'!$E:$E,Summary!$D545,'BPC Data'!$B:$B,Summary!$C545)</f>
        <v>0</v>
      </c>
      <c r="Q545" s="61">
        <f ca="1">SUMIFS(OFFSET('BPC Data'!$F:$F,0,Summary!Q$2),'BPC Data'!$E:$E,Summary!$D545,'BPC Data'!$B:$B,Summary!$C545)</f>
        <v>0</v>
      </c>
      <c r="R545" s="65">
        <f ca="1">SUMIFS(OFFSET('BPC Data'!$F:$F,0,Summary!R$2),'BPC Data'!$E:$E,Summary!$D545,'BPC Data'!$B:$B,Summary!$C545)</f>
        <v>0</v>
      </c>
      <c r="S545" s="23"/>
      <c r="T545" s="76"/>
      <c r="AJ545" s="49"/>
      <c r="AK545" s="49"/>
      <c r="AL545" s="49"/>
      <c r="AM545" s="49"/>
      <c r="AN545" s="49"/>
      <c r="AO545" s="49"/>
      <c r="AP545" s="49"/>
      <c r="AQ545" s="49"/>
      <c r="AR545" s="49"/>
      <c r="AS545" s="49"/>
      <c r="AT545" s="49"/>
      <c r="AU545" s="49"/>
    </row>
    <row r="546" spans="1:47" s="12" customFormat="1" hidden="1" outlineLevel="1">
      <c r="A546" s="12">
        <f t="shared" si="474"/>
        <v>49</v>
      </c>
      <c r="B546"/>
      <c r="C546">
        <f>$F537</f>
        <v>0</v>
      </c>
      <c r="D546" s="1" t="str">
        <f t="shared" si="475"/>
        <v>T_RENT_EXP - Tenant Rent Expense</v>
      </c>
      <c r="E546"/>
      <c r="F546" s="19" t="str">
        <f>_xll.EVDES(D546)</f>
        <v>Tenant Rent Expense</v>
      </c>
      <c r="G546" s="61">
        <f ca="1">SUMIFS(OFFSET('BPC Data'!$F:$F,0,Summary!G$2),'BPC Data'!$E:$E,Summary!$D546,'BPC Data'!$B:$B,Summary!$C546)</f>
        <v>0</v>
      </c>
      <c r="H546" s="65">
        <f ca="1">SUMIFS(OFFSET('BPC Data'!$F:$F,0,Summary!H$2),'BPC Data'!$E:$E,Summary!$D546,'BPC Data'!$B:$B,Summary!$C546)</f>
        <v>0</v>
      </c>
      <c r="I546" s="61">
        <f ca="1">SUMIFS(OFFSET('BPC Data'!$F:$F,0,Summary!I$2),'BPC Data'!$E:$E,Summary!$D546,'BPC Data'!$B:$B,Summary!$C546)</f>
        <v>0</v>
      </c>
      <c r="J546" s="65">
        <f ca="1">SUMIFS(OFFSET('BPC Data'!$F:$F,0,Summary!J$2),'BPC Data'!$E:$E,Summary!$D546,'BPC Data'!$B:$B,Summary!$C546)</f>
        <v>0</v>
      </c>
      <c r="K546" s="61">
        <f ca="1">SUMIFS(OFFSET('BPC Data'!$F:$F,0,Summary!K$2),'BPC Data'!$E:$E,Summary!$D546,'BPC Data'!$B:$B,Summary!$C546)</f>
        <v>0</v>
      </c>
      <c r="L546" s="65">
        <f ca="1">SUMIFS(OFFSET('BPC Data'!$F:$F,0,Summary!L$2),'BPC Data'!$E:$E,Summary!$D546,'BPC Data'!$B:$B,Summary!$C546)</f>
        <v>0</v>
      </c>
      <c r="M546" s="61">
        <f ca="1">SUMIFS(OFFSET('BPC Data'!$F:$F,0,Summary!M$2),'BPC Data'!$E:$E,Summary!$D546,'BPC Data'!$B:$B,Summary!$C546)</f>
        <v>0</v>
      </c>
      <c r="N546" s="65">
        <f ca="1">SUMIFS(OFFSET('BPC Data'!$F:$F,0,Summary!N$2),'BPC Data'!$E:$E,Summary!$D546,'BPC Data'!$B:$B,Summary!$C546)</f>
        <v>0</v>
      </c>
      <c r="O546" s="61">
        <f ca="1">SUMIFS(OFFSET('BPC Data'!$F:$F,0,Summary!O$2),'BPC Data'!$E:$E,Summary!$D546,'BPC Data'!$B:$B,Summary!$C546)</f>
        <v>0</v>
      </c>
      <c r="P546" s="65">
        <f ca="1">SUMIFS(OFFSET('BPC Data'!$F:$F,0,Summary!P$2),'BPC Data'!$E:$E,Summary!$D546,'BPC Data'!$B:$B,Summary!$C546)</f>
        <v>0</v>
      </c>
      <c r="Q546" s="61">
        <f ca="1">SUMIFS(OFFSET('BPC Data'!$F:$F,0,Summary!Q$2),'BPC Data'!$E:$E,Summary!$D546,'BPC Data'!$B:$B,Summary!$C546)</f>
        <v>0</v>
      </c>
      <c r="R546" s="65">
        <f ca="1">SUMIFS(OFFSET('BPC Data'!$F:$F,0,Summary!R$2),'BPC Data'!$E:$E,Summary!$D546,'BPC Data'!$B:$B,Summary!$C546)</f>
        <v>0</v>
      </c>
      <c r="S546" s="23"/>
      <c r="T546" s="76"/>
      <c r="AJ546" s="49"/>
      <c r="AK546" s="49"/>
      <c r="AL546" s="49"/>
      <c r="AM546" s="49"/>
      <c r="AN546" s="49"/>
      <c r="AO546" s="49"/>
      <c r="AP546" s="49"/>
      <c r="AQ546" s="49"/>
      <c r="AR546" s="49"/>
      <c r="AS546" s="49"/>
      <c r="AT546" s="49"/>
      <c r="AU546" s="49"/>
    </row>
    <row r="547" spans="1:47" s="12" customFormat="1" hidden="1" outlineLevel="1">
      <c r="A547" s="12">
        <f t="shared" si="474"/>
        <v>49</v>
      </c>
      <c r="B547"/>
      <c r="C547"/>
      <c r="D547" s="1" t="str">
        <f t="shared" si="475"/>
        <v>x</v>
      </c>
      <c r="E547"/>
      <c r="F547" s="19" t="s">
        <v>0</v>
      </c>
      <c r="G547" s="61">
        <f ca="1">SUMIFS(OFFSET('BPC Data'!$F:$F,0,Summary!G$2),'BPC Data'!$E:$E,Summary!$D547,'BPC Data'!$B:$B,Summary!$C547)</f>
        <v>0</v>
      </c>
      <c r="H547" s="65">
        <f ca="1">SUMIFS(OFFSET('BPC Data'!$F:$F,0,Summary!H$2),'BPC Data'!$E:$E,Summary!$D547,'BPC Data'!$B:$B,Summary!$C547)</f>
        <v>0</v>
      </c>
      <c r="I547" s="61">
        <f ca="1">SUMIFS(OFFSET('BPC Data'!$F:$F,0,Summary!I$2),'BPC Data'!$E:$E,Summary!$D547,'BPC Data'!$B:$B,Summary!$C547)</f>
        <v>0</v>
      </c>
      <c r="J547" s="65">
        <f ca="1">SUMIFS(OFFSET('BPC Data'!$F:$F,0,Summary!J$2),'BPC Data'!$E:$E,Summary!$D547,'BPC Data'!$B:$B,Summary!$C547)</f>
        <v>0</v>
      </c>
      <c r="K547" s="61">
        <f ca="1">SUMIFS(OFFSET('BPC Data'!$F:$F,0,Summary!K$2),'BPC Data'!$E:$E,Summary!$D547,'BPC Data'!$B:$B,Summary!$C547)</f>
        <v>0</v>
      </c>
      <c r="L547" s="65">
        <f ca="1">SUMIFS(OFFSET('BPC Data'!$F:$F,0,Summary!L$2),'BPC Data'!$E:$E,Summary!$D547,'BPC Data'!$B:$B,Summary!$C547)</f>
        <v>0</v>
      </c>
      <c r="M547" s="61">
        <f ca="1">SUMIFS(OFFSET('BPC Data'!$F:$F,0,Summary!M$2),'BPC Data'!$E:$E,Summary!$D547,'BPC Data'!$B:$B,Summary!$C547)</f>
        <v>0</v>
      </c>
      <c r="N547" s="65">
        <f ca="1">SUMIFS(OFFSET('BPC Data'!$F:$F,0,Summary!N$2),'BPC Data'!$E:$E,Summary!$D547,'BPC Data'!$B:$B,Summary!$C547)</f>
        <v>0</v>
      </c>
      <c r="O547" s="61">
        <f ca="1">SUMIFS(OFFSET('BPC Data'!$F:$F,0,Summary!O$2),'BPC Data'!$E:$E,Summary!$D547,'BPC Data'!$B:$B,Summary!$C547)</f>
        <v>0</v>
      </c>
      <c r="P547" s="65">
        <f ca="1">SUMIFS(OFFSET('BPC Data'!$F:$F,0,Summary!P$2),'BPC Data'!$E:$E,Summary!$D547,'BPC Data'!$B:$B,Summary!$C547)</f>
        <v>0</v>
      </c>
      <c r="Q547" s="61">
        <f ca="1">SUMIFS(OFFSET('BPC Data'!$F:$F,0,Summary!Q$2),'BPC Data'!$E:$E,Summary!$D547,'BPC Data'!$B:$B,Summary!$C547)</f>
        <v>0</v>
      </c>
      <c r="R547" s="65">
        <f ca="1">SUMIFS(OFFSET('BPC Data'!$F:$F,0,Summary!R$2),'BPC Data'!$E:$E,Summary!$D547,'BPC Data'!$B:$B,Summary!$C547)</f>
        <v>0</v>
      </c>
      <c r="S547" s="23"/>
      <c r="T547" s="76"/>
      <c r="AJ547" s="49"/>
      <c r="AK547" s="49"/>
      <c r="AL547" s="49"/>
      <c r="AM547" s="49"/>
      <c r="AN547" s="49"/>
      <c r="AO547" s="49"/>
      <c r="AP547" s="49"/>
      <c r="AQ547" s="49"/>
      <c r="AR547" s="49"/>
      <c r="AS547" s="49"/>
      <c r="AT547" s="49"/>
      <c r="AU547" s="49"/>
    </row>
    <row r="548" spans="1:47" s="8" customFormat="1" ht="13.5" hidden="1" customHeight="1" outlineLevel="1">
      <c r="D548" s="5"/>
      <c r="F548" s="9"/>
      <c r="G548" s="13"/>
      <c r="H548" s="13"/>
      <c r="I548" s="13"/>
      <c r="J548" s="13"/>
      <c r="K548" s="13"/>
      <c r="L548" s="13"/>
      <c r="M548" s="13"/>
      <c r="N548" s="13"/>
      <c r="O548" s="13"/>
      <c r="P548" s="13"/>
      <c r="Q548" s="13"/>
      <c r="R548" s="13"/>
      <c r="S548" s="23"/>
      <c r="T548" s="78"/>
      <c r="AJ548" s="175"/>
      <c r="AK548" s="175"/>
      <c r="AL548" s="175"/>
      <c r="AM548" s="175"/>
      <c r="AN548" s="175"/>
      <c r="AO548" s="175"/>
      <c r="AP548" s="175"/>
      <c r="AQ548" s="175"/>
      <c r="AR548" s="175"/>
      <c r="AS548" s="175"/>
      <c r="AT548" s="175"/>
      <c r="AU548" s="175"/>
    </row>
    <row r="549" spans="1:47" collapsed="1">
      <c r="F549" s="18" t="str">
        <f>$F$4&amp;" Total"</f>
        <v>Healthmark Group Total</v>
      </c>
      <c r="G549" s="62"/>
      <c r="I549" s="62"/>
      <c r="K549" s="62"/>
      <c r="M549" s="62"/>
      <c r="O549" s="62"/>
      <c r="Q549" s="62"/>
      <c r="S549" s="23"/>
      <c r="AJ549" s="174" t="str">
        <f>W$9</f>
        <v>Aug 2021</v>
      </c>
      <c r="AK549" s="174" t="str">
        <f t="shared" ref="AK549" si="476">X$9</f>
        <v>Sep 2021</v>
      </c>
      <c r="AL549" s="174" t="str">
        <f t="shared" ref="AL549" si="477">Y$9</f>
        <v>Oct 2021</v>
      </c>
      <c r="AM549" s="174" t="str">
        <f t="shared" ref="AM549" si="478">Z$9</f>
        <v>Nov 2021</v>
      </c>
      <c r="AN549" s="174" t="str">
        <f t="shared" ref="AN549:AO549" si="479">AA$9</f>
        <v>Dec 2021</v>
      </c>
      <c r="AO549" s="174" t="str">
        <f t="shared" si="479"/>
        <v>Jan 2022</v>
      </c>
      <c r="AP549" s="174" t="str">
        <f t="shared" ref="AP549" si="480">AC$9</f>
        <v>Feb 2022</v>
      </c>
      <c r="AQ549" s="174" t="str">
        <f t="shared" ref="AQ549" si="481">AD$9</f>
        <v>Mar 2022</v>
      </c>
      <c r="AR549" s="174" t="str">
        <f t="shared" ref="AR549" si="482">AE$9</f>
        <v>Apr 2022</v>
      </c>
      <c r="AS549" s="174" t="str">
        <f t="shared" ref="AS549" si="483">AF$9</f>
        <v>May 2022</v>
      </c>
      <c r="AT549" s="174" t="str">
        <f t="shared" ref="AT549" si="484">AG$9</f>
        <v>Jun 2022</v>
      </c>
      <c r="AU549" s="174" t="str">
        <f t="shared" ref="AU549" si="485">AH$9</f>
        <v>Jul 2022</v>
      </c>
    </row>
    <row r="550" spans="1:47">
      <c r="D550" s="3" t="str">
        <f>$D538</f>
        <v>PAY_PAT_DAYS - Total Payor Patient Days</v>
      </c>
      <c r="E550" s="12"/>
      <c r="F550" s="19" t="str">
        <f>_xll.EVDES(D550)</f>
        <v>Total Payor Patient Days</v>
      </c>
      <c r="G550" s="61">
        <f t="shared" ref="G550" ca="1" si="486">SUMIFS(G$10:G$547,$F$10:$F$547,$F550)</f>
        <v>37215</v>
      </c>
      <c r="H550" s="14">
        <f t="shared" ref="G550:R558" ca="1" si="487">SUMIFS(H$10:H$547,$F$10:$F$547,$F550)</f>
        <v>35882</v>
      </c>
      <c r="I550" s="61">
        <f t="shared" ca="1" si="487"/>
        <v>37154</v>
      </c>
      <c r="J550" s="14">
        <f t="shared" ca="1" si="487"/>
        <v>36585</v>
      </c>
      <c r="K550" s="61">
        <f t="shared" ca="1" si="487"/>
        <v>37895</v>
      </c>
      <c r="L550" s="14">
        <f t="shared" ca="1" si="487"/>
        <v>38235</v>
      </c>
      <c r="M550" s="61">
        <f t="shared" ca="1" si="487"/>
        <v>35866</v>
      </c>
      <c r="N550" s="14">
        <f t="shared" ca="1" si="487"/>
        <v>38254</v>
      </c>
      <c r="O550" s="61">
        <f t="shared" ca="1" si="487"/>
        <v>37370</v>
      </c>
      <c r="P550" s="14">
        <f t="shared" ca="1" si="487"/>
        <v>38513</v>
      </c>
      <c r="Q550" s="61">
        <f t="shared" ca="1" si="487"/>
        <v>38248</v>
      </c>
      <c r="R550" s="14">
        <f t="shared" ca="1" si="487"/>
        <v>21032</v>
      </c>
      <c r="S550" s="23">
        <f ca="1">SUM(G550:R550)-R208-R175-R76</f>
        <v>444897</v>
      </c>
      <c r="T550" s="74">
        <f ca="1">SUM(W550:AH550)</f>
        <v>418305</v>
      </c>
      <c r="U550" s="54">
        <f ca="1">T550-S550</f>
        <v>-26592</v>
      </c>
      <c r="W550" s="50">
        <f t="shared" ref="W550" ca="1" si="488">W10+W21+W32+W43+W54+W65+W76+W87+W98+W109+W120+W131+W142+W153+W164+W186+W175+W197+W208</f>
        <v>37215</v>
      </c>
      <c r="X550" s="50">
        <f t="shared" ref="X550:AG550" ca="1" si="489">X10+X21+X32+X43+X54+X65+X76+X87+X98+X109+X120+X131+X142+X153+X164+X186+X175+X197+X208</f>
        <v>35882</v>
      </c>
      <c r="Y550" s="50">
        <f t="shared" ca="1" si="489"/>
        <v>37154</v>
      </c>
      <c r="Z550" s="50">
        <f t="shared" ca="1" si="489"/>
        <v>36585</v>
      </c>
      <c r="AA550" s="50">
        <f t="shared" ca="1" si="489"/>
        <v>37895</v>
      </c>
      <c r="AB550" s="50">
        <f t="shared" ca="1" si="489"/>
        <v>38235</v>
      </c>
      <c r="AC550" s="50">
        <f t="shared" ca="1" si="489"/>
        <v>35866</v>
      </c>
      <c r="AD550" s="50">
        <f t="shared" ca="1" si="489"/>
        <v>38254</v>
      </c>
      <c r="AE550" s="50">
        <f t="shared" ca="1" si="489"/>
        <v>37370</v>
      </c>
      <c r="AF550" s="50">
        <f t="shared" ca="1" si="489"/>
        <v>38513</v>
      </c>
      <c r="AG550" s="50">
        <f t="shared" ca="1" si="489"/>
        <v>11656</v>
      </c>
      <c r="AH550" s="50">
        <f ca="1">AH10+AH21+AH32+AH43+AH54+AH65+AH76+AH87+AH98+AH109+AH120+AH131+AH142+AH153+AH164+AH186+AH175+AH197+AH208</f>
        <v>33680</v>
      </c>
      <c r="AI550" s="50"/>
      <c r="AJ550" s="14">
        <f t="shared" ref="AJ550:AT550" ca="1" si="490">W550-G550</f>
        <v>0</v>
      </c>
      <c r="AK550" s="14">
        <f t="shared" ca="1" si="490"/>
        <v>0</v>
      </c>
      <c r="AL550" s="14">
        <f t="shared" ca="1" si="490"/>
        <v>0</v>
      </c>
      <c r="AM550" s="14">
        <f t="shared" ca="1" si="490"/>
        <v>0</v>
      </c>
      <c r="AN550" s="14">
        <f t="shared" ca="1" si="490"/>
        <v>0</v>
      </c>
      <c r="AO550" s="14">
        <f t="shared" ca="1" si="490"/>
        <v>0</v>
      </c>
      <c r="AP550" s="14">
        <f t="shared" ca="1" si="490"/>
        <v>0</v>
      </c>
      <c r="AQ550" s="14">
        <f t="shared" ca="1" si="490"/>
        <v>0</v>
      </c>
      <c r="AR550" s="14">
        <f t="shared" ca="1" si="490"/>
        <v>0</v>
      </c>
      <c r="AS550" s="14">
        <f t="shared" ca="1" si="490"/>
        <v>0</v>
      </c>
      <c r="AT550" s="14">
        <f t="shared" ca="1" si="490"/>
        <v>-26592</v>
      </c>
      <c r="AU550" s="14">
        <f ca="1">AH550-R560</f>
        <v>0</v>
      </c>
    </row>
    <row r="551" spans="1:47">
      <c r="D551" s="3" t="str">
        <f t="shared" ref="D551:D559" si="491">$D539</f>
        <v>A_BEDS_TOTAL - Total Available Beds</v>
      </c>
      <c r="E551" s="12"/>
      <c r="F551" s="19" t="str">
        <f>_xll.EVDES(D551)</f>
        <v>Total Available Beds</v>
      </c>
      <c r="G551" s="61">
        <f t="shared" ca="1" si="487"/>
        <v>1885</v>
      </c>
      <c r="H551" s="14">
        <f t="shared" ca="1" si="487"/>
        <v>1885</v>
      </c>
      <c r="I551" s="61">
        <f t="shared" ca="1" si="487"/>
        <v>1885</v>
      </c>
      <c r="J551" s="14">
        <f t="shared" ca="1" si="487"/>
        <v>1885</v>
      </c>
      <c r="K551" s="61">
        <f t="shared" ca="1" si="487"/>
        <v>1885</v>
      </c>
      <c r="L551" s="14">
        <f t="shared" ca="1" si="487"/>
        <v>1885</v>
      </c>
      <c r="M551" s="61">
        <f t="shared" ca="1" si="487"/>
        <v>1885</v>
      </c>
      <c r="N551" s="14">
        <f t="shared" ca="1" si="487"/>
        <v>1885</v>
      </c>
      <c r="O551" s="61">
        <f t="shared" ca="1" si="487"/>
        <v>1885</v>
      </c>
      <c r="P551" s="14">
        <f t="shared" ca="1" si="487"/>
        <v>1885</v>
      </c>
      <c r="Q551" s="61">
        <f t="shared" ca="1" si="487"/>
        <v>1885</v>
      </c>
      <c r="R551" s="14">
        <f t="shared" ca="1" si="487"/>
        <v>1885</v>
      </c>
      <c r="S551" s="23">
        <f ca="1">+R551</f>
        <v>1885</v>
      </c>
      <c r="T551" s="74"/>
      <c r="U551" s="54"/>
      <c r="AJ551" s="49"/>
      <c r="AK551" s="49"/>
      <c r="AL551" s="49"/>
      <c r="AM551" s="49"/>
      <c r="AN551" s="49"/>
      <c r="AO551" s="49"/>
      <c r="AP551" s="49"/>
      <c r="AQ551" s="49"/>
      <c r="AR551" s="49"/>
      <c r="AS551" s="49"/>
      <c r="AT551" s="49"/>
      <c r="AU551" s="49"/>
    </row>
    <row r="552" spans="1:47">
      <c r="D552" s="3" t="str">
        <f t="shared" si="491"/>
        <v>T_REVENUES - Total Tenant Revenues</v>
      </c>
      <c r="F552" s="19" t="str">
        <f>_xll.EVDES(D552)</f>
        <v>Total Tenant Revenues</v>
      </c>
      <c r="G552" s="61">
        <f t="shared" ca="1" si="487"/>
        <v>9715174</v>
      </c>
      <c r="H552" s="14">
        <f t="shared" ca="1" si="487"/>
        <v>9929907</v>
      </c>
      <c r="I552" s="61">
        <f t="shared" ca="1" si="487"/>
        <v>10080401</v>
      </c>
      <c r="J552" s="14">
        <f t="shared" ca="1" si="487"/>
        <v>9612752</v>
      </c>
      <c r="K552" s="61">
        <f t="shared" ca="1" si="487"/>
        <v>9988278</v>
      </c>
      <c r="L552" s="14">
        <f t="shared" ca="1" si="487"/>
        <v>10648543</v>
      </c>
      <c r="M552" s="61">
        <f t="shared" ca="1" si="487"/>
        <v>10133537</v>
      </c>
      <c r="N552" s="14">
        <f t="shared" ca="1" si="487"/>
        <v>10399014</v>
      </c>
      <c r="O552" s="61">
        <f t="shared" ca="1" si="487"/>
        <v>9840036</v>
      </c>
      <c r="P552" s="14">
        <f t="shared" ca="1" si="487"/>
        <v>10242095</v>
      </c>
      <c r="Q552" s="61">
        <f t="shared" ca="1" si="487"/>
        <v>9882274</v>
      </c>
      <c r="R552" s="14">
        <f t="shared" ca="1" si="487"/>
        <v>8921126</v>
      </c>
      <c r="S552" s="23">
        <f t="shared" ref="S552:S558" ca="1" si="492">SUM(G552:R552)-R210-R177-R78</f>
        <v>119617224</v>
      </c>
      <c r="T552" s="74">
        <f ca="1">SUM(W552:AH552)</f>
        <v>100866393.50999999</v>
      </c>
      <c r="U552" s="54">
        <f ca="1">T552-S552</f>
        <v>-18750830.49000001</v>
      </c>
      <c r="W552" s="50">
        <f t="shared" ref="W552" ca="1" si="493">W12+W23+W34+W45+W56+W67+W78+W89+W100+W111+W122+W133+W144+W155+W166+W188+W177+W199+W210</f>
        <v>9715175.5299999975</v>
      </c>
      <c r="X552" s="50">
        <f t="shared" ref="X552:AG552" ca="1" si="494">X12+X23+X34+X45+X56+X67+X78+X89+X100+X111+X122+X133+X144+X155+X166+X188+X177+X199+X210</f>
        <v>9929908.7799999993</v>
      </c>
      <c r="Y552" s="50">
        <f ca="1">Y12+Y23+Y34+Y45+Y56+Y67+Y78+Y89+Y100+Y111+Y122+Y133+Y144+Y155+Y166+Y188+Y177+Y199+Y210</f>
        <v>10080400.710000003</v>
      </c>
      <c r="Z552" s="50">
        <f t="shared" ca="1" si="494"/>
        <v>9612746.6300000008</v>
      </c>
      <c r="AA552" s="50">
        <f t="shared" ca="1" si="494"/>
        <v>2559314.6999999997</v>
      </c>
      <c r="AB552" s="50">
        <f t="shared" ca="1" si="494"/>
        <v>10648541</v>
      </c>
      <c r="AC552" s="50">
        <f t="shared" ca="1" si="494"/>
        <v>10133535.699999999</v>
      </c>
      <c r="AD552" s="50">
        <f t="shared" ca="1" si="494"/>
        <v>10399009.619999995</v>
      </c>
      <c r="AE552" s="50">
        <f t="shared" ca="1" si="494"/>
        <v>9840039.5500000045</v>
      </c>
      <c r="AF552" s="50">
        <f t="shared" ca="1" si="494"/>
        <v>10242095.589999998</v>
      </c>
      <c r="AG552" s="50">
        <f t="shared" ca="1" si="494"/>
        <v>-1439586.5600000066</v>
      </c>
      <c r="AH552" s="50">
        <f t="shared" ref="AH552" ca="1" si="495">AH12+AH23+AH34+AH45+AH56+AH67+AH78+AH89+AH100+AH111+AH122+AH133+AH144+AH155+AH166+AH188+AH177+AH199+AH210</f>
        <v>9145212.2599999979</v>
      </c>
      <c r="AI552" s="50"/>
      <c r="AJ552" s="14">
        <f t="shared" ref="AJ552:AT553" ca="1" si="496">W552-G552</f>
        <v>1.5299999974668026</v>
      </c>
      <c r="AK552" s="14">
        <f t="shared" ca="1" si="496"/>
        <v>1.7799999993294477</v>
      </c>
      <c r="AL552" s="14">
        <f t="shared" ca="1" si="496"/>
        <v>-0.28999999724328518</v>
      </c>
      <c r="AM552" s="14">
        <f t="shared" ca="1" si="496"/>
        <v>-5.3699999991804361</v>
      </c>
      <c r="AN552" s="14">
        <f t="shared" ca="1" si="496"/>
        <v>-7428963.3000000007</v>
      </c>
      <c r="AO552" s="14">
        <f t="shared" ca="1" si="496"/>
        <v>-2</v>
      </c>
      <c r="AP552" s="14">
        <f t="shared" ca="1" si="496"/>
        <v>-1.3000000007450581</v>
      </c>
      <c r="AQ552" s="14">
        <f t="shared" ca="1" si="496"/>
        <v>-4.3800000045448542</v>
      </c>
      <c r="AR552" s="14">
        <f t="shared" ca="1" si="496"/>
        <v>3.5500000044703484</v>
      </c>
      <c r="AS552" s="14">
        <f t="shared" ca="1" si="496"/>
        <v>0.58999999798834324</v>
      </c>
      <c r="AT552" s="14">
        <f t="shared" ca="1" si="496"/>
        <v>-11321860.560000006</v>
      </c>
      <c r="AU552" s="14">
        <f t="shared" ref="AU552:AU553" ca="1" si="497">AH552-R562</f>
        <v>-0.74000000208616257</v>
      </c>
    </row>
    <row r="553" spans="1:47">
      <c r="D553" s="3" t="str">
        <f t="shared" si="491"/>
        <v>T_OPEX - Tenant Operating Expenses</v>
      </c>
      <c r="F553" s="19" t="str">
        <f>_xll.EVDES(D553)</f>
        <v>Tenant Operating Expenses</v>
      </c>
      <c r="G553" s="61">
        <f t="shared" ca="1" si="487"/>
        <v>8253543.9199999999</v>
      </c>
      <c r="H553" s="14">
        <f t="shared" ca="1" si="487"/>
        <v>8120274</v>
      </c>
      <c r="I553" s="61">
        <f t="shared" ca="1" si="487"/>
        <v>8043207</v>
      </c>
      <c r="J553" s="14">
        <f t="shared" ca="1" si="487"/>
        <v>7648133</v>
      </c>
      <c r="K553" s="61">
        <f t="shared" ca="1" si="487"/>
        <v>5992267</v>
      </c>
      <c r="L553" s="14">
        <f t="shared" ca="1" si="487"/>
        <v>7812483</v>
      </c>
      <c r="M553" s="61">
        <f t="shared" ca="1" si="487"/>
        <v>7965125</v>
      </c>
      <c r="N553" s="14">
        <f t="shared" ca="1" si="487"/>
        <v>8441284</v>
      </c>
      <c r="O553" s="61">
        <f t="shared" ca="1" si="487"/>
        <v>7875527</v>
      </c>
      <c r="P553" s="14">
        <f t="shared" ca="1" si="487"/>
        <v>7739878</v>
      </c>
      <c r="Q553" s="61">
        <f t="shared" ca="1" si="487"/>
        <v>7731415</v>
      </c>
      <c r="R553" s="14">
        <f t="shared" ca="1" si="487"/>
        <v>6900892</v>
      </c>
      <c r="S553" s="23">
        <f t="shared" ca="1" si="492"/>
        <v>92524028.920000002</v>
      </c>
      <c r="T553" s="74">
        <f ca="1">SUM(W553:AH553)</f>
        <v>83445963.649999976</v>
      </c>
      <c r="U553" s="54">
        <f ca="1">T553-S553</f>
        <v>-9078065.2700000256</v>
      </c>
      <c r="W553" s="50">
        <f t="shared" ref="W553" ca="1" si="498">W13+W24+W35+W46+W57+W68+W79+W90+W101+W112+W123+W134+W145+W156+W167+W189+W178+W200+W211</f>
        <v>8253542.4000000013</v>
      </c>
      <c r="X553" s="50">
        <f t="shared" ref="X553:AG553" ca="1" si="499">X13+X24+X35+X46+X57+X68+X79+X90+X101+X112+X123+X134+X145+X156+X167+X189+X178+X200+X211</f>
        <v>8120271.9900000002</v>
      </c>
      <c r="Y553" s="50">
        <f t="shared" ca="1" si="499"/>
        <v>8043213.4199999999</v>
      </c>
      <c r="Z553" s="50">
        <f t="shared" ca="1" si="499"/>
        <v>7648139.1900000013</v>
      </c>
      <c r="AA553" s="50">
        <f t="shared" ca="1" si="499"/>
        <v>6459729.0800000019</v>
      </c>
      <c r="AB553" s="50">
        <f t="shared" ca="1" si="499"/>
        <v>7812487.4000000004</v>
      </c>
      <c r="AC553" s="50">
        <f t="shared" ca="1" si="499"/>
        <v>7965116.4100000001</v>
      </c>
      <c r="AD553" s="50">
        <f t="shared" ca="1" si="499"/>
        <v>8441281.5499999989</v>
      </c>
      <c r="AE553" s="50">
        <f t="shared" ca="1" si="499"/>
        <v>7875532.0700000003</v>
      </c>
      <c r="AF553" s="50">
        <f t="shared" ca="1" si="499"/>
        <v>7739877.6299999999</v>
      </c>
      <c r="AG553" s="50">
        <f t="shared" ca="1" si="499"/>
        <v>-1814115.4200000041</v>
      </c>
      <c r="AH553" s="50">
        <f t="shared" ref="AH553" ca="1" si="500">AH13+AH24+AH35+AH46+AH57+AH68+AH79+AH90+AH101+AH112+AH123+AH134+AH145+AH156+AH167+AH189+AH178+AH200+AH211</f>
        <v>6900887.9299999978</v>
      </c>
      <c r="AI553" s="50"/>
      <c r="AJ553" s="14">
        <f t="shared" ca="1" si="496"/>
        <v>-1.5199999986216426</v>
      </c>
      <c r="AK553" s="14">
        <f t="shared" ca="1" si="496"/>
        <v>-2.0099999997764826</v>
      </c>
      <c r="AL553" s="14">
        <f t="shared" ca="1" si="496"/>
        <v>6.4199999999254942</v>
      </c>
      <c r="AM553" s="14">
        <f t="shared" ca="1" si="496"/>
        <v>6.1900000013411045</v>
      </c>
      <c r="AN553" s="14">
        <f t="shared" ca="1" si="496"/>
        <v>467462.08000000194</v>
      </c>
      <c r="AO553" s="14">
        <f t="shared" ca="1" si="496"/>
        <v>4.400000000372529</v>
      </c>
      <c r="AP553" s="14">
        <f t="shared" ca="1" si="496"/>
        <v>-8.5899999998509884</v>
      </c>
      <c r="AQ553" s="14">
        <f t="shared" ca="1" si="496"/>
        <v>-2.4500000011175871</v>
      </c>
      <c r="AR553" s="14">
        <f t="shared" ca="1" si="496"/>
        <v>5.0700000002980232</v>
      </c>
      <c r="AS553" s="14">
        <f t="shared" ca="1" si="496"/>
        <v>-0.37000000011175871</v>
      </c>
      <c r="AT553" s="14">
        <f t="shared" ca="1" si="496"/>
        <v>-9545530.4200000037</v>
      </c>
      <c r="AU553" s="14">
        <f t="shared" ca="1" si="497"/>
        <v>-4.0700000021606684</v>
      </c>
    </row>
    <row r="554" spans="1:47">
      <c r="D554" s="3" t="str">
        <f t="shared" si="491"/>
        <v>T_BAD_DEBT - Tenant Bad Debt Expense</v>
      </c>
      <c r="F554" s="19" t="str">
        <f>_xll.EVDES(D554)</f>
        <v>Tenant Bad Debt Expense</v>
      </c>
      <c r="G554" s="61">
        <f t="shared" ca="1" si="487"/>
        <v>238119</v>
      </c>
      <c r="H554" s="14">
        <f t="shared" ca="1" si="487"/>
        <v>229301</v>
      </c>
      <c r="I554" s="61">
        <f t="shared" ca="1" si="487"/>
        <v>251691</v>
      </c>
      <c r="J554" s="14">
        <f t="shared" ca="1" si="487"/>
        <v>228100</v>
      </c>
      <c r="K554" s="61">
        <f t="shared" ca="1" si="487"/>
        <v>430593</v>
      </c>
      <c r="L554" s="14">
        <f t="shared" ca="1" si="487"/>
        <v>346161</v>
      </c>
      <c r="M554" s="61">
        <f t="shared" ca="1" si="487"/>
        <v>650918</v>
      </c>
      <c r="N554" s="14">
        <f t="shared" ca="1" si="487"/>
        <v>319494</v>
      </c>
      <c r="O554" s="61">
        <f t="shared" ca="1" si="487"/>
        <v>238802</v>
      </c>
      <c r="P554" s="14">
        <f t="shared" ca="1" si="487"/>
        <v>141888</v>
      </c>
      <c r="Q554" s="61">
        <f t="shared" ca="1" si="487"/>
        <v>211710</v>
      </c>
      <c r="R554" s="14">
        <f t="shared" ca="1" si="487"/>
        <v>313469</v>
      </c>
      <c r="S554" s="23">
        <f t="shared" ca="1" si="492"/>
        <v>3600246</v>
      </c>
      <c r="T554" s="75"/>
      <c r="U554" s="4"/>
      <c r="W554" s="50">
        <f t="shared" ref="W554" si="501">W14+W25+W36+W47+W58+W69+W80+W91+W102+W113+W124+W135+W146+W157+W168+W190+W179+W201+W212</f>
        <v>0</v>
      </c>
      <c r="X554" s="50">
        <f t="shared" ref="X554:AG554" si="502">X14+X25+X36+X47+X58+X69+X80+X91+X102+X113+X124+X135+X146+X157+X168+X190+X179+X201+X212</f>
        <v>0</v>
      </c>
      <c r="Y554" s="50">
        <f t="shared" si="502"/>
        <v>0</v>
      </c>
      <c r="Z554" s="50">
        <f t="shared" si="502"/>
        <v>0</v>
      </c>
      <c r="AA554" s="50">
        <f t="shared" si="502"/>
        <v>0</v>
      </c>
      <c r="AB554" s="50">
        <f t="shared" si="502"/>
        <v>0</v>
      </c>
      <c r="AC554" s="50">
        <f t="shared" si="502"/>
        <v>0</v>
      </c>
      <c r="AD554" s="50">
        <f t="shared" si="502"/>
        <v>0</v>
      </c>
      <c r="AE554" s="50">
        <f t="shared" si="502"/>
        <v>0</v>
      </c>
      <c r="AF554" s="50">
        <f t="shared" si="502"/>
        <v>0</v>
      </c>
      <c r="AG554" s="50">
        <f t="shared" si="502"/>
        <v>0</v>
      </c>
      <c r="AH554" s="50">
        <f t="shared" ref="AH554" si="503">AH14+AH25+AH36+AH47+AH58+AH69+AH80+AH91+AH102+AH113+AH124+AH135+AH146+AH157+AH168+AH190+AH179+AH201+AH212</f>
        <v>0</v>
      </c>
      <c r="AI554" s="50"/>
    </row>
    <row r="555" spans="1:47">
      <c r="D555" s="3" t="str">
        <f t="shared" si="491"/>
        <v>T_EBITDARM - EBITDARM</v>
      </c>
      <c r="F555" s="19" t="str">
        <f>_xll.EVDES(D555)</f>
        <v>EBITDARM</v>
      </c>
      <c r="G555" s="61">
        <f t="shared" ca="1" si="487"/>
        <v>1461630.08</v>
      </c>
      <c r="H555" s="14">
        <f t="shared" ca="1" si="487"/>
        <v>1809633</v>
      </c>
      <c r="I555" s="61">
        <f t="shared" ca="1" si="487"/>
        <v>2037194</v>
      </c>
      <c r="J555" s="14">
        <f t="shared" ca="1" si="487"/>
        <v>1964619</v>
      </c>
      <c r="K555" s="61">
        <f t="shared" ca="1" si="487"/>
        <v>3996011</v>
      </c>
      <c r="L555" s="14">
        <f t="shared" ca="1" si="487"/>
        <v>2836060</v>
      </c>
      <c r="M555" s="61">
        <f t="shared" ca="1" si="487"/>
        <v>2168412</v>
      </c>
      <c r="N555" s="14">
        <f t="shared" ca="1" si="487"/>
        <v>1957730</v>
      </c>
      <c r="O555" s="61">
        <f t="shared" ca="1" si="487"/>
        <v>1964509</v>
      </c>
      <c r="P555" s="14">
        <f t="shared" ca="1" si="487"/>
        <v>2502217</v>
      </c>
      <c r="Q555" s="61">
        <f t="shared" ca="1" si="487"/>
        <v>2150859</v>
      </c>
      <c r="R555" s="14">
        <f t="shared" ca="1" si="487"/>
        <v>2020234</v>
      </c>
      <c r="S555" s="23">
        <f t="shared" ca="1" si="492"/>
        <v>27093195.079999998</v>
      </c>
      <c r="T555" s="74">
        <f ca="1">SUM(W555:AH555)</f>
        <v>17420429.859999996</v>
      </c>
      <c r="U555" s="54">
        <f ca="1">T555-S555</f>
        <v>-9672765.2200000025</v>
      </c>
      <c r="W555" s="50">
        <f t="shared" ref="W555" ca="1" si="504">W15+W26+W37+W48+W59+W70+W81+W92+W103+W114+W125+W136+W147+W158+W169+W191+W180+W202+W213</f>
        <v>1461633.1299999971</v>
      </c>
      <c r="X555" s="50">
        <f t="shared" ref="X555:AG555" ca="1" si="505">X15+X26+X37+X48+X59+X70+X81+X92+X103+X114+X125+X136+X147+X158+X169+X191+X180+X202+X213</f>
        <v>1809636.7899999986</v>
      </c>
      <c r="Y555" s="50">
        <f t="shared" ca="1" si="505"/>
        <v>2037187.2900000035</v>
      </c>
      <c r="Z555" s="50">
        <f t="shared" ca="1" si="505"/>
        <v>1964607.4399999995</v>
      </c>
      <c r="AA555" s="50">
        <f t="shared" ca="1" si="505"/>
        <v>-3900414.3800000018</v>
      </c>
      <c r="AB555" s="50">
        <f t="shared" ca="1" si="505"/>
        <v>2836053.6</v>
      </c>
      <c r="AC555" s="50">
        <f t="shared" ca="1" si="505"/>
        <v>2168419.2900000014</v>
      </c>
      <c r="AD555" s="50">
        <f t="shared" ca="1" si="505"/>
        <v>1957728.0699999989</v>
      </c>
      <c r="AE555" s="50">
        <f t="shared" ca="1" si="505"/>
        <v>1964507.4800000023</v>
      </c>
      <c r="AF555" s="50">
        <f t="shared" ca="1" si="505"/>
        <v>2502217.9599999981</v>
      </c>
      <c r="AG555" s="50">
        <f t="shared" ca="1" si="505"/>
        <v>374528.85999999731</v>
      </c>
      <c r="AH555" s="50">
        <f t="shared" ref="AH555" ca="1" si="506">AH15+AH26+AH37+AH48+AH59+AH70+AH81+AH92+AH103+AH114+AH125+AH136+AH147+AH158+AH169+AH191+AH180+AH202+AH213</f>
        <v>2244324.3299999996</v>
      </c>
      <c r="AI555" s="50"/>
      <c r="AJ555" s="14">
        <f t="shared" ref="AJ555:AU558" ca="1" si="507">W555-G555</f>
        <v>3.0499999970197678</v>
      </c>
      <c r="AK555" s="14">
        <f t="shared" ca="1" si="507"/>
        <v>3.789999998640269</v>
      </c>
      <c r="AL555" s="14">
        <f t="shared" ca="1" si="507"/>
        <v>-6.7099999964702874</v>
      </c>
      <c r="AM555" s="14">
        <f t="shared" ca="1" si="507"/>
        <v>-11.560000000521541</v>
      </c>
      <c r="AN555" s="14">
        <f t="shared" ca="1" si="507"/>
        <v>-7896425.3800000018</v>
      </c>
      <c r="AO555" s="14">
        <f t="shared" ca="1" si="507"/>
        <v>-6.3999999999068677</v>
      </c>
      <c r="AP555" s="14">
        <f t="shared" ca="1" si="507"/>
        <v>7.2900000014342368</v>
      </c>
      <c r="AQ555" s="14">
        <f t="shared" ca="1" si="507"/>
        <v>-1.9300000010989606</v>
      </c>
      <c r="AR555" s="14">
        <f t="shared" ca="1" si="507"/>
        <v>-1.51999999769032</v>
      </c>
      <c r="AS555" s="14">
        <f t="shared" ca="1" si="507"/>
        <v>0.95999999810010195</v>
      </c>
      <c r="AT555" s="14">
        <f t="shared" ca="1" si="507"/>
        <v>-1776330.1400000027</v>
      </c>
      <c r="AU555" s="14">
        <f ca="1">AH555-R565</f>
        <v>3.3299999996088445</v>
      </c>
    </row>
    <row r="556" spans="1:47">
      <c r="D556" s="3" t="str">
        <f t="shared" si="491"/>
        <v>T_MGMT_FEE - Tenant Management Fee - Actual</v>
      </c>
      <c r="F556" s="19" t="str">
        <f>_xll.EVDES(D556)</f>
        <v>Tenant Management Fee - Actual</v>
      </c>
      <c r="G556" s="61">
        <f t="shared" ca="1" si="487"/>
        <v>467323</v>
      </c>
      <c r="H556" s="14">
        <f t="shared" ca="1" si="487"/>
        <v>452703</v>
      </c>
      <c r="I556" s="61">
        <f t="shared" ca="1" si="487"/>
        <v>470752</v>
      </c>
      <c r="J556" s="14">
        <f t="shared" ca="1" si="487"/>
        <v>449342</v>
      </c>
      <c r="K556" s="61">
        <f t="shared" ca="1" si="487"/>
        <v>468634</v>
      </c>
      <c r="L556" s="14">
        <f t="shared" ca="1" si="487"/>
        <v>519160</v>
      </c>
      <c r="M556" s="61">
        <f t="shared" ca="1" si="487"/>
        <v>452227</v>
      </c>
      <c r="N556" s="14">
        <f t="shared" ca="1" si="487"/>
        <v>484192</v>
      </c>
      <c r="O556" s="61">
        <f t="shared" ca="1" si="487"/>
        <v>469257</v>
      </c>
      <c r="P556" s="14">
        <f t="shared" ca="1" si="487"/>
        <v>476378</v>
      </c>
      <c r="Q556" s="61">
        <f t="shared" ca="1" si="487"/>
        <v>478960</v>
      </c>
      <c r="R556" s="14">
        <f t="shared" ca="1" si="487"/>
        <v>429711</v>
      </c>
      <c r="S556" s="23">
        <f t="shared" ca="1" si="492"/>
        <v>5618639</v>
      </c>
      <c r="T556" s="74">
        <f ca="1">SUM(W556:AH556)</f>
        <v>-3069460</v>
      </c>
      <c r="U556" s="54">
        <f ca="1">T556-S556</f>
        <v>-8688099</v>
      </c>
      <c r="W556" s="50">
        <f t="shared" ref="W556" ca="1" si="508">W16+W27+W38+W49+W60+W71+W82+W93+W104+W115+W126+W137+W148+W159+W170+W192+W181+W203+W214</f>
        <v>467323</v>
      </c>
      <c r="X556" s="50">
        <f t="shared" ref="X556:AG556" ca="1" si="509">X16+X27+X38+X49+X60+X71+X82+X93+X104+X115+X126+X137+X148+X159+X170+X192+X181+X203+X214</f>
        <v>452703</v>
      </c>
      <c r="Y556" s="50">
        <f t="shared" ca="1" si="509"/>
        <v>470752</v>
      </c>
      <c r="Z556" s="50">
        <f t="shared" ca="1" si="509"/>
        <v>449342</v>
      </c>
      <c r="AA556" s="50">
        <f t="shared" ca="1" si="509"/>
        <v>-7708798</v>
      </c>
      <c r="AB556" s="50">
        <f t="shared" ca="1" si="509"/>
        <v>519160</v>
      </c>
      <c r="AC556" s="50">
        <f t="shared" ca="1" si="509"/>
        <v>452227</v>
      </c>
      <c r="AD556" s="50">
        <f t="shared" ca="1" si="509"/>
        <v>484192</v>
      </c>
      <c r="AE556" s="50">
        <f t="shared" ca="1" si="509"/>
        <v>469257</v>
      </c>
      <c r="AF556" s="50">
        <f t="shared" ca="1" si="509"/>
        <v>476378</v>
      </c>
      <c r="AG556" s="50">
        <f t="shared" ca="1" si="509"/>
        <v>-31707</v>
      </c>
      <c r="AH556" s="50">
        <f t="shared" ref="AH556" ca="1" si="510">AH16+AH27+AH38+AH49+AH60+AH71+AH82+AH93+AH104+AH115+AH126+AH137+AH148+AH159+AH170+AH192+AH181+AH203+AH214</f>
        <v>429711</v>
      </c>
      <c r="AI556" s="50"/>
      <c r="AJ556" s="14">
        <f t="shared" ca="1" si="507"/>
        <v>0</v>
      </c>
      <c r="AK556" s="14">
        <f t="shared" ca="1" si="507"/>
        <v>0</v>
      </c>
      <c r="AL556" s="14">
        <f t="shared" ca="1" si="507"/>
        <v>0</v>
      </c>
      <c r="AM556" s="14">
        <f t="shared" ca="1" si="507"/>
        <v>0</v>
      </c>
      <c r="AN556" s="14">
        <f t="shared" ca="1" si="507"/>
        <v>-8177432</v>
      </c>
      <c r="AO556" s="14">
        <f t="shared" ca="1" si="507"/>
        <v>0</v>
      </c>
      <c r="AP556" s="14">
        <f t="shared" ca="1" si="507"/>
        <v>0</v>
      </c>
      <c r="AQ556" s="14">
        <f t="shared" ca="1" si="507"/>
        <v>0</v>
      </c>
      <c r="AR556" s="14">
        <f t="shared" ca="1" si="507"/>
        <v>0</v>
      </c>
      <c r="AS556" s="14">
        <f t="shared" ca="1" si="507"/>
        <v>0</v>
      </c>
      <c r="AT556" s="14">
        <f ca="1">AG556-Q556</f>
        <v>-510667</v>
      </c>
      <c r="AU556" s="14">
        <f t="shared" ca="1" si="507"/>
        <v>0</v>
      </c>
    </row>
    <row r="557" spans="1:47">
      <c r="D557" s="3" t="str">
        <f t="shared" si="491"/>
        <v>T_EBITDAR - EBITDAR</v>
      </c>
      <c r="F557" s="19" t="str">
        <f>_xll.EVDES(D557)</f>
        <v>EBITDAR</v>
      </c>
      <c r="G557" s="61">
        <f t="shared" ca="1" si="487"/>
        <v>994307.08</v>
      </c>
      <c r="H557" s="14">
        <f t="shared" ca="1" si="487"/>
        <v>1356930</v>
      </c>
      <c r="I557" s="61">
        <f t="shared" ca="1" si="487"/>
        <v>1566442</v>
      </c>
      <c r="J557" s="14">
        <f t="shared" ca="1" si="487"/>
        <v>1515277</v>
      </c>
      <c r="K557" s="61">
        <f t="shared" ca="1" si="487"/>
        <v>3527377</v>
      </c>
      <c r="L557" s="14">
        <f t="shared" ca="1" si="487"/>
        <v>2316900</v>
      </c>
      <c r="M557" s="61">
        <f t="shared" ca="1" si="487"/>
        <v>1716185</v>
      </c>
      <c r="N557" s="14">
        <f t="shared" ca="1" si="487"/>
        <v>1473538</v>
      </c>
      <c r="O557" s="61">
        <f t="shared" ca="1" si="487"/>
        <v>1495252</v>
      </c>
      <c r="P557" s="14">
        <f t="shared" ca="1" si="487"/>
        <v>2025839</v>
      </c>
      <c r="Q557" s="61">
        <f t="shared" ca="1" si="487"/>
        <v>1671899</v>
      </c>
      <c r="R557" s="14">
        <f t="shared" ca="1" si="487"/>
        <v>1590523</v>
      </c>
      <c r="S557" s="23">
        <f t="shared" ca="1" si="492"/>
        <v>21474556.079999998</v>
      </c>
      <c r="T557" s="74">
        <f ca="1">SUM(W557:AH557)</f>
        <v>20489889.859999988</v>
      </c>
      <c r="U557" s="54">
        <f ca="1">T557-S557</f>
        <v>-984666.22000000998</v>
      </c>
      <c r="W557" s="50">
        <f t="shared" ref="W557" ca="1" si="511">W17+W28+W39+W50+W61+W72+W83+W94+W105+W116+W127+W138+W149+W160+W171+W193+W182+W204+W215</f>
        <v>994310.12999999709</v>
      </c>
      <c r="X557" s="50">
        <f t="shared" ref="X557:AG557" ca="1" si="512">X17+X28+X39+X50+X61+X72+X83+X94+X105+X116+X127+X138+X149+X160+X171+X193+X182+X204+X215</f>
        <v>1356933.7899999982</v>
      </c>
      <c r="Y557" s="50">
        <f t="shared" ca="1" si="512"/>
        <v>1566435.2900000035</v>
      </c>
      <c r="Z557" s="50">
        <f t="shared" ca="1" si="512"/>
        <v>1515265.4399999995</v>
      </c>
      <c r="AA557" s="50">
        <f t="shared" ca="1" si="512"/>
        <v>3808383.6199999982</v>
      </c>
      <c r="AB557" s="50">
        <f t="shared" ca="1" si="512"/>
        <v>2316893.5999999996</v>
      </c>
      <c r="AC557" s="50">
        <f t="shared" ca="1" si="512"/>
        <v>1716192.2900000014</v>
      </c>
      <c r="AD557" s="50">
        <f t="shared" ca="1" si="512"/>
        <v>1473536.0699999989</v>
      </c>
      <c r="AE557" s="50">
        <f t="shared" ca="1" si="512"/>
        <v>1495250.4800000023</v>
      </c>
      <c r="AF557" s="50">
        <f t="shared" ca="1" si="512"/>
        <v>2025839.9599999983</v>
      </c>
      <c r="AG557" s="50">
        <f t="shared" ca="1" si="512"/>
        <v>406235.85999999708</v>
      </c>
      <c r="AH557" s="50">
        <f t="shared" ref="AH557" ca="1" si="513">AH17+AH28+AH39+AH50+AH61+AH72+AH83+AH94+AH105+AH116+AH127+AH138+AH149+AH160+AH171+AH193+AH182+AH204+AH215</f>
        <v>1814613.3299999994</v>
      </c>
      <c r="AI557" s="50"/>
      <c r="AJ557" s="14">
        <f t="shared" ca="1" si="507"/>
        <v>3.0499999971361831</v>
      </c>
      <c r="AK557" s="14">
        <f t="shared" ca="1" si="507"/>
        <v>3.7899999981746078</v>
      </c>
      <c r="AL557" s="14">
        <f t="shared" ca="1" si="507"/>
        <v>-6.7099999964702874</v>
      </c>
      <c r="AM557" s="14">
        <f t="shared" ca="1" si="507"/>
        <v>-11.560000000521541</v>
      </c>
      <c r="AN557" s="14">
        <f t="shared" ca="1" si="507"/>
        <v>281006.61999999825</v>
      </c>
      <c r="AO557" s="14">
        <f t="shared" ca="1" si="507"/>
        <v>-6.400000000372529</v>
      </c>
      <c r="AP557" s="14">
        <f t="shared" ca="1" si="507"/>
        <v>7.2900000014342368</v>
      </c>
      <c r="AQ557" s="14">
        <f t="shared" ca="1" si="507"/>
        <v>-1.9300000010989606</v>
      </c>
      <c r="AR557" s="14">
        <f t="shared" ca="1" si="507"/>
        <v>-1.51999999769032</v>
      </c>
      <c r="AS557" s="14">
        <f t="shared" ca="1" si="507"/>
        <v>0.95999999833293259</v>
      </c>
      <c r="AT557" s="14">
        <f t="shared" ca="1" si="507"/>
        <v>-1265663.1400000029</v>
      </c>
      <c r="AU557" s="14">
        <f ca="1">AH557-R567</f>
        <v>3.3299999993760139</v>
      </c>
    </row>
    <row r="558" spans="1:47">
      <c r="D558" s="3" t="str">
        <f t="shared" si="491"/>
        <v>T_RENT_EXP - Tenant Rent Expense</v>
      </c>
      <c r="F558" s="19" t="str">
        <f>_xll.EVDES(D558)</f>
        <v>Tenant Rent Expense</v>
      </c>
      <c r="G558" s="61">
        <f t="shared" ca="1" si="487"/>
        <v>1427043</v>
      </c>
      <c r="H558" s="14">
        <f t="shared" ca="1" si="487"/>
        <v>1459384</v>
      </c>
      <c r="I558" s="61">
        <f t="shared" ca="1" si="487"/>
        <v>1459384</v>
      </c>
      <c r="J558" s="14">
        <f t="shared" ca="1" si="487"/>
        <v>1459384</v>
      </c>
      <c r="K558" s="61">
        <f t="shared" ca="1" si="487"/>
        <v>1459384</v>
      </c>
      <c r="L558" s="14">
        <f t="shared" ca="1" si="487"/>
        <v>1459384</v>
      </c>
      <c r="M558" s="61">
        <f t="shared" ca="1" si="487"/>
        <v>1459383</v>
      </c>
      <c r="N558" s="14">
        <f t="shared" ca="1" si="487"/>
        <v>1459384</v>
      </c>
      <c r="O558" s="61">
        <f t="shared" ca="1" si="487"/>
        <v>1459384</v>
      </c>
      <c r="P558" s="14">
        <f t="shared" ca="1" si="487"/>
        <v>1451326</v>
      </c>
      <c r="Q558" s="61">
        <f t="shared" ca="1" si="487"/>
        <v>1451325</v>
      </c>
      <c r="R558" s="14">
        <f t="shared" ca="1" si="487"/>
        <v>1257410</v>
      </c>
      <c r="S558" s="23">
        <f t="shared" ca="1" si="492"/>
        <v>17262175</v>
      </c>
      <c r="T558" s="74">
        <f ca="1">SUM(W558:AH558)</f>
        <v>15352606.960000001</v>
      </c>
      <c r="U558" s="54">
        <f ca="1">T558-S558</f>
        <v>-1909568.0399999991</v>
      </c>
      <c r="W558" s="50">
        <f t="shared" ref="W558" ca="1" si="514">W18+W29+W40+W51+W62+W73+W84+W95+W106+W117+W128+W139+W150+W161+W172+W194+W183+W205+W216</f>
        <v>1427042.8199999998</v>
      </c>
      <c r="X558" s="50">
        <f t="shared" ref="X558:AG558" ca="1" si="515">X18+X29+X40+X51+X62+X73+X84+X95+X106+X117+X128+X139+X150+X161+X172+X194+X183+X205+X216</f>
        <v>1459378.06</v>
      </c>
      <c r="Y558" s="50">
        <f t="shared" ca="1" si="515"/>
        <v>1459378.06</v>
      </c>
      <c r="Z558" s="50">
        <f t="shared" ca="1" si="515"/>
        <v>1459378.06</v>
      </c>
      <c r="AA558" s="50">
        <f t="shared" ca="1" si="515"/>
        <v>1330451.0599999998</v>
      </c>
      <c r="AB558" s="50">
        <f t="shared" ca="1" si="515"/>
        <v>1459378.06</v>
      </c>
      <c r="AC558" s="50">
        <f t="shared" ca="1" si="515"/>
        <v>1459378.06</v>
      </c>
      <c r="AD558" s="50">
        <f t="shared" ca="1" si="515"/>
        <v>1459378.06</v>
      </c>
      <c r="AE558" s="50">
        <f t="shared" ca="1" si="515"/>
        <v>1459378.06</v>
      </c>
      <c r="AF558" s="50">
        <f t="shared" ca="1" si="515"/>
        <v>1451320.06</v>
      </c>
      <c r="AG558" s="50">
        <f t="shared" ca="1" si="515"/>
        <v>-329263.88000000024</v>
      </c>
      <c r="AH558" s="50">
        <f t="shared" ref="AH558" ca="1" si="516">AH18+AH29+AH40+AH51+AH62+AH73+AH84+AH95+AH106+AH117+AH128+AH139+AH150+AH161+AH172+AH194+AH183+AH205+AH216</f>
        <v>1257410.4800000002</v>
      </c>
      <c r="AI558" s="50"/>
      <c r="AJ558" s="14">
        <f t="shared" ca="1" si="507"/>
        <v>-0.18000000016763806</v>
      </c>
      <c r="AK558" s="14">
        <f t="shared" ca="1" si="507"/>
        <v>-5.9399999999441206</v>
      </c>
      <c r="AL558" s="14">
        <f t="shared" ca="1" si="507"/>
        <v>-5.9399999999441206</v>
      </c>
      <c r="AM558" s="14">
        <f t="shared" ca="1" si="507"/>
        <v>-5.9399999999441206</v>
      </c>
      <c r="AN558" s="14">
        <f t="shared" ca="1" si="507"/>
        <v>-128932.94000000018</v>
      </c>
      <c r="AO558" s="14">
        <f t="shared" ca="1" si="507"/>
        <v>-5.9399999999441206</v>
      </c>
      <c r="AP558" s="14">
        <f t="shared" ca="1" si="507"/>
        <v>-4.9399999999441206</v>
      </c>
      <c r="AQ558" s="14">
        <f t="shared" ca="1" si="507"/>
        <v>-5.9399999999441206</v>
      </c>
      <c r="AR558" s="14">
        <f t="shared" ca="1" si="507"/>
        <v>-5.9399999999441206</v>
      </c>
      <c r="AS558" s="14">
        <f t="shared" ca="1" si="507"/>
        <v>-5.9399999999441206</v>
      </c>
      <c r="AT558" s="14">
        <f t="shared" ca="1" si="507"/>
        <v>-1780588.8800000004</v>
      </c>
      <c r="AU558" s="14">
        <f t="shared" ca="1" si="507"/>
        <v>0.48000000021420419</v>
      </c>
    </row>
    <row r="559" spans="1:47">
      <c r="D559" s="3" t="str">
        <f t="shared" si="491"/>
        <v>x</v>
      </c>
      <c r="F559" s="20" t="s">
        <v>0</v>
      </c>
      <c r="G559" s="63">
        <f t="shared" ref="G559:I559" ca="1" si="517">G557/G558</f>
        <v>0.69676041997332938</v>
      </c>
      <c r="H559" s="15">
        <f t="shared" ca="1" si="517"/>
        <v>0.92979640725127866</v>
      </c>
      <c r="I559" s="63">
        <f t="shared" ca="1" si="517"/>
        <v>1.0733583484538682</v>
      </c>
      <c r="J559" s="15">
        <f t="shared" ref="J559:O559" ca="1" si="518">J557/J558</f>
        <v>1.0382990357575526</v>
      </c>
      <c r="K559" s="63">
        <f t="shared" ca="1" si="518"/>
        <v>2.4170314324399884</v>
      </c>
      <c r="L559" s="15">
        <f t="shared" ca="1" si="518"/>
        <v>1.5875876397164832</v>
      </c>
      <c r="M559" s="63">
        <f t="shared" ca="1" si="518"/>
        <v>1.1759661445967233</v>
      </c>
      <c r="N559" s="15">
        <f t="shared" ca="1" si="518"/>
        <v>1.0096986125653016</v>
      </c>
      <c r="O559" s="63">
        <f t="shared" ca="1" si="518"/>
        <v>1.0245774929696365</v>
      </c>
      <c r="P559" s="15">
        <f t="shared" ref="P559:Q559" ca="1" si="519">P557/P558</f>
        <v>1.3958538605385695</v>
      </c>
      <c r="Q559" s="63">
        <f t="shared" ca="1" si="519"/>
        <v>1.1519811207000499</v>
      </c>
      <c r="R559" s="15">
        <f t="shared" ref="R559" ca="1" si="520">R557/R558</f>
        <v>1.2649199545096668</v>
      </c>
    </row>
    <row r="560" spans="1:47">
      <c r="R560" s="23">
        <f ca="1">R550-R208-R175-R76</f>
        <v>33680</v>
      </c>
    </row>
    <row r="561" spans="7:34">
      <c r="R561" s="23">
        <f t="shared" ref="R561:R566" ca="1" si="521">R551-R209-R176-R77</f>
        <v>1487</v>
      </c>
      <c r="S561" s="55"/>
      <c r="W561" s="79"/>
      <c r="X561" s="79"/>
      <c r="Y561" s="79"/>
      <c r="Z561" s="79"/>
      <c r="AA561" s="79"/>
      <c r="AB561" s="79"/>
      <c r="AC561" s="79"/>
      <c r="AD561" s="79"/>
    </row>
    <row r="562" spans="7:34">
      <c r="G562" s="14"/>
      <c r="H562" s="14"/>
      <c r="I562" s="14"/>
      <c r="J562" s="14"/>
      <c r="K562" s="14"/>
      <c r="L562" s="14"/>
      <c r="M562" s="14"/>
      <c r="N562" s="14"/>
      <c r="O562" s="14"/>
      <c r="P562" s="14"/>
      <c r="Q562" s="14"/>
      <c r="R562" s="23">
        <f t="shared" ca="1" si="521"/>
        <v>9145213</v>
      </c>
      <c r="S562" s="4"/>
      <c r="T562" s="75"/>
      <c r="U562" s="50"/>
      <c r="W562" s="4"/>
      <c r="X562" s="4"/>
      <c r="Y562" s="4"/>
      <c r="Z562" s="4"/>
      <c r="AA562" s="4"/>
      <c r="AB562" s="4"/>
      <c r="AC562" s="4"/>
      <c r="AD562" s="4"/>
      <c r="AE562" s="4"/>
      <c r="AF562" s="4"/>
      <c r="AG562" s="4"/>
      <c r="AH562" s="4"/>
    </row>
    <row r="563" spans="7:34">
      <c r="G563" s="14"/>
      <c r="H563" s="14"/>
      <c r="I563" s="14"/>
      <c r="J563" s="14"/>
      <c r="K563" s="14"/>
      <c r="L563" s="14"/>
      <c r="M563" s="14"/>
      <c r="N563" s="14"/>
      <c r="O563" s="14"/>
      <c r="P563" s="14"/>
      <c r="Q563" s="14"/>
      <c r="R563" s="23">
        <f t="shared" ca="1" si="521"/>
        <v>6900892</v>
      </c>
      <c r="S563" s="4"/>
      <c r="T563" s="75"/>
      <c r="U563" s="50"/>
      <c r="V563" s="50"/>
    </row>
    <row r="564" spans="7:34">
      <c r="G564" s="14"/>
      <c r="H564" s="14"/>
      <c r="I564" s="14"/>
      <c r="J564" s="14"/>
      <c r="K564" s="14"/>
      <c r="L564" s="14"/>
      <c r="M564" s="14"/>
      <c r="N564" s="14"/>
      <c r="O564" s="14"/>
      <c r="P564" s="14"/>
      <c r="Q564" s="14"/>
      <c r="R564" s="23">
        <f t="shared" ca="1" si="521"/>
        <v>313469</v>
      </c>
      <c r="S564" s="4"/>
      <c r="T564" s="75"/>
      <c r="U564" s="50"/>
      <c r="V564" s="50"/>
    </row>
    <row r="565" spans="7:34">
      <c r="G565" s="14"/>
      <c r="H565" s="14"/>
      <c r="I565" s="14"/>
      <c r="J565" s="14"/>
      <c r="K565" s="14"/>
      <c r="L565" s="14"/>
      <c r="M565" s="14"/>
      <c r="N565" s="14"/>
      <c r="O565" s="14"/>
      <c r="P565" s="14"/>
      <c r="Q565" s="14"/>
      <c r="R565" s="23">
        <f t="shared" ca="1" si="521"/>
        <v>2244321</v>
      </c>
      <c r="S565" s="4"/>
      <c r="T565" s="75"/>
      <c r="U565" s="50"/>
    </row>
    <row r="566" spans="7:34">
      <c r="G566" s="4"/>
      <c r="H566" s="4"/>
      <c r="I566" s="4"/>
      <c r="J566" s="4"/>
      <c r="K566" s="4"/>
      <c r="L566" s="4"/>
      <c r="M566" s="4"/>
      <c r="N566" s="4"/>
      <c r="O566" s="4"/>
      <c r="P566" s="4"/>
      <c r="Q566" s="4"/>
      <c r="R566" s="23">
        <f t="shared" ca="1" si="521"/>
        <v>429711</v>
      </c>
      <c r="S566" s="4"/>
      <c r="T566" s="75"/>
      <c r="U566" s="50"/>
    </row>
    <row r="567" spans="7:34">
      <c r="R567" s="23">
        <f ca="1">R557-R215-R182-R83</f>
        <v>1814610</v>
      </c>
      <c r="U567" s="50"/>
    </row>
    <row r="568" spans="7:34">
      <c r="G568" s="23"/>
      <c r="H568" s="23"/>
      <c r="I568" s="23"/>
      <c r="J568" s="23"/>
      <c r="K568" s="23"/>
      <c r="L568" s="23"/>
      <c r="M568" s="23"/>
      <c r="N568" s="23"/>
      <c r="O568" s="23"/>
      <c r="P568" s="23"/>
      <c r="Q568" s="23"/>
      <c r="R568" s="23">
        <f t="shared" ref="R568:R569" ca="1" si="522">R558-R216-R183-R84</f>
        <v>1257410</v>
      </c>
      <c r="S568" s="23"/>
      <c r="U568" s="50"/>
    </row>
    <row r="569" spans="7:34">
      <c r="G569" s="23"/>
      <c r="H569" s="23"/>
      <c r="I569" s="23"/>
      <c r="J569" s="23"/>
      <c r="K569" s="23"/>
      <c r="L569" s="23"/>
      <c r="M569" s="23"/>
      <c r="N569" s="23"/>
      <c r="O569" s="23"/>
      <c r="P569" s="23"/>
      <c r="Q569" s="23"/>
      <c r="R569" s="23">
        <f t="shared" ca="1" si="522"/>
        <v>1.2649199545096668</v>
      </c>
      <c r="S569" s="23"/>
      <c r="U569" s="50">
        <f t="shared" ref="U569" si="523">U559-U96</f>
        <v>0</v>
      </c>
    </row>
  </sheetData>
  <pageMargins left="0.2" right="0.2" top="0.75" bottom="0.75" header="0.3" footer="0.3"/>
  <pageSetup paperSize="119" scale="57" fitToHeight="10" orientation="landscape" r:id="rId1"/>
  <headerFooter>
    <oddFooter>&amp;C&amp;P</oddFooter>
  </headerFooter>
  <rowBreaks count="10" manualBreakCount="10">
    <brk id="63" min="5" max="17" man="1"/>
    <brk id="118" min="5" max="17" man="1"/>
    <brk id="162" min="5" max="17" man="1"/>
    <brk id="173" min="5" max="17" man="1"/>
    <brk id="228" min="5" max="17" man="1"/>
    <brk id="283" min="5" max="17" man="1"/>
    <brk id="338" min="5" max="17" man="1"/>
    <brk id="393" min="5" max="17" man="1"/>
    <brk id="448" min="5" max="17" man="1"/>
    <brk id="503" min="5" max="17" man="1"/>
  </rowBreaks>
  <customProperties>
    <customPr name="EpmWorksheetKeyString_GUID" r:id="rId2"/>
    <customPr name="FPMExcelClientRefreshTime" r:id="rId3"/>
  </customProperties>
  <drawing r:id="rId4"/>
  <legacyDrawing r:id="rId5"/>
  <controls>
    <mc:AlternateContent xmlns:mc="http://schemas.openxmlformats.org/markup-compatibility/2006">
      <mc:Choice Requires="x14">
        <control shapeId="2049" r:id="rId6" name="FPMExcelClientSheetOptionstb1">
          <controlPr defaultSize="0" autoLine="0" r:id="rId7">
            <anchor moveWithCells="1" sizeWithCells="1">
              <from>
                <xdr:col>0</xdr:col>
                <xdr:colOff>0</xdr:colOff>
                <xdr:row>1</xdr:row>
                <xdr:rowOff>0</xdr:rowOff>
              </from>
              <to>
                <xdr:col>0</xdr:col>
                <xdr:colOff>0</xdr:colOff>
                <xdr:row>1</xdr:row>
                <xdr:rowOff>0</xdr:rowOff>
              </to>
            </anchor>
          </controlPr>
        </control>
      </mc:Choice>
      <mc:Fallback>
        <control shapeId="2049" r:id="rId6" name="FPMExcelClientSheetOptionstb1"/>
      </mc:Fallback>
    </mc:AlternateContent>
  </control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U87"/>
  <sheetViews>
    <sheetView topLeftCell="A36" workbookViewId="0">
      <pane xSplit="4" topLeftCell="E1" activePane="topRight" state="frozen"/>
      <selection pane="topRight" activeCell="F23" sqref="F23"/>
    </sheetView>
  </sheetViews>
  <sheetFormatPr defaultRowHeight="12"/>
  <cols>
    <col min="1" max="1" width="16.5703125" style="115" bestFit="1" customWidth="1"/>
    <col min="2" max="2" width="25.5703125" style="115" bestFit="1" customWidth="1"/>
    <col min="3" max="3" width="34.85546875" style="115" bestFit="1" customWidth="1"/>
    <col min="4" max="4" width="10.28515625" style="115" bestFit="1" customWidth="1"/>
    <col min="5" max="5" width="9.140625" style="115" bestFit="1" customWidth="1"/>
    <col min="6" max="6" width="11.85546875" style="115" bestFit="1" customWidth="1"/>
    <col min="7" max="7" width="9.140625" style="115" bestFit="1" customWidth="1"/>
    <col min="8" max="9" width="11" style="115" bestFit="1" customWidth="1"/>
    <col min="10" max="10" width="9.140625" style="115" bestFit="1" customWidth="1"/>
    <col min="11" max="11" width="10.7109375" style="115" bestFit="1" customWidth="1"/>
    <col min="12" max="12" width="14" style="115" bestFit="1" customWidth="1"/>
    <col min="13" max="13" width="11" style="115" bestFit="1" customWidth="1"/>
    <col min="14" max="14" width="10.7109375" style="115" bestFit="1" customWidth="1"/>
    <col min="15" max="15" width="12.28515625" style="115" bestFit="1" customWidth="1"/>
    <col min="16" max="16" width="10" style="115" bestFit="1" customWidth="1"/>
    <col min="17" max="18" width="14.28515625" style="115" bestFit="1" customWidth="1"/>
    <col min="19" max="19" width="13.7109375" style="115" bestFit="1" customWidth="1"/>
    <col min="20" max="16384" width="9.140625" style="115"/>
  </cols>
  <sheetData>
    <row r="2" spans="1:21" ht="15">
      <c r="A2" s="108" t="s">
        <v>365</v>
      </c>
    </row>
    <row r="4" spans="1:21">
      <c r="C4" s="217" t="s">
        <v>374</v>
      </c>
      <c r="D4" s="217"/>
      <c r="E4" s="169" t="s">
        <v>294</v>
      </c>
      <c r="F4" s="169" t="s">
        <v>296</v>
      </c>
      <c r="G4" s="169" t="s">
        <v>297</v>
      </c>
      <c r="H4" s="169" t="s">
        <v>298</v>
      </c>
      <c r="I4" s="169" t="s">
        <v>299</v>
      </c>
      <c r="J4" s="169" t="s">
        <v>293</v>
      </c>
      <c r="K4" s="169" t="s">
        <v>303</v>
      </c>
      <c r="L4" s="169" t="s">
        <v>302</v>
      </c>
      <c r="M4" s="169" t="s">
        <v>300</v>
      </c>
      <c r="N4" s="169" t="s">
        <v>308</v>
      </c>
      <c r="O4" s="169" t="s">
        <v>309</v>
      </c>
      <c r="P4" s="169" t="s">
        <v>310</v>
      </c>
      <c r="Q4" s="169" t="s">
        <v>311</v>
      </c>
      <c r="R4" s="169" t="s">
        <v>312</v>
      </c>
      <c r="S4" s="169" t="s">
        <v>307</v>
      </c>
    </row>
    <row r="5" spans="1:21" ht="24.75" thickBot="1">
      <c r="C5" s="217"/>
      <c r="D5" s="217"/>
      <c r="E5" s="168" t="s">
        <v>268</v>
      </c>
      <c r="F5" s="168" t="s">
        <v>269</v>
      </c>
      <c r="G5" s="168" t="s">
        <v>270</v>
      </c>
      <c r="H5" s="168" t="s">
        <v>271</v>
      </c>
      <c r="I5" s="168" t="s">
        <v>272</v>
      </c>
      <c r="J5" s="168" t="s">
        <v>273</v>
      </c>
      <c r="K5" s="168" t="s">
        <v>277</v>
      </c>
      <c r="L5" s="168" t="s">
        <v>276</v>
      </c>
      <c r="M5" s="168" t="s">
        <v>274</v>
      </c>
      <c r="N5" s="168" t="s">
        <v>288</v>
      </c>
      <c r="O5" s="168" t="s">
        <v>289</v>
      </c>
      <c r="P5" s="168" t="s">
        <v>290</v>
      </c>
      <c r="Q5" s="168" t="s">
        <v>291</v>
      </c>
      <c r="R5" s="168" t="s">
        <v>292</v>
      </c>
      <c r="S5" s="168" t="s">
        <v>287</v>
      </c>
    </row>
    <row r="6" spans="1:21" ht="12.75">
      <c r="B6" s="164" t="s">
        <v>369</v>
      </c>
      <c r="C6" s="165"/>
      <c r="D6" s="155"/>
      <c r="E6" s="166"/>
      <c r="F6" s="166"/>
      <c r="G6" s="166"/>
      <c r="H6" s="166"/>
      <c r="I6" s="166"/>
      <c r="J6" s="166"/>
      <c r="K6" s="166"/>
      <c r="L6" s="166"/>
      <c r="M6" s="166"/>
      <c r="N6" s="166"/>
      <c r="O6" s="166"/>
      <c r="P6" s="166"/>
      <c r="Q6" s="166"/>
      <c r="R6" s="166"/>
      <c r="S6" s="167"/>
    </row>
    <row r="7" spans="1:21">
      <c r="B7" s="118"/>
      <c r="C7" s="125"/>
      <c r="D7" s="126"/>
      <c r="E7" s="120"/>
      <c r="F7" s="120"/>
      <c r="G7" s="120"/>
      <c r="H7" s="120"/>
      <c r="I7" s="120"/>
      <c r="J7" s="120"/>
      <c r="K7" s="120"/>
      <c r="L7" s="120"/>
      <c r="M7" s="120"/>
      <c r="N7" s="120"/>
      <c r="O7" s="120"/>
      <c r="P7" s="120"/>
      <c r="Q7" s="120"/>
      <c r="R7" s="120"/>
      <c r="S7" s="121"/>
      <c r="T7" s="116"/>
      <c r="U7" s="116"/>
    </row>
    <row r="8" spans="1:21" ht="12.75" thickBot="1">
      <c r="B8" s="118"/>
      <c r="C8" s="156" t="s">
        <v>332</v>
      </c>
      <c r="D8" s="157">
        <f>SUM(E8:S8)</f>
        <v>178708.39999999997</v>
      </c>
      <c r="E8" s="158">
        <f>SUM(E63,E67)</f>
        <v>23999.489999999991</v>
      </c>
      <c r="F8" s="158">
        <f t="shared" ref="F8:S8" si="0">SUM(F63,F67)</f>
        <v>-14424.14</v>
      </c>
      <c r="G8" s="158">
        <f t="shared" si="0"/>
        <v>-30017.97</v>
      </c>
      <c r="H8" s="158">
        <f t="shared" si="0"/>
        <v>-1726.8399999999965</v>
      </c>
      <c r="I8" s="158">
        <f t="shared" si="0"/>
        <v>-36349.800000000003</v>
      </c>
      <c r="J8" s="158">
        <f t="shared" si="0"/>
        <v>-62647.510000000009</v>
      </c>
      <c r="K8" s="158">
        <f t="shared" si="0"/>
        <v>204161</v>
      </c>
      <c r="L8" s="158">
        <f t="shared" si="0"/>
        <v>-81084</v>
      </c>
      <c r="M8" s="158">
        <f t="shared" si="0"/>
        <v>16387.63</v>
      </c>
      <c r="N8" s="158">
        <f t="shared" si="0"/>
        <v>208963.07</v>
      </c>
      <c r="O8" s="158">
        <f t="shared" si="0"/>
        <v>-17634.410000000003</v>
      </c>
      <c r="P8" s="158">
        <f t="shared" si="0"/>
        <v>15203.590000000011</v>
      </c>
      <c r="Q8" s="158">
        <f t="shared" si="0"/>
        <v>0</v>
      </c>
      <c r="R8" s="158">
        <f t="shared" si="0"/>
        <v>-3607.460000000021</v>
      </c>
      <c r="S8" s="159">
        <f t="shared" si="0"/>
        <v>-42514.25</v>
      </c>
      <c r="T8" s="116"/>
      <c r="U8" s="116"/>
    </row>
    <row r="9" spans="1:21" ht="12.75" thickTop="1">
      <c r="B9" s="118"/>
      <c r="C9" s="125"/>
      <c r="D9" s="126"/>
      <c r="E9" s="120"/>
      <c r="F9" s="120"/>
      <c r="G9" s="120"/>
      <c r="H9" s="120"/>
      <c r="I9" s="120"/>
      <c r="J9" s="120"/>
      <c r="K9" s="120"/>
      <c r="L9" s="120"/>
      <c r="M9" s="120"/>
      <c r="N9" s="120"/>
      <c r="O9" s="120"/>
      <c r="P9" s="120"/>
      <c r="Q9" s="120"/>
      <c r="R9" s="120"/>
      <c r="S9" s="121"/>
      <c r="T9" s="116"/>
      <c r="U9" s="116"/>
    </row>
    <row r="10" spans="1:21" ht="12.75" thickBot="1">
      <c r="B10" s="118"/>
      <c r="C10" s="156" t="s">
        <v>367</v>
      </c>
      <c r="D10" s="157">
        <f>SUM(E10:S10)</f>
        <v>5022173</v>
      </c>
      <c r="E10" s="158">
        <f>SUM(E69,E71)</f>
        <v>115430</v>
      </c>
      <c r="F10" s="158">
        <f t="shared" ref="F10:S10" si="1">SUM(F69,F71)</f>
        <v>1170593</v>
      </c>
      <c r="G10" s="158">
        <f t="shared" si="1"/>
        <v>-230293</v>
      </c>
      <c r="H10" s="158">
        <f t="shared" si="1"/>
        <v>548585</v>
      </c>
      <c r="I10" s="158">
        <f t="shared" si="1"/>
        <v>-272947</v>
      </c>
      <c r="J10" s="158">
        <f t="shared" si="1"/>
        <v>234348</v>
      </c>
      <c r="K10" s="158">
        <f t="shared" si="1"/>
        <v>-65074</v>
      </c>
      <c r="L10" s="158">
        <f t="shared" si="1"/>
        <v>-105610</v>
      </c>
      <c r="M10" s="158">
        <f t="shared" si="1"/>
        <v>842975</v>
      </c>
      <c r="N10" s="158">
        <f t="shared" si="1"/>
        <v>-88034</v>
      </c>
      <c r="O10" s="158">
        <f t="shared" si="1"/>
        <v>1808756</v>
      </c>
      <c r="P10" s="158">
        <f t="shared" si="1"/>
        <v>-6544</v>
      </c>
      <c r="Q10" s="158">
        <f t="shared" si="1"/>
        <v>0</v>
      </c>
      <c r="R10" s="158">
        <f t="shared" si="1"/>
        <v>578759</v>
      </c>
      <c r="S10" s="159">
        <f t="shared" si="1"/>
        <v>491229</v>
      </c>
      <c r="T10" s="116"/>
      <c r="U10" s="116"/>
    </row>
    <row r="11" spans="1:21" ht="12.75" thickTop="1">
      <c r="B11" s="118"/>
      <c r="C11" s="125"/>
      <c r="D11" s="126"/>
      <c r="E11" s="120"/>
      <c r="F11" s="120"/>
      <c r="G11" s="120"/>
      <c r="H11" s="120"/>
      <c r="I11" s="120"/>
      <c r="J11" s="120"/>
      <c r="K11" s="120"/>
      <c r="L11" s="120"/>
      <c r="M11" s="120"/>
      <c r="N11" s="120"/>
      <c r="O11" s="120"/>
      <c r="P11" s="120"/>
      <c r="Q11" s="120"/>
      <c r="R11" s="120"/>
      <c r="S11" s="121"/>
      <c r="T11" s="116"/>
      <c r="U11" s="116"/>
    </row>
    <row r="12" spans="1:21" ht="12.75" thickBot="1">
      <c r="B12" s="118"/>
      <c r="C12" s="156" t="s">
        <v>368</v>
      </c>
      <c r="D12" s="157">
        <f>SUM(E12:S12)</f>
        <v>6811928</v>
      </c>
      <c r="E12" s="158">
        <f>SUM(E65,E66,E73,E74,E76,E77)</f>
        <v>714479</v>
      </c>
      <c r="F12" s="158">
        <f t="shared" ref="F12:S12" si="2">SUM(F65,F66,F73,F74,F76,F77)</f>
        <v>542042</v>
      </c>
      <c r="G12" s="158">
        <f t="shared" si="2"/>
        <v>593009</v>
      </c>
      <c r="H12" s="158">
        <f t="shared" si="2"/>
        <v>650260</v>
      </c>
      <c r="I12" s="158">
        <f t="shared" si="2"/>
        <v>652632</v>
      </c>
      <c r="J12" s="158">
        <f t="shared" si="2"/>
        <v>640621</v>
      </c>
      <c r="K12" s="158">
        <f t="shared" si="2"/>
        <v>1201158</v>
      </c>
      <c r="L12" s="158">
        <f t="shared" si="2"/>
        <v>33101</v>
      </c>
      <c r="M12" s="158">
        <f t="shared" si="2"/>
        <v>581972</v>
      </c>
      <c r="N12" s="158">
        <f t="shared" si="2"/>
        <v>152732</v>
      </c>
      <c r="O12" s="158">
        <f t="shared" si="2"/>
        <v>-22696</v>
      </c>
      <c r="P12" s="158">
        <f t="shared" si="2"/>
        <v>97845</v>
      </c>
      <c r="Q12" s="158">
        <f t="shared" si="2"/>
        <v>23612</v>
      </c>
      <c r="R12" s="158">
        <f t="shared" si="2"/>
        <v>62084</v>
      </c>
      <c r="S12" s="159">
        <f t="shared" si="2"/>
        <v>889077</v>
      </c>
      <c r="T12" s="116"/>
      <c r="U12" s="116"/>
    </row>
    <row r="13" spans="1:21" ht="12.75" thickTop="1">
      <c r="B13" s="118"/>
      <c r="C13" s="125"/>
      <c r="D13" s="126"/>
      <c r="E13" s="120"/>
      <c r="F13" s="120"/>
      <c r="G13" s="120"/>
      <c r="H13" s="120"/>
      <c r="I13" s="120"/>
      <c r="J13" s="120"/>
      <c r="K13" s="120"/>
      <c r="L13" s="120"/>
      <c r="M13" s="120"/>
      <c r="N13" s="120"/>
      <c r="O13" s="120"/>
      <c r="P13" s="120"/>
      <c r="Q13" s="120"/>
      <c r="R13" s="120"/>
      <c r="S13" s="121"/>
      <c r="T13" s="116"/>
      <c r="U13" s="116"/>
    </row>
    <row r="14" spans="1:21">
      <c r="B14" s="118"/>
      <c r="C14" s="125"/>
      <c r="D14" s="126"/>
      <c r="E14" s="120"/>
      <c r="F14" s="120"/>
      <c r="G14" s="120"/>
      <c r="H14" s="120"/>
      <c r="I14" s="120"/>
      <c r="J14" s="120"/>
      <c r="K14" s="120"/>
      <c r="L14" s="120"/>
      <c r="M14" s="120"/>
      <c r="N14" s="120"/>
      <c r="O14" s="120"/>
      <c r="P14" s="120"/>
      <c r="Q14" s="120"/>
      <c r="R14" s="120"/>
      <c r="S14" s="121"/>
      <c r="T14" s="116"/>
      <c r="U14" s="116"/>
    </row>
    <row r="15" spans="1:21" ht="12.75" thickBot="1">
      <c r="B15" s="127"/>
      <c r="C15" s="160" t="s">
        <v>22</v>
      </c>
      <c r="D15" s="161">
        <f>SUM(E15:S15)</f>
        <v>1076789.4000000015</v>
      </c>
      <c r="E15" s="162">
        <f>SUM(E79)</f>
        <v>623048.48999999976</v>
      </c>
      <c r="F15" s="162">
        <f t="shared" ref="F15:S15" si="3">SUM(F79)</f>
        <v>-642975.13999999897</v>
      </c>
      <c r="G15" s="162">
        <f t="shared" si="3"/>
        <v>793284.03000000073</v>
      </c>
      <c r="H15" s="162">
        <f t="shared" si="3"/>
        <v>99948.160000000615</v>
      </c>
      <c r="I15" s="162">
        <f t="shared" si="3"/>
        <v>889229.1999999996</v>
      </c>
      <c r="J15" s="162">
        <f t="shared" si="3"/>
        <v>343625.49000000051</v>
      </c>
      <c r="K15" s="162">
        <f t="shared" si="3"/>
        <v>1452353.0000000009</v>
      </c>
      <c r="L15" s="162">
        <f t="shared" si="3"/>
        <v>36356.999999999534</v>
      </c>
      <c r="M15" s="162">
        <f t="shared" si="3"/>
        <v>-244615.36999999871</v>
      </c>
      <c r="N15" s="162">
        <f t="shared" si="3"/>
        <v>144265.06999999948</v>
      </c>
      <c r="O15" s="162">
        <f t="shared" si="3"/>
        <v>-1803694.410000002</v>
      </c>
      <c r="P15" s="162">
        <f t="shared" si="3"/>
        <v>-76097.409999999698</v>
      </c>
      <c r="Q15" s="162">
        <f t="shared" si="3"/>
        <v>-23612</v>
      </c>
      <c r="R15" s="162">
        <f t="shared" si="3"/>
        <v>-644450.46000000066</v>
      </c>
      <c r="S15" s="163">
        <f t="shared" si="3"/>
        <v>130123.75000000047</v>
      </c>
      <c r="T15" s="116"/>
      <c r="U15" s="116"/>
    </row>
    <row r="16" spans="1:21">
      <c r="D16" s="117"/>
      <c r="E16" s="116"/>
      <c r="F16" s="116"/>
      <c r="G16" s="116"/>
      <c r="H16" s="116"/>
      <c r="I16" s="116"/>
      <c r="J16" s="116"/>
      <c r="K16" s="116"/>
      <c r="L16" s="116"/>
      <c r="M16" s="116"/>
      <c r="N16" s="116"/>
      <c r="O16" s="116"/>
      <c r="P16" s="116"/>
      <c r="Q16" s="116"/>
      <c r="R16" s="116"/>
      <c r="S16" s="116"/>
      <c r="T16" s="116"/>
      <c r="U16" s="116"/>
    </row>
    <row r="17" spans="2:21" ht="12.75" thickBot="1">
      <c r="D17" s="117"/>
      <c r="E17" s="116"/>
      <c r="F17" s="116"/>
      <c r="G17" s="116"/>
      <c r="H17" s="116"/>
      <c r="I17" s="116"/>
      <c r="J17" s="116"/>
      <c r="K17" s="116"/>
      <c r="L17" s="116"/>
      <c r="M17" s="116"/>
      <c r="N17" s="116"/>
      <c r="O17" s="116"/>
      <c r="P17" s="116"/>
      <c r="Q17" s="116"/>
      <c r="R17" s="116"/>
      <c r="S17" s="116"/>
      <c r="T17" s="116"/>
      <c r="U17" s="116"/>
    </row>
    <row r="18" spans="2:21" ht="13.5" thickBot="1">
      <c r="B18" s="131"/>
      <c r="C18" s="132"/>
      <c r="D18" s="133"/>
      <c r="E18" s="215" t="s">
        <v>373</v>
      </c>
      <c r="F18" s="215"/>
      <c r="G18" s="215"/>
      <c r="H18" s="215"/>
      <c r="I18" s="215"/>
      <c r="J18" s="215"/>
      <c r="K18" s="215"/>
      <c r="L18" s="215"/>
      <c r="M18" s="215"/>
      <c r="N18" s="215"/>
      <c r="O18" s="215"/>
      <c r="P18" s="215"/>
      <c r="Q18" s="215"/>
      <c r="R18" s="215"/>
      <c r="S18" s="216"/>
      <c r="T18" s="116"/>
      <c r="U18" s="116"/>
    </row>
    <row r="19" spans="2:21" s="138" customFormat="1" ht="12.75">
      <c r="B19" s="150" t="s">
        <v>370</v>
      </c>
      <c r="C19" s="151"/>
      <c r="D19" s="152" t="s">
        <v>366</v>
      </c>
      <c r="E19" s="153"/>
      <c r="F19" s="153"/>
      <c r="G19" s="153"/>
      <c r="H19" s="153"/>
      <c r="I19" s="153"/>
      <c r="J19" s="153"/>
      <c r="K19" s="153"/>
      <c r="L19" s="153"/>
      <c r="M19" s="153"/>
      <c r="N19" s="153"/>
      <c r="O19" s="153"/>
      <c r="P19" s="153"/>
      <c r="Q19" s="153"/>
      <c r="R19" s="153"/>
      <c r="S19" s="154"/>
      <c r="T19" s="144"/>
      <c r="U19" s="144"/>
    </row>
    <row r="20" spans="2:21">
      <c r="B20" s="118"/>
      <c r="C20" s="119" t="s">
        <v>88</v>
      </c>
      <c r="D20" s="134"/>
      <c r="E20" s="120"/>
      <c r="F20" s="120"/>
      <c r="G20" s="120"/>
      <c r="H20" s="120"/>
      <c r="I20" s="120"/>
      <c r="J20" s="120"/>
      <c r="K20" s="120"/>
      <c r="L20" s="120"/>
      <c r="M20" s="120"/>
      <c r="N20" s="120"/>
      <c r="O20" s="120"/>
      <c r="P20" s="120"/>
      <c r="Q20" s="120"/>
      <c r="R20" s="120"/>
      <c r="S20" s="121"/>
      <c r="T20" s="116"/>
      <c r="U20" s="116"/>
    </row>
    <row r="21" spans="2:21">
      <c r="B21" s="118"/>
      <c r="C21" s="122" t="s">
        <v>98</v>
      </c>
      <c r="D21" s="135">
        <f>SUM(E21:S21)</f>
        <v>-1230160.6299999999</v>
      </c>
      <c r="E21" s="120">
        <v>-103734.27</v>
      </c>
      <c r="F21" s="120">
        <v>-80690.69</v>
      </c>
      <c r="G21" s="120">
        <v>-121389.48</v>
      </c>
      <c r="H21" s="120">
        <v>-67814.42</v>
      </c>
      <c r="I21" s="120">
        <v>-65521.31</v>
      </c>
      <c r="J21" s="120">
        <v>-138066.51</v>
      </c>
      <c r="K21" s="120">
        <v>-49014.59</v>
      </c>
      <c r="L21" s="120">
        <v>-215516.26</v>
      </c>
      <c r="M21" s="120">
        <v>-27940.06</v>
      </c>
      <c r="N21" s="120">
        <v>102104.55</v>
      </c>
      <c r="O21" s="120">
        <v>-120698.6</v>
      </c>
      <c r="P21" s="120">
        <v>-70251.429999999993</v>
      </c>
      <c r="Q21" s="120">
        <v>0</v>
      </c>
      <c r="R21" s="120">
        <v>-141755.26</v>
      </c>
      <c r="S21" s="121">
        <v>-129872.3</v>
      </c>
      <c r="T21" s="116"/>
      <c r="U21" s="116"/>
    </row>
    <row r="22" spans="2:21">
      <c r="B22" s="118"/>
      <c r="C22" s="123" t="s">
        <v>48</v>
      </c>
      <c r="D22" s="134"/>
      <c r="E22" s="120"/>
      <c r="F22" s="120"/>
      <c r="G22" s="120"/>
      <c r="H22" s="120"/>
      <c r="I22" s="120"/>
      <c r="J22" s="120"/>
      <c r="K22" s="120"/>
      <c r="L22" s="120"/>
      <c r="M22" s="120"/>
      <c r="N22" s="120"/>
      <c r="O22" s="120"/>
      <c r="P22" s="120"/>
      <c r="Q22" s="120"/>
      <c r="R22" s="120"/>
      <c r="S22" s="121"/>
      <c r="T22" s="116"/>
      <c r="U22" s="116"/>
    </row>
    <row r="23" spans="2:21">
      <c r="B23" s="118"/>
      <c r="C23" s="124" t="s">
        <v>327</v>
      </c>
      <c r="D23" s="135">
        <f t="shared" ref="D23:D25" si="4">SUM(E23:S23)</f>
        <v>1043503</v>
      </c>
      <c r="E23" s="120">
        <v>-46</v>
      </c>
      <c r="F23" s="120">
        <v>0</v>
      </c>
      <c r="G23" s="120">
        <v>0</v>
      </c>
      <c r="H23" s="120">
        <v>0</v>
      </c>
      <c r="I23" s="120">
        <v>0</v>
      </c>
      <c r="J23" s="120">
        <v>-46</v>
      </c>
      <c r="K23" s="120">
        <v>1275578</v>
      </c>
      <c r="L23" s="120">
        <v>-231983</v>
      </c>
      <c r="M23" s="120">
        <v>0</v>
      </c>
      <c r="N23" s="120">
        <v>0</v>
      </c>
      <c r="O23" s="120">
        <v>0</v>
      </c>
      <c r="P23" s="120">
        <v>0</v>
      </c>
      <c r="Q23" s="120">
        <v>0</v>
      </c>
      <c r="R23" s="120">
        <v>0</v>
      </c>
      <c r="S23" s="121">
        <v>0</v>
      </c>
      <c r="T23" s="116"/>
      <c r="U23" s="116"/>
    </row>
    <row r="24" spans="2:21">
      <c r="B24" s="118"/>
      <c r="C24" s="124" t="s">
        <v>132</v>
      </c>
      <c r="D24" s="135">
        <f t="shared" si="4"/>
        <v>5375399.1599999992</v>
      </c>
      <c r="E24" s="120">
        <v>719010.25</v>
      </c>
      <c r="F24" s="120">
        <v>542355.81999999995</v>
      </c>
      <c r="G24" s="120">
        <v>599775</v>
      </c>
      <c r="H24" s="120">
        <v>654673.89</v>
      </c>
      <c r="I24" s="120">
        <v>652967.87</v>
      </c>
      <c r="J24" s="120">
        <v>646938.21</v>
      </c>
      <c r="K24" s="120">
        <v>-83313.75</v>
      </c>
      <c r="L24" s="120">
        <v>256879.28</v>
      </c>
      <c r="M24" s="120">
        <v>583805.57999999996</v>
      </c>
      <c r="N24" s="120">
        <v>3319.34</v>
      </c>
      <c r="O24" s="120">
        <v>851.66</v>
      </c>
      <c r="P24" s="120">
        <v>4461.34</v>
      </c>
      <c r="Q24" s="120">
        <v>1000</v>
      </c>
      <c r="R24" s="120">
        <v>12953.79</v>
      </c>
      <c r="S24" s="121">
        <v>779720.88</v>
      </c>
      <c r="T24" s="116"/>
      <c r="U24" s="116"/>
    </row>
    <row r="25" spans="2:21">
      <c r="B25" s="118"/>
      <c r="C25" s="124" t="s">
        <v>360</v>
      </c>
      <c r="D25" s="135">
        <f t="shared" si="4"/>
        <v>950980.85</v>
      </c>
      <c r="E25" s="120">
        <v>52000</v>
      </c>
      <c r="F25" s="120">
        <v>59000</v>
      </c>
      <c r="G25" s="120">
        <v>170172.42</v>
      </c>
      <c r="H25" s="120">
        <v>65804.72</v>
      </c>
      <c r="I25" s="120">
        <v>127358.39</v>
      </c>
      <c r="J25" s="120">
        <v>189800.45</v>
      </c>
      <c r="K25" s="120">
        <v>277043</v>
      </c>
      <c r="L25" s="120">
        <v>119784.83</v>
      </c>
      <c r="M25" s="120">
        <v>-8836.82</v>
      </c>
      <c r="N25" s="120">
        <v>73000</v>
      </c>
      <c r="O25" s="120">
        <v>-226818.72</v>
      </c>
      <c r="P25" s="120">
        <v>31000</v>
      </c>
      <c r="Q25" s="120">
        <v>0</v>
      </c>
      <c r="R25" s="120">
        <v>-36327.42</v>
      </c>
      <c r="S25" s="121">
        <v>58000</v>
      </c>
      <c r="T25" s="116"/>
      <c r="U25" s="116"/>
    </row>
    <row r="26" spans="2:21">
      <c r="B26" s="118"/>
      <c r="C26" s="123" t="s">
        <v>237</v>
      </c>
      <c r="D26" s="134"/>
      <c r="E26" s="120"/>
      <c r="F26" s="120"/>
      <c r="G26" s="120"/>
      <c r="H26" s="120"/>
      <c r="I26" s="120"/>
      <c r="J26" s="120"/>
      <c r="K26" s="120"/>
      <c r="L26" s="120"/>
      <c r="M26" s="120"/>
      <c r="N26" s="120"/>
      <c r="O26" s="120"/>
      <c r="P26" s="120"/>
      <c r="Q26" s="120"/>
      <c r="R26" s="120"/>
      <c r="S26" s="121"/>
      <c r="T26" s="116"/>
      <c r="U26" s="116"/>
    </row>
    <row r="27" spans="2:21">
      <c r="B27" s="118"/>
      <c r="C27" s="124" t="s">
        <v>228</v>
      </c>
      <c r="D27" s="135">
        <f>SUM(E27:S27)</f>
        <v>6051286</v>
      </c>
      <c r="E27" s="120">
        <v>42469</v>
      </c>
      <c r="F27" s="120">
        <v>1369837</v>
      </c>
      <c r="G27" s="120">
        <v>-177204</v>
      </c>
      <c r="H27" s="120">
        <v>683879</v>
      </c>
      <c r="I27" s="120">
        <v>-368238</v>
      </c>
      <c r="J27" s="120">
        <v>246728</v>
      </c>
      <c r="K27" s="120">
        <v>-59599</v>
      </c>
      <c r="L27" s="120">
        <v>-155610</v>
      </c>
      <c r="M27" s="120">
        <v>1154818</v>
      </c>
      <c r="N27" s="120">
        <v>-170376</v>
      </c>
      <c r="O27" s="120">
        <v>2155937</v>
      </c>
      <c r="P27" s="120">
        <v>104331</v>
      </c>
      <c r="Q27" s="120">
        <v>0</v>
      </c>
      <c r="R27" s="120">
        <v>675727</v>
      </c>
      <c r="S27" s="121">
        <v>548587</v>
      </c>
      <c r="T27" s="116"/>
      <c r="U27" s="116"/>
    </row>
    <row r="28" spans="2:21">
      <c r="B28" s="118"/>
      <c r="C28" s="123" t="s">
        <v>239</v>
      </c>
      <c r="D28" s="134"/>
      <c r="E28" s="120"/>
      <c r="F28" s="120"/>
      <c r="G28" s="120"/>
      <c r="H28" s="120"/>
      <c r="I28" s="120"/>
      <c r="J28" s="120"/>
      <c r="K28" s="120"/>
      <c r="L28" s="120"/>
      <c r="M28" s="120"/>
      <c r="N28" s="120"/>
      <c r="O28" s="120"/>
      <c r="P28" s="120"/>
      <c r="Q28" s="120"/>
      <c r="R28" s="120"/>
      <c r="S28" s="121"/>
      <c r="T28" s="116"/>
      <c r="U28" s="116"/>
    </row>
    <row r="29" spans="2:21">
      <c r="B29" s="118"/>
      <c r="C29" s="124" t="s">
        <v>284</v>
      </c>
      <c r="D29" s="135">
        <f>SUM(E29:S29)</f>
        <v>286503</v>
      </c>
      <c r="E29" s="120">
        <v>0</v>
      </c>
      <c r="F29" s="120">
        <v>23001</v>
      </c>
      <c r="G29" s="120">
        <v>-26999</v>
      </c>
      <c r="H29" s="120">
        <v>0</v>
      </c>
      <c r="I29" s="120">
        <v>12500</v>
      </c>
      <c r="J29" s="120">
        <v>13001</v>
      </c>
      <c r="K29" s="120">
        <v>0</v>
      </c>
      <c r="L29" s="120">
        <v>50000</v>
      </c>
      <c r="M29" s="120">
        <v>0</v>
      </c>
      <c r="N29" s="120">
        <v>75000</v>
      </c>
      <c r="O29" s="120">
        <v>70000</v>
      </c>
      <c r="P29" s="120">
        <v>0</v>
      </c>
      <c r="Q29" s="120">
        <v>0</v>
      </c>
      <c r="R29" s="120">
        <v>20000</v>
      </c>
      <c r="S29" s="121">
        <v>50000</v>
      </c>
      <c r="T29" s="116"/>
      <c r="U29" s="116"/>
    </row>
    <row r="30" spans="2:21">
      <c r="B30" s="118"/>
      <c r="C30" s="123" t="s">
        <v>245</v>
      </c>
      <c r="D30" s="134"/>
      <c r="E30" s="120"/>
      <c r="F30" s="120"/>
      <c r="G30" s="120"/>
      <c r="H30" s="120"/>
      <c r="I30" s="120"/>
      <c r="J30" s="120"/>
      <c r="K30" s="120"/>
      <c r="L30" s="120"/>
      <c r="M30" s="120"/>
      <c r="N30" s="120"/>
      <c r="O30" s="120"/>
      <c r="P30" s="120"/>
      <c r="Q30" s="120"/>
      <c r="R30" s="120"/>
      <c r="S30" s="121"/>
      <c r="T30" s="116"/>
      <c r="U30" s="116"/>
    </row>
    <row r="31" spans="2:21">
      <c r="B31" s="118"/>
      <c r="C31" s="124" t="s">
        <v>249</v>
      </c>
      <c r="D31" s="135">
        <f t="shared" ref="D31:D32" si="5">SUM(E31:S31)</f>
        <v>-119696.67</v>
      </c>
      <c r="E31" s="120">
        <v>-9163</v>
      </c>
      <c r="F31" s="120">
        <v>-8250</v>
      </c>
      <c r="G31" s="120">
        <v>-8250</v>
      </c>
      <c r="H31" s="120">
        <v>-9163</v>
      </c>
      <c r="I31" s="120">
        <v>-8250</v>
      </c>
      <c r="J31" s="120">
        <v>-8250</v>
      </c>
      <c r="K31" s="120">
        <v>0</v>
      </c>
      <c r="L31" s="120">
        <v>0</v>
      </c>
      <c r="M31" s="120">
        <v>0</v>
      </c>
      <c r="N31" s="120">
        <v>-12650</v>
      </c>
      <c r="O31" s="120">
        <v>-12188</v>
      </c>
      <c r="P31" s="120">
        <v>-11808.67</v>
      </c>
      <c r="Q31" s="120">
        <v>0</v>
      </c>
      <c r="R31" s="120">
        <v>-15862</v>
      </c>
      <c r="S31" s="121">
        <v>-15862</v>
      </c>
      <c r="T31" s="116"/>
      <c r="U31" s="116"/>
    </row>
    <row r="32" spans="2:21">
      <c r="B32" s="118"/>
      <c r="C32" s="124" t="s">
        <v>362</v>
      </c>
      <c r="D32" s="135">
        <f t="shared" si="5"/>
        <v>128596</v>
      </c>
      <c r="E32" s="120">
        <v>9996</v>
      </c>
      <c r="F32" s="120">
        <v>9000</v>
      </c>
      <c r="G32" s="120">
        <v>9000</v>
      </c>
      <c r="H32" s="120">
        <v>9996</v>
      </c>
      <c r="I32" s="120">
        <v>9000</v>
      </c>
      <c r="J32" s="120">
        <v>9000</v>
      </c>
      <c r="K32" s="120">
        <v>0</v>
      </c>
      <c r="L32" s="120">
        <v>0</v>
      </c>
      <c r="M32" s="120">
        <v>0</v>
      </c>
      <c r="N32" s="120">
        <v>13800</v>
      </c>
      <c r="O32" s="120">
        <v>13296</v>
      </c>
      <c r="P32" s="120">
        <v>10900</v>
      </c>
      <c r="Q32" s="120">
        <v>0</v>
      </c>
      <c r="R32" s="120">
        <v>17304</v>
      </c>
      <c r="S32" s="121">
        <v>17304</v>
      </c>
      <c r="T32" s="116"/>
      <c r="U32" s="116"/>
    </row>
    <row r="33" spans="2:21">
      <c r="B33" s="118"/>
      <c r="C33" s="123" t="s">
        <v>64</v>
      </c>
      <c r="D33" s="135"/>
      <c r="E33" s="120"/>
      <c r="F33" s="120"/>
      <c r="G33" s="120"/>
      <c r="H33" s="120"/>
      <c r="I33" s="120"/>
      <c r="J33" s="120"/>
      <c r="K33" s="120"/>
      <c r="L33" s="120"/>
      <c r="M33" s="120"/>
      <c r="N33" s="120"/>
      <c r="O33" s="120"/>
      <c r="P33" s="120"/>
      <c r="Q33" s="120"/>
      <c r="R33" s="120"/>
      <c r="S33" s="121"/>
      <c r="T33" s="116"/>
      <c r="U33" s="116"/>
    </row>
    <row r="34" spans="2:21">
      <c r="B34" s="118"/>
      <c r="C34" s="124" t="s">
        <v>351</v>
      </c>
      <c r="D34" s="135">
        <f t="shared" ref="D34:D35" si="6">SUM(E34:S34)</f>
        <v>693200.44</v>
      </c>
      <c r="E34" s="120">
        <v>52373.21</v>
      </c>
      <c r="F34" s="120">
        <v>59964.639999999999</v>
      </c>
      <c r="G34" s="120">
        <v>54908.53</v>
      </c>
      <c r="H34" s="120">
        <v>49298.41</v>
      </c>
      <c r="I34" s="120">
        <v>21650.34</v>
      </c>
      <c r="J34" s="120">
        <v>58382.07</v>
      </c>
      <c r="K34" s="120">
        <v>10656.77</v>
      </c>
      <c r="L34" s="120">
        <v>57500.02</v>
      </c>
      <c r="M34" s="120">
        <v>41187.620000000003</v>
      </c>
      <c r="N34" s="120">
        <v>73045.03</v>
      </c>
      <c r="O34" s="120">
        <v>60761.95</v>
      </c>
      <c r="P34" s="120">
        <v>31035.08</v>
      </c>
      <c r="Q34" s="120">
        <v>3839.79</v>
      </c>
      <c r="R34" s="120">
        <v>60691.74</v>
      </c>
      <c r="S34" s="121">
        <v>57905.24</v>
      </c>
      <c r="T34" s="116"/>
      <c r="U34" s="116"/>
    </row>
    <row r="35" spans="2:21">
      <c r="B35" s="118"/>
      <c r="C35" s="124" t="s">
        <v>364</v>
      </c>
      <c r="D35" s="135">
        <f t="shared" si="6"/>
        <v>427999</v>
      </c>
      <c r="E35" s="120">
        <v>0</v>
      </c>
      <c r="F35" s="120">
        <v>0</v>
      </c>
      <c r="G35" s="120">
        <v>0</v>
      </c>
      <c r="H35" s="120">
        <v>0</v>
      </c>
      <c r="I35" s="120">
        <v>0</v>
      </c>
      <c r="J35" s="120">
        <v>0</v>
      </c>
      <c r="K35" s="120">
        <v>0</v>
      </c>
      <c r="L35" s="120">
        <v>0</v>
      </c>
      <c r="M35" s="120">
        <v>0</v>
      </c>
      <c r="N35" s="120">
        <v>152732</v>
      </c>
      <c r="O35" s="120">
        <v>-22696</v>
      </c>
      <c r="P35" s="120">
        <v>99662</v>
      </c>
      <c r="Q35" s="120">
        <v>23612</v>
      </c>
      <c r="R35" s="120">
        <v>62084</v>
      </c>
      <c r="S35" s="121">
        <v>112605</v>
      </c>
      <c r="T35" s="116"/>
      <c r="U35" s="116"/>
    </row>
    <row r="36" spans="2:21">
      <c r="B36" s="118"/>
      <c r="C36" s="124"/>
      <c r="D36" s="134"/>
      <c r="E36" s="120"/>
      <c r="F36" s="120"/>
      <c r="G36" s="120"/>
      <c r="H36" s="120"/>
      <c r="I36" s="120"/>
      <c r="J36" s="120"/>
      <c r="K36" s="120"/>
      <c r="L36" s="120"/>
      <c r="M36" s="120"/>
      <c r="N36" s="120"/>
      <c r="O36" s="120"/>
      <c r="P36" s="120"/>
      <c r="Q36" s="120"/>
      <c r="R36" s="120"/>
      <c r="S36" s="121"/>
      <c r="T36" s="116"/>
      <c r="U36" s="116"/>
    </row>
    <row r="37" spans="2:21">
      <c r="B37" s="118"/>
      <c r="C37" s="124" t="s">
        <v>22</v>
      </c>
      <c r="D37" s="135">
        <f>SUM(E37:S37)</f>
        <v>741696.75000000442</v>
      </c>
      <c r="E37" s="120">
        <v>956661.40000000026</v>
      </c>
      <c r="F37" s="120">
        <v>-878535.7599999978</v>
      </c>
      <c r="G37" s="120">
        <v>993122.99999999849</v>
      </c>
      <c r="H37" s="120">
        <v>115252.4900000006</v>
      </c>
      <c r="I37" s="120">
        <v>1135745.3000000005</v>
      </c>
      <c r="J37" s="120">
        <v>688424.44</v>
      </c>
      <c r="K37" s="120">
        <v>1450315.2200000007</v>
      </c>
      <c r="L37" s="120">
        <v>214953.95999999988</v>
      </c>
      <c r="M37" s="120">
        <v>-579718.64999999839</v>
      </c>
      <c r="N37" s="120">
        <v>107699.55999999939</v>
      </c>
      <c r="O37" s="120">
        <v>-2486844.6700000018</v>
      </c>
      <c r="P37" s="120">
        <v>-145834.23000000016</v>
      </c>
      <c r="Q37" s="120">
        <v>-13504.029999999962</v>
      </c>
      <c r="R37" s="120">
        <v>-905247.54999999888</v>
      </c>
      <c r="S37" s="121">
        <v>89206.270000000717</v>
      </c>
      <c r="T37" s="116"/>
      <c r="U37" s="116"/>
    </row>
    <row r="38" spans="2:21">
      <c r="B38" s="118"/>
      <c r="C38" s="125"/>
      <c r="D38" s="136"/>
      <c r="E38" s="120"/>
      <c r="F38" s="120"/>
      <c r="G38" s="120"/>
      <c r="H38" s="120"/>
      <c r="I38" s="120"/>
      <c r="J38" s="120"/>
      <c r="K38" s="120"/>
      <c r="L38" s="120"/>
      <c r="M38" s="120"/>
      <c r="N38" s="120"/>
      <c r="O38" s="120"/>
      <c r="P38" s="120"/>
      <c r="Q38" s="120"/>
      <c r="R38" s="120"/>
      <c r="S38" s="121"/>
      <c r="T38" s="116"/>
      <c r="U38" s="116"/>
    </row>
    <row r="39" spans="2:21">
      <c r="B39" s="118"/>
      <c r="C39" s="125"/>
      <c r="D39" s="136"/>
      <c r="E39" s="120"/>
      <c r="F39" s="120"/>
      <c r="G39" s="120"/>
      <c r="H39" s="120"/>
      <c r="I39" s="120"/>
      <c r="J39" s="120"/>
      <c r="K39" s="120"/>
      <c r="L39" s="120"/>
      <c r="M39" s="120"/>
      <c r="N39" s="120"/>
      <c r="O39" s="120"/>
      <c r="P39" s="120"/>
      <c r="Q39" s="120"/>
      <c r="R39" s="120"/>
      <c r="S39" s="121"/>
      <c r="T39" s="116"/>
      <c r="U39" s="116"/>
    </row>
    <row r="40" spans="2:21" s="138" customFormat="1" ht="12.75">
      <c r="B40" s="145" t="s">
        <v>371</v>
      </c>
      <c r="C40" s="146"/>
      <c r="D40" s="147" t="s">
        <v>366</v>
      </c>
      <c r="E40" s="148"/>
      <c r="F40" s="148"/>
      <c r="G40" s="148"/>
      <c r="H40" s="148"/>
      <c r="I40" s="148"/>
      <c r="J40" s="148"/>
      <c r="K40" s="148"/>
      <c r="L40" s="148"/>
      <c r="M40" s="148"/>
      <c r="N40" s="148"/>
      <c r="O40" s="148"/>
      <c r="P40" s="148"/>
      <c r="Q40" s="148"/>
      <c r="R40" s="148"/>
      <c r="S40" s="149"/>
      <c r="T40" s="144"/>
      <c r="U40" s="144"/>
    </row>
    <row r="41" spans="2:21">
      <c r="B41" s="118"/>
      <c r="C41" s="119" t="s">
        <v>88</v>
      </c>
      <c r="D41" s="134"/>
      <c r="E41" s="120"/>
      <c r="F41" s="120"/>
      <c r="G41" s="120"/>
      <c r="H41" s="120"/>
      <c r="I41" s="120"/>
      <c r="J41" s="120"/>
      <c r="K41" s="120"/>
      <c r="L41" s="120"/>
      <c r="M41" s="120"/>
      <c r="N41" s="120"/>
      <c r="O41" s="120"/>
      <c r="P41" s="120"/>
      <c r="Q41" s="120"/>
      <c r="R41" s="120"/>
      <c r="S41" s="121"/>
      <c r="T41" s="116"/>
      <c r="U41" s="116"/>
    </row>
    <row r="42" spans="2:21">
      <c r="B42" s="118"/>
      <c r="C42" s="122" t="s">
        <v>98</v>
      </c>
      <c r="D42" s="135">
        <f>SUM(E42:S42)</f>
        <v>-1211826.03</v>
      </c>
      <c r="E42" s="120">
        <v>-127733.75999999999</v>
      </c>
      <c r="F42" s="120">
        <v>-66266.55</v>
      </c>
      <c r="G42" s="120">
        <v>-91371.51</v>
      </c>
      <c r="H42" s="120">
        <v>-66087.58</v>
      </c>
      <c r="I42" s="120">
        <v>-29171.51</v>
      </c>
      <c r="J42" s="120">
        <v>-75419</v>
      </c>
      <c r="K42" s="120">
        <v>-56132.59</v>
      </c>
      <c r="L42" s="120">
        <v>-134432.26</v>
      </c>
      <c r="M42" s="120">
        <v>-44327.69</v>
      </c>
      <c r="N42" s="120">
        <v>-106858.52</v>
      </c>
      <c r="O42" s="120">
        <v>-103064.19</v>
      </c>
      <c r="P42" s="120">
        <v>-85455.02</v>
      </c>
      <c r="Q42" s="120">
        <v>0</v>
      </c>
      <c r="R42" s="120">
        <v>-138147.79999999999</v>
      </c>
      <c r="S42" s="121">
        <v>-87358.05</v>
      </c>
      <c r="T42" s="116"/>
      <c r="U42" s="116"/>
    </row>
    <row r="43" spans="2:21">
      <c r="B43" s="118"/>
      <c r="C43" s="123" t="s">
        <v>48</v>
      </c>
      <c r="D43" s="134"/>
      <c r="E43" s="120"/>
      <c r="F43" s="120"/>
      <c r="G43" s="120"/>
      <c r="H43" s="120"/>
      <c r="I43" s="120"/>
      <c r="J43" s="120"/>
      <c r="K43" s="120"/>
      <c r="L43" s="120"/>
      <c r="M43" s="120"/>
      <c r="N43" s="120"/>
      <c r="O43" s="120"/>
      <c r="P43" s="120"/>
      <c r="Q43" s="120"/>
      <c r="R43" s="120"/>
      <c r="S43" s="121"/>
      <c r="T43" s="116"/>
      <c r="U43" s="116"/>
    </row>
    <row r="44" spans="2:21">
      <c r="B44" s="118"/>
      <c r="C44" s="124" t="s">
        <v>327</v>
      </c>
      <c r="D44" s="135">
        <f t="shared" ref="D44:D46" si="7">SUM(E44:S44)</f>
        <v>0</v>
      </c>
      <c r="E44" s="120">
        <v>0</v>
      </c>
      <c r="F44" s="120">
        <v>0</v>
      </c>
      <c r="G44" s="120">
        <v>0</v>
      </c>
      <c r="H44" s="120">
        <v>0</v>
      </c>
      <c r="I44" s="120">
        <v>0</v>
      </c>
      <c r="J44" s="120">
        <v>0</v>
      </c>
      <c r="K44" s="120">
        <v>0</v>
      </c>
      <c r="L44" s="120">
        <v>0</v>
      </c>
      <c r="M44" s="120">
        <v>0</v>
      </c>
      <c r="N44" s="120">
        <v>0</v>
      </c>
      <c r="O44" s="120">
        <v>0</v>
      </c>
      <c r="P44" s="120">
        <v>0</v>
      </c>
      <c r="Q44" s="120">
        <v>0</v>
      </c>
      <c r="R44" s="120">
        <v>0</v>
      </c>
      <c r="S44" s="121">
        <v>0</v>
      </c>
      <c r="T44" s="116"/>
      <c r="U44" s="116"/>
    </row>
    <row r="45" spans="2:21">
      <c r="B45" s="118"/>
      <c r="C45" s="124" t="s">
        <v>132</v>
      </c>
      <c r="D45" s="135">
        <f t="shared" si="7"/>
        <v>52811.16</v>
      </c>
      <c r="E45" s="120">
        <v>4485.25</v>
      </c>
      <c r="F45" s="120">
        <v>313.82</v>
      </c>
      <c r="G45" s="120">
        <v>6766</v>
      </c>
      <c r="H45" s="120">
        <v>4413.8900000000003</v>
      </c>
      <c r="I45" s="120">
        <v>335.87</v>
      </c>
      <c r="J45" s="120">
        <v>6271.21</v>
      </c>
      <c r="K45" s="120">
        <v>126.25</v>
      </c>
      <c r="L45" s="120">
        <v>2430.2800000000002</v>
      </c>
      <c r="M45" s="120">
        <v>1833.58</v>
      </c>
      <c r="N45" s="120">
        <v>3319.34</v>
      </c>
      <c r="O45" s="120">
        <v>851.66</v>
      </c>
      <c r="P45" s="120">
        <v>4461.34</v>
      </c>
      <c r="Q45" s="120">
        <v>1000</v>
      </c>
      <c r="R45" s="120">
        <v>12953.79</v>
      </c>
      <c r="S45" s="121">
        <v>3248.88</v>
      </c>
      <c r="T45" s="116"/>
      <c r="U45" s="116"/>
    </row>
    <row r="46" spans="2:21">
      <c r="B46" s="118"/>
      <c r="C46" s="124" t="s">
        <v>360</v>
      </c>
      <c r="D46" s="135">
        <f t="shared" si="7"/>
        <v>753937.85</v>
      </c>
      <c r="E46" s="120">
        <v>52000</v>
      </c>
      <c r="F46" s="120">
        <v>59000</v>
      </c>
      <c r="G46" s="120">
        <v>170172.42</v>
      </c>
      <c r="H46" s="120">
        <v>65804.72</v>
      </c>
      <c r="I46" s="120">
        <v>127358.39</v>
      </c>
      <c r="J46" s="120">
        <v>189800.45</v>
      </c>
      <c r="K46" s="120">
        <v>80000</v>
      </c>
      <c r="L46" s="120">
        <v>119784.83</v>
      </c>
      <c r="M46" s="120">
        <v>-8836.82</v>
      </c>
      <c r="N46" s="120">
        <v>73000</v>
      </c>
      <c r="O46" s="120">
        <v>-226818.72</v>
      </c>
      <c r="P46" s="120">
        <v>31000</v>
      </c>
      <c r="Q46" s="120">
        <v>0</v>
      </c>
      <c r="R46" s="120">
        <v>-36327.42</v>
      </c>
      <c r="S46" s="121">
        <v>58000</v>
      </c>
      <c r="T46" s="116"/>
      <c r="U46" s="116"/>
    </row>
    <row r="47" spans="2:21">
      <c r="B47" s="118"/>
      <c r="C47" s="123" t="s">
        <v>237</v>
      </c>
      <c r="D47" s="134"/>
      <c r="E47" s="120"/>
      <c r="F47" s="120"/>
      <c r="G47" s="120"/>
      <c r="H47" s="120"/>
      <c r="I47" s="120"/>
      <c r="J47" s="120"/>
      <c r="K47" s="120"/>
      <c r="L47" s="120"/>
      <c r="M47" s="120"/>
      <c r="N47" s="120"/>
      <c r="O47" s="120"/>
      <c r="P47" s="120"/>
      <c r="Q47" s="120"/>
      <c r="R47" s="120"/>
      <c r="S47" s="121"/>
      <c r="T47" s="116"/>
      <c r="U47" s="116"/>
    </row>
    <row r="48" spans="2:21">
      <c r="B48" s="118"/>
      <c r="C48" s="124" t="s">
        <v>228</v>
      </c>
      <c r="D48" s="135">
        <f>SUM(E48:S48)</f>
        <v>1290616</v>
      </c>
      <c r="E48" s="120">
        <v>-72961</v>
      </c>
      <c r="F48" s="120">
        <v>222245</v>
      </c>
      <c r="G48" s="120">
        <v>26090</v>
      </c>
      <c r="H48" s="120">
        <v>135294</v>
      </c>
      <c r="I48" s="120">
        <v>-82791</v>
      </c>
      <c r="J48" s="120">
        <v>25381</v>
      </c>
      <c r="K48" s="120">
        <v>5475</v>
      </c>
      <c r="L48" s="120">
        <v>0</v>
      </c>
      <c r="M48" s="120">
        <v>311843</v>
      </c>
      <c r="N48" s="120">
        <v>-32342</v>
      </c>
      <c r="O48" s="120">
        <v>417181</v>
      </c>
      <c r="P48" s="120">
        <v>110875</v>
      </c>
      <c r="Q48" s="120">
        <v>0</v>
      </c>
      <c r="R48" s="120">
        <v>116968</v>
      </c>
      <c r="S48" s="121">
        <v>107358</v>
      </c>
      <c r="T48" s="116"/>
      <c r="U48" s="116"/>
    </row>
    <row r="49" spans="2:21">
      <c r="B49" s="118"/>
      <c r="C49" s="123" t="s">
        <v>239</v>
      </c>
      <c r="D49" s="134"/>
      <c r="E49" s="120"/>
      <c r="F49" s="120"/>
      <c r="G49" s="120"/>
      <c r="H49" s="120"/>
      <c r="I49" s="120"/>
      <c r="J49" s="120"/>
      <c r="K49" s="120"/>
      <c r="L49" s="120"/>
      <c r="M49" s="120"/>
      <c r="N49" s="120"/>
      <c r="O49" s="120"/>
      <c r="P49" s="120"/>
      <c r="Q49" s="120"/>
      <c r="R49" s="120"/>
      <c r="S49" s="121"/>
      <c r="T49" s="116"/>
      <c r="U49" s="116"/>
    </row>
    <row r="50" spans="2:21">
      <c r="B50" s="118"/>
      <c r="C50" s="124" t="s">
        <v>284</v>
      </c>
      <c r="D50" s="135">
        <f>SUM(E50:S50)</f>
        <v>25000</v>
      </c>
      <c r="E50" s="120">
        <v>0</v>
      </c>
      <c r="F50" s="120">
        <v>0</v>
      </c>
      <c r="G50" s="120">
        <v>0</v>
      </c>
      <c r="H50" s="120">
        <v>0</v>
      </c>
      <c r="I50" s="120">
        <v>0</v>
      </c>
      <c r="J50" s="120">
        <v>0</v>
      </c>
      <c r="K50" s="120">
        <v>0</v>
      </c>
      <c r="L50" s="120">
        <v>0</v>
      </c>
      <c r="M50" s="120">
        <v>0</v>
      </c>
      <c r="N50" s="120">
        <v>25000</v>
      </c>
      <c r="O50" s="120">
        <v>0</v>
      </c>
      <c r="P50" s="120">
        <v>0</v>
      </c>
      <c r="Q50" s="120">
        <v>0</v>
      </c>
      <c r="R50" s="120">
        <v>0</v>
      </c>
      <c r="S50" s="121">
        <v>0</v>
      </c>
      <c r="T50" s="116"/>
      <c r="U50" s="116"/>
    </row>
    <row r="51" spans="2:21">
      <c r="B51" s="118"/>
      <c r="C51" s="123" t="s">
        <v>245</v>
      </c>
      <c r="D51" s="134"/>
      <c r="E51" s="120"/>
      <c r="F51" s="120"/>
      <c r="G51" s="120"/>
      <c r="H51" s="120"/>
      <c r="I51" s="120"/>
      <c r="J51" s="120"/>
      <c r="K51" s="120"/>
      <c r="L51" s="120"/>
      <c r="M51" s="120"/>
      <c r="N51" s="120"/>
      <c r="O51" s="120"/>
      <c r="P51" s="120"/>
      <c r="Q51" s="120"/>
      <c r="R51" s="120"/>
      <c r="S51" s="121"/>
      <c r="T51" s="116"/>
      <c r="U51" s="116"/>
    </row>
    <row r="52" spans="2:21">
      <c r="B52" s="118"/>
      <c r="C52" s="124" t="s">
        <v>249</v>
      </c>
      <c r="D52" s="135">
        <f t="shared" ref="D52:D53" si="8">SUM(E52:S52)</f>
        <v>10716.33</v>
      </c>
      <c r="E52" s="120">
        <v>833</v>
      </c>
      <c r="F52" s="120">
        <v>750</v>
      </c>
      <c r="G52" s="120">
        <v>750</v>
      </c>
      <c r="H52" s="120">
        <v>833</v>
      </c>
      <c r="I52" s="120">
        <v>750</v>
      </c>
      <c r="J52" s="120">
        <v>750</v>
      </c>
      <c r="K52" s="120">
        <v>0</v>
      </c>
      <c r="L52" s="120">
        <v>0</v>
      </c>
      <c r="M52" s="120">
        <v>0</v>
      </c>
      <c r="N52" s="120">
        <v>1150</v>
      </c>
      <c r="O52" s="120">
        <v>1108</v>
      </c>
      <c r="P52" s="120">
        <v>908.33</v>
      </c>
      <c r="Q52" s="120">
        <v>0</v>
      </c>
      <c r="R52" s="120">
        <v>1442</v>
      </c>
      <c r="S52" s="121">
        <v>1442</v>
      </c>
      <c r="T52" s="116"/>
      <c r="U52" s="116"/>
    </row>
    <row r="53" spans="2:21">
      <c r="B53" s="118"/>
      <c r="C53" s="124" t="s">
        <v>362</v>
      </c>
      <c r="D53" s="135">
        <f t="shared" si="8"/>
        <v>0</v>
      </c>
      <c r="E53" s="120">
        <v>0</v>
      </c>
      <c r="F53" s="120">
        <v>0</v>
      </c>
      <c r="G53" s="120">
        <v>0</v>
      </c>
      <c r="H53" s="120">
        <v>0</v>
      </c>
      <c r="I53" s="120">
        <v>0</v>
      </c>
      <c r="J53" s="120">
        <v>0</v>
      </c>
      <c r="K53" s="120">
        <v>0</v>
      </c>
      <c r="L53" s="120">
        <v>0</v>
      </c>
      <c r="M53" s="120">
        <v>0</v>
      </c>
      <c r="N53" s="120">
        <v>0</v>
      </c>
      <c r="O53" s="120">
        <v>0</v>
      </c>
      <c r="P53" s="120">
        <v>0</v>
      </c>
      <c r="Q53" s="120">
        <v>0</v>
      </c>
      <c r="R53" s="120">
        <v>0</v>
      </c>
      <c r="S53" s="121">
        <v>0</v>
      </c>
      <c r="T53" s="116"/>
      <c r="U53" s="116"/>
    </row>
    <row r="54" spans="2:21">
      <c r="B54" s="118"/>
      <c r="C54" s="123" t="s">
        <v>64</v>
      </c>
      <c r="D54" s="135"/>
      <c r="E54" s="120"/>
      <c r="F54" s="120"/>
      <c r="G54" s="120"/>
      <c r="H54" s="120"/>
      <c r="I54" s="120"/>
      <c r="J54" s="120"/>
      <c r="K54" s="120"/>
      <c r="L54" s="120"/>
      <c r="M54" s="120"/>
      <c r="N54" s="120"/>
      <c r="O54" s="120"/>
      <c r="P54" s="120"/>
      <c r="Q54" s="120"/>
      <c r="R54" s="120"/>
      <c r="S54" s="121"/>
      <c r="T54" s="116"/>
      <c r="U54" s="116"/>
    </row>
    <row r="55" spans="2:21">
      <c r="B55" s="118"/>
      <c r="C55" s="124" t="s">
        <v>351</v>
      </c>
      <c r="D55" s="135">
        <f t="shared" ref="D55:D56" si="9">SUM(E55:S55)</f>
        <v>673545.44000000006</v>
      </c>
      <c r="E55" s="120">
        <v>52373.21</v>
      </c>
      <c r="F55" s="120">
        <v>59964.639999999999</v>
      </c>
      <c r="G55" s="120">
        <v>54908.53</v>
      </c>
      <c r="H55" s="120">
        <v>49298.41</v>
      </c>
      <c r="I55" s="120">
        <v>21650.34</v>
      </c>
      <c r="J55" s="120">
        <v>58382.07</v>
      </c>
      <c r="K55" s="120">
        <v>1636.77</v>
      </c>
      <c r="L55" s="120">
        <v>46865.02</v>
      </c>
      <c r="M55" s="120">
        <v>41187.620000000003</v>
      </c>
      <c r="N55" s="120">
        <v>73045.03</v>
      </c>
      <c r="O55" s="120">
        <v>60761.95</v>
      </c>
      <c r="P55" s="120">
        <v>31035.08</v>
      </c>
      <c r="Q55" s="120">
        <v>3839.79</v>
      </c>
      <c r="R55" s="120">
        <v>60691.74</v>
      </c>
      <c r="S55" s="121">
        <v>57905.24</v>
      </c>
      <c r="T55" s="116"/>
      <c r="U55" s="116"/>
    </row>
    <row r="56" spans="2:21">
      <c r="B56" s="118"/>
      <c r="C56" s="124" t="s">
        <v>364</v>
      </c>
      <c r="D56" s="135">
        <f t="shared" si="9"/>
        <v>0</v>
      </c>
      <c r="E56" s="120">
        <v>0</v>
      </c>
      <c r="F56" s="120">
        <v>0</v>
      </c>
      <c r="G56" s="120">
        <v>0</v>
      </c>
      <c r="H56" s="120">
        <v>0</v>
      </c>
      <c r="I56" s="120">
        <v>0</v>
      </c>
      <c r="J56" s="120">
        <v>0</v>
      </c>
      <c r="K56" s="120">
        <v>0</v>
      </c>
      <c r="L56" s="120">
        <v>0</v>
      </c>
      <c r="M56" s="120">
        <v>0</v>
      </c>
      <c r="N56" s="120">
        <v>0</v>
      </c>
      <c r="O56" s="120">
        <v>0</v>
      </c>
      <c r="P56" s="120">
        <v>0</v>
      </c>
      <c r="Q56" s="120">
        <v>0</v>
      </c>
      <c r="R56" s="120">
        <v>0</v>
      </c>
      <c r="S56" s="121">
        <v>0</v>
      </c>
      <c r="T56" s="116"/>
      <c r="U56" s="116"/>
    </row>
    <row r="57" spans="2:21">
      <c r="B57" s="118"/>
      <c r="C57" s="124"/>
      <c r="D57" s="134"/>
      <c r="E57" s="120"/>
      <c r="F57" s="120"/>
      <c r="G57" s="120"/>
      <c r="H57" s="120"/>
      <c r="I57" s="120"/>
      <c r="J57" s="120"/>
      <c r="K57" s="120"/>
      <c r="L57" s="120"/>
      <c r="M57" s="120"/>
      <c r="N57" s="120"/>
      <c r="O57" s="120"/>
      <c r="P57" s="120"/>
      <c r="Q57" s="120"/>
      <c r="R57" s="120"/>
      <c r="S57" s="121"/>
      <c r="T57" s="116"/>
      <c r="U57" s="116"/>
    </row>
    <row r="58" spans="2:21">
      <c r="B58" s="118"/>
      <c r="C58" s="124" t="s">
        <v>22</v>
      </c>
      <c r="D58" s="135">
        <f>SUM(E58:S58)</f>
        <v>-335092.64999999828</v>
      </c>
      <c r="E58" s="120">
        <v>333612.91000000044</v>
      </c>
      <c r="F58" s="120">
        <v>-235560.61999999883</v>
      </c>
      <c r="G58" s="120">
        <v>199838.96999999779</v>
      </c>
      <c r="H58" s="120">
        <v>15304.329999999987</v>
      </c>
      <c r="I58" s="120">
        <v>246516.10000000088</v>
      </c>
      <c r="J58" s="120">
        <v>344798.94999999943</v>
      </c>
      <c r="K58" s="120">
        <v>-2037.7800000003585</v>
      </c>
      <c r="L58" s="120">
        <v>178596.96000000034</v>
      </c>
      <c r="M58" s="120">
        <v>-335103.27999999968</v>
      </c>
      <c r="N58" s="120">
        <v>-36565.510000000097</v>
      </c>
      <c r="O58" s="120">
        <v>-683150.25999999966</v>
      </c>
      <c r="P58" s="120">
        <v>-69736.820000000458</v>
      </c>
      <c r="Q58" s="120">
        <v>10107.970000000038</v>
      </c>
      <c r="R58" s="120">
        <v>-260797.08999999822</v>
      </c>
      <c r="S58" s="121">
        <v>-40917.479999999756</v>
      </c>
      <c r="T58" s="116"/>
      <c r="U58" s="116"/>
    </row>
    <row r="59" spans="2:21">
      <c r="B59" s="118"/>
      <c r="C59" s="125"/>
      <c r="D59" s="136"/>
      <c r="E59" s="120"/>
      <c r="F59" s="120"/>
      <c r="G59" s="120"/>
      <c r="H59" s="120"/>
      <c r="I59" s="120"/>
      <c r="J59" s="120"/>
      <c r="K59" s="120"/>
      <c r="L59" s="120"/>
      <c r="M59" s="120"/>
      <c r="N59" s="120"/>
      <c r="O59" s="120"/>
      <c r="P59" s="120"/>
      <c r="Q59" s="120"/>
      <c r="R59" s="120"/>
      <c r="S59" s="121"/>
      <c r="T59" s="116"/>
      <c r="U59" s="116"/>
    </row>
    <row r="60" spans="2:21">
      <c r="B60" s="118"/>
      <c r="C60" s="125"/>
      <c r="D60" s="136"/>
      <c r="E60" s="120"/>
      <c r="F60" s="120"/>
      <c r="G60" s="120"/>
      <c r="H60" s="120"/>
      <c r="I60" s="120"/>
      <c r="J60" s="120"/>
      <c r="K60" s="120"/>
      <c r="L60" s="120"/>
      <c r="M60" s="120"/>
      <c r="N60" s="120"/>
      <c r="O60" s="120"/>
      <c r="P60" s="120"/>
      <c r="Q60" s="120"/>
      <c r="R60" s="120"/>
      <c r="S60" s="121"/>
      <c r="T60" s="116"/>
      <c r="U60" s="116"/>
    </row>
    <row r="61" spans="2:21" s="138" customFormat="1" ht="12.75">
      <c r="B61" s="139" t="s">
        <v>372</v>
      </c>
      <c r="C61" s="140"/>
      <c r="D61" s="141" t="s">
        <v>366</v>
      </c>
      <c r="E61" s="142"/>
      <c r="F61" s="142"/>
      <c r="G61" s="142"/>
      <c r="H61" s="142"/>
      <c r="I61" s="142"/>
      <c r="J61" s="142"/>
      <c r="K61" s="142"/>
      <c r="L61" s="142"/>
      <c r="M61" s="142"/>
      <c r="N61" s="142"/>
      <c r="O61" s="142"/>
      <c r="P61" s="142"/>
      <c r="Q61" s="142"/>
      <c r="R61" s="142"/>
      <c r="S61" s="143"/>
      <c r="T61" s="144"/>
      <c r="U61" s="144"/>
    </row>
    <row r="62" spans="2:21">
      <c r="B62" s="118"/>
      <c r="C62" s="119" t="s">
        <v>88</v>
      </c>
      <c r="D62" s="134"/>
      <c r="E62" s="120"/>
      <c r="F62" s="120"/>
      <c r="G62" s="120"/>
      <c r="H62" s="120"/>
      <c r="I62" s="120"/>
      <c r="J62" s="120"/>
      <c r="K62" s="120"/>
      <c r="L62" s="120"/>
      <c r="M62" s="120"/>
      <c r="N62" s="120"/>
      <c r="O62" s="120"/>
      <c r="P62" s="120"/>
      <c r="Q62" s="120"/>
      <c r="R62" s="120"/>
      <c r="S62" s="121"/>
      <c r="T62" s="116"/>
      <c r="U62" s="116"/>
    </row>
    <row r="63" spans="2:21">
      <c r="B63" s="118"/>
      <c r="C63" s="122" t="s">
        <v>98</v>
      </c>
      <c r="D63" s="135">
        <f>SUM(E63:S63)</f>
        <v>-18334.60000000002</v>
      </c>
      <c r="E63" s="120">
        <f t="shared" ref="E63:S63" si="10">E21-E42</f>
        <v>23999.489999999991</v>
      </c>
      <c r="F63" s="120">
        <f t="shared" si="10"/>
        <v>-14424.14</v>
      </c>
      <c r="G63" s="120">
        <f t="shared" si="10"/>
        <v>-30017.97</v>
      </c>
      <c r="H63" s="120">
        <f t="shared" si="10"/>
        <v>-1726.8399999999965</v>
      </c>
      <c r="I63" s="120">
        <f t="shared" si="10"/>
        <v>-36349.800000000003</v>
      </c>
      <c r="J63" s="120">
        <f t="shared" si="10"/>
        <v>-62647.510000000009</v>
      </c>
      <c r="K63" s="120">
        <f t="shared" si="10"/>
        <v>7118</v>
      </c>
      <c r="L63" s="120">
        <f t="shared" si="10"/>
        <v>-81084</v>
      </c>
      <c r="M63" s="120">
        <f t="shared" si="10"/>
        <v>16387.63</v>
      </c>
      <c r="N63" s="120">
        <f t="shared" si="10"/>
        <v>208963.07</v>
      </c>
      <c r="O63" s="120">
        <f t="shared" si="10"/>
        <v>-17634.410000000003</v>
      </c>
      <c r="P63" s="120">
        <f t="shared" si="10"/>
        <v>15203.590000000011</v>
      </c>
      <c r="Q63" s="120">
        <f t="shared" si="10"/>
        <v>0</v>
      </c>
      <c r="R63" s="120">
        <f t="shared" si="10"/>
        <v>-3607.460000000021</v>
      </c>
      <c r="S63" s="121">
        <f t="shared" si="10"/>
        <v>-42514.25</v>
      </c>
      <c r="T63" s="116"/>
      <c r="U63" s="116"/>
    </row>
    <row r="64" spans="2:21">
      <c r="B64" s="118"/>
      <c r="C64" s="123" t="s">
        <v>48</v>
      </c>
      <c r="D64" s="134"/>
      <c r="E64" s="120"/>
      <c r="F64" s="120"/>
      <c r="G64" s="120"/>
      <c r="H64" s="120"/>
      <c r="I64" s="120"/>
      <c r="J64" s="120"/>
      <c r="K64" s="120"/>
      <c r="L64" s="120"/>
      <c r="M64" s="120"/>
      <c r="N64" s="120"/>
      <c r="O64" s="120"/>
      <c r="P64" s="120"/>
      <c r="Q64" s="120"/>
      <c r="R64" s="120"/>
      <c r="S64" s="121"/>
      <c r="T64" s="116"/>
      <c r="U64" s="116"/>
    </row>
    <row r="65" spans="2:21">
      <c r="B65" s="118"/>
      <c r="C65" s="124" t="s">
        <v>327</v>
      </c>
      <c r="D65" s="135">
        <f t="shared" ref="D65:D67" si="11">SUM(E65:S65)</f>
        <v>1043503</v>
      </c>
      <c r="E65" s="120">
        <f t="shared" ref="E65:S65" si="12">E23-E44</f>
        <v>-46</v>
      </c>
      <c r="F65" s="120">
        <f t="shared" si="12"/>
        <v>0</v>
      </c>
      <c r="G65" s="120">
        <f t="shared" si="12"/>
        <v>0</v>
      </c>
      <c r="H65" s="120">
        <f t="shared" si="12"/>
        <v>0</v>
      </c>
      <c r="I65" s="120">
        <f t="shared" si="12"/>
        <v>0</v>
      </c>
      <c r="J65" s="120">
        <f t="shared" si="12"/>
        <v>-46</v>
      </c>
      <c r="K65" s="120">
        <f t="shared" si="12"/>
        <v>1275578</v>
      </c>
      <c r="L65" s="120">
        <f t="shared" si="12"/>
        <v>-231983</v>
      </c>
      <c r="M65" s="120">
        <f t="shared" si="12"/>
        <v>0</v>
      </c>
      <c r="N65" s="120">
        <f t="shared" si="12"/>
        <v>0</v>
      </c>
      <c r="O65" s="120">
        <f t="shared" si="12"/>
        <v>0</v>
      </c>
      <c r="P65" s="120">
        <f t="shared" si="12"/>
        <v>0</v>
      </c>
      <c r="Q65" s="120">
        <f t="shared" si="12"/>
        <v>0</v>
      </c>
      <c r="R65" s="120">
        <f t="shared" si="12"/>
        <v>0</v>
      </c>
      <c r="S65" s="121">
        <f t="shared" si="12"/>
        <v>0</v>
      </c>
      <c r="T65" s="116"/>
      <c r="U65" s="116"/>
    </row>
    <row r="66" spans="2:21">
      <c r="B66" s="118"/>
      <c r="C66" s="124" t="s">
        <v>132</v>
      </c>
      <c r="D66" s="135">
        <f t="shared" si="11"/>
        <v>5322588</v>
      </c>
      <c r="E66" s="120">
        <f t="shared" ref="E66:S66" si="13">E24-E45</f>
        <v>714525</v>
      </c>
      <c r="F66" s="120">
        <f t="shared" si="13"/>
        <v>542042</v>
      </c>
      <c r="G66" s="120">
        <f t="shared" si="13"/>
        <v>593009</v>
      </c>
      <c r="H66" s="120">
        <f t="shared" si="13"/>
        <v>650260</v>
      </c>
      <c r="I66" s="120">
        <f t="shared" si="13"/>
        <v>652632</v>
      </c>
      <c r="J66" s="120">
        <f t="shared" si="13"/>
        <v>640667</v>
      </c>
      <c r="K66" s="120">
        <f t="shared" si="13"/>
        <v>-83440</v>
      </c>
      <c r="L66" s="120">
        <f t="shared" si="13"/>
        <v>254449</v>
      </c>
      <c r="M66" s="120">
        <f t="shared" si="13"/>
        <v>581972</v>
      </c>
      <c r="N66" s="120">
        <f t="shared" si="13"/>
        <v>0</v>
      </c>
      <c r="O66" s="120">
        <f t="shared" si="13"/>
        <v>0</v>
      </c>
      <c r="P66" s="120">
        <f t="shared" si="13"/>
        <v>0</v>
      </c>
      <c r="Q66" s="120">
        <f t="shared" si="13"/>
        <v>0</v>
      </c>
      <c r="R66" s="120">
        <f t="shared" si="13"/>
        <v>0</v>
      </c>
      <c r="S66" s="121">
        <f t="shared" si="13"/>
        <v>776472</v>
      </c>
      <c r="T66" s="116"/>
      <c r="U66" s="116"/>
    </row>
    <row r="67" spans="2:21">
      <c r="B67" s="118"/>
      <c r="C67" s="124" t="s">
        <v>360</v>
      </c>
      <c r="D67" s="135">
        <f t="shared" si="11"/>
        <v>197043</v>
      </c>
      <c r="E67" s="120">
        <f t="shared" ref="E67:S67" si="14">E25-E46</f>
        <v>0</v>
      </c>
      <c r="F67" s="120">
        <f t="shared" si="14"/>
        <v>0</v>
      </c>
      <c r="G67" s="120">
        <f t="shared" si="14"/>
        <v>0</v>
      </c>
      <c r="H67" s="120">
        <f t="shared" si="14"/>
        <v>0</v>
      </c>
      <c r="I67" s="120">
        <f t="shared" si="14"/>
        <v>0</v>
      </c>
      <c r="J67" s="120">
        <f t="shared" si="14"/>
        <v>0</v>
      </c>
      <c r="K67" s="120">
        <f t="shared" si="14"/>
        <v>197043</v>
      </c>
      <c r="L67" s="120">
        <f t="shared" si="14"/>
        <v>0</v>
      </c>
      <c r="M67" s="120">
        <f t="shared" si="14"/>
        <v>0</v>
      </c>
      <c r="N67" s="120">
        <f t="shared" si="14"/>
        <v>0</v>
      </c>
      <c r="O67" s="120">
        <f t="shared" si="14"/>
        <v>0</v>
      </c>
      <c r="P67" s="120">
        <f t="shared" si="14"/>
        <v>0</v>
      </c>
      <c r="Q67" s="120">
        <f t="shared" si="14"/>
        <v>0</v>
      </c>
      <c r="R67" s="120">
        <f t="shared" si="14"/>
        <v>0</v>
      </c>
      <c r="S67" s="121">
        <f t="shared" si="14"/>
        <v>0</v>
      </c>
      <c r="T67" s="116"/>
      <c r="U67" s="116"/>
    </row>
    <row r="68" spans="2:21">
      <c r="B68" s="118"/>
      <c r="C68" s="123" t="s">
        <v>237</v>
      </c>
      <c r="D68" s="134"/>
      <c r="E68" s="120"/>
      <c r="F68" s="120"/>
      <c r="G68" s="120"/>
      <c r="H68" s="120"/>
      <c r="I68" s="120"/>
      <c r="J68" s="120"/>
      <c r="K68" s="120"/>
      <c r="L68" s="120"/>
      <c r="M68" s="120"/>
      <c r="N68" s="120"/>
      <c r="O68" s="120"/>
      <c r="P68" s="120"/>
      <c r="Q68" s="120"/>
      <c r="R68" s="120"/>
      <c r="S68" s="121"/>
      <c r="T68" s="116"/>
      <c r="U68" s="116"/>
    </row>
    <row r="69" spans="2:21">
      <c r="B69" s="118"/>
      <c r="C69" s="124" t="s">
        <v>228</v>
      </c>
      <c r="D69" s="135">
        <f>SUM(E69:S69)</f>
        <v>4760670</v>
      </c>
      <c r="E69" s="120">
        <f t="shared" ref="E69:S69" si="15">E27-E48</f>
        <v>115430</v>
      </c>
      <c r="F69" s="120">
        <f t="shared" si="15"/>
        <v>1147592</v>
      </c>
      <c r="G69" s="120">
        <f t="shared" si="15"/>
        <v>-203294</v>
      </c>
      <c r="H69" s="120">
        <f t="shared" si="15"/>
        <v>548585</v>
      </c>
      <c r="I69" s="120">
        <f t="shared" si="15"/>
        <v>-285447</v>
      </c>
      <c r="J69" s="120">
        <f t="shared" si="15"/>
        <v>221347</v>
      </c>
      <c r="K69" s="120">
        <f t="shared" si="15"/>
        <v>-65074</v>
      </c>
      <c r="L69" s="120">
        <f t="shared" si="15"/>
        <v>-155610</v>
      </c>
      <c r="M69" s="120">
        <f t="shared" si="15"/>
        <v>842975</v>
      </c>
      <c r="N69" s="120">
        <f t="shared" si="15"/>
        <v>-138034</v>
      </c>
      <c r="O69" s="120">
        <f t="shared" si="15"/>
        <v>1738756</v>
      </c>
      <c r="P69" s="120">
        <f t="shared" si="15"/>
        <v>-6544</v>
      </c>
      <c r="Q69" s="120">
        <f t="shared" si="15"/>
        <v>0</v>
      </c>
      <c r="R69" s="120">
        <f t="shared" si="15"/>
        <v>558759</v>
      </c>
      <c r="S69" s="121">
        <f t="shared" si="15"/>
        <v>441229</v>
      </c>
      <c r="T69" s="116"/>
      <c r="U69" s="116"/>
    </row>
    <row r="70" spans="2:21">
      <c r="B70" s="118"/>
      <c r="C70" s="123" t="s">
        <v>239</v>
      </c>
      <c r="D70" s="134"/>
      <c r="E70" s="120"/>
      <c r="F70" s="120"/>
      <c r="G70" s="120"/>
      <c r="H70" s="120"/>
      <c r="I70" s="120"/>
      <c r="J70" s="120"/>
      <c r="K70" s="120"/>
      <c r="L70" s="120"/>
      <c r="M70" s="120"/>
      <c r="N70" s="120"/>
      <c r="O70" s="120"/>
      <c r="P70" s="120"/>
      <c r="Q70" s="120"/>
      <c r="R70" s="120"/>
      <c r="S70" s="121"/>
      <c r="T70" s="116"/>
      <c r="U70" s="116"/>
    </row>
    <row r="71" spans="2:21">
      <c r="B71" s="118"/>
      <c r="C71" s="124" t="s">
        <v>284</v>
      </c>
      <c r="D71" s="135">
        <f>SUM(E71:S71)</f>
        <v>261503</v>
      </c>
      <c r="E71" s="120">
        <f t="shared" ref="E71:S71" si="16">E29-E50</f>
        <v>0</v>
      </c>
      <c r="F71" s="120">
        <f t="shared" si="16"/>
        <v>23001</v>
      </c>
      <c r="G71" s="120">
        <f t="shared" si="16"/>
        <v>-26999</v>
      </c>
      <c r="H71" s="120">
        <f t="shared" si="16"/>
        <v>0</v>
      </c>
      <c r="I71" s="120">
        <f t="shared" si="16"/>
        <v>12500</v>
      </c>
      <c r="J71" s="120">
        <f t="shared" si="16"/>
        <v>13001</v>
      </c>
      <c r="K71" s="120">
        <f t="shared" si="16"/>
        <v>0</v>
      </c>
      <c r="L71" s="120">
        <f t="shared" si="16"/>
        <v>50000</v>
      </c>
      <c r="M71" s="120">
        <f t="shared" si="16"/>
        <v>0</v>
      </c>
      <c r="N71" s="120">
        <f t="shared" si="16"/>
        <v>50000</v>
      </c>
      <c r="O71" s="120">
        <f t="shared" si="16"/>
        <v>70000</v>
      </c>
      <c r="P71" s="120">
        <f t="shared" si="16"/>
        <v>0</v>
      </c>
      <c r="Q71" s="120">
        <f t="shared" si="16"/>
        <v>0</v>
      </c>
      <c r="R71" s="120">
        <f t="shared" si="16"/>
        <v>20000</v>
      </c>
      <c r="S71" s="121">
        <f t="shared" si="16"/>
        <v>50000</v>
      </c>
      <c r="T71" s="116"/>
      <c r="U71" s="116"/>
    </row>
    <row r="72" spans="2:21">
      <c r="B72" s="118"/>
      <c r="C72" s="123" t="s">
        <v>245</v>
      </c>
      <c r="D72" s="134"/>
      <c r="E72" s="120"/>
      <c r="F72" s="120"/>
      <c r="G72" s="120"/>
      <c r="H72" s="120"/>
      <c r="I72" s="120"/>
      <c r="J72" s="120"/>
      <c r="K72" s="120"/>
      <c r="L72" s="120"/>
      <c r="M72" s="120"/>
      <c r="N72" s="120"/>
      <c r="O72" s="120"/>
      <c r="P72" s="120"/>
      <c r="Q72" s="120"/>
      <c r="R72" s="120"/>
      <c r="S72" s="121"/>
      <c r="T72" s="116"/>
      <c r="U72" s="116"/>
    </row>
    <row r="73" spans="2:21">
      <c r="B73" s="118"/>
      <c r="C73" s="124" t="s">
        <v>249</v>
      </c>
      <c r="D73" s="135">
        <f t="shared" ref="D73:D74" si="17">SUM(E73:S73)</f>
        <v>-130413</v>
      </c>
      <c r="E73" s="120">
        <f t="shared" ref="E73:S73" si="18">E31-E52</f>
        <v>-9996</v>
      </c>
      <c r="F73" s="120">
        <f t="shared" si="18"/>
        <v>-9000</v>
      </c>
      <c r="G73" s="120">
        <f t="shared" si="18"/>
        <v>-9000</v>
      </c>
      <c r="H73" s="120">
        <f t="shared" si="18"/>
        <v>-9996</v>
      </c>
      <c r="I73" s="120">
        <f t="shared" si="18"/>
        <v>-9000</v>
      </c>
      <c r="J73" s="120">
        <f t="shared" si="18"/>
        <v>-9000</v>
      </c>
      <c r="K73" s="120">
        <f t="shared" si="18"/>
        <v>0</v>
      </c>
      <c r="L73" s="120">
        <f t="shared" si="18"/>
        <v>0</v>
      </c>
      <c r="M73" s="120">
        <f t="shared" si="18"/>
        <v>0</v>
      </c>
      <c r="N73" s="120">
        <f t="shared" si="18"/>
        <v>-13800</v>
      </c>
      <c r="O73" s="120">
        <f t="shared" si="18"/>
        <v>-13296</v>
      </c>
      <c r="P73" s="120">
        <f t="shared" si="18"/>
        <v>-12717</v>
      </c>
      <c r="Q73" s="120">
        <f t="shared" si="18"/>
        <v>0</v>
      </c>
      <c r="R73" s="120">
        <f t="shared" si="18"/>
        <v>-17304</v>
      </c>
      <c r="S73" s="121">
        <f t="shared" si="18"/>
        <v>-17304</v>
      </c>
      <c r="T73" s="116"/>
      <c r="U73" s="116"/>
    </row>
    <row r="74" spans="2:21">
      <c r="B74" s="118"/>
      <c r="C74" s="124" t="s">
        <v>362</v>
      </c>
      <c r="D74" s="135">
        <f t="shared" si="17"/>
        <v>128596</v>
      </c>
      <c r="E74" s="120">
        <f t="shared" ref="E74:S74" si="19">E32-E53</f>
        <v>9996</v>
      </c>
      <c r="F74" s="120">
        <f t="shared" si="19"/>
        <v>9000</v>
      </c>
      <c r="G74" s="120">
        <f t="shared" si="19"/>
        <v>9000</v>
      </c>
      <c r="H74" s="120">
        <f t="shared" si="19"/>
        <v>9996</v>
      </c>
      <c r="I74" s="120">
        <f t="shared" si="19"/>
        <v>9000</v>
      </c>
      <c r="J74" s="120">
        <f t="shared" si="19"/>
        <v>9000</v>
      </c>
      <c r="K74" s="120">
        <f t="shared" si="19"/>
        <v>0</v>
      </c>
      <c r="L74" s="120">
        <f t="shared" si="19"/>
        <v>0</v>
      </c>
      <c r="M74" s="120">
        <f t="shared" si="19"/>
        <v>0</v>
      </c>
      <c r="N74" s="120">
        <f t="shared" si="19"/>
        <v>13800</v>
      </c>
      <c r="O74" s="120">
        <f t="shared" si="19"/>
        <v>13296</v>
      </c>
      <c r="P74" s="120">
        <f t="shared" si="19"/>
        <v>10900</v>
      </c>
      <c r="Q74" s="120">
        <f t="shared" si="19"/>
        <v>0</v>
      </c>
      <c r="R74" s="120">
        <f t="shared" si="19"/>
        <v>17304</v>
      </c>
      <c r="S74" s="121">
        <f t="shared" si="19"/>
        <v>17304</v>
      </c>
      <c r="T74" s="116"/>
      <c r="U74" s="116"/>
    </row>
    <row r="75" spans="2:21">
      <c r="B75" s="118"/>
      <c r="C75" s="123" t="s">
        <v>64</v>
      </c>
      <c r="D75" s="135"/>
      <c r="E75" s="120"/>
      <c r="F75" s="120"/>
      <c r="G75" s="120"/>
      <c r="H75" s="120"/>
      <c r="I75" s="120"/>
      <c r="J75" s="120"/>
      <c r="K75" s="120"/>
      <c r="L75" s="120"/>
      <c r="M75" s="120"/>
      <c r="N75" s="120"/>
      <c r="O75" s="120"/>
      <c r="P75" s="120"/>
      <c r="Q75" s="120"/>
      <c r="R75" s="120"/>
      <c r="S75" s="121"/>
      <c r="T75" s="116"/>
      <c r="U75" s="116"/>
    </row>
    <row r="76" spans="2:21">
      <c r="B76" s="118"/>
      <c r="C76" s="124" t="s">
        <v>351</v>
      </c>
      <c r="D76" s="135">
        <f t="shared" ref="D76:D77" si="20">SUM(E76:S76)</f>
        <v>19655</v>
      </c>
      <c r="E76" s="120">
        <f t="shared" ref="E76:S76" si="21">E34-E55</f>
        <v>0</v>
      </c>
      <c r="F76" s="120">
        <f t="shared" si="21"/>
        <v>0</v>
      </c>
      <c r="G76" s="120">
        <f t="shared" si="21"/>
        <v>0</v>
      </c>
      <c r="H76" s="120">
        <f t="shared" si="21"/>
        <v>0</v>
      </c>
      <c r="I76" s="120">
        <f t="shared" si="21"/>
        <v>0</v>
      </c>
      <c r="J76" s="120">
        <f t="shared" si="21"/>
        <v>0</v>
      </c>
      <c r="K76" s="120">
        <f t="shared" si="21"/>
        <v>9020</v>
      </c>
      <c r="L76" s="120">
        <f t="shared" si="21"/>
        <v>10635</v>
      </c>
      <c r="M76" s="120">
        <f t="shared" si="21"/>
        <v>0</v>
      </c>
      <c r="N76" s="120">
        <f t="shared" si="21"/>
        <v>0</v>
      </c>
      <c r="O76" s="120">
        <f t="shared" si="21"/>
        <v>0</v>
      </c>
      <c r="P76" s="120">
        <f t="shared" si="21"/>
        <v>0</v>
      </c>
      <c r="Q76" s="120">
        <f t="shared" si="21"/>
        <v>0</v>
      </c>
      <c r="R76" s="120">
        <f t="shared" si="21"/>
        <v>0</v>
      </c>
      <c r="S76" s="121">
        <f t="shared" si="21"/>
        <v>0</v>
      </c>
      <c r="T76" s="116"/>
      <c r="U76" s="116"/>
    </row>
    <row r="77" spans="2:21">
      <c r="B77" s="118"/>
      <c r="C77" s="124" t="s">
        <v>364</v>
      </c>
      <c r="D77" s="135">
        <f t="shared" si="20"/>
        <v>427999</v>
      </c>
      <c r="E77" s="120">
        <f t="shared" ref="E77:S77" si="22">E35-E56</f>
        <v>0</v>
      </c>
      <c r="F77" s="120">
        <f t="shared" si="22"/>
        <v>0</v>
      </c>
      <c r="G77" s="120">
        <f t="shared" si="22"/>
        <v>0</v>
      </c>
      <c r="H77" s="120">
        <f t="shared" si="22"/>
        <v>0</v>
      </c>
      <c r="I77" s="120">
        <f t="shared" si="22"/>
        <v>0</v>
      </c>
      <c r="J77" s="120">
        <f t="shared" si="22"/>
        <v>0</v>
      </c>
      <c r="K77" s="120">
        <f t="shared" si="22"/>
        <v>0</v>
      </c>
      <c r="L77" s="120">
        <f t="shared" si="22"/>
        <v>0</v>
      </c>
      <c r="M77" s="120">
        <f t="shared" si="22"/>
        <v>0</v>
      </c>
      <c r="N77" s="120">
        <f t="shared" si="22"/>
        <v>152732</v>
      </c>
      <c r="O77" s="120">
        <f t="shared" si="22"/>
        <v>-22696</v>
      </c>
      <c r="P77" s="120">
        <f t="shared" si="22"/>
        <v>99662</v>
      </c>
      <c r="Q77" s="120">
        <f t="shared" si="22"/>
        <v>23612</v>
      </c>
      <c r="R77" s="120">
        <f t="shared" si="22"/>
        <v>62084</v>
      </c>
      <c r="S77" s="121">
        <f t="shared" si="22"/>
        <v>112605</v>
      </c>
      <c r="T77" s="116"/>
      <c r="U77" s="116"/>
    </row>
    <row r="78" spans="2:21">
      <c r="B78" s="118"/>
      <c r="C78" s="124"/>
      <c r="D78" s="134"/>
      <c r="E78" s="120"/>
      <c r="F78" s="120"/>
      <c r="G78" s="120"/>
      <c r="H78" s="120"/>
      <c r="I78" s="120"/>
      <c r="J78" s="120"/>
      <c r="K78" s="120"/>
      <c r="L78" s="120"/>
      <c r="M78" s="120"/>
      <c r="N78" s="120"/>
      <c r="O78" s="120"/>
      <c r="P78" s="120"/>
      <c r="Q78" s="120"/>
      <c r="R78" s="120"/>
      <c r="S78" s="121"/>
      <c r="T78" s="116"/>
      <c r="U78" s="116"/>
    </row>
    <row r="79" spans="2:21">
      <c r="B79" s="118"/>
      <c r="C79" s="124" t="s">
        <v>22</v>
      </c>
      <c r="D79" s="137">
        <f>SUM(E79:S79)</f>
        <v>1076789.4000000015</v>
      </c>
      <c r="E79" s="120">
        <f t="shared" ref="E79:S79" si="23">E37-E58</f>
        <v>623048.48999999976</v>
      </c>
      <c r="F79" s="120">
        <f t="shared" si="23"/>
        <v>-642975.13999999897</v>
      </c>
      <c r="G79" s="120">
        <f t="shared" si="23"/>
        <v>793284.03000000073</v>
      </c>
      <c r="H79" s="120">
        <f t="shared" si="23"/>
        <v>99948.160000000615</v>
      </c>
      <c r="I79" s="120">
        <f t="shared" si="23"/>
        <v>889229.1999999996</v>
      </c>
      <c r="J79" s="120">
        <f t="shared" si="23"/>
        <v>343625.49000000051</v>
      </c>
      <c r="K79" s="120">
        <f t="shared" si="23"/>
        <v>1452353.0000000009</v>
      </c>
      <c r="L79" s="120">
        <f t="shared" si="23"/>
        <v>36356.999999999534</v>
      </c>
      <c r="M79" s="120">
        <f t="shared" si="23"/>
        <v>-244615.36999999871</v>
      </c>
      <c r="N79" s="120">
        <f t="shared" si="23"/>
        <v>144265.06999999948</v>
      </c>
      <c r="O79" s="120">
        <f t="shared" si="23"/>
        <v>-1803694.410000002</v>
      </c>
      <c r="P79" s="120">
        <f t="shared" si="23"/>
        <v>-76097.409999999698</v>
      </c>
      <c r="Q79" s="120">
        <f t="shared" si="23"/>
        <v>-23612</v>
      </c>
      <c r="R79" s="120">
        <f t="shared" si="23"/>
        <v>-644450.46000000066</v>
      </c>
      <c r="S79" s="121">
        <f t="shared" si="23"/>
        <v>130123.75000000047</v>
      </c>
      <c r="T79" s="116"/>
      <c r="U79" s="116"/>
    </row>
    <row r="80" spans="2:21" ht="12.75" thickBot="1">
      <c r="B80" s="127"/>
      <c r="C80" s="128"/>
      <c r="D80" s="129"/>
      <c r="E80" s="129"/>
      <c r="F80" s="129"/>
      <c r="G80" s="129"/>
      <c r="H80" s="129"/>
      <c r="I80" s="129"/>
      <c r="J80" s="129"/>
      <c r="K80" s="129"/>
      <c r="L80" s="129"/>
      <c r="M80" s="129"/>
      <c r="N80" s="129"/>
      <c r="O80" s="129"/>
      <c r="P80" s="129"/>
      <c r="Q80" s="129"/>
      <c r="R80" s="129"/>
      <c r="S80" s="130"/>
      <c r="T80" s="116"/>
      <c r="U80" s="116"/>
    </row>
    <row r="81" spans="4:21">
      <c r="D81" s="116"/>
      <c r="E81" s="116"/>
      <c r="F81" s="116"/>
      <c r="G81" s="116"/>
      <c r="H81" s="116"/>
      <c r="I81" s="116"/>
      <c r="J81" s="116"/>
      <c r="K81" s="116"/>
      <c r="L81" s="116"/>
      <c r="M81" s="116"/>
      <c r="N81" s="116"/>
      <c r="O81" s="116"/>
      <c r="P81" s="116"/>
      <c r="Q81" s="116"/>
      <c r="R81" s="116"/>
      <c r="S81" s="116"/>
      <c r="T81" s="116"/>
      <c r="U81" s="116"/>
    </row>
    <row r="82" spans="4:21">
      <c r="D82" s="116"/>
      <c r="E82" s="116"/>
      <c r="F82" s="116"/>
      <c r="G82" s="116"/>
      <c r="H82" s="116"/>
      <c r="I82" s="116"/>
      <c r="J82" s="116"/>
      <c r="K82" s="116"/>
      <c r="L82" s="116"/>
      <c r="M82" s="116"/>
      <c r="N82" s="116"/>
      <c r="O82" s="116"/>
      <c r="P82" s="116"/>
      <c r="Q82" s="116"/>
      <c r="R82" s="116"/>
      <c r="S82" s="116"/>
      <c r="T82" s="116"/>
      <c r="U82" s="116"/>
    </row>
    <row r="83" spans="4:21">
      <c r="D83" s="116"/>
      <c r="E83" s="116"/>
      <c r="F83" s="116"/>
      <c r="G83" s="116"/>
      <c r="H83" s="116"/>
      <c r="I83" s="116"/>
      <c r="J83" s="116"/>
      <c r="K83" s="116"/>
      <c r="L83" s="116"/>
      <c r="M83" s="116"/>
      <c r="N83" s="116"/>
      <c r="O83" s="116"/>
      <c r="P83" s="116"/>
      <c r="Q83" s="116"/>
      <c r="R83" s="116"/>
      <c r="S83" s="116"/>
      <c r="T83" s="116"/>
      <c r="U83" s="116"/>
    </row>
    <row r="84" spans="4:21">
      <c r="D84" s="116"/>
      <c r="E84" s="116"/>
      <c r="F84" s="116"/>
      <c r="G84" s="116"/>
      <c r="H84" s="116"/>
      <c r="I84" s="116"/>
      <c r="J84" s="116"/>
      <c r="K84" s="116"/>
      <c r="L84" s="116"/>
      <c r="M84" s="116"/>
      <c r="N84" s="116"/>
      <c r="O84" s="116"/>
      <c r="P84" s="116"/>
      <c r="Q84" s="116"/>
      <c r="R84" s="116"/>
      <c r="S84" s="116"/>
      <c r="T84" s="116"/>
      <c r="U84" s="116"/>
    </row>
    <row r="85" spans="4:21">
      <c r="D85" s="116"/>
      <c r="E85" s="116"/>
      <c r="F85" s="116"/>
      <c r="G85" s="116"/>
      <c r="H85" s="116"/>
      <c r="I85" s="116"/>
      <c r="J85" s="116"/>
      <c r="K85" s="116"/>
      <c r="L85" s="116"/>
      <c r="M85" s="116"/>
      <c r="N85" s="116"/>
      <c r="O85" s="116"/>
      <c r="P85" s="116"/>
      <c r="Q85" s="116"/>
      <c r="R85" s="116"/>
      <c r="S85" s="116"/>
      <c r="T85" s="116"/>
      <c r="U85" s="116"/>
    </row>
    <row r="86" spans="4:21">
      <c r="D86" s="116"/>
      <c r="E86" s="116"/>
      <c r="F86" s="116"/>
      <c r="G86" s="116"/>
      <c r="H86" s="116"/>
      <c r="I86" s="116"/>
      <c r="J86" s="116"/>
      <c r="K86" s="116"/>
      <c r="L86" s="116"/>
      <c r="M86" s="116"/>
      <c r="N86" s="116"/>
      <c r="O86" s="116"/>
      <c r="P86" s="116"/>
      <c r="Q86" s="116"/>
      <c r="R86" s="116"/>
      <c r="S86" s="116"/>
      <c r="T86" s="116"/>
      <c r="U86" s="116"/>
    </row>
    <row r="87" spans="4:21">
      <c r="D87" s="116"/>
      <c r="E87" s="116"/>
      <c r="F87" s="116"/>
      <c r="G87" s="116"/>
      <c r="H87" s="116"/>
      <c r="I87" s="116"/>
      <c r="J87" s="116"/>
      <c r="K87" s="116"/>
      <c r="L87" s="116"/>
      <c r="M87" s="116"/>
      <c r="N87" s="116"/>
      <c r="O87" s="116"/>
      <c r="P87" s="116"/>
      <c r="Q87" s="116"/>
      <c r="R87" s="116"/>
      <c r="S87" s="116"/>
      <c r="T87" s="116"/>
      <c r="U87" s="116"/>
    </row>
  </sheetData>
  <mergeCells count="2">
    <mergeCell ref="E18:S18"/>
    <mergeCell ref="C4:D5"/>
  </mergeCells>
  <pageMargins left="0.7" right="0.7" top="0.75" bottom="0.75" header="0.3" footer="0.3"/>
  <customProperties>
    <customPr name="EpmWorksheetKeyString_GU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F42"/>
  <sheetViews>
    <sheetView workbookViewId="0"/>
  </sheetViews>
  <sheetFormatPr defaultRowHeight="15"/>
  <cols>
    <col min="1" max="1" width="19.42578125" bestFit="1" customWidth="1"/>
    <col min="2" max="2" width="35.5703125" bestFit="1" customWidth="1"/>
    <col min="3" max="3" width="22.85546875" bestFit="1" customWidth="1"/>
    <col min="4" max="4" width="15.140625" bestFit="1" customWidth="1"/>
    <col min="5" max="5" width="16.140625" bestFit="1" customWidth="1"/>
    <col min="6" max="6" width="22.140625" bestFit="1" customWidth="1"/>
    <col min="7" max="7" width="11.28515625" bestFit="1" customWidth="1"/>
  </cols>
  <sheetData>
    <row r="1" spans="1:6" ht="15.75" thickBot="1"/>
    <row r="2" spans="1:6">
      <c r="B2" s="220" t="s">
        <v>399</v>
      </c>
      <c r="C2" s="218" t="s">
        <v>408</v>
      </c>
      <c r="D2" s="218" t="s">
        <v>409</v>
      </c>
      <c r="E2" s="218" t="s">
        <v>410</v>
      </c>
      <c r="F2" s="218" t="s">
        <v>411</v>
      </c>
    </row>
    <row r="3" spans="1:6" ht="15.75" thickBot="1">
      <c r="B3" s="219"/>
      <c r="C3" s="219"/>
      <c r="D3" s="219"/>
      <c r="E3" s="219"/>
      <c r="F3" s="219"/>
    </row>
    <row r="4" spans="1:6">
      <c r="B4" s="186"/>
      <c r="C4" s="187"/>
      <c r="D4" s="187"/>
      <c r="E4" s="187"/>
      <c r="F4" s="188"/>
    </row>
    <row r="5" spans="1:6">
      <c r="A5" s="194" t="s">
        <v>23</v>
      </c>
      <c r="B5" s="190" t="s">
        <v>13</v>
      </c>
      <c r="C5" s="184">
        <v>526868.32999999961</v>
      </c>
      <c r="D5" s="184">
        <v>448810.25000000047</v>
      </c>
      <c r="E5" s="184">
        <v>528701.2900000005</v>
      </c>
      <c r="F5" s="195">
        <v>668019.70999999985</v>
      </c>
    </row>
    <row r="6" spans="1:6">
      <c r="B6" s="189"/>
      <c r="C6" s="184"/>
      <c r="D6" s="184"/>
      <c r="E6" s="184"/>
      <c r="F6" s="195"/>
    </row>
    <row r="7" spans="1:6">
      <c r="B7" s="190" t="s">
        <v>62</v>
      </c>
      <c r="C7" s="184">
        <v>397511.77000000008</v>
      </c>
      <c r="D7" s="184">
        <v>541113.31000000006</v>
      </c>
      <c r="E7" s="184">
        <v>365480.63000000012</v>
      </c>
      <c r="F7" s="195">
        <v>404652.3499999998</v>
      </c>
    </row>
    <row r="8" spans="1:6">
      <c r="B8" s="189"/>
      <c r="C8" s="184"/>
      <c r="D8" s="184"/>
      <c r="E8" s="184"/>
      <c r="F8" s="195"/>
    </row>
    <row r="9" spans="1:6">
      <c r="B9" s="190" t="s">
        <v>406</v>
      </c>
      <c r="C9" s="184"/>
      <c r="D9" s="184"/>
      <c r="E9" s="184"/>
      <c r="F9" s="195"/>
    </row>
    <row r="10" spans="1:6">
      <c r="B10" s="189" t="s">
        <v>351</v>
      </c>
      <c r="C10" s="184">
        <v>71322.92</v>
      </c>
      <c r="D10" s="184">
        <v>121963.88</v>
      </c>
      <c r="E10" s="184">
        <v>7910.48</v>
      </c>
      <c r="F10" s="195">
        <v>118089.1</v>
      </c>
    </row>
    <row r="11" spans="1:6">
      <c r="B11" s="189" t="s">
        <v>132</v>
      </c>
      <c r="C11" s="184">
        <v>11362.52</v>
      </c>
      <c r="D11" s="184">
        <v>3946</v>
      </c>
      <c r="E11" s="184">
        <v>312.38</v>
      </c>
      <c r="F11" s="195">
        <v>5381.79</v>
      </c>
    </row>
    <row r="12" spans="1:6">
      <c r="B12" s="190" t="s">
        <v>402</v>
      </c>
      <c r="C12" s="184">
        <f>C10-C11</f>
        <v>59960.399999999994</v>
      </c>
      <c r="D12" s="184">
        <f t="shared" ref="D12:F12" si="0">D10-D11</f>
        <v>118017.88</v>
      </c>
      <c r="E12" s="184">
        <f t="shared" si="0"/>
        <v>7598.0999999999995</v>
      </c>
      <c r="F12" s="195">
        <f t="shared" si="0"/>
        <v>112707.31000000001</v>
      </c>
    </row>
    <row r="13" spans="1:6">
      <c r="B13" s="189"/>
      <c r="C13" s="184"/>
      <c r="D13" s="184"/>
      <c r="E13" s="184"/>
      <c r="F13" s="195"/>
    </row>
    <row r="14" spans="1:6">
      <c r="B14" s="190" t="s">
        <v>245</v>
      </c>
      <c r="C14" s="184">
        <v>6373.96</v>
      </c>
      <c r="D14" s="184">
        <v>7667.23</v>
      </c>
      <c r="E14" s="184">
        <v>12253.820000000002</v>
      </c>
      <c r="F14" s="195">
        <v>4106.7700000000004</v>
      </c>
    </row>
    <row r="15" spans="1:6">
      <c r="B15" s="189" t="s">
        <v>253</v>
      </c>
      <c r="C15" s="184">
        <v>60.92</v>
      </c>
      <c r="D15" s="184">
        <v>73.099999999999994</v>
      </c>
      <c r="E15" s="184">
        <v>61.52</v>
      </c>
      <c r="F15" s="195">
        <v>60.18</v>
      </c>
    </row>
    <row r="16" spans="1:6">
      <c r="B16" s="206" t="s">
        <v>134</v>
      </c>
      <c r="C16" s="207">
        <v>0</v>
      </c>
      <c r="D16" s="207">
        <v>0</v>
      </c>
      <c r="E16" s="207">
        <v>0</v>
      </c>
      <c r="F16" s="208">
        <v>32.590000000000003</v>
      </c>
    </row>
    <row r="17" spans="1:6">
      <c r="B17" s="209" t="s">
        <v>404</v>
      </c>
      <c r="C17" s="207">
        <f>C15-C16</f>
        <v>60.92</v>
      </c>
      <c r="D17" s="207">
        <f t="shared" ref="D17:F17" si="1">D15-D16</f>
        <v>73.099999999999994</v>
      </c>
      <c r="E17" s="207">
        <f t="shared" si="1"/>
        <v>61.52</v>
      </c>
      <c r="F17" s="207">
        <f t="shared" si="1"/>
        <v>27.589999999999996</v>
      </c>
    </row>
    <row r="18" spans="1:6" ht="15.75" thickBot="1">
      <c r="B18" s="191"/>
      <c r="C18" s="201"/>
      <c r="D18" s="201"/>
      <c r="E18" s="201"/>
      <c r="F18" s="202"/>
    </row>
    <row r="19" spans="1:6">
      <c r="B19" s="186"/>
      <c r="C19" s="203"/>
      <c r="D19" s="203"/>
      <c r="E19" s="203"/>
      <c r="F19" s="204"/>
    </row>
    <row r="20" spans="1:6">
      <c r="A20" s="194" t="s">
        <v>28</v>
      </c>
      <c r="B20" s="190" t="s">
        <v>400</v>
      </c>
      <c r="C20" s="184">
        <v>475341</v>
      </c>
      <c r="D20" s="184">
        <v>452757</v>
      </c>
      <c r="E20" s="184">
        <v>528700</v>
      </c>
      <c r="F20" s="195">
        <v>673434</v>
      </c>
    </row>
    <row r="21" spans="1:6">
      <c r="B21" s="189"/>
      <c r="C21" s="184"/>
      <c r="D21" s="184"/>
      <c r="E21" s="184"/>
      <c r="F21" s="195"/>
    </row>
    <row r="22" spans="1:6">
      <c r="B22" s="190" t="s">
        <v>401</v>
      </c>
      <c r="C22" s="184">
        <v>391266</v>
      </c>
      <c r="D22" s="184">
        <v>542221</v>
      </c>
      <c r="E22" s="184">
        <v>364479</v>
      </c>
      <c r="F22" s="195">
        <v>470856</v>
      </c>
    </row>
    <row r="23" spans="1:6">
      <c r="B23" s="189"/>
      <c r="C23" s="184"/>
      <c r="D23" s="184"/>
      <c r="E23" s="184"/>
      <c r="F23" s="195"/>
    </row>
    <row r="24" spans="1:6">
      <c r="B24" s="190" t="s">
        <v>405</v>
      </c>
      <c r="C24" s="184"/>
      <c r="D24" s="184"/>
      <c r="E24" s="184"/>
      <c r="F24" s="195"/>
    </row>
    <row r="25" spans="1:6">
      <c r="B25" s="189"/>
      <c r="C25" s="184"/>
      <c r="D25" s="184"/>
      <c r="E25" s="184"/>
      <c r="F25" s="195"/>
    </row>
    <row r="26" spans="1:6">
      <c r="B26" s="190" t="s">
        <v>402</v>
      </c>
      <c r="C26" s="184">
        <v>14678</v>
      </c>
      <c r="D26" s="184">
        <v>121964</v>
      </c>
      <c r="E26" s="184">
        <v>8598</v>
      </c>
      <c r="F26" s="195">
        <v>53366</v>
      </c>
    </row>
    <row r="27" spans="1:6">
      <c r="B27" s="190" t="s">
        <v>403</v>
      </c>
      <c r="C27" s="184">
        <v>6374</v>
      </c>
      <c r="D27" s="184">
        <v>6559</v>
      </c>
      <c r="E27" s="184">
        <v>12254</v>
      </c>
      <c r="F27" s="195">
        <v>2665</v>
      </c>
    </row>
    <row r="28" spans="1:6">
      <c r="B28" s="190" t="s">
        <v>404</v>
      </c>
      <c r="C28" s="184">
        <v>61</v>
      </c>
      <c r="D28" s="184">
        <v>74</v>
      </c>
      <c r="E28" s="184">
        <v>62</v>
      </c>
      <c r="F28" s="195">
        <v>21</v>
      </c>
    </row>
    <row r="29" spans="1:6" ht="15.75" thickBot="1">
      <c r="B29" s="191"/>
      <c r="C29" s="201"/>
      <c r="D29" s="201"/>
      <c r="E29" s="201"/>
      <c r="F29" s="202"/>
    </row>
    <row r="30" spans="1:6">
      <c r="B30" s="198"/>
      <c r="C30" s="199"/>
      <c r="D30" s="199"/>
      <c r="E30" s="199"/>
      <c r="F30" s="200"/>
    </row>
    <row r="31" spans="1:6">
      <c r="A31" s="194" t="s">
        <v>29</v>
      </c>
      <c r="B31" s="190" t="s">
        <v>400</v>
      </c>
      <c r="C31" s="184">
        <f>C5-C20</f>
        <v>51527.329999999609</v>
      </c>
      <c r="D31" s="184">
        <f>D5-D20</f>
        <v>-3946.7499999995343</v>
      </c>
      <c r="E31" s="184">
        <f>E5-E20</f>
        <v>1.2900000005029142</v>
      </c>
      <c r="F31" s="195">
        <f>F5-F20</f>
        <v>-5414.2900000001537</v>
      </c>
    </row>
    <row r="32" spans="1:6">
      <c r="B32" s="189"/>
      <c r="C32" s="184"/>
      <c r="D32" s="184"/>
      <c r="E32" s="184"/>
      <c r="F32" s="195"/>
    </row>
    <row r="33" spans="2:6">
      <c r="B33" s="190" t="s">
        <v>401</v>
      </c>
      <c r="C33" s="184">
        <f>C7-C22</f>
        <v>6245.7700000000768</v>
      </c>
      <c r="D33" s="184">
        <f>D7-D22</f>
        <v>-1107.6899999999441</v>
      </c>
      <c r="E33" s="184">
        <f>E7-E22</f>
        <v>1001.6300000001211</v>
      </c>
      <c r="F33" s="195">
        <f>F7-F22</f>
        <v>-66203.650000000198</v>
      </c>
    </row>
    <row r="34" spans="2:6">
      <c r="B34" s="189"/>
      <c r="C34" s="184"/>
      <c r="D34" s="184"/>
      <c r="E34" s="184"/>
      <c r="F34" s="195"/>
    </row>
    <row r="35" spans="2:6">
      <c r="B35" s="190" t="s">
        <v>405</v>
      </c>
      <c r="C35" s="184"/>
      <c r="D35" s="184"/>
      <c r="E35" s="184"/>
      <c r="F35" s="195"/>
    </row>
    <row r="36" spans="2:6">
      <c r="B36" s="189"/>
      <c r="C36" s="184"/>
      <c r="D36" s="184"/>
      <c r="E36" s="184"/>
      <c r="F36" s="195"/>
    </row>
    <row r="37" spans="2:6">
      <c r="B37" s="190" t="s">
        <v>402</v>
      </c>
      <c r="C37" s="184">
        <f>C12-C26</f>
        <v>45282.399999999994</v>
      </c>
      <c r="D37" s="184">
        <f>D12-D26</f>
        <v>-3946.1199999999953</v>
      </c>
      <c r="E37" s="184">
        <f>E12-E26</f>
        <v>-999.90000000000055</v>
      </c>
      <c r="F37" s="195">
        <f>F12-F26</f>
        <v>59341.310000000012</v>
      </c>
    </row>
    <row r="38" spans="2:6">
      <c r="B38" s="190" t="s">
        <v>403</v>
      </c>
      <c r="C38" s="184">
        <f>C14-C27</f>
        <v>-3.999999999996362E-2</v>
      </c>
      <c r="D38" s="184">
        <f>D14-D27</f>
        <v>1108.2299999999996</v>
      </c>
      <c r="E38" s="184">
        <f>E14-E27</f>
        <v>-0.17999999999847205</v>
      </c>
      <c r="F38" s="195">
        <f>F14-F27</f>
        <v>1441.7700000000004</v>
      </c>
    </row>
    <row r="39" spans="2:6">
      <c r="B39" s="190" t="s">
        <v>404</v>
      </c>
      <c r="C39" s="184">
        <f>C17-C28</f>
        <v>-7.9999999999998295E-2</v>
      </c>
      <c r="D39" s="184">
        <f t="shared" ref="D39:F39" si="2">D17-D28</f>
        <v>-0.90000000000000568</v>
      </c>
      <c r="E39" s="184">
        <f t="shared" si="2"/>
        <v>-0.47999999999999687</v>
      </c>
      <c r="F39" s="184">
        <f t="shared" si="2"/>
        <v>6.5899999999999963</v>
      </c>
    </row>
    <row r="40" spans="2:6">
      <c r="B40" s="189"/>
      <c r="C40" s="184"/>
      <c r="D40" s="184"/>
      <c r="E40" s="184"/>
      <c r="F40" s="195"/>
    </row>
    <row r="41" spans="2:6">
      <c r="B41" s="205" t="s">
        <v>407</v>
      </c>
      <c r="C41" s="196">
        <f>C31-C33-C37-C38-C39</f>
        <v>-0.72000000046220691</v>
      </c>
      <c r="D41" s="196">
        <f t="shared" ref="D41:F41" si="3">D31-D33-D37-D38-D39</f>
        <v>-0.26999999959443244</v>
      </c>
      <c r="E41" s="196">
        <f t="shared" si="3"/>
        <v>0.22000000038085687</v>
      </c>
      <c r="F41" s="197">
        <f t="shared" si="3"/>
        <v>-0.30999999996841865</v>
      </c>
    </row>
    <row r="42" spans="2:6" ht="15.75" thickBot="1">
      <c r="B42" s="191"/>
      <c r="C42" s="192"/>
      <c r="D42" s="192"/>
      <c r="E42" s="192"/>
      <c r="F42" s="193"/>
    </row>
  </sheetData>
  <mergeCells count="5">
    <mergeCell ref="C2:C3"/>
    <mergeCell ref="B2:B3"/>
    <mergeCell ref="D2:D3"/>
    <mergeCell ref="E2:E3"/>
    <mergeCell ref="F2:F3"/>
  </mergeCells>
  <pageMargins left="0.7" right="0.7" top="0.75" bottom="0.75"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2:W281"/>
  <sheetViews>
    <sheetView topLeftCell="G1" zoomScale="80" zoomScaleNormal="80" workbookViewId="0">
      <pane xSplit="2" topLeftCell="I1" activePane="topRight" state="frozen"/>
      <selection activeCell="G219" sqref="G219"/>
      <selection pane="topRight" activeCell="I1" sqref="I1"/>
    </sheetView>
  </sheetViews>
  <sheetFormatPr defaultColWidth="9.140625" defaultRowHeight="15" outlineLevelCol="1"/>
  <cols>
    <col min="1" max="1" width="9.140625" style="24" hidden="1" customWidth="1" outlineLevel="1"/>
    <col min="2" max="2" width="26.5703125" style="24" hidden="1" customWidth="1" outlineLevel="1"/>
    <col min="3" max="5" width="9.140625" style="24" hidden="1" customWidth="1" outlineLevel="1"/>
    <col min="6" max="6" width="3.28515625" style="24" bestFit="1" customWidth="1" collapsed="1"/>
    <col min="7" max="7" width="43.85546875" style="24" bestFit="1" customWidth="1"/>
    <col min="8" max="8" width="26.5703125" style="24" bestFit="1" customWidth="1"/>
    <col min="9" max="9" width="16.42578125" style="24" customWidth="1"/>
    <col min="10" max="11" width="14.85546875" style="24" bestFit="1" customWidth="1"/>
    <col min="12" max="12" width="15.140625" style="24" bestFit="1" customWidth="1"/>
    <col min="13" max="13" width="14.5703125" style="24" bestFit="1" customWidth="1"/>
    <col min="14" max="15" width="15.140625" style="24" bestFit="1" customWidth="1"/>
    <col min="16" max="18" width="15" style="24" bestFit="1" customWidth="1"/>
    <col min="19" max="19" width="15.85546875" style="24" bestFit="1" customWidth="1"/>
    <col min="20" max="20" width="15.140625" style="24" bestFit="1" customWidth="1"/>
    <col min="21" max="21" width="16.140625" style="83" bestFit="1" customWidth="1"/>
    <col min="22" max="22" width="13.5703125" style="24" bestFit="1" customWidth="1"/>
    <col min="23" max="16384" width="9.140625" style="24"/>
  </cols>
  <sheetData>
    <row r="2" spans="2:23">
      <c r="B2" s="96" t="s">
        <v>329</v>
      </c>
    </row>
    <row r="3" spans="2:23">
      <c r="B3" s="24" t="s">
        <v>13</v>
      </c>
    </row>
    <row r="4" spans="2:23">
      <c r="B4" s="24" t="s">
        <v>134</v>
      </c>
      <c r="F4" s="24">
        <v>1</v>
      </c>
      <c r="G4" s="96" t="s">
        <v>268</v>
      </c>
    </row>
    <row r="5" spans="2:23">
      <c r="B5" s="85" t="s">
        <v>132</v>
      </c>
      <c r="G5" s="88" t="s">
        <v>294</v>
      </c>
      <c r="H5" s="84"/>
      <c r="I5" s="97" t="str">
        <f>+Summary!$W$9</f>
        <v>Aug 2021</v>
      </c>
      <c r="J5" s="97" t="str">
        <f>+Summary!$X$9</f>
        <v>Sep 2021</v>
      </c>
      <c r="K5" s="97" t="str">
        <f>+Summary!$Y$9</f>
        <v>Oct 2021</v>
      </c>
      <c r="L5" s="97" t="str">
        <f>+Summary!$Z$9</f>
        <v>Nov 2021</v>
      </c>
      <c r="M5" s="97" t="str">
        <f>+Summary!$AA$9</f>
        <v>Dec 2021</v>
      </c>
      <c r="N5" s="97" t="str">
        <f>+Summary!$AB$9</f>
        <v>Jan 2022</v>
      </c>
      <c r="O5" s="97" t="str">
        <f>+Summary!$AC$9</f>
        <v>Feb 2022</v>
      </c>
      <c r="P5" s="97" t="str">
        <f>+Summary!$AD$9</f>
        <v>Mar 2022</v>
      </c>
      <c r="Q5" s="97" t="str">
        <f>+Summary!$AE$9</f>
        <v>Apr 2022</v>
      </c>
      <c r="R5" s="97" t="str">
        <f>+Summary!$AF$9</f>
        <v>May 2022</v>
      </c>
      <c r="S5" s="97" t="str">
        <f>+Summary!$AG$9</f>
        <v>Jun 2022</v>
      </c>
      <c r="T5" s="97" t="str">
        <f>+Summary!$AH$9</f>
        <v>Jul 2022</v>
      </c>
      <c r="U5" s="84" t="s">
        <v>335</v>
      </c>
    </row>
    <row r="6" spans="2:23">
      <c r="B6" s="85" t="s">
        <v>327</v>
      </c>
      <c r="G6" s="96" t="s">
        <v>331</v>
      </c>
      <c r="H6" s="96" t="s">
        <v>329</v>
      </c>
    </row>
    <row r="7" spans="2:23">
      <c r="B7" s="85" t="s">
        <v>282</v>
      </c>
      <c r="H7" s="24" t="s">
        <v>13</v>
      </c>
      <c r="I7" s="83">
        <f ca="1">SUMIFS(INDIRECT("'"&amp;$G$5&amp;"'"&amp;"!$b:$b"),INDIRECT("'"&amp;$G$5&amp;"'"&amp;"!$a:$a"),$H7)/2</f>
        <v>817202.26999999955</v>
      </c>
      <c r="J7" s="83">
        <f ca="1">SUMIFS(INDIRECT("'"&amp;$G$5&amp;"'"&amp;"!$c:$c"),INDIRECT("'"&amp;$G$5&amp;"'"&amp;"!$a:$a"),$H7)/2</f>
        <v>957816.15000000107</v>
      </c>
      <c r="K7" s="83">
        <f ca="1">SUMIFS(INDIRECT("'"&amp;$G$5&amp;"'"&amp;"!$d:$d"),INDIRECT("'"&amp;$G$5&amp;"'"&amp;"!$a:$a"),$H7)/2</f>
        <v>967001.57000000053</v>
      </c>
      <c r="L7" s="83">
        <f ca="1">SUMIFS(INDIRECT("'"&amp;$G$5&amp;"'"&amp;"!$e:$e"),INDIRECT("'"&amp;$G$5&amp;"'"&amp;"!$a:$a"),$H7)/2</f>
        <v>853375.90999999945</v>
      </c>
      <c r="M7" s="83">
        <f ca="1">SUMIFS(INDIRECT("'"&amp;$G$5&amp;"'"&amp;"!$f:$f"),INDIRECT("'"&amp;$G$5&amp;"'"&amp;"!$a:$a"),$H7)/2</f>
        <v>1018556.2399999993</v>
      </c>
      <c r="N7" s="83">
        <f ca="1">SUMIFS(INDIRECT("'"&amp;$G$5&amp;"'"&amp;"!$g:$g"),INDIRECT("'"&amp;$G$5&amp;"'"&amp;"!$a:$a"),$H7)/2</f>
        <v>1052806.4299999992</v>
      </c>
      <c r="O7" s="83">
        <f ca="1">SUMIFS(INDIRECT("'"&amp;$G$5&amp;"'"&amp;"!$h:$h"),INDIRECT("'"&amp;$G$5&amp;"'"&amp;"!$a:$a"),$H7)/2</f>
        <v>951528.08000000007</v>
      </c>
      <c r="P7" s="83">
        <f ca="1">SUMIFS(INDIRECT("'"&amp;$G$5&amp;"'"&amp;"!$i:$i"),INDIRECT("'"&amp;$G$5&amp;"'"&amp;"!$a:$a"),$H7)/2</f>
        <v>842178.14999999863</v>
      </c>
      <c r="Q7" s="83">
        <f ca="1">SUMIFS(INDIRECT("'"&amp;$G$5&amp;"'"&amp;"!$j:$j"),INDIRECT("'"&amp;$G$5&amp;"'"&amp;"!$a:$a"),$H7)/2</f>
        <v>780540.53000000061</v>
      </c>
      <c r="R7" s="83">
        <f ca="1">SUMIFS(INDIRECT("'"&amp;$G$5&amp;"'"&amp;"!$k:$k"),INDIRECT("'"&amp;$G$5&amp;"'"&amp;"!$a:$a"),$H7)/2</f>
        <v>930624.98999999964</v>
      </c>
      <c r="S7" s="83">
        <f ca="1">SUMIFS(INDIRECT("'"&amp;$G$5&amp;"'"&amp;"!$l:$l"),INDIRECT("'"&amp;$G$5&amp;"'"&amp;"!$a:$a"),$H7)/2</f>
        <v>994281.9</v>
      </c>
      <c r="T7" s="83">
        <f ca="1">SUMIFS(INDIRECT("'"&amp;$G$5&amp;"'"&amp;"!$m:$m"),INDIRECT("'"&amp;$G$5&amp;"'"&amp;"!$a:$a"),$H7)/2</f>
        <v>1001681.6599999999</v>
      </c>
      <c r="U7" s="83">
        <f ca="1">+SUM(I7:T7)</f>
        <v>11167593.879999997</v>
      </c>
      <c r="V7" s="98"/>
      <c r="W7" s="98"/>
    </row>
    <row r="8" spans="2:23">
      <c r="H8" s="24" t="s">
        <v>134</v>
      </c>
      <c r="I8" s="83">
        <f ca="1">SUMIFS(INDIRECT("'"&amp;$G$5&amp;"'"&amp;"!$b:$b"),INDIRECT("'"&amp;$G$5&amp;"'"&amp;"!$a:$a"),$H8)</f>
        <v>812.56</v>
      </c>
      <c r="J8" s="83">
        <f ca="1">SUMIFS(INDIRECT("'"&amp;$G$5&amp;"'"&amp;"!$c:$c"),INDIRECT("'"&amp;$G$5&amp;"'"&amp;"!$a:$a"),$H8)</f>
        <v>29.4</v>
      </c>
      <c r="K8" s="83">
        <f ca="1">SUMIFS(INDIRECT("'"&amp;$G$5&amp;"'"&amp;"!$d:$d"),INDIRECT("'"&amp;$G$5&amp;"'"&amp;"!$a:$a"),$H8)</f>
        <v>0</v>
      </c>
      <c r="L8" s="83">
        <f ca="1">SUMIFS(INDIRECT("'"&amp;$G$5&amp;"'"&amp;"!$e:$e"),INDIRECT("'"&amp;$G$5&amp;"'"&amp;"!$a:$a"),$H8)</f>
        <v>12.98</v>
      </c>
      <c r="M8" s="83">
        <f ca="1">SUMIFS(INDIRECT("'"&amp;$G$5&amp;"'"&amp;"!$f:$f"),INDIRECT("'"&amp;$G$5&amp;"'"&amp;"!$a:$a"),$H8)</f>
        <v>6.8</v>
      </c>
      <c r="N8" s="83">
        <f ca="1">SUMIFS(INDIRECT("'"&amp;$G$5&amp;"'"&amp;"!$g:$g"),INDIRECT("'"&amp;$G$5&amp;"'"&amp;"!$a:$a"),$H8)</f>
        <v>17</v>
      </c>
      <c r="O8" s="83">
        <f ca="1">SUMIFS(INDIRECT("'"&amp;$G$5&amp;"'"&amp;"!$h:$h"),INDIRECT("'"&amp;$G$5&amp;"'"&amp;"!$a:$a"),$H8)</f>
        <v>5.9</v>
      </c>
      <c r="P8" s="83">
        <f ca="1">SUMIFS(INDIRECT("'"&amp;$G$5&amp;"'"&amp;"!$i:$i"),INDIRECT("'"&amp;$G$5&amp;"'"&amp;"!$a:$a"),$H8)</f>
        <v>0.73</v>
      </c>
      <c r="Q8" s="83">
        <f ca="1">SUMIFS(INDIRECT("'"&amp;$G$5&amp;"'"&amp;"!$j:$j"),INDIRECT("'"&amp;$G$5&amp;"'"&amp;"!$a:$a"),$H8)</f>
        <v>1.43</v>
      </c>
      <c r="R8" s="83">
        <f ca="1">SUMIFS(INDIRECT("'"&amp;$G$5&amp;"'"&amp;"!$k:$k"),INDIRECT("'"&amp;$G$5&amp;"'"&amp;"!$a:$a"),$H8)</f>
        <v>7.11</v>
      </c>
      <c r="S8" s="83">
        <f ca="1">SUMIFS(INDIRECT("'"&amp;$G$5&amp;"'"&amp;"!$l:$l"),INDIRECT("'"&amp;$G$5&amp;"'"&amp;"!$a:$a"),$H8)</f>
        <v>190.79</v>
      </c>
      <c r="T8" s="83">
        <f ca="1">SUMIFS(INDIRECT("'"&amp;$G$5&amp;"'"&amp;"!$m:$m"),INDIRECT("'"&amp;$G$5&amp;"'"&amp;"!$a:$a"),$H8)</f>
        <v>93.3</v>
      </c>
      <c r="U8" s="83">
        <f t="shared" ref="U8:U11" ca="1" si="0">+SUM(I8:T8)</f>
        <v>1177.9999999999998</v>
      </c>
    </row>
    <row r="9" spans="2:23">
      <c r="H9" s="85" t="s">
        <v>132</v>
      </c>
      <c r="I9" s="83">
        <f t="shared" ref="I9:I11" ca="1" si="1">SUMIFS(INDIRECT("'"&amp;$G$5&amp;"'"&amp;"!$b:$b"),INDIRECT("'"&amp;$G$5&amp;"'"&amp;"!$a:$a"),$H9)</f>
        <v>0</v>
      </c>
      <c r="J9" s="83">
        <f t="shared" ref="J9:J11" ca="1" si="2">SUMIFS(INDIRECT("'"&amp;$G$5&amp;"'"&amp;"!$c:$c"),INDIRECT("'"&amp;$G$5&amp;"'"&amp;"!$a:$a"),$H9)</f>
        <v>8032.29</v>
      </c>
      <c r="K9" s="83">
        <f t="shared" ref="K9:K11" ca="1" si="3">SUMIFS(INDIRECT("'"&amp;$G$5&amp;"'"&amp;"!$d:$d"),INDIRECT("'"&amp;$G$5&amp;"'"&amp;"!$a:$a"),$H9)</f>
        <v>0</v>
      </c>
      <c r="L9" s="83">
        <f t="shared" ref="L9:L11" ca="1" si="4">SUMIFS(INDIRECT("'"&amp;$G$5&amp;"'"&amp;"!$e:$e"),INDIRECT("'"&amp;$G$5&amp;"'"&amp;"!$a:$a"),$H9)</f>
        <v>316.76</v>
      </c>
      <c r="M9" s="83">
        <f t="shared" ref="M9:M11" ca="1" si="5">SUMIFS(INDIRECT("'"&amp;$G$5&amp;"'"&amp;"!$f:$f"),INDIRECT("'"&amp;$G$5&amp;"'"&amp;"!$a:$a"),$H9)</f>
        <v>38573.86</v>
      </c>
      <c r="N9" s="83">
        <f t="shared" ref="N9:N11" ca="1" si="6">SUMIFS(INDIRECT("'"&amp;$G$5&amp;"'"&amp;"!$g:$g"),INDIRECT("'"&amp;$G$5&amp;"'"&amp;"!$a:$a"),$H9)</f>
        <v>278.08999999999997</v>
      </c>
      <c r="O9" s="83">
        <f t="shared" ref="O9:O11" ca="1" si="7">SUMIFS(INDIRECT("'"&amp;$G$5&amp;"'"&amp;"!$h:$h"),INDIRECT("'"&amp;$G$5&amp;"'"&amp;"!$a:$a"),$H9)</f>
        <v>0</v>
      </c>
      <c r="P9" s="83">
        <f t="shared" ref="P9:P11" ca="1" si="8">SUMIFS(INDIRECT("'"&amp;$G$5&amp;"'"&amp;"!$i:$i"),INDIRECT("'"&amp;$G$5&amp;"'"&amp;"!$a:$a"),$H9)</f>
        <v>1086.73</v>
      </c>
      <c r="Q9" s="83">
        <f t="shared" ref="Q9:Q11" ca="1" si="9">SUMIFS(INDIRECT("'"&amp;$G$5&amp;"'"&amp;"!$j:$j"),INDIRECT("'"&amp;$G$5&amp;"'"&amp;"!$a:$a"),$H9)</f>
        <v>286.74</v>
      </c>
      <c r="R9" s="83">
        <f t="shared" ref="R9:R11" ca="1" si="10">SUMIFS(INDIRECT("'"&amp;$G$5&amp;"'"&amp;"!$k:$k"),INDIRECT("'"&amp;$G$5&amp;"'"&amp;"!$a:$a"),$H9)</f>
        <v>0</v>
      </c>
      <c r="S9" s="83">
        <f t="shared" ref="S9:S11" ca="1" si="11">SUMIFS(INDIRECT("'"&amp;$G$5&amp;"'"&amp;"!$l:$l"),INDIRECT("'"&amp;$G$5&amp;"'"&amp;"!$a:$a"),$H9)</f>
        <v>999.84</v>
      </c>
      <c r="T9" s="83">
        <f t="shared" ref="T9:T11" ca="1" si="12">SUMIFS(INDIRECT("'"&amp;$G$5&amp;"'"&amp;"!$m:$m"),INDIRECT("'"&amp;$G$5&amp;"'"&amp;"!$a:$a"),$H9)</f>
        <v>-73982.490000000005</v>
      </c>
      <c r="U9" s="83">
        <f t="shared" ca="1" si="0"/>
        <v>-24408.180000000008</v>
      </c>
    </row>
    <row r="10" spans="2:23">
      <c r="H10" s="85" t="s">
        <v>327</v>
      </c>
      <c r="I10" s="83">
        <f ca="1">SUMIFS(INDIRECT("'"&amp;$G$5&amp;"'"&amp;"!$b:$b"),INDIRECT("'"&amp;$G$5&amp;"'"&amp;"!$a:$a"),$H10)</f>
        <v>0</v>
      </c>
      <c r="J10" s="83">
        <f t="shared" ca="1" si="2"/>
        <v>0</v>
      </c>
      <c r="K10" s="83">
        <f t="shared" ca="1" si="3"/>
        <v>0</v>
      </c>
      <c r="L10" s="83">
        <f t="shared" ca="1" si="4"/>
        <v>0</v>
      </c>
      <c r="M10" s="83">
        <f t="shared" ca="1" si="5"/>
        <v>0</v>
      </c>
      <c r="N10" s="83">
        <f t="shared" ca="1" si="6"/>
        <v>0</v>
      </c>
      <c r="O10" s="83">
        <f t="shared" ca="1" si="7"/>
        <v>0</v>
      </c>
      <c r="P10" s="83">
        <f t="shared" ca="1" si="8"/>
        <v>0</v>
      </c>
      <c r="Q10" s="83">
        <f t="shared" ca="1" si="9"/>
        <v>0</v>
      </c>
      <c r="R10" s="83">
        <f t="shared" ca="1" si="10"/>
        <v>0</v>
      </c>
      <c r="S10" s="83">
        <f t="shared" ca="1" si="11"/>
        <v>0</v>
      </c>
      <c r="T10" s="83">
        <f t="shared" ca="1" si="12"/>
        <v>0</v>
      </c>
      <c r="U10" s="83">
        <f t="shared" ca="1" si="0"/>
        <v>0</v>
      </c>
    </row>
    <row r="11" spans="2:23">
      <c r="H11" s="85" t="s">
        <v>282</v>
      </c>
      <c r="I11" s="83">
        <f t="shared" ca="1" si="1"/>
        <v>0</v>
      </c>
      <c r="J11" s="83">
        <f t="shared" ca="1" si="2"/>
        <v>0</v>
      </c>
      <c r="K11" s="83">
        <f t="shared" ca="1" si="3"/>
        <v>0</v>
      </c>
      <c r="L11" s="83">
        <f t="shared" ca="1" si="4"/>
        <v>0</v>
      </c>
      <c r="M11" s="83">
        <f t="shared" ca="1" si="5"/>
        <v>0</v>
      </c>
      <c r="N11" s="83">
        <f t="shared" ca="1" si="6"/>
        <v>0</v>
      </c>
      <c r="O11" s="83">
        <f t="shared" ca="1" si="7"/>
        <v>0</v>
      </c>
      <c r="P11" s="83">
        <f t="shared" ca="1" si="8"/>
        <v>0</v>
      </c>
      <c r="Q11" s="83">
        <f t="shared" ca="1" si="9"/>
        <v>0</v>
      </c>
      <c r="R11" s="83">
        <f t="shared" ca="1" si="10"/>
        <v>0</v>
      </c>
      <c r="S11" s="83">
        <f t="shared" ca="1" si="11"/>
        <v>0</v>
      </c>
      <c r="T11" s="83">
        <f t="shared" ca="1" si="12"/>
        <v>0</v>
      </c>
      <c r="U11" s="83">
        <f t="shared" ca="1" si="0"/>
        <v>0</v>
      </c>
    </row>
    <row r="12" spans="2:23">
      <c r="I12" s="84">
        <f ca="1">+I7-SUM(I8:I11)</f>
        <v>816389.7099999995</v>
      </c>
      <c r="J12" s="84">
        <f t="shared" ref="J12:U12" ca="1" si="13">+J7-SUM(J8:J11)</f>
        <v>949754.46000000113</v>
      </c>
      <c r="K12" s="84">
        <f t="shared" ca="1" si="13"/>
        <v>967001.57000000053</v>
      </c>
      <c r="L12" s="84">
        <f ca="1">+L7-SUM(L8:L11)</f>
        <v>853046.16999999946</v>
      </c>
      <c r="M12" s="84">
        <f t="shared" ca="1" si="13"/>
        <v>979975.57999999926</v>
      </c>
      <c r="N12" s="84">
        <f t="shared" ca="1" si="13"/>
        <v>1052511.3399999992</v>
      </c>
      <c r="O12" s="84">
        <f t="shared" ca="1" si="13"/>
        <v>951522.18</v>
      </c>
      <c r="P12" s="84">
        <f t="shared" ca="1" si="13"/>
        <v>841090.68999999866</v>
      </c>
      <c r="Q12" s="84">
        <f t="shared" ca="1" si="13"/>
        <v>780252.36000000057</v>
      </c>
      <c r="R12" s="84">
        <f t="shared" ca="1" si="13"/>
        <v>930617.87999999966</v>
      </c>
      <c r="S12" s="84">
        <f t="shared" ca="1" si="13"/>
        <v>993091.27</v>
      </c>
      <c r="T12" s="84">
        <f t="shared" ca="1" si="13"/>
        <v>1075570.8499999999</v>
      </c>
      <c r="U12" s="84">
        <f t="shared" ca="1" si="13"/>
        <v>11190824.059999997</v>
      </c>
    </row>
    <row r="13" spans="2:23">
      <c r="I13" s="83"/>
      <c r="J13" s="83"/>
      <c r="K13" s="83"/>
      <c r="L13" s="83"/>
      <c r="M13" s="83"/>
      <c r="N13" s="83"/>
      <c r="O13" s="83"/>
      <c r="P13" s="83"/>
      <c r="Q13" s="83"/>
      <c r="R13" s="83"/>
      <c r="S13" s="83"/>
      <c r="T13" s="83"/>
    </row>
    <row r="14" spans="2:23">
      <c r="G14" s="96" t="s">
        <v>330</v>
      </c>
      <c r="H14" s="24" t="s">
        <v>332</v>
      </c>
      <c r="I14" s="83">
        <f ca="1">+Summary!G12</f>
        <v>816389</v>
      </c>
      <c r="J14" s="83">
        <f ca="1">+Summary!H12</f>
        <v>949754</v>
      </c>
      <c r="K14" s="83">
        <f ca="1">+Summary!I12</f>
        <v>967002</v>
      </c>
      <c r="L14" s="83">
        <f ca="1">+Summary!J12</f>
        <v>853047</v>
      </c>
      <c r="M14" s="83">
        <f ca="1">+Summary!K12</f>
        <v>856268</v>
      </c>
      <c r="N14" s="83">
        <f ca="1">+Summary!L12</f>
        <v>1052511</v>
      </c>
      <c r="O14" s="83">
        <f ca="1">+Summary!M12</f>
        <v>951522</v>
      </c>
      <c r="P14" s="83">
        <f ca="1">+Summary!N12</f>
        <v>841091</v>
      </c>
      <c r="Q14" s="83">
        <f ca="1">+Summary!O12</f>
        <v>780252</v>
      </c>
      <c r="R14" s="83">
        <f ca="1">+Summary!P12</f>
        <v>930618</v>
      </c>
      <c r="S14" s="83">
        <f ca="1">+Summary!Q12</f>
        <v>993091</v>
      </c>
      <c r="T14" s="83">
        <f ca="1">+Summary!R12</f>
        <v>1075571</v>
      </c>
      <c r="U14" s="83">
        <f ca="1">+SUM(I14:T14)</f>
        <v>11067116</v>
      </c>
    </row>
    <row r="15" spans="2:23">
      <c r="I15" s="83">
        <f ca="1">+I12-I14</f>
        <v>0.70999999949708581</v>
      </c>
      <c r="J15" s="83">
        <f t="shared" ref="J15:U15" ca="1" si="14">+J12-J14</f>
        <v>0.46000000112690032</v>
      </c>
      <c r="K15" s="83">
        <f t="shared" ca="1" si="14"/>
        <v>-0.42999999946914613</v>
      </c>
      <c r="L15" s="83">
        <f ca="1">+L12-L14</f>
        <v>-0.83000000054016709</v>
      </c>
      <c r="M15" s="83">
        <f ca="1">+M12-M14</f>
        <v>123707.57999999926</v>
      </c>
      <c r="N15" s="83">
        <f t="shared" ca="1" si="14"/>
        <v>0.33999999915249646</v>
      </c>
      <c r="O15" s="83">
        <f t="shared" ca="1" si="14"/>
        <v>0.18000000005122274</v>
      </c>
      <c r="P15" s="83">
        <f t="shared" ca="1" si="14"/>
        <v>-0.31000000133644789</v>
      </c>
      <c r="Q15" s="83">
        <f t="shared" ca="1" si="14"/>
        <v>0.36000000056810677</v>
      </c>
      <c r="R15" s="83">
        <f t="shared" ca="1" si="14"/>
        <v>-0.12000000034458935</v>
      </c>
      <c r="S15" s="83">
        <f t="shared" ca="1" si="14"/>
        <v>0.27000000001862645</v>
      </c>
      <c r="T15" s="83">
        <f t="shared" ca="1" si="14"/>
        <v>-0.15000000013969839</v>
      </c>
      <c r="U15" s="83">
        <f t="shared" ca="1" si="14"/>
        <v>123708.0599999968</v>
      </c>
    </row>
    <row r="18" spans="6:21">
      <c r="F18" s="24">
        <v>2</v>
      </c>
      <c r="G18" s="96" t="s">
        <v>269</v>
      </c>
    </row>
    <row r="19" spans="6:21">
      <c r="G19" s="88" t="s">
        <v>296</v>
      </c>
      <c r="I19" s="97" t="str">
        <f>+Summary!$W$9</f>
        <v>Aug 2021</v>
      </c>
      <c r="J19" s="97" t="str">
        <f>+Summary!$X$9</f>
        <v>Sep 2021</v>
      </c>
      <c r="K19" s="97" t="str">
        <f>+Summary!$Y$9</f>
        <v>Oct 2021</v>
      </c>
      <c r="L19" s="97" t="str">
        <f>+Summary!$Z$9</f>
        <v>Nov 2021</v>
      </c>
      <c r="M19" s="97" t="str">
        <f>+Summary!$AA$9</f>
        <v>Dec 2021</v>
      </c>
      <c r="N19" s="97" t="str">
        <f>+Summary!$AB$9</f>
        <v>Jan 2022</v>
      </c>
      <c r="O19" s="97" t="str">
        <f>+Summary!$AC$9</f>
        <v>Feb 2022</v>
      </c>
      <c r="P19" s="97" t="str">
        <f>+Summary!$AD$9</f>
        <v>Mar 2022</v>
      </c>
      <c r="Q19" s="97" t="str">
        <f>+Summary!$AE$9</f>
        <v>Apr 2022</v>
      </c>
      <c r="R19" s="97" t="str">
        <f>+Summary!$AF$9</f>
        <v>May 2022</v>
      </c>
      <c r="S19" s="97" t="str">
        <f>+Summary!$AG$9</f>
        <v>Jun 2022</v>
      </c>
      <c r="T19" s="97" t="str">
        <f>+Summary!$AH$9</f>
        <v>Jul 2022</v>
      </c>
      <c r="U19" s="84" t="s">
        <v>335</v>
      </c>
    </row>
    <row r="20" spans="6:21">
      <c r="G20" s="96" t="s">
        <v>331</v>
      </c>
      <c r="H20" s="96" t="s">
        <v>329</v>
      </c>
    </row>
    <row r="21" spans="6:21">
      <c r="H21" s="24" t="s">
        <v>13</v>
      </c>
      <c r="I21" s="83">
        <f ca="1">SUMIFS(INDIRECT("'"&amp;$G$19&amp;"'"&amp;"!$b:$b"),INDIRECT("'"&amp;$G$19&amp;"'"&amp;"!$a:$a"),$H21)/2</f>
        <v>802414.68000000122</v>
      </c>
      <c r="J21" s="83">
        <f ca="1">SUMIFS(INDIRECT("'"&amp;$G$19&amp;"'"&amp;"!$c:$c"),INDIRECT("'"&amp;$G$19&amp;"'"&amp;"!$a:$a"),$H21)/2</f>
        <v>756427.85000000068</v>
      </c>
      <c r="K21" s="83">
        <f ca="1">SUMIFS(INDIRECT("'"&amp;$G$19&amp;"'"&amp;"!$d:$d"),INDIRECT("'"&amp;$G$19&amp;"'"&amp;"!$a:$a"),$H21)/2</f>
        <v>699021.26999999967</v>
      </c>
      <c r="L21" s="83">
        <f ca="1">SUMIFS(INDIRECT("'"&amp;$G$19&amp;"'"&amp;"!$e:$e"),INDIRECT("'"&amp;$G$19&amp;"'"&amp;"!$a:$a"),$H21)/2</f>
        <v>667786.78999999946</v>
      </c>
      <c r="M21" s="83">
        <f ca="1">SUMIFS(INDIRECT("'"&amp;$G$19&amp;"'"&amp;"!$f:$f"),INDIRECT("'"&amp;$G$19&amp;"'"&amp;"!$a:$a"),$H21)/2</f>
        <v>332630.26000000059</v>
      </c>
      <c r="N21" s="83">
        <f ca="1">SUMIFS(INDIRECT("'"&amp;$G$19&amp;"'"&amp;"!$g:$g"),INDIRECT("'"&amp;$G$19&amp;"'"&amp;"!$a:$a"),$H21)/2</f>
        <v>855660.12000000093</v>
      </c>
      <c r="O21" s="83">
        <f ca="1">SUMIFS(INDIRECT("'"&amp;$G$19&amp;"'"&amp;"!$h:$h"),INDIRECT("'"&amp;$G$19&amp;"'"&amp;"!$a:$a"),$H21)/2</f>
        <v>639268.97999999952</v>
      </c>
      <c r="P21" s="83">
        <f ca="1">SUMIFS(INDIRECT("'"&amp;$G$19&amp;"'"&amp;"!$i:$i"),INDIRECT("'"&amp;$G$19&amp;"'"&amp;"!$a:$a"),$H21)/2</f>
        <v>620246.94999999984</v>
      </c>
      <c r="Q21" s="83">
        <f ca="1">SUMIFS(INDIRECT("'"&amp;$G$19&amp;"'"&amp;"!$j:$j"),INDIRECT("'"&amp;$G$19&amp;"'"&amp;"!$a:$a"),$H21)/2</f>
        <v>566175.11000000022</v>
      </c>
      <c r="R21" s="83">
        <f ca="1">SUMIFS(INDIRECT("'"&amp;$G$19&amp;"'"&amp;"!$k:$k"),INDIRECT("'"&amp;$G$19&amp;"'"&amp;"!$a:$a"),$H21)/2</f>
        <v>587084.85999999917</v>
      </c>
      <c r="S21" s="83">
        <f ca="1">SUMIFS(INDIRECT("'"&amp;$G$19&amp;"'"&amp;"!$l:$l"),INDIRECT("'"&amp;$G$19&amp;"'"&amp;"!$a:$a"),$H21)/2</f>
        <v>677660.61999999953</v>
      </c>
      <c r="T21" s="83">
        <f ca="1">SUMIFS(INDIRECT("'"&amp;$G$19&amp;"'"&amp;"!$m:$m"),INDIRECT("'"&amp;$G$19&amp;"'"&amp;"!$a:$a"),$H21)/2</f>
        <v>770768.87999999966</v>
      </c>
      <c r="U21" s="83">
        <f ca="1">+SUM(I21:T21)</f>
        <v>7975146.370000002</v>
      </c>
    </row>
    <row r="22" spans="6:21">
      <c r="H22" s="24" t="s">
        <v>134</v>
      </c>
      <c r="I22" s="83">
        <f ca="1">SUMIFS(INDIRECT("'"&amp;$G$19&amp;"'"&amp;"!$b:$b"),INDIRECT("'"&amp;$G$19&amp;"'"&amp;"!$a:$a"),$H22)</f>
        <v>10.44</v>
      </c>
      <c r="J22" s="83">
        <f ca="1">SUMIFS(INDIRECT("'"&amp;$G$19&amp;"'"&amp;"!$c:$c"),INDIRECT("'"&amp;$G$19&amp;"'"&amp;"!$a:$a"),$H22)</f>
        <v>1.24</v>
      </c>
      <c r="K22" s="83">
        <f ca="1">SUMIFS(INDIRECT("'"&amp;$G$19&amp;"'"&amp;"!$d:$d"),INDIRECT("'"&amp;$G$19&amp;"'"&amp;"!$a:$a"),$H22)</f>
        <v>0</v>
      </c>
      <c r="L22" s="83">
        <f ca="1">SUMIFS(INDIRECT("'"&amp;$G$19&amp;"'"&amp;"!$e:$e"),INDIRECT("'"&amp;$G$19&amp;"'"&amp;"!$a:$a"),$H22)</f>
        <v>6.12</v>
      </c>
      <c r="M22" s="83">
        <f ca="1">SUMIFS(INDIRECT("'"&amp;$G$19&amp;"'"&amp;"!$f:$f"),INDIRECT("'"&amp;$G$19&amp;"'"&amp;"!$a:$a"),$H22)</f>
        <v>7.15</v>
      </c>
      <c r="N22" s="83">
        <f ca="1">SUMIFS(INDIRECT("'"&amp;$G$19&amp;"'"&amp;"!$g:$g"),INDIRECT("'"&amp;$G$19&amp;"'"&amp;"!$a:$a"),$H22)</f>
        <v>2.19</v>
      </c>
      <c r="O22" s="83">
        <f ca="1">SUMIFS(INDIRECT("'"&amp;$G$19&amp;"'"&amp;"!$h:$h"),INDIRECT("'"&amp;$G$19&amp;"'"&amp;"!$a:$a"),$H22)</f>
        <v>9.8000000000000007</v>
      </c>
      <c r="P22" s="83">
        <f ca="1">SUMIFS(INDIRECT("'"&amp;$G$19&amp;"'"&amp;"!$i:$i"),INDIRECT("'"&amp;$G$19&amp;"'"&amp;"!$a:$a"),$H22)</f>
        <v>0</v>
      </c>
      <c r="Q22" s="83">
        <f ca="1">SUMIFS(INDIRECT("'"&amp;$G$19&amp;"'"&amp;"!$j:$j"),INDIRECT("'"&amp;$G$19&amp;"'"&amp;"!$a:$a"),$H22)</f>
        <v>3749.26</v>
      </c>
      <c r="R22" s="83">
        <f ca="1">SUMIFS(INDIRECT("'"&amp;$G$19&amp;"'"&amp;"!$k:$k"),INDIRECT("'"&amp;$G$19&amp;"'"&amp;"!$a:$a"),$H22)</f>
        <v>6.02</v>
      </c>
      <c r="S22" s="83">
        <f ca="1">SUMIFS(INDIRECT("'"&amp;$G$19&amp;"'"&amp;"!$l:$l"),INDIRECT("'"&amp;$G$19&amp;"'"&amp;"!$a:$a"),$H22)</f>
        <v>366.64</v>
      </c>
      <c r="T22" s="83">
        <f ca="1">SUMIFS(INDIRECT("'"&amp;$G$19&amp;"'"&amp;"!$m:$m"),INDIRECT("'"&amp;$G$19&amp;"'"&amp;"!$a:$a"),$H22)</f>
        <v>0.15</v>
      </c>
      <c r="U22" s="83">
        <f t="shared" ref="U22:U25" ca="1" si="15">+SUM(I22:T22)</f>
        <v>4159.01</v>
      </c>
    </row>
    <row r="23" spans="6:21">
      <c r="H23" s="85" t="s">
        <v>132</v>
      </c>
      <c r="I23" s="83">
        <f ca="1">SUMIFS(INDIRECT("'"&amp;$G$19&amp;"'"&amp;"!$b:$b"),INDIRECT("'"&amp;$G$19&amp;"'"&amp;"!$a:$a"),$H23)</f>
        <v>94.2</v>
      </c>
      <c r="J23" s="83">
        <f ca="1">SUMIFS(INDIRECT("'"&amp;$G$19&amp;"'"&amp;"!$c:$c"),INDIRECT("'"&amp;$G$19&amp;"'"&amp;"!$a:$a"),$H23)</f>
        <v>345.96</v>
      </c>
      <c r="K23" s="83">
        <f ca="1">SUMIFS(INDIRECT("'"&amp;$G$19&amp;"'"&amp;"!$d:$d"),INDIRECT("'"&amp;$G$19&amp;"'"&amp;"!$a:$a"),$H23)</f>
        <v>-30</v>
      </c>
      <c r="L23" s="83">
        <f ca="1">SUMIFS(INDIRECT("'"&amp;$G$19&amp;"'"&amp;"!$e:$e"),INDIRECT("'"&amp;$G$19&amp;"'"&amp;"!$a:$a"),$H23)</f>
        <v>660.3</v>
      </c>
      <c r="M23" s="83">
        <f ca="1">SUMIFS(INDIRECT("'"&amp;$G$19&amp;"'"&amp;"!$f:$f"),INDIRECT("'"&amp;$G$19&amp;"'"&amp;"!$a:$a"),$H23)</f>
        <v>83690.539999999994</v>
      </c>
      <c r="N23" s="83">
        <f ca="1">SUMIFS(INDIRECT("'"&amp;$G$19&amp;"'"&amp;"!$g:$g"),INDIRECT("'"&amp;$G$19&amp;"'"&amp;"!$a:$a"),$H23)</f>
        <v>231.1</v>
      </c>
      <c r="O23" s="83">
        <f ca="1">SUMIFS(INDIRECT("'"&amp;$G$19&amp;"'"&amp;"!$h:$h"),INDIRECT("'"&amp;$G$19&amp;"'"&amp;"!$a:$a"),$H23)</f>
        <v>0</v>
      </c>
      <c r="P23" s="83">
        <f ca="1">SUMIFS(INDIRECT("'"&amp;$G$19&amp;"'"&amp;"!$i:$i"),INDIRECT("'"&amp;$G$19&amp;"'"&amp;"!$a:$a"),$H23)</f>
        <v>-435.45</v>
      </c>
      <c r="Q23" s="83">
        <f ca="1">SUMIFS(INDIRECT("'"&amp;$G$19&amp;"'"&amp;"!$j:$j"),INDIRECT("'"&amp;$G$19&amp;"'"&amp;"!$a:$a"),$H23)</f>
        <v>544.41</v>
      </c>
      <c r="R23" s="83">
        <f ca="1">SUMIFS(INDIRECT("'"&amp;$G$19&amp;"'"&amp;"!$k:$k"),INDIRECT("'"&amp;$G$19&amp;"'"&amp;"!$a:$a"),$H23)</f>
        <v>0</v>
      </c>
      <c r="S23" s="83">
        <f ca="1">SUMIFS(INDIRECT("'"&amp;$G$19&amp;"'"&amp;"!$l:$l"),INDIRECT("'"&amp;$G$19&amp;"'"&amp;"!$a:$a"),$H23)</f>
        <v>930.01</v>
      </c>
      <c r="T23" s="83">
        <f ca="1">SUMIFS(INDIRECT("'"&amp;$G$19&amp;"'"&amp;"!$m:$m"),INDIRECT("'"&amp;$G$19&amp;"'"&amp;"!$a:$a"),$H23)</f>
        <v>143.41</v>
      </c>
      <c r="U23" s="83">
        <f t="shared" ca="1" si="15"/>
        <v>86174.48000000001</v>
      </c>
    </row>
    <row r="24" spans="6:21">
      <c r="H24" s="85" t="s">
        <v>327</v>
      </c>
      <c r="I24" s="83">
        <f ca="1">SUMIFS(INDIRECT("'"&amp;$G$19&amp;"'"&amp;"!$b:$b"),INDIRECT("'"&amp;$G$19&amp;"'"&amp;"!$a:$a"),$H24)</f>
        <v>0</v>
      </c>
      <c r="J24" s="83">
        <f ca="1">SUMIFS(INDIRECT("'"&amp;$G$19&amp;"'"&amp;"!$c:$c"),INDIRECT("'"&amp;$G$19&amp;"'"&amp;"!$a:$a"),$H24)</f>
        <v>0</v>
      </c>
      <c r="K24" s="83">
        <f ca="1">SUMIFS(INDIRECT("'"&amp;$G$19&amp;"'"&amp;"!$d:$d"),INDIRECT("'"&amp;$G$19&amp;"'"&amp;"!$a:$a"),$H24)</f>
        <v>0</v>
      </c>
      <c r="L24" s="83">
        <f ca="1">SUMIFS(INDIRECT("'"&amp;$G$19&amp;"'"&amp;"!$e:$e"),INDIRECT("'"&amp;$G$19&amp;"'"&amp;"!$a:$a"),$H24)</f>
        <v>0</v>
      </c>
      <c r="M24" s="83">
        <f ca="1">SUMIFS(INDIRECT("'"&amp;$G$19&amp;"'"&amp;"!$f:$f"),INDIRECT("'"&amp;$G$19&amp;"'"&amp;"!$a:$a"),$H24)</f>
        <v>0</v>
      </c>
      <c r="N24" s="83">
        <f ca="1">SUMIFS(INDIRECT("'"&amp;$G$19&amp;"'"&amp;"!$g:$g"),INDIRECT("'"&amp;$G$19&amp;"'"&amp;"!$a:$a"),$H24)</f>
        <v>0</v>
      </c>
      <c r="O24" s="83">
        <f ca="1">SUMIFS(INDIRECT("'"&amp;$G$19&amp;"'"&amp;"!$h:$h"),INDIRECT("'"&amp;$G$19&amp;"'"&amp;"!$a:$a"),$H24)</f>
        <v>0</v>
      </c>
      <c r="P24" s="83">
        <f ca="1">SUMIFS(INDIRECT("'"&amp;$G$19&amp;"'"&amp;"!$i:$i"),INDIRECT("'"&amp;$G$19&amp;"'"&amp;"!$a:$a"),$H24)</f>
        <v>0</v>
      </c>
      <c r="Q24" s="83">
        <f ca="1">SUMIFS(INDIRECT("'"&amp;$G$19&amp;"'"&amp;"!$j:$j"),INDIRECT("'"&amp;$G$19&amp;"'"&amp;"!$a:$a"),$H24)</f>
        <v>0</v>
      </c>
      <c r="R24" s="83">
        <f ca="1">SUMIFS(INDIRECT("'"&amp;$G$19&amp;"'"&amp;"!$k:$k"),INDIRECT("'"&amp;$G$19&amp;"'"&amp;"!$a:$a"),$H24)</f>
        <v>0</v>
      </c>
      <c r="S24" s="83">
        <f ca="1">SUMIFS(INDIRECT("'"&amp;$G$19&amp;"'"&amp;"!$l:$l"),INDIRECT("'"&amp;$G$19&amp;"'"&amp;"!$a:$a"),$H24)</f>
        <v>0</v>
      </c>
      <c r="T24" s="83">
        <f ca="1">SUMIFS(INDIRECT("'"&amp;$G$19&amp;"'"&amp;"!$m:$m"),INDIRECT("'"&amp;$G$19&amp;"'"&amp;"!$a:$a"),$H24)</f>
        <v>0</v>
      </c>
      <c r="U24" s="83">
        <f t="shared" ca="1" si="15"/>
        <v>0</v>
      </c>
    </row>
    <row r="25" spans="6:21">
      <c r="H25" s="85" t="s">
        <v>282</v>
      </c>
      <c r="I25" s="83">
        <f ca="1">SUMIFS(INDIRECT("'"&amp;$G$19&amp;"'"&amp;"!$b:$b"),INDIRECT("'"&amp;$G$19&amp;"'"&amp;"!$a:$a"),$H25)</f>
        <v>0</v>
      </c>
      <c r="J25" s="83">
        <f ca="1">SUMIFS(INDIRECT("'"&amp;$G$19&amp;"'"&amp;"!$c:$c"),INDIRECT("'"&amp;$G$19&amp;"'"&amp;"!$a:$a"),$H25)</f>
        <v>0</v>
      </c>
      <c r="K25" s="83">
        <f ca="1">SUMIFS(INDIRECT("'"&amp;$G$19&amp;"'"&amp;"!$d:$d"),INDIRECT("'"&amp;$G$19&amp;"'"&amp;"!$a:$a"),$H25)</f>
        <v>0</v>
      </c>
      <c r="L25" s="83">
        <f ca="1">SUMIFS(INDIRECT("'"&amp;$G$19&amp;"'"&amp;"!$e:$e"),INDIRECT("'"&amp;$G$19&amp;"'"&amp;"!$a:$a"),$H25)</f>
        <v>0</v>
      </c>
      <c r="M25" s="83">
        <f ca="1">SUMIFS(INDIRECT("'"&amp;$G$19&amp;"'"&amp;"!$f:$f"),INDIRECT("'"&amp;$G$19&amp;"'"&amp;"!$a:$a"),$H25)</f>
        <v>0</v>
      </c>
      <c r="N25" s="83">
        <f ca="1">SUMIFS(INDIRECT("'"&amp;$G$19&amp;"'"&amp;"!$g:$g"),INDIRECT("'"&amp;$G$19&amp;"'"&amp;"!$a:$a"),$H25)</f>
        <v>0</v>
      </c>
      <c r="O25" s="83">
        <f ca="1">SUMIFS(INDIRECT("'"&amp;$G$19&amp;"'"&amp;"!$h:$h"),INDIRECT("'"&amp;$G$19&amp;"'"&amp;"!$a:$a"),$H25)</f>
        <v>0</v>
      </c>
      <c r="P25" s="83">
        <f ca="1">SUMIFS(INDIRECT("'"&amp;$G$19&amp;"'"&amp;"!$i:$i"),INDIRECT("'"&amp;$G$19&amp;"'"&amp;"!$a:$a"),$H25)</f>
        <v>0</v>
      </c>
      <c r="Q25" s="83">
        <f ca="1">SUMIFS(INDIRECT("'"&amp;$G$19&amp;"'"&amp;"!$j:$j"),INDIRECT("'"&amp;$G$19&amp;"'"&amp;"!$a:$a"),$H25)</f>
        <v>0</v>
      </c>
      <c r="R25" s="83">
        <f ca="1">SUMIFS(INDIRECT("'"&amp;$G$19&amp;"'"&amp;"!$k:$k"),INDIRECT("'"&amp;$G$19&amp;"'"&amp;"!$a:$a"),$H25)</f>
        <v>0</v>
      </c>
      <c r="S25" s="83">
        <f ca="1">SUMIFS(INDIRECT("'"&amp;$G$19&amp;"'"&amp;"!$l:$l"),INDIRECT("'"&amp;$G$19&amp;"'"&amp;"!$a:$a"),$H25)</f>
        <v>0</v>
      </c>
      <c r="T25" s="83">
        <f ca="1">SUMIFS(INDIRECT("'"&amp;$G$19&amp;"'"&amp;"!$m:$m"),INDIRECT("'"&amp;$G$19&amp;"'"&amp;"!$a:$a"),$H25)</f>
        <v>0</v>
      </c>
      <c r="U25" s="83">
        <f t="shared" ca="1" si="15"/>
        <v>0</v>
      </c>
    </row>
    <row r="26" spans="6:21">
      <c r="I26" s="84">
        <f ca="1">+I21-SUM(I22:I25)</f>
        <v>802310.0400000012</v>
      </c>
      <c r="J26" s="84">
        <f t="shared" ref="J26:U26" ca="1" si="16">+J21-SUM(J22:J25)</f>
        <v>756080.65000000072</v>
      </c>
      <c r="K26" s="84">
        <f t="shared" ca="1" si="16"/>
        <v>699051.26999999967</v>
      </c>
      <c r="L26" s="84">
        <f t="shared" ca="1" si="16"/>
        <v>667120.36999999941</v>
      </c>
      <c r="M26" s="84">
        <f t="shared" ca="1" si="16"/>
        <v>248932.57000000059</v>
      </c>
      <c r="N26" s="84">
        <f t="shared" ca="1" si="16"/>
        <v>855426.83000000089</v>
      </c>
      <c r="O26" s="84">
        <f t="shared" ca="1" si="16"/>
        <v>639259.17999999947</v>
      </c>
      <c r="P26" s="84">
        <f t="shared" ca="1" si="16"/>
        <v>620682.39999999979</v>
      </c>
      <c r="Q26" s="84">
        <f t="shared" ca="1" si="16"/>
        <v>561881.44000000018</v>
      </c>
      <c r="R26" s="84">
        <f t="shared" ca="1" si="16"/>
        <v>587078.83999999915</v>
      </c>
      <c r="S26" s="84">
        <f t="shared" ca="1" si="16"/>
        <v>676363.96999999951</v>
      </c>
      <c r="T26" s="84">
        <f t="shared" ca="1" si="16"/>
        <v>770625.3199999996</v>
      </c>
      <c r="U26" s="84">
        <f t="shared" ca="1" si="16"/>
        <v>7884812.8800000018</v>
      </c>
    </row>
    <row r="27" spans="6:21">
      <c r="I27" s="83"/>
      <c r="J27" s="83"/>
      <c r="K27" s="83"/>
      <c r="L27" s="83"/>
      <c r="M27" s="83"/>
      <c r="N27" s="83"/>
      <c r="O27" s="83"/>
      <c r="P27" s="83"/>
      <c r="Q27" s="83"/>
      <c r="R27" s="83"/>
      <c r="S27" s="83"/>
      <c r="T27" s="83"/>
    </row>
    <row r="28" spans="6:21">
      <c r="G28" s="96" t="s">
        <v>330</v>
      </c>
      <c r="H28" s="24" t="s">
        <v>332</v>
      </c>
      <c r="I28" s="83">
        <f ca="1">+Summary!G23</f>
        <v>802309</v>
      </c>
      <c r="J28" s="83">
        <f ca="1">+Summary!H23</f>
        <v>756080</v>
      </c>
      <c r="K28" s="83">
        <f ca="1">+Summary!I23</f>
        <v>699051</v>
      </c>
      <c r="L28" s="83">
        <f ca="1">+Summary!J23</f>
        <v>667121</v>
      </c>
      <c r="M28" s="83">
        <f ca="1">+Summary!K23</f>
        <v>838785</v>
      </c>
      <c r="N28" s="83">
        <f ca="1">+Summary!L23</f>
        <v>855427</v>
      </c>
      <c r="O28" s="83">
        <f ca="1">+Summary!M23</f>
        <v>639260</v>
      </c>
      <c r="P28" s="83">
        <f ca="1">+Summary!N23</f>
        <v>620682</v>
      </c>
      <c r="Q28" s="83">
        <f ca="1">+Summary!O23</f>
        <v>561881</v>
      </c>
      <c r="R28" s="83">
        <f ca="1">+Summary!P23</f>
        <v>587078</v>
      </c>
      <c r="S28" s="83">
        <f ca="1">+Summary!Q23</f>
        <v>676364</v>
      </c>
      <c r="T28" s="83">
        <f ca="1">+Summary!R23</f>
        <v>770625</v>
      </c>
      <c r="U28" s="83">
        <f ca="1">+Summary!S23</f>
        <v>8474663</v>
      </c>
    </row>
    <row r="29" spans="6:21">
      <c r="I29" s="83">
        <f t="shared" ref="I29:U29" ca="1" si="17">+I26-I28</f>
        <v>1.0400000012014061</v>
      </c>
      <c r="J29" s="83">
        <f t="shared" ca="1" si="17"/>
        <v>0.650000000721775</v>
      </c>
      <c r="K29" s="83">
        <f t="shared" ca="1" si="17"/>
        <v>0.26999999966938049</v>
      </c>
      <c r="L29" s="83">
        <f t="shared" ca="1" si="17"/>
        <v>-0.63000000058673322</v>
      </c>
      <c r="M29" s="83">
        <f t="shared" ca="1" si="17"/>
        <v>-589852.42999999947</v>
      </c>
      <c r="N29" s="83">
        <f t="shared" ca="1" si="17"/>
        <v>-0.16999999911058694</v>
      </c>
      <c r="O29" s="83">
        <f t="shared" ca="1" si="17"/>
        <v>-0.82000000053085387</v>
      </c>
      <c r="P29" s="83">
        <f t="shared" ca="1" si="17"/>
        <v>0.39999999979045242</v>
      </c>
      <c r="Q29" s="83">
        <f t="shared" ca="1" si="17"/>
        <v>0.44000000017695129</v>
      </c>
      <c r="R29" s="83">
        <f t="shared" ca="1" si="17"/>
        <v>0.83999999915249646</v>
      </c>
      <c r="S29" s="83">
        <f t="shared" ca="1" si="17"/>
        <v>-3.0000000493600965E-2</v>
      </c>
      <c r="T29" s="83">
        <f t="shared" ca="1" si="17"/>
        <v>0.31999999959953129</v>
      </c>
      <c r="U29" s="83">
        <f t="shared" ca="1" si="17"/>
        <v>-589850.11999999825</v>
      </c>
    </row>
    <row r="32" spans="6:21">
      <c r="F32" s="24">
        <v>3</v>
      </c>
      <c r="G32" s="96" t="s">
        <v>270</v>
      </c>
    </row>
    <row r="33" spans="6:21">
      <c r="G33" s="88" t="s">
        <v>297</v>
      </c>
      <c r="I33" s="97" t="str">
        <f>+Summary!$W$9</f>
        <v>Aug 2021</v>
      </c>
      <c r="J33" s="97" t="str">
        <f>+Summary!$X$9</f>
        <v>Sep 2021</v>
      </c>
      <c r="K33" s="97" t="str">
        <f>+Summary!$Y$9</f>
        <v>Oct 2021</v>
      </c>
      <c r="L33" s="97" t="str">
        <f>+Summary!$Z$9</f>
        <v>Nov 2021</v>
      </c>
      <c r="M33" s="97" t="str">
        <f>+Summary!$AA$9</f>
        <v>Dec 2021</v>
      </c>
      <c r="N33" s="97" t="str">
        <f>+Summary!$AB$9</f>
        <v>Jan 2022</v>
      </c>
      <c r="O33" s="97" t="str">
        <f>+Summary!$AC$9</f>
        <v>Feb 2022</v>
      </c>
      <c r="P33" s="97" t="str">
        <f>+Summary!$AD$9</f>
        <v>Mar 2022</v>
      </c>
      <c r="Q33" s="97" t="str">
        <f>+Summary!$AE$9</f>
        <v>Apr 2022</v>
      </c>
      <c r="R33" s="97" t="str">
        <f>+Summary!$AF$9</f>
        <v>May 2022</v>
      </c>
      <c r="S33" s="97" t="str">
        <f>+Summary!$AG$9</f>
        <v>Jun 2022</v>
      </c>
      <c r="T33" s="97" t="str">
        <f>+Summary!$AH$9</f>
        <v>Jul 2022</v>
      </c>
      <c r="U33" s="84" t="s">
        <v>335</v>
      </c>
    </row>
    <row r="34" spans="6:21">
      <c r="G34" s="96" t="s">
        <v>331</v>
      </c>
      <c r="H34" s="96" t="s">
        <v>329</v>
      </c>
    </row>
    <row r="35" spans="6:21">
      <c r="H35" s="24" t="s">
        <v>13</v>
      </c>
      <c r="I35" s="83">
        <f ca="1">SUMIFS(INDIRECT("'"&amp;$G$33&amp;"'"&amp;"!$b:$b"),INDIRECT("'"&amp;$G$33&amp;"'"&amp;"!$a:$a"),$H35)/2</f>
        <v>680546.81</v>
      </c>
      <c r="J35" s="83">
        <f ca="1">SUMIFS(INDIRECT("'"&amp;$G$33&amp;"'"&amp;"!$c:$c"),INDIRECT("'"&amp;$G$33&amp;"'"&amp;"!$a:$a"),$H35)/2</f>
        <v>806706.61999999825</v>
      </c>
      <c r="K35" s="83">
        <f ca="1">SUMIFS(INDIRECT("'"&amp;$G$33&amp;"'"&amp;"!$d:$d"),INDIRECT("'"&amp;$G$33&amp;"'"&amp;"!$a:$a"),$H35)/2</f>
        <v>873876.64999999944</v>
      </c>
      <c r="L35" s="83">
        <f ca="1">SUMIFS(INDIRECT("'"&amp;$G$33&amp;"'"&amp;"!$e:$e"),INDIRECT("'"&amp;$G$33&amp;"'"&amp;"!$a:$a"),$H35)/2</f>
        <v>743875.14999999979</v>
      </c>
      <c r="M35" s="83">
        <f ca="1">SUMIFS(INDIRECT("'"&amp;$G$33&amp;"'"&amp;"!$f:$f"),INDIRECT("'"&amp;$G$33&amp;"'"&amp;"!$a:$a"),$H35)/2</f>
        <v>-350721.96999999951</v>
      </c>
      <c r="N35" s="83">
        <f ca="1">SUMIFS(INDIRECT("'"&amp;$G$33&amp;"'"&amp;"!$g:$g"),INDIRECT("'"&amp;$G$33&amp;"'"&amp;"!$a:$a"),$H35)/2</f>
        <v>683416.06000000029</v>
      </c>
      <c r="O35" s="83">
        <f ca="1">SUMIFS(INDIRECT("'"&amp;$G$33&amp;"'"&amp;"!$h:$h"),INDIRECT("'"&amp;$G$33&amp;"'"&amp;"!$a:$a"),$H35)/2</f>
        <v>620187.82000000018</v>
      </c>
      <c r="P35" s="83">
        <f ca="1">SUMIFS(INDIRECT("'"&amp;$G$33&amp;"'"&amp;"!$i:$i"),INDIRECT("'"&amp;$G$33&amp;"'"&amp;"!$a:$a"),$H35)/2</f>
        <v>761979.53000000038</v>
      </c>
      <c r="Q35" s="83">
        <f ca="1">SUMIFS(INDIRECT("'"&amp;$G$33&amp;"'"&amp;"!$j:$j"),INDIRECT("'"&amp;$G$33&amp;"'"&amp;"!$a:$a"),$H35)/2</f>
        <v>759306.64000000188</v>
      </c>
      <c r="R35" s="83">
        <f ca="1">SUMIFS(INDIRECT("'"&amp;$G$33&amp;"'"&amp;"!$k:$k"),INDIRECT("'"&amp;$G$33&amp;"'"&amp;"!$a:$a"),$H35)/2</f>
        <v>757084.01000000047</v>
      </c>
      <c r="S35" s="83">
        <f ca="1">SUMIFS(INDIRECT("'"&amp;$G$33&amp;"'"&amp;"!$l:$l"),INDIRECT("'"&amp;$G$33&amp;"'"&amp;"!$a:$a"),$H35)/2</f>
        <v>796249.43999999925</v>
      </c>
      <c r="T35" s="83">
        <f ca="1">SUMIFS(INDIRECT("'"&amp;$G$33&amp;"'"&amp;"!$m:$m"),INDIRECT("'"&amp;$G$33&amp;"'"&amp;"!$a:$a"),$H35)/2</f>
        <v>867624.47999999975</v>
      </c>
      <c r="U35" s="83">
        <f ca="1">+SUM(I35:T35)</f>
        <v>8000131.2400000002</v>
      </c>
    </row>
    <row r="36" spans="6:21">
      <c r="H36" s="24" t="s">
        <v>134</v>
      </c>
      <c r="I36" s="83">
        <f ca="1">SUMIFS(INDIRECT("'"&amp;$G$33&amp;"'"&amp;"!$b:$b"),INDIRECT("'"&amp;$G$33&amp;"'"&amp;"!$a:$a"),$H36)</f>
        <v>9.19</v>
      </c>
      <c r="J36" s="83">
        <f ca="1">SUMIFS(INDIRECT("'"&amp;$G$33&amp;"'"&amp;"!$c:$c"),INDIRECT("'"&amp;$G$33&amp;"'"&amp;"!$a:$a"),$H36)</f>
        <v>0.64</v>
      </c>
      <c r="K36" s="83">
        <f ca="1">SUMIFS(INDIRECT("'"&amp;$G$33&amp;"'"&amp;"!$d:$d"),INDIRECT("'"&amp;$G$33&amp;"'"&amp;"!$a:$a"),$H36)</f>
        <v>2.5299999999999998</v>
      </c>
      <c r="L36" s="83">
        <f ca="1">SUMIFS(INDIRECT("'"&amp;$G$33&amp;"'"&amp;"!$e:$e"),INDIRECT("'"&amp;$G$33&amp;"'"&amp;"!$a:$a"),$H36)</f>
        <v>5.04</v>
      </c>
      <c r="M36" s="83">
        <f ca="1">SUMIFS(INDIRECT("'"&amp;$G$33&amp;"'"&amp;"!$f:$f"),INDIRECT("'"&amp;$G$33&amp;"'"&amp;"!$a:$a"),$H36)</f>
        <v>125.95</v>
      </c>
      <c r="N36" s="83">
        <f ca="1">SUMIFS(INDIRECT("'"&amp;$G$33&amp;"'"&amp;"!$g:$g"),INDIRECT("'"&amp;$G$33&amp;"'"&amp;"!$a:$a"),$H36)</f>
        <v>4.01</v>
      </c>
      <c r="O36" s="83">
        <f ca="1">SUMIFS(INDIRECT("'"&amp;$G$33&amp;"'"&amp;"!$h:$h"),INDIRECT("'"&amp;$G$33&amp;"'"&amp;"!$a:$a"),$H36)</f>
        <v>34.04</v>
      </c>
      <c r="P36" s="83">
        <f ca="1">SUMIFS(INDIRECT("'"&amp;$G$33&amp;"'"&amp;"!$i:$i"),INDIRECT("'"&amp;$G$33&amp;"'"&amp;"!$a:$a"),$H36)</f>
        <v>2.93</v>
      </c>
      <c r="Q36" s="83">
        <f ca="1">SUMIFS(INDIRECT("'"&amp;$G$33&amp;"'"&amp;"!$j:$j"),INDIRECT("'"&amp;$G$33&amp;"'"&amp;"!$a:$a"),$H36)</f>
        <v>9.9700000000000006</v>
      </c>
      <c r="R36" s="83">
        <f ca="1">SUMIFS(INDIRECT("'"&amp;$G$33&amp;"'"&amp;"!$k:$k"),INDIRECT("'"&amp;$G$33&amp;"'"&amp;"!$a:$a"),$H36)</f>
        <v>88.73</v>
      </c>
      <c r="S36" s="83">
        <f ca="1">SUMIFS(INDIRECT("'"&amp;$G$33&amp;"'"&amp;"!$l:$l"),INDIRECT("'"&amp;$G$33&amp;"'"&amp;"!$a:$a"),$H36)</f>
        <v>0</v>
      </c>
      <c r="T36" s="83">
        <f ca="1">SUMIFS(INDIRECT("'"&amp;$G$33&amp;"'"&amp;"!$m:$m"),INDIRECT("'"&amp;$G$33&amp;"'"&amp;"!$a:$a"),$H36)</f>
        <v>121.88</v>
      </c>
      <c r="U36" s="83">
        <f t="shared" ref="U36:U39" ca="1" si="18">+SUM(I36:T36)</f>
        <v>404.90999999999997</v>
      </c>
    </row>
    <row r="37" spans="6:21">
      <c r="H37" s="85" t="s">
        <v>132</v>
      </c>
      <c r="I37" s="83">
        <f ca="1">SUMIFS(INDIRECT("'"&amp;$G$33&amp;"'"&amp;"!$b:$b"),INDIRECT("'"&amp;$G$33&amp;"'"&amp;"!$a:$a"),$H37)</f>
        <v>2557.33</v>
      </c>
      <c r="J37" s="83">
        <f ca="1">SUMIFS(INDIRECT("'"&amp;$G$33&amp;"'"&amp;"!$c:$c"),INDIRECT("'"&amp;$G$33&amp;"'"&amp;"!$a:$a"),$H37)</f>
        <v>288.14</v>
      </c>
      <c r="K37" s="83">
        <f ca="1">SUMIFS(INDIRECT("'"&amp;$G$33&amp;"'"&amp;"!$d:$d"),INDIRECT("'"&amp;$G$33&amp;"'"&amp;"!$a:$a"),$H37)</f>
        <v>0</v>
      </c>
      <c r="L37" s="83">
        <f ca="1">SUMIFS(INDIRECT("'"&amp;$G$33&amp;"'"&amp;"!$e:$e"),INDIRECT("'"&amp;$G$33&amp;"'"&amp;"!$a:$a"),$H37)</f>
        <v>0</v>
      </c>
      <c r="M37" s="83">
        <f ca="1">SUMIFS(INDIRECT("'"&amp;$G$33&amp;"'"&amp;"!$f:$f"),INDIRECT("'"&amp;$G$33&amp;"'"&amp;"!$a:$a"),$H37)</f>
        <v>20189.04</v>
      </c>
      <c r="N37" s="83">
        <f ca="1">SUMIFS(INDIRECT("'"&amp;$G$33&amp;"'"&amp;"!$g:$g"),INDIRECT("'"&amp;$G$33&amp;"'"&amp;"!$a:$a"),$H37)</f>
        <v>192.3</v>
      </c>
      <c r="O37" s="83">
        <f ca="1">SUMIFS(INDIRECT("'"&amp;$G$33&amp;"'"&amp;"!$h:$h"),INDIRECT("'"&amp;$G$33&amp;"'"&amp;"!$a:$a"),$H37)</f>
        <v>-192.3</v>
      </c>
      <c r="P37" s="83">
        <f ca="1">SUMIFS(INDIRECT("'"&amp;$G$33&amp;"'"&amp;"!$i:$i"),INDIRECT("'"&amp;$G$33&amp;"'"&amp;"!$a:$a"),$H37)</f>
        <v>0</v>
      </c>
      <c r="Q37" s="83">
        <f ca="1">SUMIFS(INDIRECT("'"&amp;$G$33&amp;"'"&amp;"!$j:$j"),INDIRECT("'"&amp;$G$33&amp;"'"&amp;"!$a:$a"),$H37)</f>
        <v>478.96</v>
      </c>
      <c r="R37" s="83">
        <f ca="1">SUMIFS(INDIRECT("'"&amp;$G$33&amp;"'"&amp;"!$k:$k"),INDIRECT("'"&amp;$G$33&amp;"'"&amp;"!$a:$a"),$H37)</f>
        <v>42.95</v>
      </c>
      <c r="S37" s="83">
        <f ca="1">SUMIFS(INDIRECT("'"&amp;$G$33&amp;"'"&amp;"!$l:$l"),INDIRECT("'"&amp;$G$33&amp;"'"&amp;"!$a:$a"),$H37)</f>
        <v>1089.48</v>
      </c>
      <c r="T37" s="83">
        <f ca="1">SUMIFS(INDIRECT("'"&amp;$G$33&amp;"'"&amp;"!$m:$m"),INDIRECT("'"&amp;$G$33&amp;"'"&amp;"!$a:$a"),$H37)</f>
        <v>100</v>
      </c>
      <c r="U37" s="83">
        <f t="shared" ca="1" si="18"/>
        <v>24745.9</v>
      </c>
    </row>
    <row r="38" spans="6:21">
      <c r="H38" s="85" t="s">
        <v>327</v>
      </c>
      <c r="I38" s="83">
        <f ca="1">SUMIFS(INDIRECT("'"&amp;$G$33&amp;"'"&amp;"!$b:$b"),INDIRECT("'"&amp;$G$33&amp;"'"&amp;"!$a:$a"),$H38)</f>
        <v>0</v>
      </c>
      <c r="J38" s="83">
        <f ca="1">SUMIFS(INDIRECT("'"&amp;$G$33&amp;"'"&amp;"!$c:$c"),INDIRECT("'"&amp;$G$33&amp;"'"&amp;"!$a:$a"),$H38)</f>
        <v>0</v>
      </c>
      <c r="K38" s="83">
        <f ca="1">SUMIFS(INDIRECT("'"&amp;$G$33&amp;"'"&amp;"!$d:$d"),INDIRECT("'"&amp;$G$33&amp;"'"&amp;"!$a:$a"),$H38)</f>
        <v>0</v>
      </c>
      <c r="L38" s="83">
        <f ca="1">SUMIFS(INDIRECT("'"&amp;$G$33&amp;"'"&amp;"!$e:$e"),INDIRECT("'"&amp;$G$33&amp;"'"&amp;"!$a:$a"),$H38)</f>
        <v>0</v>
      </c>
      <c r="M38" s="83">
        <f ca="1">SUMIFS(INDIRECT("'"&amp;$G$33&amp;"'"&amp;"!$f:$f"),INDIRECT("'"&amp;$G$33&amp;"'"&amp;"!$a:$a"),$H38)</f>
        <v>0</v>
      </c>
      <c r="N38" s="83">
        <f ca="1">SUMIFS(INDIRECT("'"&amp;$G$33&amp;"'"&amp;"!$g:$g"),INDIRECT("'"&amp;$G$33&amp;"'"&amp;"!$a:$a"),$H38)</f>
        <v>0</v>
      </c>
      <c r="O38" s="83">
        <f ca="1">SUMIFS(INDIRECT("'"&amp;$G$33&amp;"'"&amp;"!$h:$h"),INDIRECT("'"&amp;$G$33&amp;"'"&amp;"!$a:$a"),$H38)</f>
        <v>0</v>
      </c>
      <c r="P38" s="83">
        <f ca="1">SUMIFS(INDIRECT("'"&amp;$G$33&amp;"'"&amp;"!$i:$i"),INDIRECT("'"&amp;$G$33&amp;"'"&amp;"!$a:$a"),$H38)</f>
        <v>0</v>
      </c>
      <c r="Q38" s="83">
        <f ca="1">SUMIFS(INDIRECT("'"&amp;$G$33&amp;"'"&amp;"!$j:$j"),INDIRECT("'"&amp;$G$33&amp;"'"&amp;"!$a:$a"),$H38)</f>
        <v>0</v>
      </c>
      <c r="R38" s="83">
        <f ca="1">SUMIFS(INDIRECT("'"&amp;$G$33&amp;"'"&amp;"!$k:$k"),INDIRECT("'"&amp;$G$33&amp;"'"&amp;"!$a:$a"),$H38)</f>
        <v>0</v>
      </c>
      <c r="S38" s="83">
        <f ca="1">SUMIFS(INDIRECT("'"&amp;$G$33&amp;"'"&amp;"!$l:$l"),INDIRECT("'"&amp;$G$33&amp;"'"&amp;"!$a:$a"),$H38)</f>
        <v>0</v>
      </c>
      <c r="T38" s="83">
        <f ca="1">SUMIFS(INDIRECT("'"&amp;$G$33&amp;"'"&amp;"!$m:$m"),INDIRECT("'"&amp;$G$33&amp;"'"&amp;"!$a:$a"),$H38)</f>
        <v>0</v>
      </c>
      <c r="U38" s="83">
        <f t="shared" ca="1" si="18"/>
        <v>0</v>
      </c>
    </row>
    <row r="39" spans="6:21">
      <c r="H39" s="85" t="s">
        <v>282</v>
      </c>
      <c r="I39" s="83">
        <f ca="1">SUMIFS(INDIRECT("'"&amp;$G$33&amp;"'"&amp;"!$b:$b"),INDIRECT("'"&amp;$G$33&amp;"'"&amp;"!$a:$a"),$H39)</f>
        <v>0</v>
      </c>
      <c r="J39" s="83">
        <f ca="1">SUMIFS(INDIRECT("'"&amp;$G$33&amp;"'"&amp;"!$c:$c"),INDIRECT("'"&amp;$G$33&amp;"'"&amp;"!$a:$a"),$H39)</f>
        <v>0</v>
      </c>
      <c r="K39" s="83">
        <f ca="1">SUMIFS(INDIRECT("'"&amp;$G$33&amp;"'"&amp;"!$d:$d"),INDIRECT("'"&amp;$G$33&amp;"'"&amp;"!$a:$a"),$H39)</f>
        <v>0</v>
      </c>
      <c r="L39" s="83">
        <f ca="1">SUMIFS(INDIRECT("'"&amp;$G$33&amp;"'"&amp;"!$e:$e"),INDIRECT("'"&amp;$G$33&amp;"'"&amp;"!$a:$a"),$H39)</f>
        <v>0</v>
      </c>
      <c r="M39" s="83">
        <f ca="1">SUMIFS(INDIRECT("'"&amp;$G$33&amp;"'"&amp;"!$f:$f"),INDIRECT("'"&amp;$G$33&amp;"'"&amp;"!$a:$a"),$H39)</f>
        <v>0</v>
      </c>
      <c r="N39" s="83">
        <f ca="1">SUMIFS(INDIRECT("'"&amp;$G$33&amp;"'"&amp;"!$g:$g"),INDIRECT("'"&amp;$G$33&amp;"'"&amp;"!$a:$a"),$H39)</f>
        <v>0</v>
      </c>
      <c r="O39" s="83">
        <f ca="1">SUMIFS(INDIRECT("'"&amp;$G$33&amp;"'"&amp;"!$h:$h"),INDIRECT("'"&amp;$G$33&amp;"'"&amp;"!$a:$a"),$H39)</f>
        <v>0</v>
      </c>
      <c r="P39" s="83">
        <f ca="1">SUMIFS(INDIRECT("'"&amp;$G$33&amp;"'"&amp;"!$i:$i"),INDIRECT("'"&amp;$G$33&amp;"'"&amp;"!$a:$a"),$H39)</f>
        <v>0</v>
      </c>
      <c r="Q39" s="83">
        <f ca="1">SUMIFS(INDIRECT("'"&amp;$G$33&amp;"'"&amp;"!$j:$j"),INDIRECT("'"&amp;$G$33&amp;"'"&amp;"!$a:$a"),$H39)</f>
        <v>0</v>
      </c>
      <c r="R39" s="83">
        <f ca="1">SUMIFS(INDIRECT("'"&amp;$G$33&amp;"'"&amp;"!$k:$k"),INDIRECT("'"&amp;$G$33&amp;"'"&amp;"!$a:$a"),$H39)</f>
        <v>0</v>
      </c>
      <c r="S39" s="83">
        <f ca="1">SUMIFS(INDIRECT("'"&amp;$G$33&amp;"'"&amp;"!$l:$l"),INDIRECT("'"&amp;$G$33&amp;"'"&amp;"!$a:$a"),$H39)</f>
        <v>0</v>
      </c>
      <c r="T39" s="83">
        <f ca="1">SUMIFS(INDIRECT("'"&amp;$G$33&amp;"'"&amp;"!$m:$m"),INDIRECT("'"&amp;$G$33&amp;"'"&amp;"!$a:$a"),$H39)</f>
        <v>0</v>
      </c>
      <c r="U39" s="83">
        <f t="shared" ca="1" si="18"/>
        <v>0</v>
      </c>
    </row>
    <row r="40" spans="6:21">
      <c r="I40" s="84">
        <f ca="1">+I35-SUM(I36:I39)</f>
        <v>677980.29</v>
      </c>
      <c r="J40" s="84">
        <f t="shared" ref="J40:T40" ca="1" si="19">+J35-SUM(J36:J39)</f>
        <v>806417.83999999822</v>
      </c>
      <c r="K40" s="84">
        <f t="shared" ca="1" si="19"/>
        <v>873874.11999999941</v>
      </c>
      <c r="L40" s="84">
        <f t="shared" ca="1" si="19"/>
        <v>743870.10999999975</v>
      </c>
      <c r="M40" s="84">
        <f t="shared" ca="1" si="19"/>
        <v>-371036.9599999995</v>
      </c>
      <c r="N40" s="84">
        <f t="shared" ca="1" si="19"/>
        <v>683219.75000000023</v>
      </c>
      <c r="O40" s="84">
        <f t="shared" ca="1" si="19"/>
        <v>620346.08000000019</v>
      </c>
      <c r="P40" s="84">
        <f t="shared" ca="1" si="19"/>
        <v>761976.60000000033</v>
      </c>
      <c r="Q40" s="84">
        <f t="shared" ca="1" si="19"/>
        <v>758817.71000000183</v>
      </c>
      <c r="R40" s="84">
        <f t="shared" ca="1" si="19"/>
        <v>756952.33000000042</v>
      </c>
      <c r="S40" s="84">
        <f t="shared" ca="1" si="19"/>
        <v>795159.95999999926</v>
      </c>
      <c r="T40" s="84">
        <f t="shared" ca="1" si="19"/>
        <v>867402.59999999974</v>
      </c>
      <c r="U40" s="84">
        <f t="shared" ref="U40" ca="1" si="20">+U35-SUM(U36:U39)</f>
        <v>7974980.4300000006</v>
      </c>
    </row>
    <row r="41" spans="6:21">
      <c r="I41" s="83"/>
      <c r="J41" s="83"/>
      <c r="K41" s="83"/>
      <c r="L41" s="83"/>
      <c r="M41" s="83"/>
      <c r="N41" s="83"/>
      <c r="O41" s="83"/>
      <c r="P41" s="83"/>
      <c r="Q41" s="83"/>
      <c r="R41" s="83"/>
      <c r="S41" s="83"/>
      <c r="T41" s="83"/>
    </row>
    <row r="42" spans="6:21">
      <c r="G42" s="96" t="s">
        <v>330</v>
      </c>
      <c r="H42" s="24" t="s">
        <v>332</v>
      </c>
      <c r="I42" s="83">
        <f ca="1">+Summary!G34</f>
        <v>677980</v>
      </c>
      <c r="J42" s="83">
        <f ca="1">+Summary!H34</f>
        <v>806419</v>
      </c>
      <c r="K42" s="83">
        <f ca="1">+Summary!I34</f>
        <v>873873</v>
      </c>
      <c r="L42" s="83">
        <f ca="1">+Summary!J34</f>
        <v>743870</v>
      </c>
      <c r="M42" s="83">
        <f ca="1">+Summary!K34</f>
        <v>847488</v>
      </c>
      <c r="N42" s="83">
        <f ca="1">+Summary!L34</f>
        <v>683220</v>
      </c>
      <c r="O42" s="83">
        <f ca="1">+Summary!M34</f>
        <v>620345</v>
      </c>
      <c r="P42" s="83">
        <f ca="1">+Summary!N34</f>
        <v>761977</v>
      </c>
      <c r="Q42" s="83">
        <f ca="1">+Summary!O34</f>
        <v>758817</v>
      </c>
      <c r="R42" s="83">
        <f ca="1">+Summary!P34</f>
        <v>756952</v>
      </c>
      <c r="S42" s="83">
        <f ca="1">+Summary!Q34</f>
        <v>795160</v>
      </c>
      <c r="T42" s="83">
        <f ca="1">+Summary!R34</f>
        <v>867402</v>
      </c>
      <c r="U42" s="84">
        <f ca="1">+SUM(I42:T42)</f>
        <v>9193503</v>
      </c>
    </row>
    <row r="43" spans="6:21">
      <c r="I43" s="83">
        <f t="shared" ref="I43:U43" ca="1" si="21">+I40-I42</f>
        <v>0.2900000000372529</v>
      </c>
      <c r="J43" s="83">
        <f t="shared" ca="1" si="21"/>
        <v>-1.1600000017788261</v>
      </c>
      <c r="K43" s="83">
        <f t="shared" ca="1" si="21"/>
        <v>1.1199999994132668</v>
      </c>
      <c r="L43" s="83">
        <f t="shared" ca="1" si="21"/>
        <v>0.10999999975319952</v>
      </c>
      <c r="M43" s="83">
        <f t="shared" ca="1" si="21"/>
        <v>-1218524.9599999995</v>
      </c>
      <c r="N43" s="83">
        <f t="shared" ca="1" si="21"/>
        <v>-0.24999999976716936</v>
      </c>
      <c r="O43" s="83">
        <f t="shared" ca="1" si="21"/>
        <v>1.0800000001909211</v>
      </c>
      <c r="P43" s="83">
        <f t="shared" ca="1" si="21"/>
        <v>-0.3999999996740371</v>
      </c>
      <c r="Q43" s="83">
        <f t="shared" ca="1" si="21"/>
        <v>0.71000000182539225</v>
      </c>
      <c r="R43" s="83">
        <f t="shared" ca="1" si="21"/>
        <v>0.33000000042375177</v>
      </c>
      <c r="S43" s="83">
        <f t="shared" ca="1" si="21"/>
        <v>-4.0000000735744834E-2</v>
      </c>
      <c r="T43" s="83">
        <f t="shared" ca="1" si="21"/>
        <v>0.59999999974388629</v>
      </c>
      <c r="U43" s="83">
        <f t="shared" ca="1" si="21"/>
        <v>-1218522.5699999994</v>
      </c>
    </row>
    <row r="46" spans="6:21">
      <c r="F46" s="24">
        <v>4</v>
      </c>
      <c r="G46" s="96" t="s">
        <v>271</v>
      </c>
    </row>
    <row r="47" spans="6:21">
      <c r="G47" s="88" t="s">
        <v>298</v>
      </c>
      <c r="I47" s="97" t="str">
        <f>+Summary!$W$9</f>
        <v>Aug 2021</v>
      </c>
      <c r="J47" s="97" t="str">
        <f>+Summary!$X$9</f>
        <v>Sep 2021</v>
      </c>
      <c r="K47" s="97" t="str">
        <f>+Summary!$Y$9</f>
        <v>Oct 2021</v>
      </c>
      <c r="L47" s="97" t="str">
        <f>+Summary!$Z$9</f>
        <v>Nov 2021</v>
      </c>
      <c r="M47" s="97" t="str">
        <f>+Summary!$AA$9</f>
        <v>Dec 2021</v>
      </c>
      <c r="N47" s="97" t="str">
        <f>+Summary!$AB$9</f>
        <v>Jan 2022</v>
      </c>
      <c r="O47" s="97" t="str">
        <f>+Summary!$AC$9</f>
        <v>Feb 2022</v>
      </c>
      <c r="P47" s="97" t="str">
        <f>+Summary!$AD$9</f>
        <v>Mar 2022</v>
      </c>
      <c r="Q47" s="97" t="str">
        <f>+Summary!$AE$9</f>
        <v>Apr 2022</v>
      </c>
      <c r="R47" s="97" t="str">
        <f>+Summary!$AF$9</f>
        <v>May 2022</v>
      </c>
      <c r="S47" s="97" t="str">
        <f>+Summary!$AG$9</f>
        <v>Jun 2022</v>
      </c>
      <c r="T47" s="97" t="str">
        <f>+Summary!$AH$9</f>
        <v>Jul 2022</v>
      </c>
      <c r="U47" s="84" t="s">
        <v>335</v>
      </c>
    </row>
    <row r="48" spans="6:21">
      <c r="G48" s="96" t="s">
        <v>331</v>
      </c>
      <c r="H48" s="96" t="s">
        <v>329</v>
      </c>
    </row>
    <row r="49" spans="6:21">
      <c r="H49" s="24" t="s">
        <v>13</v>
      </c>
      <c r="I49" s="83">
        <f ca="1">SUMIFS(INDIRECT("'"&amp;$G$47&amp;"'"&amp;"!$b:$b"),INDIRECT("'"&amp;$G$47&amp;"'"&amp;"!$a:$a"),$H49)/2</f>
        <v>764761.48999999929</v>
      </c>
      <c r="J49" s="83">
        <f ca="1">SUMIFS(INDIRECT("'"&amp;$G$47&amp;"'"&amp;"!$c:$c"),INDIRECT("'"&amp;$G$47&amp;"'"&amp;"!$a:$a"),$H49)/2</f>
        <v>718497.68000000028</v>
      </c>
      <c r="K49" s="83">
        <f ca="1">SUMIFS(INDIRECT("'"&amp;$G$47&amp;"'"&amp;"!$d:$d"),INDIRECT("'"&amp;$G$47&amp;"'"&amp;"!$a:$a"),$H49)/2</f>
        <v>737681.35000000056</v>
      </c>
      <c r="L49" s="83">
        <f ca="1">SUMIFS(INDIRECT("'"&amp;$G$47&amp;"'"&amp;"!$e:$e"),INDIRECT("'"&amp;$G$47&amp;"'"&amp;"!$a:$a"),$H49)/2</f>
        <v>772930.96000000008</v>
      </c>
      <c r="M49" s="83">
        <f ca="1">SUMIFS(INDIRECT("'"&amp;$G$47&amp;"'"&amp;"!$f:$f"),INDIRECT("'"&amp;$G$47&amp;"'"&amp;"!$a:$a"),$H49)/2</f>
        <v>-163180.40000000014</v>
      </c>
      <c r="N49" s="83">
        <f ca="1">SUMIFS(INDIRECT("'"&amp;$G$47&amp;"'"&amp;"!$g:$g"),INDIRECT("'"&amp;$G$47&amp;"'"&amp;"!$a:$a"),$H49)/2</f>
        <v>822364.63</v>
      </c>
      <c r="O49" s="83">
        <f ca="1">SUMIFS(INDIRECT("'"&amp;$G$47&amp;"'"&amp;"!$h:$h"),INDIRECT("'"&amp;$G$47&amp;"'"&amp;"!$a:$a"),$H49)/2</f>
        <v>796914.62000000011</v>
      </c>
      <c r="P49" s="83">
        <f ca="1">SUMIFS(INDIRECT("'"&amp;$G$47&amp;"'"&amp;"!$i:$i"),INDIRECT("'"&amp;$G$47&amp;"'"&amp;"!$a:$a"),$H49)/2</f>
        <v>737624.41000000073</v>
      </c>
      <c r="Q49" s="83">
        <f ca="1">SUMIFS(INDIRECT("'"&amp;$G$47&amp;"'"&amp;"!$j:$j"),INDIRECT("'"&amp;$G$47&amp;"'"&amp;"!$a:$a"),$H49)/2</f>
        <v>696733.19999999949</v>
      </c>
      <c r="R49" s="83">
        <f ca="1">SUMIFS(INDIRECT("'"&amp;$G$47&amp;"'"&amp;"!$k:$k"),INDIRECT("'"&amp;$G$47&amp;"'"&amp;"!$a:$a"),$H49)/2</f>
        <v>697696.6399999999</v>
      </c>
      <c r="S49" s="83">
        <f ca="1">SUMIFS(INDIRECT("'"&amp;$G$47&amp;"'"&amp;"!$l:$l"),INDIRECT("'"&amp;$G$47&amp;"'"&amp;"!$a:$a"),$H49)/2</f>
        <v>877060.66999999841</v>
      </c>
      <c r="T49" s="83">
        <f ca="1">SUMIFS(INDIRECT("'"&amp;$G$47&amp;"'"&amp;"!$m:$m"),INDIRECT("'"&amp;$G$47&amp;"'"&amp;"!$a:$a"),$H49)/2</f>
        <v>922315.63999999966</v>
      </c>
      <c r="U49" s="83">
        <f ca="1">+SUM(I49:T49)</f>
        <v>8381400.8899999978</v>
      </c>
    </row>
    <row r="50" spans="6:21">
      <c r="H50" s="24" t="s">
        <v>134</v>
      </c>
      <c r="I50" s="83">
        <f ca="1">SUMIFS(INDIRECT("'"&amp;$G$47&amp;"'"&amp;"!$b:$b"),INDIRECT("'"&amp;$G$47&amp;"'"&amp;"!$a:$a"),$H50)</f>
        <v>0.03</v>
      </c>
      <c r="J50" s="83">
        <f ca="1">SUMIFS(INDIRECT("'"&amp;$G$47&amp;"'"&amp;"!$c:$c"),INDIRECT("'"&amp;$G$47&amp;"'"&amp;"!$a:$a"),$H50)</f>
        <v>6.33</v>
      </c>
      <c r="K50" s="83">
        <f ca="1">SUMIFS(INDIRECT("'"&amp;$G$47&amp;"'"&amp;"!$d:$d"),INDIRECT("'"&amp;$G$47&amp;"'"&amp;"!$a:$a"),$H50)</f>
        <v>2.09</v>
      </c>
      <c r="L50" s="83">
        <f ca="1">SUMIFS(INDIRECT("'"&amp;$G$47&amp;"'"&amp;"!$e:$e"),INDIRECT("'"&amp;$G$47&amp;"'"&amp;"!$a:$a"),$H50)</f>
        <v>3.9</v>
      </c>
      <c r="M50" s="83">
        <f ca="1">SUMIFS(INDIRECT("'"&amp;$G$47&amp;"'"&amp;"!$f:$f"),INDIRECT("'"&amp;$G$47&amp;"'"&amp;"!$a:$a"),$H50)</f>
        <v>0.13</v>
      </c>
      <c r="N50" s="83">
        <f ca="1">SUMIFS(INDIRECT("'"&amp;$G$47&amp;"'"&amp;"!$g:$g"),INDIRECT("'"&amp;$G$47&amp;"'"&amp;"!$a:$a"),$H50)</f>
        <v>2.08</v>
      </c>
      <c r="O50" s="83">
        <f ca="1">SUMIFS(INDIRECT("'"&amp;$G$47&amp;"'"&amp;"!$h:$h"),INDIRECT("'"&amp;$G$47&amp;"'"&amp;"!$a:$a"),$H50)</f>
        <v>8.16</v>
      </c>
      <c r="P50" s="83">
        <f ca="1">SUMIFS(INDIRECT("'"&amp;$G$47&amp;"'"&amp;"!$i:$i"),INDIRECT("'"&amp;$G$47&amp;"'"&amp;"!$a:$a"),$H50)</f>
        <v>0.97</v>
      </c>
      <c r="Q50" s="83">
        <f ca="1">SUMIFS(INDIRECT("'"&amp;$G$47&amp;"'"&amp;"!$j:$j"),INDIRECT("'"&amp;$G$47&amp;"'"&amp;"!$a:$a"),$H50)</f>
        <v>24.96</v>
      </c>
      <c r="R50" s="83">
        <f ca="1">SUMIFS(INDIRECT("'"&amp;$G$47&amp;"'"&amp;"!$k:$k"),INDIRECT("'"&amp;$G$47&amp;"'"&amp;"!$a:$a"),$H50)</f>
        <v>0</v>
      </c>
      <c r="S50" s="83">
        <f ca="1">SUMIFS(INDIRECT("'"&amp;$G$47&amp;"'"&amp;"!$l:$l"),INDIRECT("'"&amp;$G$47&amp;"'"&amp;"!$a:$a"),$H50)</f>
        <v>86.61</v>
      </c>
      <c r="T50" s="83">
        <f ca="1">SUMIFS(INDIRECT("'"&amp;$G$47&amp;"'"&amp;"!$m:$m"),INDIRECT("'"&amp;$G$47&amp;"'"&amp;"!$a:$a"),$H50)</f>
        <v>0</v>
      </c>
      <c r="U50" s="83">
        <f t="shared" ref="U50:U53" ca="1" si="22">+SUM(I50:T50)</f>
        <v>135.26</v>
      </c>
    </row>
    <row r="51" spans="6:21">
      <c r="H51" s="85" t="s">
        <v>132</v>
      </c>
      <c r="I51" s="83">
        <f ca="1">SUMIFS(INDIRECT("'"&amp;$G$47&amp;"'"&amp;"!$b:$b"),INDIRECT("'"&amp;$G$47&amp;"'"&amp;"!$a:$a"),$H51)</f>
        <v>1696</v>
      </c>
      <c r="J51" s="83">
        <f ca="1">SUMIFS(INDIRECT("'"&amp;$G$47&amp;"'"&amp;"!$c:$c"),INDIRECT("'"&amp;$G$47&amp;"'"&amp;"!$a:$a"),$H51)</f>
        <v>2030</v>
      </c>
      <c r="K51" s="83">
        <f ca="1">SUMIFS(INDIRECT("'"&amp;$G$47&amp;"'"&amp;"!$d:$d"),INDIRECT("'"&amp;$G$47&amp;"'"&amp;"!$a:$a"),$H51)</f>
        <v>362.1</v>
      </c>
      <c r="L51" s="83">
        <f ca="1">SUMIFS(INDIRECT("'"&amp;$G$47&amp;"'"&amp;"!$e:$e"),INDIRECT("'"&amp;$G$47&amp;"'"&amp;"!$a:$a"),$H51)</f>
        <v>4.21</v>
      </c>
      <c r="M51" s="83">
        <f ca="1">SUMIFS(INDIRECT("'"&amp;$G$47&amp;"'"&amp;"!$f:$f"),INDIRECT("'"&amp;$G$47&amp;"'"&amp;"!$a:$a"),$H51)</f>
        <v>-33189.75</v>
      </c>
      <c r="N51" s="83">
        <f ca="1">SUMIFS(INDIRECT("'"&amp;$G$47&amp;"'"&amp;"!$g:$g"),INDIRECT("'"&amp;$G$47&amp;"'"&amp;"!$a:$a"),$H51)</f>
        <v>3140</v>
      </c>
      <c r="O51" s="83">
        <f ca="1">SUMIFS(INDIRECT("'"&amp;$G$47&amp;"'"&amp;"!$h:$h"),INDIRECT("'"&amp;$G$47&amp;"'"&amp;"!$a:$a"),$H51)</f>
        <v>1.03</v>
      </c>
      <c r="P51" s="83">
        <f ca="1">SUMIFS(INDIRECT("'"&amp;$G$47&amp;"'"&amp;"!$i:$i"),INDIRECT("'"&amp;$G$47&amp;"'"&amp;"!$a:$a"),$H51)</f>
        <v>0</v>
      </c>
      <c r="Q51" s="83">
        <f ca="1">SUMIFS(INDIRECT("'"&amp;$G$47&amp;"'"&amp;"!$j:$j"),INDIRECT("'"&amp;$G$47&amp;"'"&amp;"!$a:$a"),$H51)</f>
        <v>963.2</v>
      </c>
      <c r="R51" s="83">
        <f ca="1">SUMIFS(INDIRECT("'"&amp;$G$47&amp;"'"&amp;"!$k:$k"),INDIRECT("'"&amp;$G$47&amp;"'"&amp;"!$a:$a"),$H51)</f>
        <v>3106</v>
      </c>
      <c r="S51" s="83">
        <f ca="1">SUMIFS(INDIRECT("'"&amp;$G$47&amp;"'"&amp;"!$l:$l"),INDIRECT("'"&amp;$G$47&amp;"'"&amp;"!$a:$a"),$H51)</f>
        <v>4184.71</v>
      </c>
      <c r="T51" s="83">
        <f ca="1">SUMIFS(INDIRECT("'"&amp;$G$47&amp;"'"&amp;"!$m:$m"),INDIRECT("'"&amp;$G$47&amp;"'"&amp;"!$a:$a"),$H51)</f>
        <v>0</v>
      </c>
      <c r="U51" s="83">
        <f t="shared" ca="1" si="22"/>
        <v>-17702.5</v>
      </c>
    </row>
    <row r="52" spans="6:21">
      <c r="H52" s="85" t="s">
        <v>327</v>
      </c>
      <c r="I52" s="83">
        <f ca="1">SUMIFS(INDIRECT("'"&amp;$G$47&amp;"'"&amp;"!$b:$b"),INDIRECT("'"&amp;$G$47&amp;"'"&amp;"!$a:$a"),$H52)</f>
        <v>0</v>
      </c>
      <c r="J52" s="83">
        <f ca="1">SUMIFS(INDIRECT("'"&amp;$G$47&amp;"'"&amp;"!$c:$c"),INDIRECT("'"&amp;$G$47&amp;"'"&amp;"!$a:$a"),$H52)</f>
        <v>0</v>
      </c>
      <c r="K52" s="83">
        <f ca="1">SUMIFS(INDIRECT("'"&amp;$G$47&amp;"'"&amp;"!$d:$d"),INDIRECT("'"&amp;$G$47&amp;"'"&amp;"!$a:$a"),$H52)</f>
        <v>0</v>
      </c>
      <c r="L52" s="83">
        <f ca="1">SUMIFS(INDIRECT("'"&amp;$G$47&amp;"'"&amp;"!$e:$e"),INDIRECT("'"&amp;$G$47&amp;"'"&amp;"!$a:$a"),$H52)</f>
        <v>0</v>
      </c>
      <c r="M52" s="83">
        <f ca="1">SUMIFS(INDIRECT("'"&amp;$G$47&amp;"'"&amp;"!$f:$f"),INDIRECT("'"&amp;$G$47&amp;"'"&amp;"!$a:$a"),$H52)</f>
        <v>0</v>
      </c>
      <c r="N52" s="83">
        <f ca="1">SUMIFS(INDIRECT("'"&amp;$G$47&amp;"'"&amp;"!$g:$g"),INDIRECT("'"&amp;$G$47&amp;"'"&amp;"!$a:$a"),$H52)</f>
        <v>0</v>
      </c>
      <c r="O52" s="83">
        <f ca="1">SUMIFS(INDIRECT("'"&amp;$G$47&amp;"'"&amp;"!$h:$h"),INDIRECT("'"&amp;$G$47&amp;"'"&amp;"!$a:$a"),$H52)</f>
        <v>0</v>
      </c>
      <c r="P52" s="83">
        <f ca="1">SUMIFS(INDIRECT("'"&amp;$G$47&amp;"'"&amp;"!$i:$i"),INDIRECT("'"&amp;$G$47&amp;"'"&amp;"!$a:$a"),$H52)</f>
        <v>0</v>
      </c>
      <c r="Q52" s="83">
        <f ca="1">SUMIFS(INDIRECT("'"&amp;$G$47&amp;"'"&amp;"!$j:$j"),INDIRECT("'"&amp;$G$47&amp;"'"&amp;"!$a:$a"),$H52)</f>
        <v>0</v>
      </c>
      <c r="R52" s="83">
        <f ca="1">SUMIFS(INDIRECT("'"&amp;$G$47&amp;"'"&amp;"!$k:$k"),INDIRECT("'"&amp;$G$47&amp;"'"&amp;"!$a:$a"),$H52)</f>
        <v>0</v>
      </c>
      <c r="S52" s="83">
        <f ca="1">SUMIFS(INDIRECT("'"&amp;$G$47&amp;"'"&amp;"!$l:$l"),INDIRECT("'"&amp;$G$47&amp;"'"&amp;"!$a:$a"),$H52)</f>
        <v>0</v>
      </c>
      <c r="T52" s="83">
        <f ca="1">SUMIFS(INDIRECT("'"&amp;$G$47&amp;"'"&amp;"!$m:$m"),INDIRECT("'"&amp;$G$47&amp;"'"&amp;"!$a:$a"),$H52)</f>
        <v>0</v>
      </c>
      <c r="U52" s="83">
        <f t="shared" ca="1" si="22"/>
        <v>0</v>
      </c>
    </row>
    <row r="53" spans="6:21">
      <c r="H53" s="85" t="s">
        <v>282</v>
      </c>
      <c r="I53" s="83">
        <f ca="1">SUMIFS(INDIRECT("'"&amp;$G$47&amp;"'"&amp;"!$b:$b"),INDIRECT("'"&amp;$G$47&amp;"'"&amp;"!$a:$a"),$H53)</f>
        <v>0</v>
      </c>
      <c r="J53" s="83">
        <f ca="1">SUMIFS(INDIRECT("'"&amp;$G$47&amp;"'"&amp;"!$c:$c"),INDIRECT("'"&amp;$G$47&amp;"'"&amp;"!$a:$a"),$H53)</f>
        <v>0</v>
      </c>
      <c r="K53" s="83">
        <f ca="1">SUMIFS(INDIRECT("'"&amp;$G$47&amp;"'"&amp;"!$d:$d"),INDIRECT("'"&amp;$G$47&amp;"'"&amp;"!$a:$a"),$H53)</f>
        <v>0</v>
      </c>
      <c r="L53" s="83">
        <f ca="1">SUMIFS(INDIRECT("'"&amp;$G$47&amp;"'"&amp;"!$e:$e"),INDIRECT("'"&amp;$G$47&amp;"'"&amp;"!$a:$a"),$H53)</f>
        <v>0</v>
      </c>
      <c r="M53" s="83">
        <f ca="1">SUMIFS(INDIRECT("'"&amp;$G$47&amp;"'"&amp;"!$f:$f"),INDIRECT("'"&amp;$G$47&amp;"'"&amp;"!$a:$a"),$H53)</f>
        <v>0</v>
      </c>
      <c r="N53" s="83">
        <f ca="1">SUMIFS(INDIRECT("'"&amp;$G$47&amp;"'"&amp;"!$g:$g"),INDIRECT("'"&amp;$G$47&amp;"'"&amp;"!$a:$a"),$H53)</f>
        <v>0</v>
      </c>
      <c r="O53" s="83">
        <f ca="1">SUMIFS(INDIRECT("'"&amp;$G$47&amp;"'"&amp;"!$h:$h"),INDIRECT("'"&amp;$G$47&amp;"'"&amp;"!$a:$a"),$H53)</f>
        <v>0</v>
      </c>
      <c r="P53" s="83">
        <f ca="1">SUMIFS(INDIRECT("'"&amp;$G$47&amp;"'"&amp;"!$i:$i"),INDIRECT("'"&amp;$G$47&amp;"'"&amp;"!$a:$a"),$H53)</f>
        <v>0</v>
      </c>
      <c r="Q53" s="83">
        <f ca="1">SUMIFS(INDIRECT("'"&amp;$G$47&amp;"'"&amp;"!$j:$j"),INDIRECT("'"&amp;$G$47&amp;"'"&amp;"!$a:$a"),$H53)</f>
        <v>0</v>
      </c>
      <c r="R53" s="83">
        <f ca="1">SUMIFS(INDIRECT("'"&amp;$G$47&amp;"'"&amp;"!$k:$k"),INDIRECT("'"&amp;$G$47&amp;"'"&amp;"!$a:$a"),$H53)</f>
        <v>0</v>
      </c>
      <c r="S53" s="83">
        <f ca="1">SUMIFS(INDIRECT("'"&amp;$G$47&amp;"'"&amp;"!$l:$l"),INDIRECT("'"&amp;$G$47&amp;"'"&amp;"!$a:$a"),$H53)</f>
        <v>0</v>
      </c>
      <c r="T53" s="83">
        <f ca="1">SUMIFS(INDIRECT("'"&amp;$G$47&amp;"'"&amp;"!$m:$m"),INDIRECT("'"&amp;$G$47&amp;"'"&amp;"!$a:$a"),$H53)</f>
        <v>0</v>
      </c>
      <c r="U53" s="83">
        <f t="shared" ca="1" si="22"/>
        <v>0</v>
      </c>
    </row>
    <row r="54" spans="6:21">
      <c r="I54" s="84">
        <f ca="1">+I49-SUM(I50:I53)</f>
        <v>763065.45999999926</v>
      </c>
      <c r="J54" s="84">
        <f t="shared" ref="J54:U54" ca="1" si="23">+J49-SUM(J50:J53)</f>
        <v>716461.35000000033</v>
      </c>
      <c r="K54" s="84">
        <f t="shared" ca="1" si="23"/>
        <v>737317.16000000061</v>
      </c>
      <c r="L54" s="84">
        <f t="shared" ca="1" si="23"/>
        <v>772922.85000000009</v>
      </c>
      <c r="M54" s="84">
        <f t="shared" ca="1" si="23"/>
        <v>-129990.78000000014</v>
      </c>
      <c r="N54" s="84">
        <f t="shared" ca="1" si="23"/>
        <v>819222.55</v>
      </c>
      <c r="O54" s="84">
        <f t="shared" ca="1" si="23"/>
        <v>796905.43000000017</v>
      </c>
      <c r="P54" s="84">
        <f t="shared" ca="1" si="23"/>
        <v>737623.44000000076</v>
      </c>
      <c r="Q54" s="84">
        <f t="shared" ca="1" si="23"/>
        <v>695745.03999999946</v>
      </c>
      <c r="R54" s="84">
        <f t="shared" ca="1" si="23"/>
        <v>694590.6399999999</v>
      </c>
      <c r="S54" s="84">
        <f t="shared" ca="1" si="23"/>
        <v>872789.34999999846</v>
      </c>
      <c r="T54" s="84">
        <f t="shared" ca="1" si="23"/>
        <v>922315.63999999966</v>
      </c>
      <c r="U54" s="84">
        <f t="shared" ca="1" si="23"/>
        <v>8398968.1299999971</v>
      </c>
    </row>
    <row r="55" spans="6:21">
      <c r="I55" s="83"/>
      <c r="J55" s="83"/>
      <c r="K55" s="83"/>
      <c r="L55" s="83"/>
      <c r="M55" s="83"/>
      <c r="N55" s="83"/>
      <c r="O55" s="83"/>
      <c r="P55" s="83"/>
      <c r="Q55" s="83"/>
      <c r="R55" s="83"/>
      <c r="S55" s="83"/>
      <c r="T55" s="83"/>
    </row>
    <row r="56" spans="6:21">
      <c r="G56" s="96" t="s">
        <v>330</v>
      </c>
      <c r="H56" s="24" t="s">
        <v>332</v>
      </c>
      <c r="I56" s="83">
        <f ca="1">+Summary!G45</f>
        <v>763066</v>
      </c>
      <c r="J56" s="83">
        <f ca="1">+Summary!H45</f>
        <v>716461</v>
      </c>
      <c r="K56" s="83">
        <f ca="1">+Summary!I45</f>
        <v>737317</v>
      </c>
      <c r="L56" s="83">
        <f ca="1">+Summary!J45</f>
        <v>772922</v>
      </c>
      <c r="M56" s="83">
        <f ca="1">+Summary!K45</f>
        <v>654919</v>
      </c>
      <c r="N56" s="83">
        <f ca="1">+Summary!L45</f>
        <v>819223</v>
      </c>
      <c r="O56" s="83">
        <f ca="1">+Summary!M45</f>
        <v>796905</v>
      </c>
      <c r="P56" s="83">
        <f ca="1">+Summary!N45</f>
        <v>737623</v>
      </c>
      <c r="Q56" s="83">
        <f ca="1">+Summary!O45</f>
        <v>695745</v>
      </c>
      <c r="R56" s="83">
        <f ca="1">+Summary!P45</f>
        <v>694591</v>
      </c>
      <c r="S56" s="83">
        <f ca="1">+Summary!Q45</f>
        <v>872789</v>
      </c>
      <c r="T56" s="83">
        <f ca="1">+Summary!R45</f>
        <v>922317</v>
      </c>
      <c r="U56" s="83">
        <f ca="1">+Summary!S45</f>
        <v>9183878</v>
      </c>
    </row>
    <row r="57" spans="6:21">
      <c r="I57" s="83">
        <f t="shared" ref="I57:U57" ca="1" si="24">+I54-I56</f>
        <v>-0.54000000073574483</v>
      </c>
      <c r="J57" s="83">
        <f t="shared" ca="1" si="24"/>
        <v>0.3500000003259629</v>
      </c>
      <c r="K57" s="83">
        <f t="shared" ca="1" si="24"/>
        <v>0.1600000006146729</v>
      </c>
      <c r="L57" s="83">
        <f t="shared" ca="1" si="24"/>
        <v>0.85000000009313226</v>
      </c>
      <c r="M57" s="83">
        <f t="shared" ca="1" si="24"/>
        <v>-784909.78000000014</v>
      </c>
      <c r="N57" s="83">
        <f t="shared" ca="1" si="24"/>
        <v>-0.44999999995343387</v>
      </c>
      <c r="O57" s="83">
        <f t="shared" ca="1" si="24"/>
        <v>0.43000000016763806</v>
      </c>
      <c r="P57" s="83">
        <f t="shared" ca="1" si="24"/>
        <v>0.4400000007590279</v>
      </c>
      <c r="Q57" s="83">
        <f t="shared" ca="1" si="24"/>
        <v>3.9999999455176294E-2</v>
      </c>
      <c r="R57" s="83">
        <f t="shared" ca="1" si="24"/>
        <v>-0.36000000010244548</v>
      </c>
      <c r="S57" s="83">
        <f t="shared" ca="1" si="24"/>
        <v>0.34999999846331775</v>
      </c>
      <c r="T57" s="83">
        <f t="shared" ca="1" si="24"/>
        <v>-1.3600000003352761</v>
      </c>
      <c r="U57" s="83">
        <f t="shared" ca="1" si="24"/>
        <v>-784909.87000000291</v>
      </c>
    </row>
    <row r="60" spans="6:21">
      <c r="F60" s="24">
        <v>5</v>
      </c>
      <c r="G60" s="96" t="s">
        <v>272</v>
      </c>
    </row>
    <row r="61" spans="6:21">
      <c r="G61" s="88" t="s">
        <v>299</v>
      </c>
      <c r="I61" s="97" t="str">
        <f>+Summary!$W$9</f>
        <v>Aug 2021</v>
      </c>
      <c r="J61" s="97" t="str">
        <f>+Summary!$X$9</f>
        <v>Sep 2021</v>
      </c>
      <c r="K61" s="97" t="str">
        <f>+Summary!$Y$9</f>
        <v>Oct 2021</v>
      </c>
      <c r="L61" s="97" t="str">
        <f>+Summary!$Z$9</f>
        <v>Nov 2021</v>
      </c>
      <c r="M61" s="97" t="str">
        <f>+Summary!$AA$9</f>
        <v>Dec 2021</v>
      </c>
      <c r="N61" s="97" t="str">
        <f>+Summary!$AB$9</f>
        <v>Jan 2022</v>
      </c>
      <c r="O61" s="97" t="str">
        <f>+Summary!$AC$9</f>
        <v>Feb 2022</v>
      </c>
      <c r="P61" s="97" t="str">
        <f>+Summary!$AD$9</f>
        <v>Mar 2022</v>
      </c>
      <c r="Q61" s="97" t="str">
        <f>+Summary!$AE$9</f>
        <v>Apr 2022</v>
      </c>
      <c r="R61" s="97" t="str">
        <f>+Summary!$AF$9</f>
        <v>May 2022</v>
      </c>
      <c r="S61" s="97" t="str">
        <f>+Summary!$AG$9</f>
        <v>Jun 2022</v>
      </c>
      <c r="T61" s="97" t="str">
        <f>+Summary!$AH$9</f>
        <v>Jul 2022</v>
      </c>
      <c r="U61" s="84" t="s">
        <v>335</v>
      </c>
    </row>
    <row r="62" spans="6:21">
      <c r="G62" s="96" t="s">
        <v>331</v>
      </c>
      <c r="H62" s="96" t="s">
        <v>329</v>
      </c>
    </row>
    <row r="63" spans="6:21">
      <c r="H63" s="24" t="s">
        <v>13</v>
      </c>
      <c r="I63" s="83">
        <f ca="1">SUMIFS(INDIRECT("'"&amp;$G$61&amp;"'"&amp;"!$b:$b"),INDIRECT("'"&amp;$G$61&amp;"'"&amp;"!$a:$a"),$H63)/2</f>
        <v>630441.57999999914</v>
      </c>
      <c r="J63" s="83">
        <f ca="1">SUMIFS(INDIRECT("'"&amp;$G$61&amp;"'"&amp;"!$c:$c"),INDIRECT("'"&amp;$G$61&amp;"'"&amp;"!$a:$a"),$H63)/2</f>
        <v>612652.58999999962</v>
      </c>
      <c r="K63" s="83">
        <f ca="1">SUMIFS(INDIRECT("'"&amp;$G$61&amp;"'"&amp;"!$d:$d"),INDIRECT("'"&amp;$G$61&amp;"'"&amp;"!$a:$a"),$H63)/2</f>
        <v>639256.53000000026</v>
      </c>
      <c r="L63" s="83">
        <f ca="1">SUMIFS(INDIRECT("'"&amp;$G$61&amp;"'"&amp;"!$e:$e"),INDIRECT("'"&amp;$G$61&amp;"'"&amp;"!$a:$a"),$H63)/2</f>
        <v>609583.25000000093</v>
      </c>
      <c r="M63" s="83">
        <f ca="1">SUMIFS(INDIRECT("'"&amp;$G$61&amp;"'"&amp;"!$f:$f"),INDIRECT("'"&amp;$G$61&amp;"'"&amp;"!$a:$a"),$H63)/2</f>
        <v>-223589.45000000065</v>
      </c>
      <c r="N63" s="83">
        <f ca="1">SUMIFS(INDIRECT("'"&amp;$G$61&amp;"'"&amp;"!$g:$g"),INDIRECT("'"&amp;$G$61&amp;"'"&amp;"!$a:$a"),$H63)/2</f>
        <v>689772.54</v>
      </c>
      <c r="O63" s="83">
        <f ca="1">SUMIFS(INDIRECT("'"&amp;$G$61&amp;"'"&amp;"!$h:$h"),INDIRECT("'"&amp;$G$61&amp;"'"&amp;"!$a:$a"),$H63)/2</f>
        <v>865435.07999999926</v>
      </c>
      <c r="P63" s="83">
        <f ca="1">SUMIFS(INDIRECT("'"&amp;$G$61&amp;"'"&amp;"!$i:$i"),INDIRECT("'"&amp;$G$61&amp;"'"&amp;"!$a:$a"),$H63)/2</f>
        <v>760998.14000000071</v>
      </c>
      <c r="Q63" s="83">
        <f ca="1">SUMIFS(INDIRECT("'"&amp;$G$61&amp;"'"&amp;"!$j:$j"),INDIRECT("'"&amp;$G$61&amp;"'"&amp;"!$a:$a"),$H63)/2</f>
        <v>813014.94000000029</v>
      </c>
      <c r="R63" s="83">
        <f ca="1">SUMIFS(INDIRECT("'"&amp;$G$61&amp;"'"&amp;"!$k:$k"),INDIRECT("'"&amp;$G$61&amp;"'"&amp;"!$a:$a"),$H63)/2</f>
        <v>756970.43999999925</v>
      </c>
      <c r="S63" s="83">
        <f ca="1">SUMIFS(INDIRECT("'"&amp;$G$61&amp;"'"&amp;"!$l:$l"),INDIRECT("'"&amp;$G$61&amp;"'"&amp;"!$a:$a"),$H63)/2</f>
        <v>663943.8000000004</v>
      </c>
      <c r="T63" s="83">
        <f ca="1">SUMIFS(INDIRECT("'"&amp;$G$61&amp;"'"&amp;"!$m:$m"),INDIRECT("'"&amp;$G$61&amp;"'"&amp;"!$a:$a"),$H63)/2</f>
        <v>698098.60999999905</v>
      </c>
      <c r="U63" s="83">
        <f ca="1">+SUM(I63:T63)</f>
        <v>7516578.0499999998</v>
      </c>
    </row>
    <row r="64" spans="6:21">
      <c r="H64" s="24" t="s">
        <v>134</v>
      </c>
      <c r="I64" s="83">
        <f ca="1">SUMIFS(INDIRECT("'"&amp;$G$61&amp;"'"&amp;"!$b:$b"),INDIRECT("'"&amp;$G$61&amp;"'"&amp;"!$a:$a"),$H64)</f>
        <v>85.8</v>
      </c>
      <c r="J64" s="83">
        <f ca="1">SUMIFS(INDIRECT("'"&amp;$G$61&amp;"'"&amp;"!$c:$c"),INDIRECT("'"&amp;$G$61&amp;"'"&amp;"!$a:$a"),$H64)</f>
        <v>3.61</v>
      </c>
      <c r="K64" s="83">
        <f ca="1">SUMIFS(INDIRECT("'"&amp;$G$61&amp;"'"&amp;"!$d:$d"),INDIRECT("'"&amp;$G$61&amp;"'"&amp;"!$a:$a"),$H64)</f>
        <v>20.11</v>
      </c>
      <c r="L64" s="83">
        <f ca="1">SUMIFS(INDIRECT("'"&amp;$G$61&amp;"'"&amp;"!$e:$e"),INDIRECT("'"&amp;$G$61&amp;"'"&amp;"!$a:$a"),$H64)</f>
        <v>-11.8</v>
      </c>
      <c r="M64" s="83">
        <f ca="1">SUMIFS(INDIRECT("'"&amp;$G$61&amp;"'"&amp;"!$f:$f"),INDIRECT("'"&amp;$G$61&amp;"'"&amp;"!$a:$a"),$H64)</f>
        <v>21.42</v>
      </c>
      <c r="N64" s="83">
        <f ca="1">SUMIFS(INDIRECT("'"&amp;$G$61&amp;"'"&amp;"!$g:$g"),INDIRECT("'"&amp;$G$61&amp;"'"&amp;"!$a:$a"),$H64)</f>
        <v>4.4800000000000004</v>
      </c>
      <c r="O64" s="83">
        <f ca="1">SUMIFS(INDIRECT("'"&amp;$G$61&amp;"'"&amp;"!$h:$h"),INDIRECT("'"&amp;$G$61&amp;"'"&amp;"!$a:$a"),$H64)</f>
        <v>785.21</v>
      </c>
      <c r="P64" s="83">
        <f ca="1">SUMIFS(INDIRECT("'"&amp;$G$61&amp;"'"&amp;"!$i:$i"),INDIRECT("'"&amp;$G$61&amp;"'"&amp;"!$a:$a"),$H64)</f>
        <v>460.55</v>
      </c>
      <c r="Q64" s="83">
        <f ca="1">SUMIFS(INDIRECT("'"&amp;$G$61&amp;"'"&amp;"!$j:$j"),INDIRECT("'"&amp;$G$61&amp;"'"&amp;"!$a:$a"),$H64)</f>
        <v>0</v>
      </c>
      <c r="R64" s="83">
        <f ca="1">SUMIFS(INDIRECT("'"&amp;$G$61&amp;"'"&amp;"!$k:$k"),INDIRECT("'"&amp;$G$61&amp;"'"&amp;"!$a:$a"),$H64)</f>
        <v>0.24</v>
      </c>
      <c r="S64" s="83">
        <f ca="1">SUMIFS(INDIRECT("'"&amp;$G$61&amp;"'"&amp;"!$l:$l"),INDIRECT("'"&amp;$G$61&amp;"'"&amp;"!$a:$a"),$H64)</f>
        <v>1095.51</v>
      </c>
      <c r="T64" s="83">
        <f ca="1">SUMIFS(INDIRECT("'"&amp;$G$61&amp;"'"&amp;"!$m:$m"),INDIRECT("'"&amp;$G$61&amp;"'"&amp;"!$a:$a"),$H64)</f>
        <v>230.39</v>
      </c>
      <c r="U64" s="83">
        <f t="shared" ref="U64:U67" ca="1" si="25">+SUM(I64:T64)</f>
        <v>2695.52</v>
      </c>
    </row>
    <row r="65" spans="6:21">
      <c r="H65" s="85" t="s">
        <v>132</v>
      </c>
      <c r="I65" s="83">
        <f ca="1">SUMIFS(INDIRECT("'"&amp;$G$61&amp;"'"&amp;"!$b:$b"),INDIRECT("'"&amp;$G$61&amp;"'"&amp;"!$a:$a"),$H65)</f>
        <v>2736.51</v>
      </c>
      <c r="J65" s="83">
        <f ca="1">SUMIFS(INDIRECT("'"&amp;$G$61&amp;"'"&amp;"!$c:$c"),INDIRECT("'"&amp;$G$61&amp;"'"&amp;"!$a:$a"),$H65)</f>
        <v>794.57</v>
      </c>
      <c r="K65" s="83">
        <f ca="1">SUMIFS(INDIRECT("'"&amp;$G$61&amp;"'"&amp;"!$d:$d"),INDIRECT("'"&amp;$G$61&amp;"'"&amp;"!$a:$a"),$H65)</f>
        <v>445.96</v>
      </c>
      <c r="L65" s="83">
        <f ca="1">SUMIFS(INDIRECT("'"&amp;$G$61&amp;"'"&amp;"!$e:$e"),INDIRECT("'"&amp;$G$61&amp;"'"&amp;"!$a:$a"),$H65)</f>
        <v>746.59</v>
      </c>
      <c r="M65" s="83">
        <f ca="1">SUMIFS(INDIRECT("'"&amp;$G$61&amp;"'"&amp;"!$f:$f"),INDIRECT("'"&amp;$G$61&amp;"'"&amp;"!$a:$a"),$H65)</f>
        <v>76637.55</v>
      </c>
      <c r="N65" s="83">
        <f ca="1">SUMIFS(INDIRECT("'"&amp;$G$61&amp;"'"&amp;"!$g:$g"),INDIRECT("'"&amp;$G$61&amp;"'"&amp;"!$a:$a"),$H65)</f>
        <v>0</v>
      </c>
      <c r="O65" s="83">
        <f ca="1">SUMIFS(INDIRECT("'"&amp;$G$61&amp;"'"&amp;"!$h:$h"),INDIRECT("'"&amp;$G$61&amp;"'"&amp;"!$a:$a"),$H65)</f>
        <v>73.75</v>
      </c>
      <c r="P65" s="83">
        <f ca="1">SUMIFS(INDIRECT("'"&amp;$G$61&amp;"'"&amp;"!$i:$i"),INDIRECT("'"&amp;$G$61&amp;"'"&amp;"!$a:$a"),$H65)</f>
        <v>0.06</v>
      </c>
      <c r="Q65" s="83">
        <f ca="1">SUMIFS(INDIRECT("'"&amp;$G$61&amp;"'"&amp;"!$j:$j"),INDIRECT("'"&amp;$G$61&amp;"'"&amp;"!$a:$a"),$H65)</f>
        <v>100</v>
      </c>
      <c r="R65" s="83">
        <f ca="1">SUMIFS(INDIRECT("'"&amp;$G$61&amp;"'"&amp;"!$k:$k"),INDIRECT("'"&amp;$G$61&amp;"'"&amp;"!$a:$a"),$H65)</f>
        <v>0</v>
      </c>
      <c r="S65" s="83">
        <f ca="1">SUMIFS(INDIRECT("'"&amp;$G$61&amp;"'"&amp;"!$l:$l"),INDIRECT("'"&amp;$G$61&amp;"'"&amp;"!$a:$a"),$H65)</f>
        <v>11862.81</v>
      </c>
      <c r="T65" s="83">
        <f ca="1">SUMIFS(INDIRECT("'"&amp;$G$61&amp;"'"&amp;"!$m:$m"),INDIRECT("'"&amp;$G$61&amp;"'"&amp;"!$a:$a"),$H65)</f>
        <v>100</v>
      </c>
      <c r="U65" s="83">
        <f t="shared" ca="1" si="25"/>
        <v>93497.8</v>
      </c>
    </row>
    <row r="66" spans="6:21">
      <c r="H66" s="85" t="s">
        <v>327</v>
      </c>
      <c r="I66" s="83">
        <f ca="1">SUMIFS(INDIRECT("'"&amp;$G$61&amp;"'"&amp;"!$b:$b"),INDIRECT("'"&amp;$G$61&amp;"'"&amp;"!$a:$a"),$H66)</f>
        <v>0</v>
      </c>
      <c r="J66" s="83">
        <f ca="1">SUMIFS(INDIRECT("'"&amp;$G$61&amp;"'"&amp;"!$c:$c"),INDIRECT("'"&amp;$G$61&amp;"'"&amp;"!$a:$a"),$H66)</f>
        <v>0</v>
      </c>
      <c r="K66" s="83">
        <f ca="1">SUMIFS(INDIRECT("'"&amp;$G$61&amp;"'"&amp;"!$d:$d"),INDIRECT("'"&amp;$G$61&amp;"'"&amp;"!$a:$a"),$H66)</f>
        <v>0</v>
      </c>
      <c r="L66" s="83">
        <f ca="1">SUMIFS(INDIRECT("'"&amp;$G$61&amp;"'"&amp;"!$e:$e"),INDIRECT("'"&amp;$G$61&amp;"'"&amp;"!$a:$a"),$H66)</f>
        <v>0</v>
      </c>
      <c r="M66" s="83">
        <f ca="1">SUMIFS(INDIRECT("'"&amp;$G$61&amp;"'"&amp;"!$f:$f"),INDIRECT("'"&amp;$G$61&amp;"'"&amp;"!$a:$a"),$H66)</f>
        <v>0</v>
      </c>
      <c r="N66" s="83">
        <f ca="1">SUMIFS(INDIRECT("'"&amp;$G$61&amp;"'"&amp;"!$g:$g"),INDIRECT("'"&amp;$G$61&amp;"'"&amp;"!$a:$a"),$H66)</f>
        <v>0</v>
      </c>
      <c r="O66" s="83">
        <f ca="1">SUMIFS(INDIRECT("'"&amp;$G$61&amp;"'"&amp;"!$h:$h"),INDIRECT("'"&amp;$G$61&amp;"'"&amp;"!$a:$a"),$H66)</f>
        <v>0</v>
      </c>
      <c r="P66" s="83">
        <f ca="1">SUMIFS(INDIRECT("'"&amp;$G$61&amp;"'"&amp;"!$i:$i"),INDIRECT("'"&amp;$G$61&amp;"'"&amp;"!$a:$a"),$H66)</f>
        <v>0</v>
      </c>
      <c r="Q66" s="83">
        <f ca="1">SUMIFS(INDIRECT("'"&amp;$G$61&amp;"'"&amp;"!$j:$j"),INDIRECT("'"&amp;$G$61&amp;"'"&amp;"!$a:$a"),$H66)</f>
        <v>0</v>
      </c>
      <c r="R66" s="83">
        <f ca="1">SUMIFS(INDIRECT("'"&amp;$G$61&amp;"'"&amp;"!$k:$k"),INDIRECT("'"&amp;$G$61&amp;"'"&amp;"!$a:$a"),$H66)</f>
        <v>0</v>
      </c>
      <c r="S66" s="83">
        <f ca="1">SUMIFS(INDIRECT("'"&amp;$G$61&amp;"'"&amp;"!$l:$l"),INDIRECT("'"&amp;$G$61&amp;"'"&amp;"!$a:$a"),$H66)</f>
        <v>0</v>
      </c>
      <c r="T66" s="83">
        <f ca="1">SUMIFS(INDIRECT("'"&amp;$G$61&amp;"'"&amp;"!$m:$m"),INDIRECT("'"&amp;$G$61&amp;"'"&amp;"!$a:$a"),$H66)</f>
        <v>0</v>
      </c>
      <c r="U66" s="83">
        <f t="shared" ca="1" si="25"/>
        <v>0</v>
      </c>
    </row>
    <row r="67" spans="6:21">
      <c r="H67" s="85" t="s">
        <v>282</v>
      </c>
      <c r="I67" s="83">
        <f ca="1">SUMIFS(INDIRECT("'"&amp;$G$61&amp;"'"&amp;"!$b:$b"),INDIRECT("'"&amp;$G$61&amp;"'"&amp;"!$a:$a"),$H67)</f>
        <v>0</v>
      </c>
      <c r="J67" s="83">
        <f ca="1">SUMIFS(INDIRECT("'"&amp;$G$61&amp;"'"&amp;"!$c:$c"),INDIRECT("'"&amp;$G$61&amp;"'"&amp;"!$a:$a"),$H67)</f>
        <v>0</v>
      </c>
      <c r="K67" s="83">
        <f ca="1">SUMIFS(INDIRECT("'"&amp;$G$61&amp;"'"&amp;"!$d:$d"),INDIRECT("'"&amp;$G$61&amp;"'"&amp;"!$a:$a"),$H67)</f>
        <v>0</v>
      </c>
      <c r="L67" s="83">
        <f ca="1">SUMIFS(INDIRECT("'"&amp;$G$61&amp;"'"&amp;"!$e:$e"),INDIRECT("'"&amp;$G$61&amp;"'"&amp;"!$a:$a"),$H67)</f>
        <v>0</v>
      </c>
      <c r="M67" s="83">
        <f ca="1">SUMIFS(INDIRECT("'"&amp;$G$61&amp;"'"&amp;"!$f:$f"),INDIRECT("'"&amp;$G$61&amp;"'"&amp;"!$a:$a"),$H67)</f>
        <v>0</v>
      </c>
      <c r="N67" s="83">
        <f ca="1">SUMIFS(INDIRECT("'"&amp;$G$61&amp;"'"&amp;"!$g:$g"),INDIRECT("'"&amp;$G$61&amp;"'"&amp;"!$a:$a"),$H67)</f>
        <v>0</v>
      </c>
      <c r="O67" s="83">
        <f ca="1">SUMIFS(INDIRECT("'"&amp;$G$61&amp;"'"&amp;"!$h:$h"),INDIRECT("'"&amp;$G$61&amp;"'"&amp;"!$a:$a"),$H67)</f>
        <v>0</v>
      </c>
      <c r="P67" s="83">
        <f ca="1">SUMIFS(INDIRECT("'"&amp;$G$61&amp;"'"&amp;"!$i:$i"),INDIRECT("'"&amp;$G$61&amp;"'"&amp;"!$a:$a"),$H67)</f>
        <v>0</v>
      </c>
      <c r="Q67" s="83">
        <f ca="1">SUMIFS(INDIRECT("'"&amp;$G$61&amp;"'"&amp;"!$j:$j"),INDIRECT("'"&amp;$G$61&amp;"'"&amp;"!$a:$a"),$H67)</f>
        <v>0</v>
      </c>
      <c r="R67" s="83">
        <f ca="1">SUMIFS(INDIRECT("'"&amp;$G$61&amp;"'"&amp;"!$k:$k"),INDIRECT("'"&amp;$G$61&amp;"'"&amp;"!$a:$a"),$H67)</f>
        <v>0</v>
      </c>
      <c r="S67" s="83">
        <f ca="1">SUMIFS(INDIRECT("'"&amp;$G$61&amp;"'"&amp;"!$l:$l"),INDIRECT("'"&amp;$G$61&amp;"'"&amp;"!$a:$a"),$H67)</f>
        <v>0</v>
      </c>
      <c r="T67" s="83">
        <f ca="1">SUMIFS(INDIRECT("'"&amp;$G$61&amp;"'"&amp;"!$m:$m"),INDIRECT("'"&amp;$G$61&amp;"'"&amp;"!$a:$a"),$H67)</f>
        <v>0</v>
      </c>
      <c r="U67" s="83">
        <f t="shared" ca="1" si="25"/>
        <v>0</v>
      </c>
    </row>
    <row r="68" spans="6:21">
      <c r="I68" s="84">
        <f ca="1">+I63-SUM(I64:I67)</f>
        <v>627619.26999999909</v>
      </c>
      <c r="J68" s="84">
        <f t="shared" ref="J68:U68" ca="1" si="26">+J63-SUM(J64:J67)</f>
        <v>611854.40999999957</v>
      </c>
      <c r="K68" s="84">
        <f t="shared" ca="1" si="26"/>
        <v>638790.46000000031</v>
      </c>
      <c r="L68" s="84">
        <f t="shared" ca="1" si="26"/>
        <v>608848.46000000089</v>
      </c>
      <c r="M68" s="84">
        <f t="shared" ca="1" si="26"/>
        <v>-300248.42000000062</v>
      </c>
      <c r="N68" s="84">
        <f t="shared" ca="1" si="26"/>
        <v>689768.06</v>
      </c>
      <c r="O68" s="84">
        <f t="shared" ca="1" si="26"/>
        <v>864576.1199999993</v>
      </c>
      <c r="P68" s="84">
        <f t="shared" ca="1" si="26"/>
        <v>760537.53000000073</v>
      </c>
      <c r="Q68" s="84">
        <f t="shared" ca="1" si="26"/>
        <v>812914.94000000029</v>
      </c>
      <c r="R68" s="84">
        <f t="shared" ca="1" si="26"/>
        <v>756970.19999999925</v>
      </c>
      <c r="S68" s="84">
        <f t="shared" ca="1" si="26"/>
        <v>650985.48000000045</v>
      </c>
      <c r="T68" s="84">
        <f t="shared" ca="1" si="26"/>
        <v>697768.21999999904</v>
      </c>
      <c r="U68" s="84">
        <f t="shared" ca="1" si="26"/>
        <v>7420384.7299999995</v>
      </c>
    </row>
    <row r="69" spans="6:21">
      <c r="I69" s="83"/>
      <c r="J69" s="83"/>
      <c r="K69" s="83"/>
      <c r="L69" s="83"/>
      <c r="M69" s="83"/>
      <c r="N69" s="83"/>
      <c r="O69" s="83"/>
      <c r="P69" s="83"/>
      <c r="Q69" s="83"/>
      <c r="R69" s="83"/>
      <c r="S69" s="83"/>
      <c r="T69" s="83"/>
    </row>
    <row r="70" spans="6:21">
      <c r="G70" s="96" t="s">
        <v>330</v>
      </c>
      <c r="H70" s="24" t="s">
        <v>332</v>
      </c>
      <c r="I70" s="83">
        <f ca="1">+Summary!G56</f>
        <v>627619</v>
      </c>
      <c r="J70" s="83">
        <f ca="1">+Summary!H56</f>
        <v>611854</v>
      </c>
      <c r="K70" s="83">
        <f ca="1">+Summary!I56</f>
        <v>638791</v>
      </c>
      <c r="L70" s="83">
        <f ca="1">+Summary!J56</f>
        <v>608849</v>
      </c>
      <c r="M70" s="83">
        <f ca="1">+Summary!K56</f>
        <v>700784</v>
      </c>
      <c r="N70" s="83">
        <f ca="1">+Summary!L56</f>
        <v>689768</v>
      </c>
      <c r="O70" s="83">
        <f ca="1">+Summary!M56</f>
        <v>864577</v>
      </c>
      <c r="P70" s="83">
        <f ca="1">+Summary!N56</f>
        <v>760538</v>
      </c>
      <c r="Q70" s="83">
        <f ca="1">+Summary!O56</f>
        <v>812915</v>
      </c>
      <c r="R70" s="83">
        <f ca="1">+Summary!P56</f>
        <v>756970</v>
      </c>
      <c r="S70" s="83">
        <f ca="1">+Summary!Q56</f>
        <v>650986</v>
      </c>
      <c r="T70" s="83">
        <f ca="1">+Summary!R56</f>
        <v>697768</v>
      </c>
      <c r="U70" s="83">
        <f ca="1">+Summary!S56</f>
        <v>8421419</v>
      </c>
    </row>
    <row r="71" spans="6:21">
      <c r="I71" s="83">
        <f t="shared" ref="I71:U71" ca="1" si="27">+I68-I70</f>
        <v>0.26999999908730388</v>
      </c>
      <c r="J71" s="83">
        <f t="shared" ca="1" si="27"/>
        <v>0.409999999566935</v>
      </c>
      <c r="K71" s="83">
        <f t="shared" ca="1" si="27"/>
        <v>-0.53999999968800694</v>
      </c>
      <c r="L71" s="83">
        <f t="shared" ca="1" si="27"/>
        <v>-0.53999999910593033</v>
      </c>
      <c r="M71" s="83">
        <f t="shared" ca="1" si="27"/>
        <v>-1001032.4200000006</v>
      </c>
      <c r="N71" s="83">
        <f t="shared" ca="1" si="27"/>
        <v>6.0000000055879354E-2</v>
      </c>
      <c r="O71" s="83">
        <f t="shared" ca="1" si="27"/>
        <v>-0.88000000070314854</v>
      </c>
      <c r="P71" s="83">
        <f t="shared" ca="1" si="27"/>
        <v>-0.46999999927356839</v>
      </c>
      <c r="Q71" s="83">
        <f t="shared" ca="1" si="27"/>
        <v>-5.9999999706633389E-2</v>
      </c>
      <c r="R71" s="83">
        <f t="shared" ca="1" si="27"/>
        <v>0.19999999925494194</v>
      </c>
      <c r="S71" s="83">
        <f t="shared" ca="1" si="27"/>
        <v>-0.51999999955296516</v>
      </c>
      <c r="T71" s="83">
        <f t="shared" ca="1" si="27"/>
        <v>0.21999999904073775</v>
      </c>
      <c r="U71" s="83">
        <f t="shared" ca="1" si="27"/>
        <v>-1001034.2700000005</v>
      </c>
    </row>
    <row r="74" spans="6:21">
      <c r="F74" s="24">
        <v>6</v>
      </c>
      <c r="G74" s="96" t="s">
        <v>273</v>
      </c>
    </row>
    <row r="75" spans="6:21">
      <c r="G75" s="88" t="s">
        <v>293</v>
      </c>
      <c r="I75" s="97" t="str">
        <f>+Summary!$W$9</f>
        <v>Aug 2021</v>
      </c>
      <c r="J75" s="97" t="str">
        <f>+Summary!$X$9</f>
        <v>Sep 2021</v>
      </c>
      <c r="K75" s="97" t="str">
        <f>+Summary!$Y$9</f>
        <v>Oct 2021</v>
      </c>
      <c r="L75" s="97" t="str">
        <f>+Summary!$Z$9</f>
        <v>Nov 2021</v>
      </c>
      <c r="M75" s="97" t="str">
        <f>+Summary!$AA$9</f>
        <v>Dec 2021</v>
      </c>
      <c r="N75" s="97" t="str">
        <f>+Summary!$AB$9</f>
        <v>Jan 2022</v>
      </c>
      <c r="O75" s="97" t="str">
        <f>+Summary!$AC$9</f>
        <v>Feb 2022</v>
      </c>
      <c r="P75" s="97" t="str">
        <f>+Summary!$AD$9</f>
        <v>Mar 2022</v>
      </c>
      <c r="Q75" s="97" t="str">
        <f>+Summary!$AE$9</f>
        <v>Apr 2022</v>
      </c>
      <c r="R75" s="97" t="str">
        <f>+Summary!$AF$9</f>
        <v>May 2022</v>
      </c>
      <c r="S75" s="97" t="str">
        <f>+Summary!$AG$9</f>
        <v>Jun 2022</v>
      </c>
      <c r="T75" s="97" t="str">
        <f>+Summary!$AH$9</f>
        <v>Jul 2022</v>
      </c>
      <c r="U75" s="84" t="s">
        <v>335</v>
      </c>
    </row>
    <row r="76" spans="6:21">
      <c r="G76" s="96" t="s">
        <v>331</v>
      </c>
      <c r="H76" s="96" t="s">
        <v>329</v>
      </c>
    </row>
    <row r="77" spans="6:21">
      <c r="H77" s="24" t="s">
        <v>13</v>
      </c>
      <c r="I77" s="83">
        <f ca="1">SUMIFS(INDIRECT("'"&amp;$G$75&amp;"'"&amp;"!$b:$b"),INDIRECT("'"&amp;$G$75&amp;"'"&amp;"!$a:$a"),$H77)/2</f>
        <v>824371.93999999959</v>
      </c>
      <c r="J77" s="83">
        <f ca="1">SUMIFS(INDIRECT("'"&amp;$G$75&amp;"'"&amp;"!$c:$c"),INDIRECT("'"&amp;$G$75&amp;"'"&amp;"!$a:$a"),$H77)/2</f>
        <v>766908.35000000068</v>
      </c>
      <c r="K77" s="83">
        <f ca="1">SUMIFS(INDIRECT("'"&amp;$G$75&amp;"'"&amp;"!$d:$d"),INDIRECT("'"&amp;$G$75&amp;"'"&amp;"!$a:$a"),$H77)/2</f>
        <v>894799.47000000125</v>
      </c>
      <c r="L77" s="83">
        <f ca="1">SUMIFS(INDIRECT("'"&amp;$G$75&amp;"'"&amp;"!$e:$e"),INDIRECT("'"&amp;$G$75&amp;"'"&amp;"!$a:$a"),$H77)/2</f>
        <v>829488.1399999999</v>
      </c>
      <c r="M77" s="83">
        <f ca="1">SUMIFS(INDIRECT("'"&amp;$G$75&amp;"'"&amp;"!$f:$f"),INDIRECT("'"&amp;$G$75&amp;"'"&amp;"!$a:$a"),$H77)/2</f>
        <v>733578.62999999896</v>
      </c>
      <c r="N77" s="83">
        <f ca="1">SUMIFS(INDIRECT("'"&amp;$G$75&amp;"'"&amp;"!$g:$g"),INDIRECT("'"&amp;$G$75&amp;"'"&amp;"!$a:$a"),$H77)/2</f>
        <v>857091.90000000107</v>
      </c>
      <c r="O77" s="83">
        <f ca="1">SUMIFS(INDIRECT("'"&amp;$G$75&amp;"'"&amp;"!$h:$h"),INDIRECT("'"&amp;$G$75&amp;"'"&amp;"!$a:$a"),$H77)/2</f>
        <v>781009.98000000161</v>
      </c>
      <c r="P77" s="83">
        <f ca="1">SUMIFS(INDIRECT("'"&amp;$G$75&amp;"'"&amp;"!$i:$i"),INDIRECT("'"&amp;$G$75&amp;"'"&amp;"!$a:$a"),$H77)/2</f>
        <v>979283.99000000057</v>
      </c>
      <c r="Q77" s="83">
        <f ca="1">SUMIFS(INDIRECT("'"&amp;$G$75&amp;"'"&amp;"!$j:$j"),INDIRECT("'"&amp;$G$75&amp;"'"&amp;"!$a:$a"),$H77)/2</f>
        <v>924223.48000000103</v>
      </c>
      <c r="R77" s="83">
        <f ca="1">SUMIFS(INDIRECT("'"&amp;$G$75&amp;"'"&amp;"!$k:$k"),INDIRECT("'"&amp;$G$75&amp;"'"&amp;"!$a:$a"),$H77)/2</f>
        <v>863450.26999999967</v>
      </c>
      <c r="S77" s="83">
        <f ca="1">SUMIFS(INDIRECT("'"&amp;$G$75&amp;"'"&amp;"!$l:$l"),INDIRECT("'"&amp;$G$75&amp;"'"&amp;"!$a:$a"),$H77)/2</f>
        <v>788886.04999999958</v>
      </c>
      <c r="T77" s="83">
        <f ca="1">SUMIFS(INDIRECT("'"&amp;$G$75&amp;"'"&amp;"!$m:$m"),INDIRECT("'"&amp;$G$75&amp;"'"&amp;"!$a:$a"),$H77)/2</f>
        <v>847565.37000000023</v>
      </c>
      <c r="U77" s="83">
        <f ca="1">+SUM(I77:T77)</f>
        <v>10090657.570000004</v>
      </c>
    </row>
    <row r="78" spans="6:21">
      <c r="H78" s="24" t="s">
        <v>134</v>
      </c>
      <c r="I78" s="83">
        <f ca="1">SUMIFS(INDIRECT("'"&amp;$G$75&amp;"'"&amp;"!$b:$b"),INDIRECT("'"&amp;$G$75&amp;"'"&amp;"!$a:$a"),$H78)</f>
        <v>96.62</v>
      </c>
      <c r="J78" s="83">
        <f ca="1">SUMIFS(INDIRECT("'"&amp;$G$75&amp;"'"&amp;"!$c:$c"),INDIRECT("'"&amp;$G$75&amp;"'"&amp;"!$a:$a"),$H78)</f>
        <v>14.08</v>
      </c>
      <c r="K78" s="83">
        <f ca="1">SUMIFS(INDIRECT("'"&amp;$G$75&amp;"'"&amp;"!$d:$d"),INDIRECT("'"&amp;$G$75&amp;"'"&amp;"!$a:$a"),$H78)</f>
        <v>28.83</v>
      </c>
      <c r="L78" s="83">
        <f ca="1">SUMIFS(INDIRECT("'"&amp;$G$75&amp;"'"&amp;"!$e:$e"),INDIRECT("'"&amp;$G$75&amp;"'"&amp;"!$a:$a"),$H78)</f>
        <v>0.32</v>
      </c>
      <c r="M78" s="83">
        <f ca="1">SUMIFS(INDIRECT("'"&amp;$G$75&amp;"'"&amp;"!$f:$f"),INDIRECT("'"&amp;$G$75&amp;"'"&amp;"!$a:$a"),$H78)</f>
        <v>0.78</v>
      </c>
      <c r="N78" s="83">
        <f ca="1">SUMIFS(INDIRECT("'"&amp;$G$75&amp;"'"&amp;"!$g:$g"),INDIRECT("'"&amp;$G$75&amp;"'"&amp;"!$a:$a"),$H78)</f>
        <v>9.4</v>
      </c>
      <c r="O78" s="83">
        <f ca="1">SUMIFS(INDIRECT("'"&amp;$G$75&amp;"'"&amp;"!$h:$h"),INDIRECT("'"&amp;$G$75&amp;"'"&amp;"!$a:$a"),$H78)</f>
        <v>17.899999999999999</v>
      </c>
      <c r="P78" s="83">
        <f ca="1">SUMIFS(INDIRECT("'"&amp;$G$75&amp;"'"&amp;"!$i:$i"),INDIRECT("'"&amp;$G$75&amp;"'"&amp;"!$a:$a"),$H78)</f>
        <v>17.91</v>
      </c>
      <c r="Q78" s="83">
        <f ca="1">SUMIFS(INDIRECT("'"&amp;$G$75&amp;"'"&amp;"!$j:$j"),INDIRECT("'"&amp;$G$75&amp;"'"&amp;"!$a:$a"),$H78)</f>
        <v>29.06</v>
      </c>
      <c r="R78" s="83">
        <f ca="1">SUMIFS(INDIRECT("'"&amp;$G$75&amp;"'"&amp;"!$k:$k"),INDIRECT("'"&amp;$G$75&amp;"'"&amp;"!$a:$a"),$H78)</f>
        <v>4</v>
      </c>
      <c r="S78" s="83">
        <f ca="1">SUMIFS(INDIRECT("'"&amp;$G$75&amp;"'"&amp;"!$l:$l"),INDIRECT("'"&amp;$G$75&amp;"'"&amp;"!$a:$a"),$H78)</f>
        <v>288.88</v>
      </c>
      <c r="T78" s="83">
        <f ca="1">SUMIFS(INDIRECT("'"&amp;$G$75&amp;"'"&amp;"!$m:$m"),INDIRECT("'"&amp;$G$75&amp;"'"&amp;"!$a:$a"),$H78)</f>
        <v>10.38</v>
      </c>
      <c r="U78" s="83">
        <f t="shared" ref="U78:U81" ca="1" si="28">+SUM(I78:T78)</f>
        <v>518.16</v>
      </c>
    </row>
    <row r="79" spans="6:21">
      <c r="H79" s="85" t="s">
        <v>132</v>
      </c>
      <c r="I79" s="83">
        <f ca="1">SUMIFS(INDIRECT("'"&amp;$G$75&amp;"'"&amp;"!$b:$b"),INDIRECT("'"&amp;$G$75&amp;"'"&amp;"!$a:$a"),$H79)</f>
        <v>3886</v>
      </c>
      <c r="J79" s="83">
        <f ca="1">SUMIFS(INDIRECT("'"&amp;$G$75&amp;"'"&amp;"!$c:$c"),INDIRECT("'"&amp;$G$75&amp;"'"&amp;"!$a:$a"),$H79)</f>
        <v>2266.0500000000002</v>
      </c>
      <c r="K79" s="83">
        <f ca="1">SUMIFS(INDIRECT("'"&amp;$G$75&amp;"'"&amp;"!$d:$d"),INDIRECT("'"&amp;$G$75&amp;"'"&amp;"!$a:$a"),$H79)</f>
        <v>219.37</v>
      </c>
      <c r="L79" s="83">
        <f ca="1">SUMIFS(INDIRECT("'"&amp;$G$75&amp;"'"&amp;"!$e:$e"),INDIRECT("'"&amp;$G$75&amp;"'"&amp;"!$a:$a"),$H79)</f>
        <v>520.16999999999996</v>
      </c>
      <c r="M79" s="83">
        <f ca="1">SUMIFS(INDIRECT("'"&amp;$G$75&amp;"'"&amp;"!$f:$f"),INDIRECT("'"&amp;$G$75&amp;"'"&amp;"!$a:$a"),$H79)</f>
        <v>21874.15</v>
      </c>
      <c r="N79" s="83">
        <f ca="1">SUMIFS(INDIRECT("'"&amp;$G$75&amp;"'"&amp;"!$g:$g"),INDIRECT("'"&amp;$G$75&amp;"'"&amp;"!$a:$a"),$H79)</f>
        <v>-1403.07</v>
      </c>
      <c r="O79" s="83">
        <f ca="1">SUMIFS(INDIRECT("'"&amp;$G$75&amp;"'"&amp;"!$h:$h"),INDIRECT("'"&amp;$G$75&amp;"'"&amp;"!$a:$a"),$H79)</f>
        <v>1.03</v>
      </c>
      <c r="P79" s="83">
        <f ca="1">SUMIFS(INDIRECT("'"&amp;$G$75&amp;"'"&amp;"!$i:$i"),INDIRECT("'"&amp;$G$75&amp;"'"&amp;"!$a:$a"),$H79)</f>
        <v>0</v>
      </c>
      <c r="Q79" s="83">
        <f ca="1">SUMIFS(INDIRECT("'"&amp;$G$75&amp;"'"&amp;"!$j:$j"),INDIRECT("'"&amp;$G$75&amp;"'"&amp;"!$a:$a"),$H79)</f>
        <v>371.51</v>
      </c>
      <c r="R79" s="83">
        <f ca="1">SUMIFS(INDIRECT("'"&amp;$G$75&amp;"'"&amp;"!$k:$k"),INDIRECT("'"&amp;$G$75&amp;"'"&amp;"!$a:$a"),$H79)</f>
        <v>11897.73</v>
      </c>
      <c r="S79" s="83">
        <f ca="1">SUMIFS(INDIRECT("'"&amp;$G$75&amp;"'"&amp;"!$l:$l"),INDIRECT("'"&amp;$G$75&amp;"'"&amp;"!$a:$a"),$H79)</f>
        <v>6321.93</v>
      </c>
      <c r="T79" s="83">
        <f ca="1">SUMIFS(INDIRECT("'"&amp;$G$75&amp;"'"&amp;"!$m:$m"),INDIRECT("'"&amp;$G$75&amp;"'"&amp;"!$a:$a"),$H79)</f>
        <v>0</v>
      </c>
      <c r="U79" s="83">
        <f t="shared" ca="1" si="28"/>
        <v>45954.87</v>
      </c>
    </row>
    <row r="80" spans="6:21">
      <c r="H80" s="85" t="s">
        <v>327</v>
      </c>
      <c r="I80" s="83">
        <f ca="1">SUMIFS(INDIRECT("'"&amp;$G$75&amp;"'"&amp;"!$b:$b"),INDIRECT("'"&amp;$G$75&amp;"'"&amp;"!$a:$a"),$H80)</f>
        <v>0</v>
      </c>
      <c r="J80" s="83">
        <f ca="1">SUMIFS(INDIRECT("'"&amp;$G$75&amp;"'"&amp;"!$c:$c"),INDIRECT("'"&amp;$G$75&amp;"'"&amp;"!$a:$a"),$H80)</f>
        <v>0</v>
      </c>
      <c r="K80" s="83">
        <f ca="1">SUMIFS(INDIRECT("'"&amp;$G$75&amp;"'"&amp;"!$d:$d"),INDIRECT("'"&amp;$G$75&amp;"'"&amp;"!$a:$a"),$H80)</f>
        <v>0</v>
      </c>
      <c r="L80" s="83">
        <f ca="1">SUMIFS(INDIRECT("'"&amp;$G$75&amp;"'"&amp;"!$e:$e"),INDIRECT("'"&amp;$G$75&amp;"'"&amp;"!$a:$a"),$H80)</f>
        <v>0</v>
      </c>
      <c r="M80" s="83">
        <f ca="1">SUMIFS(INDIRECT("'"&amp;$G$75&amp;"'"&amp;"!$f:$f"),INDIRECT("'"&amp;$G$75&amp;"'"&amp;"!$a:$a"),$H80)</f>
        <v>0</v>
      </c>
      <c r="N80" s="83">
        <f ca="1">SUMIFS(INDIRECT("'"&amp;$G$75&amp;"'"&amp;"!$g:$g"),INDIRECT("'"&amp;$G$75&amp;"'"&amp;"!$a:$a"),$H80)</f>
        <v>0</v>
      </c>
      <c r="O80" s="83">
        <f ca="1">SUMIFS(INDIRECT("'"&amp;$G$75&amp;"'"&amp;"!$h:$h"),INDIRECT("'"&amp;$G$75&amp;"'"&amp;"!$a:$a"),$H80)</f>
        <v>0</v>
      </c>
      <c r="P80" s="83">
        <f ca="1">SUMIFS(INDIRECT("'"&amp;$G$75&amp;"'"&amp;"!$i:$i"),INDIRECT("'"&amp;$G$75&amp;"'"&amp;"!$a:$a"),$H80)</f>
        <v>0</v>
      </c>
      <c r="Q80" s="83">
        <f ca="1">SUMIFS(INDIRECT("'"&amp;$G$75&amp;"'"&amp;"!$j:$j"),INDIRECT("'"&amp;$G$75&amp;"'"&amp;"!$a:$a"),$H80)</f>
        <v>0</v>
      </c>
      <c r="R80" s="83">
        <f ca="1">SUMIFS(INDIRECT("'"&amp;$G$75&amp;"'"&amp;"!$k:$k"),INDIRECT("'"&amp;$G$75&amp;"'"&amp;"!$a:$a"),$H80)</f>
        <v>0</v>
      </c>
      <c r="S80" s="83">
        <f ca="1">SUMIFS(INDIRECT("'"&amp;$G$75&amp;"'"&amp;"!$l:$l"),INDIRECT("'"&amp;$G$75&amp;"'"&amp;"!$a:$a"),$H80)</f>
        <v>0</v>
      </c>
      <c r="T80" s="83">
        <f ca="1">SUMIFS(INDIRECT("'"&amp;$G$75&amp;"'"&amp;"!$m:$m"),INDIRECT("'"&amp;$G$75&amp;"'"&amp;"!$a:$a"),$H80)</f>
        <v>0</v>
      </c>
      <c r="U80" s="83">
        <f t="shared" ca="1" si="28"/>
        <v>0</v>
      </c>
    </row>
    <row r="81" spans="6:21">
      <c r="H81" s="85" t="s">
        <v>282</v>
      </c>
      <c r="I81" s="83">
        <f ca="1">SUMIFS(INDIRECT("'"&amp;$G$75&amp;"'"&amp;"!$b:$b"),INDIRECT("'"&amp;$G$75&amp;"'"&amp;"!$a:$a"),$H81)</f>
        <v>0</v>
      </c>
      <c r="J81" s="83">
        <f ca="1">SUMIFS(INDIRECT("'"&amp;$G$75&amp;"'"&amp;"!$c:$c"),INDIRECT("'"&amp;$G$75&amp;"'"&amp;"!$a:$a"),$H81)</f>
        <v>0</v>
      </c>
      <c r="K81" s="83">
        <f ca="1">SUMIFS(INDIRECT("'"&amp;$G$75&amp;"'"&amp;"!$d:$d"),INDIRECT("'"&amp;$G$75&amp;"'"&amp;"!$a:$a"),$H81)</f>
        <v>0</v>
      </c>
      <c r="L81" s="83">
        <f ca="1">SUMIFS(INDIRECT("'"&amp;$G$75&amp;"'"&amp;"!$e:$e"),INDIRECT("'"&amp;$G$75&amp;"'"&amp;"!$a:$a"),$H81)</f>
        <v>0</v>
      </c>
      <c r="M81" s="83">
        <f ca="1">SUMIFS(INDIRECT("'"&amp;$G$75&amp;"'"&amp;"!$f:$f"),INDIRECT("'"&amp;$G$75&amp;"'"&amp;"!$a:$a"),$H81)</f>
        <v>0</v>
      </c>
      <c r="N81" s="83">
        <f ca="1">SUMIFS(INDIRECT("'"&amp;$G$75&amp;"'"&amp;"!$g:$g"),INDIRECT("'"&amp;$G$75&amp;"'"&amp;"!$a:$a"),$H81)</f>
        <v>0</v>
      </c>
      <c r="O81" s="83">
        <f ca="1">SUMIFS(INDIRECT("'"&amp;$G$75&amp;"'"&amp;"!$h:$h"),INDIRECT("'"&amp;$G$75&amp;"'"&amp;"!$a:$a"),$H81)</f>
        <v>0</v>
      </c>
      <c r="P81" s="83">
        <f ca="1">SUMIFS(INDIRECT("'"&amp;$G$75&amp;"'"&amp;"!$i:$i"),INDIRECT("'"&amp;$G$75&amp;"'"&amp;"!$a:$a"),$H81)</f>
        <v>0</v>
      </c>
      <c r="Q81" s="83">
        <f ca="1">SUMIFS(INDIRECT("'"&amp;$G$75&amp;"'"&amp;"!$j:$j"),INDIRECT("'"&amp;$G$75&amp;"'"&amp;"!$a:$a"),$H81)</f>
        <v>0</v>
      </c>
      <c r="R81" s="83">
        <f ca="1">SUMIFS(INDIRECT("'"&amp;$G$75&amp;"'"&amp;"!$k:$k"),INDIRECT("'"&amp;$G$75&amp;"'"&amp;"!$a:$a"),$H81)</f>
        <v>0</v>
      </c>
      <c r="S81" s="83">
        <f ca="1">SUMIFS(INDIRECT("'"&amp;$G$75&amp;"'"&amp;"!$l:$l"),INDIRECT("'"&amp;$G$75&amp;"'"&amp;"!$a:$a"),$H81)</f>
        <v>0</v>
      </c>
      <c r="T81" s="83">
        <f ca="1">SUMIFS(INDIRECT("'"&amp;$G$75&amp;"'"&amp;"!$m:$m"),INDIRECT("'"&amp;$G$75&amp;"'"&amp;"!$a:$a"),$H81)</f>
        <v>0</v>
      </c>
      <c r="U81" s="83">
        <f t="shared" ca="1" si="28"/>
        <v>0</v>
      </c>
    </row>
    <row r="82" spans="6:21">
      <c r="I82" s="84">
        <f ca="1">+I77-SUM(I78:I81)</f>
        <v>820389.3199999996</v>
      </c>
      <c r="J82" s="84">
        <f t="shared" ref="J82:U82" ca="1" si="29">+J77-SUM(J78:J81)</f>
        <v>764628.22000000067</v>
      </c>
      <c r="K82" s="84">
        <f t="shared" ca="1" si="29"/>
        <v>894551.2700000013</v>
      </c>
      <c r="L82" s="84">
        <f t="shared" ca="1" si="29"/>
        <v>828967.64999999991</v>
      </c>
      <c r="M82" s="84">
        <f t="shared" ca="1" si="29"/>
        <v>711703.69999999891</v>
      </c>
      <c r="N82" s="84">
        <f t="shared" ca="1" si="29"/>
        <v>858485.57000000111</v>
      </c>
      <c r="O82" s="84">
        <f t="shared" ca="1" si="29"/>
        <v>780991.05000000156</v>
      </c>
      <c r="P82" s="84">
        <f t="shared" ca="1" si="29"/>
        <v>979266.08000000054</v>
      </c>
      <c r="Q82" s="84">
        <f t="shared" ca="1" si="29"/>
        <v>923822.91000000108</v>
      </c>
      <c r="R82" s="84">
        <f t="shared" ca="1" si="29"/>
        <v>851548.53999999969</v>
      </c>
      <c r="S82" s="84">
        <f t="shared" ca="1" si="29"/>
        <v>782275.23999999953</v>
      </c>
      <c r="T82" s="84">
        <f t="shared" ca="1" si="29"/>
        <v>847554.99000000022</v>
      </c>
      <c r="U82" s="84">
        <f t="shared" ca="1" si="29"/>
        <v>10044184.540000005</v>
      </c>
    </row>
    <row r="83" spans="6:21">
      <c r="I83" s="83"/>
      <c r="J83" s="83"/>
      <c r="K83" s="83"/>
      <c r="L83" s="83"/>
      <c r="M83" s="83"/>
      <c r="N83" s="83"/>
      <c r="O83" s="83"/>
      <c r="P83" s="83"/>
      <c r="Q83" s="83"/>
      <c r="R83" s="83"/>
      <c r="S83" s="83"/>
      <c r="T83" s="83"/>
    </row>
    <row r="84" spans="6:21">
      <c r="G84" s="96" t="s">
        <v>330</v>
      </c>
      <c r="H84" s="24" t="s">
        <v>332</v>
      </c>
      <c r="I84" s="83">
        <f ca="1">+Summary!G67</f>
        <v>820389</v>
      </c>
      <c r="J84" s="83">
        <f ca="1">+Summary!H67</f>
        <v>764628</v>
      </c>
      <c r="K84" s="83">
        <f ca="1">+Summary!I67</f>
        <v>894552</v>
      </c>
      <c r="L84" s="83">
        <f ca="1">+Summary!J67</f>
        <v>828968</v>
      </c>
      <c r="M84" s="83">
        <f ca="1">+Summary!K67</f>
        <v>825996</v>
      </c>
      <c r="N84" s="83">
        <f ca="1">+Summary!L67</f>
        <v>858486</v>
      </c>
      <c r="O84" s="83">
        <f ca="1">+Summary!M67</f>
        <v>780991</v>
      </c>
      <c r="P84" s="83">
        <f ca="1">+Summary!N67</f>
        <v>979266</v>
      </c>
      <c r="Q84" s="83">
        <f ca="1">+Summary!O67</f>
        <v>923823</v>
      </c>
      <c r="R84" s="83">
        <f ca="1">+Summary!P67</f>
        <v>851548</v>
      </c>
      <c r="S84" s="83">
        <f ca="1">+Summary!Q67</f>
        <v>782276</v>
      </c>
      <c r="T84" s="83">
        <f ca="1">+Summary!R67</f>
        <v>847556</v>
      </c>
      <c r="U84" s="83">
        <f ca="1">+Summary!S67</f>
        <v>10158479</v>
      </c>
    </row>
    <row r="85" spans="6:21">
      <c r="I85" s="83">
        <f t="shared" ref="I85:U85" ca="1" si="30">+I82-I84</f>
        <v>0.31999999959953129</v>
      </c>
      <c r="J85" s="83">
        <f t="shared" ca="1" si="30"/>
        <v>0.22000000067055225</v>
      </c>
      <c r="K85" s="83">
        <f t="shared" ca="1" si="30"/>
        <v>-0.72999999870080501</v>
      </c>
      <c r="L85" s="83">
        <f t="shared" ca="1" si="30"/>
        <v>-0.35000000009313226</v>
      </c>
      <c r="M85" s="83">
        <f t="shared" ca="1" si="30"/>
        <v>-114292.30000000109</v>
      </c>
      <c r="N85" s="83">
        <f t="shared" ca="1" si="30"/>
        <v>-0.42999999888706952</v>
      </c>
      <c r="O85" s="83">
        <f t="shared" ca="1" si="30"/>
        <v>5.0000001559965312E-2</v>
      </c>
      <c r="P85" s="83">
        <f t="shared" ca="1" si="30"/>
        <v>8.0000000540167093E-2</v>
      </c>
      <c r="Q85" s="83">
        <f t="shared" ca="1" si="30"/>
        <v>-8.9999998919665813E-2</v>
      </c>
      <c r="R85" s="83">
        <f t="shared" ca="1" si="30"/>
        <v>0.53999999968800694</v>
      </c>
      <c r="S85" s="83">
        <f t="shared" ca="1" si="30"/>
        <v>-0.76000000047497451</v>
      </c>
      <c r="T85" s="83">
        <f t="shared" ca="1" si="30"/>
        <v>-1.0099999997764826</v>
      </c>
      <c r="U85" s="83">
        <f t="shared" ca="1" si="30"/>
        <v>-114294.45999999531</v>
      </c>
    </row>
    <row r="88" spans="6:21">
      <c r="F88" s="24">
        <v>7</v>
      </c>
      <c r="G88" s="96" t="s">
        <v>274</v>
      </c>
    </row>
    <row r="89" spans="6:21">
      <c r="G89" s="88" t="s">
        <v>300</v>
      </c>
      <c r="I89" s="97" t="str">
        <f>+Summary!$W$9</f>
        <v>Aug 2021</v>
      </c>
      <c r="J89" s="97" t="str">
        <f>+Summary!$X$9</f>
        <v>Sep 2021</v>
      </c>
      <c r="K89" s="97" t="str">
        <f>+Summary!$Y$9</f>
        <v>Oct 2021</v>
      </c>
      <c r="L89" s="97" t="str">
        <f>+Summary!$Z$9</f>
        <v>Nov 2021</v>
      </c>
      <c r="M89" s="97" t="str">
        <f>+Summary!$AA$9</f>
        <v>Dec 2021</v>
      </c>
      <c r="N89" s="97" t="str">
        <f>+Summary!$AB$9</f>
        <v>Jan 2022</v>
      </c>
      <c r="O89" s="97" t="str">
        <f>+Summary!$AC$9</f>
        <v>Feb 2022</v>
      </c>
      <c r="P89" s="97" t="str">
        <f>+Summary!$AD$9</f>
        <v>Mar 2022</v>
      </c>
      <c r="Q89" s="97" t="str">
        <f>+Summary!$AE$9</f>
        <v>Apr 2022</v>
      </c>
      <c r="R89" s="97" t="str">
        <f>+Summary!$AF$9</f>
        <v>May 2022</v>
      </c>
      <c r="S89" s="97" t="str">
        <f>+Summary!$AG$9</f>
        <v>Jun 2022</v>
      </c>
      <c r="T89" s="97" t="str">
        <f>+Summary!$AH$9</f>
        <v>Jul 2022</v>
      </c>
      <c r="U89" s="84" t="s">
        <v>335</v>
      </c>
    </row>
    <row r="90" spans="6:21">
      <c r="G90" s="96" t="s">
        <v>331</v>
      </c>
      <c r="H90" s="96" t="s">
        <v>329</v>
      </c>
    </row>
    <row r="91" spans="6:21">
      <c r="H91" s="24" t="s">
        <v>13</v>
      </c>
      <c r="I91" s="83">
        <f ca="1">SUMIFS(INDIRECT("'"&amp;$G$89&amp;"'"&amp;"!$b:$b"),INDIRECT("'"&amp;$G$89&amp;"'"&amp;"!$a:$a"),$H91)/2</f>
        <v>623254.81000000052</v>
      </c>
      <c r="J91" s="83">
        <f ca="1">SUMIFS(INDIRECT("'"&amp;$G$89&amp;"'"&amp;"!$c:$c"),INDIRECT("'"&amp;$G$89&amp;"'"&amp;"!$a:$a"),$H91)/2</f>
        <v>672929.33</v>
      </c>
      <c r="K91" s="83">
        <f ca="1">SUMIFS(INDIRECT("'"&amp;$G$89&amp;"'"&amp;"!$d:$d"),INDIRECT("'"&amp;$G$89&amp;"'"&amp;"!$a:$a"),$H91)/2</f>
        <v>668033.47000000114</v>
      </c>
      <c r="L91" s="83">
        <f ca="1">SUMIFS(INDIRECT("'"&amp;$G$89&amp;"'"&amp;"!$e:$e"),INDIRECT("'"&amp;$G$89&amp;"'"&amp;"!$a:$a"),$H91)/2</f>
        <v>501812.66000000009</v>
      </c>
      <c r="M91" s="83">
        <f ca="1">SUMIFS(INDIRECT("'"&amp;$G$89&amp;"'"&amp;"!$f:$f"),INDIRECT("'"&amp;$G$89&amp;"'"&amp;"!$a:$a"),$H91)/2</f>
        <v>-796783.60999999987</v>
      </c>
      <c r="N91" s="83">
        <f ca="1">SUMIFS(INDIRECT("'"&amp;$G$89&amp;"'"&amp;"!$g:$g"),INDIRECT("'"&amp;$G$89&amp;"'"&amp;"!$a:$a"),$H91)/2</f>
        <v>554259.03000000049</v>
      </c>
      <c r="O91" s="83">
        <f ca="1">SUMIFS(INDIRECT("'"&amp;$G$89&amp;"'"&amp;"!$h:$h"),INDIRECT("'"&amp;$G$89&amp;"'"&amp;"!$a:$a"),$H91)/2</f>
        <v>644973.85999999964</v>
      </c>
      <c r="P91" s="83">
        <f ca="1">SUMIFS(INDIRECT("'"&amp;$G$89&amp;"'"&amp;"!$i:$i"),INDIRECT("'"&amp;$G$89&amp;"'"&amp;"!$a:$a"),$H91)/2</f>
        <v>723591.80000000051</v>
      </c>
      <c r="Q91" s="83">
        <f ca="1">SUMIFS(INDIRECT("'"&amp;$G$89&amp;"'"&amp;"!$j:$j"),INDIRECT("'"&amp;$G$89&amp;"'"&amp;"!$a:$a"),$H91)/2</f>
        <v>601918.25999999989</v>
      </c>
      <c r="R91" s="83">
        <f ca="1">SUMIFS(INDIRECT("'"&amp;$G$89&amp;"'"&amp;"!$k:$k"),INDIRECT("'"&amp;$G$89&amp;"'"&amp;"!$a:$a"),$H91)/2</f>
        <v>555324.11000000057</v>
      </c>
      <c r="S91" s="83">
        <f ca="1">SUMIFS(INDIRECT("'"&amp;$G$89&amp;"'"&amp;"!$l:$l"),INDIRECT("'"&amp;$G$89&amp;"'"&amp;"!$a:$a"),$H91)/2</f>
        <v>-3080067.0599999987</v>
      </c>
      <c r="T91" s="83">
        <f ca="1">SUMIFS(INDIRECT("'"&amp;$G$89&amp;"'"&amp;"!$m:$m"),INDIRECT("'"&amp;$G$89&amp;"'"&amp;"!$a:$a"),$H91)/2</f>
        <v>0</v>
      </c>
      <c r="U91" s="83">
        <f ca="1">+SUM(I91:T91)</f>
        <v>1669246.6600000039</v>
      </c>
    </row>
    <row r="92" spans="6:21">
      <c r="H92" s="24" t="s">
        <v>134</v>
      </c>
      <c r="I92" s="83">
        <f ca="1">SUMIFS(INDIRECT("'"&amp;$G$89&amp;"'"&amp;"!$b:$b"),INDIRECT("'"&amp;$G$89&amp;"'"&amp;"!$a:$a"),$H92)</f>
        <v>0</v>
      </c>
      <c r="J92" s="83">
        <f ca="1">SUMIFS(INDIRECT("'"&amp;$G$89&amp;"'"&amp;"!$c:$c"),INDIRECT("'"&amp;$G$89&amp;"'"&amp;"!$a:$a"),$H92)</f>
        <v>6.95</v>
      </c>
      <c r="K92" s="83">
        <f ca="1">SUMIFS(INDIRECT("'"&amp;$G$89&amp;"'"&amp;"!$d:$d"),INDIRECT("'"&amp;$G$89&amp;"'"&amp;"!$a:$a"),$H92)</f>
        <v>0.41</v>
      </c>
      <c r="L92" s="83">
        <f ca="1">SUMIFS(INDIRECT("'"&amp;$G$89&amp;"'"&amp;"!$e:$e"),INDIRECT("'"&amp;$G$89&amp;"'"&amp;"!$a:$a"),$H92)</f>
        <v>5.0199999999999996</v>
      </c>
      <c r="M92" s="83">
        <f ca="1">SUMIFS(INDIRECT("'"&amp;$G$89&amp;"'"&amp;"!$f:$f"),INDIRECT("'"&amp;$G$89&amp;"'"&amp;"!$a:$a"),$H92)</f>
        <v>8.9499999999999993</v>
      </c>
      <c r="N92" s="83">
        <f ca="1">SUMIFS(INDIRECT("'"&amp;$G$89&amp;"'"&amp;"!$g:$g"),INDIRECT("'"&amp;$G$89&amp;"'"&amp;"!$a:$a"),$H92)</f>
        <v>0</v>
      </c>
      <c r="O92" s="83">
        <f ca="1">SUMIFS(INDIRECT("'"&amp;$G$89&amp;"'"&amp;"!$h:$h"),INDIRECT("'"&amp;$G$89&amp;"'"&amp;"!$a:$a"),$H92)</f>
        <v>0</v>
      </c>
      <c r="P92" s="83">
        <f ca="1">SUMIFS(INDIRECT("'"&amp;$G$89&amp;"'"&amp;"!$i:$i"),INDIRECT("'"&amp;$G$89&amp;"'"&amp;"!$a:$a"),$H92)</f>
        <v>6.07</v>
      </c>
      <c r="Q92" s="83">
        <f ca="1">SUMIFS(INDIRECT("'"&amp;$G$89&amp;"'"&amp;"!$j:$j"),INDIRECT("'"&amp;$G$89&amp;"'"&amp;"!$a:$a"),$H92)</f>
        <v>181.44</v>
      </c>
      <c r="R92" s="83">
        <f ca="1">SUMIFS(INDIRECT("'"&amp;$G$89&amp;"'"&amp;"!$k:$k"),INDIRECT("'"&amp;$G$89&amp;"'"&amp;"!$a:$a"),$H92)</f>
        <v>0</v>
      </c>
      <c r="S92" s="83">
        <f ca="1">SUMIFS(INDIRECT("'"&amp;$G$89&amp;"'"&amp;"!$l:$l"),INDIRECT("'"&amp;$G$89&amp;"'"&amp;"!$a:$a"),$H92)</f>
        <v>-187.51</v>
      </c>
      <c r="T92" s="83">
        <f ca="1">SUMIFS(INDIRECT("'"&amp;$G$89&amp;"'"&amp;"!$m:$m"),INDIRECT("'"&amp;$G$89&amp;"'"&amp;"!$a:$a"),$H92)</f>
        <v>0</v>
      </c>
      <c r="U92" s="83">
        <f t="shared" ref="U92:U95" ca="1" si="31">+SUM(I92:T92)</f>
        <v>21.330000000000013</v>
      </c>
    </row>
    <row r="93" spans="6:21">
      <c r="H93" s="85" t="s">
        <v>132</v>
      </c>
      <c r="I93" s="83">
        <f ca="1">SUMIFS(INDIRECT("'"&amp;$G$89&amp;"'"&amp;"!$b:$b"),INDIRECT("'"&amp;$G$89&amp;"'"&amp;"!$a:$a"),$H93)</f>
        <v>2641.61</v>
      </c>
      <c r="J93" s="83">
        <f ca="1">SUMIFS(INDIRECT("'"&amp;$G$89&amp;"'"&amp;"!$c:$c"),INDIRECT("'"&amp;$G$89&amp;"'"&amp;"!$a:$a"),$H93)</f>
        <v>0</v>
      </c>
      <c r="K93" s="83">
        <f ca="1">SUMIFS(INDIRECT("'"&amp;$G$89&amp;"'"&amp;"!$d:$d"),INDIRECT("'"&amp;$G$89&amp;"'"&amp;"!$a:$a"),$H93)</f>
        <v>206.86</v>
      </c>
      <c r="L93" s="83">
        <f ca="1">SUMIFS(INDIRECT("'"&amp;$G$89&amp;"'"&amp;"!$e:$e"),INDIRECT("'"&amp;$G$89&amp;"'"&amp;"!$a:$a"),$H93)</f>
        <v>-1698.56</v>
      </c>
      <c r="M93" s="83">
        <f ca="1">SUMIFS(INDIRECT("'"&amp;$G$89&amp;"'"&amp;"!$f:$f"),INDIRECT("'"&amp;$G$89&amp;"'"&amp;"!$a:$a"),$H93)</f>
        <v>-3367.02</v>
      </c>
      <c r="N93" s="83">
        <f ca="1">SUMIFS(INDIRECT("'"&amp;$G$89&amp;"'"&amp;"!$g:$g"),INDIRECT("'"&amp;$G$89&amp;"'"&amp;"!$a:$a"),$H93)</f>
        <v>-5.25</v>
      </c>
      <c r="O93" s="83">
        <f ca="1">SUMIFS(INDIRECT("'"&amp;$G$89&amp;"'"&amp;"!$h:$h"),INDIRECT("'"&amp;$G$89&amp;"'"&amp;"!$a:$a"),$H93)</f>
        <v>0</v>
      </c>
      <c r="P93" s="83">
        <f ca="1">SUMIFS(INDIRECT("'"&amp;$G$89&amp;"'"&amp;"!$i:$i"),INDIRECT("'"&amp;$G$89&amp;"'"&amp;"!$a:$a"),$H93)</f>
        <v>0</v>
      </c>
      <c r="Q93" s="83">
        <f ca="1">SUMIFS(INDIRECT("'"&amp;$G$89&amp;"'"&amp;"!$j:$j"),INDIRECT("'"&amp;$G$89&amp;"'"&amp;"!$a:$a"),$H93)</f>
        <v>300</v>
      </c>
      <c r="R93" s="83">
        <f ca="1">SUMIFS(INDIRECT("'"&amp;$G$89&amp;"'"&amp;"!$k:$k"),INDIRECT("'"&amp;$G$89&amp;"'"&amp;"!$a:$a"),$H93)</f>
        <v>0</v>
      </c>
      <c r="S93" s="83">
        <f ca="1">SUMIFS(INDIRECT("'"&amp;$G$89&amp;"'"&amp;"!$l:$l"),INDIRECT("'"&amp;$G$89&amp;"'"&amp;"!$a:$a"),$H93)</f>
        <v>-294.75</v>
      </c>
      <c r="T93" s="83">
        <f ca="1">SUMIFS(INDIRECT("'"&amp;$G$89&amp;"'"&amp;"!$m:$m"),INDIRECT("'"&amp;$G$89&amp;"'"&amp;"!$a:$a"),$H93)</f>
        <v>0</v>
      </c>
      <c r="U93" s="83">
        <f t="shared" ca="1" si="31"/>
        <v>-2217.1099999999997</v>
      </c>
    </row>
    <row r="94" spans="6:21">
      <c r="H94" s="85" t="s">
        <v>327</v>
      </c>
      <c r="I94" s="83">
        <f ca="1">SUMIFS(INDIRECT("'"&amp;$G$89&amp;"'"&amp;"!$b:$b"),INDIRECT("'"&amp;$G$89&amp;"'"&amp;"!$a:$a"),$H94)</f>
        <v>0</v>
      </c>
      <c r="J94" s="83">
        <f ca="1">SUMIFS(INDIRECT("'"&amp;$G$89&amp;"'"&amp;"!$c:$c"),INDIRECT("'"&amp;$G$89&amp;"'"&amp;"!$a:$a"),$H94)</f>
        <v>0</v>
      </c>
      <c r="K94" s="83">
        <f ca="1">SUMIFS(INDIRECT("'"&amp;$G$89&amp;"'"&amp;"!$d:$d"),INDIRECT("'"&amp;$G$89&amp;"'"&amp;"!$a:$a"),$H94)</f>
        <v>0</v>
      </c>
      <c r="L94" s="83">
        <f ca="1">SUMIFS(INDIRECT("'"&amp;$G$89&amp;"'"&amp;"!$e:$e"),INDIRECT("'"&amp;$G$89&amp;"'"&amp;"!$a:$a"),$H94)</f>
        <v>0</v>
      </c>
      <c r="M94" s="83">
        <f ca="1">SUMIFS(INDIRECT("'"&amp;$G$89&amp;"'"&amp;"!$f:$f"),INDIRECT("'"&amp;$G$89&amp;"'"&amp;"!$a:$a"),$H94)</f>
        <v>0</v>
      </c>
      <c r="N94" s="83">
        <f ca="1">SUMIFS(INDIRECT("'"&amp;$G$89&amp;"'"&amp;"!$g:$g"),INDIRECT("'"&amp;$G$89&amp;"'"&amp;"!$a:$a"),$H94)</f>
        <v>0</v>
      </c>
      <c r="O94" s="83">
        <f ca="1">SUMIFS(INDIRECT("'"&amp;$G$89&amp;"'"&amp;"!$h:$h"),INDIRECT("'"&amp;$G$89&amp;"'"&amp;"!$a:$a"),$H94)</f>
        <v>0</v>
      </c>
      <c r="P94" s="83">
        <f ca="1">SUMIFS(INDIRECT("'"&amp;$G$89&amp;"'"&amp;"!$i:$i"),INDIRECT("'"&amp;$G$89&amp;"'"&amp;"!$a:$a"),$H94)</f>
        <v>0</v>
      </c>
      <c r="Q94" s="83">
        <f ca="1">SUMIFS(INDIRECT("'"&amp;$G$89&amp;"'"&amp;"!$j:$j"),INDIRECT("'"&amp;$G$89&amp;"'"&amp;"!$a:$a"),$H94)</f>
        <v>0</v>
      </c>
      <c r="R94" s="83">
        <f ca="1">SUMIFS(INDIRECT("'"&amp;$G$89&amp;"'"&amp;"!$k:$k"),INDIRECT("'"&amp;$G$89&amp;"'"&amp;"!$a:$a"),$H94)</f>
        <v>0</v>
      </c>
      <c r="S94" s="83">
        <f ca="1">SUMIFS(INDIRECT("'"&amp;$G$89&amp;"'"&amp;"!$l:$l"),INDIRECT("'"&amp;$G$89&amp;"'"&amp;"!$a:$a"),$H94)</f>
        <v>0</v>
      </c>
      <c r="T94" s="83">
        <f ca="1">SUMIFS(INDIRECT("'"&amp;$G$89&amp;"'"&amp;"!$m:$m"),INDIRECT("'"&amp;$G$89&amp;"'"&amp;"!$a:$a"),$H94)</f>
        <v>0</v>
      </c>
      <c r="U94" s="83">
        <f t="shared" ca="1" si="31"/>
        <v>0</v>
      </c>
    </row>
    <row r="95" spans="6:21">
      <c r="H95" s="85" t="s">
        <v>282</v>
      </c>
      <c r="I95" s="83">
        <f ca="1">SUMIFS(INDIRECT("'"&amp;$G$89&amp;"'"&amp;"!$b:$b"),INDIRECT("'"&amp;$G$89&amp;"'"&amp;"!$a:$a"),$H95)</f>
        <v>0</v>
      </c>
      <c r="J95" s="83">
        <f ca="1">SUMIFS(INDIRECT("'"&amp;$G$89&amp;"'"&amp;"!$c:$c"),INDIRECT("'"&amp;$G$89&amp;"'"&amp;"!$a:$a"),$H95)</f>
        <v>0</v>
      </c>
      <c r="K95" s="83">
        <f ca="1">SUMIFS(INDIRECT("'"&amp;$G$89&amp;"'"&amp;"!$d:$d"),INDIRECT("'"&amp;$G$89&amp;"'"&amp;"!$a:$a"),$H95)</f>
        <v>0</v>
      </c>
      <c r="L95" s="83">
        <f ca="1">SUMIFS(INDIRECT("'"&amp;$G$89&amp;"'"&amp;"!$e:$e"),INDIRECT("'"&amp;$G$89&amp;"'"&amp;"!$a:$a"),$H95)</f>
        <v>0</v>
      </c>
      <c r="M95" s="83">
        <f ca="1">SUMIFS(INDIRECT("'"&amp;$G$89&amp;"'"&amp;"!$f:$f"),INDIRECT("'"&amp;$G$89&amp;"'"&amp;"!$a:$a"),$H95)</f>
        <v>0</v>
      </c>
      <c r="N95" s="83">
        <f ca="1">SUMIFS(INDIRECT("'"&amp;$G$89&amp;"'"&amp;"!$g:$g"),INDIRECT("'"&amp;$G$89&amp;"'"&amp;"!$a:$a"),$H95)</f>
        <v>0</v>
      </c>
      <c r="O95" s="83">
        <f ca="1">SUMIFS(INDIRECT("'"&amp;$G$89&amp;"'"&amp;"!$h:$h"),INDIRECT("'"&amp;$G$89&amp;"'"&amp;"!$a:$a"),$H95)</f>
        <v>0</v>
      </c>
      <c r="P95" s="83">
        <f ca="1">SUMIFS(INDIRECT("'"&amp;$G$89&amp;"'"&amp;"!$i:$i"),INDIRECT("'"&amp;$G$89&amp;"'"&amp;"!$a:$a"),$H95)</f>
        <v>0</v>
      </c>
      <c r="Q95" s="83">
        <f ca="1">SUMIFS(INDIRECT("'"&amp;$G$89&amp;"'"&amp;"!$j:$j"),INDIRECT("'"&amp;$G$89&amp;"'"&amp;"!$a:$a"),$H95)</f>
        <v>0</v>
      </c>
      <c r="R95" s="83">
        <f ca="1">SUMIFS(INDIRECT("'"&amp;$G$89&amp;"'"&amp;"!$k:$k"),INDIRECT("'"&amp;$G$89&amp;"'"&amp;"!$a:$a"),$H95)</f>
        <v>0</v>
      </c>
      <c r="S95" s="83">
        <f ca="1">SUMIFS(INDIRECT("'"&amp;$G$89&amp;"'"&amp;"!$l:$l"),INDIRECT("'"&amp;$G$89&amp;"'"&amp;"!$a:$a"),$H95)</f>
        <v>0</v>
      </c>
      <c r="T95" s="83">
        <f ca="1">SUMIFS(INDIRECT("'"&amp;$G$89&amp;"'"&amp;"!$m:$m"),INDIRECT("'"&amp;$G$89&amp;"'"&amp;"!$a:$a"),$H95)</f>
        <v>0</v>
      </c>
      <c r="U95" s="83">
        <f t="shared" ca="1" si="31"/>
        <v>0</v>
      </c>
    </row>
    <row r="96" spans="6:21">
      <c r="I96" s="84">
        <f ca="1">+I91-SUM(I92:I95)</f>
        <v>620613.20000000054</v>
      </c>
      <c r="J96" s="84">
        <f t="shared" ref="J96:U96" ca="1" si="32">+J91-SUM(J92:J95)</f>
        <v>672922.38</v>
      </c>
      <c r="K96" s="84">
        <f t="shared" ca="1" si="32"/>
        <v>667826.20000000112</v>
      </c>
      <c r="L96" s="84">
        <f t="shared" ca="1" si="32"/>
        <v>503506.20000000007</v>
      </c>
      <c r="M96" s="84">
        <f t="shared" ca="1" si="32"/>
        <v>-793425.53999999992</v>
      </c>
      <c r="N96" s="84">
        <f t="shared" ca="1" si="32"/>
        <v>554264.28000000049</v>
      </c>
      <c r="O96" s="84">
        <f t="shared" ca="1" si="32"/>
        <v>644973.85999999964</v>
      </c>
      <c r="P96" s="84">
        <f t="shared" ca="1" si="32"/>
        <v>723585.73000000056</v>
      </c>
      <c r="Q96" s="84">
        <f t="shared" ca="1" si="32"/>
        <v>601436.81999999995</v>
      </c>
      <c r="R96" s="84">
        <f t="shared" ca="1" si="32"/>
        <v>555324.11000000057</v>
      </c>
      <c r="S96" s="84">
        <f t="shared" ca="1" si="32"/>
        <v>-3079584.7999999989</v>
      </c>
      <c r="T96" s="84">
        <f t="shared" ca="1" si="32"/>
        <v>0</v>
      </c>
      <c r="U96" s="84">
        <f t="shared" ca="1" si="32"/>
        <v>1671442.4400000039</v>
      </c>
    </row>
    <row r="97" spans="6:21">
      <c r="I97" s="83"/>
      <c r="J97" s="83"/>
      <c r="K97" s="83"/>
      <c r="L97" s="83"/>
      <c r="M97" s="83"/>
      <c r="N97" s="83"/>
      <c r="O97" s="83"/>
      <c r="P97" s="83"/>
      <c r="Q97" s="83"/>
      <c r="R97" s="83"/>
      <c r="S97" s="83"/>
      <c r="T97" s="83"/>
    </row>
    <row r="98" spans="6:21">
      <c r="G98" s="96" t="s">
        <v>330</v>
      </c>
      <c r="H98" s="24" t="s">
        <v>332</v>
      </c>
      <c r="I98" s="83">
        <f ca="1">+Summary!G78</f>
        <v>620614</v>
      </c>
      <c r="J98" s="83">
        <f ca="1">+Summary!H78</f>
        <v>672922</v>
      </c>
      <c r="K98" s="83">
        <f ca="1">+Summary!I78</f>
        <v>667827</v>
      </c>
      <c r="L98" s="83">
        <f ca="1">+Summary!J78</f>
        <v>503507</v>
      </c>
      <c r="M98" s="83">
        <f ca="1">+Summary!K78</f>
        <v>507731</v>
      </c>
      <c r="N98" s="83">
        <f ca="1">+Summary!L78</f>
        <v>554265</v>
      </c>
      <c r="O98" s="83">
        <f ca="1">+Summary!M78</f>
        <v>644975</v>
      </c>
      <c r="P98" s="83">
        <f ca="1">+Summary!N78</f>
        <v>723586</v>
      </c>
      <c r="Q98" s="83">
        <f ca="1">+Summary!O78</f>
        <v>601437</v>
      </c>
      <c r="R98" s="83">
        <f ca="1">+Summary!P78</f>
        <v>555325</v>
      </c>
      <c r="S98" s="83">
        <f ca="1">+Summary!Q78</f>
        <v>475341</v>
      </c>
      <c r="T98" s="83">
        <f ca="1">+Summary!R78</f>
        <v>58</v>
      </c>
      <c r="U98" s="83">
        <f ca="1">+Summary!S78</f>
        <v>6527530</v>
      </c>
    </row>
    <row r="99" spans="6:21">
      <c r="I99" s="83">
        <f t="shared" ref="I99:U99" ca="1" si="33">+I96-I98</f>
        <v>-0.79999999946448952</v>
      </c>
      <c r="J99" s="83">
        <f t="shared" ca="1" si="33"/>
        <v>0.38000000000465661</v>
      </c>
      <c r="K99" s="83">
        <f t="shared" ca="1" si="33"/>
        <v>-0.79999999888241291</v>
      </c>
      <c r="L99" s="83">
        <f t="shared" ca="1" si="33"/>
        <v>-0.79999999993015081</v>
      </c>
      <c r="M99" s="83">
        <f t="shared" ca="1" si="33"/>
        <v>-1301156.54</v>
      </c>
      <c r="N99" s="83">
        <f t="shared" ca="1" si="33"/>
        <v>-0.71999999950639904</v>
      </c>
      <c r="O99" s="83">
        <f t="shared" ca="1" si="33"/>
        <v>-1.1400000003632158</v>
      </c>
      <c r="P99" s="83">
        <f t="shared" ca="1" si="33"/>
        <v>-0.26999999943654984</v>
      </c>
      <c r="Q99" s="83">
        <f t="shared" ca="1" si="33"/>
        <v>-0.18000000005122274</v>
      </c>
      <c r="R99" s="83">
        <f t="shared" ca="1" si="33"/>
        <v>-0.88999999943189323</v>
      </c>
      <c r="S99" s="83">
        <f t="shared" ca="1" si="33"/>
        <v>-3554925.7999999989</v>
      </c>
      <c r="T99" s="83">
        <f t="shared" ca="1" si="33"/>
        <v>-58</v>
      </c>
      <c r="U99" s="83">
        <f t="shared" ca="1" si="33"/>
        <v>-4856087.5599999959</v>
      </c>
    </row>
    <row r="102" spans="6:21">
      <c r="F102" s="24">
        <v>8</v>
      </c>
      <c r="G102" s="96" t="s">
        <v>275</v>
      </c>
    </row>
    <row r="103" spans="6:21">
      <c r="G103" s="88" t="s">
        <v>301</v>
      </c>
      <c r="I103" s="97" t="str">
        <f>+Summary!$W$9</f>
        <v>Aug 2021</v>
      </c>
      <c r="J103" s="97" t="str">
        <f>+Summary!$X$9</f>
        <v>Sep 2021</v>
      </c>
      <c r="K103" s="97" t="str">
        <f>+Summary!$Y$9</f>
        <v>Oct 2021</v>
      </c>
      <c r="L103" s="97" t="str">
        <f>+Summary!$Z$9</f>
        <v>Nov 2021</v>
      </c>
      <c r="M103" s="97" t="str">
        <f>+Summary!$AA$9</f>
        <v>Dec 2021</v>
      </c>
      <c r="N103" s="97" t="str">
        <f>+Summary!$AB$9</f>
        <v>Jan 2022</v>
      </c>
      <c r="O103" s="97" t="str">
        <f>+Summary!$AC$9</f>
        <v>Feb 2022</v>
      </c>
      <c r="P103" s="97" t="str">
        <f>+Summary!$AD$9</f>
        <v>Mar 2022</v>
      </c>
      <c r="Q103" s="97" t="str">
        <f>+Summary!$AE$9</f>
        <v>Apr 2022</v>
      </c>
      <c r="R103" s="97" t="str">
        <f>+Summary!$AF$9</f>
        <v>May 2022</v>
      </c>
      <c r="S103" s="97" t="str">
        <f>+Summary!$AG$9</f>
        <v>Jun 2022</v>
      </c>
      <c r="T103" s="97" t="str">
        <f>+Summary!$AH$9</f>
        <v>Jul 2022</v>
      </c>
      <c r="U103" s="84" t="s">
        <v>335</v>
      </c>
    </row>
    <row r="104" spans="6:21">
      <c r="G104" s="96" t="s">
        <v>331</v>
      </c>
      <c r="H104" s="96" t="s">
        <v>329</v>
      </c>
    </row>
    <row r="105" spans="6:21">
      <c r="H105" s="24" t="s">
        <v>13</v>
      </c>
      <c r="I105" s="83">
        <f ca="1">SUMIFS(INDIRECT("'"&amp;$G$103&amp;"'"&amp;"!$b:$b"),INDIRECT("'"&amp;$G$103&amp;"'"&amp;"!$a:$a"),$H105)/2</f>
        <v>309800.71000000008</v>
      </c>
      <c r="J105" s="83">
        <f ca="1">SUMIFS(INDIRECT("'"&amp;$G$103&amp;"'"&amp;"!$c:$c"),INDIRECT("'"&amp;$G$103&amp;"'"&amp;"!$a:$a"),$H105)/2</f>
        <v>352688.66000000021</v>
      </c>
      <c r="K105" s="83">
        <f ca="1">SUMIFS(INDIRECT("'"&amp;$G$103&amp;"'"&amp;"!$d:$d"),INDIRECT("'"&amp;$G$103&amp;"'"&amp;"!$a:$a"),$H105)/2</f>
        <v>379113.58999999985</v>
      </c>
      <c r="L105" s="83">
        <f ca="1">SUMIFS(INDIRECT("'"&amp;$G$103&amp;"'"&amp;"!$e:$e"),INDIRECT("'"&amp;$G$103&amp;"'"&amp;"!$a:$a"),$H105)/2</f>
        <v>358368.63999999996</v>
      </c>
      <c r="M105" s="83">
        <f ca="1">SUMIFS(INDIRECT("'"&amp;$G$103&amp;"'"&amp;"!$f:$f"),INDIRECT("'"&amp;$G$103&amp;"'"&amp;"!$a:$a"),$H105)/2</f>
        <v>299186.07000000007</v>
      </c>
      <c r="N105" s="83">
        <f ca="1">SUMIFS(INDIRECT("'"&amp;$G$103&amp;"'"&amp;"!$g:$g"),INDIRECT("'"&amp;$G$103&amp;"'"&amp;"!$a:$a"),$H105)/2</f>
        <v>375375.45000000036</v>
      </c>
      <c r="O105" s="83">
        <f ca="1">SUMIFS(INDIRECT("'"&amp;$G$103&amp;"'"&amp;"!$h:$h"),INDIRECT("'"&amp;$G$103&amp;"'"&amp;"!$a:$a"),$H105)/2</f>
        <v>363773.73999999964</v>
      </c>
      <c r="P105" s="83">
        <f ca="1">SUMIFS(INDIRECT("'"&amp;$G$103&amp;"'"&amp;"!$i:$i"),INDIRECT("'"&amp;$G$103&amp;"'"&amp;"!$a:$a"),$H105)/2</f>
        <v>376954.03999999928</v>
      </c>
      <c r="Q105" s="83">
        <f ca="1">SUMIFS(INDIRECT("'"&amp;$G$103&amp;"'"&amp;"!$j:$j"),INDIRECT("'"&amp;$G$103&amp;"'"&amp;"!$a:$a"),$H105)/2</f>
        <v>333752.19</v>
      </c>
      <c r="R105" s="83">
        <f ca="1">SUMIFS(INDIRECT("'"&amp;$G$103&amp;"'"&amp;"!$k:$k"),INDIRECT("'"&amp;$G$103&amp;"'"&amp;"!$a:$a"),$H105)/2</f>
        <v>353795.98999999993</v>
      </c>
      <c r="S105" s="83">
        <f ca="1">SUMIFS(INDIRECT("'"&amp;$G$103&amp;"'"&amp;"!$l:$l"),INDIRECT("'"&amp;$G$103&amp;"'"&amp;"!$a:$a"),$H105)/2</f>
        <v>336004.29000000004</v>
      </c>
      <c r="T105" s="83">
        <f ca="1">SUMIFS(INDIRECT("'"&amp;$G$103&amp;"'"&amp;"!$m:$m"),INDIRECT("'"&amp;$G$103&amp;"'"&amp;"!$a:$a"),$H105)/2</f>
        <v>468084.00000000006</v>
      </c>
      <c r="U105" s="83">
        <f ca="1">+SUM(I105:T105)</f>
        <v>4306897.3699999992</v>
      </c>
    </row>
    <row r="106" spans="6:21">
      <c r="H106" s="24" t="s">
        <v>134</v>
      </c>
      <c r="I106" s="83">
        <f ca="1">SUMIFS(INDIRECT("'"&amp;$G$103&amp;"'"&amp;"!$b:$b"),INDIRECT("'"&amp;$G$103&amp;"'"&amp;"!$a:$a"),$H106)</f>
        <v>0</v>
      </c>
      <c r="J106" s="83">
        <f ca="1">SUMIFS(INDIRECT("'"&amp;$G$103&amp;"'"&amp;"!$c:$c"),INDIRECT("'"&amp;$G$103&amp;"'"&amp;"!$a:$a"),$H106)</f>
        <v>0</v>
      </c>
      <c r="K106" s="83">
        <f ca="1">SUMIFS(INDIRECT("'"&amp;$G$103&amp;"'"&amp;"!$d:$d"),INDIRECT("'"&amp;$G$103&amp;"'"&amp;"!$a:$a"),$H106)</f>
        <v>0</v>
      </c>
      <c r="L106" s="83">
        <f ca="1">SUMIFS(INDIRECT("'"&amp;$G$103&amp;"'"&amp;"!$e:$e"),INDIRECT("'"&amp;$G$103&amp;"'"&amp;"!$a:$a"),$H106)</f>
        <v>0</v>
      </c>
      <c r="M106" s="83">
        <f ca="1">SUMIFS(INDIRECT("'"&amp;$G$103&amp;"'"&amp;"!$f:$f"),INDIRECT("'"&amp;$G$103&amp;"'"&amp;"!$a:$a"),$H106)</f>
        <v>0</v>
      </c>
      <c r="N106" s="83">
        <f ca="1">SUMIFS(INDIRECT("'"&amp;$G$103&amp;"'"&amp;"!$g:$g"),INDIRECT("'"&amp;$G$103&amp;"'"&amp;"!$a:$a"),$H106)</f>
        <v>0</v>
      </c>
      <c r="O106" s="83">
        <f ca="1">SUMIFS(INDIRECT("'"&amp;$G$103&amp;"'"&amp;"!$h:$h"),INDIRECT("'"&amp;$G$103&amp;"'"&amp;"!$a:$a"),$H106)</f>
        <v>0</v>
      </c>
      <c r="P106" s="83">
        <f ca="1">SUMIFS(INDIRECT("'"&amp;$G$103&amp;"'"&amp;"!$i:$i"),INDIRECT("'"&amp;$G$103&amp;"'"&amp;"!$a:$a"),$H106)</f>
        <v>2.1800000000000002</v>
      </c>
      <c r="Q106" s="83">
        <f ca="1">SUMIFS(INDIRECT("'"&amp;$G$103&amp;"'"&amp;"!$j:$j"),INDIRECT("'"&amp;$G$103&amp;"'"&amp;"!$a:$a"),$H106)</f>
        <v>0</v>
      </c>
      <c r="R106" s="83">
        <f ca="1">SUMIFS(INDIRECT("'"&amp;$G$103&amp;"'"&amp;"!$k:$k"),INDIRECT("'"&amp;$G$103&amp;"'"&amp;"!$a:$a"),$H106)</f>
        <v>0</v>
      </c>
      <c r="S106" s="83">
        <f ca="1">SUMIFS(INDIRECT("'"&amp;$G$103&amp;"'"&amp;"!$l:$l"),INDIRECT("'"&amp;$G$103&amp;"'"&amp;"!$a:$a"),$H106)</f>
        <v>0</v>
      </c>
      <c r="T106" s="83">
        <f ca="1">SUMIFS(INDIRECT("'"&amp;$G$103&amp;"'"&amp;"!$m:$m"),INDIRECT("'"&amp;$G$103&amp;"'"&amp;"!$a:$a"),$H106)</f>
        <v>0</v>
      </c>
      <c r="U106" s="83">
        <f t="shared" ref="U106:U109" ca="1" si="34">+SUM(I106:T106)</f>
        <v>2.1800000000000002</v>
      </c>
    </row>
    <row r="107" spans="6:21">
      <c r="H107" s="85" t="s">
        <v>132</v>
      </c>
      <c r="I107" s="83">
        <f ca="1">SUMIFS(INDIRECT("'"&amp;$G$103&amp;"'"&amp;"!$b:$b"),INDIRECT("'"&amp;$G$103&amp;"'"&amp;"!$a:$a"),$H107)</f>
        <v>0</v>
      </c>
      <c r="J107" s="83">
        <f ca="1">SUMIFS(INDIRECT("'"&amp;$G$103&amp;"'"&amp;"!$c:$c"),INDIRECT("'"&amp;$G$103&amp;"'"&amp;"!$a:$a"),$H107)</f>
        <v>160.43</v>
      </c>
      <c r="K107" s="83">
        <f ca="1">SUMIFS(INDIRECT("'"&amp;$G$103&amp;"'"&amp;"!$d:$d"),INDIRECT("'"&amp;$G$103&amp;"'"&amp;"!$a:$a"),$H107)</f>
        <v>332.83</v>
      </c>
      <c r="L107" s="83">
        <f ca="1">SUMIFS(INDIRECT("'"&amp;$G$103&amp;"'"&amp;"!$e:$e"),INDIRECT("'"&amp;$G$103&amp;"'"&amp;"!$a:$a"),$H107)</f>
        <v>77.569999999999993</v>
      </c>
      <c r="M107" s="83">
        <f ca="1">SUMIFS(INDIRECT("'"&amp;$G$103&amp;"'"&amp;"!$f:$f"),INDIRECT("'"&amp;$G$103&amp;"'"&amp;"!$a:$a"),$H107)</f>
        <v>636.52</v>
      </c>
      <c r="N107" s="83">
        <f ca="1">SUMIFS(INDIRECT("'"&amp;$G$103&amp;"'"&amp;"!$g:$g"),INDIRECT("'"&amp;$G$103&amp;"'"&amp;"!$a:$a"),$H107)</f>
        <v>327.55</v>
      </c>
      <c r="O107" s="83">
        <f ca="1">SUMIFS(INDIRECT("'"&amp;$G$103&amp;"'"&amp;"!$h:$h"),INDIRECT("'"&amp;$G$103&amp;"'"&amp;"!$a:$a"),$H107)</f>
        <v>152.81</v>
      </c>
      <c r="P107" s="83">
        <f ca="1">SUMIFS(INDIRECT("'"&amp;$G$103&amp;"'"&amp;"!$i:$i"),INDIRECT("'"&amp;$G$103&amp;"'"&amp;"!$a:$a"),$H107)</f>
        <v>924.44</v>
      </c>
      <c r="Q107" s="83">
        <f ca="1">SUMIFS(INDIRECT("'"&amp;$G$103&amp;"'"&amp;"!$j:$j"),INDIRECT("'"&amp;$G$103&amp;"'"&amp;"!$a:$a"),$H107)</f>
        <v>0</v>
      </c>
      <c r="R107" s="83">
        <f ca="1">SUMIFS(INDIRECT("'"&amp;$G$103&amp;"'"&amp;"!$k:$k"),INDIRECT("'"&amp;$G$103&amp;"'"&amp;"!$a:$a"),$H107)</f>
        <v>0</v>
      </c>
      <c r="S107" s="83">
        <f ca="1">SUMIFS(INDIRECT("'"&amp;$G$103&amp;"'"&amp;"!$l:$l"),INDIRECT("'"&amp;$G$103&amp;"'"&amp;"!$a:$a"),$H107)</f>
        <v>4267.24</v>
      </c>
      <c r="T107" s="83">
        <f ca="1">SUMIFS(INDIRECT("'"&amp;$G$103&amp;"'"&amp;"!$m:$m"),INDIRECT("'"&amp;$G$103&amp;"'"&amp;"!$a:$a"),$H107)</f>
        <v>1807.05</v>
      </c>
      <c r="U107" s="83">
        <f t="shared" ca="1" si="34"/>
        <v>8686.4399999999987</v>
      </c>
    </row>
    <row r="108" spans="6:21">
      <c r="H108" s="85" t="s">
        <v>327</v>
      </c>
      <c r="I108" s="83">
        <f ca="1">SUMIFS(INDIRECT("'"&amp;$G$103&amp;"'"&amp;"!$b:$b"),INDIRECT("'"&amp;$G$103&amp;"'"&amp;"!$a:$a"),$H108)</f>
        <v>0</v>
      </c>
      <c r="J108" s="83">
        <f ca="1">SUMIFS(INDIRECT("'"&amp;$G$103&amp;"'"&amp;"!$c:$c"),INDIRECT("'"&amp;$G$103&amp;"'"&amp;"!$a:$a"),$H108)</f>
        <v>0</v>
      </c>
      <c r="K108" s="83">
        <f ca="1">SUMIFS(INDIRECT("'"&amp;$G$103&amp;"'"&amp;"!$d:$d"),INDIRECT("'"&amp;$G$103&amp;"'"&amp;"!$a:$a"),$H108)</f>
        <v>0</v>
      </c>
      <c r="L108" s="83">
        <f ca="1">SUMIFS(INDIRECT("'"&amp;$G$103&amp;"'"&amp;"!$e:$e"),INDIRECT("'"&amp;$G$103&amp;"'"&amp;"!$a:$a"),$H108)</f>
        <v>0</v>
      </c>
      <c r="M108" s="83">
        <f ca="1">SUMIFS(INDIRECT("'"&amp;$G$103&amp;"'"&amp;"!$f:$f"),INDIRECT("'"&amp;$G$103&amp;"'"&amp;"!$a:$a"),$H108)</f>
        <v>0</v>
      </c>
      <c r="N108" s="83">
        <f ca="1">SUMIFS(INDIRECT("'"&amp;$G$103&amp;"'"&amp;"!$g:$g"),INDIRECT("'"&amp;$G$103&amp;"'"&amp;"!$a:$a"),$H108)</f>
        <v>0</v>
      </c>
      <c r="O108" s="83">
        <f ca="1">SUMIFS(INDIRECT("'"&amp;$G$103&amp;"'"&amp;"!$h:$h"),INDIRECT("'"&amp;$G$103&amp;"'"&amp;"!$a:$a"),$H108)</f>
        <v>0</v>
      </c>
      <c r="P108" s="83">
        <f ca="1">SUMIFS(INDIRECT("'"&amp;$G$103&amp;"'"&amp;"!$i:$i"),INDIRECT("'"&amp;$G$103&amp;"'"&amp;"!$a:$a"),$H108)</f>
        <v>0</v>
      </c>
      <c r="Q108" s="83">
        <f ca="1">SUMIFS(INDIRECT("'"&amp;$G$103&amp;"'"&amp;"!$j:$j"),INDIRECT("'"&amp;$G$103&amp;"'"&amp;"!$a:$a"),$H108)</f>
        <v>0</v>
      </c>
      <c r="R108" s="83">
        <f ca="1">SUMIFS(INDIRECT("'"&amp;$G$103&amp;"'"&amp;"!$k:$k"),INDIRECT("'"&amp;$G$103&amp;"'"&amp;"!$a:$a"),$H108)</f>
        <v>0</v>
      </c>
      <c r="S108" s="83">
        <f ca="1">SUMIFS(INDIRECT("'"&amp;$G$103&amp;"'"&amp;"!$l:$l"),INDIRECT("'"&amp;$G$103&amp;"'"&amp;"!$a:$a"),$H108)</f>
        <v>0</v>
      </c>
      <c r="T108" s="83">
        <f ca="1">SUMIFS(INDIRECT("'"&amp;$G$103&amp;"'"&amp;"!$m:$m"),INDIRECT("'"&amp;$G$103&amp;"'"&amp;"!$a:$a"),$H108)</f>
        <v>0</v>
      </c>
      <c r="U108" s="83">
        <f t="shared" ca="1" si="34"/>
        <v>0</v>
      </c>
    </row>
    <row r="109" spans="6:21">
      <c r="H109" s="85" t="s">
        <v>282</v>
      </c>
      <c r="I109" s="83">
        <f ca="1">SUMIFS(INDIRECT("'"&amp;$G$103&amp;"'"&amp;"!$b:$b"),INDIRECT("'"&amp;$G$103&amp;"'"&amp;"!$a:$a"),$H109)</f>
        <v>0</v>
      </c>
      <c r="J109" s="83">
        <f ca="1">SUMIFS(INDIRECT("'"&amp;$G$103&amp;"'"&amp;"!$c:$c"),INDIRECT("'"&amp;$G$103&amp;"'"&amp;"!$a:$a"),$H109)</f>
        <v>0</v>
      </c>
      <c r="K109" s="83">
        <f ca="1">SUMIFS(INDIRECT("'"&amp;$G$103&amp;"'"&amp;"!$d:$d"),INDIRECT("'"&amp;$G$103&amp;"'"&amp;"!$a:$a"),$H109)</f>
        <v>0</v>
      </c>
      <c r="L109" s="83">
        <f ca="1">SUMIFS(INDIRECT("'"&amp;$G$103&amp;"'"&amp;"!$e:$e"),INDIRECT("'"&amp;$G$103&amp;"'"&amp;"!$a:$a"),$H109)</f>
        <v>0</v>
      </c>
      <c r="M109" s="83">
        <f ca="1">SUMIFS(INDIRECT("'"&amp;$G$103&amp;"'"&amp;"!$f:$f"),INDIRECT("'"&amp;$G$103&amp;"'"&amp;"!$a:$a"),$H109)</f>
        <v>0</v>
      </c>
      <c r="N109" s="83">
        <f ca="1">SUMIFS(INDIRECT("'"&amp;$G$103&amp;"'"&amp;"!$g:$g"),INDIRECT("'"&amp;$G$103&amp;"'"&amp;"!$a:$a"),$H109)</f>
        <v>0</v>
      </c>
      <c r="O109" s="83">
        <f ca="1">SUMIFS(INDIRECT("'"&amp;$G$103&amp;"'"&amp;"!$h:$h"),INDIRECT("'"&amp;$G$103&amp;"'"&amp;"!$a:$a"),$H109)</f>
        <v>0</v>
      </c>
      <c r="P109" s="83">
        <f ca="1">SUMIFS(INDIRECT("'"&amp;$G$103&amp;"'"&amp;"!$i:$i"),INDIRECT("'"&amp;$G$103&amp;"'"&amp;"!$a:$a"),$H109)</f>
        <v>0</v>
      </c>
      <c r="Q109" s="83">
        <f ca="1">SUMIFS(INDIRECT("'"&amp;$G$103&amp;"'"&amp;"!$j:$j"),INDIRECT("'"&amp;$G$103&amp;"'"&amp;"!$a:$a"),$H109)</f>
        <v>0</v>
      </c>
      <c r="R109" s="83">
        <f ca="1">SUMIFS(INDIRECT("'"&amp;$G$103&amp;"'"&amp;"!$k:$k"),INDIRECT("'"&amp;$G$103&amp;"'"&amp;"!$a:$a"),$H109)</f>
        <v>0</v>
      </c>
      <c r="S109" s="83">
        <f ca="1">SUMIFS(INDIRECT("'"&amp;$G$103&amp;"'"&amp;"!$l:$l"),INDIRECT("'"&amp;$G$103&amp;"'"&amp;"!$a:$a"),$H109)</f>
        <v>0</v>
      </c>
      <c r="T109" s="83">
        <f ca="1">SUMIFS(INDIRECT("'"&amp;$G$103&amp;"'"&amp;"!$m:$m"),INDIRECT("'"&amp;$G$103&amp;"'"&amp;"!$a:$a"),$H109)</f>
        <v>0</v>
      </c>
      <c r="U109" s="83">
        <f t="shared" ca="1" si="34"/>
        <v>0</v>
      </c>
    </row>
    <row r="110" spans="6:21">
      <c r="I110" s="84">
        <f ca="1">+I105-SUM(I106:I109)</f>
        <v>309800.71000000008</v>
      </c>
      <c r="J110" s="84">
        <f t="shared" ref="J110:U110" ca="1" si="35">+J105-SUM(J106:J109)</f>
        <v>352528.23000000021</v>
      </c>
      <c r="K110" s="84">
        <f t="shared" ca="1" si="35"/>
        <v>378780.75999999983</v>
      </c>
      <c r="L110" s="84">
        <f t="shared" ca="1" si="35"/>
        <v>358291.06999999995</v>
      </c>
      <c r="M110" s="84">
        <f t="shared" ca="1" si="35"/>
        <v>298549.55000000005</v>
      </c>
      <c r="N110" s="84">
        <f t="shared" ca="1" si="35"/>
        <v>375047.90000000037</v>
      </c>
      <c r="O110" s="84">
        <f t="shared" ca="1" si="35"/>
        <v>363620.92999999964</v>
      </c>
      <c r="P110" s="84">
        <f t="shared" ca="1" si="35"/>
        <v>376027.41999999929</v>
      </c>
      <c r="Q110" s="84">
        <f t="shared" ca="1" si="35"/>
        <v>333752.19</v>
      </c>
      <c r="R110" s="84">
        <f t="shared" ca="1" si="35"/>
        <v>353795.98999999993</v>
      </c>
      <c r="S110" s="84">
        <f t="shared" ca="1" si="35"/>
        <v>331737.05000000005</v>
      </c>
      <c r="T110" s="84">
        <f t="shared" ca="1" si="35"/>
        <v>466276.95000000007</v>
      </c>
      <c r="U110" s="84">
        <f t="shared" ca="1" si="35"/>
        <v>4298208.7499999991</v>
      </c>
    </row>
    <row r="111" spans="6:21">
      <c r="I111" s="83"/>
      <c r="J111" s="83"/>
      <c r="K111" s="83"/>
      <c r="L111" s="83"/>
      <c r="M111" s="83"/>
      <c r="N111" s="83"/>
      <c r="O111" s="83"/>
      <c r="P111" s="83"/>
      <c r="Q111" s="83"/>
      <c r="R111" s="83"/>
      <c r="S111" s="83"/>
      <c r="T111" s="83"/>
    </row>
    <row r="112" spans="6:21">
      <c r="G112" s="96" t="s">
        <v>330</v>
      </c>
      <c r="H112" s="24" t="s">
        <v>332</v>
      </c>
      <c r="I112" s="83">
        <f ca="1">+Summary!G89</f>
        <v>309801</v>
      </c>
      <c r="J112" s="83">
        <f ca="1">+Summary!H89</f>
        <v>352528</v>
      </c>
      <c r="K112" s="83">
        <f ca="1">+Summary!I89</f>
        <v>378780</v>
      </c>
      <c r="L112" s="83">
        <f ca="1">+Summary!J89</f>
        <v>358291</v>
      </c>
      <c r="M112" s="83">
        <f ca="1">+Summary!K89</f>
        <v>298549</v>
      </c>
      <c r="N112" s="83">
        <f ca="1">+Summary!L89</f>
        <v>375048</v>
      </c>
      <c r="O112" s="83">
        <f ca="1">+Summary!M89</f>
        <v>363620</v>
      </c>
      <c r="P112" s="83">
        <f ca="1">+Summary!N89</f>
        <v>376029</v>
      </c>
      <c r="Q112" s="83">
        <f ca="1">+Summary!O89</f>
        <v>333752</v>
      </c>
      <c r="R112" s="83">
        <f ca="1">+Summary!P89</f>
        <v>353795</v>
      </c>
      <c r="S112" s="83">
        <f ca="1">+Summary!Q89</f>
        <v>331737</v>
      </c>
      <c r="T112" s="83">
        <f ca="1">+Summary!R89</f>
        <v>466277</v>
      </c>
      <c r="U112" s="83">
        <f ca="1">+Summary!S89</f>
        <v>4298207</v>
      </c>
    </row>
    <row r="113" spans="6:21">
      <c r="I113" s="83">
        <f t="shared" ref="I113:U113" ca="1" si="36">+I110-I112</f>
        <v>-0.28999999992083758</v>
      </c>
      <c r="J113" s="83">
        <f t="shared" ca="1" si="36"/>
        <v>0.23000000021420419</v>
      </c>
      <c r="K113" s="83">
        <f t="shared" ca="1" si="36"/>
        <v>0.75999999983469024</v>
      </c>
      <c r="L113" s="83">
        <f t="shared" ca="1" si="36"/>
        <v>6.9999999948777258E-2</v>
      </c>
      <c r="M113" s="83">
        <f t="shared" ca="1" si="36"/>
        <v>0.55000000004656613</v>
      </c>
      <c r="N113" s="83">
        <f t="shared" ca="1" si="36"/>
        <v>-9.999999962747097E-2</v>
      </c>
      <c r="O113" s="83">
        <f t="shared" ca="1" si="36"/>
        <v>0.92999999964376912</v>
      </c>
      <c r="P113" s="83">
        <f t="shared" ca="1" si="36"/>
        <v>-1.5800000007147901</v>
      </c>
      <c r="Q113" s="83">
        <f t="shared" ca="1" si="36"/>
        <v>0.19000000000232831</v>
      </c>
      <c r="R113" s="83">
        <f t="shared" ca="1" si="36"/>
        <v>0.98999999993247911</v>
      </c>
      <c r="S113" s="83">
        <f t="shared" ca="1" si="36"/>
        <v>5.0000000046566129E-2</v>
      </c>
      <c r="T113" s="83">
        <f t="shared" ca="1" si="36"/>
        <v>-4.9999999930150807E-2</v>
      </c>
      <c r="U113" s="83">
        <f t="shared" ca="1" si="36"/>
        <v>1.7499999990686774</v>
      </c>
    </row>
    <row r="116" spans="6:21">
      <c r="F116" s="24">
        <v>9</v>
      </c>
      <c r="G116" s="96" t="s">
        <v>276</v>
      </c>
    </row>
    <row r="117" spans="6:21">
      <c r="G117" s="88" t="s">
        <v>302</v>
      </c>
      <c r="I117" s="97" t="str">
        <f>+Summary!$W$9</f>
        <v>Aug 2021</v>
      </c>
      <c r="J117" s="97" t="str">
        <f>+Summary!$X$9</f>
        <v>Sep 2021</v>
      </c>
      <c r="K117" s="97" t="str">
        <f>+Summary!$Y$9</f>
        <v>Oct 2021</v>
      </c>
      <c r="L117" s="97" t="str">
        <f>+Summary!$Z$9</f>
        <v>Nov 2021</v>
      </c>
      <c r="M117" s="97" t="str">
        <f>+Summary!$AA$9</f>
        <v>Dec 2021</v>
      </c>
      <c r="N117" s="97" t="str">
        <f>+Summary!$AB$9</f>
        <v>Jan 2022</v>
      </c>
      <c r="O117" s="97" t="str">
        <f>+Summary!$AC$9</f>
        <v>Feb 2022</v>
      </c>
      <c r="P117" s="97" t="str">
        <f>+Summary!$AD$9</f>
        <v>Mar 2022</v>
      </c>
      <c r="Q117" s="97" t="str">
        <f>+Summary!$AE$9</f>
        <v>Apr 2022</v>
      </c>
      <c r="R117" s="97" t="str">
        <f>+Summary!$AF$9</f>
        <v>May 2022</v>
      </c>
      <c r="S117" s="97" t="str">
        <f>+Summary!$AG$9</f>
        <v>Jun 2022</v>
      </c>
      <c r="T117" s="97" t="str">
        <f>+Summary!$AH$9</f>
        <v>Jul 2022</v>
      </c>
      <c r="U117" s="84" t="s">
        <v>335</v>
      </c>
    </row>
    <row r="118" spans="6:21">
      <c r="G118" s="96" t="s">
        <v>331</v>
      </c>
      <c r="H118" s="96" t="s">
        <v>329</v>
      </c>
    </row>
    <row r="119" spans="6:21">
      <c r="H119" s="24" t="s">
        <v>13</v>
      </c>
      <c r="I119" s="83">
        <f ca="1">SUMIFS(INDIRECT("'"&amp;$G$117&amp;"'"&amp;"!$b:$b"),INDIRECT("'"&amp;$G$117&amp;"'"&amp;"!$a:$a"),$H119)/2</f>
        <v>424987.30999999942</v>
      </c>
      <c r="J119" s="83">
        <f ca="1">SUMIFS(INDIRECT("'"&amp;$G$117&amp;"'"&amp;"!$c:$c"),INDIRECT("'"&amp;$G$117&amp;"'"&amp;"!$a:$a"),$H119)/2</f>
        <v>502484.83</v>
      </c>
      <c r="K119" s="83">
        <f ca="1">SUMIFS(INDIRECT("'"&amp;$G$117&amp;"'"&amp;"!$d:$d"),INDIRECT("'"&amp;$G$117&amp;"'"&amp;"!$a:$a"),$H119)/2</f>
        <v>469997.37999999936</v>
      </c>
      <c r="L119" s="83">
        <f ca="1">SUMIFS(INDIRECT("'"&amp;$G$117&amp;"'"&amp;"!$e:$e"),INDIRECT("'"&amp;$G$117&amp;"'"&amp;"!$a:$a"),$H119)/2</f>
        <v>449580.47999999981</v>
      </c>
      <c r="M119" s="83">
        <f ca="1">SUMIFS(INDIRECT("'"&amp;$G$117&amp;"'"&amp;"!$f:$f"),INDIRECT("'"&amp;$G$117&amp;"'"&amp;"!$a:$a"),$H119)/2</f>
        <v>444523.38000000041</v>
      </c>
      <c r="N119" s="83">
        <f ca="1">SUMIFS(INDIRECT("'"&amp;$G$117&amp;"'"&amp;"!$g:$g"),INDIRECT("'"&amp;$G$117&amp;"'"&amp;"!$a:$a"),$H119)/2</f>
        <v>475012.59000000032</v>
      </c>
      <c r="O119" s="83">
        <f ca="1">SUMIFS(INDIRECT("'"&amp;$G$117&amp;"'"&amp;"!$h:$h"),INDIRECT("'"&amp;$G$117&amp;"'"&amp;"!$a:$a"),$H119)/2</f>
        <v>440189.6100000001</v>
      </c>
      <c r="P119" s="83">
        <f ca="1">SUMIFS(INDIRECT("'"&amp;$G$117&amp;"'"&amp;"!$i:$i"),INDIRECT("'"&amp;$G$117&amp;"'"&amp;"!$a:$a"),$H119)/2</f>
        <v>460648.33000000019</v>
      </c>
      <c r="Q119" s="83">
        <f ca="1">SUMIFS(INDIRECT("'"&amp;$G$117&amp;"'"&amp;"!$j:$j"),INDIRECT("'"&amp;$G$117&amp;"'"&amp;"!$a:$a"),$H119)/2</f>
        <v>516298.39</v>
      </c>
      <c r="R119" s="83">
        <f ca="1">SUMIFS(INDIRECT("'"&amp;$G$117&amp;"'"&amp;"!$k:$k"),INDIRECT("'"&amp;$G$117&amp;"'"&amp;"!$a:$a"),$H119)/2</f>
        <v>539911.72000000032</v>
      </c>
      <c r="S119" s="83">
        <f ca="1">SUMIFS(INDIRECT("'"&amp;$G$117&amp;"'"&amp;"!$l:$l"),INDIRECT("'"&amp;$G$117&amp;"'"&amp;"!$a:$a"),$H119)/2</f>
        <v>504483.01000000036</v>
      </c>
      <c r="T119" s="83">
        <f ca="1">SUMIFS(INDIRECT("'"&amp;$G$117&amp;"'"&amp;"!$m:$m"),INDIRECT("'"&amp;$G$117&amp;"'"&amp;"!$a:$a"),$H119)/2</f>
        <v>704761.98000000091</v>
      </c>
      <c r="U119" s="83">
        <f ca="1">+SUM(I119:T119)</f>
        <v>5932879.0100000016</v>
      </c>
    </row>
    <row r="120" spans="6:21">
      <c r="H120" s="24" t="s">
        <v>134</v>
      </c>
      <c r="I120" s="83">
        <f ca="1">SUMIFS(INDIRECT("'"&amp;$G$117&amp;"'"&amp;"!$b:$b"),INDIRECT("'"&amp;$G$117&amp;"'"&amp;"!$a:$a"),$H120)</f>
        <v>0</v>
      </c>
      <c r="J120" s="83">
        <f ca="1">SUMIFS(INDIRECT("'"&amp;$G$117&amp;"'"&amp;"!$c:$c"),INDIRECT("'"&amp;$G$117&amp;"'"&amp;"!$a:$a"),$H120)</f>
        <v>1.78</v>
      </c>
      <c r="K120" s="83">
        <f ca="1">SUMIFS(INDIRECT("'"&amp;$G$117&amp;"'"&amp;"!$d:$d"),INDIRECT("'"&amp;$G$117&amp;"'"&amp;"!$a:$a"),$H120)</f>
        <v>2.19</v>
      </c>
      <c r="L120" s="83">
        <f ca="1">SUMIFS(INDIRECT("'"&amp;$G$117&amp;"'"&amp;"!$e:$e"),INDIRECT("'"&amp;$G$117&amp;"'"&amp;"!$a:$a"),$H120)</f>
        <v>1.61</v>
      </c>
      <c r="M120" s="83">
        <f ca="1">SUMIFS(INDIRECT("'"&amp;$G$117&amp;"'"&amp;"!$f:$f"),INDIRECT("'"&amp;$G$117&amp;"'"&amp;"!$a:$a"),$H120)</f>
        <v>5.84</v>
      </c>
      <c r="N120" s="83">
        <f ca="1">SUMIFS(INDIRECT("'"&amp;$G$117&amp;"'"&amp;"!$g:$g"),INDIRECT("'"&amp;$G$117&amp;"'"&amp;"!$a:$a"),$H120)</f>
        <v>0.22</v>
      </c>
      <c r="O120" s="83">
        <f ca="1">SUMIFS(INDIRECT("'"&amp;$G$117&amp;"'"&amp;"!$h:$h"),INDIRECT("'"&amp;$G$117&amp;"'"&amp;"!$a:$a"),$H120)</f>
        <v>1</v>
      </c>
      <c r="P120" s="83">
        <f ca="1">SUMIFS(INDIRECT("'"&amp;$G$117&amp;"'"&amp;"!$i:$i"),INDIRECT("'"&amp;$G$117&amp;"'"&amp;"!$a:$a"),$H120)</f>
        <v>235.48</v>
      </c>
      <c r="Q120" s="83">
        <f ca="1">SUMIFS(INDIRECT("'"&amp;$G$117&amp;"'"&amp;"!$j:$j"),INDIRECT("'"&amp;$G$117&amp;"'"&amp;"!$a:$a"),$H120)</f>
        <v>2.59</v>
      </c>
      <c r="R120" s="83">
        <f ca="1">SUMIFS(INDIRECT("'"&amp;$G$117&amp;"'"&amp;"!$k:$k"),INDIRECT("'"&amp;$G$117&amp;"'"&amp;"!$a:$a"),$H120)</f>
        <v>18.079999999999998</v>
      </c>
      <c r="S120" s="83">
        <f ca="1">SUMIFS(INDIRECT("'"&amp;$G$117&amp;"'"&amp;"!$l:$l"),INDIRECT("'"&amp;$G$117&amp;"'"&amp;"!$a:$a"),$H120)</f>
        <v>15.81</v>
      </c>
      <c r="T120" s="83">
        <f ca="1">SUMIFS(INDIRECT("'"&amp;$G$117&amp;"'"&amp;"!$m:$m"),INDIRECT("'"&amp;$G$117&amp;"'"&amp;"!$a:$a"),$H120)</f>
        <v>29.79</v>
      </c>
      <c r="U120" s="83">
        <f t="shared" ref="U120:U123" ca="1" si="37">+SUM(I120:T120)</f>
        <v>314.39000000000004</v>
      </c>
    </row>
    <row r="121" spans="6:21">
      <c r="H121" s="85" t="s">
        <v>132</v>
      </c>
      <c r="I121" s="83">
        <f ca="1">SUMIFS(INDIRECT("'"&amp;$G$117&amp;"'"&amp;"!$b:$b"),INDIRECT("'"&amp;$G$117&amp;"'"&amp;"!$a:$a"),$H121)</f>
        <v>1545.96</v>
      </c>
      <c r="J121" s="83">
        <f ca="1">SUMIFS(INDIRECT("'"&amp;$G$117&amp;"'"&amp;"!$c:$c"),INDIRECT("'"&amp;$G$117&amp;"'"&amp;"!$a:$a"),$H121)</f>
        <v>2528.66</v>
      </c>
      <c r="K121" s="83">
        <f ca="1">SUMIFS(INDIRECT("'"&amp;$G$117&amp;"'"&amp;"!$d:$d"),INDIRECT("'"&amp;$G$117&amp;"'"&amp;"!$a:$a"),$H121)</f>
        <v>0</v>
      </c>
      <c r="L121" s="83">
        <f ca="1">SUMIFS(INDIRECT("'"&amp;$G$117&amp;"'"&amp;"!$e:$e"),INDIRECT("'"&amp;$G$117&amp;"'"&amp;"!$a:$a"),$H121)</f>
        <v>182.85</v>
      </c>
      <c r="M121" s="83">
        <f ca="1">SUMIFS(INDIRECT("'"&amp;$G$117&amp;"'"&amp;"!$f:$f"),INDIRECT("'"&amp;$G$117&amp;"'"&amp;"!$a:$a"),$H121)</f>
        <v>0</v>
      </c>
      <c r="N121" s="83">
        <f ca="1">SUMIFS(INDIRECT("'"&amp;$G$117&amp;"'"&amp;"!$g:$g"),INDIRECT("'"&amp;$G$117&amp;"'"&amp;"!$a:$a"),$H121)</f>
        <v>102.43</v>
      </c>
      <c r="O121" s="83">
        <f ca="1">SUMIFS(INDIRECT("'"&amp;$G$117&amp;"'"&amp;"!$h:$h"),INDIRECT("'"&amp;$G$117&amp;"'"&amp;"!$a:$a"),$H121)</f>
        <v>359.18</v>
      </c>
      <c r="P121" s="83">
        <f ca="1">SUMIFS(INDIRECT("'"&amp;$G$117&amp;"'"&amp;"!$i:$i"),INDIRECT("'"&amp;$G$117&amp;"'"&amp;"!$a:$a"),$H121)</f>
        <v>0</v>
      </c>
      <c r="Q121" s="83">
        <f ca="1">SUMIFS(INDIRECT("'"&amp;$G$117&amp;"'"&amp;"!$j:$j"),INDIRECT("'"&amp;$G$117&amp;"'"&amp;"!$a:$a"),$H121)</f>
        <v>100</v>
      </c>
      <c r="R121" s="83">
        <f ca="1">SUMIFS(INDIRECT("'"&amp;$G$117&amp;"'"&amp;"!$k:$k"),INDIRECT("'"&amp;$G$117&amp;"'"&amp;"!$a:$a"),$H121)</f>
        <v>0</v>
      </c>
      <c r="S121" s="83">
        <f ca="1">SUMIFS(INDIRECT("'"&amp;$G$117&amp;"'"&amp;"!$l:$l"),INDIRECT("'"&amp;$G$117&amp;"'"&amp;"!$a:$a"),$H121)</f>
        <v>17233.46</v>
      </c>
      <c r="T121" s="83">
        <f ca="1">SUMIFS(INDIRECT("'"&amp;$G$117&amp;"'"&amp;"!$m:$m"),INDIRECT("'"&amp;$G$117&amp;"'"&amp;"!$a:$a"),$H121)</f>
        <v>0</v>
      </c>
      <c r="U121" s="83">
        <f t="shared" ca="1" si="37"/>
        <v>22052.54</v>
      </c>
    </row>
    <row r="122" spans="6:21">
      <c r="H122" s="85" t="s">
        <v>327</v>
      </c>
      <c r="I122" s="83">
        <f ca="1">SUMIFS(INDIRECT("'"&amp;$G$117&amp;"'"&amp;"!$b:$b"),INDIRECT("'"&amp;$G$117&amp;"'"&amp;"!$a:$a"),$H122)</f>
        <v>0</v>
      </c>
      <c r="J122" s="83">
        <f ca="1">SUMIFS(INDIRECT("'"&amp;$G$117&amp;"'"&amp;"!$c:$c"),INDIRECT("'"&amp;$G$117&amp;"'"&amp;"!$a:$a"),$H122)</f>
        <v>0</v>
      </c>
      <c r="K122" s="83">
        <f ca="1">SUMIFS(INDIRECT("'"&amp;$G$117&amp;"'"&amp;"!$d:$d"),INDIRECT("'"&amp;$G$117&amp;"'"&amp;"!$a:$a"),$H122)</f>
        <v>0</v>
      </c>
      <c r="L122" s="83">
        <f ca="1">SUMIFS(INDIRECT("'"&amp;$G$117&amp;"'"&amp;"!$e:$e"),INDIRECT("'"&amp;$G$117&amp;"'"&amp;"!$a:$a"),$H122)</f>
        <v>0</v>
      </c>
      <c r="M122" s="83">
        <f ca="1">SUMIFS(INDIRECT("'"&amp;$G$117&amp;"'"&amp;"!$f:$f"),INDIRECT("'"&amp;$G$117&amp;"'"&amp;"!$a:$a"),$H122)</f>
        <v>0</v>
      </c>
      <c r="N122" s="83">
        <f ca="1">SUMIFS(INDIRECT("'"&amp;$G$117&amp;"'"&amp;"!$g:$g"),INDIRECT("'"&amp;$G$117&amp;"'"&amp;"!$a:$a"),$H122)</f>
        <v>0</v>
      </c>
      <c r="O122" s="83">
        <f ca="1">SUMIFS(INDIRECT("'"&amp;$G$117&amp;"'"&amp;"!$h:$h"),INDIRECT("'"&amp;$G$117&amp;"'"&amp;"!$a:$a"),$H122)</f>
        <v>0</v>
      </c>
      <c r="P122" s="83">
        <f ca="1">SUMIFS(INDIRECT("'"&amp;$G$117&amp;"'"&amp;"!$i:$i"),INDIRECT("'"&amp;$G$117&amp;"'"&amp;"!$a:$a"),$H122)</f>
        <v>0</v>
      </c>
      <c r="Q122" s="83">
        <f ca="1">SUMIFS(INDIRECT("'"&amp;$G$117&amp;"'"&amp;"!$j:$j"),INDIRECT("'"&amp;$G$117&amp;"'"&amp;"!$a:$a"),$H122)</f>
        <v>0</v>
      </c>
      <c r="R122" s="83">
        <f ca="1">SUMIFS(INDIRECT("'"&amp;$G$117&amp;"'"&amp;"!$k:$k"),INDIRECT("'"&amp;$G$117&amp;"'"&amp;"!$a:$a"),$H122)</f>
        <v>0</v>
      </c>
      <c r="S122" s="83">
        <f ca="1">SUMIFS(INDIRECT("'"&amp;$G$117&amp;"'"&amp;"!$l:$l"),INDIRECT("'"&amp;$G$117&amp;"'"&amp;"!$a:$a"),$H122)</f>
        <v>0</v>
      </c>
      <c r="T122" s="83">
        <f ca="1">SUMIFS(INDIRECT("'"&amp;$G$117&amp;"'"&amp;"!$m:$m"),INDIRECT("'"&amp;$G$117&amp;"'"&amp;"!$a:$a"),$H122)</f>
        <v>0</v>
      </c>
      <c r="U122" s="83">
        <f t="shared" ca="1" si="37"/>
        <v>0</v>
      </c>
    </row>
    <row r="123" spans="6:21">
      <c r="H123" s="85" t="s">
        <v>282</v>
      </c>
      <c r="I123" s="83">
        <f ca="1">SUMIFS(INDIRECT("'"&amp;$G$117&amp;"'"&amp;"!$b:$b"),INDIRECT("'"&amp;$G$117&amp;"'"&amp;"!$a:$a"),$H123)</f>
        <v>0</v>
      </c>
      <c r="J123" s="83">
        <f ca="1">SUMIFS(INDIRECT("'"&amp;$G$117&amp;"'"&amp;"!$c:$c"),INDIRECT("'"&amp;$G$117&amp;"'"&amp;"!$a:$a"),$H123)</f>
        <v>0</v>
      </c>
      <c r="K123" s="83">
        <f ca="1">SUMIFS(INDIRECT("'"&amp;$G$117&amp;"'"&amp;"!$d:$d"),INDIRECT("'"&amp;$G$117&amp;"'"&amp;"!$a:$a"),$H123)</f>
        <v>0</v>
      </c>
      <c r="L123" s="83">
        <f ca="1">SUMIFS(INDIRECT("'"&amp;$G$117&amp;"'"&amp;"!$e:$e"),INDIRECT("'"&amp;$G$117&amp;"'"&amp;"!$a:$a"),$H123)</f>
        <v>0</v>
      </c>
      <c r="M123" s="83">
        <f ca="1">SUMIFS(INDIRECT("'"&amp;$G$117&amp;"'"&amp;"!$f:$f"),INDIRECT("'"&amp;$G$117&amp;"'"&amp;"!$a:$a"),$H123)</f>
        <v>0</v>
      </c>
      <c r="N123" s="83">
        <f ca="1">SUMIFS(INDIRECT("'"&amp;$G$117&amp;"'"&amp;"!$g:$g"),INDIRECT("'"&amp;$G$117&amp;"'"&amp;"!$a:$a"),$H123)</f>
        <v>0</v>
      </c>
      <c r="O123" s="83">
        <f ca="1">SUMIFS(INDIRECT("'"&amp;$G$117&amp;"'"&amp;"!$h:$h"),INDIRECT("'"&amp;$G$117&amp;"'"&amp;"!$a:$a"),$H123)</f>
        <v>0</v>
      </c>
      <c r="P123" s="83">
        <f ca="1">SUMIFS(INDIRECT("'"&amp;$G$117&amp;"'"&amp;"!$i:$i"),INDIRECT("'"&amp;$G$117&amp;"'"&amp;"!$a:$a"),$H123)</f>
        <v>0</v>
      </c>
      <c r="Q123" s="83">
        <f ca="1">SUMIFS(INDIRECT("'"&amp;$G$117&amp;"'"&amp;"!$j:$j"),INDIRECT("'"&amp;$G$117&amp;"'"&amp;"!$a:$a"),$H123)</f>
        <v>0</v>
      </c>
      <c r="R123" s="83">
        <f ca="1">SUMIFS(INDIRECT("'"&amp;$G$117&amp;"'"&amp;"!$k:$k"),INDIRECT("'"&amp;$G$117&amp;"'"&amp;"!$a:$a"),$H123)</f>
        <v>0</v>
      </c>
      <c r="S123" s="83">
        <f ca="1">SUMIFS(INDIRECT("'"&amp;$G$117&amp;"'"&amp;"!$l:$l"),INDIRECT("'"&amp;$G$117&amp;"'"&amp;"!$a:$a"),$H123)</f>
        <v>0</v>
      </c>
      <c r="T123" s="83">
        <f ca="1">SUMIFS(INDIRECT("'"&amp;$G$117&amp;"'"&amp;"!$m:$m"),INDIRECT("'"&amp;$G$117&amp;"'"&amp;"!$a:$a"),$H123)</f>
        <v>0</v>
      </c>
      <c r="U123" s="83">
        <f t="shared" ca="1" si="37"/>
        <v>0</v>
      </c>
    </row>
    <row r="124" spans="6:21">
      <c r="I124" s="84">
        <f ca="1">+I119-SUM(I120:I123)</f>
        <v>423441.34999999939</v>
      </c>
      <c r="J124" s="84">
        <f t="shared" ref="J124:U124" ca="1" si="38">+J119-SUM(J120:J123)</f>
        <v>499954.39</v>
      </c>
      <c r="K124" s="84">
        <f t="shared" ca="1" si="38"/>
        <v>469995.18999999936</v>
      </c>
      <c r="L124" s="84">
        <f t="shared" ca="1" si="38"/>
        <v>449396.01999999979</v>
      </c>
      <c r="M124" s="84">
        <f t="shared" ca="1" si="38"/>
        <v>444517.54000000039</v>
      </c>
      <c r="N124" s="84">
        <f t="shared" ca="1" si="38"/>
        <v>474909.94000000029</v>
      </c>
      <c r="O124" s="84">
        <f t="shared" ca="1" si="38"/>
        <v>439829.43000000011</v>
      </c>
      <c r="P124" s="84">
        <f t="shared" ca="1" si="38"/>
        <v>460412.85000000021</v>
      </c>
      <c r="Q124" s="84">
        <f t="shared" ca="1" si="38"/>
        <v>516195.8</v>
      </c>
      <c r="R124" s="84">
        <f t="shared" ca="1" si="38"/>
        <v>539893.64000000036</v>
      </c>
      <c r="S124" s="84">
        <f t="shared" ca="1" si="38"/>
        <v>487233.74000000034</v>
      </c>
      <c r="T124" s="84">
        <f t="shared" ca="1" si="38"/>
        <v>704732.19000000088</v>
      </c>
      <c r="U124" s="84">
        <f t="shared" ca="1" si="38"/>
        <v>5910512.0800000019</v>
      </c>
    </row>
    <row r="125" spans="6:21">
      <c r="I125" s="83"/>
      <c r="J125" s="83"/>
      <c r="K125" s="83"/>
      <c r="L125" s="83"/>
      <c r="M125" s="83"/>
      <c r="N125" s="83"/>
      <c r="O125" s="83"/>
      <c r="P125" s="83"/>
      <c r="Q125" s="83"/>
      <c r="R125" s="83"/>
      <c r="S125" s="83"/>
      <c r="T125" s="83"/>
    </row>
    <row r="126" spans="6:21">
      <c r="G126" s="96" t="s">
        <v>330</v>
      </c>
      <c r="H126" s="24" t="s">
        <v>332</v>
      </c>
      <c r="I126" s="83">
        <f ca="1">+Summary!G100</f>
        <v>423441</v>
      </c>
      <c r="J126" s="83">
        <f ca="1">+Summary!H100</f>
        <v>499954</v>
      </c>
      <c r="K126" s="83">
        <f ca="1">+Summary!I100</f>
        <v>469995</v>
      </c>
      <c r="L126" s="83">
        <f ca="1">+Summary!J100</f>
        <v>449396</v>
      </c>
      <c r="M126" s="83">
        <f ca="1">+Summary!K100</f>
        <v>444517</v>
      </c>
      <c r="N126" s="83">
        <f ca="1">+Summary!L100</f>
        <v>474910</v>
      </c>
      <c r="O126" s="83">
        <f ca="1">+Summary!M100</f>
        <v>439829</v>
      </c>
      <c r="P126" s="83">
        <f ca="1">+Summary!N100</f>
        <v>460413</v>
      </c>
      <c r="Q126" s="83">
        <f ca="1">+Summary!O100</f>
        <v>516195</v>
      </c>
      <c r="R126" s="83">
        <f ca="1">+Summary!P100</f>
        <v>539893</v>
      </c>
      <c r="S126" s="83">
        <f ca="1">+Summary!Q100</f>
        <v>487234</v>
      </c>
      <c r="T126" s="83">
        <f ca="1">+Summary!R100</f>
        <v>704732</v>
      </c>
      <c r="U126" s="83">
        <f ca="1">+Summary!S100</f>
        <v>5910509</v>
      </c>
    </row>
    <row r="127" spans="6:21">
      <c r="I127" s="83">
        <f t="shared" ref="I127:U127" ca="1" si="39">+I124-I126</f>
        <v>0.34999999939464033</v>
      </c>
      <c r="J127" s="83">
        <f t="shared" ca="1" si="39"/>
        <v>0.39000000001396984</v>
      </c>
      <c r="K127" s="83">
        <f t="shared" ca="1" si="39"/>
        <v>0.18999999936204404</v>
      </c>
      <c r="L127" s="83">
        <f t="shared" ca="1" si="39"/>
        <v>1.9999999785795808E-2</v>
      </c>
      <c r="M127" s="83">
        <f t="shared" ca="1" si="39"/>
        <v>0.54000000038649887</v>
      </c>
      <c r="N127" s="83">
        <f t="shared" ca="1" si="39"/>
        <v>-5.9999999706633389E-2</v>
      </c>
      <c r="O127" s="83">
        <f t="shared" ca="1" si="39"/>
        <v>0.4300000001094304</v>
      </c>
      <c r="P127" s="83">
        <f t="shared" ca="1" si="39"/>
        <v>-0.14999999979045242</v>
      </c>
      <c r="Q127" s="83">
        <f t="shared" ca="1" si="39"/>
        <v>0.79999999998835847</v>
      </c>
      <c r="R127" s="83">
        <f t="shared" ca="1" si="39"/>
        <v>0.6400000003632158</v>
      </c>
      <c r="S127" s="83">
        <f t="shared" ca="1" si="39"/>
        <v>-0.25999999966006726</v>
      </c>
      <c r="T127" s="83">
        <f t="shared" ca="1" si="39"/>
        <v>0.19000000087544322</v>
      </c>
      <c r="U127" s="83">
        <f t="shared" ca="1" si="39"/>
        <v>3.080000001937151</v>
      </c>
    </row>
    <row r="130" spans="6:21">
      <c r="F130" s="24">
        <v>10</v>
      </c>
      <c r="G130" s="96" t="s">
        <v>277</v>
      </c>
    </row>
    <row r="131" spans="6:21">
      <c r="G131" s="88" t="s">
        <v>303</v>
      </c>
      <c r="I131" s="97" t="str">
        <f>+Summary!$W$9</f>
        <v>Aug 2021</v>
      </c>
      <c r="J131" s="97" t="str">
        <f>+Summary!$X$9</f>
        <v>Sep 2021</v>
      </c>
      <c r="K131" s="97" t="str">
        <f>+Summary!$Y$9</f>
        <v>Oct 2021</v>
      </c>
      <c r="L131" s="97" t="str">
        <f>+Summary!$Z$9</f>
        <v>Nov 2021</v>
      </c>
      <c r="M131" s="97" t="str">
        <f>+Summary!$AA$9</f>
        <v>Dec 2021</v>
      </c>
      <c r="N131" s="97" t="str">
        <f>+Summary!$AB$9</f>
        <v>Jan 2022</v>
      </c>
      <c r="O131" s="97" t="str">
        <f>+Summary!$AC$9</f>
        <v>Feb 2022</v>
      </c>
      <c r="P131" s="97" t="str">
        <f>+Summary!$AD$9</f>
        <v>Mar 2022</v>
      </c>
      <c r="Q131" s="97" t="str">
        <f>+Summary!$AE$9</f>
        <v>Apr 2022</v>
      </c>
      <c r="R131" s="97" t="str">
        <f>+Summary!$AF$9</f>
        <v>May 2022</v>
      </c>
      <c r="S131" s="97" t="str">
        <f>+Summary!$AG$9</f>
        <v>Jun 2022</v>
      </c>
      <c r="T131" s="97" t="str">
        <f>+Summary!$AH$9</f>
        <v>Jul 2022</v>
      </c>
      <c r="U131" s="84" t="s">
        <v>335</v>
      </c>
    </row>
    <row r="132" spans="6:21">
      <c r="G132" s="96" t="s">
        <v>331</v>
      </c>
      <c r="H132" s="96" t="s">
        <v>329</v>
      </c>
    </row>
    <row r="133" spans="6:21">
      <c r="H133" s="24" t="s">
        <v>13</v>
      </c>
      <c r="I133" s="83"/>
      <c r="J133" s="83"/>
      <c r="K133" s="83"/>
      <c r="L133" s="83"/>
      <c r="M133" s="83"/>
      <c r="N133" s="83"/>
      <c r="O133" s="83"/>
      <c r="P133" s="83"/>
      <c r="Q133" s="83"/>
      <c r="R133" s="83"/>
      <c r="S133" s="83"/>
      <c r="T133" s="83"/>
    </row>
    <row r="134" spans="6:21">
      <c r="H134" s="24" t="s">
        <v>134</v>
      </c>
      <c r="I134" s="83"/>
      <c r="J134" s="83"/>
      <c r="K134" s="83"/>
      <c r="L134" s="83"/>
      <c r="M134" s="83"/>
      <c r="N134" s="83"/>
      <c r="O134" s="83"/>
      <c r="P134" s="83"/>
      <c r="Q134" s="83"/>
      <c r="R134" s="83"/>
      <c r="S134" s="83"/>
      <c r="T134" s="83"/>
    </row>
    <row r="135" spans="6:21">
      <c r="H135" s="85" t="s">
        <v>132</v>
      </c>
      <c r="I135" s="83"/>
      <c r="J135" s="83"/>
      <c r="K135" s="83"/>
      <c r="L135" s="83"/>
      <c r="M135" s="83"/>
      <c r="N135" s="83"/>
      <c r="O135" s="83"/>
      <c r="P135" s="83"/>
      <c r="Q135" s="83"/>
      <c r="R135" s="83"/>
      <c r="S135" s="83"/>
      <c r="T135" s="83"/>
    </row>
    <row r="136" spans="6:21">
      <c r="H136" s="85" t="s">
        <v>327</v>
      </c>
      <c r="I136" s="83"/>
      <c r="J136" s="83"/>
      <c r="K136" s="83"/>
      <c r="L136" s="83"/>
      <c r="M136" s="83"/>
      <c r="N136" s="83"/>
      <c r="O136" s="83"/>
      <c r="P136" s="83"/>
      <c r="Q136" s="83"/>
      <c r="R136" s="83"/>
      <c r="S136" s="83"/>
      <c r="T136" s="83"/>
    </row>
    <row r="137" spans="6:21">
      <c r="H137" s="85" t="s">
        <v>282</v>
      </c>
      <c r="I137" s="83"/>
      <c r="J137" s="83"/>
      <c r="K137" s="83"/>
      <c r="L137" s="83"/>
      <c r="M137" s="83"/>
      <c r="N137" s="83"/>
      <c r="O137" s="83"/>
      <c r="P137" s="83"/>
      <c r="Q137" s="83"/>
      <c r="R137" s="83"/>
      <c r="S137" s="83"/>
      <c r="T137" s="83"/>
    </row>
    <row r="138" spans="6:21">
      <c r="I138" s="84"/>
      <c r="J138" s="84"/>
      <c r="K138" s="84"/>
      <c r="L138" s="84"/>
      <c r="M138" s="84"/>
      <c r="N138" s="84"/>
      <c r="O138" s="84"/>
      <c r="P138" s="84"/>
      <c r="Q138" s="84"/>
      <c r="R138" s="84"/>
      <c r="S138" s="84"/>
      <c r="T138" s="84"/>
      <c r="U138" s="84"/>
    </row>
    <row r="139" spans="6:21">
      <c r="I139" s="83"/>
      <c r="J139" s="83"/>
      <c r="K139" s="83"/>
      <c r="L139" s="83"/>
      <c r="M139" s="83"/>
      <c r="N139" s="83"/>
      <c r="O139" s="83"/>
      <c r="P139" s="83"/>
      <c r="Q139" s="83"/>
      <c r="R139" s="83"/>
      <c r="S139" s="83"/>
      <c r="T139" s="83"/>
    </row>
    <row r="140" spans="6:21">
      <c r="G140" s="96" t="s">
        <v>330</v>
      </c>
      <c r="H140" s="24" t="s">
        <v>332</v>
      </c>
      <c r="I140" s="83"/>
      <c r="J140" s="83"/>
      <c r="K140" s="83"/>
      <c r="L140" s="83"/>
      <c r="M140" s="83"/>
      <c r="N140" s="83"/>
      <c r="O140" s="83"/>
      <c r="P140" s="83"/>
      <c r="Q140" s="83"/>
      <c r="R140" s="83"/>
      <c r="S140" s="83"/>
      <c r="T140" s="83"/>
    </row>
    <row r="141" spans="6:21">
      <c r="I141" s="83"/>
      <c r="J141" s="83"/>
      <c r="K141" s="83"/>
      <c r="L141" s="83"/>
      <c r="M141" s="83"/>
      <c r="N141" s="83"/>
      <c r="O141" s="83"/>
      <c r="P141" s="83"/>
      <c r="Q141" s="83"/>
      <c r="R141" s="83"/>
      <c r="S141" s="83"/>
      <c r="T141" s="83"/>
    </row>
    <row r="144" spans="6:21">
      <c r="F144" s="24">
        <v>11</v>
      </c>
      <c r="G144" s="96" t="s">
        <v>278</v>
      </c>
    </row>
    <row r="145" spans="6:21">
      <c r="G145" s="88" t="s">
        <v>304</v>
      </c>
      <c r="I145" s="97" t="str">
        <f>+Summary!$W$9</f>
        <v>Aug 2021</v>
      </c>
      <c r="J145" s="97" t="str">
        <f>+Summary!$X$9</f>
        <v>Sep 2021</v>
      </c>
      <c r="K145" s="97" t="str">
        <f>+Summary!$Y$9</f>
        <v>Oct 2021</v>
      </c>
      <c r="L145" s="97" t="str">
        <f>+Summary!$Z$9</f>
        <v>Nov 2021</v>
      </c>
      <c r="M145" s="97" t="str">
        <f>+Summary!$AA$9</f>
        <v>Dec 2021</v>
      </c>
      <c r="N145" s="97" t="str">
        <f>+Summary!$AB$9</f>
        <v>Jan 2022</v>
      </c>
      <c r="O145" s="97" t="str">
        <f>+Summary!$AC$9</f>
        <v>Feb 2022</v>
      </c>
      <c r="P145" s="97" t="str">
        <f>+Summary!$AD$9</f>
        <v>Mar 2022</v>
      </c>
      <c r="Q145" s="97" t="str">
        <f>+Summary!$AE$9</f>
        <v>Apr 2022</v>
      </c>
      <c r="R145" s="97" t="str">
        <f>+Summary!$AF$9</f>
        <v>May 2022</v>
      </c>
      <c r="S145" s="97" t="str">
        <f>+Summary!$AG$9</f>
        <v>Jun 2022</v>
      </c>
      <c r="T145" s="97" t="str">
        <f>+Summary!$AH$9</f>
        <v>Jul 2022</v>
      </c>
      <c r="U145" s="84" t="s">
        <v>335</v>
      </c>
    </row>
    <row r="146" spans="6:21">
      <c r="G146" s="96" t="s">
        <v>331</v>
      </c>
      <c r="H146" s="96" t="s">
        <v>329</v>
      </c>
    </row>
    <row r="147" spans="6:21">
      <c r="H147" s="24" t="s">
        <v>13</v>
      </c>
      <c r="I147" s="83">
        <f ca="1">SUMIFS(INDIRECT("'"&amp;$G$145&amp;"'"&amp;"!$b:$b"),INDIRECT("'"&amp;$G$145&amp;"'"&amp;"!$a:$a"),$H147)/2</f>
        <v>124911.5</v>
      </c>
      <c r="J147" s="83">
        <f ca="1">SUMIFS(INDIRECT("'"&amp;$G$145&amp;"'"&amp;"!$c:$c"),INDIRECT("'"&amp;$G$145&amp;"'"&amp;"!$a:$a"),$H147)/2</f>
        <v>119063.60999999997</v>
      </c>
      <c r="K147" s="83">
        <f ca="1">SUMIFS(INDIRECT("'"&amp;$G$145&amp;"'"&amp;"!$d:$d"),INDIRECT("'"&amp;$G$145&amp;"'"&amp;"!$a:$a"),$H147)/2</f>
        <v>116278.93</v>
      </c>
      <c r="L147" s="83">
        <f ca="1">SUMIFS(INDIRECT("'"&amp;$G$145&amp;"'"&amp;"!$e:$e"),INDIRECT("'"&amp;$G$145&amp;"'"&amp;"!$a:$a"),$H147)/2</f>
        <v>123894.5</v>
      </c>
      <c r="M147" s="83">
        <f ca="1">SUMIFS(INDIRECT("'"&amp;$G$145&amp;"'"&amp;"!$f:$f"),INDIRECT("'"&amp;$G$145&amp;"'"&amp;"!$a:$a"),$H147)/2</f>
        <v>124660.25</v>
      </c>
      <c r="N147" s="83">
        <f ca="1">SUMIFS(INDIRECT("'"&amp;$G$145&amp;"'"&amp;"!$g:$g"),INDIRECT("'"&amp;$G$145&amp;"'"&amp;"!$a:$a"),$H147)/2</f>
        <v>140003.90000000005</v>
      </c>
      <c r="O147" s="83">
        <f ca="1">SUMIFS(INDIRECT("'"&amp;$G$145&amp;"'"&amp;"!$h:$h"),INDIRECT("'"&amp;$G$145&amp;"'"&amp;"!$a:$a"),$H147)/2</f>
        <v>123532.40000000004</v>
      </c>
      <c r="P147" s="83">
        <f ca="1">SUMIFS(INDIRECT("'"&amp;$G$145&amp;"'"&amp;"!$i:$i"),INDIRECT("'"&amp;$G$145&amp;"'"&amp;"!$a:$a"),$H147)/2</f>
        <v>133623.96000000002</v>
      </c>
      <c r="Q147" s="83">
        <f ca="1">SUMIFS(INDIRECT("'"&amp;$G$145&amp;"'"&amp;"!$j:$j"),INDIRECT("'"&amp;$G$145&amp;"'"&amp;"!$a:$a"),$H147)/2</f>
        <v>132590.40999999995</v>
      </c>
      <c r="R147" s="83">
        <f ca="1">SUMIFS(INDIRECT("'"&amp;$G$145&amp;"'"&amp;"!$k:$k"),INDIRECT("'"&amp;$G$145&amp;"'"&amp;"!$a:$a"),$H147)/2</f>
        <v>137667.99</v>
      </c>
      <c r="S147" s="83">
        <f ca="1">SUMIFS(INDIRECT("'"&amp;$G$145&amp;"'"&amp;"!$l:$l"),INDIRECT("'"&amp;$G$145&amp;"'"&amp;"!$a:$a"),$H147)/2</f>
        <v>143795.49</v>
      </c>
      <c r="T147" s="83">
        <f ca="1">SUMIFS(INDIRECT("'"&amp;$G$145&amp;"'"&amp;"!$m:$m"),INDIRECT("'"&amp;$G$145&amp;"'"&amp;"!$a:$a"),$H147)/2</f>
        <v>145542.41999999995</v>
      </c>
      <c r="U147" s="83">
        <f ca="1">+SUM(I147:T147)</f>
        <v>1565565.3599999999</v>
      </c>
    </row>
    <row r="148" spans="6:21">
      <c r="H148" s="24" t="s">
        <v>134</v>
      </c>
      <c r="I148" s="83">
        <f ca="1">SUMIFS(INDIRECT("'"&amp;$G$145&amp;"'"&amp;"!$b:$b"),INDIRECT("'"&amp;$G$145&amp;"'"&amp;"!$a:$a"),$H148)</f>
        <v>0</v>
      </c>
      <c r="J148" s="83">
        <f ca="1">SUMIFS(INDIRECT("'"&amp;$G$145&amp;"'"&amp;"!$c:$c"),INDIRECT("'"&amp;$G$145&amp;"'"&amp;"!$a:$a"),$H148)</f>
        <v>0</v>
      </c>
      <c r="K148" s="83">
        <f ca="1">SUMIFS(INDIRECT("'"&amp;$G$145&amp;"'"&amp;"!$d:$d"),INDIRECT("'"&amp;$G$145&amp;"'"&amp;"!$a:$a"),$H148)</f>
        <v>1.43</v>
      </c>
      <c r="L148" s="83">
        <f ca="1">SUMIFS(INDIRECT("'"&amp;$G$145&amp;"'"&amp;"!$e:$e"),INDIRECT("'"&amp;$G$145&amp;"'"&amp;"!$a:$a"),$H148)</f>
        <v>0</v>
      </c>
      <c r="M148" s="83">
        <f ca="1">SUMIFS(INDIRECT("'"&amp;$G$145&amp;"'"&amp;"!$f:$f"),INDIRECT("'"&amp;$G$145&amp;"'"&amp;"!$a:$a"),$H148)</f>
        <v>0</v>
      </c>
      <c r="N148" s="83">
        <f ca="1">SUMIFS(INDIRECT("'"&amp;$G$145&amp;"'"&amp;"!$g:$g"),INDIRECT("'"&amp;$G$145&amp;"'"&amp;"!$a:$a"),$H148)</f>
        <v>0</v>
      </c>
      <c r="O148" s="83">
        <f ca="1">SUMIFS(INDIRECT("'"&amp;$G$145&amp;"'"&amp;"!$h:$h"),INDIRECT("'"&amp;$G$145&amp;"'"&amp;"!$a:$a"),$H148)</f>
        <v>0</v>
      </c>
      <c r="P148" s="83">
        <f ca="1">SUMIFS(INDIRECT("'"&amp;$G$145&amp;"'"&amp;"!$i:$i"),INDIRECT("'"&amp;$G$145&amp;"'"&amp;"!$a:$a"),$H148)</f>
        <v>0</v>
      </c>
      <c r="Q148" s="83">
        <f ca="1">SUMIFS(INDIRECT("'"&amp;$G$145&amp;"'"&amp;"!$j:$j"),INDIRECT("'"&amp;$G$145&amp;"'"&amp;"!$a:$a"),$H148)</f>
        <v>0</v>
      </c>
      <c r="R148" s="83">
        <f ca="1">SUMIFS(INDIRECT("'"&amp;$G$145&amp;"'"&amp;"!$k:$k"),INDIRECT("'"&amp;$G$145&amp;"'"&amp;"!$a:$a"),$H148)</f>
        <v>0</v>
      </c>
      <c r="S148" s="83">
        <f ca="1">SUMIFS(INDIRECT("'"&amp;$G$145&amp;"'"&amp;"!$l:$l"),INDIRECT("'"&amp;$G$145&amp;"'"&amp;"!$a:$a"),$H148)</f>
        <v>0</v>
      </c>
      <c r="T148" s="83">
        <f ca="1">SUMIFS(INDIRECT("'"&amp;$G$145&amp;"'"&amp;"!$m:$m"),INDIRECT("'"&amp;$G$145&amp;"'"&amp;"!$a:$a"),$H148)</f>
        <v>0</v>
      </c>
      <c r="U148" s="83">
        <f t="shared" ref="U148:U151" ca="1" si="40">+SUM(I148:T148)</f>
        <v>1.43</v>
      </c>
    </row>
    <row r="149" spans="6:21">
      <c r="H149" s="85" t="s">
        <v>132</v>
      </c>
      <c r="I149" s="83">
        <f ca="1">SUMIFS(INDIRECT("'"&amp;$G$145&amp;"'"&amp;"!$b:$b"),INDIRECT("'"&amp;$G$145&amp;"'"&amp;"!$a:$a"),$H149)</f>
        <v>3250</v>
      </c>
      <c r="J149" s="83">
        <f ca="1">SUMIFS(INDIRECT("'"&amp;$G$145&amp;"'"&amp;"!$c:$c"),INDIRECT("'"&amp;$G$145&amp;"'"&amp;"!$a:$a"),$H149)</f>
        <v>1024.1099999999999</v>
      </c>
      <c r="K149" s="83">
        <f ca="1">SUMIFS(INDIRECT("'"&amp;$G$145&amp;"'"&amp;"!$d:$d"),INDIRECT("'"&amp;$G$145&amp;"'"&amp;"!$a:$a"),$H149)</f>
        <v>0</v>
      </c>
      <c r="L149" s="83">
        <f ca="1">SUMIFS(INDIRECT("'"&amp;$G$145&amp;"'"&amp;"!$e:$e"),INDIRECT("'"&amp;$G$145&amp;"'"&amp;"!$a:$a"),$H149)</f>
        <v>3000</v>
      </c>
      <c r="M149" s="83">
        <f ca="1">SUMIFS(INDIRECT("'"&amp;$G$145&amp;"'"&amp;"!$f:$f"),INDIRECT("'"&amp;$G$145&amp;"'"&amp;"!$a:$a"),$H149)</f>
        <v>3041.56</v>
      </c>
      <c r="N149" s="83">
        <f ca="1">SUMIFS(INDIRECT("'"&amp;$G$145&amp;"'"&amp;"!$g:$g"),INDIRECT("'"&amp;$G$145&amp;"'"&amp;"!$a:$a"),$H149)</f>
        <v>6147.03</v>
      </c>
      <c r="O149" s="83">
        <f ca="1">SUMIFS(INDIRECT("'"&amp;$G$145&amp;"'"&amp;"!$h:$h"),INDIRECT("'"&amp;$G$145&amp;"'"&amp;"!$a:$a"),$H149)</f>
        <v>3000</v>
      </c>
      <c r="P149" s="83">
        <f ca="1">SUMIFS(INDIRECT("'"&amp;$G$145&amp;"'"&amp;"!$i:$i"),INDIRECT("'"&amp;$G$145&amp;"'"&amp;"!$a:$a"),$H149)</f>
        <v>2525.86</v>
      </c>
      <c r="Q149" s="83">
        <f ca="1">SUMIFS(INDIRECT("'"&amp;$G$145&amp;"'"&amp;"!$j:$j"),INDIRECT("'"&amp;$G$145&amp;"'"&amp;"!$a:$a"),$H149)</f>
        <v>0</v>
      </c>
      <c r="R149" s="83">
        <f ca="1">SUMIFS(INDIRECT("'"&amp;$G$145&amp;"'"&amp;"!$k:$k"),INDIRECT("'"&amp;$G$145&amp;"'"&amp;"!$a:$a"),$H149)</f>
        <v>3500</v>
      </c>
      <c r="S149" s="83">
        <f ca="1">SUMIFS(INDIRECT("'"&amp;$G$145&amp;"'"&amp;"!$l:$l"),INDIRECT("'"&amp;$G$145&amp;"'"&amp;"!$a:$a"),$H149)</f>
        <v>3744</v>
      </c>
      <c r="T149" s="83">
        <f ca="1">SUMIFS(INDIRECT("'"&amp;$G$145&amp;"'"&amp;"!$m:$m"),INDIRECT("'"&amp;$G$145&amp;"'"&amp;"!$a:$a"),$H149)</f>
        <v>2000</v>
      </c>
      <c r="U149" s="83">
        <f t="shared" ca="1" si="40"/>
        <v>31232.560000000001</v>
      </c>
    </row>
    <row r="150" spans="6:21">
      <c r="H150" s="85" t="s">
        <v>327</v>
      </c>
      <c r="I150" s="83">
        <f ca="1">SUMIFS(INDIRECT("'"&amp;$G$145&amp;"'"&amp;"!$b:$b"),INDIRECT("'"&amp;$G$145&amp;"'"&amp;"!$a:$a"),$H150)</f>
        <v>0</v>
      </c>
      <c r="J150" s="83">
        <f ca="1">SUMIFS(INDIRECT("'"&amp;$G$145&amp;"'"&amp;"!$c:$c"),INDIRECT("'"&amp;$G$145&amp;"'"&amp;"!$a:$a"),$H150)</f>
        <v>0</v>
      </c>
      <c r="K150" s="83">
        <f ca="1">SUMIFS(INDIRECT("'"&amp;$G$145&amp;"'"&amp;"!$d:$d"),INDIRECT("'"&amp;$G$145&amp;"'"&amp;"!$a:$a"),$H150)</f>
        <v>0</v>
      </c>
      <c r="L150" s="83">
        <f ca="1">SUMIFS(INDIRECT("'"&amp;$G$145&amp;"'"&amp;"!$e:$e"),INDIRECT("'"&amp;$G$145&amp;"'"&amp;"!$a:$a"),$H150)</f>
        <v>0</v>
      </c>
      <c r="M150" s="83">
        <f ca="1">SUMIFS(INDIRECT("'"&amp;$G$145&amp;"'"&amp;"!$f:$f"),INDIRECT("'"&amp;$G$145&amp;"'"&amp;"!$a:$a"),$H150)</f>
        <v>0</v>
      </c>
      <c r="N150" s="83">
        <f ca="1">SUMIFS(INDIRECT("'"&amp;$G$145&amp;"'"&amp;"!$g:$g"),INDIRECT("'"&amp;$G$145&amp;"'"&amp;"!$a:$a"),$H150)</f>
        <v>0</v>
      </c>
      <c r="O150" s="83">
        <f ca="1">SUMIFS(INDIRECT("'"&amp;$G$145&amp;"'"&amp;"!$h:$h"),INDIRECT("'"&amp;$G$145&amp;"'"&amp;"!$a:$a"),$H150)</f>
        <v>0</v>
      </c>
      <c r="P150" s="83">
        <f ca="1">SUMIFS(INDIRECT("'"&amp;$G$145&amp;"'"&amp;"!$i:$i"),INDIRECT("'"&amp;$G$145&amp;"'"&amp;"!$a:$a"),$H150)</f>
        <v>0</v>
      </c>
      <c r="Q150" s="83">
        <f ca="1">SUMIFS(INDIRECT("'"&amp;$G$145&amp;"'"&amp;"!$j:$j"),INDIRECT("'"&amp;$G$145&amp;"'"&amp;"!$a:$a"),$H150)</f>
        <v>0</v>
      </c>
      <c r="R150" s="83">
        <f ca="1">SUMIFS(INDIRECT("'"&amp;$G$145&amp;"'"&amp;"!$k:$k"),INDIRECT("'"&amp;$G$145&amp;"'"&amp;"!$a:$a"),$H150)</f>
        <v>0</v>
      </c>
      <c r="S150" s="83">
        <f ca="1">SUMIFS(INDIRECT("'"&amp;$G$145&amp;"'"&amp;"!$l:$l"),INDIRECT("'"&amp;$G$145&amp;"'"&amp;"!$a:$a"),$H150)</f>
        <v>0</v>
      </c>
      <c r="T150" s="83">
        <f ca="1">SUMIFS(INDIRECT("'"&amp;$G$145&amp;"'"&amp;"!$m:$m"),INDIRECT("'"&amp;$G$145&amp;"'"&amp;"!$a:$a"),$H150)</f>
        <v>0</v>
      </c>
      <c r="U150" s="83">
        <f t="shared" ca="1" si="40"/>
        <v>0</v>
      </c>
    </row>
    <row r="151" spans="6:21">
      <c r="H151" s="85" t="s">
        <v>282</v>
      </c>
      <c r="I151" s="83">
        <f ca="1">SUMIFS(INDIRECT("'"&amp;$G$145&amp;"'"&amp;"!$b:$b"),INDIRECT("'"&amp;$G$145&amp;"'"&amp;"!$a:$a"),$H151)</f>
        <v>0</v>
      </c>
      <c r="J151" s="83">
        <f ca="1">SUMIFS(INDIRECT("'"&amp;$G$145&amp;"'"&amp;"!$c:$c"),INDIRECT("'"&amp;$G$145&amp;"'"&amp;"!$a:$a"),$H151)</f>
        <v>0</v>
      </c>
      <c r="K151" s="83">
        <f ca="1">SUMIFS(INDIRECT("'"&amp;$G$145&amp;"'"&amp;"!$d:$d"),INDIRECT("'"&amp;$G$145&amp;"'"&amp;"!$a:$a"),$H151)</f>
        <v>0</v>
      </c>
      <c r="L151" s="83">
        <f ca="1">SUMIFS(INDIRECT("'"&amp;$G$145&amp;"'"&amp;"!$e:$e"),INDIRECT("'"&amp;$G$145&amp;"'"&amp;"!$a:$a"),$H151)</f>
        <v>0</v>
      </c>
      <c r="M151" s="83">
        <f ca="1">SUMIFS(INDIRECT("'"&amp;$G$145&amp;"'"&amp;"!$f:$f"),INDIRECT("'"&amp;$G$145&amp;"'"&amp;"!$a:$a"),$H151)</f>
        <v>0</v>
      </c>
      <c r="N151" s="83">
        <f ca="1">SUMIFS(INDIRECT("'"&amp;$G$145&amp;"'"&amp;"!$g:$g"),INDIRECT("'"&amp;$G$145&amp;"'"&amp;"!$a:$a"),$H151)</f>
        <v>0</v>
      </c>
      <c r="O151" s="83">
        <f ca="1">SUMIFS(INDIRECT("'"&amp;$G$145&amp;"'"&amp;"!$h:$h"),INDIRECT("'"&amp;$G$145&amp;"'"&amp;"!$a:$a"),$H151)</f>
        <v>0</v>
      </c>
      <c r="P151" s="83">
        <f ca="1">SUMIFS(INDIRECT("'"&amp;$G$145&amp;"'"&amp;"!$i:$i"),INDIRECT("'"&amp;$G$145&amp;"'"&amp;"!$a:$a"),$H151)</f>
        <v>0</v>
      </c>
      <c r="Q151" s="83">
        <f ca="1">SUMIFS(INDIRECT("'"&amp;$G$145&amp;"'"&amp;"!$j:$j"),INDIRECT("'"&amp;$G$145&amp;"'"&amp;"!$a:$a"),$H151)</f>
        <v>0</v>
      </c>
      <c r="R151" s="83">
        <f ca="1">SUMIFS(INDIRECT("'"&amp;$G$145&amp;"'"&amp;"!$k:$k"),INDIRECT("'"&amp;$G$145&amp;"'"&amp;"!$a:$a"),$H151)</f>
        <v>0</v>
      </c>
      <c r="S151" s="83">
        <f ca="1">SUMIFS(INDIRECT("'"&amp;$G$145&amp;"'"&amp;"!$l:$l"),INDIRECT("'"&amp;$G$145&amp;"'"&amp;"!$a:$a"),$H151)</f>
        <v>0</v>
      </c>
      <c r="T151" s="83">
        <f ca="1">SUMIFS(INDIRECT("'"&amp;$G$145&amp;"'"&amp;"!$m:$m"),INDIRECT("'"&amp;$G$145&amp;"'"&amp;"!$a:$a"),$H151)</f>
        <v>0</v>
      </c>
      <c r="U151" s="83">
        <f t="shared" ca="1" si="40"/>
        <v>0</v>
      </c>
    </row>
    <row r="152" spans="6:21">
      <c r="I152" s="84">
        <f ca="1">+I147-SUM(I148:I151)</f>
        <v>121661.5</v>
      </c>
      <c r="J152" s="84">
        <f t="shared" ref="J152:U152" ca="1" si="41">+J147-SUM(J148:J151)</f>
        <v>118039.49999999997</v>
      </c>
      <c r="K152" s="84">
        <f t="shared" ca="1" si="41"/>
        <v>116277.5</v>
      </c>
      <c r="L152" s="84">
        <f t="shared" ca="1" si="41"/>
        <v>120894.5</v>
      </c>
      <c r="M152" s="84">
        <f t="shared" ca="1" si="41"/>
        <v>121618.69</v>
      </c>
      <c r="N152" s="84">
        <f t="shared" ca="1" si="41"/>
        <v>133856.87000000005</v>
      </c>
      <c r="O152" s="84">
        <f t="shared" ca="1" si="41"/>
        <v>120532.40000000004</v>
      </c>
      <c r="P152" s="84">
        <f t="shared" ca="1" si="41"/>
        <v>131098.10000000003</v>
      </c>
      <c r="Q152" s="84">
        <f t="shared" ca="1" si="41"/>
        <v>132590.40999999995</v>
      </c>
      <c r="R152" s="84">
        <f t="shared" ca="1" si="41"/>
        <v>134167.99</v>
      </c>
      <c r="S152" s="84">
        <f t="shared" ca="1" si="41"/>
        <v>140051.49</v>
      </c>
      <c r="T152" s="84">
        <f t="shared" ca="1" si="41"/>
        <v>143542.41999999995</v>
      </c>
      <c r="U152" s="84">
        <f t="shared" ca="1" si="41"/>
        <v>1534331.3699999999</v>
      </c>
    </row>
    <row r="153" spans="6:21">
      <c r="I153" s="83"/>
      <c r="J153" s="83"/>
      <c r="K153" s="83"/>
      <c r="L153" s="83"/>
      <c r="M153" s="83"/>
      <c r="N153" s="83"/>
      <c r="O153" s="83"/>
      <c r="P153" s="83"/>
      <c r="Q153" s="83"/>
      <c r="R153" s="83"/>
      <c r="S153" s="83"/>
      <c r="T153" s="83"/>
    </row>
    <row r="154" spans="6:21">
      <c r="G154" s="96" t="s">
        <v>330</v>
      </c>
      <c r="H154" s="24" t="s">
        <v>332</v>
      </c>
      <c r="I154" s="83">
        <f ca="1">+Summary!G122</f>
        <v>121662</v>
      </c>
      <c r="J154" s="83">
        <f ca="1">+Summary!H122</f>
        <v>118040</v>
      </c>
      <c r="K154" s="83">
        <f ca="1">+Summary!I122</f>
        <v>116278</v>
      </c>
      <c r="L154" s="83">
        <f ca="1">+Summary!J122</f>
        <v>120895</v>
      </c>
      <c r="M154" s="83">
        <f ca="1">+Summary!K122</f>
        <v>121618</v>
      </c>
      <c r="N154" s="83">
        <f ca="1">+Summary!L122</f>
        <v>133857</v>
      </c>
      <c r="O154" s="83">
        <f ca="1">+Summary!M122</f>
        <v>120533</v>
      </c>
      <c r="P154" s="83">
        <f ca="1">+Summary!N122</f>
        <v>131098</v>
      </c>
      <c r="Q154" s="83">
        <f ca="1">+Summary!O122</f>
        <v>132590</v>
      </c>
      <c r="R154" s="83">
        <f ca="1">+Summary!P122</f>
        <v>134168</v>
      </c>
      <c r="S154" s="83">
        <f ca="1">+Summary!Q122</f>
        <v>140051</v>
      </c>
      <c r="T154" s="83">
        <f ca="1">+Summary!R122</f>
        <v>143542</v>
      </c>
      <c r="U154" s="83">
        <f ca="1">+Summary!S122</f>
        <v>1534332</v>
      </c>
    </row>
    <row r="155" spans="6:21">
      <c r="I155" s="83">
        <f t="shared" ref="I155:U155" ca="1" si="42">+I152-I154</f>
        <v>-0.5</v>
      </c>
      <c r="J155" s="83">
        <f t="shared" ca="1" si="42"/>
        <v>-0.50000000002910383</v>
      </c>
      <c r="K155" s="83">
        <f t="shared" ca="1" si="42"/>
        <v>-0.5</v>
      </c>
      <c r="L155" s="83">
        <f t="shared" ca="1" si="42"/>
        <v>-0.5</v>
      </c>
      <c r="M155" s="83">
        <f t="shared" ca="1" si="42"/>
        <v>0.69000000000232831</v>
      </c>
      <c r="N155" s="83">
        <f t="shared" ca="1" si="42"/>
        <v>-0.12999999994644895</v>
      </c>
      <c r="O155" s="83">
        <f t="shared" ca="1" si="42"/>
        <v>-0.59999999996216502</v>
      </c>
      <c r="P155" s="83">
        <f t="shared" ca="1" si="42"/>
        <v>0.1000000000349246</v>
      </c>
      <c r="Q155" s="83">
        <f t="shared" ca="1" si="42"/>
        <v>0.4099999999452848</v>
      </c>
      <c r="R155" s="83">
        <f t="shared" ca="1" si="42"/>
        <v>-1.0000000009313226E-2</v>
      </c>
      <c r="S155" s="83">
        <f t="shared" ca="1" si="42"/>
        <v>0.48999999999068677</v>
      </c>
      <c r="T155" s="83">
        <f t="shared" ca="1" si="42"/>
        <v>0.41999999995459802</v>
      </c>
      <c r="U155" s="83">
        <f t="shared" ca="1" si="42"/>
        <v>-0.63000000012107193</v>
      </c>
    </row>
    <row r="158" spans="6:21">
      <c r="F158" s="24">
        <v>12</v>
      </c>
      <c r="G158" s="96" t="s">
        <v>279</v>
      </c>
    </row>
    <row r="159" spans="6:21">
      <c r="G159" s="88" t="s">
        <v>305</v>
      </c>
      <c r="I159" s="97" t="str">
        <f>+Summary!$W$9</f>
        <v>Aug 2021</v>
      </c>
      <c r="J159" s="97" t="str">
        <f>+Summary!$X$9</f>
        <v>Sep 2021</v>
      </c>
      <c r="K159" s="97" t="str">
        <f>+Summary!$Y$9</f>
        <v>Oct 2021</v>
      </c>
      <c r="L159" s="97" t="str">
        <f>+Summary!$Z$9</f>
        <v>Nov 2021</v>
      </c>
      <c r="M159" s="97" t="str">
        <f>+Summary!$AA$9</f>
        <v>Dec 2021</v>
      </c>
      <c r="N159" s="97" t="str">
        <f>+Summary!$AB$9</f>
        <v>Jan 2022</v>
      </c>
      <c r="O159" s="97" t="str">
        <f>+Summary!$AC$9</f>
        <v>Feb 2022</v>
      </c>
      <c r="P159" s="97" t="str">
        <f>+Summary!$AD$9</f>
        <v>Mar 2022</v>
      </c>
      <c r="Q159" s="97" t="str">
        <f>+Summary!$AE$9</f>
        <v>Apr 2022</v>
      </c>
      <c r="R159" s="97" t="str">
        <f>+Summary!$AF$9</f>
        <v>May 2022</v>
      </c>
      <c r="S159" s="97" t="str">
        <f>+Summary!$AG$9</f>
        <v>Jun 2022</v>
      </c>
      <c r="T159" s="97" t="str">
        <f>+Summary!$AH$9</f>
        <v>Jul 2022</v>
      </c>
      <c r="U159" s="84" t="s">
        <v>335</v>
      </c>
    </row>
    <row r="160" spans="6:21">
      <c r="G160" s="96" t="s">
        <v>331</v>
      </c>
      <c r="H160" s="96" t="s">
        <v>329</v>
      </c>
    </row>
    <row r="161" spans="6:21">
      <c r="H161" s="24" t="s">
        <v>13</v>
      </c>
      <c r="I161" s="83">
        <f ca="1">SUMIFS(INDIRECT("'"&amp;$G$159&amp;"'"&amp;"!$b:$b"),INDIRECT("'"&amp;$G$159&amp;"'"&amp;"!$a:$a"),$H161)/2</f>
        <v>74491.800000000032</v>
      </c>
      <c r="J161" s="83">
        <f ca="1">SUMIFS(INDIRECT("'"&amp;$G$159&amp;"'"&amp;"!$c:$c"),INDIRECT("'"&amp;$G$159&amp;"'"&amp;"!$a:$a"),$H161)/2</f>
        <v>77800</v>
      </c>
      <c r="K161" s="83">
        <f ca="1">SUMIFS(INDIRECT("'"&amp;$G$159&amp;"'"&amp;"!$d:$d"),INDIRECT("'"&amp;$G$159&amp;"'"&amp;"!$a:$a"),$H161)/2</f>
        <v>76800</v>
      </c>
      <c r="L161" s="83">
        <f ca="1">SUMIFS(INDIRECT("'"&amp;$G$159&amp;"'"&amp;"!$e:$e"),INDIRECT("'"&amp;$G$159&amp;"'"&amp;"!$a:$a"),$H161)/2</f>
        <v>79540</v>
      </c>
      <c r="M161" s="83">
        <f ca="1">SUMIFS(INDIRECT("'"&amp;$G$159&amp;"'"&amp;"!$f:$f"),INDIRECT("'"&amp;$G$159&amp;"'"&amp;"!$a:$a"),$H161)/2</f>
        <v>74355.790000000037</v>
      </c>
      <c r="N161" s="83">
        <f ca="1">SUMIFS(INDIRECT("'"&amp;$G$159&amp;"'"&amp;"!$g:$g"),INDIRECT("'"&amp;$G$159&amp;"'"&amp;"!$a:$a"),$H161)/2</f>
        <v>78950</v>
      </c>
      <c r="O161" s="83">
        <f ca="1">SUMIFS(INDIRECT("'"&amp;$G$159&amp;"'"&amp;"!$h:$h"),INDIRECT("'"&amp;$G$159&amp;"'"&amp;"!$a:$a"),$H161)/2</f>
        <v>75775</v>
      </c>
      <c r="P161" s="83">
        <f ca="1">SUMIFS(INDIRECT("'"&amp;$G$159&amp;"'"&amp;"!$i:$i"),INDIRECT("'"&amp;$G$159&amp;"'"&amp;"!$a:$a"),$H161)/2</f>
        <v>80470</v>
      </c>
      <c r="Q161" s="83">
        <f ca="1">SUMIFS(INDIRECT("'"&amp;$G$159&amp;"'"&amp;"!$j:$j"),INDIRECT("'"&amp;$G$159&amp;"'"&amp;"!$a:$a"),$H161)/2</f>
        <v>80735</v>
      </c>
      <c r="R161" s="83">
        <f ca="1">SUMIFS(INDIRECT("'"&amp;$G$159&amp;"'"&amp;"!$k:$k"),INDIRECT("'"&amp;$G$159&amp;"'"&amp;"!$a:$a"),$H161)/2</f>
        <v>84540</v>
      </c>
      <c r="S161" s="83">
        <f ca="1">SUMIFS(INDIRECT("'"&amp;$G$159&amp;"'"&amp;"!$l:$l"),INDIRECT("'"&amp;$G$159&amp;"'"&amp;"!$a:$a"),$H161)/2</f>
        <v>84601.640000000029</v>
      </c>
      <c r="T161" s="83">
        <f ca="1">SUMIFS(INDIRECT("'"&amp;$G$159&amp;"'"&amp;"!$m:$m"),INDIRECT("'"&amp;$G$159&amp;"'"&amp;"!$a:$a"),$H161)/2</f>
        <v>76815</v>
      </c>
      <c r="U161" s="83">
        <f ca="1">+SUM(I161:T161)</f>
        <v>944874.2300000001</v>
      </c>
    </row>
    <row r="162" spans="6:21">
      <c r="H162" s="24" t="s">
        <v>134</v>
      </c>
      <c r="I162" s="83">
        <f ca="1">SUMIFS(INDIRECT("'"&amp;$G$159&amp;"'"&amp;"!$b:$b"),INDIRECT("'"&amp;$G$159&amp;"'"&amp;"!$a:$a"),$H162)</f>
        <v>0</v>
      </c>
      <c r="J162" s="83">
        <f ca="1">SUMIFS(INDIRECT("'"&amp;$G$159&amp;"'"&amp;"!$c:$c"),INDIRECT("'"&amp;$G$159&amp;"'"&amp;"!$a:$a"),$H162)</f>
        <v>0</v>
      </c>
      <c r="K162" s="83">
        <f ca="1">SUMIFS(INDIRECT("'"&amp;$G$159&amp;"'"&amp;"!$d:$d"),INDIRECT("'"&amp;$G$159&amp;"'"&amp;"!$a:$a"),$H162)</f>
        <v>0</v>
      </c>
      <c r="L162" s="83">
        <f ca="1">SUMIFS(INDIRECT("'"&amp;$G$159&amp;"'"&amp;"!$e:$e"),INDIRECT("'"&amp;$G$159&amp;"'"&amp;"!$a:$a"),$H162)</f>
        <v>0</v>
      </c>
      <c r="M162" s="83">
        <f ca="1">SUMIFS(INDIRECT("'"&amp;$G$159&amp;"'"&amp;"!$f:$f"),INDIRECT("'"&amp;$G$159&amp;"'"&amp;"!$a:$a"),$H162)</f>
        <v>0</v>
      </c>
      <c r="N162" s="83">
        <f ca="1">SUMIFS(INDIRECT("'"&amp;$G$159&amp;"'"&amp;"!$g:$g"),INDIRECT("'"&amp;$G$159&amp;"'"&amp;"!$a:$a"),$H162)</f>
        <v>0</v>
      </c>
      <c r="O162" s="83">
        <f ca="1">SUMIFS(INDIRECT("'"&amp;$G$159&amp;"'"&amp;"!$h:$h"),INDIRECT("'"&amp;$G$159&amp;"'"&amp;"!$a:$a"),$H162)</f>
        <v>0</v>
      </c>
      <c r="P162" s="83">
        <f ca="1">SUMIFS(INDIRECT("'"&amp;$G$159&amp;"'"&amp;"!$i:$i"),INDIRECT("'"&amp;$G$159&amp;"'"&amp;"!$a:$a"),$H162)</f>
        <v>0</v>
      </c>
      <c r="Q162" s="83">
        <f ca="1">SUMIFS(INDIRECT("'"&amp;$G$159&amp;"'"&amp;"!$j:$j"),INDIRECT("'"&amp;$G$159&amp;"'"&amp;"!$a:$a"),$H162)</f>
        <v>0</v>
      </c>
      <c r="R162" s="83">
        <f ca="1">SUMIFS(INDIRECT("'"&amp;$G$159&amp;"'"&amp;"!$k:$k"),INDIRECT("'"&amp;$G$159&amp;"'"&amp;"!$a:$a"),$H162)</f>
        <v>0</v>
      </c>
      <c r="S162" s="83">
        <f ca="1">SUMIFS(INDIRECT("'"&amp;$G$159&amp;"'"&amp;"!$l:$l"),INDIRECT("'"&amp;$G$159&amp;"'"&amp;"!$a:$a"),$H162)</f>
        <v>0</v>
      </c>
      <c r="T162" s="83">
        <f ca="1">SUMIFS(INDIRECT("'"&amp;$G$159&amp;"'"&amp;"!$m:$m"),INDIRECT("'"&amp;$G$159&amp;"'"&amp;"!$a:$a"),$H162)</f>
        <v>0</v>
      </c>
      <c r="U162" s="83">
        <f t="shared" ref="U162:U165" ca="1" si="43">+SUM(I162:T162)</f>
        <v>0</v>
      </c>
    </row>
    <row r="163" spans="6:21">
      <c r="H163" s="85" t="s">
        <v>132</v>
      </c>
      <c r="I163" s="83">
        <f ca="1">SUMIFS(INDIRECT("'"&amp;$G$159&amp;"'"&amp;"!$b:$b"),INDIRECT("'"&amp;$G$159&amp;"'"&amp;"!$a:$a"),$H163)</f>
        <v>3000</v>
      </c>
      <c r="J163" s="83">
        <f ca="1">SUMIFS(INDIRECT("'"&amp;$G$159&amp;"'"&amp;"!$c:$c"),INDIRECT("'"&amp;$G$159&amp;"'"&amp;"!$a:$a"),$H163)</f>
        <v>1500</v>
      </c>
      <c r="K163" s="83">
        <f ca="1">SUMIFS(INDIRECT("'"&amp;$G$159&amp;"'"&amp;"!$d:$d"),INDIRECT("'"&amp;$G$159&amp;"'"&amp;"!$a:$a"),$H163)</f>
        <v>0</v>
      </c>
      <c r="L163" s="83">
        <f ca="1">SUMIFS(INDIRECT("'"&amp;$G$159&amp;"'"&amp;"!$e:$e"),INDIRECT("'"&amp;$G$159&amp;"'"&amp;"!$a:$a"),$H163)</f>
        <v>3165</v>
      </c>
      <c r="M163" s="83">
        <f ca="1">SUMIFS(INDIRECT("'"&amp;$G$159&amp;"'"&amp;"!$f:$f"),INDIRECT("'"&amp;$G$159&amp;"'"&amp;"!$a:$a"),$H163)</f>
        <v>0</v>
      </c>
      <c r="N163" s="83">
        <f ca="1">SUMIFS(INDIRECT("'"&amp;$G$159&amp;"'"&amp;"!$g:$g"),INDIRECT("'"&amp;$G$159&amp;"'"&amp;"!$a:$a"),$H163)</f>
        <v>4500</v>
      </c>
      <c r="O163" s="83">
        <f ca="1">SUMIFS(INDIRECT("'"&amp;$G$159&amp;"'"&amp;"!$h:$h"),INDIRECT("'"&amp;$G$159&amp;"'"&amp;"!$a:$a"),$H163)</f>
        <v>1000</v>
      </c>
      <c r="P163" s="83">
        <f ca="1">SUMIFS(INDIRECT("'"&amp;$G$159&amp;"'"&amp;"!$i:$i"),INDIRECT("'"&amp;$G$159&amp;"'"&amp;"!$a:$a"),$H163)</f>
        <v>2285</v>
      </c>
      <c r="Q163" s="83">
        <f ca="1">SUMIFS(INDIRECT("'"&amp;$G$159&amp;"'"&amp;"!$j:$j"),INDIRECT("'"&amp;$G$159&amp;"'"&amp;"!$a:$a"),$H163)</f>
        <v>6625</v>
      </c>
      <c r="R163" s="83">
        <f ca="1">SUMIFS(INDIRECT("'"&amp;$G$159&amp;"'"&amp;"!$k:$k"),INDIRECT("'"&amp;$G$159&amp;"'"&amp;"!$a:$a"),$H163)</f>
        <v>3705</v>
      </c>
      <c r="S163" s="83">
        <f ca="1">SUMIFS(INDIRECT("'"&amp;$G$159&amp;"'"&amp;"!$l:$l"),INDIRECT("'"&amp;$G$159&amp;"'"&amp;"!$a:$a"),$H163)</f>
        <v>2741.64</v>
      </c>
      <c r="T163" s="83">
        <f ca="1">SUMIFS(INDIRECT("'"&amp;$G$159&amp;"'"&amp;"!$m:$m"),INDIRECT("'"&amp;$G$159&amp;"'"&amp;"!$a:$a"),$H163)</f>
        <v>480</v>
      </c>
      <c r="U163" s="83">
        <f t="shared" ca="1" si="43"/>
        <v>29001.64</v>
      </c>
    </row>
    <row r="164" spans="6:21">
      <c r="H164" s="85" t="s">
        <v>327</v>
      </c>
      <c r="I164" s="83">
        <f ca="1">SUMIFS(INDIRECT("'"&amp;$G$159&amp;"'"&amp;"!$b:$b"),INDIRECT("'"&amp;$G$159&amp;"'"&amp;"!$a:$a"),$H164)</f>
        <v>0</v>
      </c>
      <c r="J164" s="83">
        <f ca="1">SUMIFS(INDIRECT("'"&amp;$G$159&amp;"'"&amp;"!$c:$c"),INDIRECT("'"&amp;$G$159&amp;"'"&amp;"!$a:$a"),$H164)</f>
        <v>0</v>
      </c>
      <c r="K164" s="83">
        <f ca="1">SUMIFS(INDIRECT("'"&amp;$G$159&amp;"'"&amp;"!$d:$d"),INDIRECT("'"&amp;$G$159&amp;"'"&amp;"!$a:$a"),$H164)</f>
        <v>0</v>
      </c>
      <c r="L164" s="83">
        <f ca="1">SUMIFS(INDIRECT("'"&amp;$G$159&amp;"'"&amp;"!$e:$e"),INDIRECT("'"&amp;$G$159&amp;"'"&amp;"!$a:$a"),$H164)</f>
        <v>0</v>
      </c>
      <c r="M164" s="83">
        <f ca="1">SUMIFS(INDIRECT("'"&amp;$G$159&amp;"'"&amp;"!$f:$f"),INDIRECT("'"&amp;$G$159&amp;"'"&amp;"!$a:$a"),$H164)</f>
        <v>0</v>
      </c>
      <c r="N164" s="83">
        <f ca="1">SUMIFS(INDIRECT("'"&amp;$G$159&amp;"'"&amp;"!$g:$g"),INDIRECT("'"&amp;$G$159&amp;"'"&amp;"!$a:$a"),$H164)</f>
        <v>0</v>
      </c>
      <c r="O164" s="83">
        <f ca="1">SUMIFS(INDIRECT("'"&amp;$G$159&amp;"'"&amp;"!$h:$h"),INDIRECT("'"&amp;$G$159&amp;"'"&amp;"!$a:$a"),$H164)</f>
        <v>0</v>
      </c>
      <c r="P164" s="83">
        <f ca="1">SUMIFS(INDIRECT("'"&amp;$G$159&amp;"'"&amp;"!$i:$i"),INDIRECT("'"&amp;$G$159&amp;"'"&amp;"!$a:$a"),$H164)</f>
        <v>0</v>
      </c>
      <c r="Q164" s="83">
        <f ca="1">SUMIFS(INDIRECT("'"&amp;$G$159&amp;"'"&amp;"!$j:$j"),INDIRECT("'"&amp;$G$159&amp;"'"&amp;"!$a:$a"),$H164)</f>
        <v>0</v>
      </c>
      <c r="R164" s="83">
        <f ca="1">SUMIFS(INDIRECT("'"&amp;$G$159&amp;"'"&amp;"!$k:$k"),INDIRECT("'"&amp;$G$159&amp;"'"&amp;"!$a:$a"),$H164)</f>
        <v>0</v>
      </c>
      <c r="S164" s="83">
        <f ca="1">SUMIFS(INDIRECT("'"&amp;$G$159&amp;"'"&amp;"!$l:$l"),INDIRECT("'"&amp;$G$159&amp;"'"&amp;"!$a:$a"),$H164)</f>
        <v>0</v>
      </c>
      <c r="T164" s="83">
        <f ca="1">SUMIFS(INDIRECT("'"&amp;$G$159&amp;"'"&amp;"!$m:$m"),INDIRECT("'"&amp;$G$159&amp;"'"&amp;"!$a:$a"),$H164)</f>
        <v>0</v>
      </c>
      <c r="U164" s="83">
        <f t="shared" ca="1" si="43"/>
        <v>0</v>
      </c>
    </row>
    <row r="165" spans="6:21">
      <c r="H165" s="85" t="s">
        <v>282</v>
      </c>
      <c r="I165" s="83">
        <f ca="1">SUMIFS(INDIRECT("'"&amp;$G$159&amp;"'"&amp;"!$b:$b"),INDIRECT("'"&amp;$G$159&amp;"'"&amp;"!$a:$a"),$H165)</f>
        <v>0</v>
      </c>
      <c r="J165" s="83">
        <f ca="1">SUMIFS(INDIRECT("'"&amp;$G$159&amp;"'"&amp;"!$c:$c"),INDIRECT("'"&amp;$G$159&amp;"'"&amp;"!$a:$a"),$H165)</f>
        <v>0</v>
      </c>
      <c r="K165" s="83">
        <f ca="1">SUMIFS(INDIRECT("'"&amp;$G$159&amp;"'"&amp;"!$d:$d"),INDIRECT("'"&amp;$G$159&amp;"'"&amp;"!$a:$a"),$H165)</f>
        <v>0</v>
      </c>
      <c r="L165" s="83">
        <f ca="1">SUMIFS(INDIRECT("'"&amp;$G$159&amp;"'"&amp;"!$e:$e"),INDIRECT("'"&amp;$G$159&amp;"'"&amp;"!$a:$a"),$H165)</f>
        <v>0</v>
      </c>
      <c r="M165" s="83">
        <f ca="1">SUMIFS(INDIRECT("'"&amp;$G$159&amp;"'"&amp;"!$f:$f"),INDIRECT("'"&amp;$G$159&amp;"'"&amp;"!$a:$a"),$H165)</f>
        <v>0</v>
      </c>
      <c r="N165" s="83">
        <f ca="1">SUMIFS(INDIRECT("'"&amp;$G$159&amp;"'"&amp;"!$g:$g"),INDIRECT("'"&amp;$G$159&amp;"'"&amp;"!$a:$a"),$H165)</f>
        <v>0</v>
      </c>
      <c r="O165" s="83">
        <f ca="1">SUMIFS(INDIRECT("'"&amp;$G$159&amp;"'"&amp;"!$h:$h"),INDIRECT("'"&amp;$G$159&amp;"'"&amp;"!$a:$a"),$H165)</f>
        <v>0</v>
      </c>
      <c r="P165" s="83">
        <f ca="1">SUMIFS(INDIRECT("'"&amp;$G$159&amp;"'"&amp;"!$i:$i"),INDIRECT("'"&amp;$G$159&amp;"'"&amp;"!$a:$a"),$H165)</f>
        <v>0</v>
      </c>
      <c r="Q165" s="83">
        <f ca="1">SUMIFS(INDIRECT("'"&amp;$G$159&amp;"'"&amp;"!$j:$j"),INDIRECT("'"&amp;$G$159&amp;"'"&amp;"!$a:$a"),$H165)</f>
        <v>0</v>
      </c>
      <c r="R165" s="83">
        <f ca="1">SUMIFS(INDIRECT("'"&amp;$G$159&amp;"'"&amp;"!$k:$k"),INDIRECT("'"&amp;$G$159&amp;"'"&amp;"!$a:$a"),$H165)</f>
        <v>0</v>
      </c>
      <c r="S165" s="83">
        <f ca="1">SUMIFS(INDIRECT("'"&amp;$G$159&amp;"'"&amp;"!$l:$l"),INDIRECT("'"&amp;$G$159&amp;"'"&amp;"!$a:$a"),$H165)</f>
        <v>0</v>
      </c>
      <c r="T165" s="83">
        <f ca="1">SUMIFS(INDIRECT("'"&amp;$G$159&amp;"'"&amp;"!$m:$m"),INDIRECT("'"&amp;$G$159&amp;"'"&amp;"!$a:$a"),$H165)</f>
        <v>0</v>
      </c>
      <c r="U165" s="83">
        <f t="shared" ca="1" si="43"/>
        <v>0</v>
      </c>
    </row>
    <row r="166" spans="6:21">
      <c r="I166" s="84">
        <f ca="1">+I161-SUM(I162:I165)</f>
        <v>71491.800000000032</v>
      </c>
      <c r="J166" s="84">
        <f t="shared" ref="J166:U166" ca="1" si="44">+J161-SUM(J162:J165)</f>
        <v>76300</v>
      </c>
      <c r="K166" s="84">
        <f t="shared" ca="1" si="44"/>
        <v>76800</v>
      </c>
      <c r="L166" s="84">
        <f t="shared" ca="1" si="44"/>
        <v>76375</v>
      </c>
      <c r="M166" s="84">
        <f t="shared" ca="1" si="44"/>
        <v>74355.790000000037</v>
      </c>
      <c r="N166" s="84">
        <f t="shared" ca="1" si="44"/>
        <v>74450</v>
      </c>
      <c r="O166" s="84">
        <f t="shared" ca="1" si="44"/>
        <v>74775</v>
      </c>
      <c r="P166" s="84">
        <f t="shared" ca="1" si="44"/>
        <v>78185</v>
      </c>
      <c r="Q166" s="84">
        <f t="shared" ca="1" si="44"/>
        <v>74110</v>
      </c>
      <c r="R166" s="84">
        <f t="shared" ca="1" si="44"/>
        <v>80835</v>
      </c>
      <c r="S166" s="84">
        <f t="shared" ca="1" si="44"/>
        <v>81860.000000000029</v>
      </c>
      <c r="T166" s="84">
        <f t="shared" ca="1" si="44"/>
        <v>76335</v>
      </c>
      <c r="U166" s="84">
        <f t="shared" ca="1" si="44"/>
        <v>915872.59000000008</v>
      </c>
    </row>
    <row r="167" spans="6:21">
      <c r="I167" s="83"/>
      <c r="J167" s="83"/>
      <c r="K167" s="83"/>
      <c r="L167" s="83"/>
      <c r="M167" s="83"/>
      <c r="N167" s="83"/>
      <c r="O167" s="83"/>
      <c r="P167" s="83"/>
      <c r="Q167" s="83"/>
      <c r="R167" s="83"/>
      <c r="S167" s="83"/>
      <c r="T167" s="83"/>
    </row>
    <row r="168" spans="6:21">
      <c r="G168" s="96" t="s">
        <v>330</v>
      </c>
      <c r="H168" s="24" t="s">
        <v>332</v>
      </c>
      <c r="I168" s="83">
        <f ca="1">+Summary!G133</f>
        <v>71492</v>
      </c>
      <c r="J168" s="83">
        <f ca="1">+Summary!H133</f>
        <v>76300</v>
      </c>
      <c r="K168" s="83">
        <f ca="1">+Summary!I133</f>
        <v>76800</v>
      </c>
      <c r="L168" s="83">
        <f ca="1">+Summary!J133</f>
        <v>76375</v>
      </c>
      <c r="M168" s="83">
        <f ca="1">+Summary!K133</f>
        <v>74356</v>
      </c>
      <c r="N168" s="83">
        <f ca="1">+Summary!L133</f>
        <v>74450</v>
      </c>
      <c r="O168" s="83">
        <f ca="1">+Summary!M133</f>
        <v>74775</v>
      </c>
      <c r="P168" s="83">
        <f ca="1">+Summary!N133</f>
        <v>78185</v>
      </c>
      <c r="Q168" s="83">
        <f ca="1">+Summary!O133</f>
        <v>74110</v>
      </c>
      <c r="R168" s="83">
        <f ca="1">+Summary!P133</f>
        <v>80835</v>
      </c>
      <c r="S168" s="83">
        <f ca="1">+Summary!Q133</f>
        <v>81860</v>
      </c>
      <c r="T168" s="83">
        <f ca="1">+Summary!R133</f>
        <v>76335</v>
      </c>
      <c r="U168" s="83">
        <f ca="1">+Summary!S133</f>
        <v>915873</v>
      </c>
    </row>
    <row r="169" spans="6:21">
      <c r="I169" s="83">
        <f t="shared" ref="I169:U169" ca="1" si="45">+I166-I168</f>
        <v>-0.19999999996798579</v>
      </c>
      <c r="J169" s="83">
        <f t="shared" ca="1" si="45"/>
        <v>0</v>
      </c>
      <c r="K169" s="83">
        <f t="shared" ca="1" si="45"/>
        <v>0</v>
      </c>
      <c r="L169" s="83">
        <f t="shared" ca="1" si="45"/>
        <v>0</v>
      </c>
      <c r="M169" s="83">
        <f t="shared" ca="1" si="45"/>
        <v>-0.2099999999627471</v>
      </c>
      <c r="N169" s="83">
        <f t="shared" ca="1" si="45"/>
        <v>0</v>
      </c>
      <c r="O169" s="83">
        <f t="shared" ca="1" si="45"/>
        <v>0</v>
      </c>
      <c r="P169" s="83">
        <f t="shared" ca="1" si="45"/>
        <v>0</v>
      </c>
      <c r="Q169" s="83">
        <f t="shared" ca="1" si="45"/>
        <v>0</v>
      </c>
      <c r="R169" s="83">
        <f t="shared" ca="1" si="45"/>
        <v>0</v>
      </c>
      <c r="S169" s="83">
        <f t="shared" ca="1" si="45"/>
        <v>0</v>
      </c>
      <c r="T169" s="83">
        <f t="shared" ca="1" si="45"/>
        <v>0</v>
      </c>
      <c r="U169" s="83">
        <f t="shared" ca="1" si="45"/>
        <v>-0.40999999991618097</v>
      </c>
    </row>
    <row r="172" spans="6:21">
      <c r="F172" s="24">
        <v>13</v>
      </c>
      <c r="G172" s="96" t="s">
        <v>280</v>
      </c>
    </row>
    <row r="173" spans="6:21">
      <c r="G173" s="88" t="s">
        <v>306</v>
      </c>
      <c r="I173" s="97" t="str">
        <f>+Summary!$W$9</f>
        <v>Aug 2021</v>
      </c>
      <c r="J173" s="97" t="str">
        <f>+Summary!$X$9</f>
        <v>Sep 2021</v>
      </c>
      <c r="K173" s="97" t="str">
        <f>+Summary!$Y$9</f>
        <v>Oct 2021</v>
      </c>
      <c r="L173" s="97" t="str">
        <f>+Summary!$Z$9</f>
        <v>Nov 2021</v>
      </c>
      <c r="M173" s="97" t="str">
        <f>+Summary!$AA$9</f>
        <v>Dec 2021</v>
      </c>
      <c r="N173" s="97" t="str">
        <f>+Summary!$AB$9</f>
        <v>Jan 2022</v>
      </c>
      <c r="O173" s="97" t="str">
        <f>+Summary!$AC$9</f>
        <v>Feb 2022</v>
      </c>
      <c r="P173" s="97" t="str">
        <f>+Summary!$AD$9</f>
        <v>Mar 2022</v>
      </c>
      <c r="Q173" s="97" t="str">
        <f>+Summary!$AE$9</f>
        <v>Apr 2022</v>
      </c>
      <c r="R173" s="97" t="str">
        <f>+Summary!$AF$9</f>
        <v>May 2022</v>
      </c>
      <c r="S173" s="97" t="str">
        <f>+Summary!$AG$9</f>
        <v>Jun 2022</v>
      </c>
      <c r="T173" s="97" t="str">
        <f>+Summary!$AH$9</f>
        <v>Jul 2022</v>
      </c>
      <c r="U173" s="84" t="s">
        <v>335</v>
      </c>
    </row>
    <row r="174" spans="6:21">
      <c r="G174" s="96" t="s">
        <v>331</v>
      </c>
      <c r="H174" s="96" t="s">
        <v>329</v>
      </c>
    </row>
    <row r="175" spans="6:21">
      <c r="H175" s="24" t="s">
        <v>13</v>
      </c>
      <c r="I175" s="83">
        <f ca="1">SUMIFS(INDIRECT("'"&amp;$G$173&amp;"'"&amp;"!$b:$b"),INDIRECT("'"&amp;$G$173&amp;"'"&amp;"!$a:$a"),$H175)/2</f>
        <v>88625.57000000008</v>
      </c>
      <c r="J175" s="83">
        <f ca="1">SUMIFS(INDIRECT("'"&amp;$G$173&amp;"'"&amp;"!$c:$c"),INDIRECT("'"&amp;$G$173&amp;"'"&amp;"!$a:$a"),$H175)/2</f>
        <v>92331.55999999991</v>
      </c>
      <c r="K175" s="83">
        <f ca="1">SUMIFS(INDIRECT("'"&amp;$G$173&amp;"'"&amp;"!$d:$d"),INDIRECT("'"&amp;$G$173&amp;"'"&amp;"!$a:$a"),$H175)/2</f>
        <v>99403.540000000095</v>
      </c>
      <c r="L175" s="83">
        <f ca="1">SUMIFS(INDIRECT("'"&amp;$G$173&amp;"'"&amp;"!$e:$e"),INDIRECT("'"&amp;$G$173&amp;"'"&amp;"!$a:$a"),$H175)/2</f>
        <v>99255</v>
      </c>
      <c r="M175" s="83">
        <f ca="1">SUMIFS(INDIRECT("'"&amp;$G$173&amp;"'"&amp;"!$f:$f"),INDIRECT("'"&amp;$G$173&amp;"'"&amp;"!$a:$a"),$H175)/2</f>
        <v>102585</v>
      </c>
      <c r="N175" s="83">
        <f ca="1">SUMIFS(INDIRECT("'"&amp;$G$173&amp;"'"&amp;"!$g:$g"),INDIRECT("'"&amp;$G$173&amp;"'"&amp;"!$a:$a"),$H175)/2</f>
        <v>104535.54000000002</v>
      </c>
      <c r="O175" s="83">
        <f ca="1">SUMIFS(INDIRECT("'"&amp;$G$173&amp;"'"&amp;"!$h:$h"),INDIRECT("'"&amp;$G$173&amp;"'"&amp;"!$a:$a"),$H175)/2</f>
        <v>110256.86999999998</v>
      </c>
      <c r="P175" s="83">
        <f ca="1">SUMIFS(INDIRECT("'"&amp;$G$173&amp;"'"&amp;"!$i:$i"),INDIRECT("'"&amp;$G$173&amp;"'"&amp;"!$a:$a"),$H175)/2</f>
        <v>110055</v>
      </c>
      <c r="Q175" s="83">
        <f ca="1">SUMIFS(INDIRECT("'"&amp;$G$173&amp;"'"&amp;"!$j:$j"),INDIRECT("'"&amp;$G$173&amp;"'"&amp;"!$a:$a"),$H175)/2</f>
        <v>106250</v>
      </c>
      <c r="R175" s="83">
        <f ca="1">SUMIFS(INDIRECT("'"&amp;$G$173&amp;"'"&amp;"!$k:$k"),INDIRECT("'"&amp;$G$173&amp;"'"&amp;"!$a:$a"),$H175)/2</f>
        <v>105305.85999999997</v>
      </c>
      <c r="S175" s="83">
        <f ca="1">SUMIFS(INDIRECT("'"&amp;$G$173&amp;"'"&amp;"!$l:$l"),INDIRECT("'"&amp;$G$173&amp;"'"&amp;"!$a:$a"),$H175)/2</f>
        <v>110410.31999999993</v>
      </c>
      <c r="T175" s="83">
        <f ca="1">SUMIFS(INDIRECT("'"&amp;$G$173&amp;"'"&amp;"!$m:$m"),INDIRECT("'"&amp;$G$173&amp;"'"&amp;"!$a:$a"),$H175)/2</f>
        <v>106724.12999999998</v>
      </c>
      <c r="U175" s="83">
        <f ca="1">+SUM(I175:T175)</f>
        <v>1235738.3899999999</v>
      </c>
    </row>
    <row r="176" spans="6:21">
      <c r="H176" s="24" t="s">
        <v>134</v>
      </c>
      <c r="I176" s="83">
        <f ca="1">SUMIFS(INDIRECT("'"&amp;$G$173&amp;"'"&amp;"!$b:$b"),INDIRECT("'"&amp;$G$173&amp;"'"&amp;"!$a:$a"),$H176)</f>
        <v>0</v>
      </c>
      <c r="J176" s="83">
        <f ca="1">SUMIFS(INDIRECT("'"&amp;$G$173&amp;"'"&amp;"!$c:$c"),INDIRECT("'"&amp;$G$173&amp;"'"&amp;"!$a:$a"),$H176)</f>
        <v>0</v>
      </c>
      <c r="K176" s="83">
        <f ca="1">SUMIFS(INDIRECT("'"&amp;$G$173&amp;"'"&amp;"!$d:$d"),INDIRECT("'"&amp;$G$173&amp;"'"&amp;"!$a:$a"),$H176)</f>
        <v>0</v>
      </c>
      <c r="L176" s="83">
        <f ca="1">SUMIFS(INDIRECT("'"&amp;$G$173&amp;"'"&amp;"!$e:$e"),INDIRECT("'"&amp;$G$173&amp;"'"&amp;"!$a:$a"),$H176)</f>
        <v>0</v>
      </c>
      <c r="M176" s="83">
        <f ca="1">SUMIFS(INDIRECT("'"&amp;$G$173&amp;"'"&amp;"!$f:$f"),INDIRECT("'"&amp;$G$173&amp;"'"&amp;"!$a:$a"),$H176)</f>
        <v>0</v>
      </c>
      <c r="N176" s="83">
        <f ca="1">SUMIFS(INDIRECT("'"&amp;$G$173&amp;"'"&amp;"!$g:$g"),INDIRECT("'"&amp;$G$173&amp;"'"&amp;"!$a:$a"),$H176)</f>
        <v>0</v>
      </c>
      <c r="O176" s="83">
        <f ca="1">SUMIFS(INDIRECT("'"&amp;$G$173&amp;"'"&amp;"!$h:$h"),INDIRECT("'"&amp;$G$173&amp;"'"&amp;"!$a:$a"),$H176)</f>
        <v>0</v>
      </c>
      <c r="P176" s="83">
        <f ca="1">SUMIFS(INDIRECT("'"&amp;$G$173&amp;"'"&amp;"!$i:$i"),INDIRECT("'"&amp;$G$173&amp;"'"&amp;"!$a:$a"),$H176)</f>
        <v>0</v>
      </c>
      <c r="Q176" s="83">
        <f ca="1">SUMIFS(INDIRECT("'"&amp;$G$173&amp;"'"&amp;"!$j:$j"),INDIRECT("'"&amp;$G$173&amp;"'"&amp;"!$a:$a"),$H176)</f>
        <v>0</v>
      </c>
      <c r="R176" s="83">
        <f ca="1">SUMIFS(INDIRECT("'"&amp;$G$173&amp;"'"&amp;"!$k:$k"),INDIRECT("'"&amp;$G$173&amp;"'"&amp;"!$a:$a"),$H176)</f>
        <v>0</v>
      </c>
      <c r="S176" s="83">
        <f ca="1">SUMIFS(INDIRECT("'"&amp;$G$173&amp;"'"&amp;"!$l:$l"),INDIRECT("'"&amp;$G$173&amp;"'"&amp;"!$a:$a"),$H176)</f>
        <v>0</v>
      </c>
      <c r="T176" s="83">
        <f ca="1">SUMIFS(INDIRECT("'"&amp;$G$173&amp;"'"&amp;"!$m:$m"),INDIRECT("'"&amp;$G$173&amp;"'"&amp;"!$a:$a"),$H176)</f>
        <v>0</v>
      </c>
      <c r="U176" s="83">
        <f t="shared" ref="U176:U179" ca="1" si="46">+SUM(I176:T176)</f>
        <v>0</v>
      </c>
    </row>
    <row r="177" spans="6:21">
      <c r="H177" s="85" t="s">
        <v>132</v>
      </c>
      <c r="I177" s="83">
        <f ca="1">SUMIFS(INDIRECT("'"&amp;$G$173&amp;"'"&amp;"!$b:$b"),INDIRECT("'"&amp;$G$173&amp;"'"&amp;"!$a:$a"),$H177)</f>
        <v>412.34</v>
      </c>
      <c r="J177" s="83">
        <f ca="1">SUMIFS(INDIRECT("'"&amp;$G$173&amp;"'"&amp;"!$c:$c"),INDIRECT("'"&amp;$G$173&amp;"'"&amp;"!$a:$a"),$H177)</f>
        <v>3617.36</v>
      </c>
      <c r="K177" s="83">
        <f ca="1">SUMIFS(INDIRECT("'"&amp;$G$173&amp;"'"&amp;"!$d:$d"),INDIRECT("'"&amp;$G$173&amp;"'"&amp;"!$a:$a"),$H177)</f>
        <v>4325</v>
      </c>
      <c r="L177" s="83">
        <f ca="1">SUMIFS(INDIRECT("'"&amp;$G$173&amp;"'"&amp;"!$e:$e"),INDIRECT("'"&amp;$G$173&amp;"'"&amp;"!$a:$a"),$H177)</f>
        <v>1925</v>
      </c>
      <c r="M177" s="83">
        <f ca="1">SUMIFS(INDIRECT("'"&amp;$G$173&amp;"'"&amp;"!$f:$f"),INDIRECT("'"&amp;$G$173&amp;"'"&amp;"!$a:$a"),$H177)</f>
        <v>1800</v>
      </c>
      <c r="N177" s="83">
        <f ca="1">SUMIFS(INDIRECT("'"&amp;$G$173&amp;"'"&amp;"!$g:$g"),INDIRECT("'"&amp;$G$173&amp;"'"&amp;"!$a:$a"),$H177)</f>
        <v>1825</v>
      </c>
      <c r="O177" s="83">
        <f ca="1">SUMIFS(INDIRECT("'"&amp;$G$173&amp;"'"&amp;"!$h:$h"),INDIRECT("'"&amp;$G$173&amp;"'"&amp;"!$a:$a"),$H177)</f>
        <v>10157.17</v>
      </c>
      <c r="P177" s="83">
        <f ca="1">SUMIFS(INDIRECT("'"&amp;$G$173&amp;"'"&amp;"!$i:$i"),INDIRECT("'"&amp;$G$173&amp;"'"&amp;"!$a:$a"),$H177)</f>
        <v>4150</v>
      </c>
      <c r="Q177" s="83">
        <f ca="1">SUMIFS(INDIRECT("'"&amp;$G$173&amp;"'"&amp;"!$j:$j"),INDIRECT("'"&amp;$G$173&amp;"'"&amp;"!$a:$a"),$H177)</f>
        <v>3955</v>
      </c>
      <c r="R177" s="83">
        <f ca="1">SUMIFS(INDIRECT("'"&amp;$G$173&amp;"'"&amp;"!$k:$k"),INDIRECT("'"&amp;$G$173&amp;"'"&amp;"!$a:$a"),$H177)</f>
        <v>910.86</v>
      </c>
      <c r="S177" s="83">
        <f ca="1">SUMIFS(INDIRECT("'"&amp;$G$173&amp;"'"&amp;"!$l:$l"),INDIRECT("'"&amp;$G$173&amp;"'"&amp;"!$a:$a"),$H177)</f>
        <v>3815.42</v>
      </c>
      <c r="T177" s="83">
        <f ca="1">SUMIFS(INDIRECT("'"&amp;$G$173&amp;"'"&amp;"!$m:$m"),INDIRECT("'"&amp;$G$173&amp;"'"&amp;"!$a:$a"),$H177)</f>
        <v>2198.5300000000002</v>
      </c>
      <c r="U177" s="83">
        <f t="shared" ca="1" si="46"/>
        <v>39091.68</v>
      </c>
    </row>
    <row r="178" spans="6:21">
      <c r="H178" s="85" t="s">
        <v>327</v>
      </c>
      <c r="I178" s="83">
        <f ca="1">SUMIFS(INDIRECT("'"&amp;$G$173&amp;"'"&amp;"!$b:$b"),INDIRECT("'"&amp;$G$173&amp;"'"&amp;"!$a:$a"),$H178)</f>
        <v>0</v>
      </c>
      <c r="J178" s="83">
        <f ca="1">SUMIFS(INDIRECT("'"&amp;$G$173&amp;"'"&amp;"!$c:$c"),INDIRECT("'"&amp;$G$173&amp;"'"&amp;"!$a:$a"),$H178)</f>
        <v>0</v>
      </c>
      <c r="K178" s="83">
        <f ca="1">SUMIFS(INDIRECT("'"&amp;$G$173&amp;"'"&amp;"!$d:$d"),INDIRECT("'"&amp;$G$173&amp;"'"&amp;"!$a:$a"),$H178)</f>
        <v>0</v>
      </c>
      <c r="L178" s="83">
        <f ca="1">SUMIFS(INDIRECT("'"&amp;$G$173&amp;"'"&amp;"!$e:$e"),INDIRECT("'"&amp;$G$173&amp;"'"&amp;"!$a:$a"),$H178)</f>
        <v>0</v>
      </c>
      <c r="M178" s="83">
        <f ca="1">SUMIFS(INDIRECT("'"&amp;$G$173&amp;"'"&amp;"!$f:$f"),INDIRECT("'"&amp;$G$173&amp;"'"&amp;"!$a:$a"),$H178)</f>
        <v>0</v>
      </c>
      <c r="N178" s="83">
        <f ca="1">SUMIFS(INDIRECT("'"&amp;$G$173&amp;"'"&amp;"!$g:$g"),INDIRECT("'"&amp;$G$173&amp;"'"&amp;"!$a:$a"),$H178)</f>
        <v>0</v>
      </c>
      <c r="O178" s="83">
        <f ca="1">SUMIFS(INDIRECT("'"&amp;$G$173&amp;"'"&amp;"!$h:$h"),INDIRECT("'"&amp;$G$173&amp;"'"&amp;"!$a:$a"),$H178)</f>
        <v>0</v>
      </c>
      <c r="P178" s="83">
        <f ca="1">SUMIFS(INDIRECT("'"&amp;$G$173&amp;"'"&amp;"!$i:$i"),INDIRECT("'"&amp;$G$173&amp;"'"&amp;"!$a:$a"),$H178)</f>
        <v>0</v>
      </c>
      <c r="Q178" s="83">
        <f ca="1">SUMIFS(INDIRECT("'"&amp;$G$173&amp;"'"&amp;"!$j:$j"),INDIRECT("'"&amp;$G$173&amp;"'"&amp;"!$a:$a"),$H178)</f>
        <v>0</v>
      </c>
      <c r="R178" s="83">
        <f ca="1">SUMIFS(INDIRECT("'"&amp;$G$173&amp;"'"&amp;"!$k:$k"),INDIRECT("'"&amp;$G$173&amp;"'"&amp;"!$a:$a"),$H178)</f>
        <v>0</v>
      </c>
      <c r="S178" s="83">
        <f ca="1">SUMIFS(INDIRECT("'"&amp;$G$173&amp;"'"&amp;"!$l:$l"),INDIRECT("'"&amp;$G$173&amp;"'"&amp;"!$a:$a"),$H178)</f>
        <v>0</v>
      </c>
      <c r="T178" s="83">
        <f ca="1">SUMIFS(INDIRECT("'"&amp;$G$173&amp;"'"&amp;"!$m:$m"),INDIRECT("'"&amp;$G$173&amp;"'"&amp;"!$a:$a"),$H178)</f>
        <v>0</v>
      </c>
      <c r="U178" s="83">
        <f t="shared" ca="1" si="46"/>
        <v>0</v>
      </c>
    </row>
    <row r="179" spans="6:21">
      <c r="H179" s="212" t="s">
        <v>282</v>
      </c>
      <c r="I179" s="83">
        <f ca="1">SUMIFS(INDIRECT("'"&amp;$G$173&amp;"'"&amp;"!$b:$b"),INDIRECT("'"&amp;$G$173&amp;"'"&amp;"!$a:$a"),$H179)</f>
        <v>0</v>
      </c>
      <c r="J179" s="83">
        <f ca="1">SUMIFS(INDIRECT("'"&amp;$G$173&amp;"'"&amp;"!$c:$c"),INDIRECT("'"&amp;$G$173&amp;"'"&amp;"!$a:$a"),$H179)</f>
        <v>0</v>
      </c>
      <c r="K179" s="83">
        <f ca="1">SUMIFS(INDIRECT("'"&amp;$G$173&amp;"'"&amp;"!$d:$d"),INDIRECT("'"&amp;$G$173&amp;"'"&amp;"!$a:$a"),$H179)</f>
        <v>0</v>
      </c>
      <c r="L179" s="83">
        <f ca="1">SUMIFS(INDIRECT("'"&amp;$G$173&amp;"'"&amp;"!$e:$e"),INDIRECT("'"&amp;$G$173&amp;"'"&amp;"!$a:$a"),$H179)</f>
        <v>0</v>
      </c>
      <c r="M179" s="83">
        <f ca="1">SUMIFS(INDIRECT("'"&amp;$G$173&amp;"'"&amp;"!$f:$f"),INDIRECT("'"&amp;$G$173&amp;"'"&amp;"!$a:$a"),$H179)</f>
        <v>0</v>
      </c>
      <c r="N179" s="83">
        <f ca="1">SUMIFS(INDIRECT("'"&amp;$G$173&amp;"'"&amp;"!$g:$g"),INDIRECT("'"&amp;$G$173&amp;"'"&amp;"!$a:$a"),$H179)</f>
        <v>0</v>
      </c>
      <c r="O179" s="83">
        <f ca="1">SUMIFS(INDIRECT("'"&amp;$G$173&amp;"'"&amp;"!$h:$h"),INDIRECT("'"&amp;$G$173&amp;"'"&amp;"!$a:$a"),$H179)</f>
        <v>0</v>
      </c>
      <c r="P179" s="83">
        <f ca="1">SUMIFS(INDIRECT("'"&amp;$G$173&amp;"'"&amp;"!$i:$i"),INDIRECT("'"&amp;$G$173&amp;"'"&amp;"!$a:$a"),$H179)</f>
        <v>0</v>
      </c>
      <c r="Q179" s="83">
        <f ca="1">SUMIFS(INDIRECT("'"&amp;$G$173&amp;"'"&amp;"!$j:$j"),INDIRECT("'"&amp;$G$173&amp;"'"&amp;"!$a:$a"),$H179)</f>
        <v>0</v>
      </c>
      <c r="R179" s="83">
        <f ca="1">SUMIFS(INDIRECT("'"&amp;$G$173&amp;"'"&amp;"!$k:$k"),INDIRECT("'"&amp;$G$173&amp;"'"&amp;"!$a:$a"),$H179)</f>
        <v>0</v>
      </c>
      <c r="S179" s="83">
        <f ca="1">SUMIFS(INDIRECT("'"&amp;$G$173&amp;"'"&amp;"!$l:$l"),INDIRECT("'"&amp;$G$173&amp;"'"&amp;"!$a:$a"),$H179)</f>
        <v>0</v>
      </c>
      <c r="T179" s="83">
        <f ca="1">SUMIFS(INDIRECT("'"&amp;$G$173&amp;"'"&amp;"!$m:$m"),INDIRECT("'"&amp;$G$173&amp;"'"&amp;"!$a:$a"),$H179)</f>
        <v>250</v>
      </c>
      <c r="U179" s="83">
        <f t="shared" ca="1" si="46"/>
        <v>250</v>
      </c>
    </row>
    <row r="180" spans="6:21">
      <c r="I180" s="84">
        <f ca="1">+I175-SUM(I176:I179)</f>
        <v>88213.230000000083</v>
      </c>
      <c r="J180" s="84">
        <f t="shared" ref="J180:U180" ca="1" si="47">+J175-SUM(J176:J179)</f>
        <v>88714.19999999991</v>
      </c>
      <c r="K180" s="84">
        <f t="shared" ca="1" si="47"/>
        <v>95078.540000000095</v>
      </c>
      <c r="L180" s="84">
        <f t="shared" ca="1" si="47"/>
        <v>97330</v>
      </c>
      <c r="M180" s="84">
        <f t="shared" ca="1" si="47"/>
        <v>100785</v>
      </c>
      <c r="N180" s="84">
        <f t="shared" ca="1" si="47"/>
        <v>102710.54000000002</v>
      </c>
      <c r="O180" s="84">
        <f t="shared" ca="1" si="47"/>
        <v>100099.69999999998</v>
      </c>
      <c r="P180" s="84">
        <f t="shared" ca="1" si="47"/>
        <v>105905</v>
      </c>
      <c r="Q180" s="84">
        <f t="shared" ca="1" si="47"/>
        <v>102295</v>
      </c>
      <c r="R180" s="84">
        <f t="shared" ca="1" si="47"/>
        <v>104394.99999999997</v>
      </c>
      <c r="S180" s="84">
        <f t="shared" ca="1" si="47"/>
        <v>106594.89999999994</v>
      </c>
      <c r="T180" s="84">
        <f ca="1">+T175-SUM(T176:T178)</f>
        <v>104525.59999999998</v>
      </c>
      <c r="U180" s="84">
        <f t="shared" ca="1" si="47"/>
        <v>1196396.71</v>
      </c>
    </row>
    <row r="181" spans="6:21">
      <c r="I181" s="83"/>
      <c r="J181" s="83"/>
      <c r="K181" s="83"/>
      <c r="L181" s="83"/>
      <c r="M181" s="83"/>
      <c r="N181" s="83"/>
      <c r="O181" s="83"/>
      <c r="P181" s="83"/>
      <c r="Q181" s="83"/>
      <c r="R181" s="83"/>
      <c r="S181" s="83"/>
      <c r="T181" s="83"/>
    </row>
    <row r="182" spans="6:21">
      <c r="G182" s="96" t="s">
        <v>330</v>
      </c>
      <c r="H182" s="24" t="s">
        <v>332</v>
      </c>
      <c r="I182" s="83">
        <f ca="1">+Summary!G144</f>
        <v>88213</v>
      </c>
      <c r="J182" s="83">
        <f ca="1">+Summary!H144</f>
        <v>88714</v>
      </c>
      <c r="K182" s="83">
        <f ca="1">+Summary!I144</f>
        <v>95079</v>
      </c>
      <c r="L182" s="83">
        <f ca="1">+Summary!J144</f>
        <v>97331</v>
      </c>
      <c r="M182" s="83">
        <f ca="1">+Summary!K144</f>
        <v>100785</v>
      </c>
      <c r="N182" s="83">
        <f ca="1">+Summary!L144</f>
        <v>102711</v>
      </c>
      <c r="O182" s="83">
        <f ca="1">+Summary!M144</f>
        <v>100100</v>
      </c>
      <c r="P182" s="83">
        <f ca="1">+Summary!N144</f>
        <v>105905</v>
      </c>
      <c r="Q182" s="83">
        <f ca="1">+Summary!O144</f>
        <v>102295</v>
      </c>
      <c r="R182" s="83">
        <f ca="1">+Summary!P144</f>
        <v>104395</v>
      </c>
      <c r="S182" s="83">
        <f ca="1">+Summary!Q144</f>
        <v>106595</v>
      </c>
      <c r="T182" s="83">
        <f ca="1">+Summary!R144</f>
        <v>104526</v>
      </c>
      <c r="U182" s="83">
        <f ca="1">+Summary!S144</f>
        <v>1196649</v>
      </c>
    </row>
    <row r="183" spans="6:21">
      <c r="I183" s="83">
        <f t="shared" ref="I183:U183" ca="1" si="48">+I180-I182</f>
        <v>0.23000000008323696</v>
      </c>
      <c r="J183" s="83">
        <f t="shared" ca="1" si="48"/>
        <v>0.19999999990977813</v>
      </c>
      <c r="K183" s="83">
        <f t="shared" ca="1" si="48"/>
        <v>-0.45999999990453944</v>
      </c>
      <c r="L183" s="83">
        <f t="shared" ca="1" si="48"/>
        <v>-1</v>
      </c>
      <c r="M183" s="83">
        <f t="shared" ca="1" si="48"/>
        <v>0</v>
      </c>
      <c r="N183" s="83">
        <f t="shared" ca="1" si="48"/>
        <v>-0.45999999997729901</v>
      </c>
      <c r="O183" s="83">
        <f t="shared" ca="1" si="48"/>
        <v>-0.3000000000174623</v>
      </c>
      <c r="P183" s="83">
        <f t="shared" ca="1" si="48"/>
        <v>0</v>
      </c>
      <c r="Q183" s="83">
        <f t="shared" ca="1" si="48"/>
        <v>0</v>
      </c>
      <c r="R183" s="83">
        <f t="shared" ca="1" si="48"/>
        <v>0</v>
      </c>
      <c r="S183" s="83">
        <f t="shared" ca="1" si="48"/>
        <v>-0.10000000006402843</v>
      </c>
      <c r="T183" s="83">
        <f t="shared" ca="1" si="48"/>
        <v>-0.40000000002328306</v>
      </c>
      <c r="U183" s="83">
        <f t="shared" ca="1" si="48"/>
        <v>-252.29000000003725</v>
      </c>
    </row>
    <row r="186" spans="6:21">
      <c r="F186" s="24">
        <v>14</v>
      </c>
      <c r="G186" s="96" t="s">
        <v>287</v>
      </c>
    </row>
    <row r="187" spans="6:21">
      <c r="G187" s="88" t="s">
        <v>307</v>
      </c>
      <c r="I187" s="97" t="str">
        <f>+Summary!$W$9</f>
        <v>Aug 2021</v>
      </c>
      <c r="J187" s="97" t="str">
        <f>+Summary!$X$9</f>
        <v>Sep 2021</v>
      </c>
      <c r="K187" s="97" t="str">
        <f>+Summary!$Y$9</f>
        <v>Oct 2021</v>
      </c>
      <c r="L187" s="97" t="str">
        <f>+Summary!$Z$9</f>
        <v>Nov 2021</v>
      </c>
      <c r="M187" s="97" t="str">
        <f>+Summary!$AA$9</f>
        <v>Dec 2021</v>
      </c>
      <c r="N187" s="97" t="str">
        <f>+Summary!$AB$9</f>
        <v>Jan 2022</v>
      </c>
      <c r="O187" s="97" t="str">
        <f>+Summary!$AC$9</f>
        <v>Feb 2022</v>
      </c>
      <c r="P187" s="97" t="str">
        <f>+Summary!$AD$9</f>
        <v>Mar 2022</v>
      </c>
      <c r="Q187" s="97" t="str">
        <f>+Summary!$AE$9</f>
        <v>Apr 2022</v>
      </c>
      <c r="R187" s="97" t="str">
        <f>+Summary!$AF$9</f>
        <v>May 2022</v>
      </c>
      <c r="S187" s="97" t="str">
        <f>+Summary!$AG$9</f>
        <v>Jun 2022</v>
      </c>
      <c r="T187" s="97" t="str">
        <f>+Summary!$AH$9</f>
        <v>Jul 2022</v>
      </c>
      <c r="U187" s="84" t="s">
        <v>335</v>
      </c>
    </row>
    <row r="188" spans="6:21">
      <c r="G188" s="96" t="s">
        <v>331</v>
      </c>
      <c r="H188" s="96" t="s">
        <v>329</v>
      </c>
    </row>
    <row r="189" spans="6:21">
      <c r="H189" s="24" t="s">
        <v>13</v>
      </c>
      <c r="I189" s="83">
        <f ca="1">SUMIFS(INDIRECT("'"&amp;$G$187&amp;"'"&amp;"!$B:$B"),INDIRECT("'"&amp;$G$187&amp;"'"&amp;"!$a:$a"),$H189)/2</f>
        <v>819742.86999999953</v>
      </c>
      <c r="J189" s="83">
        <f ca="1">SUMIFS(INDIRECT("'"&amp;$G$187&amp;"'"&amp;"!$C:$C"),INDIRECT("'"&amp;$G$187&amp;"'"&amp;"!$a:$a"),$H189)/2</f>
        <v>785416.71999999904</v>
      </c>
      <c r="K189" s="83">
        <f ca="1">SUMIFS(INDIRECT("'"&amp;$G$187&amp;"'"&amp;"!$d:$d"),INDIRECT("'"&amp;$G$187&amp;"'"&amp;"!$a:$a"),$H189)/2</f>
        <v>801677.30000000086</v>
      </c>
      <c r="L189" s="83">
        <f ca="1">SUMIFS(INDIRECT("'"&amp;$G$187&amp;"'"&amp;"!$e:$e"),INDIRECT("'"&amp;$G$187&amp;"'"&amp;"!$a:$a"),$H189)/2</f>
        <v>759874.70000000182</v>
      </c>
      <c r="M189" s="83">
        <f ca="1">SUMIFS(INDIRECT("'"&amp;$G$187&amp;"'"&amp;"!$f:$f"),INDIRECT("'"&amp;$G$187&amp;"'"&amp;"!$a:$a"),$H189)/2</f>
        <v>306348.59999999963</v>
      </c>
      <c r="N189" s="83">
        <f ca="1">SUMIFS(INDIRECT("'"&amp;$G$187&amp;"'"&amp;"!$g:$g"),INDIRECT("'"&amp;$G$187&amp;"'"&amp;"!$a:$a"),$H189)/2</f>
        <v>914776.68</v>
      </c>
      <c r="O189" s="83">
        <f ca="1">SUMIFS(INDIRECT("'"&amp;$G$187&amp;"'"&amp;"!$h:$h"),INDIRECT("'"&amp;$G$187&amp;"'"&amp;"!$a:$a"),$H189)/2</f>
        <v>878456.6999999996</v>
      </c>
      <c r="P189" s="83">
        <f ca="1">SUMIFS(INDIRECT("'"&amp;$G$187&amp;"'"&amp;"!$i:$i"),INDIRECT("'"&amp;$G$187&amp;"'"&amp;"!$a:$a"),$H189)/2</f>
        <v>944989.32999999833</v>
      </c>
      <c r="Q189" s="83">
        <f ca="1">SUMIFS(INDIRECT("'"&amp;$G$187&amp;"'"&amp;"!$j:$j"),INDIRECT("'"&amp;$G$187&amp;"'"&amp;"!$a:$a"),$H189)/2</f>
        <v>910294.34999999905</v>
      </c>
      <c r="R189" s="83">
        <f ca="1">SUMIFS(INDIRECT("'"&amp;$G$187&amp;"'"&amp;"!$k:$k"),INDIRECT("'"&amp;$G$187&amp;"'"&amp;"!$a:$a"),$H189)/2</f>
        <v>1003701.9899999988</v>
      </c>
      <c r="S189" s="83">
        <f ca="1">SUMIFS(INDIRECT("'"&amp;$G$187&amp;"'"&amp;"!$l:$l"),INDIRECT("'"&amp;$G$187&amp;"'"&amp;"!$a:$a"),$H189)/2</f>
        <v>931508.01000000013</v>
      </c>
      <c r="T189" s="83">
        <f ca="1">SUMIFS(INDIRECT("'"&amp;$G$187&amp;"'"&amp;"!$m:$m"),INDIRECT("'"&amp;$G$187&amp;"'"&amp;"!$a:$a"),$H189)/2</f>
        <v>944141.38000000035</v>
      </c>
      <c r="U189" s="83">
        <f ca="1">+SUM(I189:T189)</f>
        <v>10000928.629999995</v>
      </c>
    </row>
    <row r="190" spans="6:21">
      <c r="H190" s="24" t="s">
        <v>134</v>
      </c>
      <c r="I190" s="83">
        <f ca="1">SUMIFS(INDIRECT("'"&amp;$G$187&amp;"'"&amp;"!$B:$B"),INDIRECT("'"&amp;$G$187&amp;"'"&amp;"!$a:$a"),$H190)</f>
        <v>177.62</v>
      </c>
      <c r="J190" s="83">
        <f t="shared" ref="I190:J193" ca="1" si="49">SUMIFS(INDIRECT("'"&amp;$G$187&amp;"'"&amp;"!$C:$C"),INDIRECT("'"&amp;$G$187&amp;"'"&amp;"!$a:$a"),$H190)</f>
        <v>0.52</v>
      </c>
      <c r="K190" s="83">
        <f ca="1">SUMIFS(INDIRECT("'"&amp;$G$187&amp;"'"&amp;"!$d:$d"),INDIRECT("'"&amp;$G$187&amp;"'"&amp;"!$a:$a"),$H190)</f>
        <v>0</v>
      </c>
      <c r="L190" s="83">
        <f ca="1">SUMIFS(INDIRECT("'"&amp;$G$187&amp;"'"&amp;"!$e:$e"),INDIRECT("'"&amp;$G$187&amp;"'"&amp;"!$a:$a"),$H190)</f>
        <v>3.27</v>
      </c>
      <c r="M190" s="83">
        <f ca="1">SUMIFS(INDIRECT("'"&amp;$G$187&amp;"'"&amp;"!$f:$f"),INDIRECT("'"&amp;$G$187&amp;"'"&amp;"!$a:$a"),$H190)</f>
        <v>15.61</v>
      </c>
      <c r="N190" s="83">
        <f ca="1">SUMIFS(INDIRECT("'"&amp;$G$187&amp;"'"&amp;"!$g:$g"),INDIRECT("'"&amp;$G$187&amp;"'"&amp;"!$a:$a"),$H190)</f>
        <v>318.93</v>
      </c>
      <c r="O190" s="83">
        <f ca="1">SUMIFS(INDIRECT("'"&amp;$G$187&amp;"'"&amp;"!$h:$h"),INDIRECT("'"&amp;$G$187&amp;"'"&amp;"!$a:$a"),$H190)</f>
        <v>1195.77</v>
      </c>
      <c r="P190" s="83">
        <f ca="1">SUMIFS(INDIRECT("'"&amp;$G$187&amp;"'"&amp;"!$i:$i"),INDIRECT("'"&amp;$G$187&amp;"'"&amp;"!$a:$a"),$H190)</f>
        <v>54.11</v>
      </c>
      <c r="Q190" s="83">
        <f ca="1">SUMIFS(INDIRECT("'"&amp;$G$187&amp;"'"&amp;"!$j:$j"),INDIRECT("'"&amp;$G$187&amp;"'"&amp;"!$a:$a"),$H190)</f>
        <v>65.739999999999995</v>
      </c>
      <c r="R190" s="83">
        <f ca="1">SUMIFS(INDIRECT("'"&amp;$G$187&amp;"'"&amp;"!$k:$k"),INDIRECT("'"&amp;$G$187&amp;"'"&amp;"!$a:$a"),$H190)</f>
        <v>2.35</v>
      </c>
      <c r="S190" s="83">
        <f ca="1">SUMIFS(INDIRECT("'"&amp;$G$187&amp;"'"&amp;"!$l:$l"),INDIRECT("'"&amp;$G$187&amp;"'"&amp;"!$a:$a"),$H190)</f>
        <v>203.56</v>
      </c>
      <c r="T190" s="83">
        <f ca="1">SUMIFS(INDIRECT("'"&amp;$G$187&amp;"'"&amp;"!$m:$m"),INDIRECT("'"&amp;$G$187&amp;"'"&amp;"!$a:$a"),$H190)</f>
        <v>38.92</v>
      </c>
      <c r="U190" s="83">
        <f t="shared" ref="U190:U193" ca="1" si="50">+SUM(I190:T190)</f>
        <v>2076.3999999999996</v>
      </c>
    </row>
    <row r="191" spans="6:21">
      <c r="H191" s="85" t="s">
        <v>132</v>
      </c>
      <c r="I191" s="83">
        <f ca="1">SUMIFS(INDIRECT("'"&amp;$G$187&amp;"'"&amp;"!$B:$B"),INDIRECT("'"&amp;$G$187&amp;"'"&amp;"!$a:$a"),$H191)</f>
        <v>-57.23</v>
      </c>
      <c r="J191" s="83">
        <f t="shared" ca="1" si="49"/>
        <v>3411.66</v>
      </c>
      <c r="K191" s="83">
        <f ca="1">SUMIFS(INDIRECT("'"&amp;$G$187&amp;"'"&amp;"!$d:$d"),INDIRECT("'"&amp;$G$187&amp;"'"&amp;"!$a:$a"),$H191)</f>
        <v>57.18</v>
      </c>
      <c r="L191" s="83">
        <f ca="1">SUMIFS(INDIRECT("'"&amp;$G$187&amp;"'"&amp;"!$e:$e"),INDIRECT("'"&amp;$G$187&amp;"'"&amp;"!$a:$a"),$H191)</f>
        <v>60.95</v>
      </c>
      <c r="M191" s="83">
        <f ca="1">SUMIFS(INDIRECT("'"&amp;$G$187&amp;"'"&amp;"!$f:$f"),INDIRECT("'"&amp;$G$187&amp;"'"&amp;"!$a:$a"),$H191)</f>
        <v>15368.16</v>
      </c>
      <c r="N191" s="83">
        <f ca="1">SUMIFS(INDIRECT("'"&amp;$G$187&amp;"'"&amp;"!$g:$g"),INDIRECT("'"&amp;$G$187&amp;"'"&amp;"!$a:$a"),$H191)</f>
        <v>0</v>
      </c>
      <c r="O191" s="83">
        <f ca="1">SUMIFS(INDIRECT("'"&amp;$G$187&amp;"'"&amp;"!$h:$h"),INDIRECT("'"&amp;$G$187&amp;"'"&amp;"!$a:$a"),$H191)</f>
        <v>889.19</v>
      </c>
      <c r="P191" s="83">
        <f ca="1">SUMIFS(INDIRECT("'"&amp;$G$187&amp;"'"&amp;"!$i:$i"),INDIRECT("'"&amp;$G$187&amp;"'"&amp;"!$a:$a"),$H191)</f>
        <v>1369.73</v>
      </c>
      <c r="Q191" s="83">
        <f ca="1">SUMIFS(INDIRECT("'"&amp;$G$187&amp;"'"&amp;"!$j:$j"),INDIRECT("'"&amp;$G$187&amp;"'"&amp;"!$a:$a"),$H191)</f>
        <v>445.19</v>
      </c>
      <c r="R191" s="83">
        <f ca="1">SUMIFS(INDIRECT("'"&amp;$G$187&amp;"'"&amp;"!$k:$k"),INDIRECT("'"&amp;$G$187&amp;"'"&amp;"!$a:$a"),$H191)</f>
        <v>1113.5899999999999</v>
      </c>
      <c r="S191" s="83">
        <f ca="1">SUMIFS(INDIRECT("'"&amp;$G$187&amp;"'"&amp;"!$l:$l"),INDIRECT("'"&amp;$G$187&amp;"'"&amp;"!$a:$a"),$H191)</f>
        <v>2026.54</v>
      </c>
      <c r="T191" s="83">
        <f ca="1">SUMIFS(INDIRECT("'"&amp;$G$187&amp;"'"&amp;"!$m:$m"),INDIRECT("'"&amp;$G$187&amp;"'"&amp;"!$a:$a"),$H191)</f>
        <v>0</v>
      </c>
      <c r="U191" s="83">
        <f t="shared" ca="1" si="50"/>
        <v>24684.959999999999</v>
      </c>
    </row>
    <row r="192" spans="6:21">
      <c r="H192" s="85" t="s">
        <v>327</v>
      </c>
      <c r="I192" s="83">
        <f ca="1">SUMIFS(INDIRECT("'"&amp;$G$187&amp;"'"&amp;"!$B:$B"),INDIRECT("'"&amp;$G$187&amp;"'"&amp;"!$a:$a"),$H192)</f>
        <v>0</v>
      </c>
      <c r="J192" s="83">
        <f t="shared" ca="1" si="49"/>
        <v>0</v>
      </c>
      <c r="K192" s="83">
        <f ca="1">SUMIFS(INDIRECT("'"&amp;$G$187&amp;"'"&amp;"!$d:$d"),INDIRECT("'"&amp;$G$187&amp;"'"&amp;"!$a:$a"),$H192)</f>
        <v>0</v>
      </c>
      <c r="L192" s="83">
        <f ca="1">SUMIFS(INDIRECT("'"&amp;$G$187&amp;"'"&amp;"!$e:$e"),INDIRECT("'"&amp;$G$187&amp;"'"&amp;"!$a:$a"),$H192)</f>
        <v>0</v>
      </c>
      <c r="M192" s="83">
        <f ca="1">SUMIFS(INDIRECT("'"&amp;$G$187&amp;"'"&amp;"!$f:$f"),INDIRECT("'"&amp;$G$187&amp;"'"&amp;"!$a:$a"),$H192)</f>
        <v>0</v>
      </c>
      <c r="N192" s="83">
        <f ca="1">SUMIFS(INDIRECT("'"&amp;$G$187&amp;"'"&amp;"!$g:$g"),INDIRECT("'"&amp;$G$187&amp;"'"&amp;"!$a:$a"),$H192)</f>
        <v>0</v>
      </c>
      <c r="O192" s="83">
        <f ca="1">SUMIFS(INDIRECT("'"&amp;$G$187&amp;"'"&amp;"!$h:$h"),INDIRECT("'"&amp;$G$187&amp;"'"&amp;"!$a:$a"),$H192)</f>
        <v>0</v>
      </c>
      <c r="P192" s="83">
        <f ca="1">SUMIFS(INDIRECT("'"&amp;$G$187&amp;"'"&amp;"!$i:$i"),INDIRECT("'"&amp;$G$187&amp;"'"&amp;"!$a:$a"),$H192)</f>
        <v>0</v>
      </c>
      <c r="Q192" s="83">
        <f ca="1">SUMIFS(INDIRECT("'"&amp;$G$187&amp;"'"&amp;"!$j:$j"),INDIRECT("'"&amp;$G$187&amp;"'"&amp;"!$a:$a"),$H192)</f>
        <v>0</v>
      </c>
      <c r="R192" s="83">
        <f ca="1">SUMIFS(INDIRECT("'"&amp;$G$187&amp;"'"&amp;"!$k:$k"),INDIRECT("'"&amp;$G$187&amp;"'"&amp;"!$a:$a"),$H192)</f>
        <v>0</v>
      </c>
      <c r="S192" s="83">
        <f ca="1">SUMIFS(INDIRECT("'"&amp;$G$187&amp;"'"&amp;"!$l:$l"),INDIRECT("'"&amp;$G$187&amp;"'"&amp;"!$a:$a"),$H192)</f>
        <v>0</v>
      </c>
      <c r="T192" s="83">
        <f ca="1">SUMIFS(INDIRECT("'"&amp;$G$187&amp;"'"&amp;"!$m:$m"),INDIRECT("'"&amp;$G$187&amp;"'"&amp;"!$a:$a"),$H192)</f>
        <v>0</v>
      </c>
      <c r="U192" s="83">
        <f t="shared" ca="1" si="50"/>
        <v>0</v>
      </c>
    </row>
    <row r="193" spans="6:21">
      <c r="H193" s="85" t="s">
        <v>282</v>
      </c>
      <c r="I193" s="83">
        <f t="shared" ca="1" si="49"/>
        <v>0</v>
      </c>
      <c r="J193" s="83">
        <f t="shared" ca="1" si="49"/>
        <v>0</v>
      </c>
      <c r="K193" s="83">
        <f ca="1">SUMIFS(INDIRECT("'"&amp;$G$187&amp;"'"&amp;"!$d:$d"),INDIRECT("'"&amp;$G$187&amp;"'"&amp;"!$a:$a"),$H193)</f>
        <v>0</v>
      </c>
      <c r="L193" s="83">
        <f ca="1">SUMIFS(INDIRECT("'"&amp;$G$187&amp;"'"&amp;"!$e:$e"),INDIRECT("'"&amp;$G$187&amp;"'"&amp;"!$a:$a"),$H193)</f>
        <v>0</v>
      </c>
      <c r="M193" s="83">
        <f ca="1">SUMIFS(INDIRECT("'"&amp;$G$187&amp;"'"&amp;"!$f:$f"),INDIRECT("'"&amp;$G$187&amp;"'"&amp;"!$a:$a"),$H193)</f>
        <v>0</v>
      </c>
      <c r="N193" s="83">
        <f ca="1">SUMIFS(INDIRECT("'"&amp;$G$187&amp;"'"&amp;"!$g:$g"),INDIRECT("'"&amp;$G$187&amp;"'"&amp;"!$a:$a"),$H193)</f>
        <v>0</v>
      </c>
      <c r="O193" s="83">
        <f ca="1">SUMIFS(INDIRECT("'"&amp;$G$187&amp;"'"&amp;"!$h:$h"),INDIRECT("'"&amp;$G$187&amp;"'"&amp;"!$a:$a"),$H193)</f>
        <v>0</v>
      </c>
      <c r="P193" s="83">
        <f ca="1">SUMIFS(INDIRECT("'"&amp;$G$187&amp;"'"&amp;"!$i:$i"),INDIRECT("'"&amp;$G$187&amp;"'"&amp;"!$a:$a"),$H193)</f>
        <v>0</v>
      </c>
      <c r="Q193" s="83">
        <f ca="1">SUMIFS(INDIRECT("'"&amp;$G$187&amp;"'"&amp;"!$j:$j"),INDIRECT("'"&amp;$G$187&amp;"'"&amp;"!$a:$a"),$H193)</f>
        <v>0</v>
      </c>
      <c r="R193" s="83">
        <f ca="1">SUMIFS(INDIRECT("'"&amp;$G$187&amp;"'"&amp;"!$k:$k"),INDIRECT("'"&amp;$G$187&amp;"'"&amp;"!$a:$a"),$H193)</f>
        <v>0</v>
      </c>
      <c r="S193" s="83">
        <f ca="1">SUMIFS(INDIRECT("'"&amp;$G$187&amp;"'"&amp;"!$l:$l"),INDIRECT("'"&amp;$G$187&amp;"'"&amp;"!$a:$a"),$H193)</f>
        <v>0</v>
      </c>
      <c r="T193" s="83">
        <f ca="1">SUMIFS(INDIRECT("'"&amp;$G$187&amp;"'"&amp;"!$m:$m"),INDIRECT("'"&amp;$G$187&amp;"'"&amp;"!$a:$a"),$H193)</f>
        <v>0</v>
      </c>
      <c r="U193" s="83">
        <f t="shared" ca="1" si="50"/>
        <v>0</v>
      </c>
    </row>
    <row r="194" spans="6:21">
      <c r="I194" s="84">
        <f t="shared" ref="I194:J194" ca="1" si="51">+I189-SUM(I190:I193)</f>
        <v>819622.47999999952</v>
      </c>
      <c r="J194" s="84">
        <f t="shared" ca="1" si="51"/>
        <v>782004.53999999899</v>
      </c>
      <c r="K194" s="84">
        <f t="shared" ref="K194:U194" ca="1" si="52">+K189-SUM(K190:K193)</f>
        <v>801620.12000000081</v>
      </c>
      <c r="L194" s="84">
        <f t="shared" ca="1" si="52"/>
        <v>759810.48000000184</v>
      </c>
      <c r="M194" s="84">
        <f t="shared" ca="1" si="52"/>
        <v>290964.82999999961</v>
      </c>
      <c r="N194" s="84">
        <f t="shared" ca="1" si="52"/>
        <v>914457.75</v>
      </c>
      <c r="O194" s="84">
        <f t="shared" ca="1" si="52"/>
        <v>876371.73999999964</v>
      </c>
      <c r="P194" s="84">
        <f t="shared" ca="1" si="52"/>
        <v>943565.48999999836</v>
      </c>
      <c r="Q194" s="84">
        <f t="shared" ca="1" si="52"/>
        <v>909783.41999999899</v>
      </c>
      <c r="R194" s="84">
        <f t="shared" ca="1" si="52"/>
        <v>1002586.0499999989</v>
      </c>
      <c r="S194" s="84">
        <f t="shared" ca="1" si="52"/>
        <v>929277.91000000015</v>
      </c>
      <c r="T194" s="84">
        <f t="shared" ca="1" si="52"/>
        <v>944102.46000000031</v>
      </c>
      <c r="U194" s="84">
        <f t="shared" ca="1" si="52"/>
        <v>9974167.2699999958</v>
      </c>
    </row>
    <row r="195" spans="6:21">
      <c r="I195" s="83"/>
      <c r="J195" s="83"/>
      <c r="K195" s="83"/>
      <c r="L195" s="83"/>
      <c r="M195" s="83"/>
      <c r="N195" s="83"/>
      <c r="O195" s="83"/>
      <c r="P195" s="83"/>
      <c r="Q195" s="83"/>
      <c r="R195" s="83"/>
      <c r="S195" s="83"/>
      <c r="T195" s="83"/>
    </row>
    <row r="196" spans="6:21">
      <c r="G196" s="96" t="s">
        <v>330</v>
      </c>
      <c r="H196" s="24" t="s">
        <v>332</v>
      </c>
      <c r="I196" s="83">
        <f ca="1">+Summary!G155</f>
        <v>819623</v>
      </c>
      <c r="J196" s="83">
        <f ca="1">+Summary!H155</f>
        <v>782005</v>
      </c>
      <c r="K196" s="83">
        <f ca="1">+Summary!I155</f>
        <v>801619</v>
      </c>
      <c r="L196" s="83">
        <f ca="1">+Summary!J155</f>
        <v>759812</v>
      </c>
      <c r="M196" s="83">
        <f ca="1">+Summary!K155</f>
        <v>831918</v>
      </c>
      <c r="N196" s="83">
        <f ca="1">+Summary!L155</f>
        <v>914458</v>
      </c>
      <c r="O196" s="83">
        <f ca="1">+Summary!M155</f>
        <v>876372</v>
      </c>
      <c r="P196" s="83">
        <f ca="1">+Summary!N155</f>
        <v>943566</v>
      </c>
      <c r="Q196" s="83">
        <f ca="1">+Summary!O155</f>
        <v>909783</v>
      </c>
      <c r="R196" s="83">
        <f ca="1">+Summary!P155</f>
        <v>1002585</v>
      </c>
      <c r="S196" s="83">
        <f ca="1">+Summary!Q155</f>
        <v>929277</v>
      </c>
      <c r="T196" s="83">
        <f ca="1">+Summary!R155</f>
        <v>944102</v>
      </c>
      <c r="U196" s="83">
        <f ca="1">+Summary!S155</f>
        <v>10515120</v>
      </c>
    </row>
    <row r="197" spans="6:21">
      <c r="I197" s="83">
        <f t="shared" ref="I197:U197" ca="1" si="53">+I194-I196</f>
        <v>-0.52000000048428774</v>
      </c>
      <c r="J197" s="83">
        <f t="shared" ref="J197" ca="1" si="54">+J194-J196</f>
        <v>-0.46000000101048499</v>
      </c>
      <c r="K197" s="83">
        <f t="shared" ca="1" si="53"/>
        <v>1.1200000008102506</v>
      </c>
      <c r="L197" s="83">
        <f t="shared" ca="1" si="53"/>
        <v>-1.5199999981559813</v>
      </c>
      <c r="M197" s="83">
        <f t="shared" ca="1" si="53"/>
        <v>-540953.17000000039</v>
      </c>
      <c r="N197" s="83">
        <f t="shared" ca="1" si="53"/>
        <v>-0.25</v>
      </c>
      <c r="O197" s="83">
        <f t="shared" ca="1" si="53"/>
        <v>-0.26000000035855919</v>
      </c>
      <c r="P197" s="83">
        <f t="shared" ca="1" si="53"/>
        <v>-0.51000000163912773</v>
      </c>
      <c r="Q197" s="83">
        <f t="shared" ca="1" si="53"/>
        <v>0.41999999899417162</v>
      </c>
      <c r="R197" s="83">
        <f t="shared" ca="1" si="53"/>
        <v>1.0499999988824129</v>
      </c>
      <c r="S197" s="83">
        <f t="shared" ca="1" si="53"/>
        <v>0.91000000014901161</v>
      </c>
      <c r="T197" s="83">
        <f t="shared" ca="1" si="53"/>
        <v>0.46000000031199306</v>
      </c>
      <c r="U197" s="83">
        <f t="shared" ca="1" si="53"/>
        <v>-540952.73000000417</v>
      </c>
    </row>
    <row r="200" spans="6:21">
      <c r="F200" s="24">
        <v>15</v>
      </c>
      <c r="G200" s="96" t="s">
        <v>288</v>
      </c>
    </row>
    <row r="201" spans="6:21">
      <c r="G201" s="88" t="s">
        <v>308</v>
      </c>
      <c r="I201" s="97" t="str">
        <f>+Summary!$W$9</f>
        <v>Aug 2021</v>
      </c>
      <c r="J201" s="97" t="str">
        <f>+Summary!$X$9</f>
        <v>Sep 2021</v>
      </c>
      <c r="K201" s="97" t="str">
        <f>+Summary!$Y$9</f>
        <v>Oct 2021</v>
      </c>
      <c r="L201" s="97" t="str">
        <f>+Summary!$Z$9</f>
        <v>Nov 2021</v>
      </c>
      <c r="M201" s="97" t="str">
        <f>+Summary!$AA$9</f>
        <v>Dec 2021</v>
      </c>
      <c r="N201" s="97" t="str">
        <f>+Summary!$AB$9</f>
        <v>Jan 2022</v>
      </c>
      <c r="O201" s="97" t="str">
        <f>+Summary!$AC$9</f>
        <v>Feb 2022</v>
      </c>
      <c r="P201" s="97" t="str">
        <f>+Summary!$AD$9</f>
        <v>Mar 2022</v>
      </c>
      <c r="Q201" s="97" t="str">
        <f>+Summary!$AE$9</f>
        <v>Apr 2022</v>
      </c>
      <c r="R201" s="97" t="str">
        <f>+Summary!$AF$9</f>
        <v>May 2022</v>
      </c>
      <c r="S201" s="97" t="str">
        <f>+Summary!$AG$9</f>
        <v>Jun 2022</v>
      </c>
      <c r="T201" s="97" t="str">
        <f>+Summary!$AH$9</f>
        <v>Jul 2022</v>
      </c>
      <c r="U201" s="84" t="s">
        <v>335</v>
      </c>
    </row>
    <row r="202" spans="6:21">
      <c r="G202" s="96" t="s">
        <v>331</v>
      </c>
      <c r="H202" s="96" t="s">
        <v>329</v>
      </c>
    </row>
    <row r="203" spans="6:21">
      <c r="H203" s="24" t="s">
        <v>13</v>
      </c>
      <c r="I203" s="83">
        <f ca="1">SUMIFS(INDIRECT("'"&amp;$G$201&amp;"'"&amp;"!$B:$B"),INDIRECT("'"&amp;$G$201&amp;"'"&amp;"!$a:$a"),$H203)/2</f>
        <v>801647.320000001</v>
      </c>
      <c r="J203" s="83">
        <f ca="1">SUMIFS(INDIRECT("'"&amp;$G$201&amp;"'"&amp;"!$C:$C"),INDIRECT("'"&amp;$G$201&amp;"'"&amp;"!$a:$a"),$H203)/2</f>
        <v>707565.41999999958</v>
      </c>
      <c r="K203" s="83">
        <f ca="1">SUMIFS(INDIRECT("'"&amp;$G$201&amp;"'"&amp;"!$d:$d"),INDIRECT("'"&amp;$G$201&amp;"'"&amp;"!$a:$a"),$H203)/2</f>
        <v>791997.48000000045</v>
      </c>
      <c r="L203" s="83">
        <f ca="1">SUMIFS(INDIRECT("'"&amp;$G$201&amp;"'"&amp;"!$e:$e"),INDIRECT("'"&amp;$G$201&amp;"'"&amp;"!$a:$a"),$H203)/2</f>
        <v>757290.58999999962</v>
      </c>
      <c r="M203" s="83">
        <f ca="1">SUMIFS(INDIRECT("'"&amp;$G$201&amp;"'"&amp;"!$f:$f"),INDIRECT("'"&amp;$G$201&amp;"'"&amp;"!$a:$a"),$H203)/2</f>
        <v>1220400.82</v>
      </c>
      <c r="N203" s="83">
        <f ca="1">SUMIFS(INDIRECT("'"&amp;$G$201&amp;"'"&amp;"!$g:$g"),INDIRECT("'"&amp;$G$201&amp;"'"&amp;"!$a:$a"),$H203)/2</f>
        <v>804609.30999999936</v>
      </c>
      <c r="O203" s="83">
        <f ca="1">SUMIFS(INDIRECT("'"&amp;$G$201&amp;"'"&amp;"!$h:$h"),INDIRECT("'"&amp;$G$201&amp;"'"&amp;"!$a:$a"),$H203)/2</f>
        <v>803188.2300000008</v>
      </c>
      <c r="P203" s="83">
        <f ca="1">SUMIFS(INDIRECT("'"&amp;$G$201&amp;"'"&amp;"!$i:$i"),INDIRECT("'"&amp;$G$201&amp;"'"&amp;"!$a:$a"),$H203)/2</f>
        <v>1023551.7499999978</v>
      </c>
      <c r="Q203" s="83">
        <f ca="1">SUMIFS(INDIRECT("'"&amp;$G$201&amp;"'"&amp;"!$j:$j"),INDIRECT("'"&amp;$G$201&amp;"'"&amp;"!$a:$a"),$H203)/2</f>
        <v>856217.4099999991</v>
      </c>
      <c r="R203" s="83">
        <f ca="1">SUMIFS(INDIRECT("'"&amp;$G$201&amp;"'"&amp;"!$k:$k"),INDIRECT("'"&amp;$G$201&amp;"'"&amp;"!$a:$a"),$H203)/2</f>
        <v>812070.12999999896</v>
      </c>
      <c r="S203" s="83">
        <f ca="1">SUMIFS(INDIRECT("'"&amp;$G$201&amp;"'"&amp;"!$l:$l"),INDIRECT("'"&amp;$G$201&amp;"'"&amp;"!$a:$a"),$H203)/2</f>
        <v>824150.26000000129</v>
      </c>
      <c r="T203" s="83">
        <f ca="1">SUMIFS(INDIRECT("'"&amp;$G$201&amp;"'"&amp;"!$m:$m"),INDIRECT("'"&amp;$G$201&amp;"'"&amp;"!$a:$a"),$H203)/2</f>
        <v>872711.74999999965</v>
      </c>
      <c r="U203" s="83">
        <f ca="1">+SUM(I203:T203)</f>
        <v>10275400.469999999</v>
      </c>
    </row>
    <row r="204" spans="6:21">
      <c r="H204" s="24" t="s">
        <v>134</v>
      </c>
      <c r="I204" s="83">
        <f ca="1">SUMIFS(INDIRECT("'"&amp;$G$201&amp;"'"&amp;"!$B:$B"),INDIRECT("'"&amp;$G$201&amp;"'"&amp;"!$a:$a"),$H204)</f>
        <v>10.56</v>
      </c>
      <c r="J204" s="83">
        <f ca="1">SUMIFS(INDIRECT("'"&amp;$G$201&amp;"'"&amp;"!$C:$C"),INDIRECT("'"&amp;$G$201&amp;"'"&amp;"!$a:$a"),$H204)</f>
        <v>35.659999999999997</v>
      </c>
      <c r="K204" s="83">
        <f ca="1">SUMIFS(INDIRECT("'"&amp;$G$201&amp;"'"&amp;"!$d:$d"),INDIRECT("'"&amp;$G$201&amp;"'"&amp;"!$a:$a"),$H204)</f>
        <v>67.33</v>
      </c>
      <c r="L204" s="83">
        <f ca="1">SUMIFS(INDIRECT("'"&amp;$G$201&amp;"'"&amp;"!$e:$e"),INDIRECT("'"&amp;$G$201&amp;"'"&amp;"!$a:$a"),$H204)</f>
        <v>10.69</v>
      </c>
      <c r="M204" s="83">
        <f ca="1">SUMIFS(INDIRECT("'"&amp;$G$201&amp;"'"&amp;"!$f:$f"),INDIRECT("'"&amp;$G$201&amp;"'"&amp;"!$a:$a"),$H204)</f>
        <v>21.86</v>
      </c>
      <c r="N204" s="83">
        <f ca="1">SUMIFS(INDIRECT("'"&amp;$G$201&amp;"'"&amp;"!$g:$g"),INDIRECT("'"&amp;$G$201&amp;"'"&amp;"!$a:$a"),$H204)</f>
        <v>20.03</v>
      </c>
      <c r="O204" s="83">
        <f ca="1">SUMIFS(INDIRECT("'"&amp;$G$201&amp;"'"&amp;"!$h:$h"),INDIRECT("'"&amp;$G$201&amp;"'"&amp;"!$a:$a"),$H204)</f>
        <v>126.79</v>
      </c>
      <c r="P204" s="83">
        <f ca="1">SUMIFS(INDIRECT("'"&amp;$G$201&amp;"'"&amp;"!$i:$i"),INDIRECT("'"&amp;$G$201&amp;"'"&amp;"!$a:$a"),$H204)</f>
        <v>2.94</v>
      </c>
      <c r="Q204" s="83">
        <f ca="1">SUMIFS(INDIRECT("'"&amp;$G$201&amp;"'"&amp;"!$j:$j"),INDIRECT("'"&amp;$G$201&amp;"'"&amp;"!$a:$a"),$H204)</f>
        <v>60.71</v>
      </c>
      <c r="R204" s="83">
        <f ca="1">SUMIFS(INDIRECT("'"&amp;$G$201&amp;"'"&amp;"!$k:$k"),INDIRECT("'"&amp;$G$201&amp;"'"&amp;"!$a:$a"),$H204)</f>
        <v>189.1</v>
      </c>
      <c r="S204" s="83">
        <f ca="1">SUMIFS(INDIRECT("'"&amp;$G$201&amp;"'"&amp;"!$l:$l"),INDIRECT("'"&amp;$G$201&amp;"'"&amp;"!$a:$a"),$H204)</f>
        <v>22.85</v>
      </c>
      <c r="T204" s="83">
        <f ca="1">SUMIFS(INDIRECT("'"&amp;$G$201&amp;"'"&amp;"!$m:$m"),INDIRECT("'"&amp;$G$201&amp;"'"&amp;"!$a:$a"),$H204)</f>
        <v>0.28000000000000003</v>
      </c>
      <c r="U204" s="83">
        <f t="shared" ref="U204:U207" ca="1" si="55">+SUM(I204:T204)</f>
        <v>568.79999999999995</v>
      </c>
    </row>
    <row r="205" spans="6:21">
      <c r="H205" s="85" t="s">
        <v>132</v>
      </c>
      <c r="I205" s="83">
        <f ca="1">SUMIFS(INDIRECT("'"&amp;$G$201&amp;"'"&amp;"!$B:$B"),INDIRECT("'"&amp;$G$201&amp;"'"&amp;"!$a:$a"),$H205)</f>
        <v>13360</v>
      </c>
      <c r="J205" s="83">
        <f ca="1">SUMIFS(INDIRECT("'"&amp;$G$201&amp;"'"&amp;"!$C:$C"),INDIRECT("'"&amp;$G$201&amp;"'"&amp;"!$a:$a"),$H205)</f>
        <v>201.72</v>
      </c>
      <c r="K205" s="83">
        <f ca="1">SUMIFS(INDIRECT("'"&amp;$G$201&amp;"'"&amp;"!$d:$d"),INDIRECT("'"&amp;$G$201&amp;"'"&amp;"!$a:$a"),$H205)</f>
        <v>0</v>
      </c>
      <c r="L205" s="83">
        <f ca="1">SUMIFS(INDIRECT("'"&amp;$G$201&amp;"'"&amp;"!$e:$e"),INDIRECT("'"&amp;$G$201&amp;"'"&amp;"!$a:$a"),$H205)</f>
        <v>0</v>
      </c>
      <c r="M205" s="83">
        <f ca="1">SUMIFS(INDIRECT("'"&amp;$G$201&amp;"'"&amp;"!$f:$f"),INDIRECT("'"&amp;$G$201&amp;"'"&amp;"!$a:$a"),$H205)</f>
        <v>17203.740000000002</v>
      </c>
      <c r="N205" s="83">
        <f ca="1">SUMIFS(INDIRECT("'"&amp;$G$201&amp;"'"&amp;"!$g:$g"),INDIRECT("'"&amp;$G$201&amp;"'"&amp;"!$a:$a"),$H205)</f>
        <v>-371.7</v>
      </c>
      <c r="O205" s="83">
        <f ca="1">SUMIFS(INDIRECT("'"&amp;$G$201&amp;"'"&amp;"!$h:$h"),INDIRECT("'"&amp;$G$201&amp;"'"&amp;"!$a:$a"),$H205)</f>
        <v>227.5</v>
      </c>
      <c r="P205" s="83">
        <f ca="1">SUMIFS(INDIRECT("'"&amp;$G$201&amp;"'"&amp;"!$i:$i"),INDIRECT("'"&amp;$G$201&amp;"'"&amp;"!$a:$a"),$H205)</f>
        <v>203.17</v>
      </c>
      <c r="Q205" s="83">
        <f ca="1">SUMIFS(INDIRECT("'"&amp;$G$201&amp;"'"&amp;"!$j:$j"),INDIRECT("'"&amp;$G$201&amp;"'"&amp;"!$a:$a"),$H205)</f>
        <v>200</v>
      </c>
      <c r="R205" s="83">
        <f ca="1">SUMIFS(INDIRECT("'"&amp;$G$201&amp;"'"&amp;"!$k:$k"),INDIRECT("'"&amp;$G$201&amp;"'"&amp;"!$a:$a"),$H205)</f>
        <v>0</v>
      </c>
      <c r="S205" s="83">
        <f ca="1">SUMIFS(INDIRECT("'"&amp;$G$201&amp;"'"&amp;"!$l:$l"),INDIRECT("'"&amp;$G$201&amp;"'"&amp;"!$a:$a"),$H205)</f>
        <v>5982.27</v>
      </c>
      <c r="T205" s="83">
        <f ca="1">SUMIFS(INDIRECT("'"&amp;$G$201&amp;"'"&amp;"!$m:$m"),INDIRECT("'"&amp;$G$201&amp;"'"&amp;"!$a:$a"),$H205)</f>
        <v>3760.11</v>
      </c>
      <c r="U205" s="83">
        <f t="shared" ca="1" si="55"/>
        <v>40766.81</v>
      </c>
    </row>
    <row r="206" spans="6:21">
      <c r="H206" s="85" t="s">
        <v>327</v>
      </c>
      <c r="I206" s="83">
        <f ca="1">SUMIFS(INDIRECT("'"&amp;$G$201&amp;"'"&amp;"!$B:$B"),INDIRECT("'"&amp;$G$201&amp;"'"&amp;"!$a:$a"),$H206)</f>
        <v>0</v>
      </c>
      <c r="J206" s="83">
        <f ca="1">SUMIFS(INDIRECT("'"&amp;$G$201&amp;"'"&amp;"!$C:$C"),INDIRECT("'"&amp;$G$201&amp;"'"&amp;"!$a:$a"),$H206)</f>
        <v>0</v>
      </c>
      <c r="K206" s="83">
        <f ca="1">SUMIFS(INDIRECT("'"&amp;$G$201&amp;"'"&amp;"!$d:$d"),INDIRECT("'"&amp;$G$201&amp;"'"&amp;"!$a:$a"),$H206)</f>
        <v>0</v>
      </c>
      <c r="L206" s="83">
        <f ca="1">SUMIFS(INDIRECT("'"&amp;$G$201&amp;"'"&amp;"!$e:$e"),INDIRECT("'"&amp;$G$201&amp;"'"&amp;"!$a:$a"),$H206)</f>
        <v>0</v>
      </c>
      <c r="M206" s="83">
        <f ca="1">SUMIFS(INDIRECT("'"&amp;$G$201&amp;"'"&amp;"!$f:$f"),INDIRECT("'"&amp;$G$201&amp;"'"&amp;"!$a:$a"),$H206)</f>
        <v>0</v>
      </c>
      <c r="N206" s="83">
        <f ca="1">SUMIFS(INDIRECT("'"&amp;$G$201&amp;"'"&amp;"!$g:$g"),INDIRECT("'"&amp;$G$201&amp;"'"&amp;"!$a:$a"),$H206)</f>
        <v>0</v>
      </c>
      <c r="O206" s="83">
        <f ca="1">SUMIFS(INDIRECT("'"&amp;$G$201&amp;"'"&amp;"!$h:$h"),INDIRECT("'"&amp;$G$201&amp;"'"&amp;"!$a:$a"),$H206)</f>
        <v>0</v>
      </c>
      <c r="P206" s="83">
        <f ca="1">SUMIFS(INDIRECT("'"&amp;$G$201&amp;"'"&amp;"!$i:$i"),INDIRECT("'"&amp;$G$201&amp;"'"&amp;"!$a:$a"),$H206)</f>
        <v>0</v>
      </c>
      <c r="Q206" s="83">
        <f ca="1">SUMIFS(INDIRECT("'"&amp;$G$201&amp;"'"&amp;"!$j:$j"),INDIRECT("'"&amp;$G$201&amp;"'"&amp;"!$a:$a"),$H206)</f>
        <v>0</v>
      </c>
      <c r="R206" s="83">
        <f ca="1">SUMIFS(INDIRECT("'"&amp;$G$201&amp;"'"&amp;"!$k:$k"),INDIRECT("'"&amp;$G$201&amp;"'"&amp;"!$a:$a"),$H206)</f>
        <v>0</v>
      </c>
      <c r="S206" s="83">
        <f ca="1">SUMIFS(INDIRECT("'"&amp;$G$201&amp;"'"&amp;"!$l:$l"),INDIRECT("'"&amp;$G$201&amp;"'"&amp;"!$a:$a"),$H206)</f>
        <v>0</v>
      </c>
      <c r="T206" s="83">
        <f ca="1">SUMIFS(INDIRECT("'"&amp;$G$201&amp;"'"&amp;"!$m:$m"),INDIRECT("'"&amp;$G$201&amp;"'"&amp;"!$a:$a"),$H206)</f>
        <v>0</v>
      </c>
      <c r="U206" s="83">
        <f t="shared" ca="1" si="55"/>
        <v>0</v>
      </c>
    </row>
    <row r="207" spans="6:21">
      <c r="H207" s="85" t="s">
        <v>282</v>
      </c>
      <c r="I207" s="83">
        <f t="shared" ref="I207" ca="1" si="56">SUMIFS(INDIRECT("'"&amp;$G$201&amp;"'"&amp;"!$B:$B"),INDIRECT("'"&amp;$G$201&amp;"'"&amp;"!$a:$a"),$H207)/2</f>
        <v>0</v>
      </c>
      <c r="J207" s="83">
        <f ca="1">SUMIFS(INDIRECT("'"&amp;$G$201&amp;"'"&amp;"!$C:$C"),INDIRECT("'"&amp;$G$201&amp;"'"&amp;"!$a:$a"),$H207)</f>
        <v>0</v>
      </c>
      <c r="K207" s="83">
        <f ca="1">SUMIFS(INDIRECT("'"&amp;$G$201&amp;"'"&amp;"!$d:$d"),INDIRECT("'"&amp;$G$201&amp;"'"&amp;"!$a:$a"),$H207)</f>
        <v>0</v>
      </c>
      <c r="L207" s="83">
        <f ca="1">SUMIFS(INDIRECT("'"&amp;$G$201&amp;"'"&amp;"!$e:$e"),INDIRECT("'"&amp;$G$201&amp;"'"&amp;"!$a:$a"),$H207)</f>
        <v>0</v>
      </c>
      <c r="M207" s="83">
        <f ca="1">SUMIFS(INDIRECT("'"&amp;$G$201&amp;"'"&amp;"!$f:$f"),INDIRECT("'"&amp;$G$201&amp;"'"&amp;"!$a:$a"),$H207)</f>
        <v>0</v>
      </c>
      <c r="N207" s="83">
        <f ca="1">SUMIFS(INDIRECT("'"&amp;$G$201&amp;"'"&amp;"!$g:$g"),INDIRECT("'"&amp;$G$201&amp;"'"&amp;"!$a:$a"),$H207)</f>
        <v>0</v>
      </c>
      <c r="O207" s="83">
        <f ca="1">SUMIFS(INDIRECT("'"&amp;$G$201&amp;"'"&amp;"!$h:$h"),INDIRECT("'"&amp;$G$201&amp;"'"&amp;"!$a:$a"),$H207)</f>
        <v>0</v>
      </c>
      <c r="P207" s="83">
        <f ca="1">SUMIFS(INDIRECT("'"&amp;$G$201&amp;"'"&amp;"!$i:$i"),INDIRECT("'"&amp;$G$201&amp;"'"&amp;"!$a:$a"),$H207)</f>
        <v>0</v>
      </c>
      <c r="Q207" s="83">
        <f ca="1">SUMIFS(INDIRECT("'"&amp;$G$201&amp;"'"&amp;"!$j:$j"),INDIRECT("'"&amp;$G$201&amp;"'"&amp;"!$a:$a"),$H207)</f>
        <v>0</v>
      </c>
      <c r="R207" s="83">
        <f ca="1">SUMIFS(INDIRECT("'"&amp;$G$201&amp;"'"&amp;"!$k:$k"),INDIRECT("'"&amp;$G$201&amp;"'"&amp;"!$a:$a"),$H207)</f>
        <v>0</v>
      </c>
      <c r="S207" s="83">
        <f ca="1">SUMIFS(INDIRECT("'"&amp;$G$201&amp;"'"&amp;"!$l:$l"),INDIRECT("'"&amp;$G$201&amp;"'"&amp;"!$a:$a"),$H207)</f>
        <v>0</v>
      </c>
      <c r="T207" s="83">
        <f ca="1">SUMIFS(INDIRECT("'"&amp;$G$201&amp;"'"&amp;"!$m:$m"),INDIRECT("'"&amp;$G$201&amp;"'"&amp;"!$a:$a"),$H207)</f>
        <v>0</v>
      </c>
      <c r="U207" s="83">
        <f t="shared" ca="1" si="55"/>
        <v>0</v>
      </c>
    </row>
    <row r="208" spans="6:21">
      <c r="I208" s="84">
        <f t="shared" ref="I208:J208" ca="1" si="57">+I203-SUM(I204:I207)</f>
        <v>788276.76000000094</v>
      </c>
      <c r="J208" s="84">
        <f t="shared" ca="1" si="57"/>
        <v>707328.03999999957</v>
      </c>
      <c r="K208" s="84">
        <f t="shared" ref="K208:U208" ca="1" si="58">+K203-SUM(K204:K207)</f>
        <v>791930.15000000049</v>
      </c>
      <c r="L208" s="84">
        <f t="shared" ca="1" si="58"/>
        <v>757279.89999999967</v>
      </c>
      <c r="M208" s="84">
        <f t="shared" ca="1" si="58"/>
        <v>1203175.22</v>
      </c>
      <c r="N208" s="84">
        <f t="shared" ca="1" si="58"/>
        <v>804960.9799999994</v>
      </c>
      <c r="O208" s="84">
        <f t="shared" ca="1" si="58"/>
        <v>802833.94000000076</v>
      </c>
      <c r="P208" s="84">
        <f t="shared" ca="1" si="58"/>
        <v>1023345.6399999978</v>
      </c>
      <c r="Q208" s="84">
        <f t="shared" ca="1" si="58"/>
        <v>855956.69999999914</v>
      </c>
      <c r="R208" s="84">
        <f t="shared" ca="1" si="58"/>
        <v>811881.02999999898</v>
      </c>
      <c r="S208" s="84">
        <f t="shared" ca="1" si="58"/>
        <v>818145.14000000129</v>
      </c>
      <c r="T208" s="84">
        <f t="shared" ca="1" si="58"/>
        <v>868951.35999999964</v>
      </c>
      <c r="U208" s="84">
        <f t="shared" ca="1" si="58"/>
        <v>10234064.859999999</v>
      </c>
    </row>
    <row r="209" spans="6:21">
      <c r="I209" s="83"/>
      <c r="J209" s="83"/>
      <c r="K209" s="83"/>
      <c r="L209" s="83"/>
      <c r="M209" s="83"/>
      <c r="N209" s="83"/>
      <c r="O209" s="83"/>
      <c r="P209" s="83"/>
      <c r="Q209" s="83"/>
      <c r="R209" s="83"/>
      <c r="S209" s="83"/>
      <c r="T209" s="83"/>
    </row>
    <row r="210" spans="6:21">
      <c r="G210" s="96" t="s">
        <v>330</v>
      </c>
      <c r="H210" s="24" t="s">
        <v>332</v>
      </c>
      <c r="I210" s="83">
        <f ca="1">+Summary!G166</f>
        <v>788277</v>
      </c>
      <c r="J210" s="83">
        <f ca="1">+Summary!H166</f>
        <v>707328</v>
      </c>
      <c r="K210" s="83">
        <f ca="1">+Summary!I166</f>
        <v>791930</v>
      </c>
      <c r="L210" s="83">
        <f ca="1">+Summary!J166</f>
        <v>757280</v>
      </c>
      <c r="M210" s="83">
        <f ca="1">+Summary!K166</f>
        <v>929946</v>
      </c>
      <c r="N210" s="83">
        <f ca="1">+Summary!L166</f>
        <v>804961</v>
      </c>
      <c r="O210" s="83">
        <f ca="1">+Summary!M166</f>
        <v>802834</v>
      </c>
      <c r="P210" s="83">
        <f ca="1">+Summary!N166</f>
        <v>1023346</v>
      </c>
      <c r="Q210" s="83">
        <f ca="1">+Summary!O166</f>
        <v>855956</v>
      </c>
      <c r="R210" s="83">
        <f ca="1">+Summary!P166</f>
        <v>811881</v>
      </c>
      <c r="S210" s="83">
        <f ca="1">+Summary!Q166</f>
        <v>818145</v>
      </c>
      <c r="T210" s="83">
        <f ca="1">+Summary!R166</f>
        <v>868952</v>
      </c>
      <c r="U210" s="83">
        <f ca="1">+Summary!S166</f>
        <v>9960836</v>
      </c>
    </row>
    <row r="211" spans="6:21">
      <c r="I211" s="83">
        <f t="shared" ref="I211:U211" ca="1" si="59">+I208-I210</f>
        <v>-0.2399999990593642</v>
      </c>
      <c r="J211" s="83">
        <f t="shared" ref="J211" ca="1" si="60">+J208-J210</f>
        <v>3.9999999571591616E-2</v>
      </c>
      <c r="K211" s="83">
        <f t="shared" ca="1" si="59"/>
        <v>0.15000000048894435</v>
      </c>
      <c r="L211" s="83">
        <f t="shared" ca="1" si="59"/>
        <v>-0.1000000003259629</v>
      </c>
      <c r="M211" s="83">
        <f t="shared" ca="1" si="59"/>
        <v>273229.21999999997</v>
      </c>
      <c r="N211" s="83">
        <f t="shared" ca="1" si="59"/>
        <v>-2.0000000600703061E-2</v>
      </c>
      <c r="O211" s="83">
        <f t="shared" ca="1" si="59"/>
        <v>-5.9999999240972102E-2</v>
      </c>
      <c r="P211" s="83">
        <f t="shared" ca="1" si="59"/>
        <v>-0.36000000219792128</v>
      </c>
      <c r="Q211" s="83">
        <f t="shared" ca="1" si="59"/>
        <v>0.69999999913852662</v>
      </c>
      <c r="R211" s="83">
        <f t="shared" ca="1" si="59"/>
        <v>2.9999998980201781E-2</v>
      </c>
      <c r="S211" s="83">
        <f t="shared" ca="1" si="59"/>
        <v>0.14000000129453838</v>
      </c>
      <c r="T211" s="83">
        <f t="shared" ca="1" si="59"/>
        <v>-0.6400000003632158</v>
      </c>
      <c r="U211" s="83">
        <f t="shared" ca="1" si="59"/>
        <v>273228.8599999994</v>
      </c>
    </row>
    <row r="214" spans="6:21">
      <c r="F214" s="24">
        <v>16</v>
      </c>
      <c r="G214" s="96" t="s">
        <v>289</v>
      </c>
    </row>
    <row r="215" spans="6:21">
      <c r="G215" s="88" t="s">
        <v>309</v>
      </c>
      <c r="I215" s="97" t="str">
        <f>+Summary!$W$9</f>
        <v>Aug 2021</v>
      </c>
      <c r="J215" s="97" t="str">
        <f>+Summary!$X$9</f>
        <v>Sep 2021</v>
      </c>
      <c r="K215" s="97" t="str">
        <f>+Summary!$Y$9</f>
        <v>Oct 2021</v>
      </c>
      <c r="L215" s="97" t="str">
        <f>+Summary!$Z$9</f>
        <v>Nov 2021</v>
      </c>
      <c r="M215" s="97" t="str">
        <f>+Summary!$AA$9</f>
        <v>Dec 2021</v>
      </c>
      <c r="N215" s="97" t="str">
        <f>+Summary!$AB$9</f>
        <v>Jan 2022</v>
      </c>
      <c r="O215" s="97" t="str">
        <f>+Summary!$AC$9</f>
        <v>Feb 2022</v>
      </c>
      <c r="P215" s="97" t="str">
        <f>+Summary!$AD$9</f>
        <v>Mar 2022</v>
      </c>
      <c r="Q215" s="97" t="str">
        <f>+Summary!$AE$9</f>
        <v>Apr 2022</v>
      </c>
      <c r="R215" s="97" t="str">
        <f>+Summary!$AF$9</f>
        <v>May 2022</v>
      </c>
      <c r="S215" s="97" t="str">
        <f>+Summary!$AG$9</f>
        <v>Jun 2022</v>
      </c>
      <c r="T215" s="97" t="str">
        <f>+Summary!$AH$9</f>
        <v>Jul 2022</v>
      </c>
      <c r="U215" s="84" t="s">
        <v>335</v>
      </c>
    </row>
    <row r="216" spans="6:21">
      <c r="G216" s="96" t="s">
        <v>331</v>
      </c>
      <c r="H216" s="96" t="s">
        <v>329</v>
      </c>
    </row>
    <row r="217" spans="6:21">
      <c r="H217" s="24" t="s">
        <v>13</v>
      </c>
      <c r="I217" s="83">
        <f ca="1">SUMIFS(INDIRECT("'"&amp;$G$215&amp;"'"&amp;"!$B:$B"),INDIRECT("'"&amp;$G$215&amp;"'"&amp;"!$a:$a"),$H217)/2</f>
        <v>573410.73</v>
      </c>
      <c r="J217" s="83">
        <f ca="1">SUMIFS(INDIRECT("'"&amp;$G$215&amp;"'"&amp;"!$C:$C"),INDIRECT("'"&amp;$G$215&amp;"'"&amp;"!$a:$a"),$H217)/2</f>
        <v>592947.75999999966</v>
      </c>
      <c r="K217" s="83">
        <f ca="1">SUMIFS(INDIRECT("'"&amp;$G$215&amp;"'"&amp;"!$d:$d"),INDIRECT("'"&amp;$G$215&amp;"'"&amp;"!$a:$a"),$H217)/2</f>
        <v>522128.03999999934</v>
      </c>
      <c r="L217" s="83">
        <f ca="1">SUMIFS(INDIRECT("'"&amp;$G$215&amp;"'"&amp;"!$e:$e"),INDIRECT("'"&amp;$G$215&amp;"'"&amp;"!$a:$a"),$H217)/2</f>
        <v>738898.14999999979</v>
      </c>
      <c r="M217" s="83">
        <f ca="1">SUMIFS(INDIRECT("'"&amp;$G$215&amp;"'"&amp;"!$f:$f"),INDIRECT("'"&amp;$G$215&amp;"'"&amp;"!$a:$a"),$H217)/2</f>
        <v>-504537.83999999962</v>
      </c>
      <c r="N217" s="83">
        <f ca="1">SUMIFS(INDIRECT("'"&amp;$G$215&amp;"'"&amp;"!$g:$g"),INDIRECT("'"&amp;$G$215&amp;"'"&amp;"!$a:$a"),$H217)/2</f>
        <v>721276.9299999997</v>
      </c>
      <c r="O217" s="83">
        <f ca="1">SUMIFS(INDIRECT("'"&amp;$G$215&amp;"'"&amp;"!$h:$h"),INDIRECT("'"&amp;$G$215&amp;"'"&amp;"!$a:$a"),$H217)/2</f>
        <v>687177.9499999996</v>
      </c>
      <c r="P217" s="83">
        <f ca="1">SUMIFS(INDIRECT("'"&amp;$G$215&amp;"'"&amp;"!$i:$i"),INDIRECT("'"&amp;$G$215&amp;"'"&amp;"!$a:$a"),$H217)/2</f>
        <v>562630.18999999959</v>
      </c>
      <c r="Q217" s="83">
        <f ca="1">SUMIFS(INDIRECT("'"&amp;$G$215&amp;"'"&amp;"!$j:$j"),INDIRECT("'"&amp;$G$215&amp;"'"&amp;"!$a:$a"),$H217)/2</f>
        <v>495106.08000000019</v>
      </c>
      <c r="R217" s="83">
        <f ca="1">SUMIFS(INDIRECT("'"&amp;$G$215&amp;"'"&amp;"!$k:$k"),INDIRECT("'"&amp;$G$215&amp;"'"&amp;"!$a:$a"),$H217)/2</f>
        <v>535634.99000000011</v>
      </c>
      <c r="S217" s="83">
        <f ca="1">SUMIFS(INDIRECT("'"&amp;$G$215&amp;"'"&amp;"!$l:$l"),INDIRECT("'"&amp;$G$215&amp;"'"&amp;"!$a:$a"),$H217)/2</f>
        <v>-3001826.140000002</v>
      </c>
      <c r="T217" s="83">
        <f ca="1">SUMIFS(INDIRECT("'"&amp;$G$215&amp;"'"&amp;"!$m:$m"),INDIRECT("'"&amp;$G$215&amp;"'"&amp;"!$a:$a"),$H217)/2</f>
        <v>0</v>
      </c>
      <c r="U217" s="83">
        <f ca="1">+SUM(I217:T217)</f>
        <v>1922846.8399999966</v>
      </c>
    </row>
    <row r="218" spans="6:21">
      <c r="H218" s="24" t="s">
        <v>134</v>
      </c>
      <c r="I218" s="83">
        <f ca="1">SUMIFS(INDIRECT("'"&amp;$G$215&amp;"'"&amp;"!$B:$B"),INDIRECT("'"&amp;$G$215&amp;"'"&amp;"!$a:$a"),$H218)</f>
        <v>0</v>
      </c>
      <c r="J218" s="83">
        <f ca="1">SUMIFS(INDIRECT("'"&amp;$G$215&amp;"'"&amp;"!$C:$C"),INDIRECT("'"&amp;$G$215&amp;"'"&amp;"!$a:$a"),$H218)</f>
        <v>9.19</v>
      </c>
      <c r="K218" s="83">
        <f ca="1">SUMIFS(INDIRECT("'"&amp;$G$215&amp;"'"&amp;"!$d:$d"),INDIRECT("'"&amp;$G$215&amp;"'"&amp;"!$a:$a"),$H218)</f>
        <v>10.15</v>
      </c>
      <c r="L218" s="83">
        <f ca="1">SUMIFS(INDIRECT("'"&amp;$G$215&amp;"'"&amp;"!$e:$e"),INDIRECT("'"&amp;$G$215&amp;"'"&amp;"!$a:$a"),$H218)</f>
        <v>0.32</v>
      </c>
      <c r="M218" s="83">
        <f ca="1">SUMIFS(INDIRECT("'"&amp;$G$215&amp;"'"&amp;"!$f:$f"),INDIRECT("'"&amp;$G$215&amp;"'"&amp;"!$a:$a"),$H218)</f>
        <v>0</v>
      </c>
      <c r="N218" s="83">
        <f ca="1">SUMIFS(INDIRECT("'"&amp;$G$215&amp;"'"&amp;"!$g:$g"),INDIRECT("'"&amp;$G$215&amp;"'"&amp;"!$a:$a"),$H218)</f>
        <v>0</v>
      </c>
      <c r="O218" s="83">
        <f ca="1">SUMIFS(INDIRECT("'"&amp;$G$215&amp;"'"&amp;"!$h:$h"),INDIRECT("'"&amp;$G$215&amp;"'"&amp;"!$a:$a"),$H218)</f>
        <v>0</v>
      </c>
      <c r="P218" s="83">
        <f ca="1">SUMIFS(INDIRECT("'"&amp;$G$215&amp;"'"&amp;"!$i:$i"),INDIRECT("'"&amp;$G$215&amp;"'"&amp;"!$a:$a"),$H218)</f>
        <v>0.15</v>
      </c>
      <c r="Q218" s="83">
        <f ca="1">SUMIFS(INDIRECT("'"&amp;$G$215&amp;"'"&amp;"!$j:$j"),INDIRECT("'"&amp;$G$215&amp;"'"&amp;"!$a:$a"),$H218)</f>
        <v>0</v>
      </c>
      <c r="R218" s="83">
        <f ca="1">SUMIFS(INDIRECT("'"&amp;$G$215&amp;"'"&amp;"!$k:$k"),INDIRECT("'"&amp;$G$215&amp;"'"&amp;"!$a:$a"),$H218)</f>
        <v>0</v>
      </c>
      <c r="S218" s="83">
        <f ca="1">SUMIFS(INDIRECT("'"&amp;$G$215&amp;"'"&amp;"!$l:$l"),INDIRECT("'"&amp;$G$215&amp;"'"&amp;"!$a:$a"),$H218)</f>
        <v>-0.15</v>
      </c>
      <c r="T218" s="83">
        <f ca="1">SUMIFS(INDIRECT("'"&amp;$G$215&amp;"'"&amp;"!$m:$m"),INDIRECT("'"&amp;$G$215&amp;"'"&amp;"!$a:$a"),$H218)</f>
        <v>0</v>
      </c>
      <c r="U218" s="83">
        <f t="shared" ref="U218:U221" ca="1" si="61">+SUM(I218:T218)</f>
        <v>19.66</v>
      </c>
    </row>
    <row r="219" spans="6:21">
      <c r="H219" s="85" t="s">
        <v>132</v>
      </c>
      <c r="I219" s="83">
        <f ca="1">SUMIFS(INDIRECT("'"&amp;$G$215&amp;"'"&amp;"!$B:$B"),INDIRECT("'"&amp;$G$215&amp;"'"&amp;"!$a:$a"),$H219)</f>
        <v>0.15</v>
      </c>
      <c r="J219" s="83">
        <f ca="1">SUMIFS(INDIRECT("'"&amp;$G$215&amp;"'"&amp;"!$C:$C"),INDIRECT("'"&amp;$G$215&amp;"'"&amp;"!$a:$a"),$H219)</f>
        <v>877.96</v>
      </c>
      <c r="K219" s="83">
        <f ca="1">SUMIFS(INDIRECT("'"&amp;$G$215&amp;"'"&amp;"!$d:$d"),INDIRECT("'"&amp;$G$215&amp;"'"&amp;"!$a:$a"),$H219)</f>
        <v>0</v>
      </c>
      <c r="L219" s="83">
        <f ca="1">SUMIFS(INDIRECT("'"&amp;$G$215&amp;"'"&amp;"!$e:$e"),INDIRECT("'"&amp;$G$215&amp;"'"&amp;"!$a:$a"),$H219)</f>
        <v>87.27</v>
      </c>
      <c r="M219" s="83">
        <f ca="1">SUMIFS(INDIRECT("'"&amp;$G$215&amp;"'"&amp;"!$f:$f"),INDIRECT("'"&amp;$G$215&amp;"'"&amp;"!$a:$a"),$H219)</f>
        <v>4803.58</v>
      </c>
      <c r="N219" s="83">
        <f ca="1">SUMIFS(INDIRECT("'"&amp;$G$215&amp;"'"&amp;"!$g:$g"),INDIRECT("'"&amp;$G$215&amp;"'"&amp;"!$a:$a"),$H219)</f>
        <v>243.58</v>
      </c>
      <c r="O219" s="83">
        <f ca="1">SUMIFS(INDIRECT("'"&amp;$G$215&amp;"'"&amp;"!$h:$h"),INDIRECT("'"&amp;$G$215&amp;"'"&amp;"!$a:$a"),$H219)</f>
        <v>1.03</v>
      </c>
      <c r="P219" s="83">
        <f ca="1">SUMIFS(INDIRECT("'"&amp;$G$215&amp;"'"&amp;"!$i:$i"),INDIRECT("'"&amp;$G$215&amp;"'"&amp;"!$a:$a"),$H219)</f>
        <v>10.14</v>
      </c>
      <c r="Q219" s="83">
        <f ca="1">SUMIFS(INDIRECT("'"&amp;$G$215&amp;"'"&amp;"!$j:$j"),INDIRECT("'"&amp;$G$215&amp;"'"&amp;"!$a:$a"),$H219)</f>
        <v>396.97</v>
      </c>
      <c r="R219" s="83">
        <f ca="1">SUMIFS(INDIRECT("'"&amp;$G$215&amp;"'"&amp;"!$k:$k"),INDIRECT("'"&amp;$G$215&amp;"'"&amp;"!$a:$a"),$H219)</f>
        <v>200</v>
      </c>
      <c r="S219" s="83">
        <f ca="1">SUMIFS(INDIRECT("'"&amp;$G$215&amp;"'"&amp;"!$l:$l"),INDIRECT("'"&amp;$G$215&amp;"'"&amp;"!$a:$a"),$H219)</f>
        <v>-851.72</v>
      </c>
      <c r="T219" s="83">
        <f ca="1">SUMIFS(INDIRECT("'"&amp;$G$215&amp;"'"&amp;"!$m:$m"),INDIRECT("'"&amp;$G$215&amp;"'"&amp;"!$a:$a"),$H219)</f>
        <v>0</v>
      </c>
      <c r="U219" s="83">
        <f t="shared" ca="1" si="61"/>
        <v>5768.96</v>
      </c>
    </row>
    <row r="220" spans="6:21">
      <c r="H220" s="85" t="s">
        <v>327</v>
      </c>
      <c r="I220" s="83">
        <f ca="1">SUMIFS(INDIRECT("'"&amp;$G$215&amp;"'"&amp;"!$B:$B"),INDIRECT("'"&amp;$G$215&amp;"'"&amp;"!$a:$a"),$H220)</f>
        <v>0</v>
      </c>
      <c r="J220" s="83">
        <f ca="1">SUMIFS(INDIRECT("'"&amp;$G$215&amp;"'"&amp;"!$C:$C"),INDIRECT("'"&amp;$G$215&amp;"'"&amp;"!$a:$a"),$H220)</f>
        <v>0</v>
      </c>
      <c r="K220" s="83">
        <f ca="1">SUMIFS(INDIRECT("'"&amp;$G$215&amp;"'"&amp;"!$d:$d"),INDIRECT("'"&amp;$G$215&amp;"'"&amp;"!$a:$a"),$H220)</f>
        <v>0</v>
      </c>
      <c r="L220" s="83">
        <f ca="1">SUMIFS(INDIRECT("'"&amp;$G$215&amp;"'"&amp;"!$e:$e"),INDIRECT("'"&amp;$G$215&amp;"'"&amp;"!$a:$a"),$H220)</f>
        <v>0</v>
      </c>
      <c r="M220" s="83">
        <f ca="1">SUMIFS(INDIRECT("'"&amp;$G$215&amp;"'"&amp;"!$f:$f"),INDIRECT("'"&amp;$G$215&amp;"'"&amp;"!$a:$a"),$H220)</f>
        <v>0</v>
      </c>
      <c r="N220" s="83">
        <f ca="1">SUMIFS(INDIRECT("'"&amp;$G$215&amp;"'"&amp;"!$g:$g"),INDIRECT("'"&amp;$G$215&amp;"'"&amp;"!$a:$a"),$H220)</f>
        <v>0</v>
      </c>
      <c r="O220" s="83">
        <f ca="1">SUMIFS(INDIRECT("'"&amp;$G$215&amp;"'"&amp;"!$h:$h"),INDIRECT("'"&amp;$G$215&amp;"'"&amp;"!$a:$a"),$H220)</f>
        <v>0</v>
      </c>
      <c r="P220" s="83">
        <f ca="1">SUMIFS(INDIRECT("'"&amp;$G$215&amp;"'"&amp;"!$i:$i"),INDIRECT("'"&amp;$G$215&amp;"'"&amp;"!$a:$a"),$H220)</f>
        <v>0</v>
      </c>
      <c r="Q220" s="83">
        <f ca="1">SUMIFS(INDIRECT("'"&amp;$G$215&amp;"'"&amp;"!$j:$j"),INDIRECT("'"&amp;$G$215&amp;"'"&amp;"!$a:$a"),$H220)</f>
        <v>0</v>
      </c>
      <c r="R220" s="83">
        <f ca="1">SUMIFS(INDIRECT("'"&amp;$G$215&amp;"'"&amp;"!$k:$k"),INDIRECT("'"&amp;$G$215&amp;"'"&amp;"!$a:$a"),$H220)</f>
        <v>0</v>
      </c>
      <c r="S220" s="83">
        <f ca="1">SUMIFS(INDIRECT("'"&amp;$G$215&amp;"'"&amp;"!$l:$l"),INDIRECT("'"&amp;$G$215&amp;"'"&amp;"!$a:$a"),$H220)</f>
        <v>0</v>
      </c>
      <c r="T220" s="83">
        <f ca="1">SUMIFS(INDIRECT("'"&amp;$G$215&amp;"'"&amp;"!$m:$m"),INDIRECT("'"&amp;$G$215&amp;"'"&amp;"!$a:$a"),$H220)</f>
        <v>0</v>
      </c>
      <c r="U220" s="83">
        <f t="shared" ca="1" si="61"/>
        <v>0</v>
      </c>
    </row>
    <row r="221" spans="6:21">
      <c r="H221" s="85" t="s">
        <v>282</v>
      </c>
      <c r="I221" s="83">
        <f t="shared" ref="I221" ca="1" si="62">SUMIFS(INDIRECT("'"&amp;$G$215&amp;"'"&amp;"!$B:$B"),INDIRECT("'"&amp;$G$215&amp;"'"&amp;"!$a:$a"),$H221)/2</f>
        <v>0</v>
      </c>
      <c r="J221" s="83">
        <f ca="1">SUMIFS(INDIRECT("'"&amp;$G$215&amp;"'"&amp;"!$C:$C"),INDIRECT("'"&amp;$G$215&amp;"'"&amp;"!$a:$a"),$H221)</f>
        <v>0</v>
      </c>
      <c r="K221" s="83">
        <f ca="1">SUMIFS(INDIRECT("'"&amp;$G$215&amp;"'"&amp;"!$d:$d"),INDIRECT("'"&amp;$G$215&amp;"'"&amp;"!$a:$a"),$H221)</f>
        <v>0</v>
      </c>
      <c r="L221" s="83">
        <f ca="1">SUMIFS(INDIRECT("'"&amp;$G$215&amp;"'"&amp;"!$e:$e"),INDIRECT("'"&amp;$G$215&amp;"'"&amp;"!$a:$a"),$H221)</f>
        <v>0</v>
      </c>
      <c r="M221" s="83">
        <f ca="1">SUMIFS(INDIRECT("'"&amp;$G$215&amp;"'"&amp;"!$f:$f"),INDIRECT("'"&amp;$G$215&amp;"'"&amp;"!$a:$a"),$H221)</f>
        <v>0</v>
      </c>
      <c r="N221" s="83">
        <f ca="1">SUMIFS(INDIRECT("'"&amp;$G$215&amp;"'"&amp;"!$g:$g"),INDIRECT("'"&amp;$G$215&amp;"'"&amp;"!$a:$a"),$H221)</f>
        <v>0</v>
      </c>
      <c r="O221" s="83">
        <f ca="1">SUMIFS(INDIRECT("'"&amp;$G$215&amp;"'"&amp;"!$h:$h"),INDIRECT("'"&amp;$G$215&amp;"'"&amp;"!$a:$a"),$H221)</f>
        <v>0</v>
      </c>
      <c r="P221" s="83">
        <f ca="1">SUMIFS(INDIRECT("'"&amp;$G$215&amp;"'"&amp;"!$i:$i"),INDIRECT("'"&amp;$G$215&amp;"'"&amp;"!$a:$a"),$H221)</f>
        <v>0</v>
      </c>
      <c r="Q221" s="83">
        <f ca="1">SUMIFS(INDIRECT("'"&amp;$G$215&amp;"'"&amp;"!$j:$j"),INDIRECT("'"&amp;$G$215&amp;"'"&amp;"!$a:$a"),$H221)</f>
        <v>0</v>
      </c>
      <c r="R221" s="83">
        <f ca="1">SUMIFS(INDIRECT("'"&amp;$G$215&amp;"'"&amp;"!$k:$k"),INDIRECT("'"&amp;$G$215&amp;"'"&amp;"!$a:$a"),$H221)</f>
        <v>0</v>
      </c>
      <c r="S221" s="83">
        <f ca="1">SUMIFS(INDIRECT("'"&amp;$G$215&amp;"'"&amp;"!$l:$l"),INDIRECT("'"&amp;$G$215&amp;"'"&amp;"!$a:$a"),$H221)</f>
        <v>0</v>
      </c>
      <c r="T221" s="83">
        <f ca="1">SUMIFS(INDIRECT("'"&amp;$G$215&amp;"'"&amp;"!$m:$m"),INDIRECT("'"&amp;$G$215&amp;"'"&amp;"!$a:$a"),$H221)</f>
        <v>0</v>
      </c>
      <c r="U221" s="83">
        <f t="shared" ca="1" si="61"/>
        <v>0</v>
      </c>
    </row>
    <row r="222" spans="6:21">
      <c r="I222" s="84">
        <f t="shared" ref="I222:J222" ca="1" si="63">+I217-SUM(I218:I221)</f>
        <v>573410.57999999996</v>
      </c>
      <c r="J222" s="84">
        <f t="shared" ca="1" si="63"/>
        <v>592060.60999999964</v>
      </c>
      <c r="K222" s="84">
        <f t="shared" ref="K222:U222" ca="1" si="64">+K217-SUM(K218:K221)</f>
        <v>522117.88999999932</v>
      </c>
      <c r="L222" s="84">
        <f t="shared" ca="1" si="64"/>
        <v>738810.55999999982</v>
      </c>
      <c r="M222" s="84">
        <f t="shared" ca="1" si="64"/>
        <v>-509341.41999999963</v>
      </c>
      <c r="N222" s="84">
        <f t="shared" ca="1" si="64"/>
        <v>721033.34999999974</v>
      </c>
      <c r="O222" s="84">
        <f t="shared" ca="1" si="64"/>
        <v>687176.91999999958</v>
      </c>
      <c r="P222" s="84">
        <f t="shared" ca="1" si="64"/>
        <v>562619.89999999956</v>
      </c>
      <c r="Q222" s="84">
        <f t="shared" ca="1" si="64"/>
        <v>494709.11000000022</v>
      </c>
      <c r="R222" s="84">
        <f t="shared" ca="1" si="64"/>
        <v>535434.99000000011</v>
      </c>
      <c r="S222" s="84">
        <f t="shared" ca="1" si="64"/>
        <v>-3000974.2700000019</v>
      </c>
      <c r="T222" s="84">
        <f t="shared" ca="1" si="64"/>
        <v>0</v>
      </c>
      <c r="U222" s="84">
        <f t="shared" ca="1" si="64"/>
        <v>1917058.2199999965</v>
      </c>
    </row>
    <row r="223" spans="6:21">
      <c r="I223" s="83"/>
      <c r="J223" s="83"/>
      <c r="K223" s="83"/>
      <c r="L223" s="83"/>
      <c r="M223" s="83"/>
      <c r="N223" s="83"/>
      <c r="O223" s="83"/>
      <c r="P223" s="83"/>
      <c r="Q223" s="83"/>
      <c r="R223" s="83"/>
      <c r="S223" s="83"/>
      <c r="T223" s="83"/>
    </row>
    <row r="224" spans="6:21">
      <c r="G224" s="96" t="s">
        <v>330</v>
      </c>
      <c r="H224" s="24" t="s">
        <v>332</v>
      </c>
      <c r="I224" s="83">
        <f ca="1">+Summary!G177</f>
        <v>573410</v>
      </c>
      <c r="J224" s="83">
        <f ca="1">+Summary!H177</f>
        <v>592060</v>
      </c>
      <c r="K224" s="83">
        <f ca="1">+Summary!I177</f>
        <v>522118</v>
      </c>
      <c r="L224" s="83">
        <f ca="1">+Summary!J177</f>
        <v>738810</v>
      </c>
      <c r="M224" s="83">
        <f ca="1">+Summary!K177</f>
        <v>679147</v>
      </c>
      <c r="N224" s="83">
        <f ca="1">+Summary!L177</f>
        <v>721033</v>
      </c>
      <c r="O224" s="83">
        <f ca="1">+Summary!M177</f>
        <v>687177</v>
      </c>
      <c r="P224" s="83">
        <f ca="1">+Summary!N177</f>
        <v>562621</v>
      </c>
      <c r="Q224" s="83">
        <f ca="1">+Summary!O177</f>
        <v>494709</v>
      </c>
      <c r="R224" s="83">
        <f ca="1">+Summary!P177</f>
        <v>535437</v>
      </c>
      <c r="S224" s="83">
        <f ca="1">+Summary!Q177</f>
        <v>452757</v>
      </c>
      <c r="T224" s="83">
        <f ca="1">+Summary!R177</f>
        <v>-116721</v>
      </c>
      <c r="U224" s="83">
        <f ca="1">+Summary!S177</f>
        <v>6559279</v>
      </c>
    </row>
    <row r="225" spans="6:21">
      <c r="I225" s="83">
        <f t="shared" ref="I225:U225" ca="1" si="65">+I222-I224</f>
        <v>0.57999999995809048</v>
      </c>
      <c r="J225" s="83">
        <f t="shared" ref="J225" ca="1" si="66">+J222-J224</f>
        <v>0.6099999996367842</v>
      </c>
      <c r="K225" s="83">
        <f t="shared" ca="1" si="65"/>
        <v>-0.11000000068452209</v>
      </c>
      <c r="L225" s="83">
        <f t="shared" ca="1" si="65"/>
        <v>0.55999999982304871</v>
      </c>
      <c r="M225" s="83">
        <f t="shared" ca="1" si="65"/>
        <v>-1188488.4199999997</v>
      </c>
      <c r="N225" s="83">
        <f t="shared" ca="1" si="65"/>
        <v>0.34999999974388629</v>
      </c>
      <c r="O225" s="83">
        <f t="shared" ca="1" si="65"/>
        <v>-8.0000000423751771E-2</v>
      </c>
      <c r="P225" s="83">
        <f t="shared" ca="1" si="65"/>
        <v>-1.1000000004423782</v>
      </c>
      <c r="Q225" s="83">
        <f t="shared" ca="1" si="65"/>
        <v>0.11000000021886081</v>
      </c>
      <c r="R225" s="83">
        <f t="shared" ca="1" si="65"/>
        <v>-2.0099999998928979</v>
      </c>
      <c r="S225" s="83">
        <f t="shared" ca="1" si="65"/>
        <v>-3453731.2700000019</v>
      </c>
      <c r="T225" s="83">
        <f t="shared" ca="1" si="65"/>
        <v>116721</v>
      </c>
      <c r="U225" s="83">
        <f t="shared" ca="1" si="65"/>
        <v>-4642220.7800000031</v>
      </c>
    </row>
    <row r="228" spans="6:21">
      <c r="F228" s="24">
        <v>17</v>
      </c>
      <c r="G228" s="96" t="s">
        <v>290</v>
      </c>
    </row>
    <row r="229" spans="6:21">
      <c r="G229" s="88" t="s">
        <v>310</v>
      </c>
      <c r="I229" s="97" t="str">
        <f>+Summary!$W$9</f>
        <v>Aug 2021</v>
      </c>
      <c r="J229" s="97" t="str">
        <f>+Summary!$X$9</f>
        <v>Sep 2021</v>
      </c>
      <c r="K229" s="97" t="str">
        <f>+Summary!$Y$9</f>
        <v>Oct 2021</v>
      </c>
      <c r="L229" s="97" t="str">
        <f>+Summary!$Z$9</f>
        <v>Nov 2021</v>
      </c>
      <c r="M229" s="97" t="str">
        <f>+Summary!$AA$9</f>
        <v>Dec 2021</v>
      </c>
      <c r="N229" s="97" t="str">
        <f>+Summary!$AB$9</f>
        <v>Jan 2022</v>
      </c>
      <c r="O229" s="97" t="str">
        <f>+Summary!$AC$9</f>
        <v>Feb 2022</v>
      </c>
      <c r="P229" s="97" t="str">
        <f>+Summary!$AD$9</f>
        <v>Mar 2022</v>
      </c>
      <c r="Q229" s="97" t="str">
        <f>+Summary!$AE$9</f>
        <v>Apr 2022</v>
      </c>
      <c r="R229" s="97" t="str">
        <f>+Summary!$AF$9</f>
        <v>May 2022</v>
      </c>
      <c r="S229" s="97" t="str">
        <f>+Summary!$AG$9</f>
        <v>Jun 2022</v>
      </c>
      <c r="T229" s="97" t="str">
        <f>+Summary!$AH$9</f>
        <v>Jul 2022</v>
      </c>
      <c r="U229" s="84" t="s">
        <v>335</v>
      </c>
    </row>
    <row r="230" spans="6:21">
      <c r="G230" s="96" t="s">
        <v>331</v>
      </c>
      <c r="H230" s="96" t="s">
        <v>329</v>
      </c>
    </row>
    <row r="231" spans="6:21">
      <c r="H231" s="24" t="s">
        <v>13</v>
      </c>
      <c r="I231" s="83">
        <f ca="1">SUMIFS(INDIRECT("'"&amp;$G$229&amp;"'"&amp;"!$B:$B"),INDIRECT("'"&amp;$G$229&amp;"'"&amp;"!$a:$a"),$H231)/2</f>
        <v>529365.56000000041</v>
      </c>
      <c r="J231" s="83">
        <f ca="1">SUMIFS(INDIRECT("'"&amp;$G$229&amp;"'"&amp;"!$C:$C"),INDIRECT("'"&amp;$G$229&amp;"'"&amp;"!$a:$a"),$H231)/2</f>
        <v>583569.9800000001</v>
      </c>
      <c r="K231" s="83">
        <f ca="1">SUMIFS(INDIRECT("'"&amp;$G$229&amp;"'"&amp;"!$d:$d"),INDIRECT("'"&amp;$G$229&amp;"'"&amp;"!$a:$a"),$H231)/2</f>
        <v>573387.40000000014</v>
      </c>
      <c r="L231" s="83">
        <f ca="1">SUMIFS(INDIRECT("'"&amp;$G$229&amp;"'"&amp;"!$e:$e"),INDIRECT("'"&amp;$G$229&amp;"'"&amp;"!$a:$a"),$H231)/2</f>
        <v>516303.68999999977</v>
      </c>
      <c r="M231" s="83">
        <f ca="1">SUMIFS(INDIRECT("'"&amp;$G$229&amp;"'"&amp;"!$f:$f"),INDIRECT("'"&amp;$G$229&amp;"'"&amp;"!$a:$a"),$H231)/2</f>
        <v>476850.8299999999</v>
      </c>
      <c r="N231" s="83">
        <f ca="1">SUMIFS(INDIRECT("'"&amp;$G$229&amp;"'"&amp;"!$g:$g"),INDIRECT("'"&amp;$G$229&amp;"'"&amp;"!$a:$a"),$H231)/2</f>
        <v>635008.26999999909</v>
      </c>
      <c r="O231" s="83">
        <f ca="1">SUMIFS(INDIRECT("'"&amp;$G$229&amp;"'"&amp;"!$h:$h"),INDIRECT("'"&amp;$G$229&amp;"'"&amp;"!$a:$a"),$H231)/2</f>
        <v>536187.78</v>
      </c>
      <c r="P231" s="83">
        <f ca="1">SUMIFS(INDIRECT("'"&amp;$G$229&amp;"'"&amp;"!$i:$i"),INDIRECT("'"&amp;$G$229&amp;"'"&amp;"!$a:$a"),$H231)/2</f>
        <v>533221.07000000111</v>
      </c>
      <c r="Q231" s="83">
        <f ca="1">SUMIFS(INDIRECT("'"&amp;$G$229&amp;"'"&amp;"!$j:$j"),INDIRECT("'"&amp;$G$229&amp;"'"&amp;"!$a:$a"),$H231)/2</f>
        <v>530614.07999999996</v>
      </c>
      <c r="R231" s="83">
        <f ca="1">SUMIFS(INDIRECT("'"&amp;$G$229&amp;"'"&amp;"!$k:$k"),INDIRECT("'"&amp;$G$229&amp;"'"&amp;"!$a:$a"),$H231)/2</f>
        <v>691256.58000000042</v>
      </c>
      <c r="S231" s="83">
        <f ca="1">SUMIFS(INDIRECT("'"&amp;$G$229&amp;"'"&amp;"!$l:$l"),INDIRECT("'"&amp;$G$229&amp;"'"&amp;"!$a:$a"),$H231)/2</f>
        <v>529013.36000000045</v>
      </c>
      <c r="T231" s="83">
        <f ca="1">SUMIFS(INDIRECT("'"&amp;$G$229&amp;"'"&amp;"!$m:$m"),INDIRECT("'"&amp;$G$229&amp;"'"&amp;"!$a:$a"),$H231)/2</f>
        <v>572097.93999999983</v>
      </c>
      <c r="U231" s="83">
        <f ca="1">+SUM(I231:T231)</f>
        <v>6706876.540000001</v>
      </c>
    </row>
    <row r="232" spans="6:21">
      <c r="H232" s="24" t="s">
        <v>134</v>
      </c>
      <c r="I232" s="83">
        <f ca="1">SUMIFS(INDIRECT("'"&amp;$G$229&amp;"'"&amp;"!$B:$B"),INDIRECT("'"&amp;$G$229&amp;"'"&amp;"!$a:$a"),$H232)</f>
        <v>248.85</v>
      </c>
      <c r="J232" s="83">
        <f ca="1">SUMIFS(INDIRECT("'"&amp;$G$229&amp;"'"&amp;"!$C:$C"),INDIRECT("'"&amp;$G$229&amp;"'"&amp;"!$a:$a"),$H232)</f>
        <v>44.36</v>
      </c>
      <c r="K232" s="83">
        <f ca="1">SUMIFS(INDIRECT("'"&amp;$G$229&amp;"'"&amp;"!$d:$d"),INDIRECT("'"&amp;$G$229&amp;"'"&amp;"!$a:$a"),$H232)</f>
        <v>-26.52</v>
      </c>
      <c r="L232" s="83">
        <f ca="1">SUMIFS(INDIRECT("'"&amp;$G$229&amp;"'"&amp;"!$e:$e"),INDIRECT("'"&amp;$G$229&amp;"'"&amp;"!$a:$a"),$H232)</f>
        <v>22.97</v>
      </c>
      <c r="M232" s="83">
        <f ca="1">SUMIFS(INDIRECT("'"&amp;$G$229&amp;"'"&amp;"!$f:$f"),INDIRECT("'"&amp;$G$229&amp;"'"&amp;"!$a:$a"),$H232)</f>
        <v>1965.7</v>
      </c>
      <c r="N232" s="83">
        <f ca="1">SUMIFS(INDIRECT("'"&amp;$G$229&amp;"'"&amp;"!$g:$g"),INDIRECT("'"&amp;$G$229&amp;"'"&amp;"!$a:$a"),$H232)</f>
        <v>3374.92</v>
      </c>
      <c r="O232" s="83">
        <f ca="1">SUMIFS(INDIRECT("'"&amp;$G$229&amp;"'"&amp;"!$h:$h"),INDIRECT("'"&amp;$G$229&amp;"'"&amp;"!$a:$a"),$H232)</f>
        <v>35.96</v>
      </c>
      <c r="P232" s="83">
        <f ca="1">SUMIFS(INDIRECT("'"&amp;$G$229&amp;"'"&amp;"!$i:$i"),INDIRECT("'"&amp;$G$229&amp;"'"&amp;"!$a:$a"),$H232)</f>
        <v>5.54</v>
      </c>
      <c r="Q232" s="83">
        <f ca="1">SUMIFS(INDIRECT("'"&amp;$G$229&amp;"'"&amp;"!$j:$j"),INDIRECT("'"&amp;$G$229&amp;"'"&amp;"!$a:$a"),$H232)</f>
        <v>83.36</v>
      </c>
      <c r="R232" s="83">
        <f ca="1">SUMIFS(INDIRECT("'"&amp;$G$229&amp;"'"&amp;"!$k:$k"),INDIRECT("'"&amp;$G$229&amp;"'"&amp;"!$a:$a"),$H232)</f>
        <v>389.65</v>
      </c>
      <c r="S232" s="83">
        <f ca="1">SUMIFS(INDIRECT("'"&amp;$G$229&amp;"'"&amp;"!$l:$l"),INDIRECT("'"&amp;$G$229&amp;"'"&amp;"!$a:$a"),$H232)</f>
        <v>-0.31</v>
      </c>
      <c r="T232" s="83">
        <f ca="1">SUMIFS(INDIRECT("'"&amp;$G$229&amp;"'"&amp;"!$m:$m"),INDIRECT("'"&amp;$G$229&amp;"'"&amp;"!$a:$a"),$H232)</f>
        <v>69.72</v>
      </c>
      <c r="U232" s="83">
        <f t="shared" ref="U232:U235" ca="1" si="67">+SUM(I232:T232)</f>
        <v>6214.2</v>
      </c>
    </row>
    <row r="233" spans="6:21">
      <c r="H233" s="85" t="s">
        <v>132</v>
      </c>
      <c r="I233" s="83">
        <f ca="1">SUMIFS(INDIRECT("'"&amp;$G$229&amp;"'"&amp;"!$B:$B"),INDIRECT("'"&amp;$G$229&amp;"'"&amp;"!$a:$a"),$H233)</f>
        <v>0</v>
      </c>
      <c r="J233" s="83">
        <f ca="1">SUMIFS(INDIRECT("'"&amp;$G$229&amp;"'"&amp;"!$C:$C"),INDIRECT("'"&amp;$G$229&amp;"'"&amp;"!$a:$a"),$H233)</f>
        <v>788.84</v>
      </c>
      <c r="K233" s="83">
        <f ca="1">SUMIFS(INDIRECT("'"&amp;$G$229&amp;"'"&amp;"!$d:$d"),INDIRECT("'"&amp;$G$229&amp;"'"&amp;"!$a:$a"),$H233)</f>
        <v>0</v>
      </c>
      <c r="L233" s="83">
        <f ca="1">SUMIFS(INDIRECT("'"&amp;$G$229&amp;"'"&amp;"!$e:$e"),INDIRECT("'"&amp;$G$229&amp;"'"&amp;"!$a:$a"),$H233)</f>
        <v>-0.01</v>
      </c>
      <c r="M233" s="83">
        <f ca="1">SUMIFS(INDIRECT("'"&amp;$G$229&amp;"'"&amp;"!$f:$f"),INDIRECT("'"&amp;$G$229&amp;"'"&amp;"!$a:$a"),$H233)</f>
        <v>14329.97</v>
      </c>
      <c r="N233" s="83">
        <f ca="1">SUMIFS(INDIRECT("'"&amp;$G$229&amp;"'"&amp;"!$g:$g"),INDIRECT("'"&amp;$G$229&amp;"'"&amp;"!$a:$a"),$H233)</f>
        <v>1176</v>
      </c>
      <c r="O233" s="83">
        <f ca="1">SUMIFS(INDIRECT("'"&amp;$G$229&amp;"'"&amp;"!$h:$h"),INDIRECT("'"&amp;$G$229&amp;"'"&amp;"!$a:$a"),$H233)</f>
        <v>1.03</v>
      </c>
      <c r="P233" s="83">
        <f ca="1">SUMIFS(INDIRECT("'"&amp;$G$229&amp;"'"&amp;"!$i:$i"),INDIRECT("'"&amp;$G$229&amp;"'"&amp;"!$a:$a"),$H233)</f>
        <v>-0.01</v>
      </c>
      <c r="Q233" s="83">
        <f ca="1">SUMIFS(INDIRECT("'"&amp;$G$229&amp;"'"&amp;"!$j:$j"),INDIRECT("'"&amp;$G$229&amp;"'"&amp;"!$a:$a"),$H233)</f>
        <v>100</v>
      </c>
      <c r="R233" s="83">
        <f ca="1">SUMIFS(INDIRECT("'"&amp;$G$229&amp;"'"&amp;"!$k:$k"),INDIRECT("'"&amp;$G$229&amp;"'"&amp;"!$a:$a"),$H233)</f>
        <v>0</v>
      </c>
      <c r="S233" s="83">
        <f ca="1">SUMIFS(INDIRECT("'"&amp;$G$229&amp;"'"&amp;"!$l:$l"),INDIRECT("'"&amp;$G$229&amp;"'"&amp;"!$a:$a"),$H233)</f>
        <v>312.38</v>
      </c>
      <c r="T233" s="83">
        <f ca="1">SUMIFS(INDIRECT("'"&amp;$G$229&amp;"'"&amp;"!$m:$m"),INDIRECT("'"&amp;$G$229&amp;"'"&amp;"!$a:$a"),$H233)</f>
        <v>4728.01</v>
      </c>
      <c r="U233" s="83">
        <f t="shared" ca="1" si="67"/>
        <v>21436.21</v>
      </c>
    </row>
    <row r="234" spans="6:21">
      <c r="H234" s="85" t="s">
        <v>327</v>
      </c>
      <c r="I234" s="83">
        <f ca="1">SUMIFS(INDIRECT("'"&amp;$G$229&amp;"'"&amp;"!$B:$B"),INDIRECT("'"&amp;$G$229&amp;"'"&amp;"!$a:$a"),$H234)</f>
        <v>0</v>
      </c>
      <c r="J234" s="83">
        <f ca="1">SUMIFS(INDIRECT("'"&amp;$G$229&amp;"'"&amp;"!$C:$C"),INDIRECT("'"&amp;$G$229&amp;"'"&amp;"!$a:$a"),$H234)</f>
        <v>0</v>
      </c>
      <c r="K234" s="83">
        <f ca="1">SUMIFS(INDIRECT("'"&amp;$G$229&amp;"'"&amp;"!$d:$d"),INDIRECT("'"&amp;$G$229&amp;"'"&amp;"!$a:$a"),$H234)</f>
        <v>0</v>
      </c>
      <c r="L234" s="83">
        <f ca="1">SUMIFS(INDIRECT("'"&amp;$G$229&amp;"'"&amp;"!$e:$e"),INDIRECT("'"&amp;$G$229&amp;"'"&amp;"!$a:$a"),$H234)</f>
        <v>0</v>
      </c>
      <c r="M234" s="83">
        <f ca="1">SUMIFS(INDIRECT("'"&amp;$G$229&amp;"'"&amp;"!$f:$f"),INDIRECT("'"&amp;$G$229&amp;"'"&amp;"!$a:$a"),$H234)</f>
        <v>0</v>
      </c>
      <c r="N234" s="83">
        <f ca="1">SUMIFS(INDIRECT("'"&amp;$G$229&amp;"'"&amp;"!$g:$g"),INDIRECT("'"&amp;$G$229&amp;"'"&amp;"!$a:$a"),$H234)</f>
        <v>0</v>
      </c>
      <c r="O234" s="83">
        <f ca="1">SUMIFS(INDIRECT("'"&amp;$G$229&amp;"'"&amp;"!$h:$h"),INDIRECT("'"&amp;$G$229&amp;"'"&amp;"!$a:$a"),$H234)</f>
        <v>0</v>
      </c>
      <c r="P234" s="83">
        <f ca="1">SUMIFS(INDIRECT("'"&amp;$G$229&amp;"'"&amp;"!$i:$i"),INDIRECT("'"&amp;$G$229&amp;"'"&amp;"!$a:$a"),$H234)</f>
        <v>0</v>
      </c>
      <c r="Q234" s="83">
        <f ca="1">SUMIFS(INDIRECT("'"&amp;$G$229&amp;"'"&amp;"!$j:$j"),INDIRECT("'"&amp;$G$229&amp;"'"&amp;"!$a:$a"),$H234)</f>
        <v>0</v>
      </c>
      <c r="R234" s="83">
        <f ca="1">SUMIFS(INDIRECT("'"&amp;$G$229&amp;"'"&amp;"!$k:$k"),INDIRECT("'"&amp;$G$229&amp;"'"&amp;"!$a:$a"),$H234)</f>
        <v>0</v>
      </c>
      <c r="S234" s="83">
        <f ca="1">SUMIFS(INDIRECT("'"&amp;$G$229&amp;"'"&amp;"!$l:$l"),INDIRECT("'"&amp;$G$229&amp;"'"&amp;"!$a:$a"),$H234)</f>
        <v>0</v>
      </c>
      <c r="T234" s="83">
        <f ca="1">SUMIFS(INDIRECT("'"&amp;$G$229&amp;"'"&amp;"!$m:$m"),INDIRECT("'"&amp;$G$229&amp;"'"&amp;"!$a:$a"),$H234)</f>
        <v>0</v>
      </c>
      <c r="U234" s="83">
        <f t="shared" ca="1" si="67"/>
        <v>0</v>
      </c>
    </row>
    <row r="235" spans="6:21">
      <c r="H235" s="85" t="s">
        <v>282</v>
      </c>
      <c r="I235" s="83">
        <f t="shared" ref="I235" ca="1" si="68">SUMIFS(INDIRECT("'"&amp;$G$229&amp;"'"&amp;"!$B:$B"),INDIRECT("'"&amp;$G$229&amp;"'"&amp;"!$a:$a"),$H235)/2</f>
        <v>0</v>
      </c>
      <c r="J235" s="83">
        <f ca="1">SUMIFS(INDIRECT("'"&amp;$G$229&amp;"'"&amp;"!$C:$C"),INDIRECT("'"&amp;$G$229&amp;"'"&amp;"!$a:$a"),$H235)</f>
        <v>0</v>
      </c>
      <c r="K235" s="83">
        <f ca="1">SUMIFS(INDIRECT("'"&amp;$G$229&amp;"'"&amp;"!$d:$d"),INDIRECT("'"&amp;$G$229&amp;"'"&amp;"!$a:$a"),$H235)</f>
        <v>0</v>
      </c>
      <c r="L235" s="83">
        <f ca="1">SUMIFS(INDIRECT("'"&amp;$G$229&amp;"'"&amp;"!$e:$e"),INDIRECT("'"&amp;$G$229&amp;"'"&amp;"!$a:$a"),$H235)</f>
        <v>0</v>
      </c>
      <c r="M235" s="83">
        <f ca="1">SUMIFS(INDIRECT("'"&amp;$G$229&amp;"'"&amp;"!$f:$f"),INDIRECT("'"&amp;$G$229&amp;"'"&amp;"!$a:$a"),$H235)</f>
        <v>0</v>
      </c>
      <c r="N235" s="83">
        <f ca="1">SUMIFS(INDIRECT("'"&amp;$G$229&amp;"'"&amp;"!$g:$g"),INDIRECT("'"&amp;$G$229&amp;"'"&amp;"!$a:$a"),$H235)</f>
        <v>0</v>
      </c>
      <c r="O235" s="83">
        <f ca="1">SUMIFS(INDIRECT("'"&amp;$G$229&amp;"'"&amp;"!$h:$h"),INDIRECT("'"&amp;$G$229&amp;"'"&amp;"!$a:$a"),$H235)</f>
        <v>0</v>
      </c>
      <c r="P235" s="83">
        <f ca="1">SUMIFS(INDIRECT("'"&amp;$G$229&amp;"'"&amp;"!$i:$i"),INDIRECT("'"&amp;$G$229&amp;"'"&amp;"!$a:$a"),$H235)</f>
        <v>0</v>
      </c>
      <c r="Q235" s="83">
        <f ca="1">SUMIFS(INDIRECT("'"&amp;$G$229&amp;"'"&amp;"!$j:$j"),INDIRECT("'"&amp;$G$229&amp;"'"&amp;"!$a:$a"),$H235)</f>
        <v>0</v>
      </c>
      <c r="R235" s="83">
        <f ca="1">SUMIFS(INDIRECT("'"&amp;$G$229&amp;"'"&amp;"!$k:$k"),INDIRECT("'"&amp;$G$229&amp;"'"&amp;"!$a:$a"),$H235)</f>
        <v>0</v>
      </c>
      <c r="S235" s="83">
        <f ca="1">SUMIFS(INDIRECT("'"&amp;$G$229&amp;"'"&amp;"!$l:$l"),INDIRECT("'"&amp;$G$229&amp;"'"&amp;"!$a:$a"),$H235)</f>
        <v>0</v>
      </c>
      <c r="T235" s="83">
        <f ca="1">SUMIFS(INDIRECT("'"&amp;$G$229&amp;"'"&amp;"!$m:$m"),INDIRECT("'"&amp;$G$229&amp;"'"&amp;"!$a:$a"),$H235)</f>
        <v>0</v>
      </c>
      <c r="U235" s="83">
        <f t="shared" ca="1" si="67"/>
        <v>0</v>
      </c>
    </row>
    <row r="236" spans="6:21">
      <c r="I236" s="84">
        <f t="shared" ref="I236:J236" ca="1" si="69">+I231-SUM(I232:I235)</f>
        <v>529116.71000000043</v>
      </c>
      <c r="J236" s="84">
        <f t="shared" ca="1" si="69"/>
        <v>582736.78000000014</v>
      </c>
      <c r="K236" s="84">
        <f t="shared" ref="K236:U236" ca="1" si="70">+K231-SUM(K232:K235)</f>
        <v>573413.92000000016</v>
      </c>
      <c r="L236" s="84">
        <f t="shared" ca="1" si="70"/>
        <v>516280.72999999975</v>
      </c>
      <c r="M236" s="84">
        <f t="shared" ca="1" si="70"/>
        <v>460555.15999999992</v>
      </c>
      <c r="N236" s="84">
        <f t="shared" ca="1" si="70"/>
        <v>630457.34999999905</v>
      </c>
      <c r="O236" s="84">
        <f t="shared" ca="1" si="70"/>
        <v>536150.79</v>
      </c>
      <c r="P236" s="84">
        <f t="shared" ca="1" si="70"/>
        <v>533215.54000000108</v>
      </c>
      <c r="Q236" s="84">
        <f t="shared" ca="1" si="70"/>
        <v>530430.71999999997</v>
      </c>
      <c r="R236" s="84">
        <f t="shared" ca="1" si="70"/>
        <v>690866.9300000004</v>
      </c>
      <c r="S236" s="84">
        <f t="shared" ca="1" si="70"/>
        <v>528701.2900000005</v>
      </c>
      <c r="T236" s="84">
        <f t="shared" ca="1" si="70"/>
        <v>567300.20999999985</v>
      </c>
      <c r="U236" s="84">
        <f t="shared" ca="1" si="70"/>
        <v>6679226.1300000008</v>
      </c>
    </row>
    <row r="237" spans="6:21">
      <c r="I237" s="83"/>
      <c r="J237" s="83"/>
      <c r="K237" s="83"/>
      <c r="L237" s="83"/>
      <c r="M237" s="83"/>
      <c r="N237" s="83"/>
      <c r="O237" s="83"/>
      <c r="P237" s="83"/>
      <c r="Q237" s="83"/>
      <c r="R237" s="83"/>
      <c r="S237" s="83"/>
      <c r="T237" s="83"/>
    </row>
    <row r="238" spans="6:21">
      <c r="G238" s="96" t="s">
        <v>330</v>
      </c>
      <c r="H238" s="24" t="s">
        <v>332</v>
      </c>
      <c r="I238" s="83">
        <f ca="1">+Summary!G188</f>
        <v>529116</v>
      </c>
      <c r="J238" s="83">
        <f ca="1">+Summary!H188</f>
        <v>582737</v>
      </c>
      <c r="K238" s="83">
        <f ca="1">+Summary!I188</f>
        <v>573414</v>
      </c>
      <c r="L238" s="83">
        <f ca="1">+Summary!J188</f>
        <v>516282</v>
      </c>
      <c r="M238" s="83">
        <f ca="1">+Summary!K188</f>
        <v>523284</v>
      </c>
      <c r="N238" s="83">
        <f ca="1">+Summary!L188</f>
        <v>630457</v>
      </c>
      <c r="O238" s="83">
        <f ca="1">+Summary!M188</f>
        <v>536151</v>
      </c>
      <c r="P238" s="83">
        <f ca="1">+Summary!N188</f>
        <v>533216</v>
      </c>
      <c r="Q238" s="83">
        <f ca="1">+Summary!O188</f>
        <v>530431</v>
      </c>
      <c r="R238" s="83">
        <f ca="1">+Summary!P188</f>
        <v>690867</v>
      </c>
      <c r="S238" s="83">
        <f ca="1">+Summary!Q188</f>
        <v>528700</v>
      </c>
      <c r="T238" s="83">
        <f ca="1">+Summary!R188</f>
        <v>567300</v>
      </c>
      <c r="U238" s="83">
        <f ca="1">+Summary!S188</f>
        <v>6741955</v>
      </c>
    </row>
    <row r="239" spans="6:21">
      <c r="I239" s="83">
        <f t="shared" ref="I239:U239" ca="1" si="71">+I236-I238</f>
        <v>0.71000000042840838</v>
      </c>
      <c r="J239" s="83">
        <f t="shared" ref="J239" ca="1" si="72">+J236-J238</f>
        <v>-0.219999999855645</v>
      </c>
      <c r="K239" s="83">
        <f t="shared" ca="1" si="71"/>
        <v>-7.9999999841675162E-2</v>
      </c>
      <c r="L239" s="83">
        <f t="shared" ca="1" si="71"/>
        <v>-1.2700000002514571</v>
      </c>
      <c r="M239" s="83">
        <f t="shared" ca="1" si="71"/>
        <v>-62728.840000000084</v>
      </c>
      <c r="N239" s="83">
        <f t="shared" ca="1" si="71"/>
        <v>0.34999999904539436</v>
      </c>
      <c r="O239" s="83">
        <f t="shared" ca="1" si="71"/>
        <v>-0.2099999999627471</v>
      </c>
      <c r="P239" s="83">
        <f t="shared" ca="1" si="71"/>
        <v>-0.4599999989150092</v>
      </c>
      <c r="Q239" s="83">
        <f t="shared" ca="1" si="71"/>
        <v>-0.28000000002793968</v>
      </c>
      <c r="R239" s="83">
        <f t="shared" ca="1" si="71"/>
        <v>-6.9999999599531293E-2</v>
      </c>
      <c r="S239" s="83">
        <f t="shared" ca="1" si="71"/>
        <v>1.2900000005029142</v>
      </c>
      <c r="T239" s="83">
        <f t="shared" ca="1" si="71"/>
        <v>0.20999999984633178</v>
      </c>
      <c r="U239" s="83">
        <f t="shared" ca="1" si="71"/>
        <v>-62728.86999999918</v>
      </c>
    </row>
    <row r="242" spans="6:21">
      <c r="F242" s="24">
        <v>18</v>
      </c>
      <c r="G242" s="96" t="s">
        <v>291</v>
      </c>
    </row>
    <row r="243" spans="6:21">
      <c r="G243" s="88" t="s">
        <v>311</v>
      </c>
      <c r="I243" s="97" t="str">
        <f>+Summary!$W$9</f>
        <v>Aug 2021</v>
      </c>
      <c r="J243" s="97" t="str">
        <f>+Summary!$X$9</f>
        <v>Sep 2021</v>
      </c>
      <c r="K243" s="97" t="str">
        <f>+Summary!$Y$9</f>
        <v>Oct 2021</v>
      </c>
      <c r="L243" s="97" t="str">
        <f>+Summary!$Z$9</f>
        <v>Nov 2021</v>
      </c>
      <c r="M243" s="97" t="str">
        <f>+Summary!$AA$9</f>
        <v>Dec 2021</v>
      </c>
      <c r="N243" s="97" t="str">
        <f>+Summary!$AB$9</f>
        <v>Jan 2022</v>
      </c>
      <c r="O243" s="97" t="str">
        <f>+Summary!$AC$9</f>
        <v>Feb 2022</v>
      </c>
      <c r="P243" s="97" t="str">
        <f>+Summary!$AD$9</f>
        <v>Mar 2022</v>
      </c>
      <c r="Q243" s="97" t="str">
        <f>+Summary!$AE$9</f>
        <v>Apr 2022</v>
      </c>
      <c r="R243" s="97" t="str">
        <f>+Summary!$AF$9</f>
        <v>May 2022</v>
      </c>
      <c r="S243" s="97" t="str">
        <f>+Summary!$AG$9</f>
        <v>Jun 2022</v>
      </c>
      <c r="T243" s="97" t="str">
        <f>+Summary!$AH$9</f>
        <v>Jul 2022</v>
      </c>
      <c r="U243" s="84" t="s">
        <v>335</v>
      </c>
    </row>
    <row r="244" spans="6:21">
      <c r="G244" s="96" t="s">
        <v>331</v>
      </c>
      <c r="H244" s="96" t="s">
        <v>329</v>
      </c>
    </row>
    <row r="245" spans="6:21">
      <c r="H245" s="24" t="s">
        <v>13</v>
      </c>
      <c r="I245" s="83">
        <f ca="1">SUMIFS(INDIRECT("'"&amp;$G$243&amp;"'"&amp;"!$B:$B"),INDIRECT("'"&amp;$G$243&amp;"'"&amp;"!$a:$a"),$H245)/2</f>
        <v>91975.01999999996</v>
      </c>
      <c r="J245" s="83">
        <f ca="1">SUMIFS(INDIRECT("'"&amp;$G$243&amp;"'"&amp;"!$C:$C"),INDIRECT("'"&amp;$G$243&amp;"'"&amp;"!$a:$a"),$H245)/2</f>
        <v>86508.709999999977</v>
      </c>
      <c r="K245" s="83">
        <f ca="1">SUMIFS(INDIRECT("'"&amp;$G$243&amp;"'"&amp;"!$d:$d"),INDIRECT("'"&amp;$G$243&amp;"'"&amp;"!$a:$a"),$H245)/2</f>
        <v>90205.920000000027</v>
      </c>
      <c r="L245" s="83">
        <f ca="1">SUMIFS(INDIRECT("'"&amp;$G$243&amp;"'"&amp;"!$e:$e"),INDIRECT("'"&amp;$G$243&amp;"'"&amp;"!$a:$a"),$H245)/2</f>
        <v>92421.380000000019</v>
      </c>
      <c r="M245" s="83">
        <f ca="1">SUMIFS(INDIRECT("'"&amp;$G$243&amp;"'"&amp;"!$f:$f"),INDIRECT("'"&amp;$G$243&amp;"'"&amp;"!$a:$a"),$H245)/2</f>
        <v>95663.55999999991</v>
      </c>
      <c r="N245" s="83">
        <f ca="1">SUMIFS(INDIRECT("'"&amp;$G$243&amp;"'"&amp;"!$g:$g"),INDIRECT("'"&amp;$G$243&amp;"'"&amp;"!$a:$a"),$H245)/2</f>
        <v>89117.640000000014</v>
      </c>
      <c r="O245" s="83">
        <f ca="1">SUMIFS(INDIRECT("'"&amp;$G$243&amp;"'"&amp;"!$h:$h"),INDIRECT("'"&amp;$G$243&amp;"'"&amp;"!$a:$a"),$H245)/2</f>
        <v>86626.499999999927</v>
      </c>
      <c r="P245" s="83">
        <f ca="1">SUMIFS(INDIRECT("'"&amp;$G$243&amp;"'"&amp;"!$i:$i"),INDIRECT("'"&amp;$G$243&amp;"'"&amp;"!$a:$a"),$H245)/2</f>
        <v>93858.969999999987</v>
      </c>
      <c r="Q245" s="83">
        <f ca="1">SUMIFS(INDIRECT("'"&amp;$G$243&amp;"'"&amp;"!$j:$j"),INDIRECT("'"&amp;$G$243&amp;"'"&amp;"!$a:$a"),$H245)/2</f>
        <v>96198.710000000079</v>
      </c>
      <c r="R245" s="83">
        <f ca="1">SUMIFS(INDIRECT("'"&amp;$G$243&amp;"'"&amp;"!$k:$k"),INDIRECT("'"&amp;$G$243&amp;"'"&amp;"!$a:$a"),$H245)/2</f>
        <v>103222.11000000004</v>
      </c>
      <c r="S245" s="83">
        <f ca="1">SUMIFS(INDIRECT("'"&amp;$G$243&amp;"'"&amp;"!$l:$l"),INDIRECT("'"&amp;$G$243&amp;"'"&amp;"!$a:$a"),$H245)/2</f>
        <v>87589.250000000015</v>
      </c>
      <c r="T245" s="83">
        <f ca="1">SUMIFS(INDIRECT("'"&amp;$G$243&amp;"'"&amp;"!$m:$m"),INDIRECT("'"&amp;$G$243&amp;"'"&amp;"!$a:$a"),$H245)/2</f>
        <v>88208.449999999968</v>
      </c>
      <c r="U245" s="83">
        <f ca="1">+SUM(I245:T245)</f>
        <v>1101596.2199999997</v>
      </c>
    </row>
    <row r="246" spans="6:21">
      <c r="H246" s="24" t="s">
        <v>134</v>
      </c>
      <c r="I246" s="83">
        <f t="shared" ref="I246" ca="1" si="73">SUMIFS(INDIRECT("'"&amp;$G$243&amp;"'"&amp;"!$B:$B"),INDIRECT("'"&amp;$G$243&amp;"'"&amp;"!$a:$a"),$H246)/2</f>
        <v>0</v>
      </c>
      <c r="J246" s="83">
        <f ca="1">SUMIFS(INDIRECT("'"&amp;$G$243&amp;"'"&amp;"!$C:$C"),INDIRECT("'"&amp;$G$243&amp;"'"&amp;"!$a:$a"),$H246)</f>
        <v>0</v>
      </c>
      <c r="K246" s="83">
        <f ca="1">SUMIFS(INDIRECT("'"&amp;$G$243&amp;"'"&amp;"!$d:$d"),INDIRECT("'"&amp;$G$243&amp;"'"&amp;"!$a:$a"),$H246)</f>
        <v>0</v>
      </c>
      <c r="L246" s="83">
        <f ca="1">SUMIFS(INDIRECT("'"&amp;$G$243&amp;"'"&amp;"!$e:$e"),INDIRECT("'"&amp;$G$243&amp;"'"&amp;"!$a:$a"),$H246)</f>
        <v>0</v>
      </c>
      <c r="M246" s="83">
        <f ca="1">SUMIFS(INDIRECT("'"&amp;$G$243&amp;"'"&amp;"!$f:$f"),INDIRECT("'"&amp;$G$243&amp;"'"&amp;"!$a:$a"),$H246)</f>
        <v>0</v>
      </c>
      <c r="N246" s="83">
        <f ca="1">SUMIFS(INDIRECT("'"&amp;$G$243&amp;"'"&amp;"!$g:$g"),INDIRECT("'"&amp;$G$243&amp;"'"&amp;"!$a:$a"),$H246)</f>
        <v>0</v>
      </c>
      <c r="O246" s="83">
        <f ca="1">SUMIFS(INDIRECT("'"&amp;$G$243&amp;"'"&amp;"!$h:$h"),INDIRECT("'"&amp;$G$243&amp;"'"&amp;"!$a:$a"),$H246)</f>
        <v>0</v>
      </c>
      <c r="P246" s="83">
        <f ca="1">SUMIFS(INDIRECT("'"&amp;$G$243&amp;"'"&amp;"!$i:$i"),INDIRECT("'"&amp;$G$243&amp;"'"&amp;"!$a:$a"),$H246)</f>
        <v>0</v>
      </c>
      <c r="Q246" s="83">
        <f ca="1">SUMIFS(INDIRECT("'"&amp;$G$243&amp;"'"&amp;"!$j:$j"),INDIRECT("'"&amp;$G$243&amp;"'"&amp;"!$a:$a"),$H246)</f>
        <v>0</v>
      </c>
      <c r="R246" s="83">
        <f ca="1">SUMIFS(INDIRECT("'"&amp;$G$243&amp;"'"&amp;"!$k:$k"),INDIRECT("'"&amp;$G$243&amp;"'"&amp;"!$a:$a"),$H246)</f>
        <v>0</v>
      </c>
      <c r="S246" s="83">
        <f ca="1">SUMIFS(INDIRECT("'"&amp;$G$243&amp;"'"&amp;"!$l:$l"),INDIRECT("'"&amp;$G$243&amp;"'"&amp;"!$a:$a"),$H246)</f>
        <v>0</v>
      </c>
      <c r="T246" s="83">
        <f ca="1">SUMIFS(INDIRECT("'"&amp;$G$243&amp;"'"&amp;"!$m:$m"),INDIRECT("'"&amp;$G$243&amp;"'"&amp;"!$a:$a"),$H246)</f>
        <v>0</v>
      </c>
      <c r="U246" s="83">
        <f t="shared" ref="U246:U249" ca="1" si="74">+SUM(I246:T246)</f>
        <v>0</v>
      </c>
    </row>
    <row r="247" spans="6:21">
      <c r="H247" s="85" t="s">
        <v>132</v>
      </c>
      <c r="I247" s="83">
        <f ca="1">SUMIFS(INDIRECT("'"&amp;$G$243&amp;"'"&amp;"!$B:$B"),INDIRECT("'"&amp;$G$243&amp;"'"&amp;"!$a:$a"),$H247)</f>
        <v>500</v>
      </c>
      <c r="J247" s="83">
        <f ca="1">SUMIFS(INDIRECT("'"&amp;$G$243&amp;"'"&amp;"!$C:$C"),INDIRECT("'"&amp;$G$243&amp;"'"&amp;"!$a:$a"),$H247)</f>
        <v>0</v>
      </c>
      <c r="K247" s="83">
        <f ca="1">SUMIFS(INDIRECT("'"&amp;$G$243&amp;"'"&amp;"!$d:$d"),INDIRECT("'"&amp;$G$243&amp;"'"&amp;"!$a:$a"),$H247)</f>
        <v>0</v>
      </c>
      <c r="L247" s="83">
        <f ca="1">SUMIFS(INDIRECT("'"&amp;$G$243&amp;"'"&amp;"!$e:$e"),INDIRECT("'"&amp;$G$243&amp;"'"&amp;"!$a:$a"),$H247)</f>
        <v>0</v>
      </c>
      <c r="M247" s="83">
        <f ca="1">SUMIFS(INDIRECT("'"&amp;$G$243&amp;"'"&amp;"!$f:$f"),INDIRECT("'"&amp;$G$243&amp;"'"&amp;"!$a:$a"),$H247)</f>
        <v>0</v>
      </c>
      <c r="N247" s="83">
        <f ca="1">SUMIFS(INDIRECT("'"&amp;$G$243&amp;"'"&amp;"!$g:$g"),INDIRECT("'"&amp;$G$243&amp;"'"&amp;"!$a:$a"),$H247)</f>
        <v>0</v>
      </c>
      <c r="O247" s="83">
        <f ca="1">SUMIFS(INDIRECT("'"&amp;$G$243&amp;"'"&amp;"!$h:$h"),INDIRECT("'"&amp;$G$243&amp;"'"&amp;"!$a:$a"),$H247)</f>
        <v>0</v>
      </c>
      <c r="P247" s="83">
        <f ca="1">SUMIFS(INDIRECT("'"&amp;$G$243&amp;"'"&amp;"!$i:$i"),INDIRECT("'"&amp;$G$243&amp;"'"&amp;"!$a:$a"),$H247)</f>
        <v>17.93</v>
      </c>
      <c r="Q247" s="83">
        <f ca="1">SUMIFS(INDIRECT("'"&amp;$G$243&amp;"'"&amp;"!$j:$j"),INDIRECT("'"&amp;$G$243&amp;"'"&amp;"!$a:$a"),$H247)</f>
        <v>550</v>
      </c>
      <c r="R247" s="83">
        <f ca="1">SUMIFS(INDIRECT("'"&amp;$G$243&amp;"'"&amp;"!$k:$k"),INDIRECT("'"&amp;$G$243&amp;"'"&amp;"!$a:$a"),$H247)</f>
        <v>525</v>
      </c>
      <c r="S247" s="83">
        <f ca="1">SUMIFS(INDIRECT("'"&amp;$G$243&amp;"'"&amp;"!$l:$l"),INDIRECT("'"&amp;$G$243&amp;"'"&amp;"!$a:$a"),$H247)</f>
        <v>1112.02</v>
      </c>
      <c r="T247" s="83">
        <f ca="1">SUMIFS(INDIRECT("'"&amp;$G$243&amp;"'"&amp;"!$m:$m"),INDIRECT("'"&amp;$G$243&amp;"'"&amp;"!$a:$a"),$H247)</f>
        <v>0</v>
      </c>
      <c r="U247" s="83">
        <f t="shared" ca="1" si="74"/>
        <v>2704.95</v>
      </c>
    </row>
    <row r="248" spans="6:21">
      <c r="H248" s="85" t="s">
        <v>327</v>
      </c>
      <c r="I248" s="83">
        <f ca="1">SUMIFS(INDIRECT("'"&amp;$G$243&amp;"'"&amp;"!$B:$B"),INDIRECT("'"&amp;$G$243&amp;"'"&amp;"!$a:$a"),$H248)</f>
        <v>0</v>
      </c>
      <c r="J248" s="83">
        <f ca="1">SUMIFS(INDIRECT("'"&amp;$G$243&amp;"'"&amp;"!$C:$C"),INDIRECT("'"&amp;$G$243&amp;"'"&amp;"!$a:$a"),$H248)</f>
        <v>0</v>
      </c>
      <c r="K248" s="83">
        <f ca="1">SUMIFS(INDIRECT("'"&amp;$G$243&amp;"'"&amp;"!$d:$d"),INDIRECT("'"&amp;$G$243&amp;"'"&amp;"!$a:$a"),$H248)</f>
        <v>0</v>
      </c>
      <c r="L248" s="83">
        <f ca="1">SUMIFS(INDIRECT("'"&amp;$G$243&amp;"'"&amp;"!$e:$e"),INDIRECT("'"&amp;$G$243&amp;"'"&amp;"!$a:$a"),$H248)</f>
        <v>0</v>
      </c>
      <c r="M248" s="83">
        <f ca="1">SUMIFS(INDIRECT("'"&amp;$G$243&amp;"'"&amp;"!$f:$f"),INDIRECT("'"&amp;$G$243&amp;"'"&amp;"!$a:$a"),$H248)</f>
        <v>0</v>
      </c>
      <c r="N248" s="83">
        <f ca="1">SUMIFS(INDIRECT("'"&amp;$G$243&amp;"'"&amp;"!$g:$g"),INDIRECT("'"&amp;$G$243&amp;"'"&amp;"!$a:$a"),$H248)</f>
        <v>0</v>
      </c>
      <c r="O248" s="83">
        <f ca="1">SUMIFS(INDIRECT("'"&amp;$G$243&amp;"'"&amp;"!$h:$h"),INDIRECT("'"&amp;$G$243&amp;"'"&amp;"!$a:$a"),$H248)</f>
        <v>0</v>
      </c>
      <c r="P248" s="83">
        <f ca="1">SUMIFS(INDIRECT("'"&amp;$G$243&amp;"'"&amp;"!$i:$i"),INDIRECT("'"&amp;$G$243&amp;"'"&amp;"!$a:$a"),$H248)</f>
        <v>0</v>
      </c>
      <c r="Q248" s="83">
        <f ca="1">SUMIFS(INDIRECT("'"&amp;$G$243&amp;"'"&amp;"!$j:$j"),INDIRECT("'"&amp;$G$243&amp;"'"&amp;"!$a:$a"),$H248)</f>
        <v>0</v>
      </c>
      <c r="R248" s="83">
        <f ca="1">SUMIFS(INDIRECT("'"&amp;$G$243&amp;"'"&amp;"!$k:$k"),INDIRECT("'"&amp;$G$243&amp;"'"&amp;"!$a:$a"),$H248)</f>
        <v>0</v>
      </c>
      <c r="S248" s="83">
        <f ca="1">SUMIFS(INDIRECT("'"&amp;$G$243&amp;"'"&amp;"!$l:$l"),INDIRECT("'"&amp;$G$243&amp;"'"&amp;"!$a:$a"),$H248)</f>
        <v>0</v>
      </c>
      <c r="T248" s="83">
        <f ca="1">SUMIFS(INDIRECT("'"&amp;$G$243&amp;"'"&amp;"!$m:$m"),INDIRECT("'"&amp;$G$243&amp;"'"&amp;"!$a:$a"),$H248)</f>
        <v>0</v>
      </c>
      <c r="U248" s="83">
        <f t="shared" ca="1" si="74"/>
        <v>0</v>
      </c>
    </row>
    <row r="249" spans="6:21">
      <c r="H249" s="85" t="s">
        <v>282</v>
      </c>
      <c r="I249" s="83">
        <f ca="1">SUMIFS(INDIRECT("'"&amp;$G$243&amp;"'"&amp;"!$B:$B"),INDIRECT("'"&amp;$G$243&amp;"'"&amp;"!$a:$a"),$H249)</f>
        <v>11466.94</v>
      </c>
      <c r="J249" s="83">
        <f ca="1">SUMIFS(INDIRECT("'"&amp;$G$243&amp;"'"&amp;"!$C:$C"),INDIRECT("'"&amp;$G$243&amp;"'"&amp;"!$a:$a"),$H249)</f>
        <v>10500</v>
      </c>
      <c r="K249" s="83">
        <f ca="1">SUMIFS(INDIRECT("'"&amp;$G$243&amp;"'"&amp;"!$d:$d"),INDIRECT("'"&amp;$G$243&amp;"'"&amp;"!$a:$a"),$H249)</f>
        <v>10275</v>
      </c>
      <c r="L249" s="83">
        <f ca="1">SUMIFS(INDIRECT("'"&amp;$G$243&amp;"'"&amp;"!$e:$e"),INDIRECT("'"&amp;$G$243&amp;"'"&amp;"!$a:$a"),$H249)</f>
        <v>10185.83</v>
      </c>
      <c r="M249" s="83">
        <f ca="1">SUMIFS(INDIRECT("'"&amp;$G$243&amp;"'"&amp;"!$f:$f"),INDIRECT("'"&amp;$G$243&amp;"'"&amp;"!$a:$a"),$H249)</f>
        <v>11986.29</v>
      </c>
      <c r="N249" s="83">
        <f ca="1">SUMIFS(INDIRECT("'"&amp;$G$243&amp;"'"&amp;"!$g:$g"),INDIRECT("'"&amp;$G$243&amp;"'"&amp;"!$a:$a"),$H249)</f>
        <v>9961.2900000000009</v>
      </c>
      <c r="O249" s="83">
        <f ca="1">SUMIFS(INDIRECT("'"&amp;$G$243&amp;"'"&amp;"!$h:$h"),INDIRECT("'"&amp;$G$243&amp;"'"&amp;"!$a:$a"),$H249)</f>
        <v>10653.86</v>
      </c>
      <c r="P249" s="83">
        <f ca="1">SUMIFS(INDIRECT("'"&amp;$G$243&amp;"'"&amp;"!$i:$i"),INDIRECT("'"&amp;$G$243&amp;"'"&amp;"!$a:$a"),$H249)</f>
        <v>11995.84</v>
      </c>
      <c r="Q249" s="83">
        <f ca="1">SUMIFS(INDIRECT("'"&amp;$G$243&amp;"'"&amp;"!$j:$j"),INDIRECT("'"&amp;$G$243&amp;"'"&amp;"!$a:$a"),$H249)</f>
        <v>12018.71</v>
      </c>
      <c r="R249" s="83">
        <f ca="1">SUMIFS(INDIRECT("'"&amp;$G$243&amp;"'"&amp;"!$k:$k"),INDIRECT("'"&amp;$G$243&amp;"'"&amp;"!$a:$a"),$H249)</f>
        <v>17849.71</v>
      </c>
      <c r="S249" s="83">
        <f ca="1">SUMIFS(INDIRECT("'"&amp;$G$243&amp;"'"&amp;"!$l:$l"),INDIRECT("'"&amp;$G$243&amp;"'"&amp;"!$a:$a"),$H249)</f>
        <v>4292.8900000000003</v>
      </c>
      <c r="T249" s="83">
        <f ca="1">SUMIFS(INDIRECT("'"&amp;$G$243&amp;"'"&amp;"!$m:$m"),INDIRECT("'"&amp;$G$243&amp;"'"&amp;"!$a:$a"),$H249)</f>
        <v>9872.81</v>
      </c>
      <c r="U249" s="83">
        <f t="shared" ca="1" si="74"/>
        <v>131059.17</v>
      </c>
    </row>
    <row r="250" spans="6:21">
      <c r="I250" s="84">
        <f ca="1">+I245-SUM(I246:I248)</f>
        <v>91475.01999999996</v>
      </c>
      <c r="J250" s="84">
        <f ca="1">+J245-SUM(J246:J248)</f>
        <v>86508.709999999977</v>
      </c>
      <c r="K250" s="84">
        <f ca="1">+K245-SUM(K246:K248)</f>
        <v>90205.920000000027</v>
      </c>
      <c r="L250" s="84">
        <f t="shared" ref="L250:T250" ca="1" si="75">+L245-SUM(L246:L248)</f>
        <v>92421.380000000019</v>
      </c>
      <c r="M250" s="84">
        <f t="shared" ca="1" si="75"/>
        <v>95663.55999999991</v>
      </c>
      <c r="N250" s="84">
        <f t="shared" ca="1" si="75"/>
        <v>89117.640000000014</v>
      </c>
      <c r="O250" s="84">
        <f t="shared" ca="1" si="75"/>
        <v>86626.499999999927</v>
      </c>
      <c r="P250" s="84">
        <f t="shared" ca="1" si="75"/>
        <v>93841.04</v>
      </c>
      <c r="Q250" s="84">
        <f t="shared" ca="1" si="75"/>
        <v>95648.710000000079</v>
      </c>
      <c r="R250" s="84">
        <f t="shared" ca="1" si="75"/>
        <v>102697.11000000004</v>
      </c>
      <c r="S250" s="84">
        <f t="shared" ca="1" si="75"/>
        <v>86477.23000000001</v>
      </c>
      <c r="T250" s="84">
        <f t="shared" ca="1" si="75"/>
        <v>88208.449999999968</v>
      </c>
      <c r="U250" s="84">
        <f ca="1">SUM(I250:T250)</f>
        <v>1098891.2699999998</v>
      </c>
    </row>
    <row r="251" spans="6:21">
      <c r="I251" s="83"/>
      <c r="J251" s="83"/>
      <c r="K251" s="83"/>
      <c r="L251" s="83"/>
      <c r="M251" s="83"/>
      <c r="N251" s="83"/>
      <c r="O251" s="83"/>
      <c r="P251" s="83"/>
      <c r="Q251" s="83"/>
      <c r="R251" s="83"/>
      <c r="S251" s="83"/>
      <c r="T251" s="83"/>
    </row>
    <row r="252" spans="6:21">
      <c r="G252" s="96" t="s">
        <v>330</v>
      </c>
      <c r="H252" s="24" t="s">
        <v>332</v>
      </c>
      <c r="I252" s="83">
        <f ca="1">+Summary!G199</f>
        <v>91475</v>
      </c>
      <c r="J252" s="83">
        <f ca="1">+Summary!H199</f>
        <v>86509</v>
      </c>
      <c r="K252" s="83">
        <f ca="1">+Summary!I199</f>
        <v>90206</v>
      </c>
      <c r="L252" s="83">
        <f ca="1">+Summary!J199</f>
        <v>92421</v>
      </c>
      <c r="M252" s="83">
        <f ca="1">+Summary!K199</f>
        <v>95663</v>
      </c>
      <c r="N252" s="83">
        <f ca="1">+Summary!L199</f>
        <v>89118</v>
      </c>
      <c r="O252" s="83">
        <f ca="1">+Summary!M199</f>
        <v>86627</v>
      </c>
      <c r="P252" s="83">
        <f ca="1">+Summary!N199</f>
        <v>93841</v>
      </c>
      <c r="Q252" s="83">
        <f ca="1">+Summary!O199</f>
        <v>95649</v>
      </c>
      <c r="R252" s="83">
        <f ca="1">+Summary!P199</f>
        <v>102697</v>
      </c>
      <c r="S252" s="83">
        <f ca="1">+Summary!Q199</f>
        <v>86477</v>
      </c>
      <c r="T252" s="83">
        <f ca="1">+Summary!R199</f>
        <v>88208</v>
      </c>
      <c r="U252" s="83">
        <f ca="1">+Summary!S199</f>
        <v>1098891</v>
      </c>
    </row>
    <row r="253" spans="6:21">
      <c r="I253" s="83">
        <f t="shared" ref="I253:U253" ca="1" si="76">+I250-I252</f>
        <v>1.9999999960418791E-2</v>
      </c>
      <c r="J253" s="83">
        <f t="shared" ref="J253" ca="1" si="77">+J250-J252</f>
        <v>-0.29000000002270099</v>
      </c>
      <c r="K253" s="83">
        <f t="shared" ca="1" si="76"/>
        <v>-7.9999999972642399E-2</v>
      </c>
      <c r="L253" s="83">
        <f t="shared" ca="1" si="76"/>
        <v>0.38000000001920853</v>
      </c>
      <c r="M253" s="83">
        <f t="shared" ca="1" si="76"/>
        <v>0.5599999999103602</v>
      </c>
      <c r="N253" s="83">
        <f t="shared" ca="1" si="76"/>
        <v>-0.35999999998603016</v>
      </c>
      <c r="O253" s="83">
        <f t="shared" ca="1" si="76"/>
        <v>-0.50000000007275958</v>
      </c>
      <c r="P253" s="83">
        <f t="shared" ca="1" si="76"/>
        <v>3.9999999993597157E-2</v>
      </c>
      <c r="Q253" s="83">
        <f t="shared" ca="1" si="76"/>
        <v>-0.28999999992083758</v>
      </c>
      <c r="R253" s="83">
        <f t="shared" ca="1" si="76"/>
        <v>0.11000000004423782</v>
      </c>
      <c r="S253" s="83">
        <f t="shared" ca="1" si="76"/>
        <v>0.23000000001047738</v>
      </c>
      <c r="T253" s="83">
        <f t="shared" ca="1" si="76"/>
        <v>0.44999999996798579</v>
      </c>
      <c r="U253" s="83">
        <f t="shared" ca="1" si="76"/>
        <v>0.26999999978579581</v>
      </c>
    </row>
    <row r="256" spans="6:21">
      <c r="F256" s="24">
        <v>19</v>
      </c>
      <c r="G256" s="96" t="s">
        <v>292</v>
      </c>
    </row>
    <row r="257" spans="7:21">
      <c r="G257" s="88" t="s">
        <v>312</v>
      </c>
      <c r="I257" s="97" t="str">
        <f>+Summary!$W$9</f>
        <v>Aug 2021</v>
      </c>
      <c r="J257" s="97" t="str">
        <f>+Summary!$X$9</f>
        <v>Sep 2021</v>
      </c>
      <c r="K257" s="97" t="str">
        <f>+Summary!$Y$9</f>
        <v>Oct 2021</v>
      </c>
      <c r="L257" s="97" t="str">
        <f>+Summary!$Z$9</f>
        <v>Nov 2021</v>
      </c>
      <c r="M257" s="97" t="str">
        <f>+Summary!$AA$9</f>
        <v>Dec 2021</v>
      </c>
      <c r="N257" s="97" t="str">
        <f>+Summary!$AB$9</f>
        <v>Jan 2022</v>
      </c>
      <c r="O257" s="97" t="str">
        <f>+Summary!$AC$9</f>
        <v>Feb 2022</v>
      </c>
      <c r="P257" s="97" t="str">
        <f>+Summary!$AD$9</f>
        <v>Mar 2022</v>
      </c>
      <c r="Q257" s="97" t="str">
        <f>+Summary!$AE$9</f>
        <v>Apr 2022</v>
      </c>
      <c r="R257" s="97" t="str">
        <f>+Summary!$AF$9</f>
        <v>May 2022</v>
      </c>
      <c r="S257" s="97" t="str">
        <f>+Summary!$AG$9</f>
        <v>Jun 2022</v>
      </c>
      <c r="T257" s="97" t="str">
        <f>+Summary!$AH$9</f>
        <v>Jul 2022</v>
      </c>
      <c r="U257" s="84" t="s">
        <v>335</v>
      </c>
    </row>
    <row r="258" spans="7:21">
      <c r="G258" s="96" t="s">
        <v>331</v>
      </c>
      <c r="H258" s="96" t="s">
        <v>329</v>
      </c>
    </row>
    <row r="259" spans="7:21">
      <c r="H259" s="24" t="s">
        <v>13</v>
      </c>
      <c r="I259" s="83">
        <f ca="1">SUMIFS(INDIRECT("'"&amp;$G$257&amp;"'"&amp;"!$B:$B"),INDIRECT("'"&amp;$G$257&amp;"'"&amp;"!$a:$a"),$H259)/2</f>
        <v>770363.16999999864</v>
      </c>
      <c r="J259" s="83">
        <f ca="1">SUMIFS(INDIRECT("'"&amp;$G$257&amp;"'"&amp;"!$C:$C"),INDIRECT("'"&amp;$G$257&amp;"'"&amp;"!$a:$a"),$H259)/2</f>
        <v>765687.12999999966</v>
      </c>
      <c r="K259" s="83">
        <f ca="1">SUMIFS(INDIRECT("'"&amp;$G$257&amp;"'"&amp;"!$d:$d"),INDIRECT("'"&amp;$G$257&amp;"'"&amp;"!$a:$a"),$H259)/2</f>
        <v>685784.18999999971</v>
      </c>
      <c r="L259" s="83">
        <f ca="1">SUMIFS(INDIRECT("'"&amp;$G$257&amp;"'"&amp;"!$e:$e"),INDIRECT("'"&amp;$G$257&amp;"'"&amp;"!$a:$a"),$H259)/2</f>
        <v>667576.60999999987</v>
      </c>
      <c r="M259" s="83">
        <f ca="1">SUMIFS(INDIRECT("'"&amp;$G$257&amp;"'"&amp;"!$f:$f"),INDIRECT("'"&amp;$G$257&amp;"'"&amp;"!$a:$a"),$H259)/2</f>
        <v>-301140.74999999977</v>
      </c>
      <c r="N259" s="83">
        <f ca="1">SUMIFS(INDIRECT("'"&amp;$G$257&amp;"'"&amp;"!$g:$g"),INDIRECT("'"&amp;$G$257&amp;"'"&amp;"!$a:$a"),$H259)/2</f>
        <v>814665.40999999887</v>
      </c>
      <c r="O259" s="83">
        <f ca="1">SUMIFS(INDIRECT("'"&amp;$G$257&amp;"'"&amp;"!$h:$h"),INDIRECT("'"&amp;$G$257&amp;"'"&amp;"!$a:$a"),$H259)/2</f>
        <v>747243.53000000084</v>
      </c>
      <c r="P259" s="83">
        <f ca="1">SUMIFS(INDIRECT("'"&amp;$G$257&amp;"'"&amp;"!$i:$i"),INDIRECT("'"&amp;$G$257&amp;"'"&amp;"!$a:$a"),$H259)/2</f>
        <v>666031.16999999946</v>
      </c>
      <c r="Q259" s="83">
        <f ca="1">SUMIFS(INDIRECT("'"&amp;$G$257&amp;"'"&amp;"!$j:$j"),INDIRECT("'"&amp;$G$257&amp;"'"&amp;"!$a:$a"),$H259)/2</f>
        <v>660182.88000000082</v>
      </c>
      <c r="R259" s="83">
        <f ca="1">SUMIFS(INDIRECT("'"&amp;$G$257&amp;"'"&amp;"!$k:$k"),INDIRECT("'"&amp;$G$257&amp;"'"&amp;"!$a:$a"),$H259)/2</f>
        <v>752459.32000000018</v>
      </c>
      <c r="S259" s="83">
        <f ca="1">SUMIFS(INDIRECT("'"&amp;$G$257&amp;"'"&amp;"!$l:$l"),INDIRECT("'"&amp;$G$257&amp;"'"&amp;"!$a:$a"),$H259)/2</f>
        <v>-3640582.3100000047</v>
      </c>
      <c r="T259" s="83">
        <f ca="1">SUMIFS(INDIRECT("'"&amp;$G$257&amp;"'"&amp;"!$m:$m"),INDIRECT("'"&amp;$G$257&amp;"'"&amp;"!$a:$a"),$H259)/2</f>
        <v>0</v>
      </c>
      <c r="U259" s="83">
        <f ca="1">+SUM(I259:T259)</f>
        <v>2588270.3499999936</v>
      </c>
    </row>
    <row r="260" spans="7:21">
      <c r="H260" s="24" t="s">
        <v>134</v>
      </c>
      <c r="I260" s="83">
        <f ca="1">SUMIFS(INDIRECT("'"&amp;$G$257&amp;"'"&amp;"!$B:$B"),INDIRECT("'"&amp;$G$257&amp;"'"&amp;"!$a:$a"),$H260)</f>
        <v>64.67</v>
      </c>
      <c r="J260" s="83">
        <f ca="1">SUMIFS(INDIRECT("'"&amp;$G$257&amp;"'"&amp;"!$C:$C"),INDIRECT("'"&amp;$G$257&amp;"'"&amp;"!$a:$a"),$H260)</f>
        <v>72.66</v>
      </c>
      <c r="K260" s="83">
        <f ca="1">SUMIFS(INDIRECT("'"&amp;$G$257&amp;"'"&amp;"!$d:$d"),INDIRECT("'"&amp;$G$257&amp;"'"&amp;"!$a:$a"),$H260)</f>
        <v>15.52</v>
      </c>
      <c r="L260" s="83">
        <f ca="1">SUMIFS(INDIRECT("'"&amp;$G$257&amp;"'"&amp;"!$e:$e"),INDIRECT("'"&amp;$G$257&amp;"'"&amp;"!$a:$a"),$H260)</f>
        <v>1.43</v>
      </c>
      <c r="M260" s="83">
        <f ca="1">SUMIFS(INDIRECT("'"&amp;$G$257&amp;"'"&amp;"!$f:$f"),INDIRECT("'"&amp;$G$257&amp;"'"&amp;"!$a:$a"),$H260)</f>
        <v>28.81</v>
      </c>
      <c r="N260" s="83">
        <f ca="1">SUMIFS(INDIRECT("'"&amp;$G$257&amp;"'"&amp;"!$g:$g"),INDIRECT("'"&amp;$G$257&amp;"'"&amp;"!$a:$a"),$H260)</f>
        <v>25.11</v>
      </c>
      <c r="O260" s="83">
        <f ca="1">SUMIFS(INDIRECT("'"&amp;$G$257&amp;"'"&amp;"!$h:$h"),INDIRECT("'"&amp;$G$257&amp;"'"&amp;"!$a:$a"),$H260)</f>
        <v>299.08</v>
      </c>
      <c r="P260" s="83">
        <f ca="1">SUMIFS(INDIRECT("'"&amp;$G$257&amp;"'"&amp;"!$i:$i"),INDIRECT("'"&amp;$G$257&amp;"'"&amp;"!$a:$a"),$H260)</f>
        <v>0</v>
      </c>
      <c r="Q260" s="83">
        <f ca="1">SUMIFS(INDIRECT("'"&amp;$G$257&amp;"'"&amp;"!$j:$j"),INDIRECT("'"&amp;$G$257&amp;"'"&amp;"!$a:$a"),$H260)</f>
        <v>486.61</v>
      </c>
      <c r="R260" s="83">
        <f ca="1">SUMIFS(INDIRECT("'"&amp;$G$257&amp;"'"&amp;"!$k:$k"),INDIRECT("'"&amp;$G$257&amp;"'"&amp;"!$a:$a"),$H260)</f>
        <v>0</v>
      </c>
      <c r="S260" s="83">
        <f ca="1">SUMIFS(INDIRECT("'"&amp;$G$257&amp;"'"&amp;"!$l:$l"),INDIRECT("'"&amp;$G$257&amp;"'"&amp;"!$a:$a"),$H260)</f>
        <v>-810.8</v>
      </c>
      <c r="T260" s="83">
        <f ca="1">SUMIFS(INDIRECT("'"&amp;$G$257&amp;"'"&amp;"!$m:$m"),INDIRECT("'"&amp;$G$257&amp;"'"&amp;"!$a:$a"),$H260)</f>
        <v>0</v>
      </c>
      <c r="U260" s="83">
        <f t="shared" ref="U260:U263" ca="1" si="78">+SUM(I260:T260)</f>
        <v>183.09000000000003</v>
      </c>
    </row>
    <row r="261" spans="7:21">
      <c r="H261" s="85" t="s">
        <v>132</v>
      </c>
      <c r="I261" s="83">
        <f ca="1">SUMIFS(INDIRECT("'"&amp;$G$257&amp;"'"&amp;"!$B:$B"),INDIRECT("'"&amp;$G$257&amp;"'"&amp;"!$a:$a"),$H261)</f>
        <v>0.4</v>
      </c>
      <c r="J261" s="83">
        <f ca="1">SUMIFS(INDIRECT("'"&amp;$G$257&amp;"'"&amp;"!$C:$C"),INDIRECT("'"&amp;$G$257&amp;"'"&amp;"!$a:$a"),$H261)</f>
        <v>0</v>
      </c>
      <c r="K261" s="83">
        <f ca="1">SUMIFS(INDIRECT("'"&amp;$G$257&amp;"'"&amp;"!$d:$d"),INDIRECT("'"&amp;$G$257&amp;"'"&amp;"!$a:$a"),$H261)</f>
        <v>0</v>
      </c>
      <c r="L261" s="83">
        <f ca="1">SUMIFS(INDIRECT("'"&amp;$G$257&amp;"'"&amp;"!$e:$e"),INDIRECT("'"&amp;$G$257&amp;"'"&amp;"!$a:$a"),$H261)</f>
        <v>0</v>
      </c>
      <c r="M261" s="83">
        <f ca="1">SUMIFS(INDIRECT("'"&amp;$G$257&amp;"'"&amp;"!$f:$f"),INDIRECT("'"&amp;$G$257&amp;"'"&amp;"!$a:$a"),$H261)</f>
        <v>66269.81</v>
      </c>
      <c r="N261" s="83">
        <f ca="1">SUMIFS(INDIRECT("'"&amp;$G$257&amp;"'"&amp;"!$g:$g"),INDIRECT("'"&amp;$G$257&amp;"'"&amp;"!$a:$a"),$H261)</f>
        <v>0</v>
      </c>
      <c r="O261" s="83">
        <f ca="1">SUMIFS(INDIRECT("'"&amp;$G$257&amp;"'"&amp;"!$h:$h"),INDIRECT("'"&amp;$G$257&amp;"'"&amp;"!$a:$a"),$H261)</f>
        <v>0</v>
      </c>
      <c r="P261" s="83">
        <f ca="1">SUMIFS(INDIRECT("'"&amp;$G$257&amp;"'"&amp;"!$i:$i"),INDIRECT("'"&amp;$G$257&amp;"'"&amp;"!$a:$a"),$H261)</f>
        <v>0</v>
      </c>
      <c r="Q261" s="83">
        <f ca="1">SUMIFS(INDIRECT("'"&amp;$G$257&amp;"'"&amp;"!$j:$j"),INDIRECT("'"&amp;$G$257&amp;"'"&amp;"!$a:$a"),$H261)</f>
        <v>0</v>
      </c>
      <c r="R261" s="83">
        <f ca="1">SUMIFS(INDIRECT("'"&amp;$G$257&amp;"'"&amp;"!$k:$k"),INDIRECT("'"&amp;$G$257&amp;"'"&amp;"!$a:$a"),$H261)</f>
        <v>0</v>
      </c>
      <c r="S261" s="83">
        <f ca="1">SUMIFS(INDIRECT("'"&amp;$G$257&amp;"'"&amp;"!$l:$l"),INDIRECT("'"&amp;$G$257&amp;"'"&amp;"!$a:$a"),$H261)</f>
        <v>0</v>
      </c>
      <c r="T261" s="83">
        <f ca="1">SUMIFS(INDIRECT("'"&amp;$G$257&amp;"'"&amp;"!$m:$m"),INDIRECT("'"&amp;$G$257&amp;"'"&amp;"!$a:$a"),$H261)</f>
        <v>0</v>
      </c>
      <c r="U261" s="83">
        <f t="shared" ca="1" si="78"/>
        <v>66270.209999999992</v>
      </c>
    </row>
    <row r="262" spans="7:21">
      <c r="H262" s="85" t="s">
        <v>327</v>
      </c>
      <c r="I262" s="83">
        <f ca="1">SUMIFS(INDIRECT("'"&amp;$G$257&amp;"'"&amp;"!$B:$B"),INDIRECT("'"&amp;$G$257&amp;"'"&amp;"!$a:$a"),$H262)</f>
        <v>0</v>
      </c>
      <c r="J262" s="83">
        <f ca="1">SUMIFS(INDIRECT("'"&amp;$G$257&amp;"'"&amp;"!$C:$C"),INDIRECT("'"&amp;$G$257&amp;"'"&amp;"!$a:$a"),$H262)</f>
        <v>0</v>
      </c>
      <c r="K262" s="83">
        <f ca="1">SUMIFS(INDIRECT("'"&amp;$G$257&amp;"'"&amp;"!$d:$d"),INDIRECT("'"&amp;$G$257&amp;"'"&amp;"!$a:$a"),$H262)</f>
        <v>0</v>
      </c>
      <c r="L262" s="83">
        <f ca="1">SUMIFS(INDIRECT("'"&amp;$G$257&amp;"'"&amp;"!$e:$e"),INDIRECT("'"&amp;$G$257&amp;"'"&amp;"!$a:$a"),$H262)</f>
        <v>0</v>
      </c>
      <c r="M262" s="83">
        <f ca="1">SUMIFS(INDIRECT("'"&amp;$G$257&amp;"'"&amp;"!$f:$f"),INDIRECT("'"&amp;$G$257&amp;"'"&amp;"!$a:$a"),$H262)</f>
        <v>0</v>
      </c>
      <c r="N262" s="83">
        <f ca="1">SUMIFS(INDIRECT("'"&amp;$G$257&amp;"'"&amp;"!$g:$g"),INDIRECT("'"&amp;$G$257&amp;"'"&amp;"!$a:$a"),$H262)</f>
        <v>0</v>
      </c>
      <c r="O262" s="83">
        <f ca="1">SUMIFS(INDIRECT("'"&amp;$G$257&amp;"'"&amp;"!$h:$h"),INDIRECT("'"&amp;$G$257&amp;"'"&amp;"!$a:$a"),$H262)</f>
        <v>0</v>
      </c>
      <c r="P262" s="83">
        <f ca="1">SUMIFS(INDIRECT("'"&amp;$G$257&amp;"'"&amp;"!$i:$i"),INDIRECT("'"&amp;$G$257&amp;"'"&amp;"!$a:$a"),$H262)</f>
        <v>0</v>
      </c>
      <c r="Q262" s="83">
        <f ca="1">SUMIFS(INDIRECT("'"&amp;$G$257&amp;"'"&amp;"!$j:$j"),INDIRECT("'"&amp;$G$257&amp;"'"&amp;"!$a:$a"),$H262)</f>
        <v>0</v>
      </c>
      <c r="R262" s="83">
        <f ca="1">SUMIFS(INDIRECT("'"&amp;$G$257&amp;"'"&amp;"!$k:$k"),INDIRECT("'"&amp;$G$257&amp;"'"&amp;"!$a:$a"),$H262)</f>
        <v>0</v>
      </c>
      <c r="S262" s="83">
        <f ca="1">SUMIFS(INDIRECT("'"&amp;$G$257&amp;"'"&amp;"!$l:$l"),INDIRECT("'"&amp;$G$257&amp;"'"&amp;"!$a:$a"),$H262)</f>
        <v>0</v>
      </c>
      <c r="T262" s="83">
        <f ca="1">SUMIFS(INDIRECT("'"&amp;$G$257&amp;"'"&amp;"!$m:$m"),INDIRECT("'"&amp;$G$257&amp;"'"&amp;"!$a:$a"),$H262)</f>
        <v>0</v>
      </c>
      <c r="U262" s="83">
        <f t="shared" ca="1" si="78"/>
        <v>0</v>
      </c>
    </row>
    <row r="263" spans="7:21">
      <c r="H263" s="85" t="s">
        <v>282</v>
      </c>
      <c r="I263" s="83">
        <f t="shared" ref="I263" ca="1" si="79">SUMIFS(INDIRECT("'"&amp;$G$257&amp;"'"&amp;"!$B:$B"),INDIRECT("'"&amp;$G$257&amp;"'"&amp;"!$a:$a"),$H263)/2</f>
        <v>0</v>
      </c>
      <c r="J263" s="83">
        <f ca="1">SUMIFS(INDIRECT("'"&amp;$G$257&amp;"'"&amp;"!$C:$C"),INDIRECT("'"&amp;$G$257&amp;"'"&amp;"!$a:$a"),$H263)</f>
        <v>0</v>
      </c>
      <c r="K263" s="83">
        <f ca="1">SUMIFS(INDIRECT("'"&amp;$G$257&amp;"'"&amp;"!$d:$d"),INDIRECT("'"&amp;$G$257&amp;"'"&amp;"!$a:$a"),$H263)</f>
        <v>0</v>
      </c>
      <c r="L263" s="83">
        <f ca="1">SUMIFS(INDIRECT("'"&amp;$G$257&amp;"'"&amp;"!$e:$e"),INDIRECT("'"&amp;$G$257&amp;"'"&amp;"!$a:$a"),$H263)</f>
        <v>0</v>
      </c>
      <c r="M263" s="83">
        <f ca="1">SUMIFS(INDIRECT("'"&amp;$G$257&amp;"'"&amp;"!$f:$f"),INDIRECT("'"&amp;$G$257&amp;"'"&amp;"!$a:$a"),$H263)</f>
        <v>0</v>
      </c>
      <c r="N263" s="83">
        <f ca="1">SUMIFS(INDIRECT("'"&amp;$G$257&amp;"'"&amp;"!$g:$g"),INDIRECT("'"&amp;$G$257&amp;"'"&amp;"!$a:$a"),$H263)</f>
        <v>0</v>
      </c>
      <c r="O263" s="83">
        <f ca="1">SUMIFS(INDIRECT("'"&amp;$G$257&amp;"'"&amp;"!$h:$h"),INDIRECT("'"&amp;$G$257&amp;"'"&amp;"!$a:$a"),$H263)</f>
        <v>0</v>
      </c>
      <c r="P263" s="83">
        <f ca="1">SUMIFS(INDIRECT("'"&amp;$G$257&amp;"'"&amp;"!$i:$i"),INDIRECT("'"&amp;$G$257&amp;"'"&amp;"!$a:$a"),$H263)</f>
        <v>0</v>
      </c>
      <c r="Q263" s="83">
        <f ca="1">SUMIFS(INDIRECT("'"&amp;$G$257&amp;"'"&amp;"!$j:$j"),INDIRECT("'"&amp;$G$257&amp;"'"&amp;"!$a:$a"),$H263)</f>
        <v>0</v>
      </c>
      <c r="R263" s="83">
        <f ca="1">SUMIFS(INDIRECT("'"&amp;$G$257&amp;"'"&amp;"!$k:$k"),INDIRECT("'"&amp;$G$257&amp;"'"&amp;"!$a:$a"),$H263)</f>
        <v>0</v>
      </c>
      <c r="S263" s="83">
        <f ca="1">SUMIFS(INDIRECT("'"&amp;$G$257&amp;"'"&amp;"!$l:$l"),INDIRECT("'"&amp;$G$257&amp;"'"&amp;"!$a:$a"),$H263)</f>
        <v>0</v>
      </c>
      <c r="T263" s="83">
        <f ca="1">SUMIFS(INDIRECT("'"&amp;$G$257&amp;"'"&amp;"!$m:$m"),INDIRECT("'"&amp;$G$257&amp;"'"&amp;"!$a:$a"),$H263)</f>
        <v>0</v>
      </c>
      <c r="U263" s="83">
        <f t="shared" ca="1" si="78"/>
        <v>0</v>
      </c>
    </row>
    <row r="264" spans="7:21">
      <c r="I264" s="84">
        <f t="shared" ref="I264:J264" ca="1" si="80">+I259-SUM(I260:I263)</f>
        <v>770298.0999999987</v>
      </c>
      <c r="J264" s="84">
        <f t="shared" ca="1" si="80"/>
        <v>765614.46999999962</v>
      </c>
      <c r="K264" s="84">
        <f t="shared" ref="K264:U264" ca="1" si="81">+K259-SUM(K260:K263)</f>
        <v>685768.66999999969</v>
      </c>
      <c r="L264" s="84">
        <f t="shared" ca="1" si="81"/>
        <v>667575.17999999982</v>
      </c>
      <c r="M264" s="84">
        <f t="shared" ca="1" si="81"/>
        <v>-367439.36999999976</v>
      </c>
      <c r="N264" s="84">
        <f t="shared" ca="1" si="81"/>
        <v>814640.29999999888</v>
      </c>
      <c r="O264" s="84">
        <f t="shared" ca="1" si="81"/>
        <v>746944.45000000088</v>
      </c>
      <c r="P264" s="84">
        <f t="shared" ca="1" si="81"/>
        <v>666031.16999999946</v>
      </c>
      <c r="Q264" s="84">
        <f t="shared" ca="1" si="81"/>
        <v>659696.27000000083</v>
      </c>
      <c r="R264" s="84">
        <f t="shared" ca="1" si="81"/>
        <v>752459.32000000018</v>
      </c>
      <c r="S264" s="84">
        <f t="shared" ca="1" si="81"/>
        <v>-3639771.5100000049</v>
      </c>
      <c r="T264" s="84">
        <f t="shared" ca="1" si="81"/>
        <v>0</v>
      </c>
      <c r="U264" s="84">
        <f t="shared" ca="1" si="81"/>
        <v>2521817.0499999938</v>
      </c>
    </row>
    <row r="265" spans="7:21">
      <c r="I265" s="83"/>
      <c r="J265" s="83"/>
      <c r="K265" s="83"/>
      <c r="L265" s="83"/>
      <c r="M265" s="83"/>
      <c r="N265" s="83"/>
      <c r="O265" s="83"/>
      <c r="P265" s="83"/>
      <c r="Q265" s="83"/>
      <c r="R265" s="83"/>
      <c r="S265" s="83"/>
      <c r="T265" s="83"/>
    </row>
    <row r="266" spans="7:21">
      <c r="G266" s="96" t="s">
        <v>330</v>
      </c>
      <c r="H266" s="24" t="s">
        <v>332</v>
      </c>
      <c r="I266" s="83">
        <f ca="1">+Summary!G210</f>
        <v>770298</v>
      </c>
      <c r="J266" s="83">
        <f ca="1">+Summary!H210</f>
        <v>765614</v>
      </c>
      <c r="K266" s="83">
        <f ca="1">+Summary!I210</f>
        <v>685769</v>
      </c>
      <c r="L266" s="83">
        <f ca="1">+Summary!J210</f>
        <v>667575</v>
      </c>
      <c r="M266" s="83">
        <f ca="1">+Summary!K210</f>
        <v>656524</v>
      </c>
      <c r="N266" s="83">
        <f ca="1">+Summary!L210</f>
        <v>814640</v>
      </c>
      <c r="O266" s="83">
        <f ca="1">+Summary!M210</f>
        <v>746944</v>
      </c>
      <c r="P266" s="83">
        <f ca="1">+Summary!N210</f>
        <v>666031</v>
      </c>
      <c r="Q266" s="83">
        <f ca="1">+Summary!O210</f>
        <v>659696</v>
      </c>
      <c r="R266" s="83">
        <f ca="1">+Summary!P210</f>
        <v>752460</v>
      </c>
      <c r="S266" s="83">
        <f ca="1">+Summary!Q210</f>
        <v>673434</v>
      </c>
      <c r="T266" s="83">
        <f ca="1">+Summary!R210</f>
        <v>-107424</v>
      </c>
      <c r="U266" s="83">
        <f ca="1">+Summary!S210</f>
        <v>7858985</v>
      </c>
    </row>
    <row r="267" spans="7:21">
      <c r="I267" s="83">
        <f t="shared" ref="I267:U267" ca="1" si="82">+I264-I266</f>
        <v>9.9999998696148396E-2</v>
      </c>
      <c r="J267" s="83">
        <f t="shared" ref="J267" ca="1" si="83">+J264-J266</f>
        <v>0.46999999962281436</v>
      </c>
      <c r="K267" s="83">
        <f t="shared" ca="1" si="82"/>
        <v>-0.33000000030733645</v>
      </c>
      <c r="L267" s="83">
        <f t="shared" ca="1" si="82"/>
        <v>0.1799999998183921</v>
      </c>
      <c r="M267" s="83">
        <f t="shared" ca="1" si="82"/>
        <v>-1023963.3699999998</v>
      </c>
      <c r="N267" s="83">
        <f t="shared" ca="1" si="82"/>
        <v>0.29999999888241291</v>
      </c>
      <c r="O267" s="83">
        <f t="shared" ca="1" si="82"/>
        <v>0.45000000088475645</v>
      </c>
      <c r="P267" s="83">
        <f t="shared" ca="1" si="82"/>
        <v>0.16999999945983291</v>
      </c>
      <c r="Q267" s="83">
        <f t="shared" ca="1" si="82"/>
        <v>0.2700000008335337</v>
      </c>
      <c r="R267" s="83">
        <f t="shared" ca="1" si="82"/>
        <v>-0.6799999998183921</v>
      </c>
      <c r="S267" s="83">
        <f t="shared" ca="1" si="82"/>
        <v>-4313205.5100000054</v>
      </c>
      <c r="T267" s="83">
        <f t="shared" ca="1" si="82"/>
        <v>107424</v>
      </c>
      <c r="U267" s="83">
        <f t="shared" ca="1" si="82"/>
        <v>-5337167.9500000067</v>
      </c>
    </row>
    <row r="270" spans="7:21">
      <c r="H270" s="96" t="s">
        <v>336</v>
      </c>
      <c r="I270" s="90">
        <f ca="1">+I264+I250+I236+I222+I208+I194+I180+I166+I152+I138+I124+I110+I96+I82+I68+I54+I40+I26+I12</f>
        <v>9715175.5299999975</v>
      </c>
      <c r="J270" s="90">
        <f ca="1">+J264+J250+J236+J222+J208+J194+J180+J166+J152+J138+J124+J110+J96+J82+J68+J54+J40+J26+J12</f>
        <v>9929908.7799999975</v>
      </c>
      <c r="K270" s="90">
        <f t="shared" ref="K270:U270" ca="1" si="84">+K264+K250+K236+K222+K208+K194+K180+K166+K152+K138+K124+K110+K96+K82+K68+K54+K40+K26+K12</f>
        <v>10080400.710000001</v>
      </c>
      <c r="L270" s="90">
        <f t="shared" ca="1" si="84"/>
        <v>9612746.6300000008</v>
      </c>
      <c r="M270" s="90">
        <f t="shared" ca="1" si="84"/>
        <v>2559314.6999999993</v>
      </c>
      <c r="N270" s="90">
        <f t="shared" ca="1" si="84"/>
        <v>10648541</v>
      </c>
      <c r="O270" s="90">
        <f t="shared" ca="1" si="84"/>
        <v>10133535.700000001</v>
      </c>
      <c r="P270" s="90">
        <f t="shared" ca="1" si="84"/>
        <v>10399009.619999999</v>
      </c>
      <c r="Q270" s="90">
        <f t="shared" ca="1" si="84"/>
        <v>9840039.5500000045</v>
      </c>
      <c r="R270" s="90">
        <f t="shared" ca="1" si="84"/>
        <v>10242095.589999998</v>
      </c>
      <c r="S270" s="90">
        <f t="shared" ca="1" si="84"/>
        <v>-1439586.5600000066</v>
      </c>
      <c r="T270" s="90">
        <f t="shared" ca="1" si="84"/>
        <v>9145212.2599999979</v>
      </c>
      <c r="U270" s="90">
        <f t="shared" ca="1" si="84"/>
        <v>100866143.51000001</v>
      </c>
    </row>
    <row r="271" spans="7:21">
      <c r="H271" s="96"/>
      <c r="U271" s="24"/>
    </row>
    <row r="272" spans="7:21">
      <c r="H272" s="96" t="s">
        <v>337</v>
      </c>
      <c r="I272" s="90">
        <f ca="1">+I266+I252+I238+I224+I210+I196+I182+I168+I154+I140+I126+I112+I98+I84+I70+I56+I42+I28+I14</f>
        <v>9715174</v>
      </c>
      <c r="J272" s="90">
        <f t="shared" ref="J272:U272" ca="1" si="85">+J266+J252+J238+J224+J210+J196+J182+J168+J154+J140+J126+J112+J98+J84+J70+J56+J42+J28+J14</f>
        <v>9929907</v>
      </c>
      <c r="K272" s="90">
        <f t="shared" ca="1" si="85"/>
        <v>10080401</v>
      </c>
      <c r="L272" s="90">
        <f t="shared" ca="1" si="85"/>
        <v>9612752</v>
      </c>
      <c r="M272" s="90">
        <f t="shared" ca="1" si="85"/>
        <v>9988278</v>
      </c>
      <c r="N272" s="90">
        <f t="shared" ca="1" si="85"/>
        <v>10648543</v>
      </c>
      <c r="O272" s="90">
        <f t="shared" ca="1" si="85"/>
        <v>10133537</v>
      </c>
      <c r="P272" s="90">
        <f t="shared" ca="1" si="85"/>
        <v>10399014</v>
      </c>
      <c r="Q272" s="90">
        <f t="shared" ca="1" si="85"/>
        <v>9840036</v>
      </c>
      <c r="R272" s="90">
        <f t="shared" ca="1" si="85"/>
        <v>10242095</v>
      </c>
      <c r="S272" s="90">
        <f t="shared" ca="1" si="85"/>
        <v>9882274</v>
      </c>
      <c r="T272" s="90">
        <f t="shared" ca="1" si="85"/>
        <v>8921126</v>
      </c>
      <c r="U272" s="90">
        <f t="shared" ca="1" si="85"/>
        <v>119617224</v>
      </c>
    </row>
    <row r="273" spans="8:21">
      <c r="H273" s="96" t="s">
        <v>29</v>
      </c>
      <c r="I273" s="91">
        <f ca="1">+I270-I272</f>
        <v>1.5299999974668026</v>
      </c>
      <c r="J273" s="91">
        <f ca="1">+J270-J272</f>
        <v>1.7799999974668026</v>
      </c>
      <c r="K273" s="91">
        <f t="shared" ref="K273:U273" ca="1" si="86">+K270-K272</f>
        <v>-0.28999999910593033</v>
      </c>
      <c r="L273" s="91">
        <f t="shared" ca="1" si="86"/>
        <v>-5.3699999991804361</v>
      </c>
      <c r="M273" s="91">
        <f t="shared" ca="1" si="86"/>
        <v>-7428963.3000000007</v>
      </c>
      <c r="N273" s="91">
        <f t="shared" ca="1" si="86"/>
        <v>-2</v>
      </c>
      <c r="O273" s="91">
        <f t="shared" ca="1" si="86"/>
        <v>-1.2999999988824129</v>
      </c>
      <c r="P273" s="91">
        <f t="shared" ca="1" si="86"/>
        <v>-4.3800000008195639</v>
      </c>
      <c r="Q273" s="91">
        <f t="shared" ca="1" si="86"/>
        <v>3.5500000044703484</v>
      </c>
      <c r="R273" s="91">
        <f t="shared" ca="1" si="86"/>
        <v>0.58999999798834324</v>
      </c>
      <c r="S273" s="91">
        <f t="shared" ca="1" si="86"/>
        <v>-11321860.560000006</v>
      </c>
      <c r="T273" s="91">
        <f t="shared" ca="1" si="86"/>
        <v>224086.25999999791</v>
      </c>
      <c r="U273" s="91">
        <f t="shared" ca="1" si="86"/>
        <v>-18751080.489999995</v>
      </c>
    </row>
    <row r="274" spans="8:21">
      <c r="U274" s="24"/>
    </row>
    <row r="275" spans="8:21">
      <c r="U275" s="24"/>
    </row>
    <row r="276" spans="8:21">
      <c r="U276" s="24"/>
    </row>
    <row r="277" spans="8:21">
      <c r="U277" s="24"/>
    </row>
    <row r="278" spans="8:21">
      <c r="U278" s="24"/>
    </row>
    <row r="279" spans="8:21">
      <c r="U279" s="24"/>
    </row>
    <row r="280" spans="8:21">
      <c r="U280" s="24"/>
    </row>
    <row r="281" spans="8:21">
      <c r="U281" s="24"/>
    </row>
  </sheetData>
  <pageMargins left="0.7" right="0.7" top="0.75" bottom="0.75" header="0.3" footer="0.3"/>
  <customProperties>
    <customPr name="EpmWorksheetKeyString_GUID" r:id="rId1"/>
    <customPr name="FPMExcelClientCellBasedFunctionStatus" r:id="rId2"/>
    <customPr name="FPMExcelClientRefreshTime" r:id="rId3"/>
  </customProperties>
  <drawing r:id="rId4"/>
  <legacyDrawing r:id="rId5"/>
  <controls>
    <mc:AlternateContent xmlns:mc="http://schemas.openxmlformats.org/markup-compatibility/2006">
      <mc:Choice Requires="x14">
        <control shapeId="6145" r:id="rId6" name="FPMExcelClientSheetOptionstb1">
          <controlPr defaultSize="0" autoLine="0" autoPict="0" r:id="rId7">
            <anchor moveWithCells="1" sizeWithCells="1">
              <from>
                <xdr:col>0</xdr:col>
                <xdr:colOff>0</xdr:colOff>
                <xdr:row>0</xdr:row>
                <xdr:rowOff>0</xdr:rowOff>
              </from>
              <to>
                <xdr:col>6</xdr:col>
                <xdr:colOff>695325</xdr:colOff>
                <xdr:row>0</xdr:row>
                <xdr:rowOff>0</xdr:rowOff>
              </to>
            </anchor>
          </controlPr>
        </control>
      </mc:Choice>
      <mc:Fallback>
        <control shapeId="6145" r:id="rId6" name="FPMExcelClientSheetOptionstb1"/>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B4:V411"/>
  <sheetViews>
    <sheetView zoomScale="80" zoomScaleNormal="80" workbookViewId="0">
      <pane xSplit="3" topLeftCell="D1" activePane="topRight" state="frozen"/>
      <selection activeCell="A113" sqref="A113"/>
      <selection pane="topRight" activeCell="D1" sqref="D1"/>
    </sheetView>
  </sheetViews>
  <sheetFormatPr defaultColWidth="9.140625" defaultRowHeight="15"/>
  <cols>
    <col min="1" max="1" width="9.140625" style="24"/>
    <col min="2" max="2" width="3.42578125" style="24" bestFit="1" customWidth="1"/>
    <col min="3" max="3" width="44.140625" style="24" bestFit="1" customWidth="1"/>
    <col min="4" max="4" width="37.85546875" style="24" bestFit="1" customWidth="1"/>
    <col min="5" max="5" width="15.28515625" style="83" bestFit="1" customWidth="1"/>
    <col min="6" max="15" width="13.85546875" style="24" bestFit="1" customWidth="1"/>
    <col min="16" max="16" width="14.85546875" style="24" bestFit="1" customWidth="1"/>
    <col min="17" max="17" width="13.85546875" style="24" bestFit="1" customWidth="1"/>
    <col min="18" max="18" width="13.5703125" style="24" bestFit="1" customWidth="1"/>
    <col min="19" max="20" width="9.140625" style="24"/>
    <col min="21" max="21" width="30" style="24" bestFit="1" customWidth="1"/>
    <col min="22" max="22" width="5.5703125" style="24" bestFit="1" customWidth="1"/>
    <col min="23" max="16384" width="9.140625" style="24"/>
  </cols>
  <sheetData>
    <row r="4" spans="2:22">
      <c r="B4" s="24">
        <v>1</v>
      </c>
      <c r="C4" s="96" t="s">
        <v>268</v>
      </c>
    </row>
    <row r="5" spans="2:22">
      <c r="C5" s="88" t="s">
        <v>294</v>
      </c>
      <c r="E5" s="84" t="s">
        <v>335</v>
      </c>
      <c r="F5" s="97" t="str">
        <f>+Summary!$W$9</f>
        <v>Aug 2021</v>
      </c>
      <c r="G5" s="97" t="str">
        <f>+Summary!$X$9</f>
        <v>Sep 2021</v>
      </c>
      <c r="H5" s="97" t="str">
        <f>+Summary!$Y$9</f>
        <v>Oct 2021</v>
      </c>
      <c r="I5" s="97" t="str">
        <f>+Summary!$Z$9</f>
        <v>Nov 2021</v>
      </c>
      <c r="J5" s="97" t="str">
        <f>+Summary!$AA$9</f>
        <v>Dec 2021</v>
      </c>
      <c r="K5" s="97" t="str">
        <f>+Summary!$AB$9</f>
        <v>Jan 2022</v>
      </c>
      <c r="L5" s="97" t="str">
        <f>+Summary!$AC$9</f>
        <v>Feb 2022</v>
      </c>
      <c r="M5" s="97" t="str">
        <f>+Summary!$AD$9</f>
        <v>Mar 2022</v>
      </c>
      <c r="N5" s="97" t="str">
        <f>+Summary!$AE$9</f>
        <v>Apr 2022</v>
      </c>
      <c r="O5" s="97" t="str">
        <f>+Summary!$AF$9</f>
        <v>May 2022</v>
      </c>
      <c r="P5" s="97" t="str">
        <f>+Summary!$AG$9</f>
        <v>Jun 2022</v>
      </c>
      <c r="Q5" s="97" t="str">
        <f>+Summary!$AH$9</f>
        <v>Jul 2022</v>
      </c>
    </row>
    <row r="6" spans="2:22">
      <c r="C6" s="96" t="s">
        <v>331</v>
      </c>
      <c r="D6" s="96" t="s">
        <v>333</v>
      </c>
    </row>
    <row r="7" spans="2:22">
      <c r="D7" s="24" t="s">
        <v>62</v>
      </c>
      <c r="E7" s="83">
        <f t="shared" ref="E7:E15" ca="1" si="0">+SUM(F7:Q7)</f>
        <v>10027063.019999998</v>
      </c>
      <c r="F7" s="83">
        <f ca="1">SUMIFS(INDIRECT("'"&amp;$C$5&amp;"'"&amp;"!$b:$b"),INDIRECT("'"&amp;$C$5&amp;"'"&amp;"!$a:$a"),$D7)/2</f>
        <v>857674.52</v>
      </c>
      <c r="G7" s="83">
        <f ca="1">SUMIFS(INDIRECT("'"&amp;$C$5&amp;"'"&amp;"!$c:$c"),INDIRECT("'"&amp;$C$5&amp;"'"&amp;"!$a:$a"),$D7)/2</f>
        <v>866049.15999999957</v>
      </c>
      <c r="H7" s="83">
        <f ca="1">SUMIFS(INDIRECT("'"&amp;$C$5&amp;"'"&amp;"!$d:$d"),INDIRECT("'"&amp;$C$5&amp;"'"&amp;"!$a:$a"),$D7)/2</f>
        <v>865723.45000000007</v>
      </c>
      <c r="I7" s="83">
        <f ca="1">SUMIFS(INDIRECT("'"&amp;$C$5&amp;"'"&amp;"!$e:$e"),INDIRECT("'"&amp;$C$5&amp;"'"&amp;"!$a:$a"),$D7)/2</f>
        <v>833568.96999999939</v>
      </c>
      <c r="J7" s="83">
        <f ca="1">SUMIFS(INDIRECT("'"&amp;$C$5&amp;"'"&amp;"!$f:$f"),INDIRECT("'"&amp;$C$5&amp;"'"&amp;"!$a:$a"),$D7)/2</f>
        <v>741404.23000000056</v>
      </c>
      <c r="K7" s="83">
        <f ca="1">SUMIFS(INDIRECT("'"&amp;$C$5&amp;"'"&amp;"!$g:$g"),INDIRECT("'"&amp;$C$5&amp;"'"&amp;"!$a:$a"),$D7)/2</f>
        <v>847731.27000000048</v>
      </c>
      <c r="L7" s="83">
        <f ca="1">SUMIFS(INDIRECT("'"&amp;$C$5&amp;"'"&amp;"!$h:$h"),INDIRECT("'"&amp;$C$5&amp;"'"&amp;"!$a:$a"),$D7)/2</f>
        <v>811497.54000000015</v>
      </c>
      <c r="M7" s="83">
        <f ca="1">SUMIFS(INDIRECT("'"&amp;$C$5&amp;"'"&amp;"!$i:$i"),INDIRECT("'"&amp;$C$5&amp;"'"&amp;"!$a:$a"),$D7)/2</f>
        <v>820044.19</v>
      </c>
      <c r="N7" s="83">
        <f ca="1">SUMIFS(INDIRECT("'"&amp;$C$5&amp;"'"&amp;"!$j:$j"),INDIRECT("'"&amp;$C$5&amp;"'"&amp;"!$a:$a"),$D7)/2</f>
        <v>766846.03</v>
      </c>
      <c r="O7" s="83">
        <f ca="1">SUMIFS(INDIRECT("'"&amp;$C$5&amp;"'"&amp;"!$k:$k"),INDIRECT("'"&amp;$C$5&amp;"'"&amp;"!$a:$a"),$D7)/2</f>
        <v>829819.37999999931</v>
      </c>
      <c r="P7" s="83">
        <f ca="1">SUMIFS(INDIRECT("'"&amp;$C$5&amp;"'"&amp;"!$l:$l"),INDIRECT("'"&amp;$C$5&amp;"'"&amp;"!$a:$a"),$D7)/2</f>
        <v>887183.51999999944</v>
      </c>
      <c r="Q7" s="83">
        <f ca="1">SUMIFS(INDIRECT("'"&amp;$C$5&amp;"'"&amp;"!$m:$m"),INDIRECT("'"&amp;$C$5&amp;"'"&amp;"!$a:$a"),$D7)/2</f>
        <v>899520.76000000047</v>
      </c>
      <c r="R7" s="98"/>
      <c r="S7" s="98"/>
    </row>
    <row r="8" spans="2:22">
      <c r="D8" s="24" t="s">
        <v>253</v>
      </c>
      <c r="E8" s="83">
        <f t="shared" ca="1" si="0"/>
        <v>712.16</v>
      </c>
      <c r="F8" s="83">
        <f ca="1">SUMIFS(INDIRECT("'"&amp;$C$5&amp;"'"&amp;"!$b:$b"),INDIRECT("'"&amp;$C$5&amp;"'"&amp;"!$a:$a"),$D8)</f>
        <v>101.32</v>
      </c>
      <c r="G8" s="83">
        <f ca="1">SUMIFS(INDIRECT("'"&amp;$C$5&amp;"'"&amp;"!$c:$c"),INDIRECT("'"&amp;$C$5&amp;"'"&amp;"!$a:$a"),$D8)</f>
        <v>101.32</v>
      </c>
      <c r="H8" s="83">
        <f ca="1">SUMIFS(INDIRECT("'"&amp;$C$5&amp;"'"&amp;"!$d:$d"),INDIRECT("'"&amp;$C$5&amp;"'"&amp;"!$a:$a"),$D8)</f>
        <v>101.32</v>
      </c>
      <c r="I8" s="83">
        <f ca="1">SUMIFS(INDIRECT("'"&amp;$C$5&amp;"'"&amp;"!$e:$e"),INDIRECT("'"&amp;$C$5&amp;"'"&amp;"!$a:$a"),$D8)</f>
        <v>101.32</v>
      </c>
      <c r="J8" s="83">
        <f ca="1">SUMIFS(INDIRECT("'"&amp;$C$5&amp;"'"&amp;"!$f:$f"),INDIRECT("'"&amp;$C$5&amp;"'"&amp;"!$a:$a"),$D8)</f>
        <v>101.32</v>
      </c>
      <c r="K8" s="83">
        <f ca="1">SUMIFS(INDIRECT("'"&amp;$C$5&amp;"'"&amp;"!$g:$g"),INDIRECT("'"&amp;$C$5&amp;"'"&amp;"!$a:$a"),$D8)</f>
        <v>0</v>
      </c>
      <c r="L8" s="83">
        <f ca="1">SUMIFS(INDIRECT("'"&amp;$C$5&amp;"'"&amp;"!$h:$h"),INDIRECT("'"&amp;$C$5&amp;"'"&amp;"!$a:$a"),$D8)</f>
        <v>0</v>
      </c>
      <c r="M8" s="83">
        <f ca="1">SUMIFS(INDIRECT("'"&amp;$C$5&amp;"'"&amp;"!$i:$i"),INDIRECT("'"&amp;$C$5&amp;"'"&amp;"!$a:$a"),$D8)</f>
        <v>0</v>
      </c>
      <c r="N8" s="83">
        <f ca="1">SUMIFS(INDIRECT("'"&amp;$C$5&amp;"'"&amp;"!$j:$j"),INDIRECT("'"&amp;$C$5&amp;"'"&amp;"!$a:$a"),$D8)</f>
        <v>51.39</v>
      </c>
      <c r="O8" s="83">
        <f ca="1">SUMIFS(INDIRECT("'"&amp;$C$5&amp;"'"&amp;"!$k:$k"),INDIRECT("'"&amp;$C$5&amp;"'"&amp;"!$a:$a"),$D8)</f>
        <v>51.39</v>
      </c>
      <c r="P8" s="83">
        <f ca="1">SUMIFS(INDIRECT("'"&amp;$C$5&amp;"'"&amp;"!$l:$l"),INDIRECT("'"&amp;$C$5&amp;"'"&amp;"!$a:$a"),$D8)</f>
        <v>51.39</v>
      </c>
      <c r="Q8" s="83">
        <f ca="1">SUMIFS(INDIRECT("'"&amp;$C$5&amp;"'"&amp;"!$m:$m"),INDIRECT("'"&amp;$C$5&amp;"'"&amp;"!$a:$a"),$D8)</f>
        <v>51.39</v>
      </c>
    </row>
    <row r="9" spans="2:22">
      <c r="D9" s="24" t="s">
        <v>250</v>
      </c>
      <c r="E9" s="83">
        <f t="shared" ca="1" si="0"/>
        <v>64739.059999999983</v>
      </c>
      <c r="F9" s="83">
        <f t="shared" ref="F9:F15" ca="1" si="1">SUMIFS(INDIRECT("'"&amp;$C$5&amp;"'"&amp;"!$b:$b"),INDIRECT("'"&amp;$C$5&amp;"'"&amp;"!$a:$a"),$D9)</f>
        <v>5160.21</v>
      </c>
      <c r="G9" s="83">
        <f t="shared" ref="G9:G15" ca="1" si="2">SUMIFS(INDIRECT("'"&amp;$C$5&amp;"'"&amp;"!$c:$c"),INDIRECT("'"&amp;$C$5&amp;"'"&amp;"!$a:$a"),$D9)</f>
        <v>5252.8099999999986</v>
      </c>
      <c r="H9" s="83">
        <f t="shared" ref="H9:H15" ca="1" si="3">SUMIFS(INDIRECT("'"&amp;$C$5&amp;"'"&amp;"!$d:$d"),INDIRECT("'"&amp;$C$5&amp;"'"&amp;"!$a:$a"),$D9)</f>
        <v>5216.75</v>
      </c>
      <c r="I9" s="83">
        <f t="shared" ref="I9:I15" ca="1" si="4">SUMIFS(INDIRECT("'"&amp;$C$5&amp;"'"&amp;"!$e:$e"),INDIRECT("'"&amp;$C$5&amp;"'"&amp;"!$a:$a"),$D9)</f>
        <v>5304.0499999999984</v>
      </c>
      <c r="J9" s="83">
        <f t="shared" ref="J9:J15" ca="1" si="5">SUMIFS(INDIRECT("'"&amp;$C$5&amp;"'"&amp;"!$f:$f"),INDIRECT("'"&amp;$C$5&amp;"'"&amp;"!$a:$a"),$D9)</f>
        <v>5271.3699999999981</v>
      </c>
      <c r="K9" s="83">
        <f t="shared" ref="K9:K15" ca="1" si="6">SUMIFS(INDIRECT("'"&amp;$C$5&amp;"'"&amp;"!$g:$g"),INDIRECT("'"&amp;$C$5&amp;"'"&amp;"!$a:$a"),$D9)</f>
        <v>5271.369999999999</v>
      </c>
      <c r="L9" s="83">
        <f t="shared" ref="L9:L15" ca="1" si="7">SUMIFS(INDIRECT("'"&amp;$C$5&amp;"'"&amp;"!$h:$h"),INDIRECT("'"&amp;$C$5&amp;"'"&amp;"!$a:$a"),$D9)</f>
        <v>5484.3700000000008</v>
      </c>
      <c r="M9" s="83">
        <f t="shared" ref="M9:M15" ca="1" si="8">SUMIFS(INDIRECT("'"&amp;$C$5&amp;"'"&amp;"!$i:$i"),INDIRECT("'"&amp;$C$5&amp;"'"&amp;"!$a:$a"),$D9)</f>
        <v>5558.1399999999985</v>
      </c>
      <c r="N9" s="83">
        <f t="shared" ref="N9:N15" ca="1" si="9">SUMIFS(INDIRECT("'"&amp;$C$5&amp;"'"&amp;"!$j:$j"),INDIRECT("'"&amp;$C$5&amp;"'"&amp;"!$a:$a"),$D9)</f>
        <v>5683.7699999999986</v>
      </c>
      <c r="O9" s="83">
        <f t="shared" ref="O9:O15" ca="1" si="10">SUMIFS(INDIRECT("'"&amp;$C$5&amp;"'"&amp;"!$k:$k"),INDIRECT("'"&amp;$C$5&amp;"'"&amp;"!$a:$a"),$D9)</f>
        <v>5562.24</v>
      </c>
      <c r="P9" s="83">
        <f t="shared" ref="P9:P15" ca="1" si="11">SUMIFS(INDIRECT("'"&amp;$C$5&amp;"'"&amp;"!$l:$l"),INDIRECT("'"&amp;$C$5&amp;"'"&amp;"!$a:$a"),$D9)</f>
        <v>5473.2599999999984</v>
      </c>
      <c r="Q9" s="83">
        <f t="shared" ref="Q9:Q15" ca="1" si="12">SUMIFS(INDIRECT("'"&amp;$C$5&amp;"'"&amp;"!$m:$m"),INDIRECT("'"&amp;$C$5&amp;"'"&amp;"!$a:$a"),$D9)</f>
        <v>5500.7199999999984</v>
      </c>
    </row>
    <row r="10" spans="2:22">
      <c r="D10" s="24" t="s">
        <v>204</v>
      </c>
      <c r="E10" s="83">
        <f t="shared" ca="1" si="0"/>
        <v>591488</v>
      </c>
      <c r="F10" s="83">
        <f t="shared" ca="1" si="1"/>
        <v>38193</v>
      </c>
      <c r="G10" s="83">
        <f t="shared" ca="1" si="2"/>
        <v>42717</v>
      </c>
      <c r="H10" s="83">
        <f t="shared" ca="1" si="3"/>
        <v>45109</v>
      </c>
      <c r="I10" s="83">
        <f t="shared" ca="1" si="4"/>
        <v>41214</v>
      </c>
      <c r="J10" s="83">
        <f t="shared" ca="1" si="5"/>
        <v>100537</v>
      </c>
      <c r="K10" s="83">
        <f t="shared" ca="1" si="6"/>
        <v>54357</v>
      </c>
      <c r="L10" s="83">
        <f t="shared" ca="1" si="7"/>
        <v>45715</v>
      </c>
      <c r="M10" s="83">
        <f t="shared" ca="1" si="8"/>
        <v>40932</v>
      </c>
      <c r="N10" s="83">
        <f t="shared" ca="1" si="9"/>
        <v>38680</v>
      </c>
      <c r="O10" s="83">
        <f t="shared" ca="1" si="10"/>
        <v>46119</v>
      </c>
      <c r="P10" s="83">
        <f t="shared" ca="1" si="11"/>
        <v>49828</v>
      </c>
      <c r="Q10" s="83">
        <f t="shared" ca="1" si="12"/>
        <v>48087</v>
      </c>
      <c r="U10" s="85" t="s">
        <v>327</v>
      </c>
      <c r="V10" s="83">
        <f>SUMIF(D:D,U10,E:E)</f>
        <v>0</v>
      </c>
    </row>
    <row r="11" spans="2:22">
      <c r="D11" s="24" t="s">
        <v>252</v>
      </c>
      <c r="E11" s="83">
        <f t="shared" ca="1" si="0"/>
        <v>1653050.74</v>
      </c>
      <c r="F11" s="83">
        <f t="shared" ca="1" si="1"/>
        <v>134129</v>
      </c>
      <c r="G11" s="83">
        <f t="shared" ca="1" si="2"/>
        <v>137022.57999999999</v>
      </c>
      <c r="H11" s="83">
        <f t="shared" ca="1" si="3"/>
        <v>137022.57999999999</v>
      </c>
      <c r="I11" s="83">
        <f t="shared" ca="1" si="4"/>
        <v>137022.57999999999</v>
      </c>
      <c r="J11" s="83">
        <f t="shared" ca="1" si="5"/>
        <v>137022.57999999999</v>
      </c>
      <c r="K11" s="83">
        <f t="shared" ca="1" si="6"/>
        <v>137022.57999999999</v>
      </c>
      <c r="L11" s="83">
        <f t="shared" ca="1" si="7"/>
        <v>137022.57999999999</v>
      </c>
      <c r="M11" s="83">
        <f t="shared" ca="1" si="8"/>
        <v>137022.57999999999</v>
      </c>
      <c r="N11" s="83">
        <f t="shared" ca="1" si="9"/>
        <v>137022.57999999999</v>
      </c>
      <c r="O11" s="83">
        <f t="shared" ca="1" si="10"/>
        <v>137022.57999999999</v>
      </c>
      <c r="P11" s="83">
        <f t="shared" ca="1" si="11"/>
        <v>137022.57999999999</v>
      </c>
      <c r="Q11" s="83">
        <f t="shared" ca="1" si="12"/>
        <v>148695.94</v>
      </c>
    </row>
    <row r="12" spans="2:22">
      <c r="D12" s="24" t="s">
        <v>388</v>
      </c>
      <c r="E12" s="83">
        <f t="shared" ca="1" si="0"/>
        <v>-192000</v>
      </c>
      <c r="F12" s="83">
        <f t="shared" ca="1" si="1"/>
        <v>-16000</v>
      </c>
      <c r="G12" s="83">
        <f t="shared" ca="1" si="2"/>
        <v>-16000</v>
      </c>
      <c r="H12" s="83">
        <f t="shared" ca="1" si="3"/>
        <v>-16000</v>
      </c>
      <c r="I12" s="83">
        <f t="shared" ca="1" si="4"/>
        <v>-16000</v>
      </c>
      <c r="J12" s="83">
        <f t="shared" ca="1" si="5"/>
        <v>-16000</v>
      </c>
      <c r="K12" s="83">
        <f t="shared" ca="1" si="6"/>
        <v>-16000</v>
      </c>
      <c r="L12" s="83">
        <f t="shared" ca="1" si="7"/>
        <v>-16000</v>
      </c>
      <c r="M12" s="83">
        <f t="shared" ca="1" si="8"/>
        <v>-16000</v>
      </c>
      <c r="N12" s="83">
        <f t="shared" ca="1" si="9"/>
        <v>-16000</v>
      </c>
      <c r="O12" s="83">
        <f t="shared" ca="1" si="10"/>
        <v>-16000</v>
      </c>
      <c r="P12" s="83">
        <f t="shared" ca="1" si="11"/>
        <v>-16000</v>
      </c>
      <c r="Q12" s="83">
        <f t="shared" ca="1" si="12"/>
        <v>-16000</v>
      </c>
    </row>
    <row r="13" spans="2:22">
      <c r="D13" s="85" t="s">
        <v>321</v>
      </c>
      <c r="E13" s="83">
        <f t="shared" ca="1" si="0"/>
        <v>0</v>
      </c>
      <c r="F13" s="83">
        <f t="shared" ca="1" si="1"/>
        <v>0</v>
      </c>
      <c r="G13" s="83">
        <f t="shared" ca="1" si="2"/>
        <v>0</v>
      </c>
      <c r="H13" s="83">
        <f t="shared" ca="1" si="3"/>
        <v>0</v>
      </c>
      <c r="I13" s="83">
        <f t="shared" ca="1" si="4"/>
        <v>0</v>
      </c>
      <c r="J13" s="83">
        <f t="shared" ca="1" si="5"/>
        <v>0</v>
      </c>
      <c r="K13" s="83">
        <f t="shared" ca="1" si="6"/>
        <v>0</v>
      </c>
      <c r="L13" s="83">
        <f t="shared" ca="1" si="7"/>
        <v>0</v>
      </c>
      <c r="M13" s="83">
        <f t="shared" ca="1" si="8"/>
        <v>0</v>
      </c>
      <c r="N13" s="83">
        <f t="shared" ca="1" si="9"/>
        <v>0</v>
      </c>
      <c r="O13" s="83">
        <f t="shared" ca="1" si="10"/>
        <v>0</v>
      </c>
      <c r="P13" s="83">
        <f t="shared" ca="1" si="11"/>
        <v>0</v>
      </c>
      <c r="Q13" s="83">
        <f t="shared" ca="1" si="12"/>
        <v>0</v>
      </c>
    </row>
    <row r="14" spans="2:22">
      <c r="D14" s="85" t="s">
        <v>328</v>
      </c>
      <c r="E14" s="83">
        <f t="shared" ca="1" si="0"/>
        <v>0</v>
      </c>
      <c r="F14" s="83">
        <f t="shared" ca="1" si="1"/>
        <v>0</v>
      </c>
      <c r="G14" s="83">
        <f t="shared" ca="1" si="2"/>
        <v>0</v>
      </c>
      <c r="H14" s="83">
        <f t="shared" ca="1" si="3"/>
        <v>0</v>
      </c>
      <c r="I14" s="83">
        <f t="shared" ca="1" si="4"/>
        <v>0</v>
      </c>
      <c r="J14" s="83">
        <f t="shared" ca="1" si="5"/>
        <v>0</v>
      </c>
      <c r="K14" s="83">
        <f t="shared" ca="1" si="6"/>
        <v>0</v>
      </c>
      <c r="L14" s="83">
        <f t="shared" ca="1" si="7"/>
        <v>0</v>
      </c>
      <c r="M14" s="83">
        <f t="shared" ca="1" si="8"/>
        <v>0</v>
      </c>
      <c r="N14" s="83">
        <f t="shared" ca="1" si="9"/>
        <v>0</v>
      </c>
      <c r="O14" s="83">
        <f t="shared" ca="1" si="10"/>
        <v>0</v>
      </c>
      <c r="P14" s="83">
        <f t="shared" ca="1" si="11"/>
        <v>0</v>
      </c>
      <c r="Q14" s="83">
        <f t="shared" ca="1" si="12"/>
        <v>0</v>
      </c>
    </row>
    <row r="15" spans="2:22">
      <c r="D15" s="85" t="s">
        <v>282</v>
      </c>
      <c r="E15" s="83">
        <f t="shared" ca="1" si="0"/>
        <v>0</v>
      </c>
      <c r="F15" s="83">
        <f t="shared" ca="1" si="1"/>
        <v>0</v>
      </c>
      <c r="G15" s="86">
        <f t="shared" ca="1" si="2"/>
        <v>0</v>
      </c>
      <c r="H15" s="86">
        <f t="shared" ca="1" si="3"/>
        <v>0</v>
      </c>
      <c r="I15" s="86">
        <f t="shared" ca="1" si="4"/>
        <v>0</v>
      </c>
      <c r="J15" s="86">
        <f t="shared" ca="1" si="5"/>
        <v>0</v>
      </c>
      <c r="K15" s="86">
        <f t="shared" ca="1" si="6"/>
        <v>0</v>
      </c>
      <c r="L15" s="86">
        <f t="shared" ca="1" si="7"/>
        <v>0</v>
      </c>
      <c r="M15" s="86">
        <f t="shared" ca="1" si="8"/>
        <v>0</v>
      </c>
      <c r="N15" s="86">
        <f t="shared" ca="1" si="9"/>
        <v>0</v>
      </c>
      <c r="O15" s="86">
        <f t="shared" ca="1" si="10"/>
        <v>0</v>
      </c>
      <c r="P15" s="86">
        <f t="shared" ca="1" si="11"/>
        <v>0</v>
      </c>
      <c r="Q15" s="86">
        <f t="shared" ca="1" si="12"/>
        <v>0</v>
      </c>
    </row>
    <row r="16" spans="2:22">
      <c r="E16" s="84">
        <f t="shared" ref="E16:Q16" ca="1" si="13">+E7-SUM(E8:E15)</f>
        <v>7909073.0599999977</v>
      </c>
      <c r="F16" s="84">
        <f t="shared" ca="1" si="13"/>
        <v>696090.99</v>
      </c>
      <c r="G16" s="84">
        <f t="shared" ca="1" si="13"/>
        <v>696955.4499999996</v>
      </c>
      <c r="H16" s="84">
        <f t="shared" ca="1" si="13"/>
        <v>694273.8</v>
      </c>
      <c r="I16" s="84">
        <f t="shared" ca="1" si="13"/>
        <v>665927.01999999944</v>
      </c>
      <c r="J16" s="84">
        <f t="shared" ca="1" si="13"/>
        <v>514471.96000000054</v>
      </c>
      <c r="K16" s="84">
        <f t="shared" ca="1" si="13"/>
        <v>667080.32000000053</v>
      </c>
      <c r="L16" s="84">
        <f t="shared" ca="1" si="13"/>
        <v>639275.5900000002</v>
      </c>
      <c r="M16" s="84">
        <f t="shared" ca="1" si="13"/>
        <v>652531.47</v>
      </c>
      <c r="N16" s="84">
        <f t="shared" ca="1" si="13"/>
        <v>601408.29</v>
      </c>
      <c r="O16" s="84">
        <f t="shared" ca="1" si="13"/>
        <v>657064.16999999934</v>
      </c>
      <c r="P16" s="84">
        <f t="shared" ca="1" si="13"/>
        <v>710808.28999999946</v>
      </c>
      <c r="Q16" s="84">
        <f t="shared" ca="1" si="13"/>
        <v>713185.71000000043</v>
      </c>
    </row>
    <row r="17" spans="2:17">
      <c r="F17" s="83"/>
      <c r="G17" s="83"/>
      <c r="H17" s="83"/>
      <c r="I17" s="83"/>
      <c r="J17" s="83"/>
      <c r="K17" s="83"/>
      <c r="L17" s="83"/>
      <c r="M17" s="83"/>
      <c r="N17" s="83"/>
      <c r="O17" s="83"/>
      <c r="P17" s="83"/>
      <c r="Q17" s="83"/>
    </row>
    <row r="18" spans="2:17">
      <c r="C18" s="96" t="s">
        <v>330</v>
      </c>
      <c r="D18" s="24" t="s">
        <v>334</v>
      </c>
      <c r="E18" s="83">
        <f ca="1">SUM(F18:Q18)</f>
        <v>7908067</v>
      </c>
      <c r="F18" s="83">
        <f ca="1">+Summary!G13</f>
        <v>696090</v>
      </c>
      <c r="G18" s="83">
        <f ca="1">+Summary!H13</f>
        <v>696955</v>
      </c>
      <c r="H18" s="83">
        <f ca="1">+Summary!I13</f>
        <v>694274</v>
      </c>
      <c r="I18" s="83">
        <f ca="1">+Summary!J13</f>
        <v>665927</v>
      </c>
      <c r="J18" s="83">
        <f ca="1">+Summary!K13</f>
        <v>513462</v>
      </c>
      <c r="K18" s="83">
        <f ca="1">+Summary!L13</f>
        <v>667080</v>
      </c>
      <c r="L18" s="83">
        <f ca="1">+Summary!M13</f>
        <v>639281</v>
      </c>
      <c r="M18" s="83">
        <f ca="1">+Summary!N13</f>
        <v>652532</v>
      </c>
      <c r="N18" s="83">
        <f ca="1">+Summary!O13</f>
        <v>601407</v>
      </c>
      <c r="O18" s="83">
        <f ca="1">+Summary!P13</f>
        <v>657065</v>
      </c>
      <c r="P18" s="83">
        <f ca="1">+Summary!Q13</f>
        <v>710807</v>
      </c>
      <c r="Q18" s="83">
        <f ca="1">+Summary!R13</f>
        <v>713187</v>
      </c>
    </row>
    <row r="19" spans="2:17">
      <c r="E19" s="83">
        <f ca="1">+E16-E18</f>
        <v>1006.0599999977276</v>
      </c>
      <c r="F19" s="83">
        <f ca="1">+F16-F18</f>
        <v>0.98999999999068677</v>
      </c>
      <c r="G19" s="83">
        <f t="shared" ref="G19:Q19" ca="1" si="14">+G16-G18</f>
        <v>0.44999999960418791</v>
      </c>
      <c r="H19" s="83">
        <f t="shared" ca="1" si="14"/>
        <v>-0.19999999995343387</v>
      </c>
      <c r="I19" s="83">
        <f t="shared" ca="1" si="14"/>
        <v>1.9999999436549842E-2</v>
      </c>
      <c r="J19" s="83">
        <f t="shared" ca="1" si="14"/>
        <v>1009.9600000005448</v>
      </c>
      <c r="K19" s="83">
        <f t="shared" ca="1" si="14"/>
        <v>0.32000000053085387</v>
      </c>
      <c r="L19" s="83">
        <f t="shared" ca="1" si="14"/>
        <v>-5.4099999997997656</v>
      </c>
      <c r="M19" s="83">
        <f t="shared" ca="1" si="14"/>
        <v>-0.53000000002793968</v>
      </c>
      <c r="N19" s="83">
        <f t="shared" ca="1" si="14"/>
        <v>1.2900000000372529</v>
      </c>
      <c r="O19" s="83">
        <f t="shared" ca="1" si="14"/>
        <v>-0.83000000065658242</v>
      </c>
      <c r="P19" s="83">
        <f t="shared" ca="1" si="14"/>
        <v>1.2899999994551763</v>
      </c>
      <c r="Q19" s="83">
        <f t="shared" ca="1" si="14"/>
        <v>-1.2899999995715916</v>
      </c>
    </row>
    <row r="22" spans="2:17">
      <c r="B22" s="24">
        <v>2</v>
      </c>
      <c r="C22" s="96" t="s">
        <v>269</v>
      </c>
    </row>
    <row r="23" spans="2:17">
      <c r="C23" s="88" t="s">
        <v>296</v>
      </c>
      <c r="E23" s="84" t="s">
        <v>335</v>
      </c>
      <c r="F23" s="97" t="str">
        <f>+Summary!$W$9</f>
        <v>Aug 2021</v>
      </c>
      <c r="G23" s="97" t="str">
        <f>+Summary!$X$9</f>
        <v>Sep 2021</v>
      </c>
      <c r="H23" s="97" t="str">
        <f>+Summary!$Y$9</f>
        <v>Oct 2021</v>
      </c>
      <c r="I23" s="97" t="str">
        <f>+Summary!$Z$9</f>
        <v>Nov 2021</v>
      </c>
      <c r="J23" s="97" t="str">
        <f>+Summary!$AA$9</f>
        <v>Dec 2021</v>
      </c>
      <c r="K23" s="97" t="str">
        <f>+Summary!$AB$9</f>
        <v>Jan 2022</v>
      </c>
      <c r="L23" s="97" t="str">
        <f>+Summary!$AC$9</f>
        <v>Feb 2022</v>
      </c>
      <c r="M23" s="97" t="str">
        <f>+Summary!$AD$9</f>
        <v>Mar 2022</v>
      </c>
      <c r="N23" s="97" t="str">
        <f>+Summary!$AE$9</f>
        <v>Apr 2022</v>
      </c>
      <c r="O23" s="97" t="str">
        <f>+Summary!$AF$9</f>
        <v>May 2022</v>
      </c>
      <c r="P23" s="97" t="str">
        <f>+Summary!$AG$9</f>
        <v>Jun 2022</v>
      </c>
      <c r="Q23" s="97" t="str">
        <f>+Summary!$AH$9</f>
        <v>Jul 2022</v>
      </c>
    </row>
    <row r="24" spans="2:17">
      <c r="C24" s="96" t="s">
        <v>331</v>
      </c>
      <c r="D24" s="96" t="s">
        <v>333</v>
      </c>
    </row>
    <row r="25" spans="2:17">
      <c r="D25" s="24" t="s">
        <v>62</v>
      </c>
      <c r="E25" s="83">
        <f t="shared" ref="E25:E33" ca="1" si="15">+SUM(F25:Q25)</f>
        <v>7943236.0599999987</v>
      </c>
      <c r="F25" s="83">
        <f ca="1">SUMIFS(INDIRECT("'"&amp;$C$23&amp;"'"&amp;"!$b:$b"),INDIRECT("'"&amp;$C$23&amp;"'"&amp;"!$a:$a"),$D25)/2</f>
        <v>734206.07999999973</v>
      </c>
      <c r="G25" s="83">
        <f ca="1">SUMIFS(INDIRECT("'"&amp;$C$23&amp;"'"&amp;"!$c:$c"),INDIRECT("'"&amp;$C$23&amp;"'"&amp;"!$a:$a"),$D25)/2</f>
        <v>736441.53000000049</v>
      </c>
      <c r="H25" s="83">
        <f ca="1">SUMIFS(INDIRECT("'"&amp;$C$23&amp;"'"&amp;"!$d:$d"),INDIRECT("'"&amp;$C$23&amp;"'"&amp;"!$a:$a"),$D25)/2</f>
        <v>720329.25999999966</v>
      </c>
      <c r="I25" s="83">
        <f ca="1">SUMIFS(INDIRECT("'"&amp;$C$23&amp;"'"&amp;"!$e:$e"),INDIRECT("'"&amp;$C$23&amp;"'"&amp;"!$a:$a"),$D25)/2</f>
        <v>700792.2200000002</v>
      </c>
      <c r="J25" s="83">
        <f ca="1">SUMIFS(INDIRECT("'"&amp;$C$23&amp;"'"&amp;"!$f:$f"),INDIRECT("'"&amp;$C$23&amp;"'"&amp;"!$a:$a"),$D25)/2</f>
        <v>105207.41999999987</v>
      </c>
      <c r="K25" s="83">
        <f ca="1">SUMIFS(INDIRECT("'"&amp;$C$23&amp;"'"&amp;"!$g:$g"),INDIRECT("'"&amp;$C$23&amp;"'"&amp;"!$a:$a"),$D25)/2</f>
        <v>730915.19999999914</v>
      </c>
      <c r="L25" s="83">
        <f ca="1">SUMIFS(INDIRECT("'"&amp;$C$23&amp;"'"&amp;"!$h:$h"),INDIRECT("'"&amp;$C$23&amp;"'"&amp;"!$a:$a"),$D25)/2</f>
        <v>725050.22000000009</v>
      </c>
      <c r="M25" s="83">
        <f ca="1">SUMIFS(INDIRECT("'"&amp;$C$23&amp;"'"&amp;"!$i:$i"),INDIRECT("'"&amp;$C$23&amp;"'"&amp;"!$a:$a"),$D25)/2</f>
        <v>678908.28999999946</v>
      </c>
      <c r="N25" s="83">
        <f ca="1">SUMIFS(INDIRECT("'"&amp;$C$23&amp;"'"&amp;"!$j:$j"),INDIRECT("'"&amp;$C$23&amp;"'"&amp;"!$a:$a"),$D25)/2</f>
        <v>682863.6599999998</v>
      </c>
      <c r="O25" s="83">
        <f ca="1">SUMIFS(INDIRECT("'"&amp;$C$23&amp;"'"&amp;"!$k:$k"),INDIRECT("'"&amp;$C$23&amp;"'"&amp;"!$a:$a"),$D25)/2</f>
        <v>685992.04000000015</v>
      </c>
      <c r="P25" s="83">
        <f ca="1">SUMIFS(INDIRECT("'"&amp;$C$23&amp;"'"&amp;"!$l:$l"),INDIRECT("'"&amp;$C$23&amp;"'"&amp;"!$a:$a"),$D25)/2</f>
        <v>683020.82999999984</v>
      </c>
      <c r="Q25" s="83">
        <f ca="1">SUMIFS(INDIRECT("'"&amp;$C$23&amp;"'"&amp;"!$m:$m"),INDIRECT("'"&amp;$C$23&amp;"'"&amp;"!$a:$a"),$D25)/2</f>
        <v>759509.30999999959</v>
      </c>
    </row>
    <row r="26" spans="2:17">
      <c r="D26" s="24" t="s">
        <v>253</v>
      </c>
      <c r="E26" s="83">
        <f t="shared" ca="1" si="15"/>
        <v>712.16</v>
      </c>
      <c r="F26" s="83">
        <f t="shared" ref="F26:F33" ca="1" si="16">SUMIFS(INDIRECT("'"&amp;$C$23&amp;"'"&amp;"!$b:$b"),INDIRECT("'"&amp;$C$23&amp;"'"&amp;"!$a:$a"),$D26)</f>
        <v>101.32</v>
      </c>
      <c r="G26" s="83">
        <f t="shared" ref="G26:G33" ca="1" si="17">SUMIFS(INDIRECT("'"&amp;$C$23&amp;"'"&amp;"!$c:$c"),INDIRECT("'"&amp;$C$23&amp;"'"&amp;"!$a:$a"),$D26)</f>
        <v>101.32</v>
      </c>
      <c r="H26" s="83">
        <f t="shared" ref="H26:H33" ca="1" si="18">SUMIFS(INDIRECT("'"&amp;$C$23&amp;"'"&amp;"!$d:$d"),INDIRECT("'"&amp;$C$23&amp;"'"&amp;"!$a:$a"),$D26)</f>
        <v>101.32</v>
      </c>
      <c r="I26" s="83">
        <f t="shared" ref="I26:I33" ca="1" si="19">SUMIFS(INDIRECT("'"&amp;$C$23&amp;"'"&amp;"!$e:$e"),INDIRECT("'"&amp;$C$23&amp;"'"&amp;"!$a:$a"),$D26)</f>
        <v>101.32</v>
      </c>
      <c r="J26" s="83">
        <f t="shared" ref="J26:J33" ca="1" si="20">SUMIFS(INDIRECT("'"&amp;$C$23&amp;"'"&amp;"!$f:$f"),INDIRECT("'"&amp;$C$23&amp;"'"&amp;"!$a:$a"),$D26)</f>
        <v>101.32</v>
      </c>
      <c r="K26" s="83">
        <f t="shared" ref="K26:K33" ca="1" si="21">SUMIFS(INDIRECT("'"&amp;$C$23&amp;"'"&amp;"!$g:$g"),INDIRECT("'"&amp;$C$23&amp;"'"&amp;"!$a:$a"),$D26)</f>
        <v>0</v>
      </c>
      <c r="L26" s="83">
        <f t="shared" ref="L26:L33" ca="1" si="22">SUMIFS(INDIRECT("'"&amp;$C$23&amp;"'"&amp;"!$h:$h"),INDIRECT("'"&amp;$C$23&amp;"'"&amp;"!$a:$a"),$D26)</f>
        <v>0</v>
      </c>
      <c r="M26" s="83">
        <f t="shared" ref="M26:M33" ca="1" si="23">SUMIFS(INDIRECT("'"&amp;$C$23&amp;"'"&amp;"!$i:$i"),INDIRECT("'"&amp;$C$23&amp;"'"&amp;"!$a:$a"),$D26)</f>
        <v>0</v>
      </c>
      <c r="N26" s="83">
        <f t="shared" ref="N26:N33" ca="1" si="24">SUMIFS(INDIRECT("'"&amp;$C$23&amp;"'"&amp;"!$j:$j"),INDIRECT("'"&amp;$C$23&amp;"'"&amp;"!$a:$a"),$D26)</f>
        <v>51.39</v>
      </c>
      <c r="O26" s="83">
        <f t="shared" ref="O26:O33" ca="1" si="25">SUMIFS(INDIRECT("'"&amp;$C$23&amp;"'"&amp;"!$k:$k"),INDIRECT("'"&amp;$C$23&amp;"'"&amp;"!$a:$a"),$D26)</f>
        <v>51.39</v>
      </c>
      <c r="P26" s="83">
        <f t="shared" ref="P26:P33" ca="1" si="26">SUMIFS(INDIRECT("'"&amp;$C$23&amp;"'"&amp;"!$l:$l"),INDIRECT("'"&amp;$C$23&amp;"'"&amp;"!$a:$a"),$D26)</f>
        <v>51.39</v>
      </c>
      <c r="Q26" s="83">
        <f t="shared" ref="Q26:Q33" ca="1" si="27">SUMIFS(INDIRECT("'"&amp;$C$23&amp;"'"&amp;"!$m:$m"),INDIRECT("'"&amp;$C$23&amp;"'"&amp;"!$a:$a"),$D26)</f>
        <v>51.39</v>
      </c>
    </row>
    <row r="27" spans="2:17">
      <c r="D27" s="24" t="s">
        <v>250</v>
      </c>
      <c r="E27" s="83">
        <f t="shared" ca="1" si="15"/>
        <v>96208.609999999986</v>
      </c>
      <c r="F27" s="83">
        <f t="shared" ca="1" si="16"/>
        <v>7945.96</v>
      </c>
      <c r="G27" s="83">
        <f t="shared" ca="1" si="17"/>
        <v>7892.5</v>
      </c>
      <c r="H27" s="83">
        <f t="shared" ca="1" si="18"/>
        <v>7890.2800000000016</v>
      </c>
      <c r="I27" s="83">
        <f t="shared" ca="1" si="19"/>
        <v>7978.62</v>
      </c>
      <c r="J27" s="83">
        <f t="shared" ca="1" si="20"/>
        <v>7978.93</v>
      </c>
      <c r="K27" s="83">
        <f t="shared" ca="1" si="21"/>
        <v>7887.91</v>
      </c>
      <c r="L27" s="83">
        <f t="shared" ca="1" si="22"/>
        <v>7953.9600000000009</v>
      </c>
      <c r="M27" s="83">
        <f t="shared" ca="1" si="23"/>
        <v>7894.31</v>
      </c>
      <c r="N27" s="83">
        <f t="shared" ca="1" si="24"/>
        <v>8091.72</v>
      </c>
      <c r="O27" s="83">
        <f t="shared" ca="1" si="25"/>
        <v>8091.64</v>
      </c>
      <c r="P27" s="83">
        <f t="shared" ca="1" si="26"/>
        <v>8364.9000000000015</v>
      </c>
      <c r="Q27" s="83">
        <f t="shared" ca="1" si="27"/>
        <v>8237.880000000001</v>
      </c>
    </row>
    <row r="28" spans="2:17">
      <c r="D28" s="24" t="s">
        <v>204</v>
      </c>
      <c r="E28" s="83">
        <f t="shared" ca="1" si="15"/>
        <v>-223294</v>
      </c>
      <c r="F28" s="83">
        <f t="shared" ca="1" si="16"/>
        <v>36937</v>
      </c>
      <c r="G28" s="83">
        <f t="shared" ca="1" si="17"/>
        <v>35565</v>
      </c>
      <c r="H28" s="83">
        <f t="shared" ca="1" si="18"/>
        <v>32564</v>
      </c>
      <c r="I28" s="83">
        <f t="shared" ca="1" si="19"/>
        <v>31741</v>
      </c>
      <c r="J28" s="83">
        <f t="shared" ca="1" si="20"/>
        <v>-587206</v>
      </c>
      <c r="K28" s="83">
        <f t="shared" ca="1" si="21"/>
        <v>44084</v>
      </c>
      <c r="L28" s="83">
        <f t="shared" ca="1" si="22"/>
        <v>27788</v>
      </c>
      <c r="M28" s="83">
        <f t="shared" ca="1" si="23"/>
        <v>30737</v>
      </c>
      <c r="N28" s="83">
        <f t="shared" ca="1" si="24"/>
        <v>27929</v>
      </c>
      <c r="O28" s="83">
        <f t="shared" ca="1" si="25"/>
        <v>28912</v>
      </c>
      <c r="P28" s="83">
        <f t="shared" ca="1" si="26"/>
        <v>31018</v>
      </c>
      <c r="Q28" s="83">
        <f t="shared" ca="1" si="27"/>
        <v>36637</v>
      </c>
    </row>
    <row r="29" spans="2:17">
      <c r="D29" s="24" t="s">
        <v>252</v>
      </c>
      <c r="E29" s="83">
        <f t="shared" ca="1" si="15"/>
        <v>1653328.24</v>
      </c>
      <c r="F29" s="83">
        <f t="shared" ca="1" si="16"/>
        <v>134129</v>
      </c>
      <c r="G29" s="83">
        <f t="shared" ca="1" si="17"/>
        <v>137022.57999999999</v>
      </c>
      <c r="H29" s="83">
        <f t="shared" ca="1" si="18"/>
        <v>137022.57999999999</v>
      </c>
      <c r="I29" s="83">
        <f t="shared" ca="1" si="19"/>
        <v>137022.57999999999</v>
      </c>
      <c r="J29" s="83">
        <f t="shared" ca="1" si="20"/>
        <v>137022.57999999999</v>
      </c>
      <c r="K29" s="83">
        <f t="shared" ca="1" si="21"/>
        <v>137022.57999999999</v>
      </c>
      <c r="L29" s="83">
        <f t="shared" ca="1" si="22"/>
        <v>137022.57999999999</v>
      </c>
      <c r="M29" s="83">
        <f t="shared" ca="1" si="23"/>
        <v>137022.57999999999</v>
      </c>
      <c r="N29" s="83">
        <f t="shared" ca="1" si="24"/>
        <v>137022.57999999999</v>
      </c>
      <c r="O29" s="83">
        <f t="shared" ca="1" si="25"/>
        <v>137022.57999999999</v>
      </c>
      <c r="P29" s="83">
        <f t="shared" ca="1" si="26"/>
        <v>137022.57999999999</v>
      </c>
      <c r="Q29" s="83">
        <f t="shared" ca="1" si="27"/>
        <v>148973.44</v>
      </c>
    </row>
    <row r="30" spans="2:17">
      <c r="D30" s="24" t="s">
        <v>388</v>
      </c>
      <c r="E30" s="83">
        <f t="shared" ca="1" si="15"/>
        <v>-240000</v>
      </c>
      <c r="F30" s="83">
        <f t="shared" ca="1" si="16"/>
        <v>-20000</v>
      </c>
      <c r="G30" s="83">
        <f t="shared" ca="1" si="17"/>
        <v>-20000</v>
      </c>
      <c r="H30" s="83">
        <f t="shared" ca="1" si="18"/>
        <v>-20000</v>
      </c>
      <c r="I30" s="83">
        <f t="shared" ca="1" si="19"/>
        <v>-20000</v>
      </c>
      <c r="J30" s="83">
        <f t="shared" ca="1" si="20"/>
        <v>-20000</v>
      </c>
      <c r="K30" s="83">
        <f t="shared" ca="1" si="21"/>
        <v>-20000</v>
      </c>
      <c r="L30" s="83">
        <f t="shared" ca="1" si="22"/>
        <v>-20000</v>
      </c>
      <c r="M30" s="83">
        <f t="shared" ca="1" si="23"/>
        <v>-20000</v>
      </c>
      <c r="N30" s="83">
        <f t="shared" ca="1" si="24"/>
        <v>-20000</v>
      </c>
      <c r="O30" s="83">
        <f t="shared" ca="1" si="25"/>
        <v>-20000</v>
      </c>
      <c r="P30" s="83">
        <f t="shared" ca="1" si="26"/>
        <v>-20000</v>
      </c>
      <c r="Q30" s="83">
        <f t="shared" ca="1" si="27"/>
        <v>-20000</v>
      </c>
    </row>
    <row r="31" spans="2:17">
      <c r="D31" s="85" t="s">
        <v>321</v>
      </c>
      <c r="E31" s="83">
        <f t="shared" ca="1" si="15"/>
        <v>0</v>
      </c>
      <c r="F31" s="83">
        <f t="shared" ca="1" si="16"/>
        <v>0</v>
      </c>
      <c r="G31" s="83">
        <f t="shared" ca="1" si="17"/>
        <v>0</v>
      </c>
      <c r="H31" s="83">
        <f t="shared" ca="1" si="18"/>
        <v>0</v>
      </c>
      <c r="I31" s="83">
        <f t="shared" ca="1" si="19"/>
        <v>0</v>
      </c>
      <c r="J31" s="83">
        <f t="shared" ca="1" si="20"/>
        <v>0</v>
      </c>
      <c r="K31" s="83">
        <f t="shared" ca="1" si="21"/>
        <v>0</v>
      </c>
      <c r="L31" s="83">
        <f t="shared" ca="1" si="22"/>
        <v>0</v>
      </c>
      <c r="M31" s="83">
        <f t="shared" ca="1" si="23"/>
        <v>0</v>
      </c>
      <c r="N31" s="83">
        <f t="shared" ca="1" si="24"/>
        <v>0</v>
      </c>
      <c r="O31" s="83">
        <f t="shared" ca="1" si="25"/>
        <v>0</v>
      </c>
      <c r="P31" s="83">
        <f t="shared" ca="1" si="26"/>
        <v>0</v>
      </c>
      <c r="Q31" s="83">
        <f t="shared" ca="1" si="27"/>
        <v>0</v>
      </c>
    </row>
    <row r="32" spans="2:17">
      <c r="D32" s="85" t="s">
        <v>328</v>
      </c>
      <c r="E32" s="83">
        <f t="shared" ca="1" si="15"/>
        <v>0</v>
      </c>
      <c r="F32" s="83">
        <f t="shared" ca="1" si="16"/>
        <v>0</v>
      </c>
      <c r="G32" s="83">
        <f t="shared" ca="1" si="17"/>
        <v>0</v>
      </c>
      <c r="H32" s="83">
        <f t="shared" ca="1" si="18"/>
        <v>0</v>
      </c>
      <c r="I32" s="83">
        <f t="shared" ca="1" si="19"/>
        <v>0</v>
      </c>
      <c r="J32" s="83">
        <f t="shared" ca="1" si="20"/>
        <v>0</v>
      </c>
      <c r="K32" s="83">
        <f t="shared" ca="1" si="21"/>
        <v>0</v>
      </c>
      <c r="L32" s="83">
        <f t="shared" ca="1" si="22"/>
        <v>0</v>
      </c>
      <c r="M32" s="83">
        <f t="shared" ca="1" si="23"/>
        <v>0</v>
      </c>
      <c r="N32" s="83">
        <f t="shared" ca="1" si="24"/>
        <v>0</v>
      </c>
      <c r="O32" s="83">
        <f t="shared" ca="1" si="25"/>
        <v>0</v>
      </c>
      <c r="P32" s="83">
        <f t="shared" ca="1" si="26"/>
        <v>0</v>
      </c>
      <c r="Q32" s="83">
        <f t="shared" ca="1" si="27"/>
        <v>0</v>
      </c>
    </row>
    <row r="33" spans="2:17">
      <c r="D33" s="85" t="s">
        <v>282</v>
      </c>
      <c r="E33" s="83">
        <f t="shared" ca="1" si="15"/>
        <v>0</v>
      </c>
      <c r="F33" s="83">
        <f t="shared" ca="1" si="16"/>
        <v>0</v>
      </c>
      <c r="G33" s="86">
        <f t="shared" ca="1" si="17"/>
        <v>0</v>
      </c>
      <c r="H33" s="86">
        <f t="shared" ca="1" si="18"/>
        <v>0</v>
      </c>
      <c r="I33" s="86">
        <f t="shared" ca="1" si="19"/>
        <v>0</v>
      </c>
      <c r="J33" s="86">
        <f t="shared" ca="1" si="20"/>
        <v>0</v>
      </c>
      <c r="K33" s="86">
        <f t="shared" ca="1" si="21"/>
        <v>0</v>
      </c>
      <c r="L33" s="86">
        <f t="shared" ca="1" si="22"/>
        <v>0</v>
      </c>
      <c r="M33" s="86">
        <f t="shared" ca="1" si="23"/>
        <v>0</v>
      </c>
      <c r="N33" s="86">
        <f t="shared" ca="1" si="24"/>
        <v>0</v>
      </c>
      <c r="O33" s="86">
        <f t="shared" ca="1" si="25"/>
        <v>0</v>
      </c>
      <c r="P33" s="86">
        <f t="shared" ca="1" si="26"/>
        <v>0</v>
      </c>
      <c r="Q33" s="86">
        <f t="shared" ca="1" si="27"/>
        <v>0</v>
      </c>
    </row>
    <row r="34" spans="2:17">
      <c r="D34" s="85"/>
      <c r="F34" s="83"/>
      <c r="G34" s="83"/>
      <c r="H34" s="83"/>
      <c r="I34" s="83"/>
      <c r="J34" s="83"/>
      <c r="K34" s="83"/>
      <c r="L34" s="83"/>
      <c r="M34" s="83"/>
      <c r="N34" s="83"/>
      <c r="O34" s="83"/>
      <c r="P34" s="83"/>
      <c r="Q34" s="83"/>
    </row>
    <row r="35" spans="2:17">
      <c r="E35" s="84">
        <f t="shared" ref="E35:Q35" ca="1" si="28">+E25-SUM(E26:E33)</f>
        <v>6656281.0499999989</v>
      </c>
      <c r="F35" s="84">
        <f t="shared" ca="1" si="28"/>
        <v>575092.7999999997</v>
      </c>
      <c r="G35" s="84">
        <f t="shared" ca="1" si="28"/>
        <v>575860.13000000047</v>
      </c>
      <c r="H35" s="84">
        <f t="shared" ca="1" si="28"/>
        <v>562751.07999999961</v>
      </c>
      <c r="I35" s="84">
        <f t="shared" ca="1" si="28"/>
        <v>543948.70000000019</v>
      </c>
      <c r="J35" s="84">
        <f t="shared" ca="1" si="28"/>
        <v>567310.58999999985</v>
      </c>
      <c r="K35" s="84">
        <f t="shared" ca="1" si="28"/>
        <v>561920.70999999915</v>
      </c>
      <c r="L35" s="84">
        <f t="shared" ca="1" si="28"/>
        <v>572285.68000000017</v>
      </c>
      <c r="M35" s="84">
        <f t="shared" ca="1" si="28"/>
        <v>523254.39999999944</v>
      </c>
      <c r="N35" s="84">
        <f t="shared" ca="1" si="28"/>
        <v>529768.96999999974</v>
      </c>
      <c r="O35" s="84">
        <f t="shared" ca="1" si="28"/>
        <v>531914.43000000017</v>
      </c>
      <c r="P35" s="84">
        <f t="shared" ca="1" si="28"/>
        <v>526563.95999999985</v>
      </c>
      <c r="Q35" s="84">
        <f t="shared" ca="1" si="28"/>
        <v>585609.59999999963</v>
      </c>
    </row>
    <row r="36" spans="2:17">
      <c r="F36" s="83"/>
      <c r="G36" s="83"/>
      <c r="H36" s="83"/>
      <c r="I36" s="83"/>
      <c r="J36" s="83"/>
      <c r="K36" s="83"/>
      <c r="L36" s="83"/>
      <c r="M36" s="83"/>
      <c r="N36" s="83"/>
      <c r="O36" s="83"/>
      <c r="P36" s="83"/>
      <c r="Q36" s="83"/>
    </row>
    <row r="37" spans="2:17">
      <c r="C37" s="96" t="s">
        <v>330</v>
      </c>
      <c r="D37" s="24" t="s">
        <v>334</v>
      </c>
      <c r="E37" s="83">
        <f ca="1">SUM(F37:Q37)</f>
        <v>6653929</v>
      </c>
      <c r="F37" s="83">
        <f ca="1">+Summary!G24</f>
        <v>575092</v>
      </c>
      <c r="G37" s="83">
        <f ca="1">+Summary!H24</f>
        <v>575860</v>
      </c>
      <c r="H37" s="83">
        <f ca="1">+Summary!I24</f>
        <v>562751</v>
      </c>
      <c r="I37" s="83">
        <f ca="1">+Summary!J24</f>
        <v>543948</v>
      </c>
      <c r="J37" s="83">
        <f ca="1">+Summary!K24</f>
        <v>564967</v>
      </c>
      <c r="K37" s="83">
        <f ca="1">+Summary!L24</f>
        <v>561916</v>
      </c>
      <c r="L37" s="83">
        <f ca="1">+Summary!M24</f>
        <v>572286</v>
      </c>
      <c r="M37" s="83">
        <f ca="1">+Summary!N24</f>
        <v>523254</v>
      </c>
      <c r="N37" s="83">
        <f ca="1">+Summary!O24</f>
        <v>529768</v>
      </c>
      <c r="O37" s="83">
        <f ca="1">+Summary!P24</f>
        <v>531913</v>
      </c>
      <c r="P37" s="83">
        <f ca="1">+Summary!Q24</f>
        <v>526564</v>
      </c>
      <c r="Q37" s="83">
        <f ca="1">+Summary!R24</f>
        <v>585610</v>
      </c>
    </row>
    <row r="38" spans="2:17">
      <c r="E38" s="83">
        <f t="shared" ref="E38" ca="1" si="29">+E35-E37</f>
        <v>2352.0499999988824</v>
      </c>
      <c r="F38" s="83">
        <f ca="1">+F35-F37</f>
        <v>0.79999999969732016</v>
      </c>
      <c r="G38" s="83">
        <f t="shared" ref="G38" ca="1" si="30">+G35-G37</f>
        <v>0.1300000004703179</v>
      </c>
      <c r="H38" s="83">
        <f t="shared" ref="H38" ca="1" si="31">+H35-H37</f>
        <v>7.9999999608844519E-2</v>
      </c>
      <c r="I38" s="83">
        <f t="shared" ref="I38" ca="1" si="32">+I35-I37</f>
        <v>0.70000000018626451</v>
      </c>
      <c r="J38" s="83">
        <f t="shared" ref="J38" ca="1" si="33">+J35-J37</f>
        <v>2343.589999999851</v>
      </c>
      <c r="K38" s="83">
        <f t="shared" ref="K38" ca="1" si="34">+K35-K37</f>
        <v>4.7099999991478398</v>
      </c>
      <c r="L38" s="83">
        <f t="shared" ref="L38" ca="1" si="35">+L35-L37</f>
        <v>-0.31999999983236194</v>
      </c>
      <c r="M38" s="83">
        <f t="shared" ref="M38" ca="1" si="36">+M35-M37</f>
        <v>0.39999999944120646</v>
      </c>
      <c r="N38" s="83">
        <f t="shared" ref="N38" ca="1" si="37">+N35-N37</f>
        <v>0.96999999973922968</v>
      </c>
      <c r="O38" s="83">
        <f t="shared" ref="O38" ca="1" si="38">+O35-O37</f>
        <v>1.4300000001676381</v>
      </c>
      <c r="P38" s="83">
        <f t="shared" ref="P38" ca="1" si="39">+P35-P37</f>
        <v>-4.0000000153668225E-2</v>
      </c>
      <c r="Q38" s="83">
        <f t="shared" ref="Q38" ca="1" si="40">+Q35-Q37</f>
        <v>-0.40000000037252903</v>
      </c>
    </row>
    <row r="39" spans="2:17">
      <c r="D39" s="85"/>
      <c r="F39" s="83"/>
      <c r="G39" s="83"/>
      <c r="H39" s="83"/>
      <c r="I39" s="83"/>
      <c r="J39" s="83"/>
      <c r="K39" s="83"/>
      <c r="L39" s="83"/>
      <c r="M39" s="83"/>
      <c r="N39" s="83"/>
      <c r="O39" s="83"/>
      <c r="P39" s="83"/>
      <c r="Q39" s="83"/>
    </row>
    <row r="40" spans="2:17">
      <c r="E40" s="84"/>
      <c r="F40" s="84"/>
      <c r="G40" s="84"/>
      <c r="H40" s="84"/>
      <c r="I40" s="84"/>
      <c r="J40" s="84"/>
      <c r="K40" s="84"/>
      <c r="L40" s="84"/>
      <c r="M40" s="84"/>
      <c r="N40" s="84"/>
      <c r="O40" s="84"/>
      <c r="P40" s="84"/>
      <c r="Q40" s="84"/>
    </row>
    <row r="41" spans="2:17">
      <c r="F41" s="83"/>
      <c r="G41" s="83"/>
      <c r="H41" s="83"/>
      <c r="I41" s="83"/>
      <c r="J41" s="83"/>
      <c r="K41" s="83"/>
      <c r="L41" s="83"/>
      <c r="M41" s="83"/>
      <c r="N41" s="83"/>
      <c r="O41" s="83"/>
      <c r="P41" s="83"/>
      <c r="Q41" s="83"/>
    </row>
    <row r="42" spans="2:17">
      <c r="B42" s="24">
        <v>3</v>
      </c>
      <c r="C42" s="96" t="s">
        <v>270</v>
      </c>
    </row>
    <row r="43" spans="2:17">
      <c r="C43" s="88" t="s">
        <v>297</v>
      </c>
      <c r="E43" s="84" t="s">
        <v>335</v>
      </c>
      <c r="F43" s="97" t="str">
        <f>+Summary!$W$9</f>
        <v>Aug 2021</v>
      </c>
      <c r="G43" s="97" t="str">
        <f>+Summary!$X$9</f>
        <v>Sep 2021</v>
      </c>
      <c r="H43" s="97" t="str">
        <f>+Summary!$Y$9</f>
        <v>Oct 2021</v>
      </c>
      <c r="I43" s="97" t="str">
        <f>+Summary!$Z$9</f>
        <v>Nov 2021</v>
      </c>
      <c r="J43" s="97" t="str">
        <f>+Summary!$AA$9</f>
        <v>Dec 2021</v>
      </c>
      <c r="K43" s="97" t="str">
        <f>+Summary!$AB$9</f>
        <v>Jan 2022</v>
      </c>
      <c r="L43" s="97" t="str">
        <f>+Summary!$AC$9</f>
        <v>Feb 2022</v>
      </c>
      <c r="M43" s="97" t="str">
        <f>+Summary!$AD$9</f>
        <v>Mar 2022</v>
      </c>
      <c r="N43" s="97" t="str">
        <f>+Summary!$AE$9</f>
        <v>Apr 2022</v>
      </c>
      <c r="O43" s="97" t="str">
        <f>+Summary!$AF$9</f>
        <v>May 2022</v>
      </c>
      <c r="P43" s="97" t="str">
        <f>+Summary!$AG$9</f>
        <v>Jun 2022</v>
      </c>
      <c r="Q43" s="97" t="str">
        <f>+Summary!$AH$9</f>
        <v>Jul 2022</v>
      </c>
    </row>
    <row r="44" spans="2:17">
      <c r="C44" s="96" t="s">
        <v>331</v>
      </c>
      <c r="D44" s="96" t="s">
        <v>333</v>
      </c>
    </row>
    <row r="45" spans="2:17">
      <c r="D45" s="24" t="s">
        <v>62</v>
      </c>
      <c r="E45" s="83">
        <f t="shared" ref="E45:E53" ca="1" si="41">+SUM(F45:Q45)</f>
        <v>7959659.7599999988</v>
      </c>
      <c r="F45" s="83">
        <f ca="1">SUMIFS(INDIRECT("'"&amp;$C$43&amp;"'"&amp;"!$b:$b"),INDIRECT("'"&amp;$C$43&amp;"'"&amp;"!$a:$a"),$D45)/2</f>
        <v>814992.16</v>
      </c>
      <c r="G45" s="83">
        <f ca="1">SUMIFS(INDIRECT("'"&amp;$C$43&amp;"'"&amp;"!$c:$c"),INDIRECT("'"&amp;$C$43&amp;"'"&amp;"!$a:$a"),$D45)/2</f>
        <v>769042.33</v>
      </c>
      <c r="H45" s="83">
        <f ca="1">SUMIFS(INDIRECT("'"&amp;$C$43&amp;"'"&amp;"!$d:$d"),INDIRECT("'"&amp;$C$43&amp;"'"&amp;"!$a:$a"),$D45)/2</f>
        <v>776030.69000000064</v>
      </c>
      <c r="I45" s="83">
        <f ca="1">SUMIFS(INDIRECT("'"&amp;$C$43&amp;"'"&amp;"!$e:$e"),INDIRECT("'"&amp;$C$43&amp;"'"&amp;"!$a:$a"),$D45)/2</f>
        <v>711741.8899999999</v>
      </c>
      <c r="J45" s="83">
        <f ca="1">SUMIFS(INDIRECT("'"&amp;$C$43&amp;"'"&amp;"!$f:$f"),INDIRECT("'"&amp;$C$43&amp;"'"&amp;"!$a:$a"),$D45)/2</f>
        <v>-755773.90999999992</v>
      </c>
      <c r="K45" s="83">
        <f ca="1">SUMIFS(INDIRECT("'"&amp;$C$43&amp;"'"&amp;"!$g:$g"),INDIRECT("'"&amp;$C$43&amp;"'"&amp;"!$a:$a"),$D45)/2</f>
        <v>772470.0499999997</v>
      </c>
      <c r="L45" s="83">
        <f ca="1">SUMIFS(INDIRECT("'"&amp;$C$43&amp;"'"&amp;"!$h:$h"),INDIRECT("'"&amp;$C$43&amp;"'"&amp;"!$a:$a"),$D45)/2</f>
        <v>760864.47000000009</v>
      </c>
      <c r="M45" s="83">
        <f ca="1">SUMIFS(INDIRECT("'"&amp;$C$43&amp;"'"&amp;"!$i:$i"),INDIRECT("'"&amp;$C$43&amp;"'"&amp;"!$a:$a"),$D45)/2</f>
        <v>781236.07999999926</v>
      </c>
      <c r="N45" s="83">
        <f ca="1">SUMIFS(INDIRECT("'"&amp;$C$43&amp;"'"&amp;"!$j:$j"),INDIRECT("'"&amp;$C$43&amp;"'"&amp;"!$a:$a"),$D45)/2</f>
        <v>847092.18999999983</v>
      </c>
      <c r="O45" s="83">
        <f ca="1">SUMIFS(INDIRECT("'"&amp;$C$43&amp;"'"&amp;"!$k:$k"),INDIRECT("'"&amp;$C$43&amp;"'"&amp;"!$a:$a"),$D45)/2</f>
        <v>760784.21999999962</v>
      </c>
      <c r="P45" s="83">
        <f ca="1">SUMIFS(INDIRECT("'"&amp;$C$43&amp;"'"&amp;"!$l:$l"),INDIRECT("'"&amp;$C$43&amp;"'"&amp;"!$a:$a"),$D45)/2</f>
        <v>831261.2299999994</v>
      </c>
      <c r="Q45" s="83">
        <f ca="1">SUMIFS(INDIRECT("'"&amp;$C$43&amp;"'"&amp;"!$m:$m"),INDIRECT("'"&amp;$C$43&amp;"'"&amp;"!$a:$a"),$D45)/2</f>
        <v>889918.36</v>
      </c>
    </row>
    <row r="46" spans="2:17">
      <c r="D46" s="24" t="s">
        <v>253</v>
      </c>
      <c r="E46" s="83">
        <f t="shared" ca="1" si="41"/>
        <v>1374.3000000000004</v>
      </c>
      <c r="F46" s="83">
        <f t="shared" ref="F46:F53" ca="1" si="42">SUMIFS(INDIRECT("'"&amp;$C$43&amp;"'"&amp;"!$b:$b"),INDIRECT("'"&amp;$C$43&amp;"'"&amp;"!$a:$a"),$D46)</f>
        <v>101.32</v>
      </c>
      <c r="G46" s="83">
        <f t="shared" ref="G46:G53" ca="1" si="43">SUMIFS(INDIRECT("'"&amp;$C$43&amp;"'"&amp;"!$c:$c"),INDIRECT("'"&amp;$C$43&amp;"'"&amp;"!$a:$a"),$D46)</f>
        <v>101.32</v>
      </c>
      <c r="H46" s="83">
        <f t="shared" ref="H46:H53" ca="1" si="44">SUMIFS(INDIRECT("'"&amp;$C$43&amp;"'"&amp;"!$d:$d"),INDIRECT("'"&amp;$C$43&amp;"'"&amp;"!$a:$a"),$D46)</f>
        <v>101.32</v>
      </c>
      <c r="I46" s="83">
        <f t="shared" ref="I46:I53" ca="1" si="45">SUMIFS(INDIRECT("'"&amp;$C$43&amp;"'"&amp;"!$e:$e"),INDIRECT("'"&amp;$C$43&amp;"'"&amp;"!$a:$a"),$D46)</f>
        <v>101.32</v>
      </c>
      <c r="J46" s="83">
        <f t="shared" ref="J46:J53" ca="1" si="46">SUMIFS(INDIRECT("'"&amp;$C$43&amp;"'"&amp;"!$f:$f"),INDIRECT("'"&amp;$C$43&amp;"'"&amp;"!$a:$a"),$D46)</f>
        <v>763.46</v>
      </c>
      <c r="K46" s="83">
        <f t="shared" ref="K46:K53" ca="1" si="47">SUMIFS(INDIRECT("'"&amp;$C$43&amp;"'"&amp;"!$g:$g"),INDIRECT("'"&amp;$C$43&amp;"'"&amp;"!$a:$a"),$D46)</f>
        <v>0</v>
      </c>
      <c r="L46" s="83">
        <f t="shared" ref="L46:L53" ca="1" si="48">SUMIFS(INDIRECT("'"&amp;$C$43&amp;"'"&amp;"!$h:$h"),INDIRECT("'"&amp;$C$43&amp;"'"&amp;"!$a:$a"),$D46)</f>
        <v>0</v>
      </c>
      <c r="M46" s="83">
        <f t="shared" ref="M46:M53" ca="1" si="49">SUMIFS(INDIRECT("'"&amp;$C$43&amp;"'"&amp;"!$i:$i"),INDIRECT("'"&amp;$C$43&amp;"'"&amp;"!$a:$a"),$D46)</f>
        <v>0</v>
      </c>
      <c r="N46" s="83">
        <f t="shared" ref="N46:N53" ca="1" si="50">SUMIFS(INDIRECT("'"&amp;$C$43&amp;"'"&amp;"!$j:$j"),INDIRECT("'"&amp;$C$43&amp;"'"&amp;"!$a:$a"),$D46)</f>
        <v>51.39</v>
      </c>
      <c r="O46" s="83">
        <f t="shared" ref="O46:O53" ca="1" si="51">SUMIFS(INDIRECT("'"&amp;$C$43&amp;"'"&amp;"!$k:$k"),INDIRECT("'"&amp;$C$43&amp;"'"&amp;"!$a:$a"),$D46)</f>
        <v>51.39</v>
      </c>
      <c r="P46" s="83">
        <f t="shared" ref="P46:P53" ca="1" si="52">SUMIFS(INDIRECT("'"&amp;$C$43&amp;"'"&amp;"!$l:$l"),INDIRECT("'"&amp;$C$43&amp;"'"&amp;"!$a:$a"),$D46)</f>
        <v>51.39</v>
      </c>
      <c r="Q46" s="83">
        <f t="shared" ref="Q46:Q53" ca="1" si="53">SUMIFS(INDIRECT("'"&amp;$C$43&amp;"'"&amp;"!$m:$m"),INDIRECT("'"&amp;$C$43&amp;"'"&amp;"!$a:$a"),$D46)</f>
        <v>51.39</v>
      </c>
    </row>
    <row r="47" spans="2:17">
      <c r="D47" s="24" t="s">
        <v>250</v>
      </c>
      <c r="E47" s="83">
        <f t="shared" ca="1" si="41"/>
        <v>115345.93</v>
      </c>
      <c r="F47" s="83">
        <f t="shared" ca="1" si="42"/>
        <v>9826.85</v>
      </c>
      <c r="G47" s="83">
        <f t="shared" ca="1" si="43"/>
        <v>9582.06</v>
      </c>
      <c r="H47" s="83">
        <f t="shared" ca="1" si="44"/>
        <v>9513.74</v>
      </c>
      <c r="I47" s="83">
        <f t="shared" ca="1" si="45"/>
        <v>9552.6300000000028</v>
      </c>
      <c r="J47" s="83">
        <f t="shared" ca="1" si="46"/>
        <v>9508.42</v>
      </c>
      <c r="K47" s="83">
        <f t="shared" ca="1" si="47"/>
        <v>9508.42</v>
      </c>
      <c r="L47" s="83">
        <f t="shared" ca="1" si="48"/>
        <v>9275.0699999999961</v>
      </c>
      <c r="M47" s="83">
        <f t="shared" ca="1" si="49"/>
        <v>9609.2699999999968</v>
      </c>
      <c r="N47" s="83">
        <f t="shared" ca="1" si="50"/>
        <v>9728.1300000000028</v>
      </c>
      <c r="O47" s="83">
        <f t="shared" ca="1" si="51"/>
        <v>9798.4200000000037</v>
      </c>
      <c r="P47" s="83">
        <f t="shared" ca="1" si="52"/>
        <v>9649.57</v>
      </c>
      <c r="Q47" s="83">
        <f t="shared" ca="1" si="53"/>
        <v>9793.350000000004</v>
      </c>
    </row>
    <row r="48" spans="2:17">
      <c r="D48" s="24" t="s">
        <v>204</v>
      </c>
      <c r="E48" s="83">
        <f t="shared" ca="1" si="41"/>
        <v>-898789</v>
      </c>
      <c r="F48" s="83">
        <f t="shared" ca="1" si="42"/>
        <v>30697</v>
      </c>
      <c r="G48" s="83">
        <f t="shared" ca="1" si="43"/>
        <v>36152</v>
      </c>
      <c r="H48" s="83">
        <f t="shared" ca="1" si="44"/>
        <v>38143</v>
      </c>
      <c r="I48" s="83">
        <f t="shared" ca="1" si="45"/>
        <v>31899</v>
      </c>
      <c r="J48" s="83">
        <f t="shared" ca="1" si="46"/>
        <v>-1289968</v>
      </c>
      <c r="K48" s="83">
        <f t="shared" ca="1" si="47"/>
        <v>35394</v>
      </c>
      <c r="L48" s="83">
        <f t="shared" ca="1" si="48"/>
        <v>27158</v>
      </c>
      <c r="M48" s="83">
        <f t="shared" ca="1" si="49"/>
        <v>37741</v>
      </c>
      <c r="N48" s="83">
        <f t="shared" ca="1" si="50"/>
        <v>37668</v>
      </c>
      <c r="O48" s="83">
        <f t="shared" ca="1" si="51"/>
        <v>37437</v>
      </c>
      <c r="P48" s="83">
        <f t="shared" ca="1" si="52"/>
        <v>39727</v>
      </c>
      <c r="Q48" s="83">
        <f t="shared" ca="1" si="53"/>
        <v>39163</v>
      </c>
    </row>
    <row r="49" spans="2:17">
      <c r="D49" s="24" t="s">
        <v>252</v>
      </c>
      <c r="E49" s="83">
        <f t="shared" ca="1" si="41"/>
        <v>1519302.5399999998</v>
      </c>
      <c r="F49" s="83">
        <f t="shared" ca="1" si="42"/>
        <v>135676.34</v>
      </c>
      <c r="G49" s="83">
        <f t="shared" ca="1" si="43"/>
        <v>138608.25</v>
      </c>
      <c r="H49" s="83">
        <f t="shared" ca="1" si="44"/>
        <v>138608.25</v>
      </c>
      <c r="I49" s="83">
        <f t="shared" ca="1" si="45"/>
        <v>138608.25</v>
      </c>
      <c r="J49" s="83">
        <f t="shared" ca="1" si="46"/>
        <v>9681.25</v>
      </c>
      <c r="K49" s="83">
        <f t="shared" ca="1" si="47"/>
        <v>138608.25</v>
      </c>
      <c r="L49" s="83">
        <f t="shared" ca="1" si="48"/>
        <v>138608.25</v>
      </c>
      <c r="M49" s="83">
        <f t="shared" ca="1" si="49"/>
        <v>138608.25</v>
      </c>
      <c r="N49" s="83">
        <f t="shared" ca="1" si="50"/>
        <v>138608.25</v>
      </c>
      <c r="O49" s="83">
        <f t="shared" ca="1" si="51"/>
        <v>130550.25</v>
      </c>
      <c r="P49" s="83">
        <f t="shared" ca="1" si="52"/>
        <v>130550.25</v>
      </c>
      <c r="Q49" s="83">
        <f t="shared" ca="1" si="53"/>
        <v>142586.70000000001</v>
      </c>
    </row>
    <row r="50" spans="2:17">
      <c r="D50" s="24" t="s">
        <v>388</v>
      </c>
      <c r="E50" s="83">
        <f t="shared" ca="1" si="41"/>
        <v>-192000</v>
      </c>
      <c r="F50" s="83">
        <f t="shared" ca="1" si="42"/>
        <v>-16000</v>
      </c>
      <c r="G50" s="83">
        <f t="shared" ca="1" si="43"/>
        <v>-16000</v>
      </c>
      <c r="H50" s="83">
        <f t="shared" ca="1" si="44"/>
        <v>-16000</v>
      </c>
      <c r="I50" s="83">
        <f t="shared" ca="1" si="45"/>
        <v>-16000</v>
      </c>
      <c r="J50" s="83">
        <f t="shared" ca="1" si="46"/>
        <v>-16000</v>
      </c>
      <c r="K50" s="83">
        <f t="shared" ca="1" si="47"/>
        <v>-16000</v>
      </c>
      <c r="L50" s="83">
        <f t="shared" ca="1" si="48"/>
        <v>-16000</v>
      </c>
      <c r="M50" s="83">
        <f t="shared" ca="1" si="49"/>
        <v>-16000</v>
      </c>
      <c r="N50" s="83">
        <f t="shared" ca="1" si="50"/>
        <v>-16000</v>
      </c>
      <c r="O50" s="83">
        <f t="shared" ca="1" si="51"/>
        <v>-16000</v>
      </c>
      <c r="P50" s="83">
        <f t="shared" ca="1" si="52"/>
        <v>-16000</v>
      </c>
      <c r="Q50" s="83">
        <f t="shared" ca="1" si="53"/>
        <v>-16000</v>
      </c>
    </row>
    <row r="51" spans="2:17">
      <c r="D51" s="85" t="s">
        <v>321</v>
      </c>
      <c r="E51" s="83">
        <f t="shared" ca="1" si="41"/>
        <v>0</v>
      </c>
      <c r="F51" s="83">
        <f t="shared" ca="1" si="42"/>
        <v>0</v>
      </c>
      <c r="G51" s="83">
        <f t="shared" ca="1" si="43"/>
        <v>0</v>
      </c>
      <c r="H51" s="83">
        <f t="shared" ca="1" si="44"/>
        <v>0</v>
      </c>
      <c r="I51" s="83">
        <f t="shared" ca="1" si="45"/>
        <v>0</v>
      </c>
      <c r="J51" s="83">
        <f t="shared" ca="1" si="46"/>
        <v>0</v>
      </c>
      <c r="K51" s="83">
        <f t="shared" ca="1" si="47"/>
        <v>0</v>
      </c>
      <c r="L51" s="83">
        <f t="shared" ca="1" si="48"/>
        <v>0</v>
      </c>
      <c r="M51" s="83">
        <f t="shared" ca="1" si="49"/>
        <v>0</v>
      </c>
      <c r="N51" s="83">
        <f t="shared" ca="1" si="50"/>
        <v>0</v>
      </c>
      <c r="O51" s="83">
        <f t="shared" ca="1" si="51"/>
        <v>0</v>
      </c>
      <c r="P51" s="83">
        <f t="shared" ca="1" si="52"/>
        <v>0</v>
      </c>
      <c r="Q51" s="83">
        <f t="shared" ca="1" si="53"/>
        <v>0</v>
      </c>
    </row>
    <row r="52" spans="2:17">
      <c r="D52" s="85" t="s">
        <v>328</v>
      </c>
      <c r="E52" s="83">
        <f t="shared" ca="1" si="41"/>
        <v>0</v>
      </c>
      <c r="F52" s="83">
        <f t="shared" ca="1" si="42"/>
        <v>0</v>
      </c>
      <c r="G52" s="83">
        <f t="shared" ca="1" si="43"/>
        <v>0</v>
      </c>
      <c r="H52" s="83">
        <f t="shared" ca="1" si="44"/>
        <v>0</v>
      </c>
      <c r="I52" s="83">
        <f t="shared" ca="1" si="45"/>
        <v>0</v>
      </c>
      <c r="J52" s="83">
        <f t="shared" ca="1" si="46"/>
        <v>0</v>
      </c>
      <c r="K52" s="83">
        <f t="shared" ca="1" si="47"/>
        <v>0</v>
      </c>
      <c r="L52" s="83">
        <f t="shared" ca="1" si="48"/>
        <v>0</v>
      </c>
      <c r="M52" s="83">
        <f t="shared" ca="1" si="49"/>
        <v>0</v>
      </c>
      <c r="N52" s="83">
        <f t="shared" ca="1" si="50"/>
        <v>0</v>
      </c>
      <c r="O52" s="83">
        <f t="shared" ca="1" si="51"/>
        <v>0</v>
      </c>
      <c r="P52" s="83">
        <f t="shared" ca="1" si="52"/>
        <v>0</v>
      </c>
      <c r="Q52" s="83">
        <f t="shared" ca="1" si="53"/>
        <v>0</v>
      </c>
    </row>
    <row r="53" spans="2:17">
      <c r="D53" s="85" t="s">
        <v>282</v>
      </c>
      <c r="E53" s="83">
        <f t="shared" ca="1" si="41"/>
        <v>0</v>
      </c>
      <c r="F53" s="83">
        <f t="shared" ca="1" si="42"/>
        <v>0</v>
      </c>
      <c r="G53" s="86">
        <f t="shared" ca="1" si="43"/>
        <v>0</v>
      </c>
      <c r="H53" s="86">
        <f t="shared" ca="1" si="44"/>
        <v>0</v>
      </c>
      <c r="I53" s="86">
        <f t="shared" ca="1" si="45"/>
        <v>0</v>
      </c>
      <c r="J53" s="86">
        <f t="shared" ca="1" si="46"/>
        <v>0</v>
      </c>
      <c r="K53" s="86">
        <f t="shared" ca="1" si="47"/>
        <v>0</v>
      </c>
      <c r="L53" s="86">
        <f t="shared" ca="1" si="48"/>
        <v>0</v>
      </c>
      <c r="M53" s="86">
        <f t="shared" ca="1" si="49"/>
        <v>0</v>
      </c>
      <c r="N53" s="86">
        <f t="shared" ca="1" si="50"/>
        <v>0</v>
      </c>
      <c r="O53" s="86">
        <f t="shared" ca="1" si="51"/>
        <v>0</v>
      </c>
      <c r="P53" s="86">
        <f t="shared" ca="1" si="52"/>
        <v>0</v>
      </c>
      <c r="Q53" s="86">
        <f t="shared" ca="1" si="53"/>
        <v>0</v>
      </c>
    </row>
    <row r="54" spans="2:17">
      <c r="D54" s="85"/>
      <c r="F54" s="83"/>
      <c r="G54" s="83"/>
      <c r="H54" s="83"/>
      <c r="I54" s="83"/>
      <c r="J54" s="83"/>
      <c r="K54" s="83"/>
      <c r="L54" s="83"/>
      <c r="M54" s="83"/>
      <c r="N54" s="83"/>
      <c r="O54" s="83"/>
      <c r="P54" s="83"/>
      <c r="Q54" s="83"/>
    </row>
    <row r="55" spans="2:17">
      <c r="E55" s="84">
        <f t="shared" ref="E55:Q55" ca="1" si="54">+E45-SUM(E46:E53)</f>
        <v>7414425.9899999993</v>
      </c>
      <c r="F55" s="84">
        <f t="shared" ca="1" si="54"/>
        <v>654690.65</v>
      </c>
      <c r="G55" s="84">
        <f t="shared" ca="1" si="54"/>
        <v>600598.69999999995</v>
      </c>
      <c r="H55" s="84">
        <f t="shared" ca="1" si="54"/>
        <v>605664.38000000059</v>
      </c>
      <c r="I55" s="84">
        <f t="shared" ca="1" si="54"/>
        <v>547580.68999999994</v>
      </c>
      <c r="J55" s="84">
        <f t="shared" ca="1" si="54"/>
        <v>530240.9600000002</v>
      </c>
      <c r="K55" s="84">
        <f t="shared" ca="1" si="54"/>
        <v>604959.37999999966</v>
      </c>
      <c r="L55" s="84">
        <f t="shared" ca="1" si="54"/>
        <v>601823.15000000014</v>
      </c>
      <c r="M55" s="84">
        <f t="shared" ca="1" si="54"/>
        <v>611277.55999999924</v>
      </c>
      <c r="N55" s="84">
        <f t="shared" ca="1" si="54"/>
        <v>677036.41999999981</v>
      </c>
      <c r="O55" s="84">
        <f t="shared" ca="1" si="54"/>
        <v>598947.15999999968</v>
      </c>
      <c r="P55" s="84">
        <f t="shared" ca="1" si="54"/>
        <v>667283.01999999944</v>
      </c>
      <c r="Q55" s="84">
        <f t="shared" ca="1" si="54"/>
        <v>714323.91999999993</v>
      </c>
    </row>
    <row r="56" spans="2:17">
      <c r="F56" s="83"/>
      <c r="G56" s="83"/>
      <c r="H56" s="83"/>
      <c r="I56" s="83"/>
      <c r="J56" s="83"/>
      <c r="K56" s="83"/>
      <c r="L56" s="83"/>
      <c r="M56" s="83"/>
      <c r="N56" s="83"/>
      <c r="O56" s="83"/>
      <c r="P56" s="83"/>
      <c r="Q56" s="83"/>
    </row>
    <row r="57" spans="2:17">
      <c r="C57" s="96" t="s">
        <v>330</v>
      </c>
      <c r="D57" s="24" t="s">
        <v>334</v>
      </c>
      <c r="E57" s="83">
        <f ca="1">SUM(F57:Q57)</f>
        <v>7354199</v>
      </c>
      <c r="F57" s="83">
        <f ca="1">+Summary!G35</f>
        <v>654691</v>
      </c>
      <c r="G57" s="83">
        <f ca="1">+Summary!H35</f>
        <v>600598</v>
      </c>
      <c r="H57" s="83">
        <f ca="1">+Summary!I35</f>
        <v>605663</v>
      </c>
      <c r="I57" s="83">
        <f ca="1">+Summary!J35</f>
        <v>547580</v>
      </c>
      <c r="J57" s="83">
        <f ca="1">+Summary!K35</f>
        <v>470013</v>
      </c>
      <c r="K57" s="83">
        <f ca="1">+Summary!L35</f>
        <v>604961</v>
      </c>
      <c r="L57" s="83">
        <f ca="1">+Summary!M35</f>
        <v>601823</v>
      </c>
      <c r="M57" s="83">
        <f ca="1">+Summary!N35</f>
        <v>611279</v>
      </c>
      <c r="N57" s="83">
        <f ca="1">+Summary!O35</f>
        <v>677037</v>
      </c>
      <c r="O57" s="83">
        <f ca="1">+Summary!P35</f>
        <v>598947</v>
      </c>
      <c r="P57" s="83">
        <f ca="1">+Summary!Q35</f>
        <v>667283</v>
      </c>
      <c r="Q57" s="83">
        <f ca="1">+Summary!R35</f>
        <v>714324</v>
      </c>
    </row>
    <row r="58" spans="2:17">
      <c r="E58" s="83">
        <f t="shared" ref="E58" ca="1" si="55">+E55-E57</f>
        <v>60226.989999999292</v>
      </c>
      <c r="F58" s="83">
        <f ca="1">+F55-F57</f>
        <v>-0.34999999997671694</v>
      </c>
      <c r="G58" s="83">
        <f t="shared" ref="G58" ca="1" si="56">+G55-G57</f>
        <v>0.69999999995343387</v>
      </c>
      <c r="H58" s="83">
        <f t="shared" ref="H58" ca="1" si="57">+H55-H57</f>
        <v>1.3800000005867332</v>
      </c>
      <c r="I58" s="83">
        <f t="shared" ref="I58" ca="1" si="58">+I55-I57</f>
        <v>0.68999999994412065</v>
      </c>
      <c r="J58" s="83">
        <f t="shared" ref="J58" ca="1" si="59">+J55-J57</f>
        <v>60227.960000000196</v>
      </c>
      <c r="K58" s="83">
        <f t="shared" ref="K58" ca="1" si="60">+K55-K57</f>
        <v>-1.6200000003445894</v>
      </c>
      <c r="L58" s="83">
        <f t="shared" ref="L58" ca="1" si="61">+L55-L57</f>
        <v>0.15000000013969839</v>
      </c>
      <c r="M58" s="83">
        <f t="shared" ref="M58" ca="1" si="62">+M55-M57</f>
        <v>-1.4400000007590279</v>
      </c>
      <c r="N58" s="83">
        <f t="shared" ref="N58" ca="1" si="63">+N55-N57</f>
        <v>-0.58000000019092113</v>
      </c>
      <c r="O58" s="83">
        <f t="shared" ref="O58" ca="1" si="64">+O55-O57</f>
        <v>0.15999999968335032</v>
      </c>
      <c r="P58" s="83">
        <f t="shared" ref="P58" ca="1" si="65">+P55-P57</f>
        <v>1.9999999436549842E-2</v>
      </c>
      <c r="Q58" s="83">
        <f t="shared" ref="Q58" ca="1" si="66">+Q55-Q57</f>
        <v>-8.0000000074505806E-2</v>
      </c>
    </row>
    <row r="59" spans="2:17">
      <c r="F59" s="83"/>
      <c r="G59" s="83"/>
      <c r="H59" s="83"/>
      <c r="I59" s="83"/>
      <c r="J59" s="83"/>
      <c r="K59" s="83"/>
      <c r="L59" s="83"/>
      <c r="M59" s="83"/>
      <c r="N59" s="83"/>
      <c r="O59" s="83"/>
      <c r="P59" s="83"/>
      <c r="Q59" s="83"/>
    </row>
    <row r="60" spans="2:17">
      <c r="F60" s="83"/>
      <c r="G60" s="83"/>
      <c r="H60" s="83"/>
      <c r="I60" s="83"/>
      <c r="J60" s="83"/>
      <c r="K60" s="83"/>
      <c r="L60" s="83"/>
      <c r="M60" s="83"/>
      <c r="N60" s="83"/>
      <c r="O60" s="83"/>
      <c r="P60" s="83"/>
      <c r="Q60" s="83"/>
    </row>
    <row r="61" spans="2:17">
      <c r="B61" s="24">
        <v>4</v>
      </c>
      <c r="C61" s="96" t="s">
        <v>271</v>
      </c>
    </row>
    <row r="62" spans="2:17">
      <c r="C62" s="88" t="s">
        <v>298</v>
      </c>
      <c r="E62" s="84" t="s">
        <v>335</v>
      </c>
      <c r="F62" s="97" t="str">
        <f>+Summary!$W$9</f>
        <v>Aug 2021</v>
      </c>
      <c r="G62" s="97" t="str">
        <f>+Summary!$X$9</f>
        <v>Sep 2021</v>
      </c>
      <c r="H62" s="97" t="str">
        <f>+Summary!$Y$9</f>
        <v>Oct 2021</v>
      </c>
      <c r="I62" s="97" t="str">
        <f>+Summary!$Z$9</f>
        <v>Nov 2021</v>
      </c>
      <c r="J62" s="97" t="str">
        <f>+Summary!$AA$9</f>
        <v>Dec 2021</v>
      </c>
      <c r="K62" s="97" t="str">
        <f>+Summary!$AB$9</f>
        <v>Jan 2022</v>
      </c>
      <c r="L62" s="97" t="str">
        <f>+Summary!$AC$9</f>
        <v>Feb 2022</v>
      </c>
      <c r="M62" s="97" t="str">
        <f>+Summary!$AD$9</f>
        <v>Mar 2022</v>
      </c>
      <c r="N62" s="97" t="str">
        <f>+Summary!$AE$9</f>
        <v>Apr 2022</v>
      </c>
      <c r="O62" s="97" t="str">
        <f>+Summary!$AF$9</f>
        <v>May 2022</v>
      </c>
      <c r="P62" s="97" t="str">
        <f>+Summary!$AG$9</f>
        <v>Jun 2022</v>
      </c>
      <c r="Q62" s="97" t="str">
        <f>+Summary!$AH$9</f>
        <v>Jul 2022</v>
      </c>
    </row>
    <row r="63" spans="2:17">
      <c r="C63" s="96" t="s">
        <v>331</v>
      </c>
      <c r="D63" s="96" t="s">
        <v>333</v>
      </c>
    </row>
    <row r="64" spans="2:17">
      <c r="D64" s="24" t="s">
        <v>62</v>
      </c>
      <c r="E64" s="83">
        <f t="shared" ref="E64:E72" ca="1" si="67">+SUM(F64:Q64)</f>
        <v>7957300.5099999979</v>
      </c>
      <c r="F64" s="83">
        <f ca="1">SUMIFS(INDIRECT("'"&amp;$C$62&amp;"'"&amp;"!$b:$b"),INDIRECT("'"&amp;$C$62&amp;"'"&amp;"!$a:$a"),$D64)/2</f>
        <v>745638.13999999932</v>
      </c>
      <c r="G64" s="83">
        <f ca="1">SUMIFS(INDIRECT("'"&amp;$C$62&amp;"'"&amp;"!$c:$c"),INDIRECT("'"&amp;$C$62&amp;"'"&amp;"!$a:$a"),$D64)/2</f>
        <v>759257.66999999981</v>
      </c>
      <c r="H64" s="83">
        <f ca="1">SUMIFS(INDIRECT("'"&amp;$C$62&amp;"'"&amp;"!$d:$d"),INDIRECT("'"&amp;$C$62&amp;"'"&amp;"!$a:$a"),$D64)/2</f>
        <v>761467.8600000001</v>
      </c>
      <c r="I64" s="83">
        <f ca="1">SUMIFS(INDIRECT("'"&amp;$C$62&amp;"'"&amp;"!$e:$e"),INDIRECT("'"&amp;$C$62&amp;"'"&amp;"!$a:$a"),$D64)/2</f>
        <v>739925.2100000002</v>
      </c>
      <c r="J64" s="83">
        <f ca="1">SUMIFS(INDIRECT("'"&amp;$C$62&amp;"'"&amp;"!$f:$f"),INDIRECT("'"&amp;$C$62&amp;"'"&amp;"!$a:$a"),$D64)/2</f>
        <v>-388424.47</v>
      </c>
      <c r="K64" s="83">
        <f ca="1">SUMIFS(INDIRECT("'"&amp;$C$62&amp;"'"&amp;"!$g:$g"),INDIRECT("'"&amp;$C$62&amp;"'"&amp;"!$a:$a"),$D64)/2</f>
        <v>767079.08999999962</v>
      </c>
      <c r="L64" s="83">
        <f ca="1">SUMIFS(INDIRECT("'"&amp;$C$62&amp;"'"&amp;"!$h:$h"),INDIRECT("'"&amp;$C$62&amp;"'"&amp;"!$a:$a"),$D64)/2</f>
        <v>754974.41999999958</v>
      </c>
      <c r="M64" s="83">
        <f ca="1">SUMIFS(INDIRECT("'"&amp;$C$62&amp;"'"&amp;"!$i:$i"),INDIRECT("'"&amp;$C$62&amp;"'"&amp;"!$a:$a"),$D64)/2</f>
        <v>743147.74</v>
      </c>
      <c r="N64" s="83">
        <f ca="1">SUMIFS(INDIRECT("'"&amp;$C$62&amp;"'"&amp;"!$j:$j"),INDIRECT("'"&amp;$C$62&amp;"'"&amp;"!$a:$a"),$D64)/2</f>
        <v>762572.83000000019</v>
      </c>
      <c r="O64" s="83">
        <f ca="1">SUMIFS(INDIRECT("'"&amp;$C$62&amp;"'"&amp;"!$k:$k"),INDIRECT("'"&amp;$C$62&amp;"'"&amp;"!$a:$a"),$D64)/2</f>
        <v>724282.32000000053</v>
      </c>
      <c r="P64" s="83">
        <f ca="1">SUMIFS(INDIRECT("'"&amp;$C$62&amp;"'"&amp;"!$l:$l"),INDIRECT("'"&amp;$C$62&amp;"'"&amp;"!$a:$a"),$D64)/2</f>
        <v>732875.61999999976</v>
      </c>
      <c r="Q64" s="83">
        <f ca="1">SUMIFS(INDIRECT("'"&amp;$C$62&amp;"'"&amp;"!$m:$m"),INDIRECT("'"&amp;$C$62&amp;"'"&amp;"!$a:$a"),$D64)/2</f>
        <v>854504.07999999914</v>
      </c>
    </row>
    <row r="65" spans="2:17">
      <c r="D65" s="24" t="s">
        <v>253</v>
      </c>
      <c r="E65" s="83">
        <f t="shared" ca="1" si="67"/>
        <v>712.19999999999993</v>
      </c>
      <c r="F65" s="83">
        <f t="shared" ref="F65:F72" ca="1" si="68">SUMIFS(INDIRECT("'"&amp;$C$62&amp;"'"&amp;"!$b:$b"),INDIRECT("'"&amp;$C$62&amp;"'"&amp;"!$a:$a"),$D65)</f>
        <v>101.32</v>
      </c>
      <c r="G65" s="83">
        <f t="shared" ref="G65:G72" ca="1" si="69">SUMIFS(INDIRECT("'"&amp;$C$62&amp;"'"&amp;"!$c:$c"),INDIRECT("'"&amp;$C$62&amp;"'"&amp;"!$a:$a"),$D65)</f>
        <v>101.32</v>
      </c>
      <c r="H65" s="83">
        <f t="shared" ref="H65:H72" ca="1" si="70">SUMIFS(INDIRECT("'"&amp;$C$62&amp;"'"&amp;"!$d:$d"),INDIRECT("'"&amp;$C$62&amp;"'"&amp;"!$a:$a"),$D65)</f>
        <v>101.32</v>
      </c>
      <c r="I65" s="83">
        <f t="shared" ref="I65:I72" ca="1" si="71">SUMIFS(INDIRECT("'"&amp;$C$62&amp;"'"&amp;"!$e:$e"),INDIRECT("'"&amp;$C$62&amp;"'"&amp;"!$a:$a"),$D65)</f>
        <v>101.32</v>
      </c>
      <c r="J65" s="83">
        <f t="shared" ref="J65:J72" ca="1" si="72">SUMIFS(INDIRECT("'"&amp;$C$62&amp;"'"&amp;"!$f:$f"),INDIRECT("'"&amp;$C$62&amp;"'"&amp;"!$a:$a"),$D65)</f>
        <v>101.36</v>
      </c>
      <c r="K65" s="83">
        <f t="shared" ref="K65:K72" ca="1" si="73">SUMIFS(INDIRECT("'"&amp;$C$62&amp;"'"&amp;"!$g:$g"),INDIRECT("'"&amp;$C$62&amp;"'"&amp;"!$a:$a"),$D65)</f>
        <v>0</v>
      </c>
      <c r="L65" s="83">
        <f t="shared" ref="L65:L72" ca="1" si="74">SUMIFS(INDIRECT("'"&amp;$C$62&amp;"'"&amp;"!$h:$h"),INDIRECT("'"&amp;$C$62&amp;"'"&amp;"!$a:$a"),$D65)</f>
        <v>0</v>
      </c>
      <c r="M65" s="83">
        <f t="shared" ref="M65:M72" ca="1" si="75">SUMIFS(INDIRECT("'"&amp;$C$62&amp;"'"&amp;"!$i:$i"),INDIRECT("'"&amp;$C$62&amp;"'"&amp;"!$a:$a"),$D65)</f>
        <v>0</v>
      </c>
      <c r="N65" s="83">
        <f t="shared" ref="N65:N72" ca="1" si="76">SUMIFS(INDIRECT("'"&amp;$C$62&amp;"'"&amp;"!$j:$j"),INDIRECT("'"&amp;$C$62&amp;"'"&amp;"!$a:$a"),$D65)</f>
        <v>51.39</v>
      </c>
      <c r="O65" s="83">
        <f t="shared" ref="O65:O72" ca="1" si="77">SUMIFS(INDIRECT("'"&amp;$C$62&amp;"'"&amp;"!$k:$k"),INDIRECT("'"&amp;$C$62&amp;"'"&amp;"!$a:$a"),$D65)</f>
        <v>51.39</v>
      </c>
      <c r="P65" s="83">
        <f t="shared" ref="P65:P72" ca="1" si="78">SUMIFS(INDIRECT("'"&amp;$C$62&amp;"'"&amp;"!$l:$l"),INDIRECT("'"&amp;$C$62&amp;"'"&amp;"!$a:$a"),$D65)</f>
        <v>51.39</v>
      </c>
      <c r="Q65" s="83">
        <f t="shared" ref="Q65:Q72" ca="1" si="79">SUMIFS(INDIRECT("'"&amp;$C$62&amp;"'"&amp;"!$m:$m"),INDIRECT("'"&amp;$C$62&amp;"'"&amp;"!$a:$a"),$D65)</f>
        <v>51.39</v>
      </c>
    </row>
    <row r="66" spans="2:17">
      <c r="D66" s="24" t="s">
        <v>250</v>
      </c>
      <c r="E66" s="83">
        <f t="shared" ca="1" si="67"/>
        <v>57347.520000000004</v>
      </c>
      <c r="F66" s="83">
        <f t="shared" ca="1" si="68"/>
        <v>4428.79</v>
      </c>
      <c r="G66" s="83">
        <f t="shared" ca="1" si="69"/>
        <v>4404.3999999999996</v>
      </c>
      <c r="H66" s="83">
        <f t="shared" ca="1" si="70"/>
        <v>4478.96</v>
      </c>
      <c r="I66" s="83">
        <f t="shared" ca="1" si="71"/>
        <v>4739.58</v>
      </c>
      <c r="J66" s="83">
        <f t="shared" ca="1" si="72"/>
        <v>4715.83</v>
      </c>
      <c r="K66" s="83">
        <f t="shared" ca="1" si="73"/>
        <v>4715.83</v>
      </c>
      <c r="L66" s="83">
        <f t="shared" ca="1" si="74"/>
        <v>4508.9000000000015</v>
      </c>
      <c r="M66" s="83">
        <f t="shared" ca="1" si="75"/>
        <v>4600.05</v>
      </c>
      <c r="N66" s="83">
        <f t="shared" ca="1" si="76"/>
        <v>5198</v>
      </c>
      <c r="O66" s="83">
        <f t="shared" ca="1" si="77"/>
        <v>5156.82</v>
      </c>
      <c r="P66" s="83">
        <f t="shared" ca="1" si="78"/>
        <v>5209.76</v>
      </c>
      <c r="Q66" s="83">
        <f t="shared" ca="1" si="79"/>
        <v>5190.6000000000004</v>
      </c>
    </row>
    <row r="67" spans="2:17">
      <c r="D67" s="24" t="s">
        <v>204</v>
      </c>
      <c r="E67" s="83">
        <f t="shared" ca="1" si="67"/>
        <v>-428089</v>
      </c>
      <c r="F67" s="83">
        <f t="shared" ca="1" si="68"/>
        <v>35406</v>
      </c>
      <c r="G67" s="83">
        <f t="shared" ca="1" si="69"/>
        <v>32489</v>
      </c>
      <c r="H67" s="83">
        <f t="shared" ca="1" si="70"/>
        <v>33696</v>
      </c>
      <c r="I67" s="83">
        <f t="shared" ca="1" si="71"/>
        <v>34182</v>
      </c>
      <c r="J67" s="83">
        <f t="shared" ca="1" si="72"/>
        <v>-832085</v>
      </c>
      <c r="K67" s="83">
        <f t="shared" ca="1" si="73"/>
        <v>38391</v>
      </c>
      <c r="L67" s="83">
        <f t="shared" ca="1" si="74"/>
        <v>35888</v>
      </c>
      <c r="M67" s="83">
        <f t="shared" ca="1" si="75"/>
        <v>36002</v>
      </c>
      <c r="N67" s="83">
        <f t="shared" ca="1" si="76"/>
        <v>33770</v>
      </c>
      <c r="O67" s="83">
        <f t="shared" ca="1" si="77"/>
        <v>34628</v>
      </c>
      <c r="P67" s="83">
        <f t="shared" ca="1" si="78"/>
        <v>43720</v>
      </c>
      <c r="Q67" s="83">
        <f t="shared" ca="1" si="79"/>
        <v>45824</v>
      </c>
    </row>
    <row r="68" spans="2:17">
      <c r="D68" s="24" t="s">
        <v>252</v>
      </c>
      <c r="E68" s="83">
        <f t="shared" ca="1" si="67"/>
        <v>1653573.24</v>
      </c>
      <c r="F68" s="83">
        <f t="shared" ca="1" si="68"/>
        <v>134129</v>
      </c>
      <c r="G68" s="83">
        <f t="shared" ca="1" si="69"/>
        <v>137022.57999999999</v>
      </c>
      <c r="H68" s="83">
        <f t="shared" ca="1" si="70"/>
        <v>137022.57999999999</v>
      </c>
      <c r="I68" s="83">
        <f t="shared" ca="1" si="71"/>
        <v>137022.57999999999</v>
      </c>
      <c r="J68" s="83">
        <f t="shared" ca="1" si="72"/>
        <v>137022.57999999999</v>
      </c>
      <c r="K68" s="83">
        <f t="shared" ca="1" si="73"/>
        <v>137022.57999999999</v>
      </c>
      <c r="L68" s="83">
        <f t="shared" ca="1" si="74"/>
        <v>137022.57999999999</v>
      </c>
      <c r="M68" s="83">
        <f t="shared" ca="1" si="75"/>
        <v>137022.57999999999</v>
      </c>
      <c r="N68" s="83">
        <f t="shared" ca="1" si="76"/>
        <v>137022.57999999999</v>
      </c>
      <c r="O68" s="83">
        <f t="shared" ca="1" si="77"/>
        <v>137022.57999999999</v>
      </c>
      <c r="P68" s="83">
        <f t="shared" ca="1" si="78"/>
        <v>137022.57999999999</v>
      </c>
      <c r="Q68" s="83">
        <f t="shared" ca="1" si="79"/>
        <v>149218.44</v>
      </c>
    </row>
    <row r="69" spans="2:17">
      <c r="D69" s="24" t="s">
        <v>388</v>
      </c>
      <c r="E69" s="83">
        <f t="shared" ca="1" si="67"/>
        <v>-192000</v>
      </c>
      <c r="F69" s="83">
        <f t="shared" ca="1" si="68"/>
        <v>-16000</v>
      </c>
      <c r="G69" s="83">
        <f t="shared" ca="1" si="69"/>
        <v>-16000</v>
      </c>
      <c r="H69" s="83">
        <f t="shared" ca="1" si="70"/>
        <v>-16000</v>
      </c>
      <c r="I69" s="83">
        <f t="shared" ca="1" si="71"/>
        <v>-16000</v>
      </c>
      <c r="J69" s="83">
        <f t="shared" ca="1" si="72"/>
        <v>-16000</v>
      </c>
      <c r="K69" s="83">
        <f t="shared" ca="1" si="73"/>
        <v>-16000</v>
      </c>
      <c r="L69" s="83">
        <f t="shared" ca="1" si="74"/>
        <v>-16000</v>
      </c>
      <c r="M69" s="83">
        <f t="shared" ca="1" si="75"/>
        <v>-16000</v>
      </c>
      <c r="N69" s="83">
        <f t="shared" ca="1" si="76"/>
        <v>-16000</v>
      </c>
      <c r="O69" s="83">
        <f t="shared" ca="1" si="77"/>
        <v>-16000</v>
      </c>
      <c r="P69" s="83">
        <f t="shared" ca="1" si="78"/>
        <v>-16000</v>
      </c>
      <c r="Q69" s="83">
        <f t="shared" ca="1" si="79"/>
        <v>-16000</v>
      </c>
    </row>
    <row r="70" spans="2:17">
      <c r="D70" s="85" t="s">
        <v>321</v>
      </c>
      <c r="E70" s="83">
        <f t="shared" ca="1" si="67"/>
        <v>0</v>
      </c>
      <c r="F70" s="83">
        <f t="shared" ca="1" si="68"/>
        <v>0</v>
      </c>
      <c r="G70" s="83">
        <f t="shared" ca="1" si="69"/>
        <v>0</v>
      </c>
      <c r="H70" s="83">
        <f t="shared" ca="1" si="70"/>
        <v>0</v>
      </c>
      <c r="I70" s="83">
        <f t="shared" ca="1" si="71"/>
        <v>0</v>
      </c>
      <c r="J70" s="83">
        <f t="shared" ca="1" si="72"/>
        <v>0</v>
      </c>
      <c r="K70" s="83">
        <f t="shared" ca="1" si="73"/>
        <v>0</v>
      </c>
      <c r="L70" s="83">
        <f t="shared" ca="1" si="74"/>
        <v>0</v>
      </c>
      <c r="M70" s="83">
        <f t="shared" ca="1" si="75"/>
        <v>0</v>
      </c>
      <c r="N70" s="83">
        <f t="shared" ca="1" si="76"/>
        <v>0</v>
      </c>
      <c r="O70" s="83">
        <f t="shared" ca="1" si="77"/>
        <v>0</v>
      </c>
      <c r="P70" s="83">
        <f t="shared" ca="1" si="78"/>
        <v>0</v>
      </c>
      <c r="Q70" s="83">
        <f t="shared" ca="1" si="79"/>
        <v>0</v>
      </c>
    </row>
    <row r="71" spans="2:17">
      <c r="D71" s="85" t="s">
        <v>328</v>
      </c>
      <c r="E71" s="83">
        <f t="shared" ca="1" si="67"/>
        <v>0</v>
      </c>
      <c r="F71" s="83">
        <f t="shared" ca="1" si="68"/>
        <v>0</v>
      </c>
      <c r="G71" s="83">
        <f t="shared" ca="1" si="69"/>
        <v>0</v>
      </c>
      <c r="H71" s="83">
        <f t="shared" ca="1" si="70"/>
        <v>0</v>
      </c>
      <c r="I71" s="83">
        <f t="shared" ca="1" si="71"/>
        <v>0</v>
      </c>
      <c r="J71" s="83">
        <f t="shared" ca="1" si="72"/>
        <v>0</v>
      </c>
      <c r="K71" s="83">
        <f t="shared" ca="1" si="73"/>
        <v>0</v>
      </c>
      <c r="L71" s="83">
        <f t="shared" ca="1" si="74"/>
        <v>0</v>
      </c>
      <c r="M71" s="83">
        <f t="shared" ca="1" si="75"/>
        <v>0</v>
      </c>
      <c r="N71" s="83">
        <f t="shared" ca="1" si="76"/>
        <v>0</v>
      </c>
      <c r="O71" s="83">
        <f t="shared" ca="1" si="77"/>
        <v>0</v>
      </c>
      <c r="P71" s="83">
        <f t="shared" ca="1" si="78"/>
        <v>0</v>
      </c>
      <c r="Q71" s="83">
        <f t="shared" ca="1" si="79"/>
        <v>0</v>
      </c>
    </row>
    <row r="72" spans="2:17">
      <c r="D72" s="85" t="s">
        <v>282</v>
      </c>
      <c r="E72" s="83">
        <f t="shared" ca="1" si="67"/>
        <v>0</v>
      </c>
      <c r="F72" s="83">
        <f t="shared" ca="1" si="68"/>
        <v>0</v>
      </c>
      <c r="G72" s="86">
        <f t="shared" ca="1" si="69"/>
        <v>0</v>
      </c>
      <c r="H72" s="86">
        <f t="shared" ca="1" si="70"/>
        <v>0</v>
      </c>
      <c r="I72" s="86">
        <f t="shared" ca="1" si="71"/>
        <v>0</v>
      </c>
      <c r="J72" s="86">
        <f t="shared" ca="1" si="72"/>
        <v>0</v>
      </c>
      <c r="K72" s="86">
        <f t="shared" ca="1" si="73"/>
        <v>0</v>
      </c>
      <c r="L72" s="86">
        <f t="shared" ca="1" si="74"/>
        <v>0</v>
      </c>
      <c r="M72" s="86">
        <f t="shared" ca="1" si="75"/>
        <v>0</v>
      </c>
      <c r="N72" s="86">
        <f t="shared" ca="1" si="76"/>
        <v>0</v>
      </c>
      <c r="O72" s="86">
        <f t="shared" ca="1" si="77"/>
        <v>0</v>
      </c>
      <c r="P72" s="86">
        <f t="shared" ca="1" si="78"/>
        <v>0</v>
      </c>
      <c r="Q72" s="86">
        <f t="shared" ca="1" si="79"/>
        <v>0</v>
      </c>
    </row>
    <row r="73" spans="2:17">
      <c r="D73" s="85"/>
      <c r="F73" s="83"/>
      <c r="G73" s="83"/>
      <c r="H73" s="83"/>
      <c r="I73" s="83"/>
      <c r="J73" s="83"/>
      <c r="K73" s="83"/>
      <c r="L73" s="83"/>
      <c r="M73" s="83"/>
      <c r="N73" s="83"/>
      <c r="O73" s="83"/>
      <c r="P73" s="83"/>
      <c r="Q73" s="83"/>
    </row>
    <row r="74" spans="2:17">
      <c r="E74" s="84">
        <f t="shared" ref="E74:Q74" ca="1" si="80">+E64-SUM(E65:E72)</f>
        <v>6865756.549999998</v>
      </c>
      <c r="F74" s="84">
        <f t="shared" ca="1" si="80"/>
        <v>587573.02999999933</v>
      </c>
      <c r="G74" s="84">
        <f t="shared" ca="1" si="80"/>
        <v>601240.36999999988</v>
      </c>
      <c r="H74" s="84">
        <f t="shared" ca="1" si="80"/>
        <v>602169.00000000012</v>
      </c>
      <c r="I74" s="84">
        <f t="shared" ca="1" si="80"/>
        <v>579879.73000000021</v>
      </c>
      <c r="J74" s="84">
        <f t="shared" ca="1" si="80"/>
        <v>317820.76000000013</v>
      </c>
      <c r="K74" s="84">
        <f t="shared" ca="1" si="80"/>
        <v>602949.6799999997</v>
      </c>
      <c r="L74" s="84">
        <f t="shared" ca="1" si="80"/>
        <v>593554.93999999959</v>
      </c>
      <c r="M74" s="84">
        <f t="shared" ca="1" si="80"/>
        <v>581523.11</v>
      </c>
      <c r="N74" s="84">
        <f t="shared" ca="1" si="80"/>
        <v>602530.86000000022</v>
      </c>
      <c r="O74" s="84">
        <f t="shared" ca="1" si="80"/>
        <v>563423.53000000049</v>
      </c>
      <c r="P74" s="84">
        <f t="shared" ca="1" si="80"/>
        <v>562871.88999999978</v>
      </c>
      <c r="Q74" s="84">
        <f t="shared" ca="1" si="80"/>
        <v>670219.64999999921</v>
      </c>
    </row>
    <row r="75" spans="2:17">
      <c r="F75" s="83"/>
      <c r="G75" s="83"/>
      <c r="H75" s="83"/>
      <c r="I75" s="83"/>
      <c r="J75" s="83"/>
      <c r="K75" s="83"/>
      <c r="L75" s="83"/>
      <c r="M75" s="83"/>
      <c r="N75" s="83"/>
      <c r="O75" s="83"/>
      <c r="P75" s="83"/>
      <c r="Q75" s="83"/>
    </row>
    <row r="76" spans="2:17">
      <c r="C76" s="96" t="s">
        <v>330</v>
      </c>
      <c r="D76" s="24" t="s">
        <v>334</v>
      </c>
      <c r="E76" s="83">
        <f ca="1">SUM(F76:Q76)</f>
        <v>6863342</v>
      </c>
      <c r="F76" s="83">
        <f ca="1">+Summary!G46</f>
        <v>587573</v>
      </c>
      <c r="G76" s="83">
        <f ca="1">+Summary!H46</f>
        <v>601241</v>
      </c>
      <c r="H76" s="83">
        <f ca="1">+Summary!I46</f>
        <v>602168</v>
      </c>
      <c r="I76" s="83">
        <f ca="1">+Summary!J46</f>
        <v>579880</v>
      </c>
      <c r="J76" s="83">
        <f ca="1">+Summary!K46</f>
        <v>315408</v>
      </c>
      <c r="K76" s="83">
        <f ca="1">+Summary!L46</f>
        <v>602952</v>
      </c>
      <c r="L76" s="83">
        <f ca="1">+Summary!M46</f>
        <v>593554</v>
      </c>
      <c r="M76" s="83">
        <f ca="1">+Summary!N46</f>
        <v>581522</v>
      </c>
      <c r="N76" s="83">
        <f ca="1">+Summary!O46</f>
        <v>602531</v>
      </c>
      <c r="O76" s="83">
        <f ca="1">+Summary!P46</f>
        <v>563424</v>
      </c>
      <c r="P76" s="83">
        <f ca="1">+Summary!Q46</f>
        <v>562869</v>
      </c>
      <c r="Q76" s="83">
        <f ca="1">+Summary!R46</f>
        <v>670220</v>
      </c>
    </row>
    <row r="77" spans="2:17">
      <c r="E77" s="83">
        <f t="shared" ref="E77" ca="1" si="81">+E74-E76</f>
        <v>2414.5499999979511</v>
      </c>
      <c r="F77" s="83">
        <f ca="1">+F74-F76</f>
        <v>2.9999999329447746E-2</v>
      </c>
      <c r="G77" s="83">
        <f t="shared" ref="G77" ca="1" si="82">+G74-G76</f>
        <v>-0.63000000012107193</v>
      </c>
      <c r="H77" s="83">
        <f t="shared" ref="H77" ca="1" si="83">+H74-H76</f>
        <v>1.0000000001164153</v>
      </c>
      <c r="I77" s="83">
        <f t="shared" ref="I77" ca="1" si="84">+I74-I76</f>
        <v>-0.26999999978579581</v>
      </c>
      <c r="J77" s="83">
        <f t="shared" ref="J77" ca="1" si="85">+J74-J76</f>
        <v>2412.7600000001257</v>
      </c>
      <c r="K77" s="83">
        <f t="shared" ref="K77" ca="1" si="86">+K74-K76</f>
        <v>-2.3200000002980232</v>
      </c>
      <c r="L77" s="83">
        <f t="shared" ref="L77" ca="1" si="87">+L74-L76</f>
        <v>0.93999999959487468</v>
      </c>
      <c r="M77" s="83">
        <f t="shared" ref="M77" ca="1" si="88">+M74-M76</f>
        <v>1.1099999999860302</v>
      </c>
      <c r="N77" s="83">
        <f t="shared" ref="N77" ca="1" si="89">+N74-N76</f>
        <v>-0.13999999978113919</v>
      </c>
      <c r="O77" s="83">
        <f t="shared" ref="O77" ca="1" si="90">+O74-O76</f>
        <v>-0.46999999950639904</v>
      </c>
      <c r="P77" s="83">
        <f t="shared" ref="P77" ca="1" si="91">+P74-P76</f>
        <v>2.8899999997811392</v>
      </c>
      <c r="Q77" s="83">
        <f t="shared" ref="Q77" ca="1" si="92">+Q74-Q76</f>
        <v>-0.35000000079162419</v>
      </c>
    </row>
    <row r="80" spans="2:17">
      <c r="B80" s="24">
        <v>5</v>
      </c>
      <c r="C80" s="96" t="s">
        <v>272</v>
      </c>
    </row>
    <row r="81" spans="3:17">
      <c r="C81" s="88" t="s">
        <v>299</v>
      </c>
      <c r="E81" s="84" t="s">
        <v>335</v>
      </c>
      <c r="F81" s="97" t="str">
        <f>+Summary!$W$9</f>
        <v>Aug 2021</v>
      </c>
      <c r="G81" s="97" t="str">
        <f>+Summary!$X$9</f>
        <v>Sep 2021</v>
      </c>
      <c r="H81" s="97" t="str">
        <f>+Summary!$Y$9</f>
        <v>Oct 2021</v>
      </c>
      <c r="I81" s="97" t="str">
        <f>+Summary!$Z$9</f>
        <v>Nov 2021</v>
      </c>
      <c r="J81" s="97" t="str">
        <f>+Summary!$AA$9</f>
        <v>Dec 2021</v>
      </c>
      <c r="K81" s="97" t="str">
        <f>+Summary!$AB$9</f>
        <v>Jan 2022</v>
      </c>
      <c r="L81" s="97" t="str">
        <f>+Summary!$AC$9</f>
        <v>Feb 2022</v>
      </c>
      <c r="M81" s="97" t="str">
        <f>+Summary!$AD$9</f>
        <v>Mar 2022</v>
      </c>
      <c r="N81" s="97" t="str">
        <f>+Summary!$AE$9</f>
        <v>Apr 2022</v>
      </c>
      <c r="O81" s="97" t="str">
        <f>+Summary!$AF$9</f>
        <v>May 2022</v>
      </c>
      <c r="P81" s="97" t="str">
        <f>+Summary!$AG$9</f>
        <v>Jun 2022</v>
      </c>
      <c r="Q81" s="97" t="str">
        <f>+Summary!$AH$9</f>
        <v>Jul 2022</v>
      </c>
    </row>
    <row r="82" spans="3:17">
      <c r="C82" s="96" t="s">
        <v>331</v>
      </c>
      <c r="D82" s="96" t="s">
        <v>333</v>
      </c>
    </row>
    <row r="83" spans="3:17">
      <c r="D83" s="24" t="s">
        <v>62</v>
      </c>
      <c r="E83" s="83">
        <f t="shared" ref="E83:E91" ca="1" si="93">+SUM(F83:Q83)</f>
        <v>6934307.5600000005</v>
      </c>
      <c r="F83" s="83">
        <f ca="1">SUMIFS(INDIRECT("'"&amp;$C$81&amp;"'"&amp;"!$b:$b"),INDIRECT("'"&amp;$C$81&amp;"'"&amp;"!$a:$a"),$D83)/2</f>
        <v>723250.9700000002</v>
      </c>
      <c r="G83" s="83">
        <f ca="1">SUMIFS(INDIRECT("'"&amp;$C$81&amp;"'"&amp;"!$c:$c"),INDIRECT("'"&amp;$C$81&amp;"'"&amp;"!$a:$a"),$D83)/2</f>
        <v>674903.30999999982</v>
      </c>
      <c r="H83" s="83">
        <f ca="1">SUMIFS(INDIRECT("'"&amp;$C$81&amp;"'"&amp;"!$d:$d"),INDIRECT("'"&amp;$C$81&amp;"'"&amp;"!$a:$a"),$D83)/2</f>
        <v>705325.72999999952</v>
      </c>
      <c r="I83" s="83">
        <f ca="1">SUMIFS(INDIRECT("'"&amp;$C$81&amp;"'"&amp;"!$e:$e"),INDIRECT("'"&amp;$C$81&amp;"'"&amp;"!$a:$a"),$D83)/2</f>
        <v>624813.99999999988</v>
      </c>
      <c r="J83" s="83">
        <f ca="1">SUMIFS(INDIRECT("'"&amp;$C$81&amp;"'"&amp;"!$f:$f"),INDIRECT("'"&amp;$C$81&amp;"'"&amp;"!$a:$a"),$D83)/2</f>
        <v>-672857.23999999953</v>
      </c>
      <c r="K83" s="83">
        <f ca="1">SUMIFS(INDIRECT("'"&amp;$C$81&amp;"'"&amp;"!$g:$g"),INDIRECT("'"&amp;$C$81&amp;"'"&amp;"!$a:$a"),$D83)/2</f>
        <v>629674.35999999987</v>
      </c>
      <c r="L83" s="83">
        <f ca="1">SUMIFS(INDIRECT("'"&amp;$C$81&amp;"'"&amp;"!$h:$h"),INDIRECT("'"&amp;$C$81&amp;"'"&amp;"!$a:$a"),$D83)/2</f>
        <v>667776.96</v>
      </c>
      <c r="M83" s="83">
        <f ca="1">SUMIFS(INDIRECT("'"&amp;$C$81&amp;"'"&amp;"!$i:$i"),INDIRECT("'"&amp;$C$81&amp;"'"&amp;"!$a:$a"),$D83)/2</f>
        <v>723584.86</v>
      </c>
      <c r="N83" s="83">
        <f ca="1">SUMIFS(INDIRECT("'"&amp;$C$81&amp;"'"&amp;"!$j:$j"),INDIRECT("'"&amp;$C$81&amp;"'"&amp;"!$a:$a"),$D83)/2</f>
        <v>676909.56000000029</v>
      </c>
      <c r="O83" s="83">
        <f ca="1">SUMIFS(INDIRECT("'"&amp;$C$81&amp;"'"&amp;"!$k:$k"),INDIRECT("'"&amp;$C$81&amp;"'"&amp;"!$a:$a"),$D83)/2</f>
        <v>656414.58999999985</v>
      </c>
      <c r="P83" s="83">
        <f ca="1">SUMIFS(INDIRECT("'"&amp;$C$81&amp;"'"&amp;"!$l:$l"),INDIRECT("'"&amp;$C$81&amp;"'"&amp;"!$a:$a"),$D83)/2</f>
        <v>698086.35000000044</v>
      </c>
      <c r="Q83" s="83">
        <f ca="1">SUMIFS(INDIRECT("'"&amp;$C$81&amp;"'"&amp;"!$m:$m"),INDIRECT("'"&amp;$C$81&amp;"'"&amp;"!$a:$a"),$D83)/2</f>
        <v>826424.11</v>
      </c>
    </row>
    <row r="84" spans="3:17">
      <c r="D84" s="24" t="s">
        <v>253</v>
      </c>
      <c r="E84" s="83">
        <f t="shared" ca="1" si="93"/>
        <v>712.16</v>
      </c>
      <c r="F84" s="83">
        <f t="shared" ref="F84:F91" ca="1" si="94">SUMIFS(INDIRECT("'"&amp;$C$81&amp;"'"&amp;"!$b:$b"),INDIRECT("'"&amp;$C$81&amp;"'"&amp;"!$a:$a"),$D84)</f>
        <v>101.32</v>
      </c>
      <c r="G84" s="83">
        <f t="shared" ref="G84:G91" ca="1" si="95">SUMIFS(INDIRECT("'"&amp;$C$81&amp;"'"&amp;"!$c:$c"),INDIRECT("'"&amp;$C$81&amp;"'"&amp;"!$a:$a"),$D84)</f>
        <v>101.32</v>
      </c>
      <c r="H84" s="83">
        <f t="shared" ref="H84:H91" ca="1" si="96">SUMIFS(INDIRECT("'"&amp;$C$81&amp;"'"&amp;"!$d:$d"),INDIRECT("'"&amp;$C$81&amp;"'"&amp;"!$a:$a"),$D84)</f>
        <v>101.32</v>
      </c>
      <c r="I84" s="83">
        <f t="shared" ref="I84:I91" ca="1" si="97">SUMIFS(INDIRECT("'"&amp;$C$81&amp;"'"&amp;"!$e:$e"),INDIRECT("'"&amp;$C$81&amp;"'"&amp;"!$a:$a"),$D84)</f>
        <v>101.32</v>
      </c>
      <c r="J84" s="83">
        <f t="shared" ref="J84:J91" ca="1" si="98">SUMIFS(INDIRECT("'"&amp;$C$81&amp;"'"&amp;"!$f:$f"),INDIRECT("'"&amp;$C$81&amp;"'"&amp;"!$a:$a"),$D84)</f>
        <v>101.32</v>
      </c>
      <c r="K84" s="83">
        <f t="shared" ref="K84:K91" ca="1" si="99">SUMIFS(INDIRECT("'"&amp;$C$81&amp;"'"&amp;"!$g:$g"),INDIRECT("'"&amp;$C$81&amp;"'"&amp;"!$a:$a"),$D84)</f>
        <v>0</v>
      </c>
      <c r="L84" s="83">
        <f t="shared" ref="L84:L91" ca="1" si="100">SUMIFS(INDIRECT("'"&amp;$C$81&amp;"'"&amp;"!$h:$h"),INDIRECT("'"&amp;$C$81&amp;"'"&amp;"!$a:$a"),$D84)</f>
        <v>0</v>
      </c>
      <c r="M84" s="83">
        <f t="shared" ref="M84:M91" ca="1" si="101">SUMIFS(INDIRECT("'"&amp;$C$81&amp;"'"&amp;"!$i:$i"),INDIRECT("'"&amp;$C$81&amp;"'"&amp;"!$a:$a"),$D84)</f>
        <v>0</v>
      </c>
      <c r="N84" s="83">
        <f t="shared" ref="N84:N91" ca="1" si="102">SUMIFS(INDIRECT("'"&amp;$C$81&amp;"'"&amp;"!$j:$j"),INDIRECT("'"&amp;$C$81&amp;"'"&amp;"!$a:$a"),$D84)</f>
        <v>51.39</v>
      </c>
      <c r="O84" s="83">
        <f t="shared" ref="O84:O91" ca="1" si="103">SUMIFS(INDIRECT("'"&amp;$C$81&amp;"'"&amp;"!$k:$k"),INDIRECT("'"&amp;$C$81&amp;"'"&amp;"!$a:$a"),$D84)</f>
        <v>51.39</v>
      </c>
      <c r="P84" s="83">
        <f t="shared" ref="P84:P91" ca="1" si="104">SUMIFS(INDIRECT("'"&amp;$C$81&amp;"'"&amp;"!$l:$l"),INDIRECT("'"&amp;$C$81&amp;"'"&amp;"!$a:$a"),$D84)</f>
        <v>51.39</v>
      </c>
      <c r="Q84" s="83">
        <f t="shared" ref="Q84:Q91" ca="1" si="105">SUMIFS(INDIRECT("'"&amp;$C$81&amp;"'"&amp;"!$m:$m"),INDIRECT("'"&amp;$C$81&amp;"'"&amp;"!$a:$a"),$D84)</f>
        <v>51.39</v>
      </c>
    </row>
    <row r="85" spans="3:17">
      <c r="D85" s="24" t="s">
        <v>250</v>
      </c>
      <c r="E85" s="83">
        <f t="shared" ca="1" si="93"/>
        <v>51205.72</v>
      </c>
      <c r="F85" s="83">
        <f t="shared" ca="1" si="94"/>
        <v>4249.79</v>
      </c>
      <c r="G85" s="83">
        <f t="shared" ca="1" si="95"/>
        <v>4161.93</v>
      </c>
      <c r="H85" s="83">
        <f t="shared" ca="1" si="96"/>
        <v>4136.29</v>
      </c>
      <c r="I85" s="83">
        <f t="shared" ca="1" si="97"/>
        <v>4182.91</v>
      </c>
      <c r="J85" s="83">
        <f t="shared" ca="1" si="98"/>
        <v>4288.5700000000015</v>
      </c>
      <c r="K85" s="83">
        <f t="shared" ca="1" si="99"/>
        <v>4288.57</v>
      </c>
      <c r="L85" s="83">
        <f t="shared" ca="1" si="100"/>
        <v>4127.510000000002</v>
      </c>
      <c r="M85" s="83">
        <f t="shared" ca="1" si="101"/>
        <v>4158.57</v>
      </c>
      <c r="N85" s="83">
        <f t="shared" ca="1" si="102"/>
        <v>4158.57</v>
      </c>
      <c r="O85" s="83">
        <f t="shared" ca="1" si="103"/>
        <v>4492.7899999999981</v>
      </c>
      <c r="P85" s="83">
        <f t="shared" ca="1" si="104"/>
        <v>4227.3799999999992</v>
      </c>
      <c r="Q85" s="83">
        <f t="shared" ca="1" si="105"/>
        <v>4732.84</v>
      </c>
    </row>
    <row r="86" spans="3:17">
      <c r="D86" s="24" t="s">
        <v>204</v>
      </c>
      <c r="E86" s="83">
        <f t="shared" ca="1" si="93"/>
        <v>-714901</v>
      </c>
      <c r="F86" s="83">
        <f t="shared" ca="1" si="94"/>
        <v>29484</v>
      </c>
      <c r="G86" s="83">
        <f t="shared" ca="1" si="95"/>
        <v>28669</v>
      </c>
      <c r="H86" s="83">
        <f t="shared" ca="1" si="96"/>
        <v>29197</v>
      </c>
      <c r="I86" s="83">
        <f t="shared" ca="1" si="97"/>
        <v>26707</v>
      </c>
      <c r="J86" s="83">
        <f t="shared" ca="1" si="98"/>
        <v>-1054674</v>
      </c>
      <c r="K86" s="83">
        <f t="shared" ca="1" si="99"/>
        <v>29917</v>
      </c>
      <c r="L86" s="83">
        <f t="shared" ca="1" si="100"/>
        <v>36795</v>
      </c>
      <c r="M86" s="83">
        <f t="shared" ca="1" si="101"/>
        <v>33022</v>
      </c>
      <c r="N86" s="83">
        <f t="shared" ca="1" si="102"/>
        <v>34239</v>
      </c>
      <c r="O86" s="83">
        <f t="shared" ca="1" si="103"/>
        <v>30501</v>
      </c>
      <c r="P86" s="83">
        <f t="shared" ca="1" si="104"/>
        <v>28429</v>
      </c>
      <c r="Q86" s="83">
        <f t="shared" ca="1" si="105"/>
        <v>32813</v>
      </c>
    </row>
    <row r="87" spans="3:17">
      <c r="D87" s="24" t="s">
        <v>252</v>
      </c>
      <c r="E87" s="83">
        <f t="shared" ca="1" si="93"/>
        <v>1653582.08</v>
      </c>
      <c r="F87" s="83">
        <f t="shared" ca="1" si="94"/>
        <v>134129</v>
      </c>
      <c r="G87" s="83">
        <f t="shared" ca="1" si="95"/>
        <v>137022.57999999999</v>
      </c>
      <c r="H87" s="83">
        <f t="shared" ca="1" si="96"/>
        <v>137022.57999999999</v>
      </c>
      <c r="I87" s="83">
        <f t="shared" ca="1" si="97"/>
        <v>137022.57999999999</v>
      </c>
      <c r="J87" s="83">
        <f t="shared" ca="1" si="98"/>
        <v>137022.57999999999</v>
      </c>
      <c r="K87" s="83">
        <f t="shared" ca="1" si="99"/>
        <v>137022.57999999999</v>
      </c>
      <c r="L87" s="83">
        <f t="shared" ca="1" si="100"/>
        <v>137022.57999999999</v>
      </c>
      <c r="M87" s="83">
        <f t="shared" ca="1" si="101"/>
        <v>137022.57999999999</v>
      </c>
      <c r="N87" s="83">
        <f t="shared" ca="1" si="102"/>
        <v>137022.57999999999</v>
      </c>
      <c r="O87" s="83">
        <f t="shared" ca="1" si="103"/>
        <v>137022.57999999999</v>
      </c>
      <c r="P87" s="83">
        <f t="shared" ca="1" si="104"/>
        <v>137022.57999999999</v>
      </c>
      <c r="Q87" s="83">
        <f t="shared" ca="1" si="105"/>
        <v>149227.28</v>
      </c>
    </row>
    <row r="88" spans="3:17">
      <c r="D88" s="24" t="s">
        <v>388</v>
      </c>
      <c r="E88" s="83">
        <f t="shared" ca="1" si="93"/>
        <v>-192000</v>
      </c>
      <c r="F88" s="83">
        <f t="shared" ca="1" si="94"/>
        <v>-16000</v>
      </c>
      <c r="G88" s="83">
        <f t="shared" ca="1" si="95"/>
        <v>-16000</v>
      </c>
      <c r="H88" s="83">
        <f t="shared" ca="1" si="96"/>
        <v>-16000</v>
      </c>
      <c r="I88" s="83">
        <f t="shared" ca="1" si="97"/>
        <v>-16000</v>
      </c>
      <c r="J88" s="83">
        <f t="shared" ca="1" si="98"/>
        <v>-16000</v>
      </c>
      <c r="K88" s="83">
        <f t="shared" ca="1" si="99"/>
        <v>-16000</v>
      </c>
      <c r="L88" s="83">
        <f t="shared" ca="1" si="100"/>
        <v>-16000</v>
      </c>
      <c r="M88" s="83">
        <f t="shared" ca="1" si="101"/>
        <v>-16000</v>
      </c>
      <c r="N88" s="83">
        <f t="shared" ca="1" si="102"/>
        <v>-16000</v>
      </c>
      <c r="O88" s="83">
        <f t="shared" ca="1" si="103"/>
        <v>-16000</v>
      </c>
      <c r="P88" s="83">
        <f t="shared" ca="1" si="104"/>
        <v>-16000</v>
      </c>
      <c r="Q88" s="83">
        <f t="shared" ca="1" si="105"/>
        <v>-16000</v>
      </c>
    </row>
    <row r="89" spans="3:17">
      <c r="D89" s="85" t="s">
        <v>321</v>
      </c>
      <c r="E89" s="83">
        <f t="shared" ca="1" si="93"/>
        <v>0</v>
      </c>
      <c r="F89" s="83">
        <f t="shared" ca="1" si="94"/>
        <v>0</v>
      </c>
      <c r="G89" s="83">
        <f t="shared" ca="1" si="95"/>
        <v>0</v>
      </c>
      <c r="H89" s="83">
        <f t="shared" ca="1" si="96"/>
        <v>0</v>
      </c>
      <c r="I89" s="83">
        <f t="shared" ca="1" si="97"/>
        <v>0</v>
      </c>
      <c r="J89" s="83">
        <f t="shared" ca="1" si="98"/>
        <v>0</v>
      </c>
      <c r="K89" s="83">
        <f t="shared" ca="1" si="99"/>
        <v>0</v>
      </c>
      <c r="L89" s="83">
        <f t="shared" ca="1" si="100"/>
        <v>0</v>
      </c>
      <c r="M89" s="83">
        <f t="shared" ca="1" si="101"/>
        <v>0</v>
      </c>
      <c r="N89" s="83">
        <f t="shared" ca="1" si="102"/>
        <v>0</v>
      </c>
      <c r="O89" s="83">
        <f t="shared" ca="1" si="103"/>
        <v>0</v>
      </c>
      <c r="P89" s="83">
        <f t="shared" ca="1" si="104"/>
        <v>0</v>
      </c>
      <c r="Q89" s="83">
        <f t="shared" ca="1" si="105"/>
        <v>0</v>
      </c>
    </row>
    <row r="90" spans="3:17">
      <c r="D90" s="85" t="s">
        <v>328</v>
      </c>
      <c r="E90" s="83">
        <f t="shared" ca="1" si="93"/>
        <v>0</v>
      </c>
      <c r="F90" s="83">
        <f t="shared" ca="1" si="94"/>
        <v>0</v>
      </c>
      <c r="G90" s="83">
        <f t="shared" ca="1" si="95"/>
        <v>0</v>
      </c>
      <c r="H90" s="83">
        <f t="shared" ca="1" si="96"/>
        <v>0</v>
      </c>
      <c r="I90" s="83">
        <f t="shared" ca="1" si="97"/>
        <v>0</v>
      </c>
      <c r="J90" s="83">
        <f t="shared" ca="1" si="98"/>
        <v>0</v>
      </c>
      <c r="K90" s="83">
        <f t="shared" ca="1" si="99"/>
        <v>0</v>
      </c>
      <c r="L90" s="83">
        <f t="shared" ca="1" si="100"/>
        <v>0</v>
      </c>
      <c r="M90" s="83">
        <f t="shared" ca="1" si="101"/>
        <v>0</v>
      </c>
      <c r="N90" s="83">
        <f t="shared" ca="1" si="102"/>
        <v>0</v>
      </c>
      <c r="O90" s="83">
        <f t="shared" ca="1" si="103"/>
        <v>0</v>
      </c>
      <c r="P90" s="83">
        <f t="shared" ca="1" si="104"/>
        <v>0</v>
      </c>
      <c r="Q90" s="83">
        <f t="shared" ca="1" si="105"/>
        <v>0</v>
      </c>
    </row>
    <row r="91" spans="3:17">
      <c r="D91" s="85" t="s">
        <v>282</v>
      </c>
      <c r="E91" s="83">
        <f t="shared" ca="1" si="93"/>
        <v>0</v>
      </c>
      <c r="F91" s="83">
        <f t="shared" ca="1" si="94"/>
        <v>0</v>
      </c>
      <c r="G91" s="86">
        <f t="shared" ca="1" si="95"/>
        <v>0</v>
      </c>
      <c r="H91" s="86">
        <f t="shared" ca="1" si="96"/>
        <v>0</v>
      </c>
      <c r="I91" s="86">
        <f t="shared" ca="1" si="97"/>
        <v>0</v>
      </c>
      <c r="J91" s="86">
        <f t="shared" ca="1" si="98"/>
        <v>0</v>
      </c>
      <c r="K91" s="86">
        <f t="shared" ca="1" si="99"/>
        <v>0</v>
      </c>
      <c r="L91" s="86">
        <f t="shared" ca="1" si="100"/>
        <v>0</v>
      </c>
      <c r="M91" s="86">
        <f t="shared" ca="1" si="101"/>
        <v>0</v>
      </c>
      <c r="N91" s="86">
        <f t="shared" ca="1" si="102"/>
        <v>0</v>
      </c>
      <c r="O91" s="86">
        <f t="shared" ca="1" si="103"/>
        <v>0</v>
      </c>
      <c r="P91" s="86">
        <f t="shared" ca="1" si="104"/>
        <v>0</v>
      </c>
      <c r="Q91" s="86">
        <f t="shared" ca="1" si="105"/>
        <v>0</v>
      </c>
    </row>
    <row r="92" spans="3:17">
      <c r="D92" s="85"/>
      <c r="F92" s="83"/>
      <c r="G92" s="83"/>
      <c r="H92" s="83"/>
      <c r="I92" s="83"/>
      <c r="J92" s="83"/>
      <c r="K92" s="83"/>
      <c r="L92" s="83"/>
      <c r="M92" s="83"/>
      <c r="N92" s="83"/>
      <c r="O92" s="83"/>
      <c r="P92" s="83"/>
      <c r="Q92" s="83"/>
    </row>
    <row r="93" spans="3:17">
      <c r="E93" s="84">
        <f t="shared" ref="E93:Q93" ca="1" si="106">+E83-SUM(E84:E91)</f>
        <v>6135708.6000000006</v>
      </c>
      <c r="F93" s="84">
        <f t="shared" ca="1" si="106"/>
        <v>571286.86000000022</v>
      </c>
      <c r="G93" s="84">
        <f t="shared" ca="1" si="106"/>
        <v>520948.47999999986</v>
      </c>
      <c r="H93" s="84">
        <f t="shared" ca="1" si="106"/>
        <v>550868.53999999957</v>
      </c>
      <c r="I93" s="84">
        <f t="shared" ca="1" si="106"/>
        <v>472800.18999999989</v>
      </c>
      <c r="J93" s="84">
        <f t="shared" ca="1" si="106"/>
        <v>256404.29000000062</v>
      </c>
      <c r="K93" s="84">
        <f t="shared" ca="1" si="106"/>
        <v>474446.20999999985</v>
      </c>
      <c r="L93" s="84">
        <f t="shared" ca="1" si="106"/>
        <v>505831.87</v>
      </c>
      <c r="M93" s="84">
        <f t="shared" ca="1" si="106"/>
        <v>565381.71</v>
      </c>
      <c r="N93" s="84">
        <f t="shared" ca="1" si="106"/>
        <v>517438.02000000031</v>
      </c>
      <c r="O93" s="84">
        <f t="shared" ca="1" si="106"/>
        <v>500346.82999999984</v>
      </c>
      <c r="P93" s="84">
        <f t="shared" ca="1" si="106"/>
        <v>544356.00000000047</v>
      </c>
      <c r="Q93" s="84">
        <f t="shared" ca="1" si="106"/>
        <v>655599.6</v>
      </c>
    </row>
    <row r="94" spans="3:17">
      <c r="F94" s="83"/>
      <c r="G94" s="83"/>
      <c r="H94" s="83"/>
      <c r="I94" s="83"/>
      <c r="J94" s="83"/>
      <c r="K94" s="83"/>
      <c r="L94" s="83"/>
      <c r="M94" s="83"/>
      <c r="N94" s="83"/>
      <c r="O94" s="83"/>
      <c r="P94" s="83"/>
      <c r="Q94" s="83"/>
    </row>
    <row r="95" spans="3:17">
      <c r="C95" s="96" t="s">
        <v>330</v>
      </c>
      <c r="D95" s="24" t="s">
        <v>334</v>
      </c>
      <c r="E95" s="83">
        <f ca="1">SUM(F95:Q95)</f>
        <v>6146452</v>
      </c>
      <c r="F95" s="83">
        <f ca="1">+Summary!G57</f>
        <v>571287</v>
      </c>
      <c r="G95" s="83">
        <f ca="1">+Summary!H57</f>
        <v>520948</v>
      </c>
      <c r="H95" s="83">
        <f ca="1">+Summary!I57</f>
        <v>550869</v>
      </c>
      <c r="I95" s="83">
        <f ca="1">+Summary!J57</f>
        <v>472799</v>
      </c>
      <c r="J95" s="83">
        <f ca="1">+Summary!K57</f>
        <v>267139</v>
      </c>
      <c r="K95" s="83">
        <f ca="1">+Summary!L57</f>
        <v>474445</v>
      </c>
      <c r="L95" s="83">
        <f ca="1">+Summary!M57</f>
        <v>505833</v>
      </c>
      <c r="M95" s="83">
        <f ca="1">+Summary!N57</f>
        <v>565382</v>
      </c>
      <c r="N95" s="83">
        <f ca="1">+Summary!O57</f>
        <v>517438</v>
      </c>
      <c r="O95" s="83">
        <f ca="1">+Summary!P57</f>
        <v>500347</v>
      </c>
      <c r="P95" s="83">
        <f ca="1">+Summary!Q57</f>
        <v>544366</v>
      </c>
      <c r="Q95" s="83">
        <f ca="1">+Summary!R57</f>
        <v>655599</v>
      </c>
    </row>
    <row r="96" spans="3:17">
      <c r="E96" s="83">
        <f t="shared" ref="E96" ca="1" si="107">+E93-E95</f>
        <v>-10743.399999999441</v>
      </c>
      <c r="F96" s="83">
        <f ca="1">+F93-F95</f>
        <v>-0.13999999978113919</v>
      </c>
      <c r="G96" s="83">
        <f t="shared" ref="G96" ca="1" si="108">+G93-G95</f>
        <v>0.47999999986495823</v>
      </c>
      <c r="H96" s="83">
        <f t="shared" ref="H96" ca="1" si="109">+H93-H95</f>
        <v>-0.46000000042840838</v>
      </c>
      <c r="I96" s="83">
        <f t="shared" ref="I96" ca="1" si="110">+I93-I95</f>
        <v>1.189999999885913</v>
      </c>
      <c r="J96" s="83">
        <f t="shared" ref="J96" ca="1" si="111">+J93-J95</f>
        <v>-10734.709999999381</v>
      </c>
      <c r="K96" s="83">
        <f t="shared" ref="K96" ca="1" si="112">+K93-K95</f>
        <v>1.2099999998463318</v>
      </c>
      <c r="L96" s="83">
        <f t="shared" ref="L96" ca="1" si="113">+L93-L95</f>
        <v>-1.1300000000046566</v>
      </c>
      <c r="M96" s="83">
        <f t="shared" ref="M96" ca="1" si="114">+M93-M95</f>
        <v>-0.2900000000372529</v>
      </c>
      <c r="N96" s="83">
        <f t="shared" ref="N96" ca="1" si="115">+N93-N95</f>
        <v>2.0000000309664756E-2</v>
      </c>
      <c r="O96" s="83">
        <f t="shared" ref="O96" ca="1" si="116">+O93-O95</f>
        <v>-0.17000000015832484</v>
      </c>
      <c r="P96" s="83">
        <f t="shared" ref="P96" ca="1" si="117">+P93-P95</f>
        <v>-9.9999999995343387</v>
      </c>
      <c r="Q96" s="83">
        <f t="shared" ref="Q96" ca="1" si="118">+Q93-Q95</f>
        <v>0.59999999997671694</v>
      </c>
    </row>
    <row r="97" spans="2:17">
      <c r="D97" s="85"/>
      <c r="F97" s="83"/>
      <c r="G97" s="83"/>
      <c r="H97" s="83"/>
      <c r="I97" s="83"/>
      <c r="J97" s="83"/>
      <c r="K97" s="83"/>
      <c r="L97" s="83"/>
      <c r="M97" s="83"/>
      <c r="N97" s="83"/>
      <c r="O97" s="83"/>
      <c r="P97" s="83"/>
      <c r="Q97" s="83"/>
    </row>
    <row r="98" spans="2:17">
      <c r="E98" s="84"/>
      <c r="F98" s="84"/>
      <c r="G98" s="84"/>
      <c r="H98" s="84"/>
      <c r="I98" s="84"/>
      <c r="J98" s="84"/>
      <c r="K98" s="84"/>
      <c r="L98" s="84"/>
      <c r="M98" s="84"/>
      <c r="N98" s="84"/>
      <c r="O98" s="84"/>
      <c r="P98" s="84"/>
      <c r="Q98" s="84"/>
    </row>
    <row r="99" spans="2:17">
      <c r="B99" s="24">
        <v>6</v>
      </c>
      <c r="C99" s="96" t="s">
        <v>273</v>
      </c>
    </row>
    <row r="100" spans="2:17">
      <c r="C100" s="88" t="s">
        <v>293</v>
      </c>
      <c r="E100" s="84" t="s">
        <v>335</v>
      </c>
      <c r="F100" s="97" t="str">
        <f>+Summary!$W$9</f>
        <v>Aug 2021</v>
      </c>
      <c r="G100" s="97" t="str">
        <f>+Summary!$X$9</f>
        <v>Sep 2021</v>
      </c>
      <c r="H100" s="97" t="str">
        <f>+Summary!$Y$9</f>
        <v>Oct 2021</v>
      </c>
      <c r="I100" s="97" t="str">
        <f>+Summary!$Z$9</f>
        <v>Nov 2021</v>
      </c>
      <c r="J100" s="97" t="str">
        <f>+Summary!$AA$9</f>
        <v>Dec 2021</v>
      </c>
      <c r="K100" s="97" t="str">
        <f>+Summary!$AB$9</f>
        <v>Jan 2022</v>
      </c>
      <c r="L100" s="97" t="str">
        <f>+Summary!$AC$9</f>
        <v>Feb 2022</v>
      </c>
      <c r="M100" s="97" t="str">
        <f>+Summary!$AD$9</f>
        <v>Mar 2022</v>
      </c>
      <c r="N100" s="97" t="str">
        <f>+Summary!$AE$9</f>
        <v>Apr 2022</v>
      </c>
      <c r="O100" s="97" t="str">
        <f>+Summary!$AF$9</f>
        <v>May 2022</v>
      </c>
      <c r="P100" s="97" t="str">
        <f>+Summary!$AG$9</f>
        <v>Jun 2022</v>
      </c>
      <c r="Q100" s="97" t="str">
        <f>+Summary!$AH$9</f>
        <v>Jul 2022</v>
      </c>
    </row>
    <row r="101" spans="2:17">
      <c r="C101" s="96" t="s">
        <v>331</v>
      </c>
      <c r="D101" s="96" t="s">
        <v>333</v>
      </c>
    </row>
    <row r="102" spans="2:17">
      <c r="D102" s="24" t="s">
        <v>62</v>
      </c>
      <c r="E102" s="83">
        <f t="shared" ref="E102:E110" ca="1" si="119">+SUM(F102:Q102)</f>
        <v>9454964.3400000017</v>
      </c>
      <c r="F102" s="83">
        <f ca="1">SUMIFS(INDIRECT("'"&amp;$C$100&amp;"'"&amp;"!$b:$b"),INDIRECT("'"&amp;$C$100&amp;"'"&amp;"!$a:$a"),$D102)/2</f>
        <v>803008.59000000032</v>
      </c>
      <c r="G102" s="83">
        <f ca="1">SUMIFS(INDIRECT("'"&amp;$C$100&amp;"'"&amp;"!$c:$c"),INDIRECT("'"&amp;$C$100&amp;"'"&amp;"!$a:$a"),$D102)/2</f>
        <v>799567.02999999968</v>
      </c>
      <c r="H102" s="83">
        <f ca="1">SUMIFS(INDIRECT("'"&amp;$C$100&amp;"'"&amp;"!$d:$d"),INDIRECT("'"&amp;$C$100&amp;"'"&amp;"!$a:$a"),$D102)/2</f>
        <v>844511.87999999989</v>
      </c>
      <c r="I102" s="83">
        <f ca="1">SUMIFS(INDIRECT("'"&amp;$C$100&amp;"'"&amp;"!$e:$e"),INDIRECT("'"&amp;$C$100&amp;"'"&amp;"!$a:$a"),$D102)/2</f>
        <v>798464.21999999962</v>
      </c>
      <c r="J102" s="83">
        <f ca="1">SUMIFS(INDIRECT("'"&amp;$C$100&amp;"'"&amp;"!$f:$f"),INDIRECT("'"&amp;$C$100&amp;"'"&amp;"!$a:$a"),$D102)/2</f>
        <v>522314.52999999968</v>
      </c>
      <c r="K102" s="83">
        <f ca="1">SUMIFS(INDIRECT("'"&amp;$C$100&amp;"'"&amp;"!$g:$g"),INDIRECT("'"&amp;$C$100&amp;"'"&amp;"!$a:$a"),$D102)/2</f>
        <v>775668.54000000015</v>
      </c>
      <c r="L102" s="83">
        <f ca="1">SUMIFS(INDIRECT("'"&amp;$C$100&amp;"'"&amp;"!$h:$h"),INDIRECT("'"&amp;$C$100&amp;"'"&amp;"!$a:$a"),$D102)/2</f>
        <v>809401.88000000035</v>
      </c>
      <c r="M102" s="83">
        <f ca="1">SUMIFS(INDIRECT("'"&amp;$C$100&amp;"'"&amp;"!$i:$i"),INDIRECT("'"&amp;$C$100&amp;"'"&amp;"!$a:$a"),$D102)/2</f>
        <v>848252.35000000102</v>
      </c>
      <c r="N102" s="83">
        <f ca="1">SUMIFS(INDIRECT("'"&amp;$C$100&amp;"'"&amp;"!$j:$j"),INDIRECT("'"&amp;$C$100&amp;"'"&amp;"!$a:$a"),$D102)/2</f>
        <v>850702.20000000007</v>
      </c>
      <c r="O102" s="83">
        <f ca="1">SUMIFS(INDIRECT("'"&amp;$C$100&amp;"'"&amp;"!$k:$k"),INDIRECT("'"&amp;$C$100&amp;"'"&amp;"!$a:$a"),$D102)/2</f>
        <v>798044.57999999984</v>
      </c>
      <c r="P102" s="83">
        <f ca="1">SUMIFS(INDIRECT("'"&amp;$C$100&amp;"'"&amp;"!$l:$l"),INDIRECT("'"&amp;$C$100&amp;"'"&amp;"!$a:$a"),$D102)/2</f>
        <v>777272.3600000001</v>
      </c>
      <c r="Q102" s="83">
        <f ca="1">SUMIFS(INDIRECT("'"&amp;$C$100&amp;"'"&amp;"!$m:$m"),INDIRECT("'"&amp;$C$100&amp;"'"&amp;"!$a:$a"),$D102)/2</f>
        <v>827756.17999999982</v>
      </c>
    </row>
    <row r="103" spans="2:17">
      <c r="D103" s="24" t="s">
        <v>253</v>
      </c>
      <c r="E103" s="83">
        <f t="shared" ca="1" si="119"/>
        <v>730.2299999999999</v>
      </c>
      <c r="F103" s="83">
        <f t="shared" ref="F103:F110" ca="1" si="120">SUMIFS(INDIRECT("'"&amp;$C$100&amp;"'"&amp;"!$b:$b"),INDIRECT("'"&amp;$C$100&amp;"'"&amp;"!$a:$a"),$D103)</f>
        <v>101.32</v>
      </c>
      <c r="G103" s="83">
        <f t="shared" ref="G103:G110" ca="1" si="121">SUMIFS(INDIRECT("'"&amp;$C$100&amp;"'"&amp;"!$c:$c"),INDIRECT("'"&amp;$C$100&amp;"'"&amp;"!$a:$a"),$D103)</f>
        <v>101.32</v>
      </c>
      <c r="H103" s="83">
        <f t="shared" ref="H103:H110" ca="1" si="122">SUMIFS(INDIRECT("'"&amp;$C$100&amp;"'"&amp;"!$d:$d"),INDIRECT("'"&amp;$C$100&amp;"'"&amp;"!$a:$a"),$D103)</f>
        <v>101.32</v>
      </c>
      <c r="I103" s="83">
        <f t="shared" ref="I103:I110" ca="1" si="123">SUMIFS(INDIRECT("'"&amp;$C$100&amp;"'"&amp;"!$e:$e"),INDIRECT("'"&amp;$C$100&amp;"'"&amp;"!$a:$a"),$D103)</f>
        <v>101.32</v>
      </c>
      <c r="J103" s="83">
        <f t="shared" ref="J103:J110" ca="1" si="124">SUMIFS(INDIRECT("'"&amp;$C$100&amp;"'"&amp;"!$f:$f"),INDIRECT("'"&amp;$C$100&amp;"'"&amp;"!$a:$a"),$D103)</f>
        <v>101.32</v>
      </c>
      <c r="K103" s="83">
        <f t="shared" ref="K103:K110" ca="1" si="125">SUMIFS(INDIRECT("'"&amp;$C$100&amp;"'"&amp;"!$g:$g"),INDIRECT("'"&amp;$C$100&amp;"'"&amp;"!$a:$a"),$D103)</f>
        <v>0</v>
      </c>
      <c r="L103" s="83">
        <f t="shared" ref="L103:L110" ca="1" si="126">SUMIFS(INDIRECT("'"&amp;$C$100&amp;"'"&amp;"!$h:$h"),INDIRECT("'"&amp;$C$100&amp;"'"&amp;"!$a:$a"),$D103)</f>
        <v>0</v>
      </c>
      <c r="M103" s="83">
        <f t="shared" ref="M103:M110" ca="1" si="127">SUMIFS(INDIRECT("'"&amp;$C$100&amp;"'"&amp;"!$i:$i"),INDIRECT("'"&amp;$C$100&amp;"'"&amp;"!$a:$a"),$D103)</f>
        <v>7.94</v>
      </c>
      <c r="N103" s="83">
        <f t="shared" ref="N103:N110" ca="1" si="128">SUMIFS(INDIRECT("'"&amp;$C$100&amp;"'"&amp;"!$j:$j"),INDIRECT("'"&amp;$C$100&amp;"'"&amp;"!$a:$a"),$D103)</f>
        <v>51.39</v>
      </c>
      <c r="O103" s="83">
        <f t="shared" ref="O103:O110" ca="1" si="129">SUMIFS(INDIRECT("'"&amp;$C$100&amp;"'"&amp;"!$k:$k"),INDIRECT("'"&amp;$C$100&amp;"'"&amp;"!$a:$a"),$D103)</f>
        <v>51.39</v>
      </c>
      <c r="P103" s="83">
        <f t="shared" ref="P103:P110" ca="1" si="130">SUMIFS(INDIRECT("'"&amp;$C$100&amp;"'"&amp;"!$l:$l"),INDIRECT("'"&amp;$C$100&amp;"'"&amp;"!$a:$a"),$D103)</f>
        <v>61.52</v>
      </c>
      <c r="Q103" s="83">
        <f t="shared" ref="Q103:Q110" ca="1" si="131">SUMIFS(INDIRECT("'"&amp;$C$100&amp;"'"&amp;"!$m:$m"),INDIRECT("'"&amp;$C$100&amp;"'"&amp;"!$a:$a"),$D103)</f>
        <v>51.39</v>
      </c>
    </row>
    <row r="104" spans="2:17">
      <c r="D104" s="24" t="s">
        <v>250</v>
      </c>
      <c r="E104" s="83">
        <f t="shared" ca="1" si="119"/>
        <v>81939.14</v>
      </c>
      <c r="F104" s="83">
        <f t="shared" ca="1" si="120"/>
        <v>6112.9500000000016</v>
      </c>
      <c r="G104" s="83">
        <f t="shared" ca="1" si="121"/>
        <v>6138.1200000000017</v>
      </c>
      <c r="H104" s="83">
        <f t="shared" ca="1" si="122"/>
        <v>6218.4400000000014</v>
      </c>
      <c r="I104" s="83">
        <f t="shared" ca="1" si="123"/>
        <v>6691.67</v>
      </c>
      <c r="J104" s="83">
        <f t="shared" ca="1" si="124"/>
        <v>6647.0300000000007</v>
      </c>
      <c r="K104" s="83">
        <f t="shared" ca="1" si="125"/>
        <v>6627.06</v>
      </c>
      <c r="L104" s="83">
        <f t="shared" ca="1" si="126"/>
        <v>6561.98</v>
      </c>
      <c r="M104" s="83">
        <f t="shared" ca="1" si="127"/>
        <v>7141.72</v>
      </c>
      <c r="N104" s="83">
        <f t="shared" ca="1" si="128"/>
        <v>7465.26</v>
      </c>
      <c r="O104" s="83">
        <f t="shared" ca="1" si="129"/>
        <v>7082.47</v>
      </c>
      <c r="P104" s="83">
        <f t="shared" ca="1" si="130"/>
        <v>7752.47</v>
      </c>
      <c r="Q104" s="83">
        <f t="shared" ca="1" si="131"/>
        <v>7499.97</v>
      </c>
    </row>
    <row r="105" spans="2:17">
      <c r="D105" s="24" t="s">
        <v>204</v>
      </c>
      <c r="E105" s="83">
        <f t="shared" ca="1" si="119"/>
        <v>295452</v>
      </c>
      <c r="F105" s="83">
        <f t="shared" ca="1" si="120"/>
        <v>38861</v>
      </c>
      <c r="G105" s="83">
        <f t="shared" ca="1" si="121"/>
        <v>35863</v>
      </c>
      <c r="H105" s="83">
        <f t="shared" ca="1" si="122"/>
        <v>41888</v>
      </c>
      <c r="I105" s="83">
        <f t="shared" ca="1" si="123"/>
        <v>39669</v>
      </c>
      <c r="J105" s="83">
        <f t="shared" ca="1" si="124"/>
        <v>-152406</v>
      </c>
      <c r="K105" s="83">
        <f t="shared" ca="1" si="125"/>
        <v>46471</v>
      </c>
      <c r="L105" s="83">
        <f t="shared" ca="1" si="126"/>
        <v>37882</v>
      </c>
      <c r="M105" s="83">
        <f t="shared" ca="1" si="127"/>
        <v>46444</v>
      </c>
      <c r="N105" s="83">
        <f t="shared" ca="1" si="128"/>
        <v>43054</v>
      </c>
      <c r="O105" s="83">
        <f t="shared" ca="1" si="129"/>
        <v>40561</v>
      </c>
      <c r="P105" s="83">
        <f t="shared" ca="1" si="130"/>
        <v>37103</v>
      </c>
      <c r="Q105" s="83">
        <f t="shared" ca="1" si="131"/>
        <v>40062</v>
      </c>
    </row>
    <row r="106" spans="2:17">
      <c r="D106" s="24" t="s">
        <v>252</v>
      </c>
      <c r="E106" s="83">
        <f t="shared" ca="1" si="119"/>
        <v>1653422.86</v>
      </c>
      <c r="F106" s="83">
        <f t="shared" ca="1" si="120"/>
        <v>134129</v>
      </c>
      <c r="G106" s="83">
        <f t="shared" ca="1" si="121"/>
        <v>137022.57999999999</v>
      </c>
      <c r="H106" s="83">
        <f t="shared" ca="1" si="122"/>
        <v>137022.57999999999</v>
      </c>
      <c r="I106" s="83">
        <f t="shared" ca="1" si="123"/>
        <v>137022.57999999999</v>
      </c>
      <c r="J106" s="83">
        <f t="shared" ca="1" si="124"/>
        <v>137022.57999999999</v>
      </c>
      <c r="K106" s="83">
        <f t="shared" ca="1" si="125"/>
        <v>137022.57999999999</v>
      </c>
      <c r="L106" s="83">
        <f t="shared" ca="1" si="126"/>
        <v>137022.57999999999</v>
      </c>
      <c r="M106" s="83">
        <f t="shared" ca="1" si="127"/>
        <v>137022.57999999999</v>
      </c>
      <c r="N106" s="83">
        <f t="shared" ca="1" si="128"/>
        <v>137022.57999999999</v>
      </c>
      <c r="O106" s="83">
        <f t="shared" ca="1" si="129"/>
        <v>137022.57999999999</v>
      </c>
      <c r="P106" s="83">
        <f t="shared" ca="1" si="130"/>
        <v>137022.57999999999</v>
      </c>
      <c r="Q106" s="83">
        <f t="shared" ca="1" si="131"/>
        <v>149068.06</v>
      </c>
    </row>
    <row r="107" spans="2:17">
      <c r="D107" s="24" t="s">
        <v>388</v>
      </c>
      <c r="E107" s="83">
        <f t="shared" ca="1" si="119"/>
        <v>-192000</v>
      </c>
      <c r="F107" s="83">
        <f t="shared" ca="1" si="120"/>
        <v>-16000</v>
      </c>
      <c r="G107" s="83">
        <f t="shared" ca="1" si="121"/>
        <v>-16000</v>
      </c>
      <c r="H107" s="83">
        <f t="shared" ca="1" si="122"/>
        <v>-16000</v>
      </c>
      <c r="I107" s="83">
        <f t="shared" ca="1" si="123"/>
        <v>-16000</v>
      </c>
      <c r="J107" s="83">
        <f t="shared" ca="1" si="124"/>
        <v>-16000</v>
      </c>
      <c r="K107" s="83">
        <f t="shared" ca="1" si="125"/>
        <v>-16000</v>
      </c>
      <c r="L107" s="83">
        <f t="shared" ca="1" si="126"/>
        <v>-16000</v>
      </c>
      <c r="M107" s="83">
        <f t="shared" ca="1" si="127"/>
        <v>-16000</v>
      </c>
      <c r="N107" s="83">
        <f t="shared" ca="1" si="128"/>
        <v>-16000</v>
      </c>
      <c r="O107" s="83">
        <f t="shared" ca="1" si="129"/>
        <v>-16000</v>
      </c>
      <c r="P107" s="83">
        <f t="shared" ca="1" si="130"/>
        <v>-16000</v>
      </c>
      <c r="Q107" s="83">
        <f t="shared" ca="1" si="131"/>
        <v>-16000</v>
      </c>
    </row>
    <row r="108" spans="2:17">
      <c r="D108" s="85" t="s">
        <v>321</v>
      </c>
      <c r="E108" s="83">
        <f t="shared" ca="1" si="119"/>
        <v>0</v>
      </c>
      <c r="F108" s="83">
        <f t="shared" ca="1" si="120"/>
        <v>0</v>
      </c>
      <c r="G108" s="83">
        <f t="shared" ca="1" si="121"/>
        <v>0</v>
      </c>
      <c r="H108" s="83">
        <f t="shared" ca="1" si="122"/>
        <v>0</v>
      </c>
      <c r="I108" s="83">
        <f t="shared" ca="1" si="123"/>
        <v>0</v>
      </c>
      <c r="J108" s="83">
        <f t="shared" ca="1" si="124"/>
        <v>0</v>
      </c>
      <c r="K108" s="83">
        <f t="shared" ca="1" si="125"/>
        <v>0</v>
      </c>
      <c r="L108" s="83">
        <f t="shared" ca="1" si="126"/>
        <v>0</v>
      </c>
      <c r="M108" s="83">
        <f t="shared" ca="1" si="127"/>
        <v>0</v>
      </c>
      <c r="N108" s="83">
        <f t="shared" ca="1" si="128"/>
        <v>0</v>
      </c>
      <c r="O108" s="83">
        <f t="shared" ca="1" si="129"/>
        <v>0</v>
      </c>
      <c r="P108" s="83">
        <f t="shared" ca="1" si="130"/>
        <v>0</v>
      </c>
      <c r="Q108" s="83">
        <f t="shared" ca="1" si="131"/>
        <v>0</v>
      </c>
    </row>
    <row r="109" spans="2:17">
      <c r="D109" s="85" t="s">
        <v>328</v>
      </c>
      <c r="E109" s="83">
        <f t="shared" ca="1" si="119"/>
        <v>0</v>
      </c>
      <c r="F109" s="83">
        <f t="shared" ca="1" si="120"/>
        <v>0</v>
      </c>
      <c r="G109" s="83">
        <f t="shared" ca="1" si="121"/>
        <v>0</v>
      </c>
      <c r="H109" s="83">
        <f t="shared" ca="1" si="122"/>
        <v>0</v>
      </c>
      <c r="I109" s="83">
        <f t="shared" ca="1" si="123"/>
        <v>0</v>
      </c>
      <c r="J109" s="83">
        <f t="shared" ca="1" si="124"/>
        <v>0</v>
      </c>
      <c r="K109" s="83">
        <f t="shared" ca="1" si="125"/>
        <v>0</v>
      </c>
      <c r="L109" s="83">
        <f t="shared" ca="1" si="126"/>
        <v>0</v>
      </c>
      <c r="M109" s="83">
        <f t="shared" ca="1" si="127"/>
        <v>0</v>
      </c>
      <c r="N109" s="83">
        <f t="shared" ca="1" si="128"/>
        <v>0</v>
      </c>
      <c r="O109" s="83">
        <f t="shared" ca="1" si="129"/>
        <v>0</v>
      </c>
      <c r="P109" s="83">
        <f t="shared" ca="1" si="130"/>
        <v>0</v>
      </c>
      <c r="Q109" s="83">
        <f t="shared" ca="1" si="131"/>
        <v>0</v>
      </c>
    </row>
    <row r="110" spans="2:17">
      <c r="D110" s="85" t="s">
        <v>282</v>
      </c>
      <c r="E110" s="83">
        <f t="shared" ca="1" si="119"/>
        <v>0</v>
      </c>
      <c r="F110" s="83">
        <f t="shared" ca="1" si="120"/>
        <v>0</v>
      </c>
      <c r="G110" s="86">
        <f t="shared" ca="1" si="121"/>
        <v>0</v>
      </c>
      <c r="H110" s="86">
        <f t="shared" ca="1" si="122"/>
        <v>0</v>
      </c>
      <c r="I110" s="86">
        <f t="shared" ca="1" si="123"/>
        <v>0</v>
      </c>
      <c r="J110" s="86">
        <f t="shared" ca="1" si="124"/>
        <v>0</v>
      </c>
      <c r="K110" s="86">
        <f t="shared" ca="1" si="125"/>
        <v>0</v>
      </c>
      <c r="L110" s="86">
        <f t="shared" ca="1" si="126"/>
        <v>0</v>
      </c>
      <c r="M110" s="86">
        <f t="shared" ca="1" si="127"/>
        <v>0</v>
      </c>
      <c r="N110" s="86">
        <f t="shared" ca="1" si="128"/>
        <v>0</v>
      </c>
      <c r="O110" s="86">
        <f t="shared" ca="1" si="129"/>
        <v>0</v>
      </c>
      <c r="P110" s="86">
        <f t="shared" ca="1" si="130"/>
        <v>0</v>
      </c>
      <c r="Q110" s="86">
        <f t="shared" ca="1" si="131"/>
        <v>0</v>
      </c>
    </row>
    <row r="111" spans="2:17">
      <c r="D111" s="85"/>
      <c r="F111" s="83"/>
      <c r="G111" s="83"/>
      <c r="H111" s="83"/>
      <c r="I111" s="83"/>
      <c r="J111" s="83"/>
      <c r="K111" s="83"/>
      <c r="L111" s="83"/>
      <c r="M111" s="83"/>
      <c r="N111" s="83"/>
      <c r="O111" s="83"/>
      <c r="P111" s="83"/>
      <c r="Q111" s="83"/>
    </row>
    <row r="112" spans="2:17">
      <c r="E112" s="84">
        <f t="shared" ref="E112:Q112" ca="1" si="132">+E102-SUM(E103:E110)</f>
        <v>7615420.1100000013</v>
      </c>
      <c r="F112" s="84">
        <f t="shared" ca="1" si="132"/>
        <v>639804.3200000003</v>
      </c>
      <c r="G112" s="84">
        <f t="shared" ca="1" si="132"/>
        <v>636442.00999999966</v>
      </c>
      <c r="H112" s="84">
        <f t="shared" ca="1" si="132"/>
        <v>675281.53999999992</v>
      </c>
      <c r="I112" s="84">
        <f t="shared" ca="1" si="132"/>
        <v>630979.64999999967</v>
      </c>
      <c r="J112" s="84">
        <f t="shared" ca="1" si="132"/>
        <v>546949.59999999963</v>
      </c>
      <c r="K112" s="84">
        <f t="shared" ca="1" si="132"/>
        <v>601547.90000000014</v>
      </c>
      <c r="L112" s="84">
        <f t="shared" ca="1" si="132"/>
        <v>643935.3200000003</v>
      </c>
      <c r="M112" s="84">
        <f t="shared" ca="1" si="132"/>
        <v>673636.11000000103</v>
      </c>
      <c r="N112" s="84">
        <f t="shared" ca="1" si="132"/>
        <v>679108.97000000009</v>
      </c>
      <c r="O112" s="84">
        <f t="shared" ca="1" si="132"/>
        <v>629327.1399999999</v>
      </c>
      <c r="P112" s="84">
        <f t="shared" ca="1" si="132"/>
        <v>611332.79000000015</v>
      </c>
      <c r="Q112" s="84">
        <f t="shared" ca="1" si="132"/>
        <v>647074.75999999978</v>
      </c>
    </row>
    <row r="113" spans="2:17">
      <c r="F113" s="83"/>
      <c r="G113" s="83"/>
      <c r="H113" s="83"/>
      <c r="I113" s="83"/>
      <c r="J113" s="83"/>
      <c r="K113" s="83"/>
      <c r="L113" s="83"/>
      <c r="M113" s="83"/>
      <c r="N113" s="83"/>
      <c r="O113" s="83"/>
      <c r="P113" s="83"/>
      <c r="Q113" s="83"/>
    </row>
    <row r="114" spans="2:17">
      <c r="C114" s="96" t="s">
        <v>330</v>
      </c>
      <c r="D114" s="24" t="s">
        <v>334</v>
      </c>
      <c r="E114" s="83">
        <f ca="1">SUM(F114:Q114)</f>
        <v>7597819</v>
      </c>
      <c r="F114" s="83">
        <f ca="1">+Summary!G68</f>
        <v>639806</v>
      </c>
      <c r="G114" s="83">
        <f ca="1">+Summary!H68</f>
        <v>636443</v>
      </c>
      <c r="H114" s="83">
        <f ca="1">+Summary!I68</f>
        <v>675283</v>
      </c>
      <c r="I114" s="83">
        <f ca="1">+Summary!J68</f>
        <v>630980</v>
      </c>
      <c r="J114" s="83">
        <f ca="1">+Summary!K68</f>
        <v>529343</v>
      </c>
      <c r="K114" s="83">
        <f ca="1">+Summary!L68</f>
        <v>601548</v>
      </c>
      <c r="L114" s="83">
        <f ca="1">+Summary!M68</f>
        <v>643934</v>
      </c>
      <c r="M114" s="83">
        <f ca="1">+Summary!N68</f>
        <v>673637</v>
      </c>
      <c r="N114" s="83">
        <f ca="1">+Summary!O68</f>
        <v>679109</v>
      </c>
      <c r="O114" s="83">
        <f ca="1">+Summary!P68</f>
        <v>629327</v>
      </c>
      <c r="P114" s="83">
        <f ca="1">+Summary!Q68</f>
        <v>611333</v>
      </c>
      <c r="Q114" s="83">
        <f ca="1">+Summary!R68</f>
        <v>647076</v>
      </c>
    </row>
    <row r="115" spans="2:17">
      <c r="E115" s="83">
        <f t="shared" ref="E115" ca="1" si="133">+E112-E114</f>
        <v>17601.110000001267</v>
      </c>
      <c r="F115" s="83">
        <f ca="1">+F112-F114</f>
        <v>-1.6799999997019768</v>
      </c>
      <c r="G115" s="83">
        <f t="shared" ref="G115" ca="1" si="134">+G112-G114</f>
        <v>-0.99000000033993274</v>
      </c>
      <c r="H115" s="83">
        <f t="shared" ref="H115" ca="1" si="135">+H112-H114</f>
        <v>-1.4600000000791624</v>
      </c>
      <c r="I115" s="83">
        <f t="shared" ref="I115" ca="1" si="136">+I112-I114</f>
        <v>-0.3500000003259629</v>
      </c>
      <c r="J115" s="83">
        <f t="shared" ref="J115" ca="1" si="137">+J112-J114</f>
        <v>17606.599999999627</v>
      </c>
      <c r="K115" s="83">
        <f t="shared" ref="K115" ca="1" si="138">+K112-K114</f>
        <v>-9.9999999860301614E-2</v>
      </c>
      <c r="L115" s="83">
        <f t="shared" ref="L115" ca="1" si="139">+L112-L114</f>
        <v>1.3200000002980232</v>
      </c>
      <c r="M115" s="83">
        <f t="shared" ref="M115" ca="1" si="140">+M112-M114</f>
        <v>-0.88999999896623194</v>
      </c>
      <c r="N115" s="83">
        <f t="shared" ref="N115" ca="1" si="141">+N112-N114</f>
        <v>-2.9999999911524355E-2</v>
      </c>
      <c r="O115" s="83">
        <f t="shared" ref="O115" ca="1" si="142">+O112-O114</f>
        <v>0.13999999989755452</v>
      </c>
      <c r="P115" s="83">
        <f t="shared" ref="P115" ca="1" si="143">+P112-P114</f>
        <v>-0.20999999984633178</v>
      </c>
      <c r="Q115" s="83">
        <f t="shared" ref="Q115" ca="1" si="144">+Q112-Q114</f>
        <v>-1.2400000002235174</v>
      </c>
    </row>
    <row r="118" spans="2:17">
      <c r="B118" s="24">
        <v>7</v>
      </c>
      <c r="C118" s="96" t="s">
        <v>274</v>
      </c>
    </row>
    <row r="119" spans="2:17">
      <c r="C119" s="88" t="s">
        <v>300</v>
      </c>
      <c r="E119" s="84" t="s">
        <v>335</v>
      </c>
      <c r="F119" s="97" t="str">
        <f>+Summary!$W$9</f>
        <v>Aug 2021</v>
      </c>
      <c r="G119" s="97" t="str">
        <f>+Summary!$X$9</f>
        <v>Sep 2021</v>
      </c>
      <c r="H119" s="97" t="str">
        <f>+Summary!$Y$9</f>
        <v>Oct 2021</v>
      </c>
      <c r="I119" s="97" t="str">
        <f>+Summary!$Z$9</f>
        <v>Nov 2021</v>
      </c>
      <c r="J119" s="97" t="str">
        <f>+Summary!$AA$9</f>
        <v>Dec 2021</v>
      </c>
      <c r="K119" s="97" t="str">
        <f>+Summary!$AB$9</f>
        <v>Jan 2022</v>
      </c>
      <c r="L119" s="97" t="str">
        <f>+Summary!$AC$9</f>
        <v>Feb 2022</v>
      </c>
      <c r="M119" s="97" t="str">
        <f>+Summary!$AD$9</f>
        <v>Mar 2022</v>
      </c>
      <c r="N119" s="97" t="str">
        <f>+Summary!$AE$9</f>
        <v>Apr 2022</v>
      </c>
      <c r="O119" s="97" t="str">
        <f>+Summary!$AF$9</f>
        <v>May 2022</v>
      </c>
      <c r="P119" s="97" t="str">
        <f>+Summary!$AG$9</f>
        <v>Jun 2022</v>
      </c>
      <c r="Q119" s="97" t="str">
        <f>+Summary!$AH$9</f>
        <v>Jul 2022</v>
      </c>
    </row>
    <row r="120" spans="2:17">
      <c r="C120" s="96" t="s">
        <v>331</v>
      </c>
      <c r="D120" s="96" t="s">
        <v>333</v>
      </c>
    </row>
    <row r="121" spans="2:17">
      <c r="D121" s="24" t="s">
        <v>62</v>
      </c>
      <c r="E121" s="83">
        <f t="shared" ref="E121:E129" ca="1" si="145">+SUM(F121:Q121)</f>
        <v>1871241.5</v>
      </c>
      <c r="F121" s="83">
        <f ca="1">SUMIFS(INDIRECT("'"&amp;$C$119&amp;"'"&amp;"!$b:$b"),INDIRECT("'"&amp;$C$119&amp;"'"&amp;"!$a:$a"),$D121)/2</f>
        <v>645780.13000000035</v>
      </c>
      <c r="G121" s="83">
        <f ca="1">SUMIFS(INDIRECT("'"&amp;$C$119&amp;"'"&amp;"!$c:$c"),INDIRECT("'"&amp;$C$119&amp;"'"&amp;"!$a:$a"),$D121)/2</f>
        <v>679451.05999999994</v>
      </c>
      <c r="H121" s="83">
        <f ca="1">SUMIFS(INDIRECT("'"&amp;$C$119&amp;"'"&amp;"!$d:$d"),INDIRECT("'"&amp;$C$119&amp;"'"&amp;"!$a:$a"),$D121)/2</f>
        <v>659756.73999999964</v>
      </c>
      <c r="I121" s="83">
        <f ca="1">SUMIFS(INDIRECT("'"&amp;$C$119&amp;"'"&amp;"!$e:$e"),INDIRECT("'"&amp;$C$119&amp;"'"&amp;"!$a:$a"),$D121)/2</f>
        <v>604362.31999999972</v>
      </c>
      <c r="J121" s="83">
        <f ca="1">SUMIFS(INDIRECT("'"&amp;$C$119&amp;"'"&amp;"!$f:$f"),INDIRECT("'"&amp;$C$119&amp;"'"&amp;"!$a:$a"),$D121)/2</f>
        <v>-718108.74999999965</v>
      </c>
      <c r="K121" s="83">
        <f ca="1">SUMIFS(INDIRECT("'"&amp;$C$119&amp;"'"&amp;"!$g:$g"),INDIRECT("'"&amp;$C$119&amp;"'"&amp;"!$a:$a"),$D121)/2</f>
        <v>625082.64000000071</v>
      </c>
      <c r="L121" s="83">
        <f ca="1">SUMIFS(INDIRECT("'"&amp;$C$119&amp;"'"&amp;"!$h:$h"),INDIRECT("'"&amp;$C$119&amp;"'"&amp;"!$a:$a"),$D121)/2</f>
        <v>627216.68000000017</v>
      </c>
      <c r="M121" s="83">
        <f ca="1">SUMIFS(INDIRECT("'"&amp;$C$119&amp;"'"&amp;"!$i:$i"),INDIRECT("'"&amp;$C$119&amp;"'"&amp;"!$a:$a"),$D121)/2</f>
        <v>702950.00999999978</v>
      </c>
      <c r="N121" s="83">
        <f ca="1">SUMIFS(INDIRECT("'"&amp;$C$119&amp;"'"&amp;"!$j:$j"),INDIRECT("'"&amp;$C$119&amp;"'"&amp;"!$a:$a"),$D121)/2</f>
        <v>605631.87000000011</v>
      </c>
      <c r="O121" s="83">
        <f ca="1">SUMIFS(INDIRECT("'"&amp;$C$119&amp;"'"&amp;"!$k:$k"),INDIRECT("'"&amp;$C$119&amp;"'"&amp;"!$a:$a"),$D121)/2</f>
        <v>527368.22999999975</v>
      </c>
      <c r="P121" s="83">
        <f ca="1">SUMIFS(INDIRECT("'"&amp;$C$119&amp;"'"&amp;"!$l:$l"),INDIRECT("'"&amp;$C$119&amp;"'"&amp;"!$a:$a"),$D121)/2</f>
        <v>-3088249.4300000006</v>
      </c>
      <c r="Q121" s="83">
        <f ca="1">SUMIFS(INDIRECT("'"&amp;$C$119&amp;"'"&amp;"!$m:$m"),INDIRECT("'"&amp;$C$119&amp;"'"&amp;"!$a:$a"),$D121)/2</f>
        <v>0</v>
      </c>
    </row>
    <row r="122" spans="2:17">
      <c r="D122" s="24" t="s">
        <v>253</v>
      </c>
      <c r="E122" s="83">
        <f t="shared" ca="1" si="145"/>
        <v>600.54999999999984</v>
      </c>
      <c r="F122" s="83">
        <f t="shared" ref="F122:F129" ca="1" si="146">SUMIFS(INDIRECT("'"&amp;$C$119&amp;"'"&amp;"!$b:$b"),INDIRECT("'"&amp;$C$119&amp;"'"&amp;"!$a:$a"),$D122)</f>
        <v>120.11</v>
      </c>
      <c r="G122" s="83">
        <f t="shared" ref="G122:G129" ca="1" si="147">SUMIFS(INDIRECT("'"&amp;$C$119&amp;"'"&amp;"!$c:$c"),INDIRECT("'"&amp;$C$119&amp;"'"&amp;"!$a:$a"),$D122)</f>
        <v>120.11</v>
      </c>
      <c r="H122" s="83">
        <f t="shared" ref="H122:H129" ca="1" si="148">SUMIFS(INDIRECT("'"&amp;$C$119&amp;"'"&amp;"!$d:$d"),INDIRECT("'"&amp;$C$119&amp;"'"&amp;"!$a:$a"),$D122)</f>
        <v>120.11</v>
      </c>
      <c r="I122" s="83">
        <f t="shared" ref="I122:I129" ca="1" si="149">SUMIFS(INDIRECT("'"&amp;$C$119&amp;"'"&amp;"!$e:$e"),INDIRECT("'"&amp;$C$119&amp;"'"&amp;"!$a:$a"),$D122)</f>
        <v>120.11</v>
      </c>
      <c r="J122" s="83">
        <f t="shared" ref="J122:J129" ca="1" si="150">SUMIFS(INDIRECT("'"&amp;$C$119&amp;"'"&amp;"!$f:$f"),INDIRECT("'"&amp;$C$119&amp;"'"&amp;"!$a:$a"),$D122)</f>
        <v>120.11</v>
      </c>
      <c r="K122" s="83">
        <f t="shared" ref="K122:K129" ca="1" si="151">SUMIFS(INDIRECT("'"&amp;$C$119&amp;"'"&amp;"!$g:$g"),INDIRECT("'"&amp;$C$119&amp;"'"&amp;"!$a:$a"),$D122)</f>
        <v>0</v>
      </c>
      <c r="L122" s="83">
        <f t="shared" ref="L122:L129" ca="1" si="152">SUMIFS(INDIRECT("'"&amp;$C$119&amp;"'"&amp;"!$h:$h"),INDIRECT("'"&amp;$C$119&amp;"'"&amp;"!$a:$a"),$D122)</f>
        <v>0</v>
      </c>
      <c r="M122" s="83">
        <f t="shared" ref="M122:M129" ca="1" si="153">SUMIFS(INDIRECT("'"&amp;$C$119&amp;"'"&amp;"!$i:$i"),INDIRECT("'"&amp;$C$119&amp;"'"&amp;"!$a:$a"),$D122)</f>
        <v>0</v>
      </c>
      <c r="N122" s="83">
        <f t="shared" ref="N122:N129" ca="1" si="154">SUMIFS(INDIRECT("'"&amp;$C$119&amp;"'"&amp;"!$j:$j"),INDIRECT("'"&amp;$C$119&amp;"'"&amp;"!$a:$a"),$D122)</f>
        <v>60.92</v>
      </c>
      <c r="O122" s="83">
        <f t="shared" ref="O122:O129" ca="1" si="155">SUMIFS(INDIRECT("'"&amp;$C$119&amp;"'"&amp;"!$k:$k"),INDIRECT("'"&amp;$C$119&amp;"'"&amp;"!$a:$a"),$D122)</f>
        <v>60.92</v>
      </c>
      <c r="P122" s="83">
        <f t="shared" ref="P122:P129" ca="1" si="156">SUMIFS(INDIRECT("'"&amp;$C$119&amp;"'"&amp;"!$l:$l"),INDIRECT("'"&amp;$C$119&amp;"'"&amp;"!$a:$a"),$D122)</f>
        <v>-121.84</v>
      </c>
      <c r="Q122" s="83">
        <f t="shared" ref="Q122:Q129" ca="1" si="157">SUMIFS(INDIRECT("'"&amp;$C$119&amp;"'"&amp;"!$m:$m"),INDIRECT("'"&amp;$C$119&amp;"'"&amp;"!$a:$a"),$D122)</f>
        <v>0</v>
      </c>
    </row>
    <row r="123" spans="2:17">
      <c r="D123" s="24" t="s">
        <v>250</v>
      </c>
      <c r="E123" s="83">
        <f t="shared" ca="1" si="145"/>
        <v>32698.18</v>
      </c>
      <c r="F123" s="83">
        <f t="shared" ca="1" si="146"/>
        <v>6770.32</v>
      </c>
      <c r="G123" s="83">
        <f t="shared" ca="1" si="147"/>
        <v>6626.59</v>
      </c>
      <c r="H123" s="83">
        <f t="shared" ca="1" si="148"/>
        <v>6523.35</v>
      </c>
      <c r="I123" s="83">
        <f t="shared" ca="1" si="149"/>
        <v>6415.8600000000015</v>
      </c>
      <c r="J123" s="83">
        <f t="shared" ca="1" si="150"/>
        <v>6362.0599999999986</v>
      </c>
      <c r="K123" s="83">
        <f t="shared" ca="1" si="151"/>
        <v>6362.0599999999995</v>
      </c>
      <c r="L123" s="83">
        <f t="shared" ca="1" si="152"/>
        <v>6048.369999999999</v>
      </c>
      <c r="M123" s="83">
        <f t="shared" ca="1" si="153"/>
        <v>6162.59</v>
      </c>
      <c r="N123" s="83">
        <f t="shared" ca="1" si="154"/>
        <v>6100.77</v>
      </c>
      <c r="O123" s="83">
        <f t="shared" ca="1" si="155"/>
        <v>6151.32</v>
      </c>
      <c r="P123" s="83">
        <f t="shared" ca="1" si="156"/>
        <v>-30825.11</v>
      </c>
      <c r="Q123" s="83">
        <f t="shared" ca="1" si="157"/>
        <v>0</v>
      </c>
    </row>
    <row r="124" spans="2:17">
      <c r="D124" s="24" t="s">
        <v>204</v>
      </c>
      <c r="E124" s="83">
        <f t="shared" ca="1" si="145"/>
        <v>-1261092</v>
      </c>
      <c r="F124" s="83">
        <f t="shared" ca="1" si="146"/>
        <v>29968</v>
      </c>
      <c r="G124" s="83">
        <f t="shared" ca="1" si="147"/>
        <v>30445</v>
      </c>
      <c r="H124" s="83">
        <f t="shared" ca="1" si="148"/>
        <v>29891</v>
      </c>
      <c r="I124" s="83">
        <f t="shared" ca="1" si="149"/>
        <v>22777</v>
      </c>
      <c r="J124" s="83">
        <f t="shared" ca="1" si="150"/>
        <v>-1374173</v>
      </c>
      <c r="K124" s="83">
        <f t="shared" ca="1" si="151"/>
        <v>24957</v>
      </c>
      <c r="L124" s="83">
        <f t="shared" ca="1" si="152"/>
        <v>28336</v>
      </c>
      <c r="M124" s="83">
        <f t="shared" ca="1" si="153"/>
        <v>28584</v>
      </c>
      <c r="N124" s="83">
        <f t="shared" ca="1" si="154"/>
        <v>28507</v>
      </c>
      <c r="O124" s="83">
        <f ca="1">SUMIFS(INDIRECT("'"&amp;$C$119&amp;"'"&amp;"!$k:$k"),INDIRECT("'"&amp;$C$119&amp;"'"&amp;"!$a:$a"),$D124)</f>
        <v>26033</v>
      </c>
      <c r="P124" s="83">
        <f t="shared" ca="1" si="156"/>
        <v>-136417</v>
      </c>
      <c r="Q124" s="83">
        <f t="shared" ca="1" si="157"/>
        <v>0</v>
      </c>
    </row>
    <row r="125" spans="2:17">
      <c r="D125" s="24" t="s">
        <v>252</v>
      </c>
      <c r="E125" s="83">
        <f t="shared" ca="1" si="145"/>
        <v>433299.31999999995</v>
      </c>
      <c r="F125" s="83">
        <f t="shared" ca="1" si="146"/>
        <v>85129</v>
      </c>
      <c r="G125" s="83">
        <f t="shared" ca="1" si="147"/>
        <v>87042.58</v>
      </c>
      <c r="H125" s="83">
        <f t="shared" ca="1" si="148"/>
        <v>87042.58</v>
      </c>
      <c r="I125" s="83">
        <f t="shared" ca="1" si="149"/>
        <v>87042.58</v>
      </c>
      <c r="J125" s="83">
        <f t="shared" ca="1" si="150"/>
        <v>87042.58</v>
      </c>
      <c r="K125" s="83">
        <f t="shared" ca="1" si="151"/>
        <v>87042.58</v>
      </c>
      <c r="L125" s="83">
        <f t="shared" ca="1" si="152"/>
        <v>87042.58</v>
      </c>
      <c r="M125" s="83">
        <f t="shared" ca="1" si="153"/>
        <v>87042.58</v>
      </c>
      <c r="N125" s="83">
        <f t="shared" ca="1" si="154"/>
        <v>87042.58</v>
      </c>
      <c r="O125" s="83">
        <f t="shared" ca="1" si="155"/>
        <v>87042.58</v>
      </c>
      <c r="P125" s="83">
        <f t="shared" ca="1" si="156"/>
        <v>-435212.9</v>
      </c>
      <c r="Q125" s="83">
        <f t="shared" ca="1" si="157"/>
        <v>0</v>
      </c>
    </row>
    <row r="126" spans="2:17">
      <c r="D126" s="24" t="s">
        <v>286</v>
      </c>
      <c r="E126" s="83">
        <f t="shared" ca="1" si="145"/>
        <v>0</v>
      </c>
      <c r="F126" s="83">
        <f t="shared" ca="1" si="146"/>
        <v>0</v>
      </c>
      <c r="G126" s="83">
        <f t="shared" ca="1" si="147"/>
        <v>0</v>
      </c>
      <c r="H126" s="83">
        <f t="shared" ca="1" si="148"/>
        <v>0</v>
      </c>
      <c r="I126" s="83">
        <f t="shared" ca="1" si="149"/>
        <v>0</v>
      </c>
      <c r="J126" s="83">
        <f t="shared" ca="1" si="150"/>
        <v>0</v>
      </c>
      <c r="K126" s="83">
        <f t="shared" ca="1" si="151"/>
        <v>0</v>
      </c>
      <c r="L126" s="83">
        <f t="shared" ca="1" si="152"/>
        <v>0</v>
      </c>
      <c r="M126" s="83">
        <f t="shared" ca="1" si="153"/>
        <v>0</v>
      </c>
      <c r="N126" s="83">
        <f t="shared" ca="1" si="154"/>
        <v>0</v>
      </c>
      <c r="O126" s="83">
        <f t="shared" ca="1" si="155"/>
        <v>0</v>
      </c>
      <c r="P126" s="83">
        <f t="shared" ca="1" si="156"/>
        <v>0</v>
      </c>
      <c r="Q126" s="83">
        <f t="shared" ca="1" si="157"/>
        <v>0</v>
      </c>
    </row>
    <row r="127" spans="2:17">
      <c r="D127" s="85" t="s">
        <v>321</v>
      </c>
      <c r="E127" s="83">
        <f t="shared" ca="1" si="145"/>
        <v>209.23000000000002</v>
      </c>
      <c r="F127" s="83">
        <f t="shared" ca="1" si="146"/>
        <v>209.23</v>
      </c>
      <c r="G127" s="83">
        <f t="shared" ca="1" si="147"/>
        <v>0</v>
      </c>
      <c r="H127" s="83">
        <f t="shared" ca="1" si="148"/>
        <v>0</v>
      </c>
      <c r="I127" s="83">
        <f t="shared" ca="1" si="149"/>
        <v>0</v>
      </c>
      <c r="J127" s="83">
        <f t="shared" ca="1" si="150"/>
        <v>0</v>
      </c>
      <c r="K127" s="83">
        <f t="shared" ca="1" si="151"/>
        <v>0</v>
      </c>
      <c r="L127" s="83">
        <f t="shared" ca="1" si="152"/>
        <v>300</v>
      </c>
      <c r="M127" s="83">
        <f t="shared" ca="1" si="153"/>
        <v>0</v>
      </c>
      <c r="N127" s="83">
        <f t="shared" ca="1" si="154"/>
        <v>0</v>
      </c>
      <c r="O127" s="83">
        <f t="shared" ca="1" si="155"/>
        <v>0</v>
      </c>
      <c r="P127" s="83">
        <f t="shared" ca="1" si="156"/>
        <v>-300</v>
      </c>
      <c r="Q127" s="83">
        <f t="shared" ca="1" si="157"/>
        <v>0</v>
      </c>
    </row>
    <row r="128" spans="2:17">
      <c r="D128" s="85" t="s">
        <v>328</v>
      </c>
      <c r="E128" s="83">
        <f t="shared" ca="1" si="145"/>
        <v>0</v>
      </c>
      <c r="F128" s="83">
        <f t="shared" ca="1" si="146"/>
        <v>0</v>
      </c>
      <c r="G128" s="83">
        <f t="shared" ca="1" si="147"/>
        <v>0</v>
      </c>
      <c r="H128" s="83">
        <f t="shared" ca="1" si="148"/>
        <v>0</v>
      </c>
      <c r="I128" s="83">
        <f t="shared" ca="1" si="149"/>
        <v>0</v>
      </c>
      <c r="J128" s="83">
        <f t="shared" ca="1" si="150"/>
        <v>0</v>
      </c>
      <c r="K128" s="83">
        <f t="shared" ca="1" si="151"/>
        <v>0</v>
      </c>
      <c r="L128" s="83">
        <f t="shared" ca="1" si="152"/>
        <v>0</v>
      </c>
      <c r="M128" s="83">
        <f t="shared" ca="1" si="153"/>
        <v>0</v>
      </c>
      <c r="N128" s="83">
        <f t="shared" ca="1" si="154"/>
        <v>0</v>
      </c>
      <c r="O128" s="83">
        <f t="shared" ca="1" si="155"/>
        <v>0</v>
      </c>
      <c r="P128" s="83">
        <f t="shared" ca="1" si="156"/>
        <v>0</v>
      </c>
      <c r="Q128" s="83">
        <f t="shared" ca="1" si="157"/>
        <v>0</v>
      </c>
    </row>
    <row r="129" spans="2:17">
      <c r="D129" s="85" t="s">
        <v>282</v>
      </c>
      <c r="E129" s="83">
        <f t="shared" ca="1" si="145"/>
        <v>0</v>
      </c>
      <c r="F129" s="83">
        <f t="shared" ca="1" si="146"/>
        <v>0</v>
      </c>
      <c r="G129" s="86">
        <f t="shared" ca="1" si="147"/>
        <v>0</v>
      </c>
      <c r="H129" s="86">
        <f t="shared" ca="1" si="148"/>
        <v>0</v>
      </c>
      <c r="I129" s="86">
        <f t="shared" ca="1" si="149"/>
        <v>0</v>
      </c>
      <c r="J129" s="86">
        <f t="shared" ca="1" si="150"/>
        <v>0</v>
      </c>
      <c r="K129" s="86">
        <f t="shared" ca="1" si="151"/>
        <v>0</v>
      </c>
      <c r="L129" s="86">
        <f t="shared" ca="1" si="152"/>
        <v>0</v>
      </c>
      <c r="M129" s="86">
        <f t="shared" ca="1" si="153"/>
        <v>0</v>
      </c>
      <c r="N129" s="86">
        <f t="shared" ca="1" si="154"/>
        <v>0</v>
      </c>
      <c r="O129" s="86">
        <f t="shared" ca="1" si="155"/>
        <v>0</v>
      </c>
      <c r="P129" s="86">
        <f t="shared" ca="1" si="156"/>
        <v>0</v>
      </c>
      <c r="Q129" s="86">
        <f t="shared" ca="1" si="157"/>
        <v>0</v>
      </c>
    </row>
    <row r="130" spans="2:17">
      <c r="D130" s="85"/>
      <c r="F130" s="83"/>
      <c r="G130" s="83"/>
      <c r="H130" s="83"/>
      <c r="I130" s="83"/>
      <c r="J130" s="83"/>
      <c r="K130" s="83"/>
      <c r="L130" s="83"/>
      <c r="M130" s="83"/>
      <c r="N130" s="83"/>
      <c r="O130" s="83"/>
      <c r="P130" s="83"/>
      <c r="Q130" s="83"/>
    </row>
    <row r="131" spans="2:17">
      <c r="E131" s="84">
        <f t="shared" ref="E131:Q131" ca="1" si="158">+E121-SUM(E122:E129)</f>
        <v>2665526.2200000002</v>
      </c>
      <c r="F131" s="84">
        <f t="shared" ca="1" si="158"/>
        <v>523583.47000000038</v>
      </c>
      <c r="G131" s="84">
        <f t="shared" ca="1" si="158"/>
        <v>555216.77999999991</v>
      </c>
      <c r="H131" s="84">
        <f t="shared" ca="1" si="158"/>
        <v>536179.6999999996</v>
      </c>
      <c r="I131" s="84">
        <f t="shared" ca="1" si="158"/>
        <v>488006.76999999973</v>
      </c>
      <c r="J131" s="84">
        <f t="shared" ca="1" si="158"/>
        <v>562539.50000000035</v>
      </c>
      <c r="K131" s="84">
        <f t="shared" ca="1" si="158"/>
        <v>506721.0000000007</v>
      </c>
      <c r="L131" s="84">
        <f t="shared" ca="1" si="158"/>
        <v>505489.73000000016</v>
      </c>
      <c r="M131" s="84">
        <f t="shared" ca="1" si="158"/>
        <v>581160.83999999973</v>
      </c>
      <c r="N131" s="84">
        <f t="shared" ca="1" si="158"/>
        <v>483920.60000000009</v>
      </c>
      <c r="O131" s="84">
        <f t="shared" ca="1" si="158"/>
        <v>408080.40999999974</v>
      </c>
      <c r="P131" s="84">
        <f t="shared" ca="1" si="158"/>
        <v>-2485372.5800000005</v>
      </c>
      <c r="Q131" s="84">
        <f t="shared" ca="1" si="158"/>
        <v>0</v>
      </c>
    </row>
    <row r="132" spans="2:17">
      <c r="F132" s="83"/>
      <c r="G132" s="83"/>
      <c r="H132" s="83"/>
      <c r="I132" s="83"/>
      <c r="J132" s="83"/>
      <c r="K132" s="83"/>
      <c r="L132" s="83"/>
      <c r="M132" s="83"/>
      <c r="N132" s="83"/>
      <c r="O132" s="83"/>
      <c r="P132" s="83"/>
      <c r="Q132" s="83"/>
    </row>
    <row r="133" spans="2:17">
      <c r="C133" s="96" t="s">
        <v>330</v>
      </c>
      <c r="D133" s="24" t="s">
        <v>334</v>
      </c>
      <c r="E133" s="83">
        <f ca="1">SUM(F133:Q133)</f>
        <v>5421169</v>
      </c>
      <c r="F133" s="83">
        <f ca="1">+Summary!G79</f>
        <v>523584</v>
      </c>
      <c r="G133" s="83">
        <f ca="1">+Summary!H79</f>
        <v>555217</v>
      </c>
      <c r="H133" s="83">
        <f ca="1">+Summary!I79</f>
        <v>536180</v>
      </c>
      <c r="I133" s="83">
        <f ca="1">+Summary!J79</f>
        <v>488007</v>
      </c>
      <c r="J133" s="83">
        <f ca="1">+Summary!K79</f>
        <v>441540</v>
      </c>
      <c r="K133" s="83">
        <f ca="1">+Summary!L79</f>
        <v>506721</v>
      </c>
      <c r="L133" s="83">
        <f ca="1">+Summary!M79</f>
        <v>505492</v>
      </c>
      <c r="M133" s="83">
        <f ca="1">+Summary!N79</f>
        <v>581160</v>
      </c>
      <c r="N133" s="83">
        <f ca="1">+Summary!O79</f>
        <v>483920</v>
      </c>
      <c r="O133" s="83">
        <f ca="1">+Summary!P79</f>
        <v>408082</v>
      </c>
      <c r="P133" s="83">
        <f ca="1">+Summary!Q79</f>
        <v>391266</v>
      </c>
      <c r="Q133" s="83">
        <f ca="1">+Summary!R79</f>
        <v>0</v>
      </c>
    </row>
    <row r="134" spans="2:17">
      <c r="E134" s="83">
        <f t="shared" ref="E134" ca="1" si="159">+E131-E133</f>
        <v>-2755642.78</v>
      </c>
      <c r="F134" s="83">
        <f ca="1">+F131-F133</f>
        <v>-0.52999999962048605</v>
      </c>
      <c r="G134" s="83">
        <f t="shared" ref="G134" ca="1" si="160">+G131-G133</f>
        <v>-0.22000000008847564</v>
      </c>
      <c r="H134" s="83">
        <f t="shared" ref="H134" ca="1" si="161">+H131-H133</f>
        <v>-0.30000000039581209</v>
      </c>
      <c r="I134" s="83">
        <f t="shared" ref="I134" ca="1" si="162">+I131-I133</f>
        <v>-0.23000000027241185</v>
      </c>
      <c r="J134" s="83">
        <f t="shared" ref="J134" ca="1" si="163">+J131-J133</f>
        <v>120999.50000000035</v>
      </c>
      <c r="K134" s="83">
        <f t="shared" ref="K134" ca="1" si="164">+K131-K133</f>
        <v>6.9849193096160889E-10</v>
      </c>
      <c r="L134" s="83">
        <f t="shared" ref="L134" ca="1" si="165">+L131-L133</f>
        <v>-2.2699999998440035</v>
      </c>
      <c r="M134" s="83">
        <f t="shared" ref="M134" ca="1" si="166">+M131-M133</f>
        <v>0.83999999973457307</v>
      </c>
      <c r="N134" s="83">
        <f t="shared" ref="N134" ca="1" si="167">+N131-N133</f>
        <v>0.60000000009313226</v>
      </c>
      <c r="O134" s="83">
        <f t="shared" ref="O134" ca="1" si="168">+O131-O133</f>
        <v>-1.590000000258442</v>
      </c>
      <c r="P134" s="83">
        <f t="shared" ref="P134" ca="1" si="169">+P131-P133</f>
        <v>-2876638.5800000005</v>
      </c>
      <c r="Q134" s="83">
        <f t="shared" ref="Q134" ca="1" si="170">+Q131-Q133</f>
        <v>0</v>
      </c>
    </row>
    <row r="137" spans="2:17">
      <c r="B137" s="24">
        <v>8</v>
      </c>
      <c r="C137" s="96" t="s">
        <v>275</v>
      </c>
    </row>
    <row r="138" spans="2:17">
      <c r="C138" s="88" t="s">
        <v>301</v>
      </c>
      <c r="E138" s="84" t="s">
        <v>335</v>
      </c>
      <c r="F138" s="97" t="str">
        <f>+Summary!$W$9</f>
        <v>Aug 2021</v>
      </c>
      <c r="G138" s="97" t="str">
        <f>+Summary!$X$9</f>
        <v>Sep 2021</v>
      </c>
      <c r="H138" s="97" t="str">
        <f>+Summary!$Y$9</f>
        <v>Oct 2021</v>
      </c>
      <c r="I138" s="97" t="str">
        <f>+Summary!$Z$9</f>
        <v>Nov 2021</v>
      </c>
      <c r="J138" s="97" t="str">
        <f>+Summary!$AA$9</f>
        <v>Dec 2021</v>
      </c>
      <c r="K138" s="97" t="str">
        <f>+Summary!$AB$9</f>
        <v>Jan 2022</v>
      </c>
      <c r="L138" s="97" t="str">
        <f>+Summary!$AC$9</f>
        <v>Feb 2022</v>
      </c>
      <c r="M138" s="97" t="str">
        <f>+Summary!$AD$9</f>
        <v>Mar 2022</v>
      </c>
      <c r="N138" s="97" t="str">
        <f>+Summary!$AE$9</f>
        <v>Apr 2022</v>
      </c>
      <c r="O138" s="97" t="str">
        <f>+Summary!$AF$9</f>
        <v>May 2022</v>
      </c>
      <c r="P138" s="97" t="str">
        <f>+Summary!$AG$9</f>
        <v>Jun 2022</v>
      </c>
      <c r="Q138" s="97" t="str">
        <f>+Summary!$AH$9</f>
        <v>Jul 2022</v>
      </c>
    </row>
    <row r="139" spans="2:17">
      <c r="C139" s="96" t="s">
        <v>331</v>
      </c>
      <c r="D139" s="96" t="s">
        <v>333</v>
      </c>
    </row>
    <row r="140" spans="2:17">
      <c r="D140" s="24" t="s">
        <v>62</v>
      </c>
      <c r="E140" s="83">
        <f t="shared" ref="E140:E148" ca="1" si="171">+SUM(F140:Q140)</f>
        <v>4508768.3399999989</v>
      </c>
      <c r="F140" s="83">
        <f ca="1">SUMIFS(INDIRECT("'"&amp;$C$138&amp;"'"&amp;"!$b:$b"),INDIRECT("'"&amp;$C$138&amp;"'"&amp;"!$a:$a"),$D140)/2</f>
        <v>369158.19999999995</v>
      </c>
      <c r="G140" s="83">
        <f ca="1">SUMIFS(INDIRECT("'"&amp;$C$138&amp;"'"&amp;"!$c:$c"),INDIRECT("'"&amp;$C$138&amp;"'"&amp;"!$a:$a"),$D140)/2</f>
        <v>383191.48000000045</v>
      </c>
      <c r="H140" s="83">
        <f ca="1">SUMIFS(INDIRECT("'"&amp;$C$138&amp;"'"&amp;"!$d:$d"),INDIRECT("'"&amp;$C$138&amp;"'"&amp;"!$a:$a"),$D140)/2</f>
        <v>325909.26</v>
      </c>
      <c r="I140" s="83">
        <f ca="1">SUMIFS(INDIRECT("'"&amp;$C$138&amp;"'"&amp;"!$e:$e"),INDIRECT("'"&amp;$C$138&amp;"'"&amp;"!$a:$a"),$D140)/2</f>
        <v>349688.74999999994</v>
      </c>
      <c r="J140" s="83">
        <f ca="1">SUMIFS(INDIRECT("'"&amp;$C$138&amp;"'"&amp;"!$f:$f"),INDIRECT("'"&amp;$C$138&amp;"'"&amp;"!$a:$a"),$D140)/2</f>
        <v>422992.08</v>
      </c>
      <c r="K140" s="83">
        <f ca="1">SUMIFS(INDIRECT("'"&amp;$C$138&amp;"'"&amp;"!$g:$g"),INDIRECT("'"&amp;$C$138&amp;"'"&amp;"!$a:$a"),$D140)/2</f>
        <v>340307.32999999967</v>
      </c>
      <c r="L140" s="83">
        <f ca="1">SUMIFS(INDIRECT("'"&amp;$C$138&amp;"'"&amp;"!$h:$h"),INDIRECT("'"&amp;$C$138&amp;"'"&amp;"!$a:$a"),$D140)/2</f>
        <v>372609.20999999967</v>
      </c>
      <c r="M140" s="83">
        <f ca="1">SUMIFS(INDIRECT("'"&amp;$C$138&amp;"'"&amp;"!$i:$i"),INDIRECT("'"&amp;$C$138&amp;"'"&amp;"!$a:$a"),$D140)/2</f>
        <v>416796.60999999993</v>
      </c>
      <c r="N140" s="83">
        <f ca="1">SUMIFS(INDIRECT("'"&amp;$C$138&amp;"'"&amp;"!$j:$j"),INDIRECT("'"&amp;$C$138&amp;"'"&amp;"!$a:$a"),$D140)/2</f>
        <v>351029.27000000019</v>
      </c>
      <c r="O140" s="83">
        <f ca="1">SUMIFS(INDIRECT("'"&amp;$C$138&amp;"'"&amp;"!$k:$k"),INDIRECT("'"&amp;$C$138&amp;"'"&amp;"!$a:$a"),$D140)/2</f>
        <v>386532.4</v>
      </c>
      <c r="P140" s="83">
        <f ca="1">SUMIFS(INDIRECT("'"&amp;$C$138&amp;"'"&amp;"!$l:$l"),INDIRECT("'"&amp;$C$138&amp;"'"&amp;"!$a:$a"),$D140)/2</f>
        <v>359419.75999999995</v>
      </c>
      <c r="Q140" s="83">
        <f ca="1">SUMIFS(INDIRECT("'"&amp;$C$138&amp;"'"&amp;"!$m:$m"),INDIRECT("'"&amp;$C$138&amp;"'"&amp;"!$a:$a"),$D140)/2</f>
        <v>431133.98999999982</v>
      </c>
    </row>
    <row r="141" spans="2:17">
      <c r="D141" s="24" t="s">
        <v>253</v>
      </c>
      <c r="E141" s="83">
        <f t="shared" ca="1" si="171"/>
        <v>1157.82</v>
      </c>
      <c r="F141" s="83">
        <f t="shared" ref="F141:F148" ca="1" si="172">SUMIFS(INDIRECT("'"&amp;$C$138&amp;"'"&amp;"!$b:$b"),INDIRECT("'"&amp;$C$138&amp;"'"&amp;"!$a:$a"),$D141)</f>
        <v>158.1</v>
      </c>
      <c r="G141" s="83">
        <f t="shared" ref="G141:G148" ca="1" si="173">SUMIFS(INDIRECT("'"&amp;$C$138&amp;"'"&amp;"!$c:$c"),INDIRECT("'"&amp;$C$138&amp;"'"&amp;"!$a:$a"),$D141)</f>
        <v>157.06</v>
      </c>
      <c r="H141" s="83">
        <f t="shared" ref="H141:H148" ca="1" si="174">SUMIFS(INDIRECT("'"&amp;$C$138&amp;"'"&amp;"!$d:$d"),INDIRECT("'"&amp;$C$138&amp;"'"&amp;"!$a:$a"),$D141)</f>
        <v>148.5</v>
      </c>
      <c r="I141" s="83">
        <f t="shared" ref="I141:I148" ca="1" si="175">SUMIFS(INDIRECT("'"&amp;$C$138&amp;"'"&amp;"!$e:$e"),INDIRECT("'"&amp;$C$138&amp;"'"&amp;"!$a:$a"),$D141)</f>
        <v>141.46</v>
      </c>
      <c r="J141" s="83">
        <f t="shared" ref="J141:J148" ca="1" si="176">SUMIFS(INDIRECT("'"&amp;$C$138&amp;"'"&amp;"!$f:$f"),INDIRECT("'"&amp;$C$138&amp;"'"&amp;"!$a:$a"),$D141)</f>
        <v>48.64</v>
      </c>
      <c r="K141" s="83">
        <f t="shared" ref="K141:K148" ca="1" si="177">SUMIFS(INDIRECT("'"&amp;$C$138&amp;"'"&amp;"!$g:$g"),INDIRECT("'"&amp;$C$138&amp;"'"&amp;"!$a:$a"),$D141)</f>
        <v>0</v>
      </c>
      <c r="L141" s="83">
        <f t="shared" ref="L141:L148" ca="1" si="178">SUMIFS(INDIRECT("'"&amp;$C$138&amp;"'"&amp;"!$h:$h"),INDIRECT("'"&amp;$C$138&amp;"'"&amp;"!$a:$a"),$D141)</f>
        <v>0</v>
      </c>
      <c r="M141" s="83">
        <f t="shared" ref="M141:M148" ca="1" si="179">SUMIFS(INDIRECT("'"&amp;$C$138&amp;"'"&amp;"!$i:$i"),INDIRECT("'"&amp;$C$138&amp;"'"&amp;"!$a:$a"),$D141)</f>
        <v>93.42</v>
      </c>
      <c r="N141" s="83">
        <f t="shared" ref="N141:N148" ca="1" si="180">SUMIFS(INDIRECT("'"&amp;$C$138&amp;"'"&amp;"!$j:$j"),INDIRECT("'"&amp;$C$138&amp;"'"&amp;"!$a:$a"),$D141)</f>
        <v>113.77</v>
      </c>
      <c r="O141" s="83">
        <f t="shared" ref="O141:O148" ca="1" si="181">SUMIFS(INDIRECT("'"&amp;$C$138&amp;"'"&amp;"!$k:$k"),INDIRECT("'"&amp;$C$138&amp;"'"&amp;"!$a:$a"),$D141)</f>
        <v>113.77</v>
      </c>
      <c r="P141" s="83">
        <f t="shared" ref="P141:P148" ca="1" si="182">SUMIFS(INDIRECT("'"&amp;$C$138&amp;"'"&amp;"!$l:$l"),INDIRECT("'"&amp;$C$138&amp;"'"&amp;"!$a:$a"),$D141)</f>
        <v>91.55</v>
      </c>
      <c r="Q141" s="83">
        <f t="shared" ref="Q141:Q148" ca="1" si="183">SUMIFS(INDIRECT("'"&amp;$C$138&amp;"'"&amp;"!$m:$m"),INDIRECT("'"&amp;$C$138&amp;"'"&amp;"!$a:$a"),$D141)</f>
        <v>91.55</v>
      </c>
    </row>
    <row r="142" spans="2:17">
      <c r="D142" s="24" t="s">
        <v>250</v>
      </c>
      <c r="E142" s="83">
        <f t="shared" ca="1" si="171"/>
        <v>59778.299999999996</v>
      </c>
      <c r="F142" s="83">
        <f t="shared" ca="1" si="172"/>
        <v>5080.47</v>
      </c>
      <c r="G142" s="83">
        <f t="shared" ca="1" si="173"/>
        <v>5118.47</v>
      </c>
      <c r="H142" s="83">
        <f t="shared" ca="1" si="174"/>
        <v>5030.07</v>
      </c>
      <c r="I142" s="83">
        <f t="shared" ca="1" si="175"/>
        <v>5030.07</v>
      </c>
      <c r="J142" s="83">
        <f t="shared" ca="1" si="176"/>
        <v>5112.46</v>
      </c>
      <c r="K142" s="83">
        <f t="shared" ca="1" si="177"/>
        <v>5112.46</v>
      </c>
      <c r="L142" s="83">
        <f t="shared" ca="1" si="178"/>
        <v>4959.63</v>
      </c>
      <c r="M142" s="83">
        <f t="shared" ca="1" si="179"/>
        <v>4940.84</v>
      </c>
      <c r="N142" s="83">
        <f t="shared" ca="1" si="180"/>
        <v>4872.03</v>
      </c>
      <c r="O142" s="83">
        <f t="shared" ca="1" si="181"/>
        <v>4849.34</v>
      </c>
      <c r="P142" s="83">
        <f t="shared" ca="1" si="182"/>
        <v>4838.18</v>
      </c>
      <c r="Q142" s="83">
        <f t="shared" ca="1" si="183"/>
        <v>4834.2800000000007</v>
      </c>
    </row>
    <row r="143" spans="2:17">
      <c r="D143" s="24" t="s">
        <v>204</v>
      </c>
      <c r="E143" s="83">
        <f t="shared" ca="1" si="171"/>
        <v>208621</v>
      </c>
      <c r="F143" s="83">
        <f t="shared" ca="1" si="172"/>
        <v>15340</v>
      </c>
      <c r="G143" s="83">
        <f t="shared" ca="1" si="173"/>
        <v>15325</v>
      </c>
      <c r="H143" s="83">
        <f t="shared" ca="1" si="174"/>
        <v>18888</v>
      </c>
      <c r="I143" s="83">
        <f t="shared" ca="1" si="175"/>
        <v>17858</v>
      </c>
      <c r="J143" s="83">
        <f t="shared" ca="1" si="176"/>
        <v>17188</v>
      </c>
      <c r="K143" s="83">
        <f t="shared" ca="1" si="177"/>
        <v>17857</v>
      </c>
      <c r="L143" s="83">
        <f t="shared" ca="1" si="178"/>
        <v>16810</v>
      </c>
      <c r="M143" s="83">
        <f t="shared" ca="1" si="179"/>
        <v>18752</v>
      </c>
      <c r="N143" s="83">
        <f t="shared" ca="1" si="180"/>
        <v>16573</v>
      </c>
      <c r="O143" s="83">
        <f t="shared" ca="1" si="181"/>
        <v>17649</v>
      </c>
      <c r="P143" s="83">
        <f t="shared" ca="1" si="182"/>
        <v>16800</v>
      </c>
      <c r="Q143" s="83">
        <f t="shared" ca="1" si="183"/>
        <v>19581</v>
      </c>
    </row>
    <row r="144" spans="2:17">
      <c r="D144" s="24" t="s">
        <v>252</v>
      </c>
      <c r="E144" s="83">
        <f t="shared" ca="1" si="171"/>
        <v>351572.0400000001</v>
      </c>
      <c r="F144" s="83">
        <f t="shared" ca="1" si="172"/>
        <v>28379</v>
      </c>
      <c r="G144" s="83">
        <f t="shared" ca="1" si="173"/>
        <v>29157.58</v>
      </c>
      <c r="H144" s="83">
        <f t="shared" ca="1" si="174"/>
        <v>29157.58</v>
      </c>
      <c r="I144" s="83">
        <f t="shared" ca="1" si="175"/>
        <v>29157.58</v>
      </c>
      <c r="J144" s="83">
        <f t="shared" ca="1" si="176"/>
        <v>29157.58</v>
      </c>
      <c r="K144" s="83">
        <f t="shared" ca="1" si="177"/>
        <v>29157.58</v>
      </c>
      <c r="L144" s="83">
        <f t="shared" ca="1" si="178"/>
        <v>29157.58</v>
      </c>
      <c r="M144" s="83">
        <f t="shared" ca="1" si="179"/>
        <v>29157.58</v>
      </c>
      <c r="N144" s="83">
        <f t="shared" ca="1" si="180"/>
        <v>29157.58</v>
      </c>
      <c r="O144" s="83">
        <f t="shared" ca="1" si="181"/>
        <v>29157.58</v>
      </c>
      <c r="P144" s="83">
        <f t="shared" ca="1" si="182"/>
        <v>29157.58</v>
      </c>
      <c r="Q144" s="83">
        <f t="shared" ca="1" si="183"/>
        <v>31617.24</v>
      </c>
    </row>
    <row r="145" spans="2:17">
      <c r="D145" s="24" t="s">
        <v>388</v>
      </c>
      <c r="E145" s="83">
        <f t="shared" ca="1" si="171"/>
        <v>0</v>
      </c>
      <c r="F145" s="83">
        <f t="shared" ca="1" si="172"/>
        <v>0</v>
      </c>
      <c r="G145" s="83">
        <f t="shared" ca="1" si="173"/>
        <v>0</v>
      </c>
      <c r="H145" s="83">
        <f t="shared" ca="1" si="174"/>
        <v>0</v>
      </c>
      <c r="I145" s="83">
        <f t="shared" ca="1" si="175"/>
        <v>0</v>
      </c>
      <c r="J145" s="83">
        <f t="shared" ca="1" si="176"/>
        <v>0</v>
      </c>
      <c r="K145" s="83">
        <f t="shared" ca="1" si="177"/>
        <v>0</v>
      </c>
      <c r="L145" s="83">
        <f t="shared" ca="1" si="178"/>
        <v>0</v>
      </c>
      <c r="M145" s="83">
        <f t="shared" ca="1" si="179"/>
        <v>0</v>
      </c>
      <c r="N145" s="83">
        <f t="shared" ca="1" si="180"/>
        <v>0</v>
      </c>
      <c r="O145" s="83">
        <f t="shared" ca="1" si="181"/>
        <v>0</v>
      </c>
      <c r="P145" s="83">
        <f t="shared" ca="1" si="182"/>
        <v>0</v>
      </c>
      <c r="Q145" s="83">
        <f t="shared" ca="1" si="183"/>
        <v>0</v>
      </c>
    </row>
    <row r="146" spans="2:17">
      <c r="D146" s="85" t="s">
        <v>321</v>
      </c>
      <c r="E146" s="83">
        <f t="shared" ca="1" si="171"/>
        <v>0</v>
      </c>
      <c r="F146" s="83">
        <f t="shared" ca="1" si="172"/>
        <v>0</v>
      </c>
      <c r="G146" s="83">
        <f t="shared" ca="1" si="173"/>
        <v>0</v>
      </c>
      <c r="H146" s="83">
        <f t="shared" ca="1" si="174"/>
        <v>0</v>
      </c>
      <c r="I146" s="83">
        <f t="shared" ca="1" si="175"/>
        <v>0</v>
      </c>
      <c r="J146" s="83">
        <f t="shared" ca="1" si="176"/>
        <v>0</v>
      </c>
      <c r="K146" s="83">
        <f t="shared" ca="1" si="177"/>
        <v>0</v>
      </c>
      <c r="L146" s="83">
        <f t="shared" ca="1" si="178"/>
        <v>0</v>
      </c>
      <c r="M146" s="83">
        <f t="shared" ca="1" si="179"/>
        <v>0</v>
      </c>
      <c r="N146" s="83">
        <f t="shared" ca="1" si="180"/>
        <v>0</v>
      </c>
      <c r="O146" s="83">
        <f t="shared" ca="1" si="181"/>
        <v>0</v>
      </c>
      <c r="P146" s="83">
        <f t="shared" ca="1" si="182"/>
        <v>0</v>
      </c>
      <c r="Q146" s="83">
        <f t="shared" ca="1" si="183"/>
        <v>0</v>
      </c>
    </row>
    <row r="147" spans="2:17">
      <c r="D147" s="85" t="s">
        <v>328</v>
      </c>
      <c r="E147" s="83">
        <f t="shared" ca="1" si="171"/>
        <v>0</v>
      </c>
      <c r="F147" s="83">
        <f t="shared" ca="1" si="172"/>
        <v>0</v>
      </c>
      <c r="G147" s="83">
        <f t="shared" ca="1" si="173"/>
        <v>0</v>
      </c>
      <c r="H147" s="83">
        <f t="shared" ca="1" si="174"/>
        <v>0</v>
      </c>
      <c r="I147" s="83">
        <f t="shared" ca="1" si="175"/>
        <v>0</v>
      </c>
      <c r="J147" s="83">
        <f t="shared" ca="1" si="176"/>
        <v>0</v>
      </c>
      <c r="K147" s="83">
        <f t="shared" ca="1" si="177"/>
        <v>0</v>
      </c>
      <c r="L147" s="83">
        <f t="shared" ca="1" si="178"/>
        <v>0</v>
      </c>
      <c r="M147" s="83">
        <f t="shared" ca="1" si="179"/>
        <v>0</v>
      </c>
      <c r="N147" s="83">
        <f t="shared" ca="1" si="180"/>
        <v>0</v>
      </c>
      <c r="O147" s="83">
        <f t="shared" ca="1" si="181"/>
        <v>0</v>
      </c>
      <c r="P147" s="83">
        <f t="shared" ca="1" si="182"/>
        <v>0</v>
      </c>
      <c r="Q147" s="83">
        <f t="shared" ca="1" si="183"/>
        <v>0</v>
      </c>
    </row>
    <row r="148" spans="2:17">
      <c r="D148" s="85" t="s">
        <v>282</v>
      </c>
      <c r="E148" s="83">
        <f t="shared" ca="1" si="171"/>
        <v>0</v>
      </c>
      <c r="F148" s="83">
        <f t="shared" ca="1" si="172"/>
        <v>0</v>
      </c>
      <c r="G148" s="86">
        <f t="shared" ca="1" si="173"/>
        <v>0</v>
      </c>
      <c r="H148" s="86">
        <f t="shared" ca="1" si="174"/>
        <v>0</v>
      </c>
      <c r="I148" s="86">
        <f t="shared" ca="1" si="175"/>
        <v>0</v>
      </c>
      <c r="J148" s="86">
        <f t="shared" ca="1" si="176"/>
        <v>0</v>
      </c>
      <c r="K148" s="86">
        <f t="shared" ca="1" si="177"/>
        <v>0</v>
      </c>
      <c r="L148" s="86">
        <f t="shared" ca="1" si="178"/>
        <v>0</v>
      </c>
      <c r="M148" s="86">
        <f t="shared" ca="1" si="179"/>
        <v>0</v>
      </c>
      <c r="N148" s="86">
        <f t="shared" ca="1" si="180"/>
        <v>0</v>
      </c>
      <c r="O148" s="86">
        <f t="shared" ca="1" si="181"/>
        <v>0</v>
      </c>
      <c r="P148" s="86">
        <f t="shared" ca="1" si="182"/>
        <v>0</v>
      </c>
      <c r="Q148" s="86">
        <f t="shared" ca="1" si="183"/>
        <v>0</v>
      </c>
    </row>
    <row r="149" spans="2:17">
      <c r="D149" s="85"/>
      <c r="F149" s="83"/>
      <c r="G149" s="83"/>
      <c r="H149" s="83"/>
      <c r="I149" s="83"/>
      <c r="J149" s="83"/>
      <c r="K149" s="83"/>
      <c r="L149" s="83"/>
      <c r="M149" s="83"/>
      <c r="N149" s="83"/>
      <c r="O149" s="83"/>
      <c r="P149" s="83"/>
      <c r="Q149" s="83"/>
    </row>
    <row r="150" spans="2:17">
      <c r="E150" s="84">
        <f t="shared" ref="E150:P150" ca="1" si="184">+E140-SUM(E141:E148)</f>
        <v>3887639.1799999988</v>
      </c>
      <c r="F150" s="84">
        <f t="shared" ca="1" si="184"/>
        <v>320200.62999999995</v>
      </c>
      <c r="G150" s="84">
        <f t="shared" ca="1" si="184"/>
        <v>333433.37000000046</v>
      </c>
      <c r="H150" s="84">
        <f t="shared" ca="1" si="184"/>
        <v>272685.11</v>
      </c>
      <c r="I150" s="84">
        <f t="shared" ca="1" si="184"/>
        <v>297501.63999999996</v>
      </c>
      <c r="J150" s="84">
        <f t="shared" ca="1" si="184"/>
        <v>371485.4</v>
      </c>
      <c r="K150" s="84">
        <f t="shared" ca="1" si="184"/>
        <v>288180.28999999969</v>
      </c>
      <c r="L150" s="84">
        <f t="shared" ca="1" si="184"/>
        <v>321681.99999999965</v>
      </c>
      <c r="M150" s="84">
        <f t="shared" ca="1" si="184"/>
        <v>363852.7699999999</v>
      </c>
      <c r="N150" s="84">
        <f t="shared" ca="1" si="184"/>
        <v>300312.89000000019</v>
      </c>
      <c r="O150" s="84">
        <f t="shared" ca="1" si="184"/>
        <v>334762.71000000002</v>
      </c>
      <c r="P150" s="84">
        <f t="shared" ca="1" si="184"/>
        <v>308532.44999999995</v>
      </c>
      <c r="Q150" s="84">
        <f ca="1">+Q140-SUM(Q141:Q148)</f>
        <v>375009.91999999981</v>
      </c>
    </row>
    <row r="151" spans="2:17">
      <c r="F151" s="83"/>
      <c r="G151" s="83"/>
      <c r="H151" s="83"/>
      <c r="I151" s="83"/>
      <c r="J151" s="83"/>
      <c r="K151" s="83"/>
      <c r="L151" s="83"/>
      <c r="M151" s="83"/>
      <c r="N151" s="83"/>
      <c r="O151" s="83"/>
      <c r="P151" s="83"/>
      <c r="Q151" s="83"/>
    </row>
    <row r="152" spans="2:17">
      <c r="C152" s="96" t="s">
        <v>330</v>
      </c>
      <c r="D152" s="24" t="s">
        <v>334</v>
      </c>
      <c r="E152" s="83">
        <f ca="1">SUM(F152:Q152)</f>
        <v>3769643.92</v>
      </c>
      <c r="F152" s="83">
        <f ca="1">+Summary!G90</f>
        <v>320201.92</v>
      </c>
      <c r="G152" s="83">
        <f ca="1">+Summary!H90</f>
        <v>333434</v>
      </c>
      <c r="H152" s="83">
        <f ca="1">+Summary!I90</f>
        <v>272683</v>
      </c>
      <c r="I152" s="83">
        <f ca="1">+Summary!J90</f>
        <v>297500</v>
      </c>
      <c r="J152" s="83">
        <f ca="1">+Summary!K90</f>
        <v>253495</v>
      </c>
      <c r="K152" s="83">
        <f ca="1">+Summary!L90</f>
        <v>288179</v>
      </c>
      <c r="L152" s="83">
        <f ca="1">+Summary!M90</f>
        <v>321683</v>
      </c>
      <c r="M152" s="83">
        <f ca="1">+Summary!N90</f>
        <v>363854</v>
      </c>
      <c r="N152" s="83">
        <f ca="1">+Summary!O90</f>
        <v>300312</v>
      </c>
      <c r="O152" s="83">
        <f ca="1">+Summary!P90</f>
        <v>334761</v>
      </c>
      <c r="P152" s="83">
        <f ca="1">+Summary!Q90</f>
        <v>308532</v>
      </c>
      <c r="Q152" s="83">
        <f ca="1">+Summary!R90</f>
        <v>375009</v>
      </c>
    </row>
    <row r="153" spans="2:17">
      <c r="E153" s="83">
        <f t="shared" ref="E153" ca="1" si="185">+E150-E152</f>
        <v>117995.25999999885</v>
      </c>
      <c r="F153" s="83">
        <f ca="1">+F150-F152</f>
        <v>-1.2900000000372529</v>
      </c>
      <c r="G153" s="83">
        <f t="shared" ref="G153" ca="1" si="186">+G150-G152</f>
        <v>-0.62999999953899533</v>
      </c>
      <c r="H153" s="83">
        <f t="shared" ref="H153" ca="1" si="187">+H150-H152</f>
        <v>2.1099999999860302</v>
      </c>
      <c r="I153" s="83">
        <f t="shared" ref="I153" ca="1" si="188">+I150-I152</f>
        <v>1.6399999999557622</v>
      </c>
      <c r="J153" s="83">
        <f t="shared" ref="J153" ca="1" si="189">+J150-J152</f>
        <v>117990.40000000002</v>
      </c>
      <c r="K153" s="83">
        <f t="shared" ref="K153" ca="1" si="190">+K150-K152</f>
        <v>1.2899999996880069</v>
      </c>
      <c r="L153" s="83">
        <f t="shared" ref="L153" ca="1" si="191">+L150-L152</f>
        <v>-1.000000000349246</v>
      </c>
      <c r="M153" s="83">
        <f t="shared" ref="M153" ca="1" si="192">+M150-M152</f>
        <v>-1.2300000000977889</v>
      </c>
      <c r="N153" s="83">
        <f t="shared" ref="N153" ca="1" si="193">+N150-N152</f>
        <v>0.89000000018859282</v>
      </c>
      <c r="O153" s="83">
        <f t="shared" ref="O153" ca="1" si="194">+O150-O152</f>
        <v>1.7100000000209548</v>
      </c>
      <c r="P153" s="83">
        <f t="shared" ref="P153" ca="1" si="195">+P150-P152</f>
        <v>0.44999999995343387</v>
      </c>
      <c r="Q153" s="83">
        <f t="shared" ref="Q153" ca="1" si="196">+Q150-Q152</f>
        <v>0.91999999980907887</v>
      </c>
    </row>
    <row r="156" spans="2:17">
      <c r="B156" s="24">
        <v>9</v>
      </c>
      <c r="C156" s="96" t="s">
        <v>276</v>
      </c>
    </row>
    <row r="157" spans="2:17">
      <c r="C157" s="88" t="s">
        <v>302</v>
      </c>
      <c r="E157" s="84" t="s">
        <v>335</v>
      </c>
      <c r="F157" s="97" t="str">
        <f>+Summary!$W$9</f>
        <v>Aug 2021</v>
      </c>
      <c r="G157" s="97" t="str">
        <f>+Summary!$X$9</f>
        <v>Sep 2021</v>
      </c>
      <c r="H157" s="97" t="str">
        <f>+Summary!$Y$9</f>
        <v>Oct 2021</v>
      </c>
      <c r="I157" s="97" t="str">
        <f>+Summary!$Z$9</f>
        <v>Nov 2021</v>
      </c>
      <c r="J157" s="97" t="str">
        <f>+Summary!$AA$9</f>
        <v>Dec 2021</v>
      </c>
      <c r="K157" s="97" t="str">
        <f>+Summary!$AB$9</f>
        <v>Jan 2022</v>
      </c>
      <c r="L157" s="97" t="str">
        <f>+Summary!$AC$9</f>
        <v>Feb 2022</v>
      </c>
      <c r="M157" s="97" t="str">
        <f>+Summary!$AD$9</f>
        <v>Mar 2022</v>
      </c>
      <c r="N157" s="97" t="str">
        <f>+Summary!$AE$9</f>
        <v>Apr 2022</v>
      </c>
      <c r="O157" s="97" t="str">
        <f>+Summary!$AF$9</f>
        <v>May 2022</v>
      </c>
      <c r="P157" s="97" t="str">
        <f>+Summary!$AG$9</f>
        <v>Jun 2022</v>
      </c>
      <c r="Q157" s="97" t="str">
        <f>+Summary!$AH$9</f>
        <v>Jul 2022</v>
      </c>
    </row>
    <row r="158" spans="2:17">
      <c r="C158" s="96" t="s">
        <v>331</v>
      </c>
      <c r="D158" s="96" t="s">
        <v>333</v>
      </c>
    </row>
    <row r="159" spans="2:17">
      <c r="D159" s="24" t="s">
        <v>62</v>
      </c>
      <c r="E159" s="83">
        <f t="shared" ref="E159:E167" ca="1" si="197">+SUM(F159:Q159)</f>
        <v>5408668.3300000001</v>
      </c>
      <c r="F159" s="83">
        <f ca="1">SUMIFS(INDIRECT("'"&amp;$C$157&amp;"'"&amp;"!$b:$b"),INDIRECT("'"&amp;$C$157&amp;"'"&amp;"!$a:$a"),$D159)/2</f>
        <v>457835.79000000044</v>
      </c>
      <c r="G159" s="83">
        <f ca="1">SUMIFS(INDIRECT("'"&amp;$C$157&amp;"'"&amp;"!$c:$c"),INDIRECT("'"&amp;$C$157&amp;"'"&amp;"!$a:$a"),$D159)/2</f>
        <v>454457.95999999967</v>
      </c>
      <c r="H159" s="83">
        <f ca="1">SUMIFS(INDIRECT("'"&amp;$C$157&amp;"'"&amp;"!$d:$d"),INDIRECT("'"&amp;$C$157&amp;"'"&amp;"!$a:$a"),$D159)/2</f>
        <v>433911.24999999994</v>
      </c>
      <c r="I159" s="83">
        <f ca="1">SUMIFS(INDIRECT("'"&amp;$C$157&amp;"'"&amp;"!$e:$e"),INDIRECT("'"&amp;$C$157&amp;"'"&amp;"!$a:$a"),$D159)/2</f>
        <v>421095.56000000017</v>
      </c>
      <c r="J159" s="83">
        <f ca="1">SUMIFS(INDIRECT("'"&amp;$C$157&amp;"'"&amp;"!$f:$f"),INDIRECT("'"&amp;$C$157&amp;"'"&amp;"!$a:$a"),$D159)/2</f>
        <v>376563.55999999976</v>
      </c>
      <c r="K159" s="83">
        <f ca="1">SUMIFS(INDIRECT("'"&amp;$C$157&amp;"'"&amp;"!$g:$g"),INDIRECT("'"&amp;$C$157&amp;"'"&amp;"!$a:$a"),$D159)/2</f>
        <v>441616.06999999977</v>
      </c>
      <c r="L159" s="83">
        <f ca="1">SUMIFS(INDIRECT("'"&amp;$C$157&amp;"'"&amp;"!$h:$h"),INDIRECT("'"&amp;$C$157&amp;"'"&amp;"!$a:$a"),$D159)/2</f>
        <v>415527.06999999989</v>
      </c>
      <c r="M159" s="83">
        <f ca="1">SUMIFS(INDIRECT("'"&amp;$C$157&amp;"'"&amp;"!$i:$i"),INDIRECT("'"&amp;$C$157&amp;"'"&amp;"!$a:$a"),$D159)/2</f>
        <v>455601.33999999973</v>
      </c>
      <c r="N159" s="83">
        <f ca="1">SUMIFS(INDIRECT("'"&amp;$C$157&amp;"'"&amp;"!$j:$j"),INDIRECT("'"&amp;$C$157&amp;"'"&amp;"!$a:$a"),$D159)/2</f>
        <v>490704.76000000013</v>
      </c>
      <c r="O159" s="83">
        <f ca="1">SUMIFS(INDIRECT("'"&amp;$C$157&amp;"'"&amp;"!$k:$k"),INDIRECT("'"&amp;$C$157&amp;"'"&amp;"!$a:$a"),$D159)/2</f>
        <v>478411.83000000037</v>
      </c>
      <c r="P159" s="83">
        <f ca="1">SUMIFS(INDIRECT("'"&amp;$C$157&amp;"'"&amp;"!$l:$l"),INDIRECT("'"&amp;$C$157&amp;"'"&amp;"!$a:$a"),$D159)/2</f>
        <v>472680.2200000002</v>
      </c>
      <c r="Q159" s="83">
        <f ca="1">SUMIFS(INDIRECT("'"&amp;$C$157&amp;"'"&amp;"!$m:$m"),INDIRECT("'"&amp;$C$157&amp;"'"&amp;"!$a:$a"),$D159)/2</f>
        <v>510262.91999999969</v>
      </c>
    </row>
    <row r="160" spans="2:17">
      <c r="D160" s="24" t="s">
        <v>253</v>
      </c>
      <c r="E160" s="83">
        <f t="shared" ca="1" si="197"/>
        <v>2885.02</v>
      </c>
      <c r="F160" s="83">
        <f t="shared" ref="F160:F167" ca="1" si="198">SUMIFS(INDIRECT("'"&amp;$C$157&amp;"'"&amp;"!$b:$b"),INDIRECT("'"&amp;$C$157&amp;"'"&amp;"!$a:$a"),$D160)</f>
        <v>284.14999999999998</v>
      </c>
      <c r="G160" s="83">
        <f t="shared" ref="G160:G167" ca="1" si="199">SUMIFS(INDIRECT("'"&amp;$C$157&amp;"'"&amp;"!$c:$c"),INDIRECT("'"&amp;$C$157&amp;"'"&amp;"!$a:$a"),$D160)</f>
        <v>284.14999999999998</v>
      </c>
      <c r="H160" s="83">
        <f t="shared" ref="H160:H167" ca="1" si="200">SUMIFS(INDIRECT("'"&amp;$C$157&amp;"'"&amp;"!$d:$d"),INDIRECT("'"&amp;$C$157&amp;"'"&amp;"!$a:$a"),$D160)</f>
        <v>208.33</v>
      </c>
      <c r="I160" s="83">
        <f t="shared" ref="I160:I167" ca="1" si="201">SUMIFS(INDIRECT("'"&amp;$C$157&amp;"'"&amp;"!$e:$e"),INDIRECT("'"&amp;$C$157&amp;"'"&amp;"!$a:$a"),$D160)</f>
        <v>199.06</v>
      </c>
      <c r="J160" s="83">
        <f t="shared" ref="J160:J167" ca="1" si="202">SUMIFS(INDIRECT("'"&amp;$C$157&amp;"'"&amp;"!$f:$f"),INDIRECT("'"&amp;$C$157&amp;"'"&amp;"!$a:$a"),$D160)</f>
        <v>415.82</v>
      </c>
      <c r="K160" s="83">
        <f t="shared" ref="K160:K167" ca="1" si="203">SUMIFS(INDIRECT("'"&amp;$C$157&amp;"'"&amp;"!$g:$g"),INDIRECT("'"&amp;$C$157&amp;"'"&amp;"!$a:$a"),$D160)</f>
        <v>0</v>
      </c>
      <c r="L160" s="83">
        <f t="shared" ref="L160:L167" ca="1" si="204">SUMIFS(INDIRECT("'"&amp;$C$157&amp;"'"&amp;"!$h:$h"),INDIRECT("'"&amp;$C$157&amp;"'"&amp;"!$a:$a"),$D160)</f>
        <v>172.95</v>
      </c>
      <c r="M160" s="83">
        <f t="shared" ref="M160:M167" ca="1" si="205">SUMIFS(INDIRECT("'"&amp;$C$157&amp;"'"&amp;"!$i:$i"),INDIRECT("'"&amp;$C$157&amp;"'"&amp;"!$a:$a"),$D160)</f>
        <v>211.57</v>
      </c>
      <c r="N160" s="83">
        <f t="shared" ref="N160:N167" ca="1" si="206">SUMIFS(INDIRECT("'"&amp;$C$157&amp;"'"&amp;"!$j:$j"),INDIRECT("'"&amp;$C$157&amp;"'"&amp;"!$a:$a"),$D160)</f>
        <v>251.08</v>
      </c>
      <c r="O160" s="83">
        <f t="shared" ref="O160:O167" ca="1" si="207">SUMIFS(INDIRECT("'"&amp;$C$157&amp;"'"&amp;"!$k:$k"),INDIRECT("'"&amp;$C$157&amp;"'"&amp;"!$a:$a"),$D160)</f>
        <v>257.95</v>
      </c>
      <c r="P160" s="83">
        <f t="shared" ref="P160:P167" ca="1" si="208">SUMIFS(INDIRECT("'"&amp;$C$157&amp;"'"&amp;"!$l:$l"),INDIRECT("'"&amp;$C$157&amp;"'"&amp;"!$a:$a"),$D160)</f>
        <v>235.73</v>
      </c>
      <c r="Q160" s="83">
        <f t="shared" ref="Q160:Q167" ca="1" si="209">SUMIFS(INDIRECT("'"&amp;$C$157&amp;"'"&amp;"!$m:$m"),INDIRECT("'"&amp;$C$157&amp;"'"&amp;"!$a:$a"),$D160)</f>
        <v>364.23</v>
      </c>
    </row>
    <row r="161" spans="2:17">
      <c r="D161" s="24" t="s">
        <v>250</v>
      </c>
      <c r="E161" s="83">
        <f t="shared" ca="1" si="197"/>
        <v>73796.930000000008</v>
      </c>
      <c r="F161" s="83">
        <f t="shared" ca="1" si="198"/>
        <v>5616.61</v>
      </c>
      <c r="G161" s="83">
        <f t="shared" ca="1" si="199"/>
        <v>5909.88</v>
      </c>
      <c r="H161" s="83">
        <f t="shared" ca="1" si="200"/>
        <v>5764.45</v>
      </c>
      <c r="I161" s="83">
        <f t="shared" ca="1" si="201"/>
        <v>5725.2300000000005</v>
      </c>
      <c r="J161" s="83">
        <f t="shared" ca="1" si="202"/>
        <v>5652.4900000000007</v>
      </c>
      <c r="K161" s="83">
        <f t="shared" ca="1" si="203"/>
        <v>5652.4900000000007</v>
      </c>
      <c r="L161" s="83">
        <f t="shared" ca="1" si="204"/>
        <v>5251.3499999999995</v>
      </c>
      <c r="M161" s="83">
        <f t="shared" ca="1" si="205"/>
        <v>5328.86</v>
      </c>
      <c r="N161" s="83">
        <f t="shared" ca="1" si="206"/>
        <v>6923.9800000000005</v>
      </c>
      <c r="O161" s="83">
        <f t="shared" ca="1" si="207"/>
        <v>8356.24</v>
      </c>
      <c r="P161" s="83">
        <f t="shared" ca="1" si="208"/>
        <v>6716.11</v>
      </c>
      <c r="Q161" s="83">
        <f t="shared" ca="1" si="209"/>
        <v>6899.24</v>
      </c>
    </row>
    <row r="162" spans="2:17">
      <c r="D162" s="24" t="s">
        <v>204</v>
      </c>
      <c r="E162" s="83">
        <f t="shared" ca="1" si="197"/>
        <v>273136</v>
      </c>
      <c r="F162" s="83">
        <f t="shared" ca="1" si="198"/>
        <v>20654</v>
      </c>
      <c r="G162" s="83">
        <f t="shared" ca="1" si="199"/>
        <v>20157</v>
      </c>
      <c r="H162" s="83">
        <f t="shared" ca="1" si="200"/>
        <v>22670</v>
      </c>
      <c r="I162" s="83">
        <f t="shared" ca="1" si="201"/>
        <v>21644</v>
      </c>
      <c r="J162" s="83">
        <f t="shared" ca="1" si="202"/>
        <v>23305</v>
      </c>
      <c r="K162" s="83">
        <f t="shared" ca="1" si="203"/>
        <v>23238</v>
      </c>
      <c r="L162" s="83">
        <f t="shared" ca="1" si="204"/>
        <v>19968</v>
      </c>
      <c r="M162" s="83">
        <f t="shared" ca="1" si="205"/>
        <v>18777</v>
      </c>
      <c r="N162" s="83">
        <f t="shared" ca="1" si="206"/>
        <v>22981</v>
      </c>
      <c r="O162" s="83">
        <f t="shared" ca="1" si="207"/>
        <v>24406</v>
      </c>
      <c r="P162" s="83">
        <f t="shared" ca="1" si="208"/>
        <v>22543</v>
      </c>
      <c r="Q162" s="83">
        <f t="shared" ca="1" si="209"/>
        <v>32793</v>
      </c>
    </row>
    <row r="163" spans="2:17">
      <c r="D163" s="24" t="s">
        <v>252</v>
      </c>
      <c r="E163" s="83">
        <f t="shared" ca="1" si="197"/>
        <v>367046.68000000011</v>
      </c>
      <c r="F163" s="83">
        <f t="shared" ca="1" si="198"/>
        <v>29629</v>
      </c>
      <c r="G163" s="83">
        <f t="shared" ca="1" si="199"/>
        <v>30432.58</v>
      </c>
      <c r="H163" s="83">
        <f t="shared" ca="1" si="200"/>
        <v>30432.58</v>
      </c>
      <c r="I163" s="83">
        <f t="shared" ca="1" si="201"/>
        <v>30432.58</v>
      </c>
      <c r="J163" s="83">
        <f t="shared" ca="1" si="202"/>
        <v>30432.58</v>
      </c>
      <c r="K163" s="83">
        <f t="shared" ca="1" si="203"/>
        <v>30432.58</v>
      </c>
      <c r="L163" s="83">
        <f t="shared" ca="1" si="204"/>
        <v>30432.58</v>
      </c>
      <c r="M163" s="83">
        <f t="shared" ca="1" si="205"/>
        <v>30432.58</v>
      </c>
      <c r="N163" s="83">
        <f t="shared" ca="1" si="206"/>
        <v>30432.58</v>
      </c>
      <c r="O163" s="83">
        <f t="shared" ca="1" si="207"/>
        <v>30432.58</v>
      </c>
      <c r="P163" s="83">
        <f t="shared" ca="1" si="208"/>
        <v>30432.58</v>
      </c>
      <c r="Q163" s="83">
        <f t="shared" ca="1" si="209"/>
        <v>33091.879999999997</v>
      </c>
    </row>
    <row r="164" spans="2:17">
      <c r="D164" s="24" t="s">
        <v>388</v>
      </c>
      <c r="E164" s="83">
        <f t="shared" ca="1" si="197"/>
        <v>0</v>
      </c>
      <c r="F164" s="83">
        <f t="shared" ca="1" si="198"/>
        <v>0</v>
      </c>
      <c r="G164" s="83">
        <f t="shared" ca="1" si="199"/>
        <v>0</v>
      </c>
      <c r="H164" s="83">
        <f t="shared" ca="1" si="200"/>
        <v>0</v>
      </c>
      <c r="I164" s="83">
        <f t="shared" ca="1" si="201"/>
        <v>0</v>
      </c>
      <c r="J164" s="83">
        <f t="shared" ca="1" si="202"/>
        <v>0</v>
      </c>
      <c r="K164" s="83">
        <f t="shared" ca="1" si="203"/>
        <v>0</v>
      </c>
      <c r="L164" s="83">
        <f t="shared" ca="1" si="204"/>
        <v>0</v>
      </c>
      <c r="M164" s="83">
        <f t="shared" ca="1" si="205"/>
        <v>0</v>
      </c>
      <c r="N164" s="83">
        <f t="shared" ca="1" si="206"/>
        <v>0</v>
      </c>
      <c r="O164" s="83">
        <f t="shared" ca="1" si="207"/>
        <v>0</v>
      </c>
      <c r="P164" s="83">
        <f t="shared" ca="1" si="208"/>
        <v>0</v>
      </c>
      <c r="Q164" s="83">
        <f t="shared" ca="1" si="209"/>
        <v>0</v>
      </c>
    </row>
    <row r="165" spans="2:17">
      <c r="D165" s="85" t="s">
        <v>321</v>
      </c>
      <c r="E165" s="83">
        <f t="shared" ca="1" si="197"/>
        <v>0</v>
      </c>
      <c r="F165" s="83">
        <f t="shared" ca="1" si="198"/>
        <v>0</v>
      </c>
      <c r="G165" s="83">
        <f t="shared" ca="1" si="199"/>
        <v>0</v>
      </c>
      <c r="H165" s="83">
        <f t="shared" ca="1" si="200"/>
        <v>0</v>
      </c>
      <c r="I165" s="83">
        <f t="shared" ca="1" si="201"/>
        <v>0</v>
      </c>
      <c r="J165" s="83">
        <f t="shared" ca="1" si="202"/>
        <v>0</v>
      </c>
      <c r="K165" s="83">
        <f t="shared" ca="1" si="203"/>
        <v>0</v>
      </c>
      <c r="L165" s="83">
        <f t="shared" ca="1" si="204"/>
        <v>0</v>
      </c>
      <c r="M165" s="83">
        <f t="shared" ca="1" si="205"/>
        <v>0</v>
      </c>
      <c r="N165" s="83">
        <f t="shared" ca="1" si="206"/>
        <v>0</v>
      </c>
      <c r="O165" s="83">
        <f t="shared" ca="1" si="207"/>
        <v>0</v>
      </c>
      <c r="P165" s="83">
        <f t="shared" ca="1" si="208"/>
        <v>0</v>
      </c>
      <c r="Q165" s="83">
        <f t="shared" ca="1" si="209"/>
        <v>0</v>
      </c>
    </row>
    <row r="166" spans="2:17">
      <c r="D166" s="85" t="s">
        <v>328</v>
      </c>
      <c r="E166" s="83">
        <f t="shared" ca="1" si="197"/>
        <v>0</v>
      </c>
      <c r="F166" s="83">
        <f t="shared" ca="1" si="198"/>
        <v>0</v>
      </c>
      <c r="G166" s="83">
        <f t="shared" ca="1" si="199"/>
        <v>0</v>
      </c>
      <c r="H166" s="83">
        <f t="shared" ca="1" si="200"/>
        <v>0</v>
      </c>
      <c r="I166" s="83">
        <f t="shared" ca="1" si="201"/>
        <v>0</v>
      </c>
      <c r="J166" s="83">
        <f t="shared" ca="1" si="202"/>
        <v>0</v>
      </c>
      <c r="K166" s="83">
        <f t="shared" ca="1" si="203"/>
        <v>0</v>
      </c>
      <c r="L166" s="83">
        <f t="shared" ca="1" si="204"/>
        <v>0</v>
      </c>
      <c r="M166" s="83">
        <f t="shared" ca="1" si="205"/>
        <v>0</v>
      </c>
      <c r="N166" s="83">
        <f t="shared" ca="1" si="206"/>
        <v>0</v>
      </c>
      <c r="O166" s="83">
        <f t="shared" ca="1" si="207"/>
        <v>0</v>
      </c>
      <c r="P166" s="83">
        <f t="shared" ca="1" si="208"/>
        <v>0</v>
      </c>
      <c r="Q166" s="83">
        <f t="shared" ca="1" si="209"/>
        <v>0</v>
      </c>
    </row>
    <row r="167" spans="2:17">
      <c r="D167" s="85" t="s">
        <v>282</v>
      </c>
      <c r="E167" s="83">
        <f t="shared" ca="1" si="197"/>
        <v>0</v>
      </c>
      <c r="F167" s="83">
        <f t="shared" ca="1" si="198"/>
        <v>0</v>
      </c>
      <c r="G167" s="86">
        <f t="shared" ca="1" si="199"/>
        <v>0</v>
      </c>
      <c r="H167" s="86">
        <f t="shared" ca="1" si="200"/>
        <v>0</v>
      </c>
      <c r="I167" s="86">
        <f t="shared" ca="1" si="201"/>
        <v>0</v>
      </c>
      <c r="J167" s="86">
        <f t="shared" ca="1" si="202"/>
        <v>0</v>
      </c>
      <c r="K167" s="86">
        <f t="shared" ca="1" si="203"/>
        <v>0</v>
      </c>
      <c r="L167" s="86">
        <f t="shared" ca="1" si="204"/>
        <v>0</v>
      </c>
      <c r="M167" s="86">
        <f t="shared" ca="1" si="205"/>
        <v>0</v>
      </c>
      <c r="N167" s="86">
        <f t="shared" ca="1" si="206"/>
        <v>0</v>
      </c>
      <c r="O167" s="86">
        <f t="shared" ca="1" si="207"/>
        <v>0</v>
      </c>
      <c r="P167" s="86">
        <f t="shared" ca="1" si="208"/>
        <v>0</v>
      </c>
      <c r="Q167" s="86">
        <f t="shared" ca="1" si="209"/>
        <v>0</v>
      </c>
    </row>
    <row r="168" spans="2:17">
      <c r="D168" s="85"/>
      <c r="F168" s="83"/>
      <c r="G168" s="83"/>
      <c r="H168" s="83"/>
      <c r="I168" s="83"/>
      <c r="J168" s="83"/>
      <c r="K168" s="83"/>
      <c r="L168" s="83"/>
      <c r="M168" s="83"/>
      <c r="N168" s="83"/>
      <c r="O168" s="83"/>
      <c r="P168" s="83"/>
      <c r="Q168" s="83"/>
    </row>
    <row r="169" spans="2:17">
      <c r="E169" s="84">
        <f t="shared" ref="E169:Q169" ca="1" si="210">+E159-SUM(E160:E167)</f>
        <v>4691803.7</v>
      </c>
      <c r="F169" s="84">
        <f t="shared" ca="1" si="210"/>
        <v>401652.03000000044</v>
      </c>
      <c r="G169" s="84">
        <f t="shared" ca="1" si="210"/>
        <v>397674.34999999969</v>
      </c>
      <c r="H169" s="84">
        <f t="shared" ca="1" si="210"/>
        <v>374835.88999999996</v>
      </c>
      <c r="I169" s="84">
        <f t="shared" ca="1" si="210"/>
        <v>363094.69000000018</v>
      </c>
      <c r="J169" s="84">
        <f t="shared" ca="1" si="210"/>
        <v>316757.66999999975</v>
      </c>
      <c r="K169" s="84">
        <f t="shared" ca="1" si="210"/>
        <v>382292.99999999977</v>
      </c>
      <c r="L169" s="84">
        <f t="shared" ca="1" si="210"/>
        <v>359702.18999999989</v>
      </c>
      <c r="M169" s="84">
        <f t="shared" ca="1" si="210"/>
        <v>400851.32999999973</v>
      </c>
      <c r="N169" s="84">
        <f t="shared" ca="1" si="210"/>
        <v>430116.12000000011</v>
      </c>
      <c r="O169" s="84">
        <f t="shared" ca="1" si="210"/>
        <v>414959.06000000035</v>
      </c>
      <c r="P169" s="84">
        <f t="shared" ca="1" si="210"/>
        <v>412752.80000000022</v>
      </c>
      <c r="Q169" s="84">
        <f t="shared" ca="1" si="210"/>
        <v>437114.56999999972</v>
      </c>
    </row>
    <row r="170" spans="2:17">
      <c r="F170" s="83"/>
      <c r="G170" s="83"/>
      <c r="H170" s="83"/>
      <c r="I170" s="83"/>
      <c r="J170" s="83"/>
      <c r="K170" s="83"/>
      <c r="L170" s="83"/>
      <c r="M170" s="83"/>
      <c r="N170" s="83"/>
      <c r="O170" s="83"/>
      <c r="P170" s="83"/>
      <c r="Q170" s="83"/>
    </row>
    <row r="171" spans="2:17">
      <c r="C171" s="96" t="s">
        <v>330</v>
      </c>
      <c r="D171" s="24" t="s">
        <v>334</v>
      </c>
      <c r="E171" s="83">
        <f ca="1">SUM(F171:Q171)</f>
        <v>4691768</v>
      </c>
      <c r="F171" s="83">
        <f ca="1">+Summary!G101</f>
        <v>401652</v>
      </c>
      <c r="G171" s="83">
        <f ca="1">+Summary!H101</f>
        <v>397674</v>
      </c>
      <c r="H171" s="83">
        <f ca="1">+Summary!I101</f>
        <v>374835</v>
      </c>
      <c r="I171" s="83">
        <f ca="1">+Summary!J101</f>
        <v>363096</v>
      </c>
      <c r="J171" s="83">
        <f ca="1">+Summary!K101</f>
        <v>316725</v>
      </c>
      <c r="K171" s="83">
        <f ca="1">+Summary!L101</f>
        <v>382293</v>
      </c>
      <c r="L171" s="83">
        <f ca="1">+Summary!M101</f>
        <v>359703</v>
      </c>
      <c r="M171" s="83">
        <f ca="1">+Summary!N101</f>
        <v>400851</v>
      </c>
      <c r="N171" s="83">
        <f ca="1">+Summary!O101</f>
        <v>430116</v>
      </c>
      <c r="O171" s="83">
        <f ca="1">+Summary!P101</f>
        <v>414959</v>
      </c>
      <c r="P171" s="83">
        <f ca="1">+Summary!Q101</f>
        <v>412752</v>
      </c>
      <c r="Q171" s="83">
        <f ca="1">+Summary!R101</f>
        <v>437112</v>
      </c>
    </row>
    <row r="172" spans="2:17">
      <c r="E172" s="83">
        <f t="shared" ref="E172" ca="1" si="211">+E169-E171</f>
        <v>35.700000000186265</v>
      </c>
      <c r="F172" s="83">
        <f ca="1">+F169-F171</f>
        <v>3.0000000435393304E-2</v>
      </c>
      <c r="G172" s="83">
        <f t="shared" ref="G172" ca="1" si="212">+G169-G171</f>
        <v>0.34999999968567863</v>
      </c>
      <c r="H172" s="83">
        <f t="shared" ref="H172" ca="1" si="213">+H169-H171</f>
        <v>0.88999999995576218</v>
      </c>
      <c r="I172" s="83">
        <f t="shared" ref="I172" ca="1" si="214">+I169-I171</f>
        <v>-1.3099999998230487</v>
      </c>
      <c r="J172" s="83">
        <f t="shared" ref="J172" ca="1" si="215">+J169-J171</f>
        <v>32.669999999750871</v>
      </c>
      <c r="K172" s="83">
        <f t="shared" ref="K172" ca="1" si="216">+K169-K171</f>
        <v>0</v>
      </c>
      <c r="L172" s="83">
        <f t="shared" ref="L172" ca="1" si="217">+L169-L171</f>
        <v>-0.81000000011408702</v>
      </c>
      <c r="M172" s="83">
        <f t="shared" ref="M172" ca="1" si="218">+M169-M171</f>
        <v>0.32999999972525984</v>
      </c>
      <c r="N172" s="83">
        <f t="shared" ref="N172" ca="1" si="219">+N169-N171</f>
        <v>0.12000000011175871</v>
      </c>
      <c r="O172" s="83">
        <f t="shared" ref="O172" ca="1" si="220">+O169-O171</f>
        <v>6.0000000346917659E-2</v>
      </c>
      <c r="P172" s="83">
        <f t="shared" ref="P172" ca="1" si="221">+P169-P171</f>
        <v>0.80000000022118911</v>
      </c>
      <c r="Q172" s="83">
        <f t="shared" ref="Q172" ca="1" si="222">+Q169-Q171</f>
        <v>2.5699999997159466</v>
      </c>
    </row>
    <row r="175" spans="2:17">
      <c r="B175" s="24">
        <v>10</v>
      </c>
      <c r="C175" s="96" t="s">
        <v>277</v>
      </c>
    </row>
    <row r="176" spans="2:17">
      <c r="C176" s="88" t="s">
        <v>303</v>
      </c>
      <c r="E176" s="84" t="s">
        <v>335</v>
      </c>
      <c r="F176" s="97" t="str">
        <f>+Summary!$W$9</f>
        <v>Aug 2021</v>
      </c>
      <c r="G176" s="97" t="str">
        <f>+Summary!$X$9</f>
        <v>Sep 2021</v>
      </c>
      <c r="H176" s="97" t="str">
        <f>+Summary!$Y$9</f>
        <v>Oct 2021</v>
      </c>
      <c r="I176" s="97" t="str">
        <f>+Summary!$Z$9</f>
        <v>Nov 2021</v>
      </c>
      <c r="J176" s="97" t="str">
        <f>+Summary!$AA$9</f>
        <v>Dec 2021</v>
      </c>
      <c r="K176" s="97" t="str">
        <f>+Summary!$AB$9</f>
        <v>Jan 2022</v>
      </c>
      <c r="L176" s="97" t="str">
        <f>+Summary!$AC$9</f>
        <v>Feb 2022</v>
      </c>
      <c r="M176" s="97" t="str">
        <f>+Summary!$AD$9</f>
        <v>Mar 2022</v>
      </c>
      <c r="N176" s="97" t="str">
        <f>+Summary!$AE$9</f>
        <v>Apr 2022</v>
      </c>
      <c r="O176" s="97" t="str">
        <f>+Summary!$AF$9</f>
        <v>May 2022</v>
      </c>
      <c r="P176" s="97" t="str">
        <f>+Summary!$AG$9</f>
        <v>Jun 2022</v>
      </c>
      <c r="Q176" s="97" t="str">
        <f>+Summary!$AH$9</f>
        <v>Jul 2022</v>
      </c>
    </row>
    <row r="177" spans="3:17">
      <c r="C177" s="96" t="s">
        <v>331</v>
      </c>
      <c r="D177" s="96" t="s">
        <v>333</v>
      </c>
    </row>
    <row r="178" spans="3:17">
      <c r="D178" s="24" t="s">
        <v>62</v>
      </c>
      <c r="E178" s="83">
        <f t="shared" ref="E178:E186" si="223">+SUM(F178:Q178)</f>
        <v>0</v>
      </c>
      <c r="F178" s="83"/>
      <c r="G178" s="83"/>
      <c r="H178" s="83"/>
      <c r="I178" s="83"/>
      <c r="J178" s="83"/>
      <c r="K178" s="83"/>
      <c r="L178" s="83"/>
      <c r="M178" s="83"/>
      <c r="N178" s="83"/>
      <c r="O178" s="83"/>
      <c r="P178" s="83"/>
      <c r="Q178" s="83"/>
    </row>
    <row r="179" spans="3:17">
      <c r="D179" s="24" t="s">
        <v>253</v>
      </c>
      <c r="E179" s="83">
        <f t="shared" si="223"/>
        <v>0</v>
      </c>
      <c r="F179" s="83"/>
      <c r="G179" s="83"/>
      <c r="H179" s="83"/>
      <c r="I179" s="83"/>
      <c r="J179" s="83"/>
      <c r="K179" s="83"/>
      <c r="L179" s="83"/>
      <c r="M179" s="83"/>
      <c r="N179" s="83"/>
      <c r="O179" s="83"/>
      <c r="P179" s="83"/>
      <c r="Q179" s="83"/>
    </row>
    <row r="180" spans="3:17">
      <c r="D180" s="24" t="s">
        <v>250</v>
      </c>
      <c r="E180" s="83">
        <f t="shared" si="223"/>
        <v>0</v>
      </c>
      <c r="F180" s="83"/>
      <c r="G180" s="83"/>
      <c r="H180" s="83"/>
      <c r="I180" s="83"/>
      <c r="J180" s="83"/>
      <c r="K180" s="83"/>
      <c r="L180" s="83"/>
      <c r="M180" s="83"/>
      <c r="N180" s="83"/>
      <c r="O180" s="83"/>
      <c r="P180" s="83"/>
      <c r="Q180" s="83"/>
    </row>
    <row r="181" spans="3:17">
      <c r="D181" s="24" t="s">
        <v>204</v>
      </c>
      <c r="E181" s="83">
        <f t="shared" si="223"/>
        <v>0</v>
      </c>
      <c r="F181" s="83"/>
      <c r="G181" s="83"/>
      <c r="H181" s="83"/>
      <c r="I181" s="83"/>
      <c r="J181" s="83"/>
      <c r="K181" s="83"/>
      <c r="L181" s="83"/>
      <c r="M181" s="83"/>
      <c r="N181" s="83"/>
      <c r="O181" s="83"/>
      <c r="P181" s="83"/>
      <c r="Q181" s="83"/>
    </row>
    <row r="182" spans="3:17">
      <c r="D182" s="24" t="s">
        <v>252</v>
      </c>
      <c r="E182" s="83">
        <f t="shared" si="223"/>
        <v>0</v>
      </c>
      <c r="F182" s="83"/>
      <c r="G182" s="83"/>
      <c r="H182" s="83"/>
      <c r="I182" s="83"/>
      <c r="J182" s="83"/>
      <c r="K182" s="83"/>
      <c r="L182" s="83"/>
      <c r="M182" s="83"/>
      <c r="N182" s="83"/>
      <c r="O182" s="83"/>
      <c r="P182" s="83"/>
      <c r="Q182" s="83"/>
    </row>
    <row r="183" spans="3:17">
      <c r="D183" s="24" t="s">
        <v>388</v>
      </c>
      <c r="E183" s="83">
        <f t="shared" si="223"/>
        <v>0</v>
      </c>
      <c r="F183" s="83"/>
      <c r="G183" s="83"/>
      <c r="H183" s="83"/>
      <c r="I183" s="83"/>
      <c r="J183" s="83"/>
      <c r="K183" s="83"/>
      <c r="L183" s="83"/>
      <c r="M183" s="83"/>
      <c r="N183" s="83"/>
      <c r="O183" s="83"/>
      <c r="P183" s="83"/>
      <c r="Q183" s="83"/>
    </row>
    <row r="184" spans="3:17">
      <c r="D184" s="85" t="s">
        <v>321</v>
      </c>
      <c r="E184" s="83">
        <f t="shared" si="223"/>
        <v>0</v>
      </c>
      <c r="F184" s="83"/>
      <c r="G184" s="83"/>
      <c r="H184" s="83"/>
      <c r="I184" s="83"/>
      <c r="J184" s="83"/>
      <c r="K184" s="83"/>
      <c r="L184" s="83"/>
      <c r="M184" s="83"/>
      <c r="N184" s="83"/>
      <c r="O184" s="83"/>
      <c r="P184" s="83"/>
      <c r="Q184" s="83"/>
    </row>
    <row r="185" spans="3:17">
      <c r="D185" s="85" t="s">
        <v>328</v>
      </c>
      <c r="E185" s="83">
        <f t="shared" si="223"/>
        <v>0</v>
      </c>
      <c r="F185" s="83"/>
      <c r="G185" s="83"/>
      <c r="H185" s="83"/>
      <c r="I185" s="83"/>
      <c r="J185" s="83"/>
      <c r="K185" s="83"/>
      <c r="L185" s="83"/>
      <c r="M185" s="83"/>
      <c r="N185" s="83"/>
      <c r="O185" s="83"/>
      <c r="P185" s="83"/>
      <c r="Q185" s="83"/>
    </row>
    <row r="186" spans="3:17">
      <c r="D186" s="85" t="s">
        <v>282</v>
      </c>
      <c r="E186" s="83">
        <f t="shared" si="223"/>
        <v>0</v>
      </c>
      <c r="F186" s="83"/>
      <c r="G186" s="86"/>
      <c r="H186" s="86"/>
      <c r="I186" s="86"/>
      <c r="J186" s="86"/>
      <c r="K186" s="86"/>
      <c r="L186" s="86"/>
      <c r="M186" s="86"/>
      <c r="N186" s="86"/>
      <c r="O186" s="86"/>
      <c r="P186" s="86"/>
      <c r="Q186" s="86"/>
    </row>
    <row r="187" spans="3:17">
      <c r="D187" s="85"/>
      <c r="F187" s="83"/>
      <c r="G187" s="83"/>
      <c r="H187" s="83"/>
      <c r="I187" s="83"/>
      <c r="J187" s="83"/>
      <c r="K187" s="83"/>
      <c r="L187" s="83"/>
      <c r="M187" s="83"/>
      <c r="N187" s="83"/>
      <c r="O187" s="83"/>
      <c r="P187" s="83"/>
      <c r="Q187" s="83"/>
    </row>
    <row r="188" spans="3:17">
      <c r="E188" s="84">
        <f t="shared" ref="E188:Q188" si="224">+E178-SUM(E179:E186)</f>
        <v>0</v>
      </c>
      <c r="F188" s="84"/>
      <c r="G188" s="84">
        <f t="shared" si="224"/>
        <v>0</v>
      </c>
      <c r="H188" s="84">
        <f t="shared" si="224"/>
        <v>0</v>
      </c>
      <c r="I188" s="84">
        <f t="shared" si="224"/>
        <v>0</v>
      </c>
      <c r="J188" s="84">
        <f t="shared" si="224"/>
        <v>0</v>
      </c>
      <c r="K188" s="84">
        <f t="shared" si="224"/>
        <v>0</v>
      </c>
      <c r="L188" s="84">
        <f t="shared" si="224"/>
        <v>0</v>
      </c>
      <c r="M188" s="84">
        <f t="shared" si="224"/>
        <v>0</v>
      </c>
      <c r="N188" s="84">
        <f t="shared" si="224"/>
        <v>0</v>
      </c>
      <c r="O188" s="84">
        <f t="shared" si="224"/>
        <v>0</v>
      </c>
      <c r="P188" s="84">
        <f t="shared" si="224"/>
        <v>0</v>
      </c>
      <c r="Q188" s="84">
        <f t="shared" si="224"/>
        <v>0</v>
      </c>
    </row>
    <row r="189" spans="3:17">
      <c r="F189" s="83"/>
      <c r="G189" s="83"/>
      <c r="H189" s="83"/>
      <c r="I189" s="83"/>
      <c r="J189" s="83"/>
      <c r="K189" s="83"/>
      <c r="L189" s="83"/>
      <c r="M189" s="83"/>
      <c r="N189" s="83"/>
      <c r="O189" s="83"/>
      <c r="P189" s="83"/>
      <c r="Q189" s="83"/>
    </row>
    <row r="190" spans="3:17">
      <c r="C190" s="96" t="s">
        <v>330</v>
      </c>
      <c r="D190" s="24" t="s">
        <v>334</v>
      </c>
      <c r="E190" s="83">
        <f ca="1">SUM(F190:Q190)</f>
        <v>0</v>
      </c>
      <c r="F190" s="83"/>
      <c r="G190" s="83">
        <f ca="1">+Summary!H112</f>
        <v>0</v>
      </c>
      <c r="H190" s="83">
        <f ca="1">+Summary!I112</f>
        <v>0</v>
      </c>
      <c r="I190" s="83">
        <f ca="1">+Summary!J112</f>
        <v>0</v>
      </c>
      <c r="J190" s="83">
        <f ca="1">+Summary!K112</f>
        <v>0</v>
      </c>
      <c r="K190" s="83">
        <f ca="1">+Summary!L112</f>
        <v>0</v>
      </c>
      <c r="L190" s="83">
        <f ca="1">+Summary!M112</f>
        <v>0</v>
      </c>
      <c r="M190" s="83">
        <f ca="1">+Summary!N112</f>
        <v>0</v>
      </c>
      <c r="N190" s="83">
        <f ca="1">+Summary!O112</f>
        <v>0</v>
      </c>
      <c r="O190" s="83">
        <f ca="1">+Summary!P112</f>
        <v>0</v>
      </c>
      <c r="P190" s="83">
        <f ca="1">+Summary!Q112</f>
        <v>0</v>
      </c>
      <c r="Q190" s="83">
        <f ca="1">+Summary!R112</f>
        <v>0</v>
      </c>
    </row>
    <row r="191" spans="3:17">
      <c r="E191" s="83">
        <f t="shared" ref="E191" ca="1" si="225">+E188-E190</f>
        <v>0</v>
      </c>
      <c r="F191" s="83"/>
      <c r="G191" s="83">
        <f t="shared" ref="G191" ca="1" si="226">+G188-G190</f>
        <v>0</v>
      </c>
      <c r="H191" s="83">
        <f t="shared" ref="H191" ca="1" si="227">+H188-H190</f>
        <v>0</v>
      </c>
      <c r="I191" s="83">
        <f t="shared" ref="I191" ca="1" si="228">+I188-I190</f>
        <v>0</v>
      </c>
      <c r="J191" s="83">
        <f t="shared" ref="J191" ca="1" si="229">+J188-J190</f>
        <v>0</v>
      </c>
      <c r="K191" s="83">
        <f t="shared" ref="K191" ca="1" si="230">+K188-K190</f>
        <v>0</v>
      </c>
      <c r="L191" s="83">
        <f t="shared" ref="L191" ca="1" si="231">+L188-L190</f>
        <v>0</v>
      </c>
      <c r="M191" s="83">
        <f t="shared" ref="M191" ca="1" si="232">+M188-M190</f>
        <v>0</v>
      </c>
      <c r="N191" s="83">
        <f t="shared" ref="N191" ca="1" si="233">+N188-N190</f>
        <v>0</v>
      </c>
      <c r="O191" s="83">
        <f t="shared" ref="O191" ca="1" si="234">+O188-O190</f>
        <v>0</v>
      </c>
      <c r="P191" s="83">
        <f t="shared" ref="P191" ca="1" si="235">+P188-P190</f>
        <v>0</v>
      </c>
      <c r="Q191" s="83">
        <f t="shared" ref="Q191" ca="1" si="236">+Q188-Q190</f>
        <v>0</v>
      </c>
    </row>
    <row r="194" spans="2:17">
      <c r="B194" s="24">
        <v>11</v>
      </c>
      <c r="C194" s="96" t="s">
        <v>278</v>
      </c>
    </row>
    <row r="195" spans="2:17">
      <c r="C195" s="88" t="s">
        <v>304</v>
      </c>
      <c r="E195" s="84" t="s">
        <v>335</v>
      </c>
      <c r="F195" s="97" t="str">
        <f>+Summary!$W$9</f>
        <v>Aug 2021</v>
      </c>
      <c r="G195" s="97" t="str">
        <f>+Summary!$X$9</f>
        <v>Sep 2021</v>
      </c>
      <c r="H195" s="97" t="str">
        <f>+Summary!$Y$9</f>
        <v>Oct 2021</v>
      </c>
      <c r="I195" s="97" t="str">
        <f>+Summary!$Z$9</f>
        <v>Nov 2021</v>
      </c>
      <c r="J195" s="97" t="str">
        <f>+Summary!$AA$9</f>
        <v>Dec 2021</v>
      </c>
      <c r="K195" s="97" t="str">
        <f>+Summary!$AB$9</f>
        <v>Jan 2022</v>
      </c>
      <c r="L195" s="97" t="str">
        <f>+Summary!$AC$9</f>
        <v>Feb 2022</v>
      </c>
      <c r="M195" s="97" t="str">
        <f>+Summary!$AD$9</f>
        <v>Mar 2022</v>
      </c>
      <c r="N195" s="97" t="str">
        <f>+Summary!$AE$9</f>
        <v>Apr 2022</v>
      </c>
      <c r="O195" s="97" t="str">
        <f>+Summary!$AF$9</f>
        <v>May 2022</v>
      </c>
      <c r="P195" s="97" t="str">
        <f>+Summary!$AG$9</f>
        <v>Jun 2022</v>
      </c>
      <c r="Q195" s="97" t="str">
        <f>+Summary!$AH$9</f>
        <v>Jul 2022</v>
      </c>
    </row>
    <row r="196" spans="2:17">
      <c r="C196" s="96" t="s">
        <v>331</v>
      </c>
      <c r="D196" s="96" t="s">
        <v>333</v>
      </c>
    </row>
    <row r="197" spans="2:17">
      <c r="D197" s="24" t="s">
        <v>62</v>
      </c>
      <c r="E197" s="83">
        <f t="shared" ref="E197:E205" ca="1" si="237">+SUM(F197:Q197)</f>
        <v>1436661.3799999997</v>
      </c>
      <c r="F197" s="83">
        <f ca="1">SUMIFS(INDIRECT("'"&amp;$C$195&amp;"'"&amp;"!$b:$b"),INDIRECT("'"&amp;$C$195&amp;"'"&amp;"!$a:$a"),$D197)/2</f>
        <v>120402.95999999996</v>
      </c>
      <c r="G197" s="83">
        <f ca="1">SUMIFS(INDIRECT("'"&amp;$C$195&amp;"'"&amp;"!$c:$c"),INDIRECT("'"&amp;$C$195&amp;"'"&amp;"!$a:$a"),$D197)/2</f>
        <v>121193.32999999997</v>
      </c>
      <c r="H197" s="83">
        <f ca="1">SUMIFS(INDIRECT("'"&amp;$C$195&amp;"'"&amp;"!$d:$d"),INDIRECT("'"&amp;$C$195&amp;"'"&amp;"!$a:$a"),$D197)/2</f>
        <v>117816.14999999992</v>
      </c>
      <c r="I197" s="83">
        <f ca="1">SUMIFS(INDIRECT("'"&amp;$C$195&amp;"'"&amp;"!$e:$e"),INDIRECT("'"&amp;$C$195&amp;"'"&amp;"!$a:$a"),$D197)/2</f>
        <v>116445.59999999996</v>
      </c>
      <c r="J197" s="83">
        <f ca="1">SUMIFS(INDIRECT("'"&amp;$C$195&amp;"'"&amp;"!$f:$f"),INDIRECT("'"&amp;$C$195&amp;"'"&amp;"!$a:$a"),$D197)/2</f>
        <v>121099.55999999998</v>
      </c>
      <c r="K197" s="83">
        <f ca="1">SUMIFS(INDIRECT("'"&amp;$C$195&amp;"'"&amp;"!$g:$g"),INDIRECT("'"&amp;$C$195&amp;"'"&amp;"!$a:$a"),$D197)/2</f>
        <v>121206.29</v>
      </c>
      <c r="L197" s="83">
        <f ca="1">SUMIFS(INDIRECT("'"&amp;$C$195&amp;"'"&amp;"!$h:$h"),INDIRECT("'"&amp;$C$195&amp;"'"&amp;"!$a:$a"),$D197)/2</f>
        <v>107946.48000000003</v>
      </c>
      <c r="M197" s="83">
        <f ca="1">SUMIFS(INDIRECT("'"&amp;$C$195&amp;"'"&amp;"!$i:$i"),INDIRECT("'"&amp;$C$195&amp;"'"&amp;"!$a:$a"),$D197)/2</f>
        <v>122631.93999999999</v>
      </c>
      <c r="N197" s="83">
        <f ca="1">SUMIFS(INDIRECT("'"&amp;$C$195&amp;"'"&amp;"!$j:$j"),INDIRECT("'"&amp;$C$195&amp;"'"&amp;"!$a:$a"),$D197)/2</f>
        <v>118376.50999999995</v>
      </c>
      <c r="O197" s="83">
        <f ca="1">SUMIFS(INDIRECT("'"&amp;$C$195&amp;"'"&amp;"!$k:$k"),INDIRECT("'"&amp;$C$195&amp;"'"&amp;"!$a:$a"),$D197)/2</f>
        <v>120132.18999999994</v>
      </c>
      <c r="P197" s="83">
        <f ca="1">SUMIFS(INDIRECT("'"&amp;$C$195&amp;"'"&amp;"!$l:$l"),INDIRECT("'"&amp;$C$195&amp;"'"&amp;"!$a:$a"),$D197)/2</f>
        <v>119998.56</v>
      </c>
      <c r="Q197" s="83">
        <f ca="1">SUMIFS(INDIRECT("'"&amp;$C$195&amp;"'"&amp;"!$m:$m"),INDIRECT("'"&amp;$C$195&amp;"'"&amp;"!$a:$a"),$D197)/2</f>
        <v>129411.80999999997</v>
      </c>
    </row>
    <row r="198" spans="2:17">
      <c r="D198" s="24" t="s">
        <v>253</v>
      </c>
      <c r="E198" s="83">
        <f t="shared" ca="1" si="237"/>
        <v>710.53</v>
      </c>
      <c r="F198" s="83">
        <f t="shared" ref="F198:F205" ca="1" si="238">SUMIFS(INDIRECT("'"&amp;$C$195&amp;"'"&amp;"!$b:$b"),INDIRECT("'"&amp;$C$195&amp;"'"&amp;"!$a:$a"),$D198)</f>
        <v>101.09</v>
      </c>
      <c r="G198" s="83">
        <f t="shared" ref="G198:G205" ca="1" si="239">SUMIFS(INDIRECT("'"&amp;$C$195&amp;"'"&amp;"!$c:$c"),INDIRECT("'"&amp;$C$195&amp;"'"&amp;"!$a:$a"),$D198)</f>
        <v>101.09</v>
      </c>
      <c r="H198" s="83">
        <f t="shared" ref="H198:H205" ca="1" si="240">SUMIFS(INDIRECT("'"&amp;$C$195&amp;"'"&amp;"!$d:$d"),INDIRECT("'"&amp;$C$195&amp;"'"&amp;"!$a:$a"),$D198)</f>
        <v>101.09</v>
      </c>
      <c r="I198" s="83">
        <f t="shared" ref="I198:I205" ca="1" si="241">SUMIFS(INDIRECT("'"&amp;$C$195&amp;"'"&amp;"!$e:$e"),INDIRECT("'"&amp;$C$195&amp;"'"&amp;"!$a:$a"),$D198)</f>
        <v>101.09</v>
      </c>
      <c r="J198" s="83">
        <f t="shared" ref="J198:J205" ca="1" si="242">SUMIFS(INDIRECT("'"&amp;$C$195&amp;"'"&amp;"!$f:$f"),INDIRECT("'"&amp;$C$195&amp;"'"&amp;"!$a:$a"),$D198)</f>
        <v>101.09</v>
      </c>
      <c r="K198" s="83">
        <f t="shared" ref="K198:K205" ca="1" si="243">SUMIFS(INDIRECT("'"&amp;$C$195&amp;"'"&amp;"!$g:$g"),INDIRECT("'"&amp;$C$195&amp;"'"&amp;"!$a:$a"),$D198)</f>
        <v>0</v>
      </c>
      <c r="L198" s="83">
        <f t="shared" ref="L198:L205" ca="1" si="244">SUMIFS(INDIRECT("'"&amp;$C$195&amp;"'"&amp;"!$h:$h"),INDIRECT("'"&amp;$C$195&amp;"'"&amp;"!$a:$a"),$D198)</f>
        <v>0</v>
      </c>
      <c r="M198" s="83">
        <f t="shared" ref="M198:M205" ca="1" si="245">SUMIFS(INDIRECT("'"&amp;$C$195&amp;"'"&amp;"!$i:$i"),INDIRECT("'"&amp;$C$195&amp;"'"&amp;"!$a:$a"),$D198)</f>
        <v>0</v>
      </c>
      <c r="N198" s="83">
        <f t="shared" ref="N198:N205" ca="1" si="246">SUMIFS(INDIRECT("'"&amp;$C$195&amp;"'"&amp;"!$j:$j"),INDIRECT("'"&amp;$C$195&amp;"'"&amp;"!$a:$a"),$D198)</f>
        <v>51.27</v>
      </c>
      <c r="O198" s="83">
        <f t="shared" ref="O198:O205" ca="1" si="247">SUMIFS(INDIRECT("'"&amp;$C$195&amp;"'"&amp;"!$k:$k"),INDIRECT("'"&amp;$C$195&amp;"'"&amp;"!$a:$a"),$D198)</f>
        <v>51.27</v>
      </c>
      <c r="P198" s="83">
        <f t="shared" ref="P198:P205" ca="1" si="248">SUMIFS(INDIRECT("'"&amp;$C$195&amp;"'"&amp;"!$l:$l"),INDIRECT("'"&amp;$C$195&amp;"'"&amp;"!$a:$a"),$D198)</f>
        <v>51.27</v>
      </c>
      <c r="Q198" s="83">
        <f t="shared" ref="Q198:Q205" ca="1" si="249">SUMIFS(INDIRECT("'"&amp;$C$195&amp;"'"&amp;"!$m:$m"),INDIRECT("'"&amp;$C$195&amp;"'"&amp;"!$a:$a"),$D198)</f>
        <v>51.27</v>
      </c>
    </row>
    <row r="199" spans="2:17">
      <c r="D199" s="24" t="s">
        <v>250</v>
      </c>
      <c r="E199" s="83">
        <f t="shared" ca="1" si="237"/>
        <v>39062.93</v>
      </c>
      <c r="F199" s="83">
        <f t="shared" ca="1" si="238"/>
        <v>2901.78</v>
      </c>
      <c r="G199" s="83">
        <f t="shared" ca="1" si="239"/>
        <v>3087.63</v>
      </c>
      <c r="H199" s="83">
        <f t="shared" ca="1" si="240"/>
        <v>3026.3300000000004</v>
      </c>
      <c r="I199" s="83">
        <f t="shared" ca="1" si="241"/>
        <v>3057.95</v>
      </c>
      <c r="J199" s="83">
        <f t="shared" ca="1" si="242"/>
        <v>3492.5699999999993</v>
      </c>
      <c r="K199" s="83">
        <f t="shared" ca="1" si="243"/>
        <v>3445.3499999999995</v>
      </c>
      <c r="L199" s="83">
        <f t="shared" ca="1" si="244"/>
        <v>3115.1299999999997</v>
      </c>
      <c r="M199" s="83">
        <f t="shared" ca="1" si="245"/>
        <v>3308.83</v>
      </c>
      <c r="N199" s="83">
        <f t="shared" ca="1" si="246"/>
        <v>3466.61</v>
      </c>
      <c r="O199" s="83">
        <f t="shared" ca="1" si="247"/>
        <v>3393.27</v>
      </c>
      <c r="P199" s="83">
        <f t="shared" ca="1" si="248"/>
        <v>3378.4900000000002</v>
      </c>
      <c r="Q199" s="83">
        <f t="shared" ca="1" si="249"/>
        <v>3388.9900000000002</v>
      </c>
    </row>
    <row r="200" spans="2:17">
      <c r="D200" s="24" t="s">
        <v>204</v>
      </c>
      <c r="E200" s="83">
        <f t="shared" ca="1" si="237"/>
        <v>78279</v>
      </c>
      <c r="F200" s="83">
        <f t="shared" ca="1" si="238"/>
        <v>6246</v>
      </c>
      <c r="G200" s="83">
        <f t="shared" ca="1" si="239"/>
        <v>5953</v>
      </c>
      <c r="H200" s="83">
        <f t="shared" ca="1" si="240"/>
        <v>5814</v>
      </c>
      <c r="I200" s="83">
        <f t="shared" ca="1" si="241"/>
        <v>6195</v>
      </c>
      <c r="J200" s="83">
        <f t="shared" ca="1" si="242"/>
        <v>6233</v>
      </c>
      <c r="K200" s="83">
        <f t="shared" ca="1" si="243"/>
        <v>7000</v>
      </c>
      <c r="L200" s="83">
        <f t="shared" ca="1" si="244"/>
        <v>6177</v>
      </c>
      <c r="M200" s="83">
        <f t="shared" ca="1" si="245"/>
        <v>6681</v>
      </c>
      <c r="N200" s="83">
        <f t="shared" ca="1" si="246"/>
        <v>6630</v>
      </c>
      <c r="O200" s="83">
        <f t="shared" ca="1" si="247"/>
        <v>6883</v>
      </c>
      <c r="P200" s="83">
        <f t="shared" ca="1" si="248"/>
        <v>7190</v>
      </c>
      <c r="Q200" s="83">
        <f t="shared" ca="1" si="249"/>
        <v>7277</v>
      </c>
    </row>
    <row r="201" spans="2:17">
      <c r="D201" s="24" t="s">
        <v>252</v>
      </c>
      <c r="E201" s="83">
        <f t="shared" ca="1" si="237"/>
        <v>426461.10999999987</v>
      </c>
      <c r="F201" s="83">
        <f t="shared" ca="1" si="238"/>
        <v>34443.980000000003</v>
      </c>
      <c r="G201" s="83">
        <f t="shared" ca="1" si="239"/>
        <v>35343.86</v>
      </c>
      <c r="H201" s="83">
        <f t="shared" ca="1" si="240"/>
        <v>35343.86</v>
      </c>
      <c r="I201" s="83">
        <f t="shared" ca="1" si="241"/>
        <v>35343.86</v>
      </c>
      <c r="J201" s="83">
        <f t="shared" ca="1" si="242"/>
        <v>35343.86</v>
      </c>
      <c r="K201" s="83">
        <f t="shared" ca="1" si="243"/>
        <v>35343.86</v>
      </c>
      <c r="L201" s="83">
        <f t="shared" ca="1" si="244"/>
        <v>35343.86</v>
      </c>
      <c r="M201" s="83">
        <f t="shared" ca="1" si="245"/>
        <v>35343.86</v>
      </c>
      <c r="N201" s="83">
        <f t="shared" ca="1" si="246"/>
        <v>35343.86</v>
      </c>
      <c r="O201" s="83">
        <f t="shared" ca="1" si="247"/>
        <v>35343.86</v>
      </c>
      <c r="P201" s="83">
        <f t="shared" ca="1" si="248"/>
        <v>35343.86</v>
      </c>
      <c r="Q201" s="83">
        <f t="shared" ca="1" si="249"/>
        <v>38578.53</v>
      </c>
    </row>
    <row r="202" spans="2:17">
      <c r="D202" s="24" t="s">
        <v>388</v>
      </c>
      <c r="E202" s="83">
        <f t="shared" ca="1" si="237"/>
        <v>0</v>
      </c>
      <c r="F202" s="83">
        <f t="shared" ca="1" si="238"/>
        <v>0</v>
      </c>
      <c r="G202" s="83">
        <f t="shared" ca="1" si="239"/>
        <v>0</v>
      </c>
      <c r="H202" s="83">
        <f t="shared" ca="1" si="240"/>
        <v>0</v>
      </c>
      <c r="I202" s="83">
        <f t="shared" ca="1" si="241"/>
        <v>0</v>
      </c>
      <c r="J202" s="83">
        <f t="shared" ca="1" si="242"/>
        <v>0</v>
      </c>
      <c r="K202" s="83">
        <f t="shared" ca="1" si="243"/>
        <v>0</v>
      </c>
      <c r="L202" s="83">
        <f t="shared" ca="1" si="244"/>
        <v>0</v>
      </c>
      <c r="M202" s="83">
        <f t="shared" ca="1" si="245"/>
        <v>0</v>
      </c>
      <c r="N202" s="83">
        <f t="shared" ca="1" si="246"/>
        <v>0</v>
      </c>
      <c r="O202" s="83">
        <f t="shared" ca="1" si="247"/>
        <v>0</v>
      </c>
      <c r="P202" s="83">
        <f t="shared" ca="1" si="248"/>
        <v>0</v>
      </c>
      <c r="Q202" s="83">
        <f t="shared" ca="1" si="249"/>
        <v>0</v>
      </c>
    </row>
    <row r="203" spans="2:17">
      <c r="D203" s="85" t="s">
        <v>321</v>
      </c>
      <c r="E203" s="83">
        <f t="shared" ca="1" si="237"/>
        <v>0</v>
      </c>
      <c r="F203" s="83">
        <f t="shared" ca="1" si="238"/>
        <v>0</v>
      </c>
      <c r="G203" s="83">
        <f t="shared" ca="1" si="239"/>
        <v>0</v>
      </c>
      <c r="H203" s="83">
        <f t="shared" ca="1" si="240"/>
        <v>0</v>
      </c>
      <c r="I203" s="83">
        <f t="shared" ca="1" si="241"/>
        <v>0</v>
      </c>
      <c r="J203" s="83">
        <f t="shared" ca="1" si="242"/>
        <v>0</v>
      </c>
      <c r="K203" s="83">
        <f t="shared" ca="1" si="243"/>
        <v>0</v>
      </c>
      <c r="L203" s="83">
        <f t="shared" ca="1" si="244"/>
        <v>0</v>
      </c>
      <c r="M203" s="83">
        <f t="shared" ca="1" si="245"/>
        <v>0</v>
      </c>
      <c r="N203" s="83">
        <f t="shared" ca="1" si="246"/>
        <v>0</v>
      </c>
      <c r="O203" s="83">
        <f t="shared" ca="1" si="247"/>
        <v>0</v>
      </c>
      <c r="P203" s="83">
        <f t="shared" ca="1" si="248"/>
        <v>0</v>
      </c>
      <c r="Q203" s="83">
        <f t="shared" ca="1" si="249"/>
        <v>0</v>
      </c>
    </row>
    <row r="204" spans="2:17">
      <c r="D204" s="85" t="s">
        <v>328</v>
      </c>
      <c r="E204" s="83">
        <f t="shared" ca="1" si="237"/>
        <v>0</v>
      </c>
      <c r="F204" s="83">
        <f t="shared" ca="1" si="238"/>
        <v>0</v>
      </c>
      <c r="G204" s="83">
        <f t="shared" ca="1" si="239"/>
        <v>0</v>
      </c>
      <c r="H204" s="83">
        <f t="shared" ca="1" si="240"/>
        <v>0</v>
      </c>
      <c r="I204" s="83">
        <f t="shared" ca="1" si="241"/>
        <v>0</v>
      </c>
      <c r="J204" s="83">
        <f t="shared" ca="1" si="242"/>
        <v>0</v>
      </c>
      <c r="K204" s="83">
        <f t="shared" ca="1" si="243"/>
        <v>0</v>
      </c>
      <c r="L204" s="83">
        <f t="shared" ca="1" si="244"/>
        <v>0</v>
      </c>
      <c r="M204" s="83">
        <f t="shared" ca="1" si="245"/>
        <v>0</v>
      </c>
      <c r="N204" s="83">
        <f t="shared" ca="1" si="246"/>
        <v>0</v>
      </c>
      <c r="O204" s="83">
        <f t="shared" ca="1" si="247"/>
        <v>0</v>
      </c>
      <c r="P204" s="83">
        <f t="shared" ca="1" si="248"/>
        <v>0</v>
      </c>
      <c r="Q204" s="83">
        <f t="shared" ca="1" si="249"/>
        <v>0</v>
      </c>
    </row>
    <row r="205" spans="2:17">
      <c r="D205" s="85" t="s">
        <v>282</v>
      </c>
      <c r="E205" s="83">
        <f t="shared" ca="1" si="237"/>
        <v>0</v>
      </c>
      <c r="F205" s="83">
        <f t="shared" ca="1" si="238"/>
        <v>0</v>
      </c>
      <c r="G205" s="86">
        <f t="shared" ca="1" si="239"/>
        <v>0</v>
      </c>
      <c r="H205" s="86">
        <f t="shared" ca="1" si="240"/>
        <v>0</v>
      </c>
      <c r="I205" s="86">
        <f t="shared" ca="1" si="241"/>
        <v>0</v>
      </c>
      <c r="J205" s="86">
        <f t="shared" ca="1" si="242"/>
        <v>0</v>
      </c>
      <c r="K205" s="86">
        <f t="shared" ca="1" si="243"/>
        <v>0</v>
      </c>
      <c r="L205" s="86">
        <f t="shared" ca="1" si="244"/>
        <v>0</v>
      </c>
      <c r="M205" s="86">
        <f t="shared" ca="1" si="245"/>
        <v>0</v>
      </c>
      <c r="N205" s="86">
        <f t="shared" ca="1" si="246"/>
        <v>0</v>
      </c>
      <c r="O205" s="86">
        <f t="shared" ca="1" si="247"/>
        <v>0</v>
      </c>
      <c r="P205" s="86">
        <f t="shared" ca="1" si="248"/>
        <v>0</v>
      </c>
      <c r="Q205" s="86">
        <f t="shared" ca="1" si="249"/>
        <v>0</v>
      </c>
    </row>
    <row r="206" spans="2:17">
      <c r="D206" s="85"/>
      <c r="F206" s="83"/>
      <c r="G206" s="83"/>
      <c r="H206" s="83"/>
      <c r="I206" s="83"/>
      <c r="J206" s="83"/>
      <c r="K206" s="83"/>
      <c r="L206" s="83"/>
      <c r="M206" s="83"/>
      <c r="N206" s="83"/>
      <c r="O206" s="83"/>
      <c r="P206" s="83"/>
      <c r="Q206" s="83"/>
    </row>
    <row r="207" spans="2:17">
      <c r="E207" s="84">
        <f t="shared" ref="E207:Q207" ca="1" si="250">+E197-SUM(E198:E205)</f>
        <v>892147.80999999982</v>
      </c>
      <c r="F207" s="84">
        <f t="shared" ca="1" si="250"/>
        <v>76710.109999999957</v>
      </c>
      <c r="G207" s="84">
        <f t="shared" ca="1" si="250"/>
        <v>76707.749999999971</v>
      </c>
      <c r="H207" s="84">
        <f t="shared" ca="1" si="250"/>
        <v>73530.869999999923</v>
      </c>
      <c r="I207" s="84">
        <f t="shared" ca="1" si="250"/>
        <v>71747.699999999953</v>
      </c>
      <c r="J207" s="84">
        <f t="shared" ca="1" si="250"/>
        <v>75929.039999999979</v>
      </c>
      <c r="K207" s="84">
        <f t="shared" ca="1" si="250"/>
        <v>75417.079999999987</v>
      </c>
      <c r="L207" s="84">
        <f t="shared" ca="1" si="250"/>
        <v>63310.490000000027</v>
      </c>
      <c r="M207" s="84">
        <f t="shared" ca="1" si="250"/>
        <v>77298.249999999985</v>
      </c>
      <c r="N207" s="84">
        <f t="shared" ca="1" si="250"/>
        <v>72884.769999999946</v>
      </c>
      <c r="O207" s="84">
        <f t="shared" ca="1" si="250"/>
        <v>74460.78999999995</v>
      </c>
      <c r="P207" s="84">
        <f t="shared" ca="1" si="250"/>
        <v>74034.94</v>
      </c>
      <c r="Q207" s="84">
        <f t="shared" ca="1" si="250"/>
        <v>80116.01999999996</v>
      </c>
    </row>
    <row r="208" spans="2:17">
      <c r="F208" s="83"/>
      <c r="G208" s="83"/>
      <c r="H208" s="83"/>
      <c r="I208" s="83"/>
      <c r="J208" s="83"/>
      <c r="K208" s="83"/>
      <c r="L208" s="83"/>
      <c r="M208" s="83"/>
      <c r="N208" s="83"/>
      <c r="O208" s="83"/>
      <c r="P208" s="83"/>
      <c r="Q208" s="83"/>
    </row>
    <row r="209" spans="2:17">
      <c r="C209" s="96" t="s">
        <v>330</v>
      </c>
      <c r="D209" s="24" t="s">
        <v>334</v>
      </c>
      <c r="E209" s="83">
        <f ca="1">SUM(F209:Q209)</f>
        <v>892151</v>
      </c>
      <c r="F209" s="83">
        <f ca="1">+Summary!G123</f>
        <v>76711</v>
      </c>
      <c r="G209" s="83">
        <f ca="1">+Summary!H123</f>
        <v>76708</v>
      </c>
      <c r="H209" s="83">
        <f ca="1">+Summary!I123</f>
        <v>73531</v>
      </c>
      <c r="I209" s="83">
        <f ca="1">+Summary!J123</f>
        <v>71748</v>
      </c>
      <c r="J209" s="83">
        <f ca="1">+Summary!K123</f>
        <v>75928</v>
      </c>
      <c r="K209" s="83">
        <f ca="1">+Summary!L123</f>
        <v>75417</v>
      </c>
      <c r="L209" s="83">
        <f ca="1">+Summary!M123</f>
        <v>63311</v>
      </c>
      <c r="M209" s="83">
        <f ca="1">+Summary!N123</f>
        <v>77298</v>
      </c>
      <c r="N209" s="83">
        <f ca="1">+Summary!O123</f>
        <v>72885</v>
      </c>
      <c r="O209" s="83">
        <f ca="1">+Summary!P123</f>
        <v>74461</v>
      </c>
      <c r="P209" s="83">
        <f ca="1">+Summary!Q123</f>
        <v>74036</v>
      </c>
      <c r="Q209" s="83">
        <f ca="1">+Summary!R123</f>
        <v>80117</v>
      </c>
    </row>
    <row r="210" spans="2:17">
      <c r="E210" s="83">
        <f t="shared" ref="E210" ca="1" si="251">+E207-E209</f>
        <v>-3.1900000001769513</v>
      </c>
      <c r="F210" s="83">
        <f ca="1">+F207-F209</f>
        <v>-0.89000000004307367</v>
      </c>
      <c r="G210" s="83">
        <f t="shared" ref="G210" ca="1" si="252">+G207-G209</f>
        <v>-0.25000000002910383</v>
      </c>
      <c r="H210" s="83">
        <f t="shared" ref="H210" ca="1" si="253">+H207-H209</f>
        <v>-0.13000000007741619</v>
      </c>
      <c r="I210" s="83">
        <f t="shared" ref="I210" ca="1" si="254">+I207-I209</f>
        <v>-0.30000000004656613</v>
      </c>
      <c r="J210" s="83">
        <f t="shared" ref="J210" ca="1" si="255">+J207-J209</f>
        <v>1.0399999999790452</v>
      </c>
      <c r="K210" s="83">
        <f t="shared" ref="K210" ca="1" si="256">+K207-K209</f>
        <v>7.9999999987194315E-2</v>
      </c>
      <c r="L210" s="83">
        <f t="shared" ref="L210" ca="1" si="257">+L207-L209</f>
        <v>-0.50999999997293344</v>
      </c>
      <c r="M210" s="83">
        <f t="shared" ref="M210" ca="1" si="258">+M207-M209</f>
        <v>0.24999999998544808</v>
      </c>
      <c r="N210" s="83">
        <f t="shared" ref="N210" ca="1" si="259">+N207-N209</f>
        <v>-0.23000000005413312</v>
      </c>
      <c r="O210" s="83">
        <f t="shared" ref="O210" ca="1" si="260">+O207-O209</f>
        <v>-0.21000000005005859</v>
      </c>
      <c r="P210" s="83">
        <f t="shared" ref="P210" ca="1" si="261">+P207-P209</f>
        <v>-1.0599999999976717</v>
      </c>
      <c r="Q210" s="83">
        <f t="shared" ref="Q210" ca="1" si="262">+Q207-Q209</f>
        <v>-0.98000000003958121</v>
      </c>
    </row>
    <row r="213" spans="2:17">
      <c r="B213" s="24">
        <v>12</v>
      </c>
      <c r="C213" s="96" t="s">
        <v>279</v>
      </c>
    </row>
    <row r="214" spans="2:17">
      <c r="C214" s="88" t="s">
        <v>305</v>
      </c>
      <c r="E214" s="84" t="s">
        <v>335</v>
      </c>
      <c r="F214" s="97" t="str">
        <f>+Summary!$W$9</f>
        <v>Aug 2021</v>
      </c>
      <c r="G214" s="97" t="str">
        <f>+Summary!$X$9</f>
        <v>Sep 2021</v>
      </c>
      <c r="H214" s="97" t="str">
        <f>+Summary!$Y$9</f>
        <v>Oct 2021</v>
      </c>
      <c r="I214" s="97" t="str">
        <f>+Summary!$Z$9</f>
        <v>Nov 2021</v>
      </c>
      <c r="J214" s="97" t="str">
        <f>+Summary!$AA$9</f>
        <v>Dec 2021</v>
      </c>
      <c r="K214" s="97" t="str">
        <f>+Summary!$AB$9</f>
        <v>Jan 2022</v>
      </c>
      <c r="L214" s="97" t="str">
        <f>+Summary!$AC$9</f>
        <v>Feb 2022</v>
      </c>
      <c r="M214" s="97" t="str">
        <f>+Summary!$AD$9</f>
        <v>Mar 2022</v>
      </c>
      <c r="N214" s="97" t="str">
        <f>+Summary!$AE$9</f>
        <v>Apr 2022</v>
      </c>
      <c r="O214" s="97" t="str">
        <f>+Summary!$AF$9</f>
        <v>May 2022</v>
      </c>
      <c r="P214" s="97" t="str">
        <f>+Summary!$AG$9</f>
        <v>Jun 2022</v>
      </c>
      <c r="Q214" s="97" t="str">
        <f>+Summary!$AH$9</f>
        <v>Jul 2022</v>
      </c>
    </row>
    <row r="215" spans="2:17">
      <c r="C215" s="96" t="s">
        <v>331</v>
      </c>
      <c r="D215" s="96" t="s">
        <v>333</v>
      </c>
    </row>
    <row r="216" spans="2:17">
      <c r="D216" s="24" t="s">
        <v>62</v>
      </c>
      <c r="E216" s="83">
        <f t="shared" ref="E216:E224" ca="1" si="263">+SUM(F216:Q216)</f>
        <v>1090712.8799999999</v>
      </c>
      <c r="F216" s="83">
        <f ca="1">SUMIFS(INDIRECT("'"&amp;$C$214&amp;"'"&amp;"!$b:$b"),INDIRECT("'"&amp;$C$214&amp;"'"&amp;"!$a:$a"),$D216)/2</f>
        <v>88874.2</v>
      </c>
      <c r="G216" s="83">
        <f ca="1">SUMIFS(INDIRECT("'"&amp;$C$214&amp;"'"&amp;"!$c:$c"),INDIRECT("'"&amp;$C$214&amp;"'"&amp;"!$a:$a"),$D216)/2</f>
        <v>89152.060000000041</v>
      </c>
      <c r="H216" s="83">
        <f ca="1">SUMIFS(INDIRECT("'"&amp;$C$214&amp;"'"&amp;"!$d:$d"),INDIRECT("'"&amp;$C$214&amp;"'"&amp;"!$a:$a"),$D216)/2</f>
        <v>96342.529999999984</v>
      </c>
      <c r="I216" s="83">
        <f ca="1">SUMIFS(INDIRECT("'"&amp;$C$214&amp;"'"&amp;"!$e:$e"),INDIRECT("'"&amp;$C$214&amp;"'"&amp;"!$a:$a"),$D216)/2</f>
        <v>90766.059999999954</v>
      </c>
      <c r="J216" s="83">
        <f ca="1">SUMIFS(INDIRECT("'"&amp;$C$214&amp;"'"&amp;"!$f:$f"),INDIRECT("'"&amp;$C$214&amp;"'"&amp;"!$a:$a"),$D216)/2</f>
        <v>84606.53999999995</v>
      </c>
      <c r="K216" s="83">
        <f ca="1">SUMIFS(INDIRECT("'"&amp;$C$214&amp;"'"&amp;"!$g:$g"),INDIRECT("'"&amp;$C$214&amp;"'"&amp;"!$a:$a"),$D216)/2</f>
        <v>90274.110000000015</v>
      </c>
      <c r="L216" s="83">
        <f ca="1">SUMIFS(INDIRECT("'"&amp;$C$214&amp;"'"&amp;"!$h:$h"),INDIRECT("'"&amp;$C$214&amp;"'"&amp;"!$a:$a"),$D216)/2</f>
        <v>81756.03</v>
      </c>
      <c r="M216" s="83">
        <f ca="1">SUMIFS(INDIRECT("'"&amp;$C$214&amp;"'"&amp;"!$i:$i"),INDIRECT("'"&amp;$C$214&amp;"'"&amp;"!$a:$a"),$D216)/2</f>
        <v>93450.120000000024</v>
      </c>
      <c r="N216" s="83">
        <f ca="1">SUMIFS(INDIRECT("'"&amp;$C$214&amp;"'"&amp;"!$j:$j"),INDIRECT("'"&amp;$C$214&amp;"'"&amp;"!$a:$a"),$D216)/2</f>
        <v>93515.9</v>
      </c>
      <c r="O216" s="83">
        <f ca="1">SUMIFS(INDIRECT("'"&amp;$C$214&amp;"'"&amp;"!$k:$k"),INDIRECT("'"&amp;$C$214&amp;"'"&amp;"!$a:$a"),$D216)/2</f>
        <v>97524.500000000015</v>
      </c>
      <c r="P216" s="83">
        <f ca="1">SUMIFS(INDIRECT("'"&amp;$C$214&amp;"'"&amp;"!$l:$l"),INDIRECT("'"&amp;$C$214&amp;"'"&amp;"!$a:$a"),$D216)/2</f>
        <v>90471.030000000013</v>
      </c>
      <c r="Q216" s="83">
        <f ca="1">SUMIFS(INDIRECT("'"&amp;$C$214&amp;"'"&amp;"!$m:$m"),INDIRECT("'"&amp;$C$214&amp;"'"&amp;"!$a:$a"),$D216)/2</f>
        <v>93979.800000000017</v>
      </c>
    </row>
    <row r="217" spans="2:17">
      <c r="D217" s="24" t="s">
        <v>253</v>
      </c>
      <c r="E217" s="83">
        <f t="shared" ca="1" si="263"/>
        <v>710.53</v>
      </c>
      <c r="F217" s="83">
        <f t="shared" ref="F217:F224" ca="1" si="264">SUMIFS(INDIRECT("'"&amp;$C$214&amp;"'"&amp;"!$b:$b"),INDIRECT("'"&amp;$C$214&amp;"'"&amp;"!$a:$a"),$D217)</f>
        <v>101.09</v>
      </c>
      <c r="G217" s="83">
        <f t="shared" ref="G217:G224" ca="1" si="265">SUMIFS(INDIRECT("'"&amp;$C$214&amp;"'"&amp;"!$c:$c"),INDIRECT("'"&amp;$C$214&amp;"'"&amp;"!$a:$a"),$D217)</f>
        <v>101.09</v>
      </c>
      <c r="H217" s="83">
        <f t="shared" ref="H217:H224" ca="1" si="266">SUMIFS(INDIRECT("'"&amp;$C$214&amp;"'"&amp;"!$d:$d"),INDIRECT("'"&amp;$C$214&amp;"'"&amp;"!$a:$a"),$D217)</f>
        <v>101.09</v>
      </c>
      <c r="I217" s="83">
        <f t="shared" ref="I217:I224" ca="1" si="267">SUMIFS(INDIRECT("'"&amp;$C$214&amp;"'"&amp;"!$e:$e"),INDIRECT("'"&amp;$C$214&amp;"'"&amp;"!$a:$a"),$D217)</f>
        <v>101.09</v>
      </c>
      <c r="J217" s="83">
        <f t="shared" ref="J217:J224" ca="1" si="268">SUMIFS(INDIRECT("'"&amp;$C$214&amp;"'"&amp;"!$f:$f"),INDIRECT("'"&amp;$C$214&amp;"'"&amp;"!$a:$a"),$D217)</f>
        <v>101.09</v>
      </c>
      <c r="K217" s="83">
        <f t="shared" ref="K217:K224" ca="1" si="269">SUMIFS(INDIRECT("'"&amp;$C$214&amp;"'"&amp;"!$g:$g"),INDIRECT("'"&amp;$C$214&amp;"'"&amp;"!$a:$a"),$D217)</f>
        <v>0</v>
      </c>
      <c r="L217" s="83">
        <f t="shared" ref="L217:L224" ca="1" si="270">SUMIFS(INDIRECT("'"&amp;$C$214&amp;"'"&amp;"!$h:$h"),INDIRECT("'"&amp;$C$214&amp;"'"&amp;"!$a:$a"),$D217)</f>
        <v>0</v>
      </c>
      <c r="M217" s="83">
        <f t="shared" ref="M217:M224" ca="1" si="271">SUMIFS(INDIRECT("'"&amp;$C$214&amp;"'"&amp;"!$i:$i"),INDIRECT("'"&amp;$C$214&amp;"'"&amp;"!$a:$a"),$D217)</f>
        <v>0</v>
      </c>
      <c r="N217" s="83">
        <f t="shared" ref="N217:N224" ca="1" si="272">SUMIFS(INDIRECT("'"&amp;$C$214&amp;"'"&amp;"!$j:$j"),INDIRECT("'"&amp;$C$214&amp;"'"&amp;"!$a:$a"),$D217)</f>
        <v>51.27</v>
      </c>
      <c r="O217" s="83">
        <f t="shared" ref="O217:O224" ca="1" si="273">SUMIFS(INDIRECT("'"&amp;$C$214&amp;"'"&amp;"!$k:$k"),INDIRECT("'"&amp;$C$214&amp;"'"&amp;"!$a:$a"),$D217)</f>
        <v>51.27</v>
      </c>
      <c r="P217" s="83">
        <f t="shared" ref="P217:P224" ca="1" si="274">SUMIFS(INDIRECT("'"&amp;$C$214&amp;"'"&amp;"!$l:$l"),INDIRECT("'"&amp;$C$214&amp;"'"&amp;"!$a:$a"),$D217)</f>
        <v>51.27</v>
      </c>
      <c r="Q217" s="83">
        <f t="shared" ref="Q217:Q224" ca="1" si="275">SUMIFS(INDIRECT("'"&amp;$C$214&amp;"'"&amp;"!$m:$m"),INDIRECT("'"&amp;$C$214&amp;"'"&amp;"!$a:$a"),$D217)</f>
        <v>51.27</v>
      </c>
    </row>
    <row r="218" spans="2:17">
      <c r="D218" s="24" t="s">
        <v>250</v>
      </c>
      <c r="E218" s="83">
        <f t="shared" ca="1" si="263"/>
        <v>34765.489999999991</v>
      </c>
      <c r="F218" s="83">
        <f t="shared" ca="1" si="264"/>
        <v>2828.02</v>
      </c>
      <c r="G218" s="83">
        <f t="shared" ca="1" si="265"/>
        <v>2878.9700000000003</v>
      </c>
      <c r="H218" s="83">
        <f t="shared" ca="1" si="266"/>
        <v>2848.27</v>
      </c>
      <c r="I218" s="83">
        <f t="shared" ca="1" si="267"/>
        <v>2834.84</v>
      </c>
      <c r="J218" s="83">
        <f t="shared" ca="1" si="268"/>
        <v>2940.6799999999994</v>
      </c>
      <c r="K218" s="83">
        <f t="shared" ca="1" si="269"/>
        <v>2940.6799999999994</v>
      </c>
      <c r="L218" s="83">
        <f t="shared" ca="1" si="270"/>
        <v>2773.2599999999998</v>
      </c>
      <c r="M218" s="83">
        <f t="shared" ca="1" si="271"/>
        <v>3134.35</v>
      </c>
      <c r="N218" s="83">
        <f t="shared" ca="1" si="272"/>
        <v>2902.1</v>
      </c>
      <c r="O218" s="83">
        <f t="shared" ca="1" si="273"/>
        <v>2902.1</v>
      </c>
      <c r="P218" s="83">
        <f t="shared" ca="1" si="274"/>
        <v>2902.1</v>
      </c>
      <c r="Q218" s="83">
        <f t="shared" ca="1" si="275"/>
        <v>2880.1200000000003</v>
      </c>
    </row>
    <row r="219" spans="2:17">
      <c r="D219" s="24" t="s">
        <v>204</v>
      </c>
      <c r="E219" s="83">
        <f t="shared" ca="1" si="263"/>
        <v>47242</v>
      </c>
      <c r="F219" s="83">
        <f t="shared" ca="1" si="264"/>
        <v>3725</v>
      </c>
      <c r="G219" s="83">
        <f t="shared" ca="1" si="265"/>
        <v>3890</v>
      </c>
      <c r="H219" s="83">
        <f t="shared" ca="1" si="266"/>
        <v>3840</v>
      </c>
      <c r="I219" s="83">
        <f t="shared" ca="1" si="267"/>
        <v>3977</v>
      </c>
      <c r="J219" s="83">
        <f t="shared" ca="1" si="268"/>
        <v>3719</v>
      </c>
      <c r="K219" s="83">
        <f t="shared" ca="1" si="269"/>
        <v>3948</v>
      </c>
      <c r="L219" s="83">
        <f t="shared" ca="1" si="270"/>
        <v>3784</v>
      </c>
      <c r="M219" s="83">
        <f t="shared" ca="1" si="271"/>
        <v>4024</v>
      </c>
      <c r="N219" s="83">
        <f t="shared" ca="1" si="272"/>
        <v>4037</v>
      </c>
      <c r="O219" s="83">
        <f t="shared" ca="1" si="273"/>
        <v>4227</v>
      </c>
      <c r="P219" s="83">
        <f t="shared" ca="1" si="274"/>
        <v>4230</v>
      </c>
      <c r="Q219" s="83">
        <f t="shared" ca="1" si="275"/>
        <v>3841</v>
      </c>
    </row>
    <row r="220" spans="2:17">
      <c r="D220" s="24" t="s">
        <v>252</v>
      </c>
      <c r="E220" s="83">
        <f t="shared" ca="1" si="263"/>
        <v>375655.71000000008</v>
      </c>
      <c r="F220" s="83">
        <f t="shared" ca="1" si="264"/>
        <v>30329</v>
      </c>
      <c r="G220" s="83">
        <f t="shared" ca="1" si="265"/>
        <v>31146.58</v>
      </c>
      <c r="H220" s="83">
        <f t="shared" ca="1" si="266"/>
        <v>31146.58</v>
      </c>
      <c r="I220" s="83">
        <f t="shared" ca="1" si="267"/>
        <v>31146.58</v>
      </c>
      <c r="J220" s="83">
        <f t="shared" ca="1" si="268"/>
        <v>31146.58</v>
      </c>
      <c r="K220" s="83">
        <f t="shared" ca="1" si="269"/>
        <v>31146.58</v>
      </c>
      <c r="L220" s="83">
        <f t="shared" ca="1" si="270"/>
        <v>31146.58</v>
      </c>
      <c r="M220" s="83">
        <f t="shared" ca="1" si="271"/>
        <v>31146.58</v>
      </c>
      <c r="N220" s="83">
        <f t="shared" ca="1" si="272"/>
        <v>31146.58</v>
      </c>
      <c r="O220" s="83">
        <f t="shared" ca="1" si="273"/>
        <v>31146.58</v>
      </c>
      <c r="P220" s="83">
        <f t="shared" ca="1" si="274"/>
        <v>31146.58</v>
      </c>
      <c r="Q220" s="83">
        <f t="shared" ca="1" si="275"/>
        <v>33860.910000000003</v>
      </c>
    </row>
    <row r="221" spans="2:17">
      <c r="D221" s="24" t="s">
        <v>388</v>
      </c>
      <c r="E221" s="83">
        <f t="shared" ca="1" si="263"/>
        <v>0</v>
      </c>
      <c r="F221" s="83">
        <f t="shared" ca="1" si="264"/>
        <v>0</v>
      </c>
      <c r="G221" s="83">
        <f t="shared" ca="1" si="265"/>
        <v>0</v>
      </c>
      <c r="H221" s="83">
        <f t="shared" ca="1" si="266"/>
        <v>0</v>
      </c>
      <c r="I221" s="83">
        <f t="shared" ca="1" si="267"/>
        <v>0</v>
      </c>
      <c r="J221" s="83">
        <f t="shared" ca="1" si="268"/>
        <v>0</v>
      </c>
      <c r="K221" s="83">
        <f t="shared" ca="1" si="269"/>
        <v>0</v>
      </c>
      <c r="L221" s="83">
        <f t="shared" ca="1" si="270"/>
        <v>0</v>
      </c>
      <c r="M221" s="83">
        <f t="shared" ca="1" si="271"/>
        <v>0</v>
      </c>
      <c r="N221" s="83">
        <f t="shared" ca="1" si="272"/>
        <v>0</v>
      </c>
      <c r="O221" s="83">
        <f t="shared" ca="1" si="273"/>
        <v>0</v>
      </c>
      <c r="P221" s="83">
        <f t="shared" ca="1" si="274"/>
        <v>0</v>
      </c>
      <c r="Q221" s="83">
        <f t="shared" ca="1" si="275"/>
        <v>0</v>
      </c>
    </row>
    <row r="222" spans="2:17">
      <c r="D222" s="85" t="s">
        <v>321</v>
      </c>
      <c r="E222" s="83">
        <f t="shared" ca="1" si="263"/>
        <v>0</v>
      </c>
      <c r="F222" s="83">
        <f t="shared" ca="1" si="264"/>
        <v>0</v>
      </c>
      <c r="G222" s="83">
        <f t="shared" ca="1" si="265"/>
        <v>0</v>
      </c>
      <c r="H222" s="83">
        <f t="shared" ca="1" si="266"/>
        <v>0</v>
      </c>
      <c r="I222" s="83">
        <f t="shared" ca="1" si="267"/>
        <v>0</v>
      </c>
      <c r="J222" s="83">
        <f t="shared" ca="1" si="268"/>
        <v>0</v>
      </c>
      <c r="K222" s="83">
        <f t="shared" ca="1" si="269"/>
        <v>0</v>
      </c>
      <c r="L222" s="83">
        <f t="shared" ca="1" si="270"/>
        <v>0</v>
      </c>
      <c r="M222" s="83">
        <f t="shared" ca="1" si="271"/>
        <v>0</v>
      </c>
      <c r="N222" s="83">
        <f t="shared" ca="1" si="272"/>
        <v>0</v>
      </c>
      <c r="O222" s="83">
        <f t="shared" ca="1" si="273"/>
        <v>0</v>
      </c>
      <c r="P222" s="83">
        <f t="shared" ca="1" si="274"/>
        <v>0</v>
      </c>
      <c r="Q222" s="83">
        <f t="shared" ca="1" si="275"/>
        <v>0</v>
      </c>
    </row>
    <row r="223" spans="2:17">
      <c r="D223" s="85" t="s">
        <v>328</v>
      </c>
      <c r="E223" s="83">
        <f t="shared" ca="1" si="263"/>
        <v>0</v>
      </c>
      <c r="F223" s="83">
        <f t="shared" ca="1" si="264"/>
        <v>0</v>
      </c>
      <c r="G223" s="83">
        <f t="shared" ca="1" si="265"/>
        <v>0</v>
      </c>
      <c r="H223" s="83">
        <f t="shared" ca="1" si="266"/>
        <v>0</v>
      </c>
      <c r="I223" s="83">
        <f t="shared" ca="1" si="267"/>
        <v>0</v>
      </c>
      <c r="J223" s="83">
        <f t="shared" ca="1" si="268"/>
        <v>0</v>
      </c>
      <c r="K223" s="83">
        <f t="shared" ca="1" si="269"/>
        <v>0</v>
      </c>
      <c r="L223" s="83">
        <f t="shared" ca="1" si="270"/>
        <v>0</v>
      </c>
      <c r="M223" s="83">
        <f t="shared" ca="1" si="271"/>
        <v>0</v>
      </c>
      <c r="N223" s="83">
        <f t="shared" ca="1" si="272"/>
        <v>0</v>
      </c>
      <c r="O223" s="83">
        <f t="shared" ca="1" si="273"/>
        <v>0</v>
      </c>
      <c r="P223" s="83">
        <f t="shared" ca="1" si="274"/>
        <v>0</v>
      </c>
      <c r="Q223" s="83">
        <f t="shared" ca="1" si="275"/>
        <v>0</v>
      </c>
    </row>
    <row r="224" spans="2:17">
      <c r="D224" s="85" t="s">
        <v>282</v>
      </c>
      <c r="E224" s="83">
        <f t="shared" ca="1" si="263"/>
        <v>0</v>
      </c>
      <c r="F224" s="83">
        <f t="shared" ca="1" si="264"/>
        <v>0</v>
      </c>
      <c r="G224" s="86">
        <f t="shared" ca="1" si="265"/>
        <v>0</v>
      </c>
      <c r="H224" s="86">
        <f t="shared" ca="1" si="266"/>
        <v>0</v>
      </c>
      <c r="I224" s="86">
        <f t="shared" ca="1" si="267"/>
        <v>0</v>
      </c>
      <c r="J224" s="86">
        <f t="shared" ca="1" si="268"/>
        <v>0</v>
      </c>
      <c r="K224" s="86">
        <f t="shared" ca="1" si="269"/>
        <v>0</v>
      </c>
      <c r="L224" s="86">
        <f t="shared" ca="1" si="270"/>
        <v>0</v>
      </c>
      <c r="M224" s="86">
        <f t="shared" ca="1" si="271"/>
        <v>0</v>
      </c>
      <c r="N224" s="86">
        <f t="shared" ca="1" si="272"/>
        <v>0</v>
      </c>
      <c r="O224" s="86">
        <f t="shared" ca="1" si="273"/>
        <v>0</v>
      </c>
      <c r="P224" s="86">
        <f t="shared" ca="1" si="274"/>
        <v>0</v>
      </c>
      <c r="Q224" s="86">
        <f t="shared" ca="1" si="275"/>
        <v>0</v>
      </c>
    </row>
    <row r="225" spans="2:17">
      <c r="D225" s="85"/>
      <c r="F225" s="83"/>
      <c r="G225" s="83"/>
      <c r="H225" s="83"/>
      <c r="I225" s="83"/>
      <c r="J225" s="83"/>
      <c r="K225" s="83"/>
      <c r="L225" s="83"/>
      <c r="M225" s="83"/>
      <c r="N225" s="83"/>
      <c r="O225" s="83"/>
      <c r="P225" s="83"/>
      <c r="Q225" s="83"/>
    </row>
    <row r="226" spans="2:17">
      <c r="E226" s="84">
        <f t="shared" ref="E226:Q226" ca="1" si="276">+E216-SUM(E217:E224)</f>
        <v>632339.14999999979</v>
      </c>
      <c r="F226" s="84">
        <f t="shared" ca="1" si="276"/>
        <v>51891.09</v>
      </c>
      <c r="G226" s="84">
        <f t="shared" ca="1" si="276"/>
        <v>51135.420000000042</v>
      </c>
      <c r="H226" s="84">
        <f t="shared" ca="1" si="276"/>
        <v>58406.589999999982</v>
      </c>
      <c r="I226" s="84">
        <f t="shared" ca="1" si="276"/>
        <v>52706.549999999952</v>
      </c>
      <c r="J226" s="84">
        <f t="shared" ca="1" si="276"/>
        <v>46699.189999999951</v>
      </c>
      <c r="K226" s="84">
        <f t="shared" ca="1" si="276"/>
        <v>52238.850000000013</v>
      </c>
      <c r="L226" s="84">
        <f t="shared" ca="1" si="276"/>
        <v>44052.189999999995</v>
      </c>
      <c r="M226" s="84">
        <f t="shared" ca="1" si="276"/>
        <v>55145.190000000024</v>
      </c>
      <c r="N226" s="84">
        <f t="shared" ca="1" si="276"/>
        <v>55378.94999999999</v>
      </c>
      <c r="O226" s="84">
        <f t="shared" ca="1" si="276"/>
        <v>59197.55000000001</v>
      </c>
      <c r="P226" s="84">
        <f t="shared" ca="1" si="276"/>
        <v>52141.080000000009</v>
      </c>
      <c r="Q226" s="84">
        <f t="shared" ca="1" si="276"/>
        <v>53346.500000000015</v>
      </c>
    </row>
    <row r="227" spans="2:17">
      <c r="F227" s="83"/>
      <c r="G227" s="83"/>
      <c r="H227" s="83"/>
      <c r="I227" s="83"/>
      <c r="J227" s="83"/>
      <c r="K227" s="83"/>
      <c r="L227" s="83"/>
      <c r="M227" s="83"/>
      <c r="N227" s="83"/>
      <c r="O227" s="83"/>
      <c r="P227" s="83"/>
      <c r="Q227" s="83"/>
    </row>
    <row r="228" spans="2:17">
      <c r="C228" s="96" t="s">
        <v>330</v>
      </c>
      <c r="D228" s="24" t="s">
        <v>334</v>
      </c>
      <c r="E228" s="83">
        <f ca="1">SUM(F228:Q228)</f>
        <v>632341</v>
      </c>
      <c r="F228" s="83">
        <f ca="1">+Summary!G134</f>
        <v>51892</v>
      </c>
      <c r="G228" s="83">
        <f ca="1">+Summary!H134</f>
        <v>51135</v>
      </c>
      <c r="H228" s="83">
        <f ca="1">+Summary!I134</f>
        <v>58407</v>
      </c>
      <c r="I228" s="83">
        <f ca="1">+Summary!J134</f>
        <v>52706</v>
      </c>
      <c r="J228" s="83">
        <f ca="1">+Summary!K134</f>
        <v>46699</v>
      </c>
      <c r="K228" s="83">
        <f ca="1">+Summary!L134</f>
        <v>52238</v>
      </c>
      <c r="L228" s="83">
        <f ca="1">+Summary!M134</f>
        <v>44052</v>
      </c>
      <c r="M228" s="83">
        <f ca="1">+Summary!N134</f>
        <v>55145</v>
      </c>
      <c r="N228" s="83">
        <f ca="1">+Summary!O134</f>
        <v>55379</v>
      </c>
      <c r="O228" s="83">
        <f ca="1">+Summary!P134</f>
        <v>59198</v>
      </c>
      <c r="P228" s="83">
        <f ca="1">+Summary!Q134</f>
        <v>52143</v>
      </c>
      <c r="Q228" s="83">
        <f ca="1">+Summary!R134</f>
        <v>53347</v>
      </c>
    </row>
    <row r="229" spans="2:17">
      <c r="E229" s="83">
        <f t="shared" ref="E229" ca="1" si="277">+E226-E228</f>
        <v>-1.8500000002095476</v>
      </c>
      <c r="F229" s="83">
        <f ca="1">+F226-F228</f>
        <v>-0.91000000000349246</v>
      </c>
      <c r="G229" s="83">
        <f t="shared" ref="G229" ca="1" si="278">+G226-G228</f>
        <v>0.42000000004190952</v>
      </c>
      <c r="H229" s="83">
        <f t="shared" ref="H229" ca="1" si="279">+H226-H228</f>
        <v>-0.41000000001804437</v>
      </c>
      <c r="I229" s="83">
        <f t="shared" ref="I229" ca="1" si="280">+I226-I228</f>
        <v>0.54999999995197868</v>
      </c>
      <c r="J229" s="83">
        <f t="shared" ref="J229" ca="1" si="281">+J226-J228</f>
        <v>0.1899999999513966</v>
      </c>
      <c r="K229" s="83">
        <f t="shared" ref="K229" ca="1" si="282">+K226-K228</f>
        <v>0.85000000001309672</v>
      </c>
      <c r="L229" s="83">
        <f t="shared" ref="L229" ca="1" si="283">+L226-L228</f>
        <v>0.18999999999505235</v>
      </c>
      <c r="M229" s="83">
        <f t="shared" ref="M229" ca="1" si="284">+M226-M228</f>
        <v>0.19000000002415618</v>
      </c>
      <c r="N229" s="83">
        <f t="shared" ref="N229" ca="1" si="285">+N226-N228</f>
        <v>-5.0000000010186341E-2</v>
      </c>
      <c r="O229" s="83">
        <f t="shared" ref="O229" ca="1" si="286">+O226-O228</f>
        <v>-0.44999999998981366</v>
      </c>
      <c r="P229" s="83">
        <f t="shared" ref="P229" ca="1" si="287">+P226-P228</f>
        <v>-1.9199999999909778</v>
      </c>
      <c r="Q229" s="83">
        <f t="shared" ref="Q229" ca="1" si="288">+Q226-Q228</f>
        <v>-0.49999999998544808</v>
      </c>
    </row>
    <row r="232" spans="2:17">
      <c r="B232" s="24">
        <v>13</v>
      </c>
      <c r="C232" s="96" t="s">
        <v>280</v>
      </c>
    </row>
    <row r="233" spans="2:17">
      <c r="C233" s="88" t="s">
        <v>306</v>
      </c>
      <c r="E233" s="84" t="s">
        <v>335</v>
      </c>
      <c r="F233" s="97" t="str">
        <f>+Summary!$W$9</f>
        <v>Aug 2021</v>
      </c>
      <c r="G233" s="97" t="str">
        <f>+Summary!$X$9</f>
        <v>Sep 2021</v>
      </c>
      <c r="H233" s="97" t="str">
        <f>+Summary!$Y$9</f>
        <v>Oct 2021</v>
      </c>
      <c r="I233" s="97" t="str">
        <f>+Summary!$Z$9</f>
        <v>Nov 2021</v>
      </c>
      <c r="J233" s="97" t="str">
        <f>+Summary!$AA$9</f>
        <v>Dec 2021</v>
      </c>
      <c r="K233" s="97" t="str">
        <f>+Summary!$AB$9</f>
        <v>Jan 2022</v>
      </c>
      <c r="L233" s="97" t="str">
        <f>+Summary!$AC$9</f>
        <v>Feb 2022</v>
      </c>
      <c r="M233" s="97" t="str">
        <f>+Summary!$AD$9</f>
        <v>Mar 2022</v>
      </c>
      <c r="N233" s="97" t="str">
        <f>+Summary!$AE$9</f>
        <v>Apr 2022</v>
      </c>
      <c r="O233" s="97" t="str">
        <f>+Summary!$AF$9</f>
        <v>May 2022</v>
      </c>
      <c r="P233" s="97" t="str">
        <f>+Summary!$AG$9</f>
        <v>Jun 2022</v>
      </c>
      <c r="Q233" s="97" t="str">
        <f>+Summary!$AH$9</f>
        <v>Jul 2022</v>
      </c>
    </row>
    <row r="234" spans="2:17">
      <c r="C234" s="96" t="s">
        <v>331</v>
      </c>
      <c r="D234" s="96" t="s">
        <v>333</v>
      </c>
    </row>
    <row r="235" spans="2:17">
      <c r="D235" s="24" t="s">
        <v>62</v>
      </c>
      <c r="E235" s="83">
        <f t="shared" ref="E235:E243" ca="1" si="289">+SUM(F235:Q235)</f>
        <v>1261247.6500000001</v>
      </c>
      <c r="F235" s="83">
        <f ca="1">SUMIFS(INDIRECT("'"&amp;$C$233&amp;"'"&amp;"!$b:$b"),INDIRECT("'"&amp;$C$233&amp;"'"&amp;"!$a:$a"),$D235)/2</f>
        <v>103734.44</v>
      </c>
      <c r="G235" s="83">
        <f ca="1">SUMIFS(INDIRECT("'"&amp;$C$233&amp;"'"&amp;"!$c:$c"),INDIRECT("'"&amp;$C$233&amp;"'"&amp;"!$a:$a"),$D235)/2</f>
        <v>101409.44000000003</v>
      </c>
      <c r="H235" s="83">
        <f ca="1">SUMIFS(INDIRECT("'"&amp;$C$233&amp;"'"&amp;"!$d:$d"),INDIRECT("'"&amp;$C$233&amp;"'"&amp;"!$a:$a"),$D235)/2</f>
        <v>100857.18999999996</v>
      </c>
      <c r="I235" s="83">
        <f ca="1">SUMIFS(INDIRECT("'"&amp;$C$233&amp;"'"&amp;"!$e:$e"),INDIRECT("'"&amp;$C$233&amp;"'"&amp;"!$a:$a"),$D235)/2</f>
        <v>99992.460000000036</v>
      </c>
      <c r="J235" s="83">
        <f ca="1">SUMIFS(INDIRECT("'"&amp;$C$233&amp;"'"&amp;"!$f:$f"),INDIRECT("'"&amp;$C$233&amp;"'"&amp;"!$a:$a"),$D235)/2</f>
        <v>107143.37</v>
      </c>
      <c r="K235" s="83">
        <f ca="1">SUMIFS(INDIRECT("'"&amp;$C$233&amp;"'"&amp;"!$g:$g"),INDIRECT("'"&amp;$C$233&amp;"'"&amp;"!$a:$a"),$D235)/2</f>
        <v>102924.79000000002</v>
      </c>
      <c r="L235" s="83">
        <f ca="1">SUMIFS(INDIRECT("'"&amp;$C$233&amp;"'"&amp;"!$h:$h"),INDIRECT("'"&amp;$C$233&amp;"'"&amp;"!$a:$a"),$D235)/2</f>
        <v>97677.419999999969</v>
      </c>
      <c r="M235" s="83">
        <f ca="1">SUMIFS(INDIRECT("'"&amp;$C$233&amp;"'"&amp;"!$i:$i"),INDIRECT("'"&amp;$C$233&amp;"'"&amp;"!$a:$a"),$D235)/2</f>
        <v>99202.270000000033</v>
      </c>
      <c r="N235" s="83">
        <f ca="1">SUMIFS(INDIRECT("'"&amp;$C$233&amp;"'"&amp;"!$j:$j"),INDIRECT("'"&amp;$C$233&amp;"'"&amp;"!$a:$a"),$D235)/2</f>
        <v>110745.13</v>
      </c>
      <c r="O235" s="83">
        <f ca="1">SUMIFS(INDIRECT("'"&amp;$C$233&amp;"'"&amp;"!$k:$k"),INDIRECT("'"&amp;$C$233&amp;"'"&amp;"!$a:$a"),$D235)/2</f>
        <v>107778.70999999996</v>
      </c>
      <c r="P235" s="83">
        <f ca="1">SUMIFS(INDIRECT("'"&amp;$C$233&amp;"'"&amp;"!$l:$l"),INDIRECT("'"&amp;$C$233&amp;"'"&amp;"!$a:$a"),$D235)/2</f>
        <v>112176.59000000003</v>
      </c>
      <c r="Q235" s="83">
        <f ca="1">SUMIFS(INDIRECT("'"&amp;$C$233&amp;"'"&amp;"!$m:$m"),INDIRECT("'"&amp;$C$233&amp;"'"&amp;"!$a:$a"),$D235)/2</f>
        <v>117605.84</v>
      </c>
    </row>
    <row r="236" spans="2:17">
      <c r="D236" s="24" t="s">
        <v>253</v>
      </c>
      <c r="E236" s="83">
        <f t="shared" ca="1" si="289"/>
        <v>710.52</v>
      </c>
      <c r="F236" s="83">
        <f t="shared" ref="F236:F243" ca="1" si="290">SUMIFS(INDIRECT("'"&amp;$C$233&amp;"'"&amp;"!$b:$b"),INDIRECT("'"&amp;$C$233&amp;"'"&amp;"!$a:$a"),$D236)</f>
        <v>101.09</v>
      </c>
      <c r="G236" s="83">
        <f t="shared" ref="G236:G243" ca="1" si="291">SUMIFS(INDIRECT("'"&amp;$C$233&amp;"'"&amp;"!$c:$c"),INDIRECT("'"&amp;$C$233&amp;"'"&amp;"!$a:$a"),$D236)</f>
        <v>101.09</v>
      </c>
      <c r="H236" s="83">
        <f t="shared" ref="H236:H243" ca="1" si="292">SUMIFS(INDIRECT("'"&amp;$C$233&amp;"'"&amp;"!$d:$d"),INDIRECT("'"&amp;$C$233&amp;"'"&amp;"!$a:$a"),$D236)</f>
        <v>101.09</v>
      </c>
      <c r="I236" s="83">
        <f t="shared" ref="I236:I243" ca="1" si="293">SUMIFS(INDIRECT("'"&amp;$C$233&amp;"'"&amp;"!$e:$e"),INDIRECT("'"&amp;$C$233&amp;"'"&amp;"!$a:$a"),$D236)</f>
        <v>101.09</v>
      </c>
      <c r="J236" s="83">
        <f t="shared" ref="J236:J243" ca="1" si="294">SUMIFS(INDIRECT("'"&amp;$C$233&amp;"'"&amp;"!$f:$f"),INDIRECT("'"&amp;$C$233&amp;"'"&amp;"!$a:$a"),$D236)</f>
        <v>101.08</v>
      </c>
      <c r="K236" s="83">
        <f t="shared" ref="K236:K243" ca="1" si="295">SUMIFS(INDIRECT("'"&amp;$C$233&amp;"'"&amp;"!$g:$g"),INDIRECT("'"&amp;$C$233&amp;"'"&amp;"!$a:$a"),$D236)</f>
        <v>0</v>
      </c>
      <c r="L236" s="83">
        <f t="shared" ref="L236:L243" ca="1" si="296">SUMIFS(INDIRECT("'"&amp;$C$233&amp;"'"&amp;"!$h:$h"),INDIRECT("'"&amp;$C$233&amp;"'"&amp;"!$a:$a"),$D236)</f>
        <v>0</v>
      </c>
      <c r="M236" s="83">
        <f t="shared" ref="M236:M243" ca="1" si="297">SUMIFS(INDIRECT("'"&amp;$C$233&amp;"'"&amp;"!$i:$i"),INDIRECT("'"&amp;$C$233&amp;"'"&amp;"!$a:$a"),$D236)</f>
        <v>51.27</v>
      </c>
      <c r="N236" s="83">
        <f t="shared" ref="N236:N243" ca="1" si="298">SUMIFS(INDIRECT("'"&amp;$C$233&amp;"'"&amp;"!$j:$j"),INDIRECT("'"&amp;$C$233&amp;"'"&amp;"!$a:$a"),$D236)</f>
        <v>0</v>
      </c>
      <c r="O236" s="83">
        <f t="shared" ref="O236:O243" ca="1" si="299">SUMIFS(INDIRECT("'"&amp;$C$233&amp;"'"&amp;"!$k:$k"),INDIRECT("'"&amp;$C$233&amp;"'"&amp;"!$a:$a"),$D236)</f>
        <v>51.27</v>
      </c>
      <c r="P236" s="83">
        <f t="shared" ref="P236:P243" ca="1" si="300">SUMIFS(INDIRECT("'"&amp;$C$233&amp;"'"&amp;"!$l:$l"),INDIRECT("'"&amp;$C$233&amp;"'"&amp;"!$a:$a"),$D236)</f>
        <v>51.27</v>
      </c>
      <c r="Q236" s="83">
        <f t="shared" ref="Q236:Q242" ca="1" si="301">SUMIFS(INDIRECT("'"&amp;$C$233&amp;"'"&amp;"!$m:$m"),INDIRECT("'"&amp;$C$233&amp;"'"&amp;"!$a:$a"),$D236)</f>
        <v>51.27</v>
      </c>
    </row>
    <row r="237" spans="2:17">
      <c r="D237" s="24" t="s">
        <v>250</v>
      </c>
      <c r="E237" s="83">
        <f t="shared" ca="1" si="289"/>
        <v>33189.289999999994</v>
      </c>
      <c r="F237" s="83">
        <f t="shared" ca="1" si="290"/>
        <v>2701.86</v>
      </c>
      <c r="G237" s="83">
        <f t="shared" ca="1" si="291"/>
        <v>2730.7599999999998</v>
      </c>
      <c r="H237" s="83">
        <f t="shared" ca="1" si="292"/>
        <v>2661.06</v>
      </c>
      <c r="I237" s="83">
        <f t="shared" ca="1" si="293"/>
        <v>2661.06</v>
      </c>
      <c r="J237" s="83">
        <f t="shared" ca="1" si="294"/>
        <v>2714.72</v>
      </c>
      <c r="K237" s="83">
        <f t="shared" ca="1" si="295"/>
        <v>2714.7499999999995</v>
      </c>
      <c r="L237" s="83">
        <f t="shared" ca="1" si="296"/>
        <v>2708.11</v>
      </c>
      <c r="M237" s="83">
        <f t="shared" ca="1" si="297"/>
        <v>2755.59</v>
      </c>
      <c r="N237" s="83">
        <f t="shared" ca="1" si="298"/>
        <v>3087.5</v>
      </c>
      <c r="O237" s="83">
        <f t="shared" ca="1" si="299"/>
        <v>2812.58</v>
      </c>
      <c r="P237" s="83">
        <f t="shared" ca="1" si="300"/>
        <v>2873.94</v>
      </c>
      <c r="Q237" s="83">
        <f t="shared" ca="1" si="301"/>
        <v>2767.36</v>
      </c>
    </row>
    <row r="238" spans="2:17">
      <c r="D238" s="24" t="s">
        <v>204</v>
      </c>
      <c r="E238" s="83">
        <f t="shared" ca="1" si="289"/>
        <v>61788</v>
      </c>
      <c r="F238" s="83">
        <f t="shared" ca="1" si="290"/>
        <v>4431</v>
      </c>
      <c r="G238" s="83">
        <f t="shared" ca="1" si="291"/>
        <v>4617</v>
      </c>
      <c r="H238" s="83">
        <f t="shared" ca="1" si="292"/>
        <v>4970</v>
      </c>
      <c r="I238" s="83">
        <f t="shared" ca="1" si="293"/>
        <v>4963</v>
      </c>
      <c r="J238" s="83">
        <f t="shared" ca="1" si="294"/>
        <v>5129</v>
      </c>
      <c r="K238" s="83">
        <f t="shared" ca="1" si="295"/>
        <v>5227</v>
      </c>
      <c r="L238" s="83">
        <f t="shared" ca="1" si="296"/>
        <v>5513</v>
      </c>
      <c r="M238" s="83">
        <f t="shared" ca="1" si="297"/>
        <v>5503</v>
      </c>
      <c r="N238" s="83">
        <f t="shared" ca="1" si="298"/>
        <v>5313</v>
      </c>
      <c r="O238" s="83">
        <f t="shared" ca="1" si="299"/>
        <v>5265</v>
      </c>
      <c r="P238" s="83">
        <f t="shared" ca="1" si="300"/>
        <v>5521</v>
      </c>
      <c r="Q238" s="83">
        <f t="shared" ca="1" si="301"/>
        <v>5336</v>
      </c>
    </row>
    <row r="239" spans="2:17">
      <c r="D239" s="24" t="s">
        <v>252</v>
      </c>
      <c r="E239" s="83">
        <f t="shared" ca="1" si="289"/>
        <v>413910.25000000012</v>
      </c>
      <c r="F239" s="83">
        <f t="shared" ca="1" si="290"/>
        <v>33429</v>
      </c>
      <c r="G239" s="83">
        <f t="shared" ca="1" si="291"/>
        <v>34308.58</v>
      </c>
      <c r="H239" s="83">
        <f t="shared" ca="1" si="292"/>
        <v>34308.58</v>
      </c>
      <c r="I239" s="83">
        <f t="shared" ca="1" si="293"/>
        <v>34308.58</v>
      </c>
      <c r="J239" s="83">
        <f t="shared" ca="1" si="294"/>
        <v>34308.58</v>
      </c>
      <c r="K239" s="83">
        <f t="shared" ca="1" si="295"/>
        <v>34308.58</v>
      </c>
      <c r="L239" s="83">
        <f t="shared" ca="1" si="296"/>
        <v>34308.58</v>
      </c>
      <c r="M239" s="83">
        <f t="shared" ca="1" si="297"/>
        <v>34308.58</v>
      </c>
      <c r="N239" s="83">
        <f t="shared" ca="1" si="298"/>
        <v>34308.58</v>
      </c>
      <c r="O239" s="83">
        <f t="shared" ca="1" si="299"/>
        <v>34308.58</v>
      </c>
      <c r="P239" s="83">
        <f t="shared" ca="1" si="300"/>
        <v>34308.58</v>
      </c>
      <c r="Q239" s="83">
        <f t="shared" ca="1" si="301"/>
        <v>37395.449999999997</v>
      </c>
    </row>
    <row r="240" spans="2:17">
      <c r="D240" s="24" t="s">
        <v>388</v>
      </c>
      <c r="E240" s="83">
        <f t="shared" ca="1" si="289"/>
        <v>0</v>
      </c>
      <c r="F240" s="83">
        <f t="shared" ca="1" si="290"/>
        <v>0</v>
      </c>
      <c r="G240" s="83">
        <f t="shared" ca="1" si="291"/>
        <v>0</v>
      </c>
      <c r="H240" s="83">
        <f t="shared" ca="1" si="292"/>
        <v>0</v>
      </c>
      <c r="I240" s="83">
        <f t="shared" ca="1" si="293"/>
        <v>0</v>
      </c>
      <c r="J240" s="83">
        <f t="shared" ca="1" si="294"/>
        <v>0</v>
      </c>
      <c r="K240" s="83">
        <f t="shared" ca="1" si="295"/>
        <v>0</v>
      </c>
      <c r="L240" s="83">
        <f t="shared" ca="1" si="296"/>
        <v>0</v>
      </c>
      <c r="M240" s="83">
        <f t="shared" ca="1" si="297"/>
        <v>0</v>
      </c>
      <c r="N240" s="83">
        <f t="shared" ca="1" si="298"/>
        <v>0</v>
      </c>
      <c r="O240" s="83">
        <f t="shared" ca="1" si="299"/>
        <v>0</v>
      </c>
      <c r="P240" s="83">
        <f t="shared" ca="1" si="300"/>
        <v>0</v>
      </c>
      <c r="Q240" s="83">
        <f t="shared" ca="1" si="301"/>
        <v>0</v>
      </c>
    </row>
    <row r="241" spans="2:17">
      <c r="D241" s="85" t="s">
        <v>321</v>
      </c>
      <c r="E241" s="83">
        <f t="shared" ca="1" si="289"/>
        <v>0</v>
      </c>
      <c r="F241" s="83">
        <f t="shared" ca="1" si="290"/>
        <v>0</v>
      </c>
      <c r="G241" s="83">
        <f t="shared" ca="1" si="291"/>
        <v>0</v>
      </c>
      <c r="H241" s="83">
        <f t="shared" ca="1" si="292"/>
        <v>0</v>
      </c>
      <c r="I241" s="83">
        <f t="shared" ca="1" si="293"/>
        <v>0</v>
      </c>
      <c r="J241" s="83">
        <f t="shared" ca="1" si="294"/>
        <v>0</v>
      </c>
      <c r="K241" s="83">
        <f t="shared" ca="1" si="295"/>
        <v>0</v>
      </c>
      <c r="L241" s="83">
        <f t="shared" ca="1" si="296"/>
        <v>0</v>
      </c>
      <c r="M241" s="83">
        <f t="shared" ca="1" si="297"/>
        <v>0</v>
      </c>
      <c r="N241" s="83">
        <f t="shared" ca="1" si="298"/>
        <v>0</v>
      </c>
      <c r="O241" s="83">
        <f t="shared" ca="1" si="299"/>
        <v>0</v>
      </c>
      <c r="P241" s="83">
        <f t="shared" ca="1" si="300"/>
        <v>0</v>
      </c>
      <c r="Q241" s="83">
        <f t="shared" ca="1" si="301"/>
        <v>0</v>
      </c>
    </row>
    <row r="242" spans="2:17">
      <c r="D242" s="85" t="s">
        <v>328</v>
      </c>
      <c r="E242" s="83">
        <f t="shared" ca="1" si="289"/>
        <v>0</v>
      </c>
      <c r="F242" s="83">
        <f t="shared" ca="1" si="290"/>
        <v>0</v>
      </c>
      <c r="G242" s="83">
        <f t="shared" ca="1" si="291"/>
        <v>0</v>
      </c>
      <c r="H242" s="83">
        <f t="shared" ca="1" si="292"/>
        <v>0</v>
      </c>
      <c r="I242" s="83">
        <f t="shared" ca="1" si="293"/>
        <v>0</v>
      </c>
      <c r="J242" s="83">
        <f t="shared" ca="1" si="294"/>
        <v>0</v>
      </c>
      <c r="K242" s="83">
        <f t="shared" ca="1" si="295"/>
        <v>0</v>
      </c>
      <c r="L242" s="83">
        <f t="shared" ca="1" si="296"/>
        <v>0</v>
      </c>
      <c r="M242" s="83">
        <f t="shared" ca="1" si="297"/>
        <v>0</v>
      </c>
      <c r="N242" s="83">
        <f t="shared" ca="1" si="298"/>
        <v>0</v>
      </c>
      <c r="O242" s="83">
        <f t="shared" ca="1" si="299"/>
        <v>0</v>
      </c>
      <c r="P242" s="83">
        <f t="shared" ca="1" si="300"/>
        <v>0</v>
      </c>
      <c r="Q242" s="83">
        <f t="shared" ca="1" si="301"/>
        <v>0</v>
      </c>
    </row>
    <row r="243" spans="2:17">
      <c r="D243" s="85" t="s">
        <v>282</v>
      </c>
      <c r="E243" s="83">
        <f t="shared" ca="1" si="289"/>
        <v>250</v>
      </c>
      <c r="F243" s="83">
        <f t="shared" ca="1" si="290"/>
        <v>0</v>
      </c>
      <c r="G243" s="86">
        <f t="shared" ca="1" si="291"/>
        <v>0</v>
      </c>
      <c r="H243" s="86">
        <f t="shared" ca="1" si="292"/>
        <v>0</v>
      </c>
      <c r="I243" s="86">
        <f t="shared" ca="1" si="293"/>
        <v>0</v>
      </c>
      <c r="J243" s="86">
        <f t="shared" ca="1" si="294"/>
        <v>0</v>
      </c>
      <c r="K243" s="86">
        <f t="shared" ca="1" si="295"/>
        <v>0</v>
      </c>
      <c r="L243" s="86">
        <f t="shared" ca="1" si="296"/>
        <v>0</v>
      </c>
      <c r="M243" s="86">
        <f t="shared" ca="1" si="297"/>
        <v>0</v>
      </c>
      <c r="N243" s="86">
        <f t="shared" ca="1" si="298"/>
        <v>0</v>
      </c>
      <c r="O243" s="86">
        <f t="shared" ca="1" si="299"/>
        <v>0</v>
      </c>
      <c r="P243" s="86">
        <f t="shared" ca="1" si="300"/>
        <v>0</v>
      </c>
      <c r="Q243" s="86">
        <f ca="1">SUMIFS(INDIRECT("'"&amp;$C$233&amp;"'"&amp;"!$m:$m"),INDIRECT("'"&amp;$C$233&amp;"'"&amp;"!$a:$a"),$D243)</f>
        <v>250</v>
      </c>
    </row>
    <row r="244" spans="2:17">
      <c r="D244" s="85"/>
      <c r="F244" s="83"/>
      <c r="G244" s="83"/>
      <c r="H244" s="83"/>
      <c r="I244" s="83"/>
      <c r="J244" s="83"/>
      <c r="K244" s="83"/>
      <c r="L244" s="83"/>
      <c r="M244" s="83"/>
      <c r="N244" s="83"/>
      <c r="O244" s="83"/>
      <c r="P244" s="83"/>
      <c r="Q244" s="83"/>
    </row>
    <row r="245" spans="2:17">
      <c r="E245" s="84">
        <f t="shared" ref="E245:P245" ca="1" si="302">+E235-SUM(E236:E243)</f>
        <v>751399.59000000008</v>
      </c>
      <c r="F245" s="84">
        <f ca="1">+F235-SUM(F236:F243)</f>
        <v>63071.490000000005</v>
      </c>
      <c r="G245" s="84">
        <f t="shared" ca="1" si="302"/>
        <v>59652.010000000031</v>
      </c>
      <c r="H245" s="84">
        <f t="shared" ca="1" si="302"/>
        <v>58816.459999999955</v>
      </c>
      <c r="I245" s="84">
        <f t="shared" ca="1" si="302"/>
        <v>57958.730000000032</v>
      </c>
      <c r="J245" s="84">
        <f t="shared" ca="1" si="302"/>
        <v>64889.989999999991</v>
      </c>
      <c r="K245" s="84">
        <f t="shared" ca="1" si="302"/>
        <v>60674.460000000021</v>
      </c>
      <c r="L245" s="84">
        <f t="shared" ca="1" si="302"/>
        <v>55147.729999999967</v>
      </c>
      <c r="M245" s="84">
        <f t="shared" ca="1" si="302"/>
        <v>56583.830000000031</v>
      </c>
      <c r="N245" s="84">
        <f t="shared" ca="1" si="302"/>
        <v>68036.05</v>
      </c>
      <c r="O245" s="84">
        <f t="shared" ca="1" si="302"/>
        <v>65341.279999999962</v>
      </c>
      <c r="P245" s="84">
        <f t="shared" ca="1" si="302"/>
        <v>69421.800000000017</v>
      </c>
      <c r="Q245" s="84">
        <f ca="1">+Q235-SUM(Q236:Q242)</f>
        <v>72055.760000000009</v>
      </c>
    </row>
    <row r="246" spans="2:17">
      <c r="F246" s="83"/>
      <c r="G246" s="83"/>
      <c r="H246" s="83"/>
      <c r="I246" s="83"/>
      <c r="J246" s="83"/>
      <c r="K246" s="83"/>
      <c r="L246" s="83"/>
      <c r="M246" s="83"/>
      <c r="N246" s="83"/>
      <c r="O246" s="83"/>
      <c r="P246" s="83"/>
      <c r="Q246" s="83"/>
    </row>
    <row r="247" spans="2:17">
      <c r="C247" s="96" t="s">
        <v>330</v>
      </c>
      <c r="D247" s="24" t="s">
        <v>334</v>
      </c>
      <c r="E247" s="83">
        <f ca="1">SUM(F247:Q247)</f>
        <v>751648</v>
      </c>
      <c r="F247" s="83">
        <f ca="1">+Summary!G145</f>
        <v>63070</v>
      </c>
      <c r="G247" s="83">
        <f ca="1">+Summary!H145</f>
        <v>59652</v>
      </c>
      <c r="H247" s="83">
        <f ca="1">+Summary!I145</f>
        <v>58817</v>
      </c>
      <c r="I247" s="83">
        <f ca="1">+Summary!J145</f>
        <v>57959</v>
      </c>
      <c r="J247" s="83">
        <f ca="1">+Summary!K145</f>
        <v>64889</v>
      </c>
      <c r="K247" s="83">
        <f ca="1">+Summary!L145</f>
        <v>60674</v>
      </c>
      <c r="L247" s="83">
        <f ca="1">+Summary!M145</f>
        <v>55149</v>
      </c>
      <c r="M247" s="83">
        <f ca="1">+Summary!N145</f>
        <v>56583</v>
      </c>
      <c r="N247" s="83">
        <f ca="1">+Summary!O145</f>
        <v>68035</v>
      </c>
      <c r="O247" s="83">
        <f ca="1">+Summary!P145</f>
        <v>65341</v>
      </c>
      <c r="P247" s="83">
        <f ca="1">+Summary!Q145</f>
        <v>69422</v>
      </c>
      <c r="Q247" s="83">
        <f ca="1">+Summary!R145</f>
        <v>72057</v>
      </c>
    </row>
    <row r="248" spans="2:17">
      <c r="E248" s="83">
        <f t="shared" ref="E248" ca="1" si="303">+E245-E247</f>
        <v>-248.40999999991618</v>
      </c>
      <c r="F248" s="83">
        <f ca="1">+F245-F247</f>
        <v>1.4900000000052387</v>
      </c>
      <c r="G248" s="83">
        <f t="shared" ref="G248" ca="1" si="304">+G245-G247</f>
        <v>1.0000000031141099E-2</v>
      </c>
      <c r="H248" s="83">
        <f t="shared" ref="H248" ca="1" si="305">+H245-H247</f>
        <v>-0.54000000004452886</v>
      </c>
      <c r="I248" s="83">
        <f t="shared" ref="I248" ca="1" si="306">+I245-I247</f>
        <v>-0.26999999996769475</v>
      </c>
      <c r="J248" s="83">
        <f t="shared" ref="J248" ca="1" si="307">+J245-J247</f>
        <v>0.98999999999068677</v>
      </c>
      <c r="K248" s="83">
        <f t="shared" ref="K248" ca="1" si="308">+K245-K247</f>
        <v>0.46000000002095476</v>
      </c>
      <c r="L248" s="83">
        <f t="shared" ref="L248" ca="1" si="309">+L245-L247</f>
        <v>-1.2700000000331784</v>
      </c>
      <c r="M248" s="83">
        <f t="shared" ref="M248" ca="1" si="310">+M245-M247</f>
        <v>0.83000000003085006</v>
      </c>
      <c r="N248" s="83">
        <f t="shared" ref="N248" ca="1" si="311">+N245-N247</f>
        <v>1.0500000000029104</v>
      </c>
      <c r="O248" s="83">
        <f t="shared" ref="O248" ca="1" si="312">+O245-O247</f>
        <v>0.27999999996245606</v>
      </c>
      <c r="P248" s="83">
        <f t="shared" ref="P248" ca="1" si="313">+P245-P247</f>
        <v>-0.1999999999825377</v>
      </c>
      <c r="Q248" s="211">
        <f t="shared" ref="Q248" ca="1" si="314">+Q245-Q247</f>
        <v>-1.2399999999906868</v>
      </c>
    </row>
    <row r="251" spans="2:17">
      <c r="B251" s="24">
        <v>14</v>
      </c>
      <c r="C251" s="96" t="s">
        <v>287</v>
      </c>
    </row>
    <row r="252" spans="2:17">
      <c r="C252" s="88" t="s">
        <v>307</v>
      </c>
      <c r="E252" s="84" t="s">
        <v>335</v>
      </c>
      <c r="F252" s="97" t="str">
        <f>+Summary!$W$9</f>
        <v>Aug 2021</v>
      </c>
      <c r="G252" s="97" t="str">
        <f>+Summary!$X$9</f>
        <v>Sep 2021</v>
      </c>
      <c r="H252" s="97" t="str">
        <f>+Summary!$Y$9</f>
        <v>Oct 2021</v>
      </c>
      <c r="I252" s="97" t="str">
        <f>+Summary!$Z$9</f>
        <v>Nov 2021</v>
      </c>
      <c r="J252" s="97" t="str">
        <f>+Summary!$AA$9</f>
        <v>Dec 2021</v>
      </c>
      <c r="K252" s="97" t="str">
        <f>+Summary!$AB$9</f>
        <v>Jan 2022</v>
      </c>
      <c r="L252" s="97" t="str">
        <f>+Summary!$AC$9</f>
        <v>Feb 2022</v>
      </c>
      <c r="M252" s="97" t="str">
        <f>+Summary!$AD$9</f>
        <v>Mar 2022</v>
      </c>
      <c r="N252" s="97" t="str">
        <f>+Summary!$AE$9</f>
        <v>Apr 2022</v>
      </c>
      <c r="O252" s="97" t="str">
        <f>+Summary!$AF$9</f>
        <v>May 2022</v>
      </c>
      <c r="P252" s="97" t="str">
        <f>+Summary!$AG$9</f>
        <v>Jun 2022</v>
      </c>
      <c r="Q252" s="97" t="str">
        <f>+Summary!$AH$9</f>
        <v>Jul 2022</v>
      </c>
    </row>
    <row r="253" spans="2:17">
      <c r="C253" s="96" t="s">
        <v>331</v>
      </c>
      <c r="D253" s="96" t="s">
        <v>333</v>
      </c>
    </row>
    <row r="254" spans="2:17">
      <c r="D254" s="24" t="s">
        <v>62</v>
      </c>
      <c r="E254" s="83">
        <f t="shared" ref="E254:E262" ca="1" si="315">+SUM(F254:Q254)</f>
        <v>9958171.6800000016</v>
      </c>
      <c r="F254" s="83">
        <f ca="1">SUMIFS(INDIRECT("'"&amp;$C$252&amp;"'"&amp;"!$B:$B"),INDIRECT("'"&amp;$C$252&amp;"'"&amp;"!$a:$a"),$D254)/2</f>
        <v>868030.62000000058</v>
      </c>
      <c r="G254" s="83">
        <f ca="1">SUMIFS(INDIRECT("'"&amp;$C$252&amp;"'"&amp;"!$C:$C"),INDIRECT("'"&amp;$C$252&amp;"'"&amp;"!$a:$a"),$D254)/2</f>
        <v>830976.09000000067</v>
      </c>
      <c r="H254" s="83">
        <f ca="1">SUMIFS(INDIRECT("'"&amp;$C$252&amp;"'"&amp;"!$d:$d"),INDIRECT("'"&amp;$C$252&amp;"'"&amp;"!$a:$a"),$D254)/2</f>
        <v>885512.7700000006</v>
      </c>
      <c r="I254" s="83">
        <f ca="1">SUMIFS(INDIRECT("'"&amp;$C$252&amp;"'"&amp;"!$e:$e"),INDIRECT("'"&amp;$C$252&amp;"'"&amp;"!$a:$a"),$D254)/2</f>
        <v>795957.27000000048</v>
      </c>
      <c r="J254" s="83">
        <f ca="1">SUMIFS(INDIRECT("'"&amp;$C$252&amp;"'"&amp;"!$f:$f"),INDIRECT("'"&amp;$C$252&amp;"'"&amp;"!$a:$a"),$D254)/2</f>
        <v>171832.20999999953</v>
      </c>
      <c r="K254" s="83">
        <f ca="1">SUMIFS(INDIRECT("'"&amp;$C$252&amp;"'"&amp;"!$g:$g"),INDIRECT("'"&amp;$C$252&amp;"'"&amp;"!$a:$a"),$D254)/2</f>
        <v>900160.05000000051</v>
      </c>
      <c r="L254" s="83">
        <f ca="1">SUMIFS(INDIRECT("'"&amp;$C$252&amp;"'"&amp;"!$h:$h"),INDIRECT("'"&amp;$C$252&amp;"'"&amp;"!$a:$a"),$D254)/2</f>
        <v>885283.05999999982</v>
      </c>
      <c r="M254" s="83">
        <f ca="1">SUMIFS(INDIRECT("'"&amp;$C$252&amp;"'"&amp;"!$i:$i"),INDIRECT("'"&amp;$C$252&amp;"'"&amp;"!$a:$a"),$D254)/2</f>
        <v>927055.28999999946</v>
      </c>
      <c r="N254" s="83">
        <f ca="1">SUMIFS(INDIRECT("'"&amp;$C$252&amp;"'"&amp;"!$j:$j"),INDIRECT("'"&amp;$C$252&amp;"'"&amp;"!$a:$a"),$D254)/2</f>
        <v>893820.71999999962</v>
      </c>
      <c r="O254" s="83">
        <f ca="1">SUMIFS(INDIRECT("'"&amp;$C$252&amp;"'"&amp;"!$k:$k"),INDIRECT("'"&amp;$C$252&amp;"'"&amp;"!$a:$a"),$D254)/2</f>
        <v>909002.39000000025</v>
      </c>
      <c r="P254" s="83">
        <f ca="1">SUMIFS(INDIRECT("'"&amp;$C$252&amp;"'"&amp;"!$l:$l"),INDIRECT("'"&amp;$C$252&amp;"'"&amp;"!$a:$a"),$D254)/2</f>
        <v>945116.19000000088</v>
      </c>
      <c r="Q254" s="83">
        <f ca="1">SUMIFS(INDIRECT("'"&amp;$C$252&amp;"'"&amp;"!$m:$m"),INDIRECT("'"&amp;$C$252&amp;"'"&amp;"!$a:$a"),$D254)/2</f>
        <v>945425.02</v>
      </c>
    </row>
    <row r="255" spans="2:17">
      <c r="D255" s="24" t="s">
        <v>253</v>
      </c>
      <c r="E255" s="83">
        <f t="shared" ca="1" si="315"/>
        <v>16720.71</v>
      </c>
      <c r="F255" s="83">
        <f ca="1">SUMIFS(INDIRECT("'"&amp;$C$252&amp;"'"&amp;"!$B:$B"),INDIRECT("'"&amp;$C$252&amp;"'"&amp;"!$a:$a"),$D255)</f>
        <v>3510.84</v>
      </c>
      <c r="G255" s="83">
        <f t="shared" ref="G255:G262" ca="1" si="316">SUMIFS(INDIRECT("'"&amp;$C$252&amp;"'"&amp;"!$C:$C"),INDIRECT("'"&amp;$C$252&amp;"'"&amp;"!$a:$a"),$D255)</f>
        <v>1460.4</v>
      </c>
      <c r="H255" s="83">
        <f t="shared" ref="H255:H262" ca="1" si="317">SUMIFS(INDIRECT("'"&amp;$C$252&amp;"'"&amp;"!$d:$d"),INDIRECT("'"&amp;$C$252&amp;"'"&amp;"!$a:$a"),$D255)</f>
        <v>1287.04</v>
      </c>
      <c r="I255" s="83">
        <f t="shared" ref="I255:I262" ca="1" si="318">SUMIFS(INDIRECT("'"&amp;$C$252&amp;"'"&amp;"!$e:$e"),INDIRECT("'"&amp;$C$252&amp;"'"&amp;"!$a:$a"),$D255)</f>
        <v>1365.76</v>
      </c>
      <c r="J255" s="83">
        <f t="shared" ref="J255:J262" ca="1" si="319">SUMIFS(INDIRECT("'"&amp;$C$252&amp;"'"&amp;"!$f:$f"),INDIRECT("'"&amp;$C$252&amp;"'"&amp;"!$a:$a"),$D255)</f>
        <v>1845.11</v>
      </c>
      <c r="K255" s="83">
        <f t="shared" ref="K255:K262" ca="1" si="320">SUMIFS(INDIRECT("'"&amp;$C$252&amp;"'"&amp;"!$g:$g"),INDIRECT("'"&amp;$C$252&amp;"'"&amp;"!$a:$a"),$D255)</f>
        <v>1121.45</v>
      </c>
      <c r="L255" s="83">
        <f t="shared" ref="L255:L262" ca="1" si="321">SUMIFS(INDIRECT("'"&amp;$C$252&amp;"'"&amp;"!$h:$h"),INDIRECT("'"&amp;$C$252&amp;"'"&amp;"!$a:$a"),$D255)</f>
        <v>894.49</v>
      </c>
      <c r="M255" s="83">
        <f t="shared" ref="M255:M262" ca="1" si="322">SUMIFS(INDIRECT("'"&amp;$C$252&amp;"'"&amp;"!$i:$i"),INDIRECT("'"&amp;$C$252&amp;"'"&amp;"!$a:$a"),$D255)</f>
        <v>936.83</v>
      </c>
      <c r="N255" s="83">
        <f t="shared" ref="N255:N262" ca="1" si="323">SUMIFS(INDIRECT("'"&amp;$C$252&amp;"'"&amp;"!$j:$j"),INDIRECT("'"&amp;$C$252&amp;"'"&amp;"!$a:$a"),$D255)</f>
        <v>1119.67</v>
      </c>
      <c r="O255" s="83">
        <f t="shared" ref="O255:O262" ca="1" si="324">SUMIFS(INDIRECT("'"&amp;$C$252&amp;"'"&amp;"!$k:$k"),INDIRECT("'"&amp;$C$252&amp;"'"&amp;"!$a:$a"),$D255)</f>
        <v>989.97</v>
      </c>
      <c r="P255" s="83">
        <f t="shared" ref="P255:P262" ca="1" si="325">SUMIFS(INDIRECT("'"&amp;$C$252&amp;"'"&amp;"!$l:$l"),INDIRECT("'"&amp;$C$252&amp;"'"&amp;"!$a:$a"),$D255)</f>
        <v>1155.17</v>
      </c>
      <c r="Q255" s="83">
        <f t="shared" ref="Q255:Q262" ca="1" si="326">SUMIFS(INDIRECT("'"&amp;$C$252&amp;"'"&amp;"!$m:$m"),INDIRECT("'"&amp;$C$252&amp;"'"&amp;"!$a:$a"),$D255)</f>
        <v>1033.98</v>
      </c>
    </row>
    <row r="256" spans="2:17">
      <c r="D256" s="24" t="s">
        <v>250</v>
      </c>
      <c r="E256" s="83">
        <f t="shared" ca="1" si="315"/>
        <v>40220.580000000009</v>
      </c>
      <c r="F256" s="83">
        <f ca="1">SUMIFS(INDIRECT("'"&amp;$C$252&amp;"'"&amp;"!$B:$B"),INDIRECT("'"&amp;$C$252&amp;"'"&amp;"!$a:$a"),$D256)</f>
        <v>2229.8900000000003</v>
      </c>
      <c r="G256" s="83">
        <f t="shared" ca="1" si="316"/>
        <v>3256.44</v>
      </c>
      <c r="H256" s="83">
        <f t="shared" ca="1" si="317"/>
        <v>3289.59</v>
      </c>
      <c r="I256" s="83">
        <f t="shared" ca="1" si="318"/>
        <v>3388.42</v>
      </c>
      <c r="J256" s="83">
        <f t="shared" ca="1" si="319"/>
        <v>3531.9699999999993</v>
      </c>
      <c r="K256" s="83">
        <f t="shared" ca="1" si="320"/>
        <v>3531.9700000000003</v>
      </c>
      <c r="L256" s="83">
        <f t="shared" ca="1" si="321"/>
        <v>3267.9900000000007</v>
      </c>
      <c r="M256" s="83">
        <f t="shared" ca="1" si="322"/>
        <v>3593.66</v>
      </c>
      <c r="N256" s="83">
        <f t="shared" ca="1" si="323"/>
        <v>3477.29</v>
      </c>
      <c r="O256" s="83">
        <f t="shared" ca="1" si="324"/>
        <v>3425.73</v>
      </c>
      <c r="P256" s="83">
        <f t="shared" ca="1" si="325"/>
        <v>3588.87</v>
      </c>
      <c r="Q256" s="83">
        <f t="shared" ca="1" si="326"/>
        <v>3638.7599999999993</v>
      </c>
    </row>
    <row r="257" spans="2:17">
      <c r="D257" s="24" t="s">
        <v>204</v>
      </c>
      <c r="E257" s="83">
        <f t="shared" ca="1" si="315"/>
        <v>-85195</v>
      </c>
      <c r="F257" s="83">
        <f ca="1">SUMIFS(INDIRECT("'"&amp;$C$252&amp;"'"&amp;"!$B:$B"),INDIRECT("'"&amp;$C$252&amp;"'"&amp;"!$a:$a"),$D257)</f>
        <v>40963</v>
      </c>
      <c r="G257" s="83">
        <f t="shared" ca="1" si="316"/>
        <v>37256</v>
      </c>
      <c r="H257" s="83">
        <f t="shared" ca="1" si="317"/>
        <v>40848</v>
      </c>
      <c r="I257" s="83">
        <f t="shared" ca="1" si="318"/>
        <v>37831</v>
      </c>
      <c r="J257" s="83">
        <f t="shared" ca="1" si="319"/>
        <v>-550297</v>
      </c>
      <c r="K257" s="83">
        <f t="shared" ca="1" si="320"/>
        <v>43099</v>
      </c>
      <c r="L257" s="83">
        <f t="shared" ca="1" si="321"/>
        <v>34690</v>
      </c>
      <c r="M257" s="83">
        <f t="shared" ca="1" si="322"/>
        <v>45459</v>
      </c>
      <c r="N257" s="83">
        <f t="shared" ca="1" si="323"/>
        <v>45244</v>
      </c>
      <c r="O257" s="83">
        <f t="shared" ca="1" si="324"/>
        <v>47799</v>
      </c>
      <c r="P257" s="83">
        <f t="shared" ca="1" si="325"/>
        <v>46268</v>
      </c>
      <c r="Q257" s="83">
        <f t="shared" ca="1" si="326"/>
        <v>45645</v>
      </c>
    </row>
    <row r="258" spans="2:17">
      <c r="D258" s="24" t="s">
        <v>252</v>
      </c>
      <c r="E258" s="83">
        <f t="shared" ca="1" si="315"/>
        <v>1080000</v>
      </c>
      <c r="F258" s="83">
        <f ca="1">SUMIFS(INDIRECT("'"&amp;$C$252&amp;"'"&amp;"!$B:$B"),INDIRECT("'"&amp;$C$252&amp;"'"&amp;"!$a:$a"),$D258)</f>
        <v>90000</v>
      </c>
      <c r="G258" s="83">
        <f t="shared" ca="1" si="316"/>
        <v>90000</v>
      </c>
      <c r="H258" s="83">
        <f t="shared" ca="1" si="317"/>
        <v>90000</v>
      </c>
      <c r="I258" s="83">
        <f t="shared" ca="1" si="318"/>
        <v>90000</v>
      </c>
      <c r="J258" s="83">
        <f t="shared" ca="1" si="319"/>
        <v>90000</v>
      </c>
      <c r="K258" s="83">
        <f t="shared" ca="1" si="320"/>
        <v>90000</v>
      </c>
      <c r="L258" s="83">
        <f t="shared" ca="1" si="321"/>
        <v>90000</v>
      </c>
      <c r="M258" s="83">
        <f t="shared" ca="1" si="322"/>
        <v>90000</v>
      </c>
      <c r="N258" s="83">
        <f t="shared" ca="1" si="323"/>
        <v>90000</v>
      </c>
      <c r="O258" s="83">
        <f t="shared" ca="1" si="324"/>
        <v>90000</v>
      </c>
      <c r="P258" s="83">
        <f t="shared" ca="1" si="325"/>
        <v>90000</v>
      </c>
      <c r="Q258" s="83">
        <f t="shared" ca="1" si="326"/>
        <v>90000</v>
      </c>
    </row>
    <row r="259" spans="2:17">
      <c r="D259" s="24" t="s">
        <v>388</v>
      </c>
      <c r="E259" s="83">
        <f t="shared" ca="1" si="315"/>
        <v>0</v>
      </c>
      <c r="F259" s="83">
        <f t="shared" ref="F259:F262" ca="1" si="327">SUMIFS(INDIRECT("'"&amp;$C$252&amp;"'"&amp;"!$B:$B"),INDIRECT("'"&amp;$C$252&amp;"'"&amp;"!$a:$a"),$D259)/2</f>
        <v>0</v>
      </c>
      <c r="G259" s="83">
        <f t="shared" ca="1" si="316"/>
        <v>0</v>
      </c>
      <c r="H259" s="83">
        <f t="shared" ca="1" si="317"/>
        <v>0</v>
      </c>
      <c r="I259" s="83">
        <f t="shared" ca="1" si="318"/>
        <v>0</v>
      </c>
      <c r="J259" s="83">
        <f t="shared" ca="1" si="319"/>
        <v>0</v>
      </c>
      <c r="K259" s="83">
        <f t="shared" ca="1" si="320"/>
        <v>0</v>
      </c>
      <c r="L259" s="83">
        <f t="shared" ca="1" si="321"/>
        <v>0</v>
      </c>
      <c r="M259" s="83">
        <f t="shared" ca="1" si="322"/>
        <v>0</v>
      </c>
      <c r="N259" s="83">
        <f t="shared" ca="1" si="323"/>
        <v>0</v>
      </c>
      <c r="O259" s="83">
        <f t="shared" ca="1" si="324"/>
        <v>0</v>
      </c>
      <c r="P259" s="83">
        <f t="shared" ca="1" si="325"/>
        <v>0</v>
      </c>
      <c r="Q259" s="83">
        <f t="shared" ca="1" si="326"/>
        <v>0</v>
      </c>
    </row>
    <row r="260" spans="2:17">
      <c r="D260" s="85" t="s">
        <v>321</v>
      </c>
      <c r="E260" s="83">
        <f t="shared" ca="1" si="315"/>
        <v>1399.24</v>
      </c>
      <c r="F260" s="83">
        <f ca="1">SUMIFS(INDIRECT("'"&amp;$C$252&amp;"'"&amp;"!$B:$B"),INDIRECT("'"&amp;$C$252&amp;"'"&amp;"!$a:$a"),$D260)</f>
        <v>809.24</v>
      </c>
      <c r="G260" s="83">
        <f t="shared" ca="1" si="316"/>
        <v>0</v>
      </c>
      <c r="H260" s="83">
        <f t="shared" ca="1" si="317"/>
        <v>0</v>
      </c>
      <c r="I260" s="83">
        <f t="shared" ca="1" si="318"/>
        <v>0</v>
      </c>
      <c r="J260" s="83">
        <f t="shared" ca="1" si="319"/>
        <v>290</v>
      </c>
      <c r="K260" s="83">
        <f t="shared" ca="1" si="320"/>
        <v>0</v>
      </c>
      <c r="L260" s="83">
        <f t="shared" ca="1" si="321"/>
        <v>300</v>
      </c>
      <c r="M260" s="83">
        <f t="shared" ca="1" si="322"/>
        <v>0</v>
      </c>
      <c r="N260" s="83">
        <f t="shared" ca="1" si="323"/>
        <v>0</v>
      </c>
      <c r="O260" s="83">
        <f t="shared" ca="1" si="324"/>
        <v>0</v>
      </c>
      <c r="P260" s="83">
        <f t="shared" ca="1" si="325"/>
        <v>0</v>
      </c>
      <c r="Q260" s="83">
        <f t="shared" ca="1" si="326"/>
        <v>0</v>
      </c>
    </row>
    <row r="261" spans="2:17">
      <c r="D261" s="85" t="s">
        <v>328</v>
      </c>
      <c r="E261" s="83">
        <f t="shared" ca="1" si="315"/>
        <v>0</v>
      </c>
      <c r="F261" s="83">
        <f ca="1">SUMIFS(INDIRECT("'"&amp;$C$252&amp;"'"&amp;"!$B:$B"),INDIRECT("'"&amp;$C$252&amp;"'"&amp;"!$a:$a"),$D261)</f>
        <v>0</v>
      </c>
      <c r="G261" s="83">
        <f t="shared" ca="1" si="316"/>
        <v>0</v>
      </c>
      <c r="H261" s="83">
        <f t="shared" ca="1" si="317"/>
        <v>0</v>
      </c>
      <c r="I261" s="83">
        <f t="shared" ca="1" si="318"/>
        <v>0</v>
      </c>
      <c r="J261" s="83">
        <f t="shared" ca="1" si="319"/>
        <v>0</v>
      </c>
      <c r="K261" s="83">
        <f t="shared" ca="1" si="320"/>
        <v>0</v>
      </c>
      <c r="L261" s="83">
        <f t="shared" ca="1" si="321"/>
        <v>0</v>
      </c>
      <c r="M261" s="83">
        <f t="shared" ca="1" si="322"/>
        <v>0</v>
      </c>
      <c r="N261" s="83">
        <f t="shared" ca="1" si="323"/>
        <v>0</v>
      </c>
      <c r="O261" s="83">
        <f t="shared" ca="1" si="324"/>
        <v>0</v>
      </c>
      <c r="P261" s="83">
        <f t="shared" ca="1" si="325"/>
        <v>0</v>
      </c>
      <c r="Q261" s="83">
        <f t="shared" ca="1" si="326"/>
        <v>0</v>
      </c>
    </row>
    <row r="262" spans="2:17">
      <c r="D262" s="85" t="s">
        <v>282</v>
      </c>
      <c r="E262" s="83">
        <f t="shared" ca="1" si="315"/>
        <v>0</v>
      </c>
      <c r="F262" s="83">
        <f t="shared" ca="1" si="327"/>
        <v>0</v>
      </c>
      <c r="G262" s="86">
        <f t="shared" ca="1" si="316"/>
        <v>0</v>
      </c>
      <c r="H262" s="86">
        <f t="shared" ca="1" si="317"/>
        <v>0</v>
      </c>
      <c r="I262" s="86">
        <f t="shared" ca="1" si="318"/>
        <v>0</v>
      </c>
      <c r="J262" s="86">
        <f t="shared" ca="1" si="319"/>
        <v>0</v>
      </c>
      <c r="K262" s="86">
        <f t="shared" ca="1" si="320"/>
        <v>0</v>
      </c>
      <c r="L262" s="86">
        <f t="shared" ca="1" si="321"/>
        <v>0</v>
      </c>
      <c r="M262" s="86">
        <f t="shared" ca="1" si="322"/>
        <v>0</v>
      </c>
      <c r="N262" s="86">
        <f t="shared" ca="1" si="323"/>
        <v>0</v>
      </c>
      <c r="O262" s="86">
        <f t="shared" ca="1" si="324"/>
        <v>0</v>
      </c>
      <c r="P262" s="86">
        <f t="shared" ca="1" si="325"/>
        <v>0</v>
      </c>
      <c r="Q262" s="86">
        <f t="shared" ca="1" si="326"/>
        <v>0</v>
      </c>
    </row>
    <row r="263" spans="2:17">
      <c r="D263" s="85"/>
      <c r="F263" s="83"/>
      <c r="G263" s="83"/>
      <c r="H263" s="83"/>
      <c r="I263" s="83"/>
      <c r="J263" s="83"/>
      <c r="K263" s="83"/>
      <c r="L263" s="83"/>
      <c r="M263" s="83"/>
      <c r="N263" s="83"/>
      <c r="O263" s="83"/>
      <c r="P263" s="83"/>
      <c r="Q263" s="83"/>
    </row>
    <row r="264" spans="2:17">
      <c r="E264" s="84">
        <f ca="1">+E254-SUM(E255:E262)</f>
        <v>8905026.1500000022</v>
      </c>
      <c r="F264" s="84">
        <f t="shared" ref="F264:G264" ca="1" si="328">+F254-SUM(F255:F262)</f>
        <v>730517.65000000061</v>
      </c>
      <c r="G264" s="84">
        <f t="shared" ca="1" si="328"/>
        <v>699003.2500000007</v>
      </c>
      <c r="H264" s="84">
        <f t="shared" ref="H264:Q264" ca="1" si="329">+H254-SUM(H255:H262)</f>
        <v>750088.1400000006</v>
      </c>
      <c r="I264" s="84">
        <f t="shared" ca="1" si="329"/>
        <v>663372.09000000055</v>
      </c>
      <c r="J264" s="84">
        <f t="shared" ca="1" si="329"/>
        <v>626462.12999999954</v>
      </c>
      <c r="K264" s="84">
        <f t="shared" ca="1" si="329"/>
        <v>762407.63000000059</v>
      </c>
      <c r="L264" s="84">
        <f t="shared" ca="1" si="329"/>
        <v>756130.57999999984</v>
      </c>
      <c r="M264" s="84">
        <f t="shared" ca="1" si="329"/>
        <v>787065.79999999946</v>
      </c>
      <c r="N264" s="84">
        <f t="shared" ca="1" si="329"/>
        <v>753979.75999999966</v>
      </c>
      <c r="O264" s="84">
        <f t="shared" ca="1" si="329"/>
        <v>766787.69000000018</v>
      </c>
      <c r="P264" s="84">
        <f t="shared" ca="1" si="329"/>
        <v>804104.15000000084</v>
      </c>
      <c r="Q264" s="84">
        <f t="shared" ca="1" si="329"/>
        <v>805107.28</v>
      </c>
    </row>
    <row r="265" spans="2:17">
      <c r="F265" s="83"/>
      <c r="G265" s="83"/>
      <c r="H265" s="83"/>
      <c r="I265" s="83"/>
      <c r="J265" s="83"/>
      <c r="K265" s="83"/>
      <c r="L265" s="83"/>
      <c r="M265" s="83"/>
      <c r="N265" s="83"/>
      <c r="O265" s="83"/>
      <c r="P265" s="83"/>
      <c r="Q265" s="83"/>
    </row>
    <row r="266" spans="2:17">
      <c r="C266" s="96" t="s">
        <v>330</v>
      </c>
      <c r="D266" s="24" t="s">
        <v>334</v>
      </c>
      <c r="E266" s="83">
        <f ca="1">SUM(F266:Q266)</f>
        <v>8987227</v>
      </c>
      <c r="F266" s="83">
        <f ca="1">+Summary!G156</f>
        <v>730518</v>
      </c>
      <c r="G266" s="83">
        <f ca="1">+Summary!H156</f>
        <v>699004</v>
      </c>
      <c r="H266" s="83">
        <f ca="1">+Summary!I156</f>
        <v>750086</v>
      </c>
      <c r="I266" s="83">
        <f ca="1">+Summary!J156</f>
        <v>663370</v>
      </c>
      <c r="J266" s="83">
        <f ca="1">+Summary!K156</f>
        <v>708665</v>
      </c>
      <c r="K266" s="83">
        <f ca="1">+Summary!L156</f>
        <v>762408</v>
      </c>
      <c r="L266" s="83">
        <f ca="1">+Summary!M156</f>
        <v>756131</v>
      </c>
      <c r="M266" s="83">
        <f ca="1">+Summary!N156</f>
        <v>787066</v>
      </c>
      <c r="N266" s="83">
        <f ca="1">+Summary!O156</f>
        <v>753980</v>
      </c>
      <c r="O266" s="83">
        <f ca="1">+Summary!P156</f>
        <v>766786</v>
      </c>
      <c r="P266" s="83">
        <f ca="1">+Summary!Q156</f>
        <v>804104</v>
      </c>
      <c r="Q266" s="83">
        <f ca="1">+Summary!R156</f>
        <v>805109</v>
      </c>
    </row>
    <row r="267" spans="2:17">
      <c r="E267" s="84">
        <f t="shared" ref="E267" ca="1" si="330">+E264-E266</f>
        <v>-82200.849999997765</v>
      </c>
      <c r="F267" s="83">
        <f t="shared" ref="F267:H267" ca="1" si="331">+F264-F266</f>
        <v>-0.34999999939464033</v>
      </c>
      <c r="G267" s="83">
        <f t="shared" ca="1" si="331"/>
        <v>-0.74999999930150807</v>
      </c>
      <c r="H267" s="83">
        <f t="shared" ca="1" si="331"/>
        <v>2.1400000005960464</v>
      </c>
      <c r="I267" s="83">
        <f t="shared" ref="I267" ca="1" si="332">+I264-I266</f>
        <v>2.0900000005494803</v>
      </c>
      <c r="J267" s="83">
        <f t="shared" ref="J267" ca="1" si="333">+J264-J266</f>
        <v>-82202.870000000461</v>
      </c>
      <c r="K267" s="83">
        <f t="shared" ref="K267" ca="1" si="334">+K264-K266</f>
        <v>-0.36999999941326678</v>
      </c>
      <c r="L267" s="84">
        <f t="shared" ref="L267" ca="1" si="335">+L264-L266</f>
        <v>-0.42000000015832484</v>
      </c>
      <c r="M267" s="83">
        <f t="shared" ref="M267" ca="1" si="336">+M264-M266</f>
        <v>-0.20000000053551048</v>
      </c>
      <c r="N267" s="83">
        <f t="shared" ref="N267" ca="1" si="337">+N264-N266</f>
        <v>-0.24000000033993274</v>
      </c>
      <c r="O267" s="83">
        <f t="shared" ref="O267" ca="1" si="338">+O264-O266</f>
        <v>1.6900000001769513</v>
      </c>
      <c r="P267" s="83">
        <f t="shared" ref="P267" ca="1" si="339">+P264-P266</f>
        <v>0.15000000083819032</v>
      </c>
      <c r="Q267" s="83">
        <f t="shared" ref="Q267" ca="1" si="340">+Q264-Q266</f>
        <v>-1.7199999999720603</v>
      </c>
    </row>
    <row r="268" spans="2:17">
      <c r="F268" s="104"/>
      <c r="G268" s="104"/>
    </row>
    <row r="269" spans="2:17">
      <c r="F269" s="7"/>
      <c r="G269" s="7"/>
    </row>
    <row r="270" spans="2:17">
      <c r="B270" s="24">
        <v>15</v>
      </c>
      <c r="C270" s="96" t="s">
        <v>288</v>
      </c>
    </row>
    <row r="271" spans="2:17">
      <c r="C271" s="88" t="s">
        <v>308</v>
      </c>
      <c r="E271" s="84" t="s">
        <v>335</v>
      </c>
      <c r="F271" s="97" t="str">
        <f>+Summary!$W$9</f>
        <v>Aug 2021</v>
      </c>
      <c r="G271" s="97" t="str">
        <f>+Summary!$X$9</f>
        <v>Sep 2021</v>
      </c>
      <c r="H271" s="97" t="str">
        <f>+Summary!$Y$9</f>
        <v>Oct 2021</v>
      </c>
      <c r="I271" s="97" t="str">
        <f>+Summary!$Z$9</f>
        <v>Nov 2021</v>
      </c>
      <c r="J271" s="97" t="str">
        <f>+Summary!$AA$9</f>
        <v>Dec 2021</v>
      </c>
      <c r="K271" s="97" t="str">
        <f>+Summary!$AB$9</f>
        <v>Jan 2022</v>
      </c>
      <c r="L271" s="97" t="str">
        <f>+Summary!$AC$9</f>
        <v>Feb 2022</v>
      </c>
      <c r="M271" s="97" t="str">
        <f>+Summary!$AD$9</f>
        <v>Mar 2022</v>
      </c>
      <c r="N271" s="97" t="str">
        <f>+Summary!$AE$9</f>
        <v>Apr 2022</v>
      </c>
      <c r="O271" s="97" t="str">
        <f>+Summary!$AF$9</f>
        <v>May 2022</v>
      </c>
      <c r="P271" s="97" t="str">
        <f>+Summary!$AG$9</f>
        <v>Jun 2022</v>
      </c>
      <c r="Q271" s="97" t="str">
        <f>+Summary!$AH$9</f>
        <v>Jul 2022</v>
      </c>
    </row>
    <row r="272" spans="2:17">
      <c r="C272" s="96" t="s">
        <v>331</v>
      </c>
      <c r="D272" s="96" t="s">
        <v>333</v>
      </c>
    </row>
    <row r="273" spans="3:17">
      <c r="D273" s="24" t="s">
        <v>62</v>
      </c>
      <c r="E273" s="83">
        <f t="shared" ref="E273:E282" ca="1" si="341">+SUM(F273:Q273)</f>
        <v>9430364.8400000036</v>
      </c>
      <c r="F273" s="83">
        <f ca="1">SUMIFS(INDIRECT("'"&amp;$C$271&amp;"'"&amp;"!$B:$B"),INDIRECT("'"&amp;$C$271&amp;"'"&amp;"!$a:$a"),$D273)/2</f>
        <v>758354.71000000066</v>
      </c>
      <c r="G273" s="83">
        <f ca="1">SUMIFS(INDIRECT("'"&amp;$C$271&amp;"'"&amp;"!$C:$C"),INDIRECT("'"&amp;$C$271&amp;"'"&amp;"!$a:$a"),$D273)/2</f>
        <v>745806.17000000016</v>
      </c>
      <c r="H273" s="83">
        <f ca="1">SUMIFS(INDIRECT("'"&amp;$C$271&amp;"'"&amp;"!$d:$d"),INDIRECT("'"&amp;$C$271&amp;"'"&amp;"!$a:$a"),$D273)/2</f>
        <v>762795.36999999976</v>
      </c>
      <c r="I273" s="83">
        <f ca="1">SUMIFS(INDIRECT("'"&amp;$C$271&amp;"'"&amp;"!$e:$e"),INDIRECT("'"&amp;$C$271&amp;"'"&amp;"!$a:$a"),$D273)/2</f>
        <v>743249.29000000062</v>
      </c>
      <c r="J273" s="83">
        <f ca="1">SUMIFS(INDIRECT("'"&amp;$C$271&amp;"'"&amp;"!$f:$f"),INDIRECT("'"&amp;$C$271&amp;"'"&amp;"!$a:$a"),$D273)/2</f>
        <v>881991.11000000034</v>
      </c>
      <c r="K273" s="83">
        <f ca="1">SUMIFS(INDIRECT("'"&amp;$C$271&amp;"'"&amp;"!$g:$g"),INDIRECT("'"&amp;$C$271&amp;"'"&amp;"!$a:$a"),$D273)/2</f>
        <v>751094.16999999981</v>
      </c>
      <c r="L273" s="83">
        <f ca="1">SUMIFS(INDIRECT("'"&amp;$C$271&amp;"'"&amp;"!$h:$h"),INDIRECT("'"&amp;$C$271&amp;"'"&amp;"!$a:$a"),$D273)/2</f>
        <v>747016.03000000061</v>
      </c>
      <c r="M273" s="83">
        <f ca="1">SUMIFS(INDIRECT("'"&amp;$C$271&amp;"'"&amp;"!$i:$i"),INDIRECT("'"&amp;$C$271&amp;"'"&amp;"!$a:$a"),$D273)/2</f>
        <v>897484.49000000022</v>
      </c>
      <c r="N273" s="83">
        <f ca="1">SUMIFS(INDIRECT("'"&amp;$C$271&amp;"'"&amp;"!$j:$j"),INDIRECT("'"&amp;$C$271&amp;"'"&amp;"!$a:$a"),$D273)/2</f>
        <v>775947.61000000022</v>
      </c>
      <c r="O273" s="83">
        <f ca="1">SUMIFS(INDIRECT("'"&amp;$C$271&amp;"'"&amp;"!$k:$k"),INDIRECT("'"&amp;$C$271&amp;"'"&amp;"!$a:$a"),$D273)/2</f>
        <v>869190.05000000016</v>
      </c>
      <c r="P273" s="83">
        <f ca="1">SUMIFS(INDIRECT("'"&amp;$C$271&amp;"'"&amp;"!$l:$l"),INDIRECT("'"&amp;$C$271&amp;"'"&amp;"!$a:$a"),$D273)/2</f>
        <v>704617.11000000045</v>
      </c>
      <c r="Q273" s="83">
        <f ca="1">SUMIFS(INDIRECT("'"&amp;$C$271&amp;"'"&amp;"!$m:$m"),INDIRECT("'"&amp;$C$271&amp;"'"&amp;"!$a:$a"),$D273)/2</f>
        <v>792818.73000000091</v>
      </c>
    </row>
    <row r="274" spans="3:17">
      <c r="D274" s="24" t="s">
        <v>253</v>
      </c>
      <c r="E274" s="83">
        <f t="shared" ca="1" si="341"/>
        <v>1013.0500000000001</v>
      </c>
      <c r="F274" s="83">
        <f ca="1">SUMIFS(INDIRECT("'"&amp;$C$271&amp;"'"&amp;"!$B:$B"),INDIRECT("'"&amp;$C$271&amp;"'"&amp;"!$a:$a"),$D274)</f>
        <v>144.13</v>
      </c>
      <c r="G274" s="83">
        <f t="shared" ref="G274:G282" ca="1" si="342">SUMIFS(INDIRECT("'"&amp;$C$271&amp;"'"&amp;"!$C:$C"),INDIRECT("'"&amp;$C$271&amp;"'"&amp;"!$a:$a"),$D274)</f>
        <v>144.13</v>
      </c>
      <c r="H274" s="83">
        <f t="shared" ref="H274:H282" ca="1" si="343">SUMIFS(INDIRECT("'"&amp;$C$271&amp;"'"&amp;"!$d:$d"),INDIRECT("'"&amp;$C$271&amp;"'"&amp;"!$a:$a"),$D274)</f>
        <v>144.13</v>
      </c>
      <c r="I274" s="83">
        <f t="shared" ref="I274:I282" ca="1" si="344">SUMIFS(INDIRECT("'"&amp;$C$271&amp;"'"&amp;"!$e:$e"),INDIRECT("'"&amp;$C$271&amp;"'"&amp;"!$a:$a"),$D274)</f>
        <v>144.13</v>
      </c>
      <c r="J274" s="83">
        <f t="shared" ref="J274:J282" ca="1" si="345">SUMIFS(INDIRECT("'"&amp;$C$271&amp;"'"&amp;"!$f:$f"),INDIRECT("'"&amp;$C$271&amp;"'"&amp;"!$a:$a"),$D274)</f>
        <v>144.13</v>
      </c>
      <c r="K274" s="83">
        <f t="shared" ref="K274:K282" ca="1" si="346">SUMIFS(INDIRECT("'"&amp;$C$271&amp;"'"&amp;"!$g:$g"),INDIRECT("'"&amp;$C$271&amp;"'"&amp;"!$a:$a"),$D274)</f>
        <v>0</v>
      </c>
      <c r="L274" s="83">
        <f t="shared" ref="L274:L282" ca="1" si="347">SUMIFS(INDIRECT("'"&amp;$C$271&amp;"'"&amp;"!$h:$h"),INDIRECT("'"&amp;$C$271&amp;"'"&amp;"!$a:$a"),$D274)</f>
        <v>0</v>
      </c>
      <c r="M274" s="83">
        <f t="shared" ref="M274:M282" ca="1" si="348">SUMIFS(INDIRECT("'"&amp;$C$271&amp;"'"&amp;"!$i:$i"),INDIRECT("'"&amp;$C$271&amp;"'"&amp;"!$a:$a"),$D274)</f>
        <v>0</v>
      </c>
      <c r="N274" s="83">
        <f t="shared" ref="N274:N282" ca="1" si="349">SUMIFS(INDIRECT("'"&amp;$C$271&amp;"'"&amp;"!$j:$j"),INDIRECT("'"&amp;$C$271&amp;"'"&amp;"!$a:$a"),$D274)</f>
        <v>73.099999999999994</v>
      </c>
      <c r="O274" s="83">
        <f t="shared" ref="O274:O282" ca="1" si="350">SUMIFS(INDIRECT("'"&amp;$C$271&amp;"'"&amp;"!$k:$k"),INDIRECT("'"&amp;$C$271&amp;"'"&amp;"!$a:$a"),$D274)</f>
        <v>73.099999999999994</v>
      </c>
      <c r="P274" s="83">
        <f t="shared" ref="P274:P282" ca="1" si="351">SUMIFS(INDIRECT("'"&amp;$C$271&amp;"'"&amp;"!$l:$l"),INDIRECT("'"&amp;$C$271&amp;"'"&amp;"!$a:$a"),$D274)</f>
        <v>73.099999999999994</v>
      </c>
      <c r="Q274" s="83">
        <f t="shared" ref="Q274:Q282" ca="1" si="352">SUMIFS(INDIRECT("'"&amp;$C$271&amp;"'"&amp;"!$m:$m"),INDIRECT("'"&amp;$C$271&amp;"'"&amp;"!$a:$a"),$D274)</f>
        <v>73.099999999999994</v>
      </c>
    </row>
    <row r="275" spans="3:17">
      <c r="D275" s="24" t="s">
        <v>250</v>
      </c>
      <c r="E275" s="83">
        <f t="shared" ca="1" si="341"/>
        <v>55368.990000000013</v>
      </c>
      <c r="F275" s="83">
        <f t="shared" ref="F275:F282" ca="1" si="353">SUMIFS(INDIRECT("'"&amp;$C$271&amp;"'"&amp;"!$B:$B"),INDIRECT("'"&amp;$C$271&amp;"'"&amp;"!$a:$a"),$D275)</f>
        <v>4414.3700000000008</v>
      </c>
      <c r="G275" s="83">
        <f t="shared" ca="1" si="342"/>
        <v>4438.9799999999996</v>
      </c>
      <c r="H275" s="83">
        <f t="shared" ca="1" si="343"/>
        <v>4524.8099999999995</v>
      </c>
      <c r="I275" s="83">
        <f t="shared" ca="1" si="344"/>
        <v>4436.99</v>
      </c>
      <c r="J275" s="83">
        <f t="shared" ca="1" si="345"/>
        <v>4524.2</v>
      </c>
      <c r="K275" s="83">
        <f t="shared" ca="1" si="346"/>
        <v>4524.2</v>
      </c>
      <c r="L275" s="83">
        <f t="shared" ca="1" si="347"/>
        <v>4667.0599999999995</v>
      </c>
      <c r="M275" s="83">
        <f t="shared" ca="1" si="348"/>
        <v>4896.4500000000016</v>
      </c>
      <c r="N275" s="83">
        <f t="shared" ca="1" si="349"/>
        <v>5214.62</v>
      </c>
      <c r="O275" s="83">
        <f t="shared" ca="1" si="350"/>
        <v>4744.7199999999993</v>
      </c>
      <c r="P275" s="83">
        <f t="shared" ca="1" si="351"/>
        <v>3648.37</v>
      </c>
      <c r="Q275" s="83">
        <f t="shared" ca="1" si="352"/>
        <v>5334.22</v>
      </c>
    </row>
    <row r="276" spans="3:17">
      <c r="D276" s="24" t="s">
        <v>204</v>
      </c>
      <c r="E276" s="83">
        <f t="shared" ca="1" si="341"/>
        <v>627455</v>
      </c>
      <c r="F276" s="83">
        <f t="shared" ca="1" si="353"/>
        <v>40963</v>
      </c>
      <c r="G276" s="83">
        <f t="shared" ca="1" si="342"/>
        <v>30741</v>
      </c>
      <c r="H276" s="83">
        <f t="shared" ca="1" si="343"/>
        <v>37007</v>
      </c>
      <c r="I276" s="83">
        <f t="shared" ca="1" si="344"/>
        <v>35279</v>
      </c>
      <c r="J276" s="83">
        <f t="shared" ca="1" si="345"/>
        <v>197983</v>
      </c>
      <c r="K276" s="83">
        <f t="shared" ca="1" si="346"/>
        <v>38665</v>
      </c>
      <c r="L276" s="83">
        <f t="shared" ca="1" si="347"/>
        <v>37778</v>
      </c>
      <c r="M276" s="83">
        <f t="shared" ca="1" si="348"/>
        <v>48671</v>
      </c>
      <c r="N276" s="83">
        <f t="shared" ca="1" si="349"/>
        <v>40408</v>
      </c>
      <c r="O276" s="83">
        <f t="shared" ca="1" si="350"/>
        <v>38570</v>
      </c>
      <c r="P276" s="83">
        <f t="shared" ca="1" si="351"/>
        <v>39664</v>
      </c>
      <c r="Q276" s="83">
        <f t="shared" ca="1" si="352"/>
        <v>41726</v>
      </c>
    </row>
    <row r="277" spans="3:17">
      <c r="D277" s="24" t="s">
        <v>252</v>
      </c>
      <c r="E277" s="83">
        <f t="shared" ca="1" si="341"/>
        <v>1222853.6299999999</v>
      </c>
      <c r="F277" s="83">
        <f t="shared" ca="1" si="353"/>
        <v>99129</v>
      </c>
      <c r="G277" s="83">
        <f t="shared" ca="1" si="342"/>
        <v>101322.58</v>
      </c>
      <c r="H277" s="83">
        <f t="shared" ca="1" si="343"/>
        <v>101322.58</v>
      </c>
      <c r="I277" s="83">
        <f t="shared" ca="1" si="344"/>
        <v>101322.58</v>
      </c>
      <c r="J277" s="83">
        <f t="shared" ca="1" si="345"/>
        <v>101322.58</v>
      </c>
      <c r="K277" s="83">
        <f t="shared" ca="1" si="346"/>
        <v>101322.58</v>
      </c>
      <c r="L277" s="83">
        <f t="shared" ca="1" si="347"/>
        <v>101322.58</v>
      </c>
      <c r="M277" s="83">
        <f t="shared" ca="1" si="348"/>
        <v>101322.58</v>
      </c>
      <c r="N277" s="83">
        <f t="shared" ca="1" si="349"/>
        <v>101322.58</v>
      </c>
      <c r="O277" s="83">
        <f t="shared" ca="1" si="350"/>
        <v>101322.58</v>
      </c>
      <c r="P277" s="83">
        <f t="shared" ca="1" si="351"/>
        <v>101322.58</v>
      </c>
      <c r="Q277" s="83">
        <f t="shared" ca="1" si="352"/>
        <v>110498.83</v>
      </c>
    </row>
    <row r="278" spans="3:17">
      <c r="D278" s="24" t="s">
        <v>388</v>
      </c>
      <c r="E278" s="83">
        <f t="shared" ca="1" si="341"/>
        <v>0</v>
      </c>
      <c r="F278" s="83">
        <f t="shared" ca="1" si="353"/>
        <v>0</v>
      </c>
      <c r="G278" s="83">
        <f t="shared" ca="1" si="342"/>
        <v>0</v>
      </c>
      <c r="H278" s="83">
        <f t="shared" ca="1" si="343"/>
        <v>0</v>
      </c>
      <c r="I278" s="83">
        <f t="shared" ca="1" si="344"/>
        <v>0</v>
      </c>
      <c r="J278" s="83">
        <f t="shared" ca="1" si="345"/>
        <v>0</v>
      </c>
      <c r="K278" s="83">
        <f t="shared" ca="1" si="346"/>
        <v>0</v>
      </c>
      <c r="L278" s="83">
        <f t="shared" ca="1" si="347"/>
        <v>0</v>
      </c>
      <c r="M278" s="83">
        <f t="shared" ca="1" si="348"/>
        <v>0</v>
      </c>
      <c r="N278" s="83">
        <f t="shared" ca="1" si="349"/>
        <v>0</v>
      </c>
      <c r="O278" s="83">
        <f t="shared" ca="1" si="350"/>
        <v>0</v>
      </c>
      <c r="P278" s="83">
        <f t="shared" ca="1" si="351"/>
        <v>0</v>
      </c>
      <c r="Q278" s="83">
        <f t="shared" ca="1" si="352"/>
        <v>0</v>
      </c>
    </row>
    <row r="279" spans="3:17">
      <c r="D279" s="85" t="s">
        <v>328</v>
      </c>
      <c r="E279" s="83">
        <f t="shared" ca="1" si="341"/>
        <v>0</v>
      </c>
      <c r="F279" s="83">
        <f t="shared" ca="1" si="353"/>
        <v>0</v>
      </c>
      <c r="G279" s="83">
        <f t="shared" ca="1" si="342"/>
        <v>0</v>
      </c>
      <c r="H279" s="83">
        <f t="shared" ca="1" si="343"/>
        <v>0</v>
      </c>
      <c r="I279" s="83">
        <f t="shared" ca="1" si="344"/>
        <v>0</v>
      </c>
      <c r="J279" s="83">
        <f t="shared" ca="1" si="345"/>
        <v>0</v>
      </c>
      <c r="K279" s="83">
        <f t="shared" ca="1" si="346"/>
        <v>0</v>
      </c>
      <c r="L279" s="83">
        <f t="shared" ca="1" si="347"/>
        <v>0</v>
      </c>
      <c r="M279" s="83">
        <f t="shared" ca="1" si="348"/>
        <v>0</v>
      </c>
      <c r="N279" s="83">
        <f t="shared" ca="1" si="349"/>
        <v>0</v>
      </c>
      <c r="O279" s="83">
        <f t="shared" ca="1" si="350"/>
        <v>0</v>
      </c>
      <c r="P279" s="83">
        <f t="shared" ca="1" si="351"/>
        <v>0</v>
      </c>
      <c r="Q279" s="83">
        <f t="shared" ca="1" si="352"/>
        <v>0</v>
      </c>
    </row>
    <row r="280" spans="3:17">
      <c r="D280" s="85" t="s">
        <v>321</v>
      </c>
      <c r="E280" s="83">
        <f t="shared" ca="1" si="341"/>
        <v>509.23</v>
      </c>
      <c r="F280" s="83">
        <f t="shared" ca="1" si="353"/>
        <v>209.23</v>
      </c>
      <c r="G280" s="83">
        <f t="shared" ca="1" si="342"/>
        <v>0</v>
      </c>
      <c r="H280" s="83">
        <f t="shared" ca="1" si="343"/>
        <v>0</v>
      </c>
      <c r="I280" s="83">
        <f t="shared" ca="1" si="344"/>
        <v>0</v>
      </c>
      <c r="J280" s="83">
        <f t="shared" ca="1" si="345"/>
        <v>0</v>
      </c>
      <c r="K280" s="83">
        <f t="shared" ca="1" si="346"/>
        <v>0</v>
      </c>
      <c r="L280" s="83">
        <f t="shared" ca="1" si="347"/>
        <v>300</v>
      </c>
      <c r="M280" s="83">
        <f t="shared" ca="1" si="348"/>
        <v>0</v>
      </c>
      <c r="N280" s="83">
        <f t="shared" ca="1" si="349"/>
        <v>0</v>
      </c>
      <c r="O280" s="83">
        <f t="shared" ca="1" si="350"/>
        <v>0</v>
      </c>
      <c r="P280" s="83">
        <f t="shared" ca="1" si="351"/>
        <v>0</v>
      </c>
      <c r="Q280" s="83">
        <f t="shared" ca="1" si="352"/>
        <v>0</v>
      </c>
    </row>
    <row r="281" spans="3:17">
      <c r="D281" s="85" t="s">
        <v>282</v>
      </c>
      <c r="E281" s="83">
        <f t="shared" ca="1" si="341"/>
        <v>0</v>
      </c>
      <c r="F281" s="83">
        <f t="shared" ca="1" si="353"/>
        <v>0</v>
      </c>
      <c r="G281" s="86">
        <f t="shared" ca="1" si="342"/>
        <v>0</v>
      </c>
      <c r="H281" s="86">
        <f t="shared" ca="1" si="343"/>
        <v>0</v>
      </c>
      <c r="I281" s="86">
        <f t="shared" ca="1" si="344"/>
        <v>0</v>
      </c>
      <c r="J281" s="86">
        <f t="shared" ca="1" si="345"/>
        <v>0</v>
      </c>
      <c r="K281" s="86">
        <f t="shared" ca="1" si="346"/>
        <v>0</v>
      </c>
      <c r="L281" s="86">
        <f t="shared" ca="1" si="347"/>
        <v>0</v>
      </c>
      <c r="M281" s="86">
        <f t="shared" ca="1" si="348"/>
        <v>0</v>
      </c>
      <c r="N281" s="86">
        <f t="shared" ca="1" si="349"/>
        <v>0</v>
      </c>
      <c r="O281" s="86">
        <f t="shared" ca="1" si="350"/>
        <v>0</v>
      </c>
      <c r="P281" s="86">
        <f t="shared" ca="1" si="351"/>
        <v>0</v>
      </c>
      <c r="Q281" s="86">
        <f t="shared" ca="1" si="352"/>
        <v>0</v>
      </c>
    </row>
    <row r="282" spans="3:17" s="99" customFormat="1">
      <c r="D282" s="100" t="s">
        <v>234</v>
      </c>
      <c r="E282" s="87">
        <f t="shared" ca="1" si="341"/>
        <v>1692.72</v>
      </c>
      <c r="F282" s="83">
        <f t="shared" ca="1" si="353"/>
        <v>0</v>
      </c>
      <c r="G282" s="87">
        <f t="shared" ca="1" si="342"/>
        <v>0</v>
      </c>
      <c r="H282" s="87">
        <f t="shared" ca="1" si="343"/>
        <v>0</v>
      </c>
      <c r="I282" s="87">
        <f t="shared" ca="1" si="344"/>
        <v>-173.95</v>
      </c>
      <c r="J282" s="87">
        <f t="shared" ca="1" si="345"/>
        <v>0</v>
      </c>
      <c r="K282" s="87">
        <f t="shared" ca="1" si="346"/>
        <v>66.67</v>
      </c>
      <c r="L282" s="87">
        <f t="shared" ca="1" si="347"/>
        <v>0</v>
      </c>
      <c r="M282" s="87">
        <f t="shared" ca="1" si="348"/>
        <v>1800</v>
      </c>
      <c r="N282" s="87">
        <f t="shared" ca="1" si="349"/>
        <v>0</v>
      </c>
      <c r="O282" s="87">
        <f t="shared" ca="1" si="350"/>
        <v>0</v>
      </c>
      <c r="P282" s="87">
        <f t="shared" ca="1" si="351"/>
        <v>0</v>
      </c>
      <c r="Q282" s="87">
        <f t="shared" ca="1" si="352"/>
        <v>0</v>
      </c>
    </row>
    <row r="283" spans="3:17">
      <c r="F283" s="83"/>
      <c r="G283" s="83"/>
      <c r="H283" s="83"/>
      <c r="I283" s="83"/>
      <c r="J283" s="83"/>
      <c r="K283" s="83"/>
      <c r="L283" s="83"/>
      <c r="M283" s="83"/>
      <c r="N283" s="83"/>
      <c r="O283" s="83"/>
      <c r="P283" s="83"/>
      <c r="Q283" s="83"/>
    </row>
    <row r="284" spans="3:17">
      <c r="E284" s="84">
        <f ca="1">+E273-SUM(E274:E281)</f>
        <v>7523164.9400000032</v>
      </c>
      <c r="F284" s="84">
        <f t="shared" ref="F284:G284" ca="1" si="354">+F273-SUM(F274:F281)</f>
        <v>613494.98000000068</v>
      </c>
      <c r="G284" s="84">
        <f t="shared" ca="1" si="354"/>
        <v>609159.48000000021</v>
      </c>
      <c r="H284" s="84">
        <f t="shared" ref="H284:Q284" ca="1" si="355">+H273-SUM(H274:H281)</f>
        <v>619796.84999999974</v>
      </c>
      <c r="I284" s="84">
        <f t="shared" ca="1" si="355"/>
        <v>602066.59000000055</v>
      </c>
      <c r="J284" s="84">
        <f t="shared" ca="1" si="355"/>
        <v>578017.20000000042</v>
      </c>
      <c r="K284" s="84">
        <f t="shared" ca="1" si="355"/>
        <v>606582.38999999978</v>
      </c>
      <c r="L284" s="84">
        <f t="shared" ca="1" si="355"/>
        <v>602948.3900000006</v>
      </c>
      <c r="M284" s="84">
        <f t="shared" ca="1" si="355"/>
        <v>742594.4600000002</v>
      </c>
      <c r="N284" s="84">
        <f t="shared" ca="1" si="355"/>
        <v>628929.31000000029</v>
      </c>
      <c r="O284" s="84">
        <f t="shared" ca="1" si="355"/>
        <v>724479.65000000014</v>
      </c>
      <c r="P284" s="84">
        <f t="shared" ca="1" si="355"/>
        <v>559909.06000000052</v>
      </c>
      <c r="Q284" s="84">
        <f t="shared" ca="1" si="355"/>
        <v>635186.58000000089</v>
      </c>
    </row>
    <row r="285" spans="3:17">
      <c r="F285" s="83"/>
      <c r="G285" s="83"/>
      <c r="H285" s="83"/>
      <c r="I285" s="83"/>
      <c r="J285" s="83"/>
      <c r="K285" s="83"/>
      <c r="L285" s="83"/>
      <c r="M285" s="83"/>
      <c r="N285" s="83"/>
      <c r="O285" s="83"/>
      <c r="P285" s="83"/>
      <c r="Q285" s="83"/>
    </row>
    <row r="286" spans="3:17">
      <c r="C286" s="96" t="s">
        <v>330</v>
      </c>
      <c r="D286" s="24" t="s">
        <v>334</v>
      </c>
      <c r="E286" s="83">
        <f ca="1">SUM(F286:Q286)</f>
        <v>7383444</v>
      </c>
      <c r="F286" s="83">
        <f ca="1">+Summary!G167</f>
        <v>613495</v>
      </c>
      <c r="G286" s="83">
        <f ca="1">+Summary!H167</f>
        <v>609161</v>
      </c>
      <c r="H286" s="83">
        <f ca="1">+Summary!I167</f>
        <v>619796</v>
      </c>
      <c r="I286" s="83">
        <f ca="1">+Summary!J167</f>
        <v>602065</v>
      </c>
      <c r="J286" s="83">
        <f ca="1">+Summary!K167</f>
        <v>438297</v>
      </c>
      <c r="K286" s="83">
        <f ca="1">+Summary!L167</f>
        <v>606583</v>
      </c>
      <c r="L286" s="83">
        <f ca="1">+Summary!M167</f>
        <v>602948</v>
      </c>
      <c r="M286" s="83">
        <f ca="1">+Summary!N167</f>
        <v>742595</v>
      </c>
      <c r="N286" s="83">
        <f ca="1">+Summary!O167</f>
        <v>628928</v>
      </c>
      <c r="O286" s="83">
        <f ca="1">+Summary!P167</f>
        <v>724479</v>
      </c>
      <c r="P286" s="83">
        <f ca="1">+Summary!Q167</f>
        <v>559910</v>
      </c>
      <c r="Q286" s="83">
        <f ca="1">+Summary!R167</f>
        <v>635187</v>
      </c>
    </row>
    <row r="287" spans="3:17">
      <c r="E287" s="83">
        <f t="shared" ref="E287" ca="1" si="356">+E284-E286</f>
        <v>139720.9400000032</v>
      </c>
      <c r="F287" s="83">
        <f t="shared" ref="F287:H287" ca="1" si="357">+F284-F286</f>
        <v>-1.9999999320134521E-2</v>
      </c>
      <c r="G287" s="83">
        <f t="shared" ca="1" si="357"/>
        <v>-1.5199999997857958</v>
      </c>
      <c r="H287" s="83">
        <f t="shared" ca="1" si="357"/>
        <v>0.84999999974388629</v>
      </c>
      <c r="I287" s="83">
        <f t="shared" ref="I287" ca="1" si="358">+I284-I286</f>
        <v>1.5900000005494803</v>
      </c>
      <c r="J287" s="83">
        <f t="shared" ref="J287" ca="1" si="359">+J284-J286</f>
        <v>139720.20000000042</v>
      </c>
      <c r="K287" s="83">
        <f t="shared" ref="K287" ca="1" si="360">+K284-K286</f>
        <v>-0.61000000021886081</v>
      </c>
      <c r="L287" s="83">
        <f t="shared" ref="L287" ca="1" si="361">+L284-L286</f>
        <v>0.39000000059604645</v>
      </c>
      <c r="M287" s="83">
        <f t="shared" ref="M287" ca="1" si="362">+M284-M286</f>
        <v>-0.53999999980442226</v>
      </c>
      <c r="N287" s="83">
        <f t="shared" ref="N287" ca="1" si="363">+N284-N286</f>
        <v>1.31000000028871</v>
      </c>
      <c r="O287" s="83">
        <f t="shared" ref="O287" ca="1" si="364">+O284-O286</f>
        <v>0.65000000013969839</v>
      </c>
      <c r="P287" s="83">
        <f t="shared" ref="P287" ca="1" si="365">+P284-P286</f>
        <v>-0.93999999947845936</v>
      </c>
      <c r="Q287" s="83">
        <f t="shared" ref="Q287" ca="1" si="366">+Q284-Q286</f>
        <v>-0.41999999911058694</v>
      </c>
    </row>
    <row r="290" spans="2:17">
      <c r="B290" s="24">
        <v>16</v>
      </c>
      <c r="C290" s="96" t="s">
        <v>289</v>
      </c>
    </row>
    <row r="291" spans="2:17">
      <c r="C291" s="88" t="s">
        <v>309</v>
      </c>
      <c r="E291" s="84" t="s">
        <v>335</v>
      </c>
      <c r="F291" s="97" t="str">
        <f>+Summary!$W$9</f>
        <v>Aug 2021</v>
      </c>
      <c r="G291" s="97" t="str">
        <f>+Summary!$X$9</f>
        <v>Sep 2021</v>
      </c>
      <c r="H291" s="97" t="str">
        <f>+Summary!$Y$9</f>
        <v>Oct 2021</v>
      </c>
      <c r="I291" s="97" t="str">
        <f>+Summary!$Z$9</f>
        <v>Nov 2021</v>
      </c>
      <c r="J291" s="97" t="str">
        <f>+Summary!$AA$9</f>
        <v>Dec 2021</v>
      </c>
      <c r="K291" s="97" t="str">
        <f>+Summary!$AB$9</f>
        <v>Jan 2022</v>
      </c>
      <c r="L291" s="97" t="str">
        <f>+Summary!$AC$9</f>
        <v>Feb 2022</v>
      </c>
      <c r="M291" s="97" t="str">
        <f>+Summary!$AD$9</f>
        <v>Mar 2022</v>
      </c>
      <c r="N291" s="97" t="str">
        <f>+Summary!$AE$9</f>
        <v>Apr 2022</v>
      </c>
      <c r="O291" s="97" t="str">
        <f>+Summary!$AF$9</f>
        <v>May 2022</v>
      </c>
      <c r="P291" s="97" t="str">
        <f>+Summary!$AG$9</f>
        <v>Jun 2022</v>
      </c>
      <c r="Q291" s="97" t="str">
        <f>+Summary!$AH$9</f>
        <v>Jul 2022</v>
      </c>
    </row>
    <row r="292" spans="2:17">
      <c r="C292" s="96" t="s">
        <v>331</v>
      </c>
      <c r="D292" s="96" t="s">
        <v>333</v>
      </c>
    </row>
    <row r="293" spans="2:17">
      <c r="D293" s="24" t="s">
        <v>62</v>
      </c>
      <c r="E293" s="83">
        <f t="shared" ref="E293:E301" ca="1" si="367">+SUM(F293:Q293)</f>
        <v>1792007.2199999993</v>
      </c>
      <c r="F293" s="83">
        <f ca="1">SUMIFS(INDIRECT("'"&amp;$C$291&amp;"'"&amp;"!$B:$B"),INDIRECT("'"&amp;$C$291&amp;"'"&amp;"!$a:$a"),$D293)/2</f>
        <v>683309.40999999968</v>
      </c>
      <c r="G293" s="83">
        <f ca="1">SUMIFS(INDIRECT("'"&amp;$C$291&amp;"'"&amp;"!$C:$C"),INDIRECT("'"&amp;$C$291&amp;"'"&amp;"!$a:$a"),$D293)/2</f>
        <v>663592.41999999981</v>
      </c>
      <c r="H293" s="83">
        <f ca="1">SUMIFS(INDIRECT("'"&amp;$C$291&amp;"'"&amp;"!$d:$d"),INDIRECT("'"&amp;$C$291&amp;"'"&amp;"!$a:$a"),$D293)/2</f>
        <v>653423.63999999943</v>
      </c>
      <c r="I293" s="83">
        <f ca="1">SUMIFS(INDIRECT("'"&amp;$C$291&amp;"'"&amp;"!$e:$e"),INDIRECT("'"&amp;$C$291&amp;"'"&amp;"!$a:$a"),$D293)/2</f>
        <v>688142.1100000001</v>
      </c>
      <c r="J293" s="83">
        <f ca="1">SUMIFS(INDIRECT("'"&amp;$C$291&amp;"'"&amp;"!$f:$f"),INDIRECT("'"&amp;$C$291&amp;"'"&amp;"!$a:$a"),$D293)/2</f>
        <v>-896460.3600000001</v>
      </c>
      <c r="K293" s="83">
        <f ca="1">SUMIFS(INDIRECT("'"&amp;$C$291&amp;"'"&amp;"!$g:$g"),INDIRECT("'"&amp;$C$291&amp;"'"&amp;"!$a:$a"),$D293)/2</f>
        <v>621831.2900000005</v>
      </c>
      <c r="L293" s="83">
        <f ca="1">SUMIFS(INDIRECT("'"&amp;$C$291&amp;"'"&amp;"!$h:$h"),INDIRECT("'"&amp;$C$291&amp;"'"&amp;"!$a:$a"),$D293)/2</f>
        <v>775014.2</v>
      </c>
      <c r="M293" s="83">
        <f ca="1">SUMIFS(INDIRECT("'"&amp;$C$291&amp;"'"&amp;"!$i:$i"),INDIRECT("'"&amp;$C$291&amp;"'"&amp;"!$a:$a"),$D293)/2</f>
        <v>828064.4299999997</v>
      </c>
      <c r="N293" s="83">
        <f ca="1">SUMIFS(INDIRECT("'"&amp;$C$291&amp;"'"&amp;"!$j:$j"),INDIRECT("'"&amp;$C$291&amp;"'"&amp;"!$a:$a"),$D293)/2</f>
        <v>603879.60000000009</v>
      </c>
      <c r="O293" s="83">
        <f ca="1">SUMIFS(INDIRECT("'"&amp;$C$291&amp;"'"&amp;"!$k:$k"),INDIRECT("'"&amp;$C$291&amp;"'"&amp;"!$a:$a"),$D293)/2</f>
        <v>638615.60999999964</v>
      </c>
      <c r="P293" s="83">
        <f ca="1">SUMIFS(INDIRECT("'"&amp;$C$291&amp;"'"&amp;"!$l:$l"),INDIRECT("'"&amp;$C$291&amp;"'"&amp;"!$a:$a"),$D293)/2</f>
        <v>-3467405.1300000004</v>
      </c>
      <c r="Q293" s="83">
        <f ca="1">SUMIFS(INDIRECT("'"&amp;$C$291&amp;"'"&amp;"!$m:$m"),INDIRECT("'"&amp;$C$291&amp;"'"&amp;"!$a:$a"),$D293)/2</f>
        <v>0</v>
      </c>
    </row>
    <row r="294" spans="2:17">
      <c r="D294" s="24" t="s">
        <v>253</v>
      </c>
      <c r="E294" s="83">
        <f t="shared" ca="1" si="367"/>
        <v>724.24</v>
      </c>
      <c r="F294" s="83">
        <f ca="1">SUMIFS(INDIRECT("'"&amp;$C$291&amp;"'"&amp;"!$B:$B"),INDIRECT("'"&amp;$C$291&amp;"'"&amp;"!$a:$a"),$D294)</f>
        <v>144.13</v>
      </c>
      <c r="G294" s="83">
        <f t="shared" ref="G294:G301" ca="1" si="368">SUMIFS(INDIRECT("'"&amp;$C$291&amp;"'"&amp;"!$C:$C"),INDIRECT("'"&amp;$C$291&amp;"'"&amp;"!$a:$a"),$D294)</f>
        <v>144.13</v>
      </c>
      <c r="H294" s="83">
        <f t="shared" ref="H294:H301" ca="1" si="369">SUMIFS(INDIRECT("'"&amp;$C$291&amp;"'"&amp;"!$d:$d"),INDIRECT("'"&amp;$C$291&amp;"'"&amp;"!$a:$a"),$D294)</f>
        <v>144.13</v>
      </c>
      <c r="I294" s="83">
        <f t="shared" ref="I294:I301" ca="1" si="370">SUMIFS(INDIRECT("'"&amp;$C$291&amp;"'"&amp;"!$e:$e"),INDIRECT("'"&amp;$C$291&amp;"'"&amp;"!$a:$a"),$D294)</f>
        <v>144.13</v>
      </c>
      <c r="J294" s="83">
        <f t="shared" ref="J294:J301" ca="1" si="371">SUMIFS(INDIRECT("'"&amp;$C$291&amp;"'"&amp;"!$f:$f"),INDIRECT("'"&amp;$C$291&amp;"'"&amp;"!$a:$a"),$D294)</f>
        <v>147.72</v>
      </c>
      <c r="K294" s="83">
        <f t="shared" ref="K294:K301" ca="1" si="372">SUMIFS(INDIRECT("'"&amp;$C$291&amp;"'"&amp;"!$g:$g"),INDIRECT("'"&amp;$C$291&amp;"'"&amp;"!$a:$a"),$D294)</f>
        <v>0</v>
      </c>
      <c r="L294" s="83">
        <f t="shared" ref="L294:L301" ca="1" si="373">SUMIFS(INDIRECT("'"&amp;$C$291&amp;"'"&amp;"!$h:$h"),INDIRECT("'"&amp;$C$291&amp;"'"&amp;"!$a:$a"),$D294)</f>
        <v>0</v>
      </c>
      <c r="M294" s="83">
        <f t="shared" ref="M294:M301" ca="1" si="374">SUMIFS(INDIRECT("'"&amp;$C$291&amp;"'"&amp;"!$i:$i"),INDIRECT("'"&amp;$C$291&amp;"'"&amp;"!$a:$a"),$D294)</f>
        <v>0</v>
      </c>
      <c r="N294" s="83">
        <f t="shared" ref="N294:N301" ca="1" si="375">SUMIFS(INDIRECT("'"&amp;$C$291&amp;"'"&amp;"!$j:$j"),INDIRECT("'"&amp;$C$291&amp;"'"&amp;"!$a:$a"),$D294)</f>
        <v>73.099999999999994</v>
      </c>
      <c r="O294" s="83">
        <f t="shared" ref="O294:O301" ca="1" si="376">SUMIFS(INDIRECT("'"&amp;$C$291&amp;"'"&amp;"!$k:$k"),INDIRECT("'"&amp;$C$291&amp;"'"&amp;"!$a:$a"),$D294)</f>
        <v>73.099999999999994</v>
      </c>
      <c r="P294" s="83">
        <f t="shared" ref="P294:P301" ca="1" si="377">SUMIFS(INDIRECT("'"&amp;$C$291&amp;"'"&amp;"!$l:$l"),INDIRECT("'"&amp;$C$291&amp;"'"&amp;"!$a:$a"),$D294)</f>
        <v>-146.19999999999999</v>
      </c>
      <c r="Q294" s="83">
        <f t="shared" ref="Q294:Q301" ca="1" si="378">SUMIFS(INDIRECT("'"&amp;$C$291&amp;"'"&amp;"!$m:$m"),INDIRECT("'"&amp;$C$291&amp;"'"&amp;"!$a:$a"),$D294)</f>
        <v>0</v>
      </c>
    </row>
    <row r="295" spans="2:17">
      <c r="D295" s="24" t="s">
        <v>250</v>
      </c>
      <c r="E295" s="83">
        <f t="shared" ca="1" si="367"/>
        <v>38377.619999999995</v>
      </c>
      <c r="F295" s="83">
        <f t="shared" ref="F295:F301" ca="1" si="379">SUMIFS(INDIRECT("'"&amp;$C$291&amp;"'"&amp;"!$B:$B"),INDIRECT("'"&amp;$C$291&amp;"'"&amp;"!$a:$a"),$D295)</f>
        <v>7473.11</v>
      </c>
      <c r="G295" s="83">
        <f t="shared" ca="1" si="368"/>
        <v>7291.1399999999985</v>
      </c>
      <c r="H295" s="83">
        <f t="shared" ca="1" si="369"/>
        <v>7639.66</v>
      </c>
      <c r="I295" s="83">
        <f t="shared" ca="1" si="370"/>
        <v>8128.8799999999983</v>
      </c>
      <c r="J295" s="83">
        <f t="shared" ca="1" si="371"/>
        <v>7844.83</v>
      </c>
      <c r="K295" s="83">
        <f t="shared" ca="1" si="372"/>
        <v>7844.83</v>
      </c>
      <c r="L295" s="83">
        <f t="shared" ca="1" si="373"/>
        <v>7614.3200000000015</v>
      </c>
      <c r="M295" s="83">
        <f t="shared" ca="1" si="374"/>
        <v>7388.88</v>
      </c>
      <c r="N295" s="83">
        <f t="shared" ca="1" si="375"/>
        <v>7381.2000000000016</v>
      </c>
      <c r="O295" s="83">
        <f t="shared" ca="1" si="376"/>
        <v>7516.9300000000012</v>
      </c>
      <c r="P295" s="83">
        <f t="shared" ca="1" si="377"/>
        <v>-37746.160000000003</v>
      </c>
      <c r="Q295" s="83">
        <f t="shared" ca="1" si="378"/>
        <v>0</v>
      </c>
    </row>
    <row r="296" spans="2:17">
      <c r="D296" s="24" t="s">
        <v>204</v>
      </c>
      <c r="E296" s="83">
        <f t="shared" ca="1" si="367"/>
        <v>-1210441</v>
      </c>
      <c r="F296" s="83">
        <f t="shared" ca="1" si="379"/>
        <v>28381</v>
      </c>
      <c r="G296" s="83">
        <f t="shared" ca="1" si="368"/>
        <v>25184</v>
      </c>
      <c r="H296" s="83">
        <f t="shared" ca="1" si="369"/>
        <v>24312</v>
      </c>
      <c r="I296" s="83">
        <f t="shared" ca="1" si="370"/>
        <v>35190</v>
      </c>
      <c r="J296" s="83">
        <f t="shared" ca="1" si="371"/>
        <v>-1323508</v>
      </c>
      <c r="K296" s="83">
        <f t="shared" ca="1" si="372"/>
        <v>34158</v>
      </c>
      <c r="L296" s="83">
        <f t="shared" ca="1" si="373"/>
        <v>26162</v>
      </c>
      <c r="M296" s="83">
        <f t="shared" ca="1" si="374"/>
        <v>22990</v>
      </c>
      <c r="N296" s="83">
        <f t="shared" ca="1" si="375"/>
        <v>24441</v>
      </c>
      <c r="O296" s="83">
        <f t="shared" ca="1" si="376"/>
        <v>25665</v>
      </c>
      <c r="P296" s="83">
        <f t="shared" ca="1" si="377"/>
        <v>-133416</v>
      </c>
      <c r="Q296" s="83">
        <f t="shared" ca="1" si="378"/>
        <v>0</v>
      </c>
    </row>
    <row r="297" spans="2:17">
      <c r="D297" s="24" t="s">
        <v>252</v>
      </c>
      <c r="E297" s="83">
        <f t="shared" ca="1" si="367"/>
        <v>504419.31999999983</v>
      </c>
      <c r="F297" s="83">
        <f t="shared" ca="1" si="379"/>
        <v>99129</v>
      </c>
      <c r="G297" s="83">
        <f t="shared" ca="1" si="368"/>
        <v>101322.58</v>
      </c>
      <c r="H297" s="83">
        <f t="shared" ca="1" si="369"/>
        <v>101322.58</v>
      </c>
      <c r="I297" s="83">
        <f t="shared" ca="1" si="370"/>
        <v>101322.58</v>
      </c>
      <c r="J297" s="83">
        <f t="shared" ca="1" si="371"/>
        <v>101322.58</v>
      </c>
      <c r="K297" s="83">
        <f t="shared" ca="1" si="372"/>
        <v>101322.58</v>
      </c>
      <c r="L297" s="83">
        <f t="shared" ca="1" si="373"/>
        <v>101322.58</v>
      </c>
      <c r="M297" s="83">
        <f t="shared" ca="1" si="374"/>
        <v>101322.58</v>
      </c>
      <c r="N297" s="83">
        <f t="shared" ca="1" si="375"/>
        <v>101322.58</v>
      </c>
      <c r="O297" s="83">
        <f t="shared" ca="1" si="376"/>
        <v>101322.58</v>
      </c>
      <c r="P297" s="83">
        <f t="shared" ca="1" si="377"/>
        <v>-506612.9</v>
      </c>
      <c r="Q297" s="83">
        <f t="shared" ca="1" si="378"/>
        <v>0</v>
      </c>
    </row>
    <row r="298" spans="2:17">
      <c r="D298" s="24" t="s">
        <v>388</v>
      </c>
      <c r="E298" s="83">
        <f t="shared" ca="1" si="367"/>
        <v>0</v>
      </c>
      <c r="F298" s="83">
        <f t="shared" ca="1" si="379"/>
        <v>0</v>
      </c>
      <c r="G298" s="83">
        <f t="shared" ca="1" si="368"/>
        <v>0</v>
      </c>
      <c r="H298" s="83">
        <f t="shared" ca="1" si="369"/>
        <v>0</v>
      </c>
      <c r="I298" s="83">
        <f t="shared" ca="1" si="370"/>
        <v>0</v>
      </c>
      <c r="J298" s="83">
        <f t="shared" ca="1" si="371"/>
        <v>0</v>
      </c>
      <c r="K298" s="83">
        <f t="shared" ca="1" si="372"/>
        <v>0</v>
      </c>
      <c r="L298" s="83">
        <f t="shared" ca="1" si="373"/>
        <v>0</v>
      </c>
      <c r="M298" s="83">
        <f t="shared" ca="1" si="374"/>
        <v>0</v>
      </c>
      <c r="N298" s="83">
        <f t="shared" ca="1" si="375"/>
        <v>0</v>
      </c>
      <c r="O298" s="83">
        <f t="shared" ca="1" si="376"/>
        <v>0</v>
      </c>
      <c r="P298" s="83">
        <f t="shared" ca="1" si="377"/>
        <v>0</v>
      </c>
      <c r="Q298" s="83">
        <f t="shared" ca="1" si="378"/>
        <v>0</v>
      </c>
    </row>
    <row r="299" spans="2:17">
      <c r="D299" s="85" t="s">
        <v>321</v>
      </c>
      <c r="E299" s="83">
        <f t="shared" ca="1" si="367"/>
        <v>209.24</v>
      </c>
      <c r="F299" s="83">
        <f t="shared" ca="1" si="379"/>
        <v>209.24</v>
      </c>
      <c r="G299" s="83">
        <f t="shared" ca="1" si="368"/>
        <v>0</v>
      </c>
      <c r="H299" s="83">
        <f t="shared" ca="1" si="369"/>
        <v>0</v>
      </c>
      <c r="I299" s="83">
        <f t="shared" ca="1" si="370"/>
        <v>0</v>
      </c>
      <c r="J299" s="83">
        <f t="shared" ca="1" si="371"/>
        <v>0</v>
      </c>
      <c r="K299" s="83">
        <f t="shared" ca="1" si="372"/>
        <v>0</v>
      </c>
      <c r="L299" s="83">
        <f t="shared" ca="1" si="373"/>
        <v>300</v>
      </c>
      <c r="M299" s="83">
        <f t="shared" ca="1" si="374"/>
        <v>0</v>
      </c>
      <c r="N299" s="83">
        <f t="shared" ca="1" si="375"/>
        <v>0</v>
      </c>
      <c r="O299" s="83">
        <f t="shared" ca="1" si="376"/>
        <v>0</v>
      </c>
      <c r="P299" s="83">
        <f t="shared" ca="1" si="377"/>
        <v>-300</v>
      </c>
      <c r="Q299" s="83">
        <f t="shared" ca="1" si="378"/>
        <v>0</v>
      </c>
    </row>
    <row r="300" spans="2:17">
      <c r="D300" s="85" t="s">
        <v>328</v>
      </c>
      <c r="E300" s="83">
        <f t="shared" ca="1" si="367"/>
        <v>0</v>
      </c>
      <c r="F300" s="83">
        <f t="shared" ca="1" si="379"/>
        <v>0</v>
      </c>
      <c r="G300" s="83">
        <f t="shared" ca="1" si="368"/>
        <v>0</v>
      </c>
      <c r="H300" s="83">
        <f t="shared" ca="1" si="369"/>
        <v>0</v>
      </c>
      <c r="I300" s="83">
        <f t="shared" ca="1" si="370"/>
        <v>0</v>
      </c>
      <c r="J300" s="83">
        <f t="shared" ca="1" si="371"/>
        <v>0</v>
      </c>
      <c r="K300" s="83">
        <f t="shared" ca="1" si="372"/>
        <v>0</v>
      </c>
      <c r="L300" s="83">
        <f t="shared" ca="1" si="373"/>
        <v>0</v>
      </c>
      <c r="M300" s="83">
        <f t="shared" ca="1" si="374"/>
        <v>0</v>
      </c>
      <c r="N300" s="83">
        <f t="shared" ca="1" si="375"/>
        <v>0</v>
      </c>
      <c r="O300" s="83">
        <f t="shared" ca="1" si="376"/>
        <v>0</v>
      </c>
      <c r="P300" s="83">
        <f t="shared" ca="1" si="377"/>
        <v>0</v>
      </c>
      <c r="Q300" s="83">
        <f t="shared" ca="1" si="378"/>
        <v>0</v>
      </c>
    </row>
    <row r="301" spans="2:17">
      <c r="D301" s="85" t="s">
        <v>282</v>
      </c>
      <c r="E301" s="83">
        <f t="shared" ca="1" si="367"/>
        <v>0</v>
      </c>
      <c r="F301" s="83">
        <f t="shared" ca="1" si="379"/>
        <v>0</v>
      </c>
      <c r="G301" s="86">
        <f t="shared" ca="1" si="368"/>
        <v>0</v>
      </c>
      <c r="H301" s="86">
        <f t="shared" ca="1" si="369"/>
        <v>0</v>
      </c>
      <c r="I301" s="86">
        <f t="shared" ca="1" si="370"/>
        <v>0</v>
      </c>
      <c r="J301" s="86">
        <f t="shared" ca="1" si="371"/>
        <v>0</v>
      </c>
      <c r="K301" s="86">
        <f t="shared" ca="1" si="372"/>
        <v>0</v>
      </c>
      <c r="L301" s="86">
        <f t="shared" ca="1" si="373"/>
        <v>0</v>
      </c>
      <c r="M301" s="86">
        <f t="shared" ca="1" si="374"/>
        <v>0</v>
      </c>
      <c r="N301" s="86">
        <f t="shared" ca="1" si="375"/>
        <v>0</v>
      </c>
      <c r="O301" s="86">
        <f t="shared" ca="1" si="376"/>
        <v>0</v>
      </c>
      <c r="P301" s="86">
        <f t="shared" ca="1" si="377"/>
        <v>0</v>
      </c>
      <c r="Q301" s="86">
        <f t="shared" ca="1" si="378"/>
        <v>0</v>
      </c>
    </row>
    <row r="302" spans="2:17">
      <c r="D302" s="85"/>
      <c r="F302" s="83"/>
      <c r="G302" s="83"/>
      <c r="H302" s="83"/>
      <c r="I302" s="83"/>
      <c r="J302" s="83"/>
      <c r="K302" s="83"/>
      <c r="L302" s="83"/>
      <c r="M302" s="83"/>
      <c r="N302" s="83"/>
      <c r="O302" s="83"/>
      <c r="P302" s="83"/>
      <c r="Q302" s="83"/>
    </row>
    <row r="303" spans="2:17">
      <c r="E303" s="84">
        <f ca="1">+E293-SUM(E294:E301)</f>
        <v>2458717.7999999993</v>
      </c>
      <c r="F303" s="84">
        <f t="shared" ref="F303:G303" ca="1" si="380">+F293-SUM(F294:F301)</f>
        <v>547972.9299999997</v>
      </c>
      <c r="G303" s="84">
        <f t="shared" ca="1" si="380"/>
        <v>529650.56999999983</v>
      </c>
      <c r="H303" s="84">
        <f t="shared" ref="H303:Q303" ca="1" si="381">+H293-SUM(H294:H301)</f>
        <v>520005.26999999944</v>
      </c>
      <c r="I303" s="84">
        <f t="shared" ca="1" si="381"/>
        <v>543356.52000000014</v>
      </c>
      <c r="J303" s="84">
        <f t="shared" ca="1" si="381"/>
        <v>317732.50999999978</v>
      </c>
      <c r="K303" s="84">
        <f t="shared" ca="1" si="381"/>
        <v>478505.88000000047</v>
      </c>
      <c r="L303" s="84">
        <f t="shared" ca="1" si="381"/>
        <v>639615.29999999993</v>
      </c>
      <c r="M303" s="84">
        <f t="shared" ca="1" si="381"/>
        <v>696362.96999999974</v>
      </c>
      <c r="N303" s="84">
        <f t="shared" ca="1" si="381"/>
        <v>470661.72000000009</v>
      </c>
      <c r="O303" s="84">
        <f t="shared" ca="1" si="381"/>
        <v>504037.99999999965</v>
      </c>
      <c r="P303" s="84">
        <f t="shared" ca="1" si="381"/>
        <v>-2789183.87</v>
      </c>
      <c r="Q303" s="84">
        <f t="shared" ca="1" si="381"/>
        <v>0</v>
      </c>
    </row>
    <row r="304" spans="2:17">
      <c r="F304" s="83"/>
      <c r="G304" s="83"/>
      <c r="H304" s="83"/>
      <c r="I304" s="83"/>
      <c r="J304" s="83"/>
      <c r="K304" s="83"/>
      <c r="L304" s="83"/>
      <c r="M304" s="83"/>
      <c r="N304" s="83"/>
      <c r="O304" s="83"/>
      <c r="P304" s="83"/>
      <c r="Q304" s="83"/>
    </row>
    <row r="305" spans="2:17">
      <c r="C305" s="96" t="s">
        <v>330</v>
      </c>
      <c r="D305" s="24" t="s">
        <v>334</v>
      </c>
      <c r="E305" s="83">
        <f ca="1">SUM(F305:Q305)</f>
        <v>5772034</v>
      </c>
      <c r="F305" s="83">
        <f ca="1">+Summary!G178</f>
        <v>547974</v>
      </c>
      <c r="G305" s="83">
        <f ca="1">+Summary!H178</f>
        <v>529649</v>
      </c>
      <c r="H305" s="83">
        <f ca="1">+Summary!I178</f>
        <v>520004</v>
      </c>
      <c r="I305" s="83">
        <f ca="1">+Summary!J178</f>
        <v>543356</v>
      </c>
      <c r="J305" s="83">
        <f ca="1">+Summary!K178</f>
        <v>299643</v>
      </c>
      <c r="K305" s="83">
        <f ca="1">+Summary!L178</f>
        <v>478506</v>
      </c>
      <c r="L305" s="83">
        <f ca="1">+Summary!M178</f>
        <v>639616</v>
      </c>
      <c r="M305" s="83">
        <f ca="1">+Summary!N178</f>
        <v>696363</v>
      </c>
      <c r="N305" s="83">
        <f ca="1">+Summary!O178</f>
        <v>470662</v>
      </c>
      <c r="O305" s="83">
        <f ca="1">+Summary!P178</f>
        <v>504040</v>
      </c>
      <c r="P305" s="83">
        <f ca="1">+Summary!Q178</f>
        <v>542221</v>
      </c>
      <c r="Q305" s="83">
        <f ca="1">+Summary!R178</f>
        <v>0</v>
      </c>
    </row>
    <row r="306" spans="2:17">
      <c r="E306" s="83">
        <f t="shared" ref="E306" ca="1" si="382">+E303-E305</f>
        <v>-3313316.2000000007</v>
      </c>
      <c r="F306" s="83">
        <f t="shared" ref="F306:H306" ca="1" si="383">+F303-F305</f>
        <v>-1.0700000002980232</v>
      </c>
      <c r="G306" s="83">
        <f t="shared" ca="1" si="383"/>
        <v>1.5699999998323619</v>
      </c>
      <c r="H306" s="83">
        <f t="shared" ca="1" si="383"/>
        <v>1.2699999994365498</v>
      </c>
      <c r="I306" s="83">
        <f t="shared" ref="I306" ca="1" si="384">+I303-I305</f>
        <v>0.52000000013504177</v>
      </c>
      <c r="J306" s="83">
        <f t="shared" ref="J306" ca="1" si="385">+J303-J305</f>
        <v>18089.509999999776</v>
      </c>
      <c r="K306" s="83">
        <f t="shared" ref="K306" ca="1" si="386">+K303-K305</f>
        <v>-0.1199999995296821</v>
      </c>
      <c r="L306" s="83">
        <f t="shared" ref="L306" ca="1" si="387">+L303-L305</f>
        <v>-0.70000000006984919</v>
      </c>
      <c r="M306" s="83">
        <f t="shared" ref="M306" ca="1" si="388">+M303-M305</f>
        <v>-3.0000000260770321E-2</v>
      </c>
      <c r="N306" s="83">
        <f t="shared" ref="N306" ca="1" si="389">+N303-N305</f>
        <v>-0.27999999991152436</v>
      </c>
      <c r="O306" s="83">
        <f t="shared" ref="O306" ca="1" si="390">+O303-O305</f>
        <v>-2.000000000349246</v>
      </c>
      <c r="P306" s="83">
        <f t="shared" ref="P306" ca="1" si="391">+P303-P305</f>
        <v>-3331404.87</v>
      </c>
      <c r="Q306" s="83">
        <f t="shared" ref="Q306" ca="1" si="392">+Q303-Q305</f>
        <v>0</v>
      </c>
    </row>
    <row r="309" spans="2:17">
      <c r="B309" s="24">
        <v>17</v>
      </c>
      <c r="C309" s="96" t="s">
        <v>290</v>
      </c>
    </row>
    <row r="310" spans="2:17">
      <c r="C310" s="88" t="s">
        <v>310</v>
      </c>
      <c r="E310" s="84" t="s">
        <v>335</v>
      </c>
      <c r="F310" s="97" t="str">
        <f>+Summary!$W$9</f>
        <v>Aug 2021</v>
      </c>
      <c r="G310" s="97" t="str">
        <f>+Summary!$X$9</f>
        <v>Sep 2021</v>
      </c>
      <c r="H310" s="97" t="str">
        <f>+Summary!$Y$9</f>
        <v>Oct 2021</v>
      </c>
      <c r="I310" s="97" t="str">
        <f>+Summary!$Z$9</f>
        <v>Nov 2021</v>
      </c>
      <c r="J310" s="97" t="str">
        <f>+Summary!$AA$9</f>
        <v>Dec 2021</v>
      </c>
      <c r="K310" s="97" t="str">
        <f>+Summary!$AB$9</f>
        <v>Jan 2022</v>
      </c>
      <c r="L310" s="97" t="str">
        <f>+Summary!$AC$9</f>
        <v>Feb 2022</v>
      </c>
      <c r="M310" s="97" t="str">
        <f>+Summary!$AD$9</f>
        <v>Mar 2022</v>
      </c>
      <c r="N310" s="97" t="str">
        <f>+Summary!$AE$9</f>
        <v>Apr 2022</v>
      </c>
      <c r="O310" s="97" t="str">
        <f>+Summary!$AF$9</f>
        <v>May 2022</v>
      </c>
      <c r="P310" s="97" t="str">
        <f>+Summary!$AG$9</f>
        <v>Jun 2022</v>
      </c>
      <c r="Q310" s="97" t="str">
        <f>+Summary!$AH$9</f>
        <v>Jul 2022</v>
      </c>
    </row>
    <row r="311" spans="2:17">
      <c r="C311" s="96" t="s">
        <v>331</v>
      </c>
      <c r="D311" s="96" t="s">
        <v>333</v>
      </c>
    </row>
    <row r="312" spans="2:17">
      <c r="D312" s="24" t="s">
        <v>62</v>
      </c>
      <c r="E312" s="83">
        <f t="shared" ref="E312:E320" ca="1" si="393">+SUM(F312:Q312)</f>
        <v>6230572.870000001</v>
      </c>
      <c r="F312" s="83">
        <f ca="1">SUMIFS(INDIRECT("'"&amp;$C$310&amp;"'"&amp;"!$B:$B"),INDIRECT("'"&amp;$C$310&amp;"'"&amp;"!$a:$a"),$D312)/2</f>
        <v>526102.49000000011</v>
      </c>
      <c r="G312" s="83">
        <f ca="1">SUMIFS(INDIRECT("'"&amp;$C$310&amp;"'"&amp;"!$C:$C"),INDIRECT("'"&amp;$C$310&amp;"'"&amp;"!$a:$a"),$D312)/2</f>
        <v>563258.38000000035</v>
      </c>
      <c r="H312" s="83">
        <f ca="1">SUMIFS(INDIRECT("'"&amp;$C$310&amp;"'"&amp;"!$d:$d"),INDIRECT("'"&amp;$C$310&amp;"'"&amp;"!$a:$a"),$D312)/2</f>
        <v>516315.23</v>
      </c>
      <c r="I312" s="83">
        <f ca="1">SUMIFS(INDIRECT("'"&amp;$C$310&amp;"'"&amp;"!$e:$e"),INDIRECT("'"&amp;$C$310&amp;"'"&amp;"!$a:$a"),$D312)/2</f>
        <v>513400.92000000057</v>
      </c>
      <c r="J312" s="83">
        <f ca="1">SUMIFS(INDIRECT("'"&amp;$C$310&amp;"'"&amp;"!$f:$f"),INDIRECT("'"&amp;$C$310&amp;"'"&amp;"!$a:$a"),$D312)/2</f>
        <v>569976.97999999975</v>
      </c>
      <c r="K312" s="83">
        <f ca="1">SUMIFS(INDIRECT("'"&amp;$C$310&amp;"'"&amp;"!$g:$g"),INDIRECT("'"&amp;$C$310&amp;"'"&amp;"!$a:$a"),$D312)/2</f>
        <v>517712.25999999983</v>
      </c>
      <c r="L312" s="83">
        <f ca="1">SUMIFS(INDIRECT("'"&amp;$C$310&amp;"'"&amp;"!$h:$h"),INDIRECT("'"&amp;$C$310&amp;"'"&amp;"!$a:$a"),$D312)/2</f>
        <v>493780.16999999969</v>
      </c>
      <c r="M312" s="83">
        <f ca="1">SUMIFS(INDIRECT("'"&amp;$C$310&amp;"'"&amp;"!$i:$i"),INDIRECT("'"&amp;$C$310&amp;"'"&amp;"!$a:$a"),$D312)/2</f>
        <v>530205.35999999987</v>
      </c>
      <c r="N312" s="83">
        <f ca="1">SUMIFS(INDIRECT("'"&amp;$C$310&amp;"'"&amp;"!$j:$j"),INDIRECT("'"&amp;$C$310&amp;"'"&amp;"!$a:$a"),$D312)/2</f>
        <v>513143.73999999987</v>
      </c>
      <c r="O312" s="83">
        <f ca="1">SUMIFS(INDIRECT("'"&amp;$C$310&amp;"'"&amp;"!$k:$k"),INDIRECT("'"&amp;$C$310&amp;"'"&amp;"!$a:$a"),$D312)/2</f>
        <v>484707.9599999999</v>
      </c>
      <c r="P312" s="83">
        <f ca="1">SUMIFS(INDIRECT("'"&amp;$C$310&amp;"'"&amp;"!$l:$l"),INDIRECT("'"&amp;$C$310&amp;"'"&amp;"!$a:$a"),$D312)/2</f>
        <v>480575.55000000016</v>
      </c>
      <c r="Q312" s="83">
        <f ca="1">SUMIFS(INDIRECT("'"&amp;$C$310&amp;"'"&amp;"!$m:$m"),INDIRECT("'"&amp;$C$310&amp;"'"&amp;"!$a:$a"),$D312)/2</f>
        <v>521393.83000000025</v>
      </c>
    </row>
    <row r="313" spans="2:17">
      <c r="D313" s="24" t="s">
        <v>253</v>
      </c>
      <c r="E313" s="83">
        <f t="shared" ca="1" si="393"/>
        <v>852.66</v>
      </c>
      <c r="F313" s="83">
        <f ca="1">SUMIFS(INDIRECT("'"&amp;$C$310&amp;"'"&amp;"!$B:$B"),INDIRECT("'"&amp;$C$310&amp;"'"&amp;"!$a:$a"),$D313)</f>
        <v>121.31</v>
      </c>
      <c r="G313" s="83">
        <f t="shared" ref="G313:G320" ca="1" si="394">SUMIFS(INDIRECT("'"&amp;$C$310&amp;"'"&amp;"!$C:$C"),INDIRECT("'"&amp;$C$310&amp;"'"&amp;"!$a:$a"),$D313)</f>
        <v>121.31</v>
      </c>
      <c r="H313" s="83">
        <f t="shared" ref="H313:H320" ca="1" si="395">SUMIFS(INDIRECT("'"&amp;$C$310&amp;"'"&amp;"!$d:$d"),INDIRECT("'"&amp;$C$310&amp;"'"&amp;"!$a:$a"),$D313)</f>
        <v>121.31</v>
      </c>
      <c r="I313" s="83">
        <f t="shared" ref="I313:I320" ca="1" si="396">SUMIFS(INDIRECT("'"&amp;$C$310&amp;"'"&amp;"!$e:$e"),INDIRECT("'"&amp;$C$310&amp;"'"&amp;"!$a:$a"),$D313)</f>
        <v>121.31</v>
      </c>
      <c r="J313" s="83">
        <f t="shared" ref="J313:J320" ca="1" si="397">SUMIFS(INDIRECT("'"&amp;$C$310&amp;"'"&amp;"!$f:$f"),INDIRECT("'"&amp;$C$310&amp;"'"&amp;"!$a:$a"),$D313)</f>
        <v>121.34</v>
      </c>
      <c r="K313" s="83">
        <f t="shared" ref="K313:K320" ca="1" si="398">SUMIFS(INDIRECT("'"&amp;$C$310&amp;"'"&amp;"!$g:$g"),INDIRECT("'"&amp;$C$310&amp;"'"&amp;"!$a:$a"),$D313)</f>
        <v>0</v>
      </c>
      <c r="L313" s="83">
        <f t="shared" ref="L313:L320" ca="1" si="399">SUMIFS(INDIRECT("'"&amp;$C$310&amp;"'"&amp;"!$h:$h"),INDIRECT("'"&amp;$C$310&amp;"'"&amp;"!$a:$a"),$D313)</f>
        <v>0</v>
      </c>
      <c r="M313" s="83">
        <f t="shared" ref="M313:M320" ca="1" si="400">SUMIFS(INDIRECT("'"&amp;$C$310&amp;"'"&amp;"!$i:$i"),INDIRECT("'"&amp;$C$310&amp;"'"&amp;"!$a:$a"),$D313)</f>
        <v>0</v>
      </c>
      <c r="N313" s="83">
        <f t="shared" ref="N313:N320" ca="1" si="401">SUMIFS(INDIRECT("'"&amp;$C$310&amp;"'"&amp;"!$j:$j"),INDIRECT("'"&amp;$C$310&amp;"'"&amp;"!$a:$a"),$D313)</f>
        <v>61.52</v>
      </c>
      <c r="O313" s="83">
        <f t="shared" ref="O313:O320" ca="1" si="402">SUMIFS(INDIRECT("'"&amp;$C$310&amp;"'"&amp;"!$k:$k"),INDIRECT("'"&amp;$C$310&amp;"'"&amp;"!$a:$a"),$D313)</f>
        <v>61.52</v>
      </c>
      <c r="P313" s="83">
        <f t="shared" ref="P313:P320" ca="1" si="403">SUMIFS(INDIRECT("'"&amp;$C$310&amp;"'"&amp;"!$l:$l"),INDIRECT("'"&amp;$C$310&amp;"'"&amp;"!$a:$a"),$D313)</f>
        <v>61.52</v>
      </c>
      <c r="Q313" s="83">
        <f t="shared" ref="Q313:Q320" ca="1" si="404">SUMIFS(INDIRECT("'"&amp;$C$310&amp;"'"&amp;"!$m:$m"),INDIRECT("'"&amp;$C$310&amp;"'"&amp;"!$a:$a"),$D313)</f>
        <v>61.52</v>
      </c>
    </row>
    <row r="314" spans="2:17">
      <c r="D314" s="24" t="s">
        <v>250</v>
      </c>
      <c r="E314" s="83">
        <f t="shared" ca="1" si="393"/>
        <v>138481.50000000003</v>
      </c>
      <c r="F314" s="83">
        <f t="shared" ref="F314:F320" ca="1" si="405">SUMIFS(INDIRECT("'"&amp;$C$310&amp;"'"&amp;"!$B:$B"),INDIRECT("'"&amp;$C$310&amp;"'"&amp;"!$a:$a"),$D314)</f>
        <v>10814.02</v>
      </c>
      <c r="G314" s="83">
        <f t="shared" ca="1" si="394"/>
        <v>10787.700000000003</v>
      </c>
      <c r="H314" s="83">
        <f t="shared" ca="1" si="395"/>
        <v>10832.810000000001</v>
      </c>
      <c r="I314" s="83">
        <f t="shared" ca="1" si="396"/>
        <v>10934.940000000002</v>
      </c>
      <c r="J314" s="83">
        <f t="shared" ca="1" si="397"/>
        <v>11372.190000000002</v>
      </c>
      <c r="K314" s="83">
        <f t="shared" ca="1" si="398"/>
        <v>11372.19</v>
      </c>
      <c r="L314" s="83">
        <f t="shared" ca="1" si="399"/>
        <v>11784.18</v>
      </c>
      <c r="M314" s="83">
        <f t="shared" ca="1" si="400"/>
        <v>11551.740000000002</v>
      </c>
      <c r="N314" s="83">
        <f t="shared" ca="1" si="401"/>
        <v>13115.750000000002</v>
      </c>
      <c r="O314" s="83">
        <f t="shared" ca="1" si="402"/>
        <v>11714.210000000001</v>
      </c>
      <c r="P314" s="83">
        <f t="shared" ca="1" si="403"/>
        <v>12253.820000000002</v>
      </c>
      <c r="Q314" s="83">
        <f t="shared" ca="1" si="404"/>
        <v>11947.950000000003</v>
      </c>
    </row>
    <row r="315" spans="2:17">
      <c r="D315" s="24" t="s">
        <v>204</v>
      </c>
      <c r="E315" s="83">
        <f t="shared" ca="1" si="393"/>
        <v>334073</v>
      </c>
      <c r="F315" s="83">
        <f t="shared" ca="1" si="405"/>
        <v>24830</v>
      </c>
      <c r="G315" s="83">
        <f t="shared" ca="1" si="394"/>
        <v>27374</v>
      </c>
      <c r="H315" s="83">
        <f t="shared" ca="1" si="395"/>
        <v>26615</v>
      </c>
      <c r="I315" s="83">
        <f t="shared" ca="1" si="396"/>
        <v>22953</v>
      </c>
      <c r="J315" s="83">
        <f t="shared" ca="1" si="397"/>
        <v>52082</v>
      </c>
      <c r="K315" s="83">
        <f t="shared" ca="1" si="398"/>
        <v>29760</v>
      </c>
      <c r="L315" s="83">
        <f t="shared" ca="1" si="399"/>
        <v>26015</v>
      </c>
      <c r="M315" s="83">
        <f t="shared" ca="1" si="400"/>
        <v>24730</v>
      </c>
      <c r="N315" s="83">
        <f t="shared" ca="1" si="401"/>
        <v>23805</v>
      </c>
      <c r="O315" s="83">
        <f t="shared" ca="1" si="402"/>
        <v>24476</v>
      </c>
      <c r="P315" s="83">
        <f t="shared" ca="1" si="403"/>
        <v>24917</v>
      </c>
      <c r="Q315" s="83">
        <f t="shared" ca="1" si="404"/>
        <v>26516</v>
      </c>
    </row>
    <row r="316" spans="2:17">
      <c r="D316" s="24" t="s">
        <v>252</v>
      </c>
      <c r="E316" s="83">
        <f t="shared" ca="1" si="393"/>
        <v>939186.58</v>
      </c>
      <c r="F316" s="83">
        <f t="shared" ca="1" si="405"/>
        <v>76129</v>
      </c>
      <c r="G316" s="83">
        <f t="shared" ca="1" si="394"/>
        <v>77862.58</v>
      </c>
      <c r="H316" s="83">
        <f t="shared" ca="1" si="395"/>
        <v>77862.58</v>
      </c>
      <c r="I316" s="83">
        <f t="shared" ca="1" si="396"/>
        <v>77862.58</v>
      </c>
      <c r="J316" s="83">
        <f t="shared" ca="1" si="397"/>
        <v>77862.58</v>
      </c>
      <c r="K316" s="83">
        <f t="shared" ca="1" si="398"/>
        <v>77862.58</v>
      </c>
      <c r="L316" s="83">
        <f t="shared" ca="1" si="399"/>
        <v>77862.58</v>
      </c>
      <c r="M316" s="83">
        <f t="shared" ca="1" si="400"/>
        <v>77862.58</v>
      </c>
      <c r="N316" s="83">
        <f t="shared" ca="1" si="401"/>
        <v>77862.58</v>
      </c>
      <c r="O316" s="83">
        <f t="shared" ca="1" si="402"/>
        <v>77862.58</v>
      </c>
      <c r="P316" s="83">
        <f t="shared" ca="1" si="403"/>
        <v>77862.58</v>
      </c>
      <c r="Q316" s="83">
        <f t="shared" ca="1" si="404"/>
        <v>84431.78</v>
      </c>
    </row>
    <row r="317" spans="2:17">
      <c r="D317" s="24" t="s">
        <v>388</v>
      </c>
      <c r="E317" s="83">
        <f t="shared" ca="1" si="393"/>
        <v>0</v>
      </c>
      <c r="F317" s="83">
        <f t="shared" ca="1" si="405"/>
        <v>0</v>
      </c>
      <c r="G317" s="83">
        <f t="shared" ca="1" si="394"/>
        <v>0</v>
      </c>
      <c r="H317" s="83">
        <f t="shared" ca="1" si="395"/>
        <v>0</v>
      </c>
      <c r="I317" s="83">
        <f t="shared" ca="1" si="396"/>
        <v>0</v>
      </c>
      <c r="J317" s="83">
        <f t="shared" ca="1" si="397"/>
        <v>0</v>
      </c>
      <c r="K317" s="83">
        <f t="shared" ca="1" si="398"/>
        <v>0</v>
      </c>
      <c r="L317" s="83">
        <f t="shared" ca="1" si="399"/>
        <v>0</v>
      </c>
      <c r="M317" s="83">
        <f t="shared" ca="1" si="400"/>
        <v>0</v>
      </c>
      <c r="N317" s="83">
        <f t="shared" ca="1" si="401"/>
        <v>0</v>
      </c>
      <c r="O317" s="83">
        <f t="shared" ca="1" si="402"/>
        <v>0</v>
      </c>
      <c r="P317" s="83">
        <f t="shared" ca="1" si="403"/>
        <v>0</v>
      </c>
      <c r="Q317" s="83">
        <f t="shared" ca="1" si="404"/>
        <v>0</v>
      </c>
    </row>
    <row r="318" spans="2:17">
      <c r="D318" s="85" t="s">
        <v>321</v>
      </c>
      <c r="E318" s="83">
        <f t="shared" ca="1" si="393"/>
        <v>1000</v>
      </c>
      <c r="F318" s="83">
        <f t="shared" ca="1" si="405"/>
        <v>0</v>
      </c>
      <c r="G318" s="83">
        <f t="shared" ca="1" si="394"/>
        <v>0</v>
      </c>
      <c r="H318" s="83">
        <f t="shared" ca="1" si="395"/>
        <v>0</v>
      </c>
      <c r="I318" s="83">
        <f t="shared" ca="1" si="396"/>
        <v>0</v>
      </c>
      <c r="J318" s="83">
        <f t="shared" ca="1" si="397"/>
        <v>0</v>
      </c>
      <c r="K318" s="83">
        <f t="shared" ca="1" si="398"/>
        <v>0</v>
      </c>
      <c r="L318" s="83">
        <f t="shared" ca="1" si="399"/>
        <v>0</v>
      </c>
      <c r="M318" s="83">
        <f t="shared" ca="1" si="400"/>
        <v>0</v>
      </c>
      <c r="N318" s="83">
        <f t="shared" ca="1" si="401"/>
        <v>0</v>
      </c>
      <c r="O318" s="83">
        <f t="shared" ca="1" si="402"/>
        <v>0</v>
      </c>
      <c r="P318" s="83">
        <f t="shared" ca="1" si="403"/>
        <v>1000</v>
      </c>
      <c r="Q318" s="83">
        <f t="shared" ca="1" si="404"/>
        <v>0</v>
      </c>
    </row>
    <row r="319" spans="2:17">
      <c r="D319" s="85" t="s">
        <v>328</v>
      </c>
      <c r="E319" s="83">
        <f t="shared" ca="1" si="393"/>
        <v>0</v>
      </c>
      <c r="F319" s="83">
        <f t="shared" ca="1" si="405"/>
        <v>0</v>
      </c>
      <c r="G319" s="83">
        <f t="shared" ca="1" si="394"/>
        <v>0</v>
      </c>
      <c r="H319" s="83">
        <f t="shared" ca="1" si="395"/>
        <v>0</v>
      </c>
      <c r="I319" s="83">
        <f t="shared" ca="1" si="396"/>
        <v>0</v>
      </c>
      <c r="J319" s="83">
        <f t="shared" ca="1" si="397"/>
        <v>0</v>
      </c>
      <c r="K319" s="83">
        <f t="shared" ca="1" si="398"/>
        <v>0</v>
      </c>
      <c r="L319" s="83">
        <f t="shared" ca="1" si="399"/>
        <v>0</v>
      </c>
      <c r="M319" s="83">
        <f t="shared" ca="1" si="400"/>
        <v>0</v>
      </c>
      <c r="N319" s="83">
        <f t="shared" ca="1" si="401"/>
        <v>0</v>
      </c>
      <c r="O319" s="83">
        <f t="shared" ca="1" si="402"/>
        <v>0</v>
      </c>
      <c r="P319" s="83">
        <f t="shared" ca="1" si="403"/>
        <v>0</v>
      </c>
      <c r="Q319" s="83">
        <f t="shared" ca="1" si="404"/>
        <v>0</v>
      </c>
    </row>
    <row r="320" spans="2:17">
      <c r="D320" s="85" t="s">
        <v>282</v>
      </c>
      <c r="E320" s="83">
        <f t="shared" ca="1" si="393"/>
        <v>0</v>
      </c>
      <c r="F320" s="83">
        <f t="shared" ca="1" si="405"/>
        <v>0</v>
      </c>
      <c r="G320" s="86">
        <f t="shared" ca="1" si="394"/>
        <v>0</v>
      </c>
      <c r="H320" s="86">
        <f t="shared" ca="1" si="395"/>
        <v>0</v>
      </c>
      <c r="I320" s="86">
        <f t="shared" ca="1" si="396"/>
        <v>0</v>
      </c>
      <c r="J320" s="86">
        <f t="shared" ca="1" si="397"/>
        <v>0</v>
      </c>
      <c r="K320" s="86">
        <f t="shared" ca="1" si="398"/>
        <v>0</v>
      </c>
      <c r="L320" s="86">
        <f t="shared" ca="1" si="399"/>
        <v>0</v>
      </c>
      <c r="M320" s="86">
        <f t="shared" ca="1" si="400"/>
        <v>0</v>
      </c>
      <c r="N320" s="86">
        <f t="shared" ca="1" si="401"/>
        <v>0</v>
      </c>
      <c r="O320" s="86">
        <f t="shared" ca="1" si="402"/>
        <v>0</v>
      </c>
      <c r="P320" s="86">
        <f t="shared" ca="1" si="403"/>
        <v>0</v>
      </c>
      <c r="Q320" s="86">
        <f t="shared" ca="1" si="404"/>
        <v>0</v>
      </c>
    </row>
    <row r="321" spans="2:17">
      <c r="D321" s="85"/>
      <c r="F321" s="83"/>
      <c r="G321" s="83"/>
      <c r="H321" s="83"/>
      <c r="I321" s="83"/>
      <c r="J321" s="83"/>
      <c r="K321" s="83"/>
      <c r="L321" s="83"/>
      <c r="M321" s="83"/>
      <c r="N321" s="83"/>
      <c r="O321" s="83"/>
      <c r="P321" s="83"/>
      <c r="Q321" s="83"/>
    </row>
    <row r="322" spans="2:17">
      <c r="E322" s="84">
        <f ca="1">+E312-SUM(E313:E320)</f>
        <v>4816979.1300000008</v>
      </c>
      <c r="F322" s="84">
        <f t="shared" ref="F322:G322" ca="1" si="406">+F312-SUM(F313:F320)</f>
        <v>414208.16000000009</v>
      </c>
      <c r="G322" s="84">
        <f t="shared" ca="1" si="406"/>
        <v>447112.79000000039</v>
      </c>
      <c r="H322" s="84">
        <f t="shared" ref="H322:Q322" ca="1" si="407">+H312-SUM(H313:H320)</f>
        <v>400883.52999999997</v>
      </c>
      <c r="I322" s="84">
        <f t="shared" ca="1" si="407"/>
        <v>401529.09000000055</v>
      </c>
      <c r="J322" s="84">
        <f t="shared" ca="1" si="407"/>
        <v>428538.86999999976</v>
      </c>
      <c r="K322" s="84">
        <f t="shared" ca="1" si="407"/>
        <v>398717.48999999982</v>
      </c>
      <c r="L322" s="84">
        <f t="shared" ca="1" si="407"/>
        <v>378118.40999999968</v>
      </c>
      <c r="M322" s="84">
        <f t="shared" ca="1" si="407"/>
        <v>416061.03999999986</v>
      </c>
      <c r="N322" s="84">
        <f t="shared" ca="1" si="407"/>
        <v>398298.8899999999</v>
      </c>
      <c r="O322" s="84">
        <f t="shared" ca="1" si="407"/>
        <v>370593.64999999991</v>
      </c>
      <c r="P322" s="84">
        <f t="shared" ca="1" si="407"/>
        <v>364480.63000000012</v>
      </c>
      <c r="Q322" s="84">
        <f t="shared" ca="1" si="407"/>
        <v>398436.58000000025</v>
      </c>
    </row>
    <row r="323" spans="2:17">
      <c r="F323" s="83"/>
      <c r="G323" s="83"/>
      <c r="H323" s="83"/>
      <c r="I323" s="83"/>
      <c r="J323" s="83"/>
      <c r="K323" s="83"/>
      <c r="L323" s="83"/>
      <c r="M323" s="83"/>
      <c r="N323" s="83"/>
      <c r="O323" s="83"/>
      <c r="P323" s="83"/>
      <c r="Q323" s="83"/>
    </row>
    <row r="324" spans="2:17">
      <c r="C324" s="96" t="s">
        <v>330</v>
      </c>
      <c r="D324" s="24" t="s">
        <v>334</v>
      </c>
      <c r="E324" s="83">
        <f ca="1">SUM(F324:Q324)</f>
        <v>4757964</v>
      </c>
      <c r="F324" s="83">
        <f ca="1">+Summary!G189</f>
        <v>414206</v>
      </c>
      <c r="G324" s="83">
        <f ca="1">+Summary!H189</f>
        <v>447113</v>
      </c>
      <c r="H324" s="83">
        <f ca="1">+Summary!I189</f>
        <v>400883</v>
      </c>
      <c r="I324" s="83">
        <f ca="1">+Summary!J189</f>
        <v>401530</v>
      </c>
      <c r="J324" s="83">
        <f ca="1">+Summary!K189</f>
        <v>369530</v>
      </c>
      <c r="K324" s="83">
        <f ca="1">+Summary!L189</f>
        <v>398717</v>
      </c>
      <c r="L324" s="83">
        <f ca="1">+Summary!M189</f>
        <v>378117</v>
      </c>
      <c r="M324" s="83">
        <f ca="1">+Summary!N189</f>
        <v>416061</v>
      </c>
      <c r="N324" s="83">
        <f ca="1">+Summary!O189</f>
        <v>398298</v>
      </c>
      <c r="O324" s="83">
        <f ca="1">+Summary!P189</f>
        <v>370594</v>
      </c>
      <c r="P324" s="83">
        <f ca="1">+Summary!Q189</f>
        <v>364479</v>
      </c>
      <c r="Q324" s="83">
        <f ca="1">+Summary!R189</f>
        <v>398436</v>
      </c>
    </row>
    <row r="325" spans="2:17">
      <c r="E325" s="83">
        <f t="shared" ref="E325:F325" ca="1" si="408">+E322-E324</f>
        <v>59015.13000000082</v>
      </c>
      <c r="F325" s="83">
        <f t="shared" ca="1" si="408"/>
        <v>2.160000000090804</v>
      </c>
      <c r="G325" s="83">
        <f t="shared" ref="G325:H325" ca="1" si="409">+G322-G324</f>
        <v>-0.20999999961350113</v>
      </c>
      <c r="H325" s="83">
        <f t="shared" ca="1" si="409"/>
        <v>0.52999999996973202</v>
      </c>
      <c r="I325" s="83">
        <f t="shared" ref="I325" ca="1" si="410">+I322-I324</f>
        <v>-0.90999999945051968</v>
      </c>
      <c r="J325" s="83">
        <f t="shared" ref="J325" ca="1" si="411">+J322-J324</f>
        <v>59008.869999999763</v>
      </c>
      <c r="K325" s="83">
        <f t="shared" ref="K325" ca="1" si="412">+K322-K324</f>
        <v>0.48999999981606379</v>
      </c>
      <c r="L325" s="83">
        <f t="shared" ref="L325" ca="1" si="413">+L322-L324</f>
        <v>1.4099999996833503</v>
      </c>
      <c r="M325" s="83">
        <f t="shared" ref="M325" ca="1" si="414">+M322-M324</f>
        <v>3.999999986262992E-2</v>
      </c>
      <c r="N325" s="83">
        <f t="shared" ref="N325" ca="1" si="415">+N322-N324</f>
        <v>0.88999999989755452</v>
      </c>
      <c r="O325" s="83">
        <f t="shared" ref="O325" ca="1" si="416">+O322-O324</f>
        <v>-0.35000000009313226</v>
      </c>
      <c r="P325" s="83">
        <f t="shared" ref="P325" ca="1" si="417">+P322-P324</f>
        <v>1.6300000001210719</v>
      </c>
      <c r="Q325" s="83">
        <f t="shared" ref="Q325" ca="1" si="418">+Q322-Q324</f>
        <v>0.58000000024912879</v>
      </c>
    </row>
    <row r="328" spans="2:17">
      <c r="B328" s="24">
        <v>18</v>
      </c>
      <c r="C328" s="96" t="s">
        <v>291</v>
      </c>
    </row>
    <row r="329" spans="2:17">
      <c r="C329" s="88" t="s">
        <v>311</v>
      </c>
      <c r="E329" s="84" t="s">
        <v>335</v>
      </c>
      <c r="F329" s="97" t="str">
        <f>+Summary!$W$9</f>
        <v>Aug 2021</v>
      </c>
      <c r="G329" s="97" t="str">
        <f>+Summary!$X$9</f>
        <v>Sep 2021</v>
      </c>
      <c r="H329" s="97" t="str">
        <f>+Summary!$Y$9</f>
        <v>Oct 2021</v>
      </c>
      <c r="I329" s="97" t="str">
        <f>+Summary!$Z$9</f>
        <v>Nov 2021</v>
      </c>
      <c r="J329" s="97" t="str">
        <f>+Summary!$AA$9</f>
        <v>Dec 2021</v>
      </c>
      <c r="K329" s="97" t="str">
        <f>+Summary!$AB$9</f>
        <v>Jan 2022</v>
      </c>
      <c r="L329" s="97" t="str">
        <f>+Summary!$AC$9</f>
        <v>Feb 2022</v>
      </c>
      <c r="M329" s="97" t="str">
        <f>+Summary!$AD$9</f>
        <v>Mar 2022</v>
      </c>
      <c r="N329" s="97" t="str">
        <f>+Summary!$AE$9</f>
        <v>Apr 2022</v>
      </c>
      <c r="O329" s="97" t="str">
        <f>+Summary!$AF$9</f>
        <v>May 2022</v>
      </c>
      <c r="P329" s="97" t="str">
        <f>+Summary!$AG$9</f>
        <v>Jun 2022</v>
      </c>
      <c r="Q329" s="97" t="str">
        <f>+Summary!$AH$9</f>
        <v>Jul 2022</v>
      </c>
    </row>
    <row r="330" spans="2:17">
      <c r="C330" s="96" t="s">
        <v>331</v>
      </c>
      <c r="D330" s="96" t="s">
        <v>333</v>
      </c>
    </row>
    <row r="331" spans="2:17">
      <c r="D331" s="24" t="s">
        <v>62</v>
      </c>
      <c r="E331" s="83">
        <f t="shared" ref="E331:E339" ca="1" si="419">+SUM(F331:Q331)</f>
        <v>954631.16999999969</v>
      </c>
      <c r="F331" s="83">
        <f ca="1">SUMIFS(INDIRECT("'"&amp;$C$329&amp;"'"&amp;"!$B:$B"),INDIRECT("'"&amp;$C$329&amp;"'"&amp;"!$a:$a"),$D331)/2</f>
        <v>75641.709999999977</v>
      </c>
      <c r="G331" s="83">
        <f ca="1">SUMIFS(INDIRECT("'"&amp;$C$329&amp;"'"&amp;"!$C:$C"),INDIRECT("'"&amp;$C$329&amp;"'"&amp;"!$a:$a"),$D331)/2</f>
        <v>80516.549999999988</v>
      </c>
      <c r="H331" s="83">
        <f ca="1">SUMIFS(INDIRECT("'"&amp;$C$329&amp;"'"&amp;"!$d:$d"),INDIRECT("'"&amp;$C$329&amp;"'"&amp;"!$a:$a"),$D331)/2</f>
        <v>77747.379999999976</v>
      </c>
      <c r="I331" s="83">
        <f ca="1">SUMIFS(INDIRECT("'"&amp;$C$329&amp;"'"&amp;"!$e:$e"),INDIRECT("'"&amp;$C$329&amp;"'"&amp;"!$a:$a"),$D331)/2</f>
        <v>80810.679999999906</v>
      </c>
      <c r="J331" s="83">
        <f ca="1">SUMIFS(INDIRECT("'"&amp;$C$329&amp;"'"&amp;"!$f:$f"),INDIRECT("'"&amp;$C$329&amp;"'"&amp;"!$a:$a"),$D331)/2</f>
        <v>81138.159999999989</v>
      </c>
      <c r="K331" s="83">
        <f ca="1">SUMIFS(INDIRECT("'"&amp;$C$329&amp;"'"&amp;"!$g:$g"),INDIRECT("'"&amp;$C$329&amp;"'"&amp;"!$a:$a"),$D331)/2</f>
        <v>75847.749999999985</v>
      </c>
      <c r="L331" s="83">
        <f ca="1">SUMIFS(INDIRECT("'"&amp;$C$329&amp;"'"&amp;"!$h:$h"),INDIRECT("'"&amp;$C$329&amp;"'"&amp;"!$a:$a"),$D331)/2</f>
        <v>78381.039999999994</v>
      </c>
      <c r="M331" s="83">
        <f ca="1">SUMIFS(INDIRECT("'"&amp;$C$329&amp;"'"&amp;"!$i:$i"),INDIRECT("'"&amp;$C$329&amp;"'"&amp;"!$a:$a"),$D331)/2</f>
        <v>81006.770000000062</v>
      </c>
      <c r="N331" s="83">
        <f ca="1">SUMIFS(INDIRECT("'"&amp;$C$329&amp;"'"&amp;"!$j:$j"),INDIRECT("'"&amp;$C$329&amp;"'"&amp;"!$a:$a"),$D331)/2</f>
        <v>79996.87</v>
      </c>
      <c r="O331" s="83">
        <f ca="1">SUMIFS(INDIRECT("'"&amp;$C$329&amp;"'"&amp;"!$k:$k"),INDIRECT("'"&amp;$C$329&amp;"'"&amp;"!$a:$a"),$D331)/2</f>
        <v>86531.22</v>
      </c>
      <c r="P331" s="83">
        <f ca="1">SUMIFS(INDIRECT("'"&amp;$C$329&amp;"'"&amp;"!$l:$l"),INDIRECT("'"&amp;$C$329&amp;"'"&amp;"!$a:$a"),$D331)/2</f>
        <v>78059.259999999995</v>
      </c>
      <c r="Q331" s="83">
        <f ca="1">SUMIFS(INDIRECT("'"&amp;$C$329&amp;"'"&amp;"!$m:$m"),INDIRECT("'"&amp;$C$329&amp;"'"&amp;"!$a:$a"),$D331)/2</f>
        <v>78953.779999999941</v>
      </c>
    </row>
    <row r="332" spans="2:17">
      <c r="D332" s="24" t="s">
        <v>253</v>
      </c>
      <c r="E332" s="83">
        <f t="shared" ca="1" si="419"/>
        <v>739.01999999999987</v>
      </c>
      <c r="F332" s="83">
        <f ca="1">SUMIFS(INDIRECT("'"&amp;$C$329&amp;"'"&amp;"!$B:$B"),INDIRECT("'"&amp;$C$329&amp;"'"&amp;"!$a:$a"),$D332)</f>
        <v>60.52</v>
      </c>
      <c r="G332" s="83">
        <f t="shared" ref="G332:G339" ca="1" si="420">SUMIFS(INDIRECT("'"&amp;$C$329&amp;"'"&amp;"!$C:$C"),INDIRECT("'"&amp;$C$329&amp;"'"&amp;"!$a:$a"),$D332)</f>
        <v>58.45</v>
      </c>
      <c r="H332" s="83">
        <f t="shared" ref="H332:H339" ca="1" si="421">SUMIFS(INDIRECT("'"&amp;$C$329&amp;"'"&amp;"!$d:$d"),INDIRECT("'"&amp;$C$329&amp;"'"&amp;"!$a:$a"),$D332)</f>
        <v>56.38</v>
      </c>
      <c r="I332" s="83">
        <f t="shared" ref="I332:I339" ca="1" si="422">SUMIFS(INDIRECT("'"&amp;$C$329&amp;"'"&amp;"!$e:$e"),INDIRECT("'"&amp;$C$329&amp;"'"&amp;"!$a:$a"),$D332)</f>
        <v>48.04</v>
      </c>
      <c r="J332" s="83">
        <f t="shared" ref="J332:J339" ca="1" si="423">SUMIFS(INDIRECT("'"&amp;$C$329&amp;"'"&amp;"!$f:$f"),INDIRECT("'"&amp;$C$329&amp;"'"&amp;"!$a:$a"),$D332)</f>
        <v>6.73</v>
      </c>
      <c r="K332" s="83">
        <f t="shared" ref="K332:K339" ca="1" si="424">SUMIFS(INDIRECT("'"&amp;$C$329&amp;"'"&amp;"!$g:$g"),INDIRECT("'"&amp;$C$329&amp;"'"&amp;"!$a:$a"),$D332)</f>
        <v>800</v>
      </c>
      <c r="L332" s="83">
        <f t="shared" ref="L332:L339" ca="1" si="425">SUMIFS(INDIRECT("'"&amp;$C$329&amp;"'"&amp;"!$h:$h"),INDIRECT("'"&amp;$C$329&amp;"'"&amp;"!$a:$a"),$D332)</f>
        <v>-800</v>
      </c>
      <c r="M332" s="83">
        <f t="shared" ref="M332:M339" ca="1" si="426">SUMIFS(INDIRECT("'"&amp;$C$329&amp;"'"&amp;"!$i:$i"),INDIRECT("'"&amp;$C$329&amp;"'"&amp;"!$a:$a"),$D332)</f>
        <v>0</v>
      </c>
      <c r="N332" s="83">
        <f t="shared" ref="N332:N339" ca="1" si="427">SUMIFS(INDIRECT("'"&amp;$C$329&amp;"'"&amp;"!$j:$j"),INDIRECT("'"&amp;$C$329&amp;"'"&amp;"!$a:$a"),$D332)</f>
        <v>435.79</v>
      </c>
      <c r="O332" s="83">
        <f t="shared" ref="O332:O339" ca="1" si="428">SUMIFS(INDIRECT("'"&amp;$C$329&amp;"'"&amp;"!$k:$k"),INDIRECT("'"&amp;$C$329&amp;"'"&amp;"!$a:$a"),$D332)</f>
        <v>24.37</v>
      </c>
      <c r="P332" s="83">
        <f t="shared" ref="P332:P339" ca="1" si="429">SUMIFS(INDIRECT("'"&amp;$C$329&amp;"'"&amp;"!$l:$l"),INDIRECT("'"&amp;$C$329&amp;"'"&amp;"!$a:$a"),$D332)</f>
        <v>24.37</v>
      </c>
      <c r="Q332" s="83">
        <f t="shared" ref="Q332:Q339" ca="1" si="430">SUMIFS(INDIRECT("'"&amp;$C$329&amp;"'"&amp;"!$m:$m"),INDIRECT("'"&amp;$C$329&amp;"'"&amp;"!$a:$a"),$D332)</f>
        <v>24.37</v>
      </c>
    </row>
    <row r="333" spans="2:17">
      <c r="D333" s="24" t="s">
        <v>250</v>
      </c>
      <c r="E333" s="83">
        <f t="shared" ca="1" si="419"/>
        <v>74756.22</v>
      </c>
      <c r="F333" s="83">
        <f t="shared" ref="F333:F339" ca="1" si="431">SUMIFS(INDIRECT("'"&amp;$C$329&amp;"'"&amp;"!$B:$B"),INDIRECT("'"&amp;$C$329&amp;"'"&amp;"!$a:$a"),$D333)</f>
        <v>6773.8799999999992</v>
      </c>
      <c r="G333" s="83">
        <f t="shared" ca="1" si="420"/>
        <v>6797.8099999999995</v>
      </c>
      <c r="H333" s="83">
        <f t="shared" ca="1" si="421"/>
        <v>6787.2099999999991</v>
      </c>
      <c r="I333" s="83">
        <f t="shared" ca="1" si="422"/>
        <v>6787.2099999999991</v>
      </c>
      <c r="J333" s="83">
        <f t="shared" ca="1" si="423"/>
        <v>6754.2</v>
      </c>
      <c r="K333" s="83">
        <f t="shared" ca="1" si="424"/>
        <v>6754.2</v>
      </c>
      <c r="L333" s="83">
        <f t="shared" ca="1" si="425"/>
        <v>4826.04</v>
      </c>
      <c r="M333" s="83">
        <f t="shared" ca="1" si="426"/>
        <v>5796.26</v>
      </c>
      <c r="N333" s="83">
        <f t="shared" ca="1" si="427"/>
        <v>5914.5</v>
      </c>
      <c r="O333" s="83">
        <f t="shared" ca="1" si="428"/>
        <v>5847.65</v>
      </c>
      <c r="P333" s="83">
        <f t="shared" ca="1" si="429"/>
        <v>5865.33</v>
      </c>
      <c r="Q333" s="83">
        <f t="shared" ca="1" si="430"/>
        <v>5851.93</v>
      </c>
    </row>
    <row r="334" spans="2:17">
      <c r="D334" s="24" t="s">
        <v>204</v>
      </c>
      <c r="E334" s="83">
        <f t="shared" ca="1" si="419"/>
        <v>55078</v>
      </c>
      <c r="F334" s="83">
        <f t="shared" ca="1" si="431"/>
        <v>4599</v>
      </c>
      <c r="G334" s="83">
        <f t="shared" ca="1" si="420"/>
        <v>4599</v>
      </c>
      <c r="H334" s="83">
        <f t="shared" ca="1" si="421"/>
        <v>4236</v>
      </c>
      <c r="I334" s="83">
        <f t="shared" ca="1" si="422"/>
        <v>4510</v>
      </c>
      <c r="J334" s="83">
        <f t="shared" ca="1" si="423"/>
        <v>4783</v>
      </c>
      <c r="K334" s="83">
        <f t="shared" ca="1" si="424"/>
        <v>4567</v>
      </c>
      <c r="L334" s="83">
        <f t="shared" ca="1" si="425"/>
        <v>4331</v>
      </c>
      <c r="M334" s="83">
        <f t="shared" ca="1" si="426"/>
        <v>4693</v>
      </c>
      <c r="N334" s="83">
        <f t="shared" ca="1" si="427"/>
        <v>4810</v>
      </c>
      <c r="O334" s="83">
        <f t="shared" ca="1" si="428"/>
        <v>5161</v>
      </c>
      <c r="P334" s="83">
        <f t="shared" ca="1" si="429"/>
        <v>4379</v>
      </c>
      <c r="Q334" s="83">
        <f t="shared" ca="1" si="430"/>
        <v>4410</v>
      </c>
    </row>
    <row r="335" spans="2:17">
      <c r="D335" s="24" t="s">
        <v>252</v>
      </c>
      <c r="E335" s="83">
        <f t="shared" ca="1" si="419"/>
        <v>112280.80000000002</v>
      </c>
      <c r="F335" s="83">
        <f t="shared" ca="1" si="431"/>
        <v>8929</v>
      </c>
      <c r="G335" s="83">
        <f t="shared" ca="1" si="420"/>
        <v>9318.58</v>
      </c>
      <c r="H335" s="83">
        <f t="shared" ca="1" si="421"/>
        <v>9318.58</v>
      </c>
      <c r="I335" s="83">
        <f t="shared" ca="1" si="422"/>
        <v>9318.58</v>
      </c>
      <c r="J335" s="83">
        <f t="shared" ca="1" si="423"/>
        <v>9318.58</v>
      </c>
      <c r="K335" s="83">
        <f t="shared" ca="1" si="424"/>
        <v>9318.58</v>
      </c>
      <c r="L335" s="83">
        <f t="shared" ca="1" si="425"/>
        <v>9318.58</v>
      </c>
      <c r="M335" s="83">
        <f t="shared" ca="1" si="426"/>
        <v>9318.58</v>
      </c>
      <c r="N335" s="83">
        <f t="shared" ca="1" si="427"/>
        <v>9318.58</v>
      </c>
      <c r="O335" s="83">
        <f t="shared" ca="1" si="428"/>
        <v>9318.58</v>
      </c>
      <c r="P335" s="83">
        <f t="shared" ca="1" si="429"/>
        <v>9318.58</v>
      </c>
      <c r="Q335" s="83">
        <f t="shared" ca="1" si="430"/>
        <v>10166</v>
      </c>
    </row>
    <row r="336" spans="2:17">
      <c r="D336" s="24" t="s">
        <v>388</v>
      </c>
      <c r="E336" s="83">
        <f t="shared" ca="1" si="419"/>
        <v>0</v>
      </c>
      <c r="F336" s="83">
        <f t="shared" ca="1" si="431"/>
        <v>0</v>
      </c>
      <c r="G336" s="83">
        <f t="shared" ca="1" si="420"/>
        <v>0</v>
      </c>
      <c r="H336" s="83">
        <f t="shared" ca="1" si="421"/>
        <v>0</v>
      </c>
      <c r="I336" s="83">
        <f t="shared" ca="1" si="422"/>
        <v>0</v>
      </c>
      <c r="J336" s="83">
        <f t="shared" ca="1" si="423"/>
        <v>0</v>
      </c>
      <c r="K336" s="83">
        <f t="shared" ca="1" si="424"/>
        <v>0</v>
      </c>
      <c r="L336" s="83">
        <f t="shared" ca="1" si="425"/>
        <v>0</v>
      </c>
      <c r="M336" s="83">
        <f t="shared" ca="1" si="426"/>
        <v>0</v>
      </c>
      <c r="N336" s="83">
        <f t="shared" ca="1" si="427"/>
        <v>0</v>
      </c>
      <c r="O336" s="83">
        <f t="shared" ca="1" si="428"/>
        <v>0</v>
      </c>
      <c r="P336" s="83">
        <f t="shared" ca="1" si="429"/>
        <v>0</v>
      </c>
      <c r="Q336" s="83">
        <f t="shared" ca="1" si="430"/>
        <v>0</v>
      </c>
    </row>
    <row r="337" spans="2:17">
      <c r="D337" s="85" t="s">
        <v>321</v>
      </c>
      <c r="E337" s="83">
        <f t="shared" ca="1" si="419"/>
        <v>0</v>
      </c>
      <c r="F337" s="83">
        <f t="shared" ca="1" si="431"/>
        <v>0</v>
      </c>
      <c r="G337" s="83">
        <f t="shared" ca="1" si="420"/>
        <v>0</v>
      </c>
      <c r="H337" s="83">
        <f t="shared" ca="1" si="421"/>
        <v>0</v>
      </c>
      <c r="I337" s="83">
        <f t="shared" ca="1" si="422"/>
        <v>0</v>
      </c>
      <c r="J337" s="83">
        <f t="shared" ca="1" si="423"/>
        <v>0</v>
      </c>
      <c r="K337" s="83">
        <f t="shared" ca="1" si="424"/>
        <v>0</v>
      </c>
      <c r="L337" s="83">
        <f t="shared" ca="1" si="425"/>
        <v>0</v>
      </c>
      <c r="M337" s="83">
        <f t="shared" ca="1" si="426"/>
        <v>0</v>
      </c>
      <c r="N337" s="83">
        <f t="shared" ca="1" si="427"/>
        <v>0</v>
      </c>
      <c r="O337" s="83">
        <f t="shared" ca="1" si="428"/>
        <v>0</v>
      </c>
      <c r="P337" s="83">
        <f t="shared" ca="1" si="429"/>
        <v>0</v>
      </c>
      <c r="Q337" s="83">
        <f t="shared" ca="1" si="430"/>
        <v>0</v>
      </c>
    </row>
    <row r="338" spans="2:17">
      <c r="D338" s="85" t="s">
        <v>328</v>
      </c>
      <c r="E338" s="83">
        <f t="shared" ca="1" si="419"/>
        <v>0</v>
      </c>
      <c r="F338" s="83">
        <f t="shared" ca="1" si="431"/>
        <v>0</v>
      </c>
      <c r="G338" s="83">
        <f t="shared" ca="1" si="420"/>
        <v>0</v>
      </c>
      <c r="H338" s="83">
        <f t="shared" ca="1" si="421"/>
        <v>0</v>
      </c>
      <c r="I338" s="83">
        <f t="shared" ca="1" si="422"/>
        <v>0</v>
      </c>
      <c r="J338" s="83">
        <f t="shared" ca="1" si="423"/>
        <v>0</v>
      </c>
      <c r="K338" s="83">
        <f t="shared" ca="1" si="424"/>
        <v>0</v>
      </c>
      <c r="L338" s="83">
        <f t="shared" ca="1" si="425"/>
        <v>0</v>
      </c>
      <c r="M338" s="83">
        <f t="shared" ca="1" si="426"/>
        <v>0</v>
      </c>
      <c r="N338" s="83">
        <f t="shared" ca="1" si="427"/>
        <v>0</v>
      </c>
      <c r="O338" s="83">
        <f t="shared" ca="1" si="428"/>
        <v>0</v>
      </c>
      <c r="P338" s="83">
        <f t="shared" ca="1" si="429"/>
        <v>0</v>
      </c>
      <c r="Q338" s="83">
        <f t="shared" ca="1" si="430"/>
        <v>0</v>
      </c>
    </row>
    <row r="339" spans="2:17">
      <c r="D339" s="85" t="s">
        <v>282</v>
      </c>
      <c r="E339" s="83">
        <f t="shared" ca="1" si="419"/>
        <v>131059.17</v>
      </c>
      <c r="F339" s="83">
        <f t="shared" ca="1" si="431"/>
        <v>11466.94</v>
      </c>
      <c r="G339" s="86">
        <f t="shared" ca="1" si="420"/>
        <v>10500</v>
      </c>
      <c r="H339" s="86">
        <f t="shared" ca="1" si="421"/>
        <v>10275</v>
      </c>
      <c r="I339" s="86">
        <f t="shared" ca="1" si="422"/>
        <v>10185.83</v>
      </c>
      <c r="J339" s="86">
        <f t="shared" ca="1" si="423"/>
        <v>11986.29</v>
      </c>
      <c r="K339" s="86">
        <f t="shared" ca="1" si="424"/>
        <v>9961.2900000000009</v>
      </c>
      <c r="L339" s="86">
        <f t="shared" ca="1" si="425"/>
        <v>10653.86</v>
      </c>
      <c r="M339" s="86">
        <f t="shared" ca="1" si="426"/>
        <v>11995.84</v>
      </c>
      <c r="N339" s="86">
        <f t="shared" ca="1" si="427"/>
        <v>12018.71</v>
      </c>
      <c r="O339" s="86">
        <f t="shared" ca="1" si="428"/>
        <v>17849.71</v>
      </c>
      <c r="P339" s="86">
        <f t="shared" ca="1" si="429"/>
        <v>4292.8900000000003</v>
      </c>
      <c r="Q339" s="86">
        <f t="shared" ca="1" si="430"/>
        <v>9872.81</v>
      </c>
    </row>
    <row r="340" spans="2:17">
      <c r="D340" s="85"/>
      <c r="F340" s="83"/>
      <c r="G340" s="83"/>
      <c r="H340" s="83"/>
      <c r="I340" s="83"/>
      <c r="J340" s="83"/>
      <c r="K340" s="83"/>
      <c r="L340" s="83"/>
      <c r="M340" s="83"/>
      <c r="N340" s="83"/>
      <c r="O340" s="83"/>
      <c r="P340" s="83"/>
      <c r="Q340" s="83"/>
    </row>
    <row r="341" spans="2:17">
      <c r="E341" s="84">
        <f ca="1">SUM(F341:Q341)</f>
        <v>711777.12999999977</v>
      </c>
      <c r="F341" s="84">
        <f ca="1">+F331-SUM(F332:F338)</f>
        <v>55279.309999999976</v>
      </c>
      <c r="G341" s="84">
        <f ca="1">+G331-SUM(G332:G338)</f>
        <v>59742.709999999992</v>
      </c>
      <c r="H341" s="84">
        <f ca="1">+H331-SUM(H332:H338)</f>
        <v>57349.209999999977</v>
      </c>
      <c r="I341" s="84">
        <f t="shared" ref="I341:Q341" ca="1" si="432">+I331-SUM(I332:I338)</f>
        <v>60146.849999999904</v>
      </c>
      <c r="J341" s="84">
        <f t="shared" ca="1" si="432"/>
        <v>60275.649999999987</v>
      </c>
      <c r="K341" s="84">
        <f t="shared" ca="1" si="432"/>
        <v>54407.969999999987</v>
      </c>
      <c r="L341" s="84">
        <f t="shared" ca="1" si="432"/>
        <v>60705.419999999991</v>
      </c>
      <c r="M341" s="84">
        <f t="shared" ca="1" si="432"/>
        <v>61198.930000000066</v>
      </c>
      <c r="N341" s="84">
        <f t="shared" ca="1" si="432"/>
        <v>59517.999999999993</v>
      </c>
      <c r="O341" s="84">
        <f t="shared" ca="1" si="432"/>
        <v>66179.62</v>
      </c>
      <c r="P341" s="84">
        <f t="shared" ca="1" si="432"/>
        <v>58471.979999999996</v>
      </c>
      <c r="Q341" s="84">
        <f t="shared" ca="1" si="432"/>
        <v>58501.479999999938</v>
      </c>
    </row>
    <row r="342" spans="2:17">
      <c r="F342" s="83"/>
      <c r="G342" s="83"/>
      <c r="H342" s="83"/>
      <c r="I342" s="83"/>
      <c r="J342" s="83"/>
      <c r="K342" s="83"/>
      <c r="L342" s="83"/>
      <c r="M342" s="83"/>
      <c r="N342" s="83"/>
      <c r="O342" s="83"/>
      <c r="P342" s="83"/>
      <c r="Q342" s="83"/>
    </row>
    <row r="343" spans="2:17">
      <c r="C343" s="96" t="s">
        <v>330</v>
      </c>
      <c r="D343" s="24" t="s">
        <v>334</v>
      </c>
      <c r="E343" s="83">
        <f ca="1">SUM(F343:Q343)</f>
        <v>711776</v>
      </c>
      <c r="F343" s="83">
        <f ca="1">+Summary!G200</f>
        <v>55279</v>
      </c>
      <c r="G343" s="83">
        <f ca="1">+Summary!H200</f>
        <v>59742</v>
      </c>
      <c r="H343" s="83">
        <f ca="1">+Summary!I200</f>
        <v>57349</v>
      </c>
      <c r="I343" s="83">
        <f ca="1">+Summary!J200</f>
        <v>60147</v>
      </c>
      <c r="J343" s="83">
        <f ca="1">+Summary!K200</f>
        <v>60275</v>
      </c>
      <c r="K343" s="83">
        <f ca="1">+Summary!L200</f>
        <v>54409</v>
      </c>
      <c r="L343" s="83">
        <f ca="1">+Summary!M200</f>
        <v>60706</v>
      </c>
      <c r="M343" s="83">
        <f ca="1">+Summary!N200</f>
        <v>61199</v>
      </c>
      <c r="N343" s="83">
        <f ca="1">+Summary!O200</f>
        <v>59517</v>
      </c>
      <c r="O343" s="83">
        <f ca="1">+Summary!P200</f>
        <v>66179</v>
      </c>
      <c r="P343" s="83">
        <f ca="1">+Summary!Q200</f>
        <v>58472</v>
      </c>
      <c r="Q343" s="83">
        <f ca="1">+Summary!R200</f>
        <v>58502</v>
      </c>
    </row>
    <row r="344" spans="2:17">
      <c r="E344" s="83">
        <f t="shared" ref="E344:F344" ca="1" si="433">+E341-E343</f>
        <v>1.129999999771826</v>
      </c>
      <c r="F344" s="83">
        <f t="shared" ca="1" si="433"/>
        <v>0.30999999997584382</v>
      </c>
      <c r="G344" s="83">
        <f t="shared" ref="G344:H344" ca="1" si="434">+G341-G343</f>
        <v>0.70999999999185093</v>
      </c>
      <c r="H344" s="83">
        <f t="shared" ca="1" si="434"/>
        <v>0.20999999997729901</v>
      </c>
      <c r="I344" s="83">
        <f t="shared" ref="I344" ca="1" si="435">+I341-I343</f>
        <v>-0.15000000009604264</v>
      </c>
      <c r="J344" s="83">
        <f t="shared" ref="J344" ca="1" si="436">+J341-J343</f>
        <v>0.64999999998690328</v>
      </c>
      <c r="K344" s="83">
        <f t="shared" ref="K344" ca="1" si="437">+K341-K343</f>
        <v>-1.0300000000133878</v>
      </c>
      <c r="L344" s="83">
        <f t="shared" ref="L344" ca="1" si="438">+L341-L343</f>
        <v>-0.58000000000902219</v>
      </c>
      <c r="M344" s="83">
        <f t="shared" ref="M344" ca="1" si="439">+M341-M343</f>
        <v>-6.9999999934225343E-2</v>
      </c>
      <c r="N344" s="83">
        <f t="shared" ref="N344" ca="1" si="440">+N341-N343</f>
        <v>0.99999999999272404</v>
      </c>
      <c r="O344" s="83">
        <f t="shared" ref="O344" ca="1" si="441">+O341-O343</f>
        <v>0.61999999999534339</v>
      </c>
      <c r="P344" s="83">
        <f t="shared" ref="P344" ca="1" si="442">+P341-P343</f>
        <v>-2.0000000004074536E-2</v>
      </c>
      <c r="Q344" s="83">
        <f t="shared" ref="Q344" ca="1" si="443">+Q341-Q343</f>
        <v>-0.5200000000622822</v>
      </c>
    </row>
    <row r="347" spans="2:17">
      <c r="B347" s="24">
        <v>19</v>
      </c>
      <c r="C347" s="96" t="s">
        <v>292</v>
      </c>
    </row>
    <row r="348" spans="2:17">
      <c r="C348" s="88" t="s">
        <v>312</v>
      </c>
      <c r="E348" s="84" t="s">
        <v>335</v>
      </c>
      <c r="F348" s="97" t="str">
        <f>+Summary!$W$9</f>
        <v>Aug 2021</v>
      </c>
      <c r="G348" s="97" t="str">
        <f>+Summary!$X$9</f>
        <v>Sep 2021</v>
      </c>
      <c r="H348" s="97" t="str">
        <f>+Summary!$Y$9</f>
        <v>Oct 2021</v>
      </c>
      <c r="I348" s="97" t="str">
        <f>+Summary!$Z$9</f>
        <v>Nov 2021</v>
      </c>
      <c r="J348" s="97" t="str">
        <f>+Summary!$AA$9</f>
        <v>Dec 2021</v>
      </c>
      <c r="K348" s="97" t="str">
        <f>+Summary!$AB$9</f>
        <v>Jan 2022</v>
      </c>
      <c r="L348" s="97" t="str">
        <f>+Summary!$AC$9</f>
        <v>Feb 2022</v>
      </c>
      <c r="M348" s="97" t="str">
        <f>+Summary!$AD$9</f>
        <v>Mar 2022</v>
      </c>
      <c r="N348" s="97" t="str">
        <f>+Summary!$AE$9</f>
        <v>Apr 2022</v>
      </c>
      <c r="O348" s="97" t="str">
        <f>+Summary!$AF$9</f>
        <v>May 2022</v>
      </c>
      <c r="P348" s="97" t="str">
        <f>+Summary!$AG$9</f>
        <v>Jun 2022</v>
      </c>
      <c r="Q348" s="97" t="str">
        <f>+Summary!$AH$9</f>
        <v>Jul 2022</v>
      </c>
    </row>
    <row r="349" spans="2:17">
      <c r="C349" s="96" t="s">
        <v>331</v>
      </c>
      <c r="D349" s="96" t="s">
        <v>333</v>
      </c>
    </row>
    <row r="350" spans="2:17">
      <c r="D350" s="24" t="s">
        <v>62</v>
      </c>
      <c r="E350" s="83">
        <f t="shared" ref="E350:E358" ca="1" si="444">+SUM(F350:Q350)</f>
        <v>2649347.3499999926</v>
      </c>
      <c r="F350" s="83">
        <f ca="1">SUMIFS(INDIRECT("'"&amp;$C$348&amp;"'"&amp;"!$B:$B"),INDIRECT("'"&amp;$C$348&amp;"'"&amp;"!$a:$a"),$D350)/2</f>
        <v>877539.25999999943</v>
      </c>
      <c r="G350" s="83">
        <f ca="1">SUMIFS(INDIRECT("'"&amp;$C$348&amp;"'"&amp;"!$C:$C"),INDIRECT("'"&amp;$C$348&amp;"'"&amp;"!$a:$a"),$D350)/2</f>
        <v>817324.60999999964</v>
      </c>
      <c r="H350" s="83">
        <f ca="1">SUMIFS(INDIRECT("'"&amp;$C$348&amp;"'"&amp;"!$d:$d"),INDIRECT("'"&amp;$C$348&amp;"'"&amp;"!$a:$a"),$D350)/2</f>
        <v>772563.00999999954</v>
      </c>
      <c r="I350" s="83">
        <f ca="1">SUMIFS(INDIRECT("'"&amp;$C$348&amp;"'"&amp;"!$e:$e"),INDIRECT("'"&amp;$C$348&amp;"'"&amp;"!$a:$a"),$D350)/2</f>
        <v>748206.82999999961</v>
      </c>
      <c r="J350" s="83">
        <f ca="1">SUMIFS(INDIRECT("'"&amp;$C$348&amp;"'"&amp;"!$f:$f"),INDIRECT("'"&amp;$C$348&amp;"'"&amp;"!$a:$a"),$D350)/2</f>
        <v>-566286.35999999987</v>
      </c>
      <c r="K350" s="83">
        <f ca="1">SUMIFS(INDIRECT("'"&amp;$C$348&amp;"'"&amp;"!$g:$g"),INDIRECT("'"&amp;$C$348&amp;"'"&amp;"!$a:$a"),$D350)/2</f>
        <v>783338.35999999964</v>
      </c>
      <c r="L350" s="83">
        <f ca="1">SUMIFS(INDIRECT("'"&amp;$C$348&amp;"'"&amp;"!$h:$h"),INDIRECT("'"&amp;$C$348&amp;"'"&amp;"!$a:$a"),$D350)/2</f>
        <v>764796.16999999923</v>
      </c>
      <c r="M350" s="83">
        <f ca="1">SUMIFS(INDIRECT("'"&amp;$C$348&amp;"'"&amp;"!$i:$i"),INDIRECT("'"&amp;$C$348&amp;"'"&amp;"!$a:$a"),$D350)/2</f>
        <v>738147.89999999944</v>
      </c>
      <c r="N350" s="83">
        <f ca="1">SUMIFS(INDIRECT("'"&amp;$C$348&amp;"'"&amp;"!$j:$j"),INDIRECT("'"&amp;$C$348&amp;"'"&amp;"!$a:$a"),$D350)/2</f>
        <v>689500.42999999993</v>
      </c>
      <c r="O350" s="83">
        <f ca="1">SUMIFS(INDIRECT("'"&amp;$C$348&amp;"'"&amp;"!$k:$k"),INDIRECT("'"&amp;$C$348&amp;"'"&amp;"!$a:$a"),$D350)/2</f>
        <v>614124.85999999975</v>
      </c>
      <c r="P350" s="83">
        <f ca="1">SUMIFS(INDIRECT("'"&amp;$C$348&amp;"'"&amp;"!$l:$l"),INDIRECT("'"&amp;$C$348&amp;"'"&amp;"!$a:$a"),$D350)/2</f>
        <v>-3589907.720000003</v>
      </c>
      <c r="Q350" s="83">
        <f ca="1">SUMIFS(INDIRECT("'"&amp;$C$348&amp;"'"&amp;"!$m:$m"),INDIRECT("'"&amp;$C$348&amp;"'"&amp;"!$a:$a"),$D350)/2</f>
        <v>0</v>
      </c>
    </row>
    <row r="351" spans="2:17">
      <c r="D351" s="24" t="s">
        <v>253</v>
      </c>
      <c r="E351" s="83">
        <f t="shared" ca="1" si="444"/>
        <v>593.34999999999991</v>
      </c>
      <c r="F351" s="83">
        <f ca="1">SUMIFS(INDIRECT("'"&amp;$C$348&amp;"'"&amp;"!$B:$B"),INDIRECT("'"&amp;$C$348&amp;"'"&amp;"!$a:$a"),$D351)</f>
        <v>118.67</v>
      </c>
      <c r="G351" s="83">
        <f t="shared" ref="G351:G358" ca="1" si="445">SUMIFS(INDIRECT("'"&amp;$C$348&amp;"'"&amp;"!$C:$C"),INDIRECT("'"&amp;$C$348&amp;"'"&amp;"!$a:$a"),$D351)</f>
        <v>118.67</v>
      </c>
      <c r="H351" s="83">
        <f t="shared" ref="H351:H358" ca="1" si="446">SUMIFS(INDIRECT("'"&amp;$C$348&amp;"'"&amp;"!$d:$d"),INDIRECT("'"&amp;$C$348&amp;"'"&amp;"!$a:$a"),$D351)</f>
        <v>118.67</v>
      </c>
      <c r="I351" s="83">
        <f t="shared" ref="I351:I358" ca="1" si="447">SUMIFS(INDIRECT("'"&amp;$C$348&amp;"'"&amp;"!$e:$e"),INDIRECT("'"&amp;$C$348&amp;"'"&amp;"!$a:$a"),$D351)</f>
        <v>118.67</v>
      </c>
      <c r="J351" s="83">
        <f t="shared" ref="J351:J358" ca="1" si="448">SUMIFS(INDIRECT("'"&amp;$C$348&amp;"'"&amp;"!$f:$f"),INDIRECT("'"&amp;$C$348&amp;"'"&amp;"!$a:$a"),$D351)</f>
        <v>118.67</v>
      </c>
      <c r="K351" s="83">
        <f t="shared" ref="K351:K358" ca="1" si="449">SUMIFS(INDIRECT("'"&amp;$C$348&amp;"'"&amp;"!$g:$g"),INDIRECT("'"&amp;$C$348&amp;"'"&amp;"!$a:$a"),$D351)</f>
        <v>0</v>
      </c>
      <c r="L351" s="83">
        <f t="shared" ref="L351:L358" ca="1" si="450">SUMIFS(INDIRECT("'"&amp;$C$348&amp;"'"&amp;"!$h:$h"),INDIRECT("'"&amp;$C$348&amp;"'"&amp;"!$a:$a"),$D351)</f>
        <v>0</v>
      </c>
      <c r="M351" s="83">
        <f t="shared" ref="M351:M358" ca="1" si="451">SUMIFS(INDIRECT("'"&amp;$C$348&amp;"'"&amp;"!$i:$i"),INDIRECT("'"&amp;$C$348&amp;"'"&amp;"!$a:$a"),$D351)</f>
        <v>0</v>
      </c>
      <c r="N351" s="83">
        <f t="shared" ref="N351:N358" ca="1" si="452">SUMIFS(INDIRECT("'"&amp;$C$348&amp;"'"&amp;"!$j:$j"),INDIRECT("'"&amp;$C$348&amp;"'"&amp;"!$a:$a"),$D351)</f>
        <v>60.18</v>
      </c>
      <c r="O351" s="83">
        <f t="shared" ref="O351:O358" ca="1" si="453">SUMIFS(INDIRECT("'"&amp;$C$348&amp;"'"&amp;"!$k:$k"),INDIRECT("'"&amp;$C$348&amp;"'"&amp;"!$a:$a"),$D351)</f>
        <v>60.18</v>
      </c>
      <c r="P351" s="83">
        <f t="shared" ref="P351:P358" ca="1" si="454">SUMIFS(INDIRECT("'"&amp;$C$348&amp;"'"&amp;"!$l:$l"),INDIRECT("'"&amp;$C$348&amp;"'"&amp;"!$a:$a"),$D351)</f>
        <v>-120.36</v>
      </c>
      <c r="Q351" s="83">
        <f t="shared" ref="Q351:Q358" ca="1" si="455">SUMIFS(INDIRECT("'"&amp;$C$348&amp;"'"&amp;"!$m:$m"),INDIRECT("'"&amp;$C$348&amp;"'"&amp;"!$a:$a"),$D351)</f>
        <v>0</v>
      </c>
    </row>
    <row r="352" spans="2:17">
      <c r="D352" s="24" t="s">
        <v>250</v>
      </c>
      <c r="E352" s="83">
        <f t="shared" ca="1" si="444"/>
        <v>16835.689999999995</v>
      </c>
      <c r="F352" s="83">
        <f t="shared" ref="F352:F358" ca="1" si="456">SUMIFS(INDIRECT("'"&amp;$C$348&amp;"'"&amp;"!$B:$B"),INDIRECT("'"&amp;$C$348&amp;"'"&amp;"!$a:$a"),$D352)</f>
        <v>3287.1899999999991</v>
      </c>
      <c r="G352" s="83">
        <f t="shared" ca="1" si="445"/>
        <v>3361.74</v>
      </c>
      <c r="H352" s="83">
        <f t="shared" ca="1" si="446"/>
        <v>3354.05</v>
      </c>
      <c r="I352" s="83">
        <f t="shared" ca="1" si="447"/>
        <v>3400.34</v>
      </c>
      <c r="J352" s="83">
        <f t="shared" ca="1" si="448"/>
        <v>3432.37</v>
      </c>
      <c r="K352" s="83">
        <f t="shared" ca="1" si="449"/>
        <v>3432.37</v>
      </c>
      <c r="L352" s="83">
        <f t="shared" ca="1" si="450"/>
        <v>3452.9099999999994</v>
      </c>
      <c r="M352" s="83">
        <f t="shared" ca="1" si="451"/>
        <v>3797.29</v>
      </c>
      <c r="N352" s="83">
        <f t="shared" ca="1" si="452"/>
        <v>3669.94</v>
      </c>
      <c r="O352" s="83">
        <f t="shared" ca="1" si="453"/>
        <v>3605.89</v>
      </c>
      <c r="P352" s="83">
        <f t="shared" ca="1" si="454"/>
        <v>-17958.400000000001</v>
      </c>
      <c r="Q352" s="83">
        <f t="shared" ca="1" si="455"/>
        <v>0</v>
      </c>
    </row>
    <row r="353" spans="3:17">
      <c r="D353" s="24" t="s">
        <v>204</v>
      </c>
      <c r="E353" s="83">
        <f t="shared" ca="1" si="444"/>
        <v>-820271</v>
      </c>
      <c r="F353" s="83">
        <f t="shared" ca="1" si="456"/>
        <v>37645</v>
      </c>
      <c r="G353" s="83">
        <f t="shared" ca="1" si="445"/>
        <v>35707</v>
      </c>
      <c r="H353" s="83">
        <f t="shared" ca="1" si="446"/>
        <v>31064</v>
      </c>
      <c r="I353" s="83">
        <f t="shared" ca="1" si="447"/>
        <v>30753</v>
      </c>
      <c r="J353" s="83">
        <f t="shared" ca="1" si="448"/>
        <v>-955440</v>
      </c>
      <c r="K353" s="83">
        <f t="shared" ca="1" si="449"/>
        <v>38070</v>
      </c>
      <c r="L353" s="83">
        <f t="shared" ca="1" si="450"/>
        <v>31437</v>
      </c>
      <c r="M353" s="83">
        <f t="shared" ca="1" si="451"/>
        <v>30450</v>
      </c>
      <c r="N353" s="83">
        <f t="shared" ca="1" si="452"/>
        <v>31168</v>
      </c>
      <c r="O353" s="83">
        <f t="shared" ca="1" si="453"/>
        <v>32086</v>
      </c>
      <c r="P353" s="83">
        <f t="shared" ca="1" si="454"/>
        <v>-163211</v>
      </c>
      <c r="Q353" s="83">
        <f t="shared" ca="1" si="455"/>
        <v>0</v>
      </c>
    </row>
    <row r="354" spans="3:17">
      <c r="D354" s="24" t="s">
        <v>252</v>
      </c>
      <c r="E354" s="83">
        <f t="shared" ca="1" si="444"/>
        <v>539661.81999999995</v>
      </c>
      <c r="F354" s="83">
        <f t="shared" ca="1" si="456"/>
        <v>106066.5</v>
      </c>
      <c r="G354" s="83">
        <f t="shared" ca="1" si="445"/>
        <v>108398.83</v>
      </c>
      <c r="H354" s="83">
        <f t="shared" ca="1" si="446"/>
        <v>108398.83</v>
      </c>
      <c r="I354" s="83">
        <f t="shared" ca="1" si="447"/>
        <v>108398.83</v>
      </c>
      <c r="J354" s="83">
        <f t="shared" ca="1" si="448"/>
        <v>108398.83</v>
      </c>
      <c r="K354" s="83">
        <f t="shared" ca="1" si="449"/>
        <v>108398.83</v>
      </c>
      <c r="L354" s="83">
        <f t="shared" ca="1" si="450"/>
        <v>108398.83</v>
      </c>
      <c r="M354" s="83">
        <f t="shared" ca="1" si="451"/>
        <v>108398.83</v>
      </c>
      <c r="N354" s="83">
        <f t="shared" ca="1" si="452"/>
        <v>108398.83</v>
      </c>
      <c r="O354" s="83">
        <f t="shared" ca="1" si="453"/>
        <v>108398.83</v>
      </c>
      <c r="P354" s="83">
        <f t="shared" ca="1" si="454"/>
        <v>-541994.15</v>
      </c>
      <c r="Q354" s="83">
        <f t="shared" ca="1" si="455"/>
        <v>0</v>
      </c>
    </row>
    <row r="355" spans="3:17">
      <c r="D355" s="24" t="s">
        <v>388</v>
      </c>
      <c r="E355" s="83">
        <f t="shared" ca="1" si="444"/>
        <v>0</v>
      </c>
      <c r="F355" s="83">
        <f t="shared" ca="1" si="456"/>
        <v>0</v>
      </c>
      <c r="G355" s="83">
        <f t="shared" ca="1" si="445"/>
        <v>0</v>
      </c>
      <c r="H355" s="83">
        <f t="shared" ca="1" si="446"/>
        <v>0</v>
      </c>
      <c r="I355" s="83">
        <f t="shared" ca="1" si="447"/>
        <v>0</v>
      </c>
      <c r="J355" s="83">
        <f t="shared" ca="1" si="448"/>
        <v>0</v>
      </c>
      <c r="K355" s="83">
        <f t="shared" ca="1" si="449"/>
        <v>0</v>
      </c>
      <c r="L355" s="83">
        <f t="shared" ca="1" si="450"/>
        <v>0</v>
      </c>
      <c r="M355" s="83">
        <f t="shared" ca="1" si="451"/>
        <v>0</v>
      </c>
      <c r="N355" s="83">
        <f t="shared" ca="1" si="452"/>
        <v>0</v>
      </c>
      <c r="O355" s="83">
        <f t="shared" ca="1" si="453"/>
        <v>0</v>
      </c>
      <c r="P355" s="83">
        <f t="shared" ca="1" si="454"/>
        <v>0</v>
      </c>
      <c r="Q355" s="83">
        <f t="shared" ca="1" si="455"/>
        <v>0</v>
      </c>
    </row>
    <row r="356" spans="3:17">
      <c r="D356" s="85" t="s">
        <v>321</v>
      </c>
      <c r="E356" s="83">
        <f t="shared" ca="1" si="444"/>
        <v>0</v>
      </c>
      <c r="F356" s="83">
        <f t="shared" ca="1" si="456"/>
        <v>0</v>
      </c>
      <c r="G356" s="83">
        <f t="shared" ca="1" si="445"/>
        <v>0</v>
      </c>
      <c r="H356" s="83">
        <f t="shared" ca="1" si="446"/>
        <v>0</v>
      </c>
      <c r="I356" s="83">
        <f t="shared" ca="1" si="447"/>
        <v>0</v>
      </c>
      <c r="J356" s="83">
        <f t="shared" ca="1" si="448"/>
        <v>0</v>
      </c>
      <c r="K356" s="83">
        <f t="shared" ca="1" si="449"/>
        <v>0</v>
      </c>
      <c r="L356" s="83">
        <f t="shared" ca="1" si="450"/>
        <v>0</v>
      </c>
      <c r="M356" s="83">
        <f t="shared" ca="1" si="451"/>
        <v>0</v>
      </c>
      <c r="N356" s="83">
        <f t="shared" ca="1" si="452"/>
        <v>0</v>
      </c>
      <c r="O356" s="83">
        <f t="shared" ca="1" si="453"/>
        <v>0</v>
      </c>
      <c r="P356" s="83">
        <f t="shared" ca="1" si="454"/>
        <v>0</v>
      </c>
      <c r="Q356" s="83">
        <f t="shared" ca="1" si="455"/>
        <v>0</v>
      </c>
    </row>
    <row r="357" spans="3:17">
      <c r="D357" s="85" t="s">
        <v>328</v>
      </c>
      <c r="E357" s="83">
        <f t="shared" ca="1" si="444"/>
        <v>0</v>
      </c>
      <c r="F357" s="83">
        <f t="shared" ca="1" si="456"/>
        <v>0</v>
      </c>
      <c r="G357" s="83">
        <f t="shared" ca="1" si="445"/>
        <v>0</v>
      </c>
      <c r="H357" s="83">
        <f t="shared" ca="1" si="446"/>
        <v>0</v>
      </c>
      <c r="I357" s="83">
        <f t="shared" ca="1" si="447"/>
        <v>0</v>
      </c>
      <c r="J357" s="83">
        <f t="shared" ca="1" si="448"/>
        <v>0</v>
      </c>
      <c r="K357" s="83">
        <f t="shared" ca="1" si="449"/>
        <v>0</v>
      </c>
      <c r="L357" s="83">
        <f t="shared" ca="1" si="450"/>
        <v>0</v>
      </c>
      <c r="M357" s="83">
        <f t="shared" ca="1" si="451"/>
        <v>0</v>
      </c>
      <c r="N357" s="83">
        <f t="shared" ca="1" si="452"/>
        <v>0</v>
      </c>
      <c r="O357" s="83">
        <f t="shared" ca="1" si="453"/>
        <v>0</v>
      </c>
      <c r="P357" s="83">
        <f t="shared" ca="1" si="454"/>
        <v>0</v>
      </c>
      <c r="Q357" s="83">
        <f t="shared" ca="1" si="455"/>
        <v>0</v>
      </c>
    </row>
    <row r="358" spans="3:17">
      <c r="D358" s="85" t="s">
        <v>282</v>
      </c>
      <c r="E358" s="83">
        <f t="shared" ca="1" si="444"/>
        <v>0</v>
      </c>
      <c r="F358" s="83">
        <f t="shared" ca="1" si="456"/>
        <v>0</v>
      </c>
      <c r="G358" s="86">
        <f t="shared" ca="1" si="445"/>
        <v>0</v>
      </c>
      <c r="H358" s="86">
        <f t="shared" ca="1" si="446"/>
        <v>0</v>
      </c>
      <c r="I358" s="86">
        <f t="shared" ca="1" si="447"/>
        <v>0</v>
      </c>
      <c r="J358" s="86">
        <f t="shared" ca="1" si="448"/>
        <v>0</v>
      </c>
      <c r="K358" s="86">
        <f t="shared" ca="1" si="449"/>
        <v>0</v>
      </c>
      <c r="L358" s="86">
        <f t="shared" ca="1" si="450"/>
        <v>0</v>
      </c>
      <c r="M358" s="86">
        <f t="shared" ca="1" si="451"/>
        <v>0</v>
      </c>
      <c r="N358" s="86">
        <f t="shared" ca="1" si="452"/>
        <v>0</v>
      </c>
      <c r="O358" s="86">
        <f t="shared" ca="1" si="453"/>
        <v>0</v>
      </c>
      <c r="P358" s="86">
        <f t="shared" ca="1" si="454"/>
        <v>0</v>
      </c>
      <c r="Q358" s="86">
        <f t="shared" ca="1" si="455"/>
        <v>0</v>
      </c>
    </row>
    <row r="359" spans="3:17">
      <c r="D359" s="85"/>
      <c r="F359" s="83"/>
      <c r="G359" s="83"/>
      <c r="H359" s="83"/>
      <c r="I359" s="83"/>
      <c r="J359" s="83"/>
      <c r="K359" s="83"/>
      <c r="L359" s="83"/>
      <c r="M359" s="83"/>
      <c r="N359" s="83"/>
      <c r="O359" s="83"/>
      <c r="P359" s="83"/>
      <c r="Q359" s="83"/>
    </row>
    <row r="360" spans="3:17">
      <c r="E360" s="84">
        <f ca="1">+E350-SUM(E351:E358)</f>
        <v>2912527.4899999928</v>
      </c>
      <c r="F360" s="84">
        <f t="shared" ref="F360:G360" ca="1" si="457">+F350-SUM(F351:F358)</f>
        <v>730421.89999999944</v>
      </c>
      <c r="G360" s="84">
        <f t="shared" ca="1" si="457"/>
        <v>669738.36999999965</v>
      </c>
      <c r="H360" s="84">
        <f t="shared" ref="H360:Q360" ca="1" si="458">+H350-SUM(H351:H358)</f>
        <v>629627.4599999995</v>
      </c>
      <c r="I360" s="84">
        <f t="shared" ca="1" si="458"/>
        <v>605535.98999999964</v>
      </c>
      <c r="J360" s="84">
        <f t="shared" ca="1" si="458"/>
        <v>277203.77000000014</v>
      </c>
      <c r="K360" s="84">
        <f t="shared" ca="1" si="458"/>
        <v>633437.15999999968</v>
      </c>
      <c r="L360" s="84">
        <f t="shared" ca="1" si="458"/>
        <v>621507.42999999924</v>
      </c>
      <c r="M360" s="84">
        <f t="shared" ca="1" si="458"/>
        <v>595501.77999999945</v>
      </c>
      <c r="N360" s="84">
        <f t="shared" ca="1" si="458"/>
        <v>546203.48</v>
      </c>
      <c r="O360" s="84">
        <f t="shared" ca="1" si="458"/>
        <v>469973.95999999973</v>
      </c>
      <c r="P360" s="84">
        <f t="shared" ca="1" si="458"/>
        <v>-2866623.8100000028</v>
      </c>
      <c r="Q360" s="84">
        <f t="shared" ca="1" si="458"/>
        <v>0</v>
      </c>
    </row>
    <row r="361" spans="3:17">
      <c r="F361" s="83"/>
      <c r="G361" s="83"/>
      <c r="H361" s="83"/>
      <c r="I361" s="83"/>
      <c r="J361" s="83"/>
      <c r="K361" s="83"/>
      <c r="L361" s="83"/>
      <c r="M361" s="83"/>
      <c r="N361" s="83"/>
      <c r="O361" s="83"/>
      <c r="P361" s="83"/>
      <c r="Q361" s="83"/>
    </row>
    <row r="362" spans="3:17">
      <c r="C362" s="96" t="s">
        <v>330</v>
      </c>
      <c r="D362" s="24" t="s">
        <v>334</v>
      </c>
      <c r="E362" s="83">
        <f ca="1">SUM(F362:Q362)</f>
        <v>6229055</v>
      </c>
      <c r="F362" s="83">
        <f ca="1">+Summary!G211</f>
        <v>730422</v>
      </c>
      <c r="G362" s="83">
        <f ca="1">+Summary!H211</f>
        <v>669740</v>
      </c>
      <c r="H362" s="83">
        <f ca="1">+Summary!I211</f>
        <v>629628</v>
      </c>
      <c r="I362" s="83">
        <f ca="1">+Summary!J211</f>
        <v>605535</v>
      </c>
      <c r="J362" s="83">
        <f ca="1">+Summary!K211</f>
        <v>256249</v>
      </c>
      <c r="K362" s="83">
        <f ca="1">+Summary!L211</f>
        <v>633436</v>
      </c>
      <c r="L362" s="83">
        <f ca="1">+Summary!M211</f>
        <v>621506</v>
      </c>
      <c r="M362" s="83">
        <f ca="1">+Summary!N211</f>
        <v>595503</v>
      </c>
      <c r="N362" s="83">
        <f ca="1">+Summary!O211</f>
        <v>546205</v>
      </c>
      <c r="O362" s="83">
        <f ca="1">+Summary!P211</f>
        <v>469975</v>
      </c>
      <c r="P362" s="83">
        <f ca="1">+Summary!Q211</f>
        <v>470856</v>
      </c>
      <c r="Q362" s="83">
        <f ca="1">+Summary!R211</f>
        <v>0</v>
      </c>
    </row>
    <row r="363" spans="3:17">
      <c r="E363" s="83">
        <f t="shared" ref="E363:F363" ca="1" si="459">+E360-E362</f>
        <v>-3316527.5100000072</v>
      </c>
      <c r="F363" s="83">
        <f t="shared" ca="1" si="459"/>
        <v>-0.10000000055879354</v>
      </c>
      <c r="G363" s="83">
        <f t="shared" ref="G363:H363" ca="1" si="460">+G360-G362</f>
        <v>-1.6300000003539026</v>
      </c>
      <c r="H363" s="83">
        <f t="shared" ca="1" si="460"/>
        <v>-0.54000000050291419</v>
      </c>
      <c r="I363" s="83">
        <f t="shared" ref="I363" ca="1" si="461">+I360-I362</f>
        <v>0.98999999964144081</v>
      </c>
      <c r="J363" s="83">
        <f t="shared" ref="J363" ca="1" si="462">+J360-J362</f>
        <v>20954.770000000135</v>
      </c>
      <c r="K363" s="83">
        <f t="shared" ref="K363" ca="1" si="463">+K360-K362</f>
        <v>1.1599999996833503</v>
      </c>
      <c r="L363" s="83">
        <f t="shared" ref="L363" ca="1" si="464">+L360-L362</f>
        <v>1.4299999992363155</v>
      </c>
      <c r="M363" s="83">
        <f t="shared" ref="M363" ca="1" si="465">+M360-M362</f>
        <v>-1.2200000005541369</v>
      </c>
      <c r="N363" s="83">
        <f t="shared" ref="N363" ca="1" si="466">+N360-N362</f>
        <v>-1.5200000000186265</v>
      </c>
      <c r="O363" s="83">
        <f t="shared" ref="O363" ca="1" si="467">+O360-O362</f>
        <v>-1.0400000002700835</v>
      </c>
      <c r="P363" s="83">
        <f t="shared" ref="P363" ca="1" si="468">+P360-P362</f>
        <v>-3337479.8100000028</v>
      </c>
      <c r="Q363" s="83">
        <f t="shared" ref="Q363" ca="1" si="469">+Q360-Q362</f>
        <v>0</v>
      </c>
    </row>
    <row r="366" spans="3:17" s="96" customFormat="1">
      <c r="D366" s="96" t="s">
        <v>336</v>
      </c>
      <c r="E366" s="84">
        <f ca="1">+E360+E341+E322+E303+E284+E264+E245+E226+E207+E188+E169+E150+E131+E112+E93+E74+E55+E35+E16</f>
        <v>83445713.649999991</v>
      </c>
      <c r="F366" s="84">
        <f ca="1">+F360+F341+F322+F303+F284+F264+F245+F226+F207+F188+F169+F150+F131+F112+F93+F74+F55+F35+F16</f>
        <v>8253542.4000000013</v>
      </c>
      <c r="G366" s="84">
        <f t="shared" ref="F366:Q368" ca="1" si="470">+G360+G341+G322+G303+G284+G264+G245+G226+G207+G188+G169+G150+G131+G112+G93+G74+G55+G35+G16</f>
        <v>8120271.9900000012</v>
      </c>
      <c r="H366" s="84">
        <f t="shared" ca="1" si="470"/>
        <v>8043213.419999999</v>
      </c>
      <c r="I366" s="84">
        <f t="shared" ca="1" si="470"/>
        <v>7648139.1900000004</v>
      </c>
      <c r="J366" s="84">
        <f t="shared" ca="1" si="470"/>
        <v>6459729.080000001</v>
      </c>
      <c r="K366" s="84">
        <f t="shared" ca="1" si="470"/>
        <v>7812487.3999999994</v>
      </c>
      <c r="L366" s="84">
        <f t="shared" ca="1" si="470"/>
        <v>7965116.4100000001</v>
      </c>
      <c r="M366" s="84">
        <f t="shared" ca="1" si="470"/>
        <v>8441281.5499999989</v>
      </c>
      <c r="N366" s="84">
        <f t="shared" ca="1" si="470"/>
        <v>7875532.0700000012</v>
      </c>
      <c r="O366" s="84">
        <f t="shared" ca="1" si="470"/>
        <v>7739877.629999998</v>
      </c>
      <c r="P366" s="84">
        <f t="shared" ca="1" si="470"/>
        <v>-1814115.4200000032</v>
      </c>
      <c r="Q366" s="84">
        <f t="shared" ca="1" si="470"/>
        <v>6900887.9299999997</v>
      </c>
    </row>
    <row r="368" spans="3:17">
      <c r="D368" s="96" t="s">
        <v>337</v>
      </c>
      <c r="E368" s="84">
        <f ca="1">+E362+E343+E324+E305+E286+E266+E247+E228+E209+E190+E171+E152+E133+E114+E95+E76+E57+E37+E18</f>
        <v>92524028.920000002</v>
      </c>
      <c r="F368" s="84">
        <f t="shared" ca="1" si="470"/>
        <v>8253543.9199999999</v>
      </c>
      <c r="G368" s="84">
        <f t="shared" ca="1" si="470"/>
        <v>8120274</v>
      </c>
      <c r="H368" s="84">
        <f t="shared" ca="1" si="470"/>
        <v>8043207</v>
      </c>
      <c r="I368" s="84">
        <f t="shared" ca="1" si="470"/>
        <v>7648133</v>
      </c>
      <c r="J368" s="84">
        <f t="shared" ca="1" si="470"/>
        <v>5992267</v>
      </c>
      <c r="K368" s="84">
        <f t="shared" ca="1" si="470"/>
        <v>7812483</v>
      </c>
      <c r="L368" s="84">
        <f t="shared" ca="1" si="470"/>
        <v>7965125</v>
      </c>
      <c r="M368" s="84">
        <f t="shared" ca="1" si="470"/>
        <v>8441284</v>
      </c>
      <c r="N368" s="84">
        <f t="shared" ca="1" si="470"/>
        <v>7875527</v>
      </c>
      <c r="O368" s="84">
        <f t="shared" ca="1" si="470"/>
        <v>7739878</v>
      </c>
      <c r="P368" s="84">
        <f t="shared" ca="1" si="470"/>
        <v>7731415</v>
      </c>
      <c r="Q368" s="84">
        <f t="shared" ca="1" si="470"/>
        <v>6900892</v>
      </c>
    </row>
    <row r="369" spans="4:17">
      <c r="D369" s="96" t="s">
        <v>29</v>
      </c>
      <c r="E369" s="83">
        <f ca="1">+E366-E368</f>
        <v>-9078315.2700000107</v>
      </c>
      <c r="F369" s="83">
        <f t="shared" ref="F369:O369" ca="1" si="471">+F366-F368</f>
        <v>-1.5199999986216426</v>
      </c>
      <c r="G369" s="83">
        <f t="shared" ca="1" si="471"/>
        <v>-2.00999999884516</v>
      </c>
      <c r="H369" s="83">
        <f t="shared" ca="1" si="471"/>
        <v>6.4199999989941716</v>
      </c>
      <c r="I369" s="83">
        <f t="shared" ca="1" si="471"/>
        <v>6.1900000004097819</v>
      </c>
      <c r="J369" s="83">
        <f t="shared" ca="1" si="471"/>
        <v>467462.08000000101</v>
      </c>
      <c r="K369" s="83">
        <f t="shared" ca="1" si="471"/>
        <v>4.3999999994412065</v>
      </c>
      <c r="L369" s="83">
        <f t="shared" ca="1" si="471"/>
        <v>-8.5899999998509884</v>
      </c>
      <c r="M369" s="83">
        <f t="shared" ca="1" si="471"/>
        <v>-2.4500000011175871</v>
      </c>
      <c r="N369" s="83">
        <f t="shared" ca="1" si="471"/>
        <v>5.0700000012293458</v>
      </c>
      <c r="O369" s="83">
        <f t="shared" ca="1" si="471"/>
        <v>-0.37000000197440386</v>
      </c>
      <c r="P369" s="83">
        <f ca="1">+P366-P368</f>
        <v>-9545530.4200000037</v>
      </c>
      <c r="Q369" s="83">
        <f ca="1">+Q366-Q368</f>
        <v>-4.0700000002980232</v>
      </c>
    </row>
    <row r="370" spans="4:17">
      <c r="F370" s="103"/>
      <c r="G370" s="101"/>
      <c r="H370" s="101"/>
    </row>
    <row r="372" spans="4:17">
      <c r="D372" s="96"/>
      <c r="E372" s="84"/>
    </row>
    <row r="388" spans="4:17">
      <c r="F388" s="83"/>
      <c r="G388" s="83"/>
      <c r="H388" s="83"/>
      <c r="I388" s="83"/>
      <c r="J388" s="96"/>
      <c r="K388" s="83"/>
      <c r="L388" s="83"/>
      <c r="M388" s="83"/>
      <c r="N388" s="83"/>
      <c r="O388" s="83"/>
      <c r="P388" s="83"/>
      <c r="Q388" s="83"/>
    </row>
    <row r="389" spans="4:17">
      <c r="E389" s="96" t="s">
        <v>257</v>
      </c>
      <c r="F389" s="96" t="s">
        <v>254</v>
      </c>
      <c r="J389" s="88"/>
    </row>
    <row r="390" spans="4:17">
      <c r="D390" s="102" t="s">
        <v>294</v>
      </c>
      <c r="E390" s="89">
        <f t="shared" ref="E390:E402" ca="1" si="472">SUMIFS(INDIRECT("'"&amp;$D390&amp;"'"&amp;"!$b:$b"),INDIRECT("'"&amp;$D390&amp;"'"&amp;"!$a:$a"),$E$389)</f>
        <v>0</v>
      </c>
      <c r="F390" s="89">
        <f t="shared" ref="F390:F402" ca="1" si="473">SUMIFS(INDIRECT("'"&amp;$D390&amp;"'"&amp;"!$b:$b"),INDIRECT("'"&amp;$D390&amp;"'"&amp;"!$a:$a"),$F$389)</f>
        <v>53.64</v>
      </c>
      <c r="J390" s="100"/>
    </row>
    <row r="391" spans="4:17">
      <c r="D391" s="102" t="s">
        <v>296</v>
      </c>
      <c r="E391" s="89">
        <f t="shared" ca="1" si="472"/>
        <v>492.1</v>
      </c>
      <c r="F391" s="89">
        <f t="shared" ca="1" si="473"/>
        <v>0</v>
      </c>
      <c r="J391" s="100"/>
    </row>
    <row r="392" spans="4:17">
      <c r="D392" s="102" t="s">
        <v>297</v>
      </c>
      <c r="E392" s="89">
        <f t="shared" ca="1" si="472"/>
        <v>882.79</v>
      </c>
      <c r="F392" s="89">
        <f t="shared" ca="1" si="473"/>
        <v>165.11</v>
      </c>
    </row>
    <row r="393" spans="4:17">
      <c r="D393" s="102" t="s">
        <v>298</v>
      </c>
      <c r="E393" s="89">
        <f t="shared" ca="1" si="472"/>
        <v>0</v>
      </c>
      <c r="F393" s="89">
        <f t="shared" ca="1" si="473"/>
        <v>20.93</v>
      </c>
    </row>
    <row r="394" spans="4:17">
      <c r="D394" s="102" t="s">
        <v>299</v>
      </c>
      <c r="E394" s="89">
        <f t="shared" ca="1" si="472"/>
        <v>0</v>
      </c>
      <c r="F394" s="89">
        <f t="shared" ca="1" si="473"/>
        <v>24.66</v>
      </c>
    </row>
    <row r="395" spans="4:17">
      <c r="D395" s="102" t="s">
        <v>293</v>
      </c>
      <c r="E395" s="89">
        <f t="shared" ca="1" si="472"/>
        <v>0</v>
      </c>
      <c r="F395" s="89">
        <f t="shared" ca="1" si="473"/>
        <v>232.13</v>
      </c>
    </row>
    <row r="396" spans="4:17">
      <c r="D396" s="102" t="s">
        <v>300</v>
      </c>
      <c r="E396" s="89">
        <f t="shared" ca="1" si="472"/>
        <v>68.5</v>
      </c>
      <c r="F396" s="89">
        <f t="shared" ca="1" si="473"/>
        <v>72.19</v>
      </c>
    </row>
    <row r="397" spans="4:17">
      <c r="D397" s="102" t="s">
        <v>301</v>
      </c>
      <c r="E397" s="89">
        <f t="shared" ca="1" si="472"/>
        <v>27.78</v>
      </c>
      <c r="F397" s="89">
        <f t="shared" ca="1" si="473"/>
        <v>16.399999999999999</v>
      </c>
    </row>
    <row r="398" spans="4:17">
      <c r="D398" s="102" t="s">
        <v>302</v>
      </c>
      <c r="E398" s="89">
        <f t="shared" ca="1" si="472"/>
        <v>277.56</v>
      </c>
      <c r="F398" s="89">
        <f t="shared" ca="1" si="473"/>
        <v>48.59</v>
      </c>
    </row>
    <row r="399" spans="4:17">
      <c r="D399" s="102" t="s">
        <v>303</v>
      </c>
      <c r="E399" s="89">
        <f t="shared" ca="1" si="472"/>
        <v>0</v>
      </c>
      <c r="F399" s="89">
        <f t="shared" ca="1" si="473"/>
        <v>0</v>
      </c>
    </row>
    <row r="400" spans="4:17">
      <c r="D400" s="102" t="s">
        <v>304</v>
      </c>
      <c r="E400" s="89">
        <f t="shared" ca="1" si="472"/>
        <v>0</v>
      </c>
      <c r="F400" s="89">
        <f t="shared" ca="1" si="473"/>
        <v>0</v>
      </c>
    </row>
    <row r="401" spans="4:6">
      <c r="D401" s="102" t="s">
        <v>305</v>
      </c>
      <c r="E401" s="89">
        <f t="shared" ca="1" si="472"/>
        <v>0</v>
      </c>
      <c r="F401" s="89">
        <f t="shared" ca="1" si="473"/>
        <v>30</v>
      </c>
    </row>
    <row r="402" spans="4:6">
      <c r="D402" s="102" t="s">
        <v>306</v>
      </c>
      <c r="E402" s="89">
        <f t="shared" ca="1" si="472"/>
        <v>0</v>
      </c>
      <c r="F402" s="89">
        <f t="shared" ca="1" si="473"/>
        <v>1.38</v>
      </c>
    </row>
    <row r="403" spans="4:6">
      <c r="D403" s="102" t="s">
        <v>307</v>
      </c>
      <c r="E403" s="89"/>
    </row>
    <row r="404" spans="4:6">
      <c r="D404" s="102" t="s">
        <v>308</v>
      </c>
      <c r="E404" s="89"/>
    </row>
    <row r="405" spans="4:6">
      <c r="D405" s="102" t="s">
        <v>309</v>
      </c>
      <c r="E405" s="89"/>
    </row>
    <row r="406" spans="4:6">
      <c r="D406" s="102" t="s">
        <v>310</v>
      </c>
      <c r="E406" s="89"/>
    </row>
    <row r="407" spans="4:6">
      <c r="D407" s="102" t="s">
        <v>311</v>
      </c>
      <c r="E407" s="89"/>
    </row>
    <row r="408" spans="4:6">
      <c r="D408" s="102" t="s">
        <v>312</v>
      </c>
      <c r="E408" s="89"/>
    </row>
    <row r="409" spans="4:6">
      <c r="E409" s="84">
        <f ca="1">SUM(E390:E408)</f>
        <v>1748.7299999999998</v>
      </c>
      <c r="F409" s="84">
        <f ca="1">SUM(F390:F408)</f>
        <v>665.03000000000009</v>
      </c>
    </row>
    <row r="411" spans="4:6">
      <c r="D411" s="88" t="s">
        <v>335</v>
      </c>
      <c r="E411" s="84">
        <f ca="1">+E409+F409</f>
        <v>2413.7599999999998</v>
      </c>
    </row>
  </sheetData>
  <pageMargins left="0.7" right="0.7" top="0.75" bottom="0.75" header="0.3" footer="0.3"/>
  <pageSetup orientation="portrait" r:id="rId1"/>
  <customProperties>
    <customPr name="EpmWorksheetKeyString_GUID" r:id="rId2"/>
  </customProperties>
  <drawing r:id="rId3"/>
  <legacyDrawing r:id="rId4"/>
  <controls>
    <mc:AlternateContent xmlns:mc="http://schemas.openxmlformats.org/markup-compatibility/2006">
      <mc:Choice Requires="x14">
        <control shapeId="4097" r:id="rId5" name="FPMExcelClientSheetOptionstb1">
          <controlPr defaultSize="0" autoLine="0" autoPict="0" r:id="rId6">
            <anchor moveWithCells="1" sizeWithCells="1">
              <from>
                <xdr:col>0</xdr:col>
                <xdr:colOff>0</xdr:colOff>
                <xdr:row>0</xdr:row>
                <xdr:rowOff>0</xdr:rowOff>
              </from>
              <to>
                <xdr:col>2</xdr:col>
                <xdr:colOff>76200</xdr:colOff>
                <xdr:row>0</xdr:row>
                <xdr:rowOff>0</xdr:rowOff>
              </to>
            </anchor>
          </controlPr>
        </control>
      </mc:Choice>
      <mc:Fallback>
        <control shapeId="4097" r:id="rId5" name="FPMExcelClientSheetOptionstb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5">
    <pageSetUpPr fitToPage="1"/>
  </sheetPr>
  <dimension ref="A1:N427"/>
  <sheetViews>
    <sheetView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B395</f>
        <v>18517</v>
      </c>
      <c r="C4" s="110">
        <f t="shared" si="0"/>
        <v>18081</v>
      </c>
      <c r="D4" s="110">
        <f t="shared" si="0"/>
        <v>19011</v>
      </c>
      <c r="E4" s="110">
        <f t="shared" si="0"/>
        <v>18448</v>
      </c>
      <c r="F4" s="110">
        <f t="shared" si="0"/>
        <v>18815</v>
      </c>
      <c r="G4" s="110">
        <f t="shared" si="0"/>
        <v>18029</v>
      </c>
      <c r="H4" s="110">
        <f t="shared" si="0"/>
        <v>16624</v>
      </c>
      <c r="I4" s="110">
        <f t="shared" si="0"/>
        <v>18588</v>
      </c>
      <c r="J4" s="110">
        <f t="shared" si="0"/>
        <v>18354</v>
      </c>
      <c r="K4" s="110">
        <f t="shared" si="0"/>
        <v>18678</v>
      </c>
      <c r="L4" s="110">
        <f t="shared" si="0"/>
        <v>3333</v>
      </c>
      <c r="M4" s="110">
        <f t="shared" si="0"/>
        <v>6791</v>
      </c>
      <c r="N4" s="110">
        <v>193269</v>
      </c>
    </row>
    <row r="5" spans="1:14">
      <c r="A5" s="64" t="s">
        <v>35</v>
      </c>
      <c r="B5" s="107">
        <f t="shared" ref="B5:M5" si="1">B400</f>
        <v>1338</v>
      </c>
      <c r="C5" s="107">
        <f t="shared" si="1"/>
        <v>1253</v>
      </c>
      <c r="D5" s="107">
        <f t="shared" si="1"/>
        <v>1160</v>
      </c>
      <c r="E5" s="107">
        <f t="shared" si="1"/>
        <v>1219</v>
      </c>
      <c r="F5" s="107">
        <f t="shared" si="1"/>
        <v>1413</v>
      </c>
      <c r="G5" s="107">
        <f t="shared" si="1"/>
        <v>1257</v>
      </c>
      <c r="H5" s="107">
        <f t="shared" si="1"/>
        <v>1208</v>
      </c>
      <c r="I5" s="107">
        <f t="shared" si="1"/>
        <v>1739</v>
      </c>
      <c r="J5" s="107">
        <f t="shared" si="1"/>
        <v>1858</v>
      </c>
      <c r="K5" s="107">
        <f t="shared" si="1"/>
        <v>2032</v>
      </c>
      <c r="L5" s="107">
        <f t="shared" si="1"/>
        <v>-194</v>
      </c>
      <c r="M5" s="107">
        <f t="shared" si="1"/>
        <v>846</v>
      </c>
      <c r="N5" s="107">
        <v>15129</v>
      </c>
    </row>
    <row r="6" spans="1:14">
      <c r="A6" s="64" t="s">
        <v>36</v>
      </c>
      <c r="B6" s="107">
        <f t="shared" ref="B6:M6" si="2">B405</f>
        <v>3761</v>
      </c>
      <c r="C6" s="107">
        <f t="shared" si="2"/>
        <v>3565</v>
      </c>
      <c r="D6" s="107">
        <f t="shared" si="2"/>
        <v>3714</v>
      </c>
      <c r="E6" s="107">
        <f t="shared" si="2"/>
        <v>3067</v>
      </c>
      <c r="F6" s="107">
        <f t="shared" si="2"/>
        <v>3554</v>
      </c>
      <c r="G6" s="107">
        <f t="shared" si="2"/>
        <v>4537</v>
      </c>
      <c r="H6" s="107">
        <f t="shared" si="2"/>
        <v>4076</v>
      </c>
      <c r="I6" s="107">
        <f t="shared" si="2"/>
        <v>3507</v>
      </c>
      <c r="J6" s="107">
        <f t="shared" si="2"/>
        <v>3427</v>
      </c>
      <c r="K6" s="107">
        <f t="shared" si="2"/>
        <v>3212</v>
      </c>
      <c r="L6" s="107">
        <f t="shared" si="2"/>
        <v>122</v>
      </c>
      <c r="M6" s="107">
        <f t="shared" si="2"/>
        <v>2574</v>
      </c>
      <c r="N6" s="107">
        <v>39116</v>
      </c>
    </row>
    <row r="7" spans="1:14">
      <c r="A7" s="64" t="s">
        <v>37</v>
      </c>
      <c r="B7" s="107">
        <f t="shared" ref="B7:M7" si="3">B413</f>
        <v>4935</v>
      </c>
      <c r="C7" s="107">
        <f t="shared" si="3"/>
        <v>4607</v>
      </c>
      <c r="D7" s="107">
        <f t="shared" si="3"/>
        <v>4844</v>
      </c>
      <c r="E7" s="107">
        <f t="shared" si="3"/>
        <v>4970</v>
      </c>
      <c r="F7" s="107">
        <f t="shared" si="3"/>
        <v>4903</v>
      </c>
      <c r="G7" s="107">
        <f t="shared" si="3"/>
        <v>5406</v>
      </c>
      <c r="H7" s="107">
        <f t="shared" si="3"/>
        <v>5970</v>
      </c>
      <c r="I7" s="107">
        <f t="shared" si="3"/>
        <v>5490</v>
      </c>
      <c r="J7" s="107">
        <f t="shared" si="3"/>
        <v>4940</v>
      </c>
      <c r="K7" s="107">
        <f t="shared" si="3"/>
        <v>4940</v>
      </c>
      <c r="L7" s="107">
        <f t="shared" si="3"/>
        <v>1404</v>
      </c>
      <c r="M7" s="107">
        <f t="shared" si="3"/>
        <v>3766</v>
      </c>
      <c r="N7" s="107">
        <v>56175</v>
      </c>
    </row>
    <row r="8" spans="1:14">
      <c r="A8" s="64" t="s">
        <v>38</v>
      </c>
      <c r="B8" s="111">
        <f t="shared" ref="B8:M8" si="4">B418</f>
        <v>8664</v>
      </c>
      <c r="C8" s="111">
        <f t="shared" si="4"/>
        <v>8376</v>
      </c>
      <c r="D8" s="111">
        <f t="shared" si="4"/>
        <v>8425</v>
      </c>
      <c r="E8" s="111">
        <f t="shared" si="4"/>
        <v>8881</v>
      </c>
      <c r="F8" s="111">
        <f t="shared" si="4"/>
        <v>9210</v>
      </c>
      <c r="G8" s="111">
        <f t="shared" si="4"/>
        <v>9006</v>
      </c>
      <c r="H8" s="111">
        <f t="shared" si="4"/>
        <v>7988</v>
      </c>
      <c r="I8" s="111">
        <f t="shared" si="4"/>
        <v>8930</v>
      </c>
      <c r="J8" s="111">
        <f t="shared" si="4"/>
        <v>8791</v>
      </c>
      <c r="K8" s="111">
        <f t="shared" si="4"/>
        <v>9651</v>
      </c>
      <c r="L8" s="111">
        <f t="shared" si="4"/>
        <v>6991</v>
      </c>
      <c r="M8" s="111">
        <f t="shared" si="4"/>
        <v>7055</v>
      </c>
      <c r="N8" s="111">
        <v>101968</v>
      </c>
    </row>
    <row r="9" spans="1:14" ht="15.75" thickBot="1">
      <c r="A9" s="64" t="s">
        <v>39</v>
      </c>
      <c r="B9" s="112">
        <f t="shared" ref="B9:M9" si="5">B426</f>
        <v>37215</v>
      </c>
      <c r="C9" s="112">
        <f t="shared" si="5"/>
        <v>35882</v>
      </c>
      <c r="D9" s="112">
        <f t="shared" si="5"/>
        <v>37154</v>
      </c>
      <c r="E9" s="112">
        <f t="shared" si="5"/>
        <v>36585</v>
      </c>
      <c r="F9" s="112">
        <f t="shared" si="5"/>
        <v>37895</v>
      </c>
      <c r="G9" s="112">
        <f t="shared" si="5"/>
        <v>38235</v>
      </c>
      <c r="H9" s="112">
        <f t="shared" si="5"/>
        <v>35866</v>
      </c>
      <c r="I9" s="112">
        <f t="shared" si="5"/>
        <v>38254</v>
      </c>
      <c r="J9" s="112">
        <f t="shared" si="5"/>
        <v>37370</v>
      </c>
      <c r="K9" s="112">
        <f t="shared" si="5"/>
        <v>38513</v>
      </c>
      <c r="L9" s="112">
        <f t="shared" si="5"/>
        <v>11656</v>
      </c>
      <c r="M9" s="112">
        <f t="shared" si="5"/>
        <v>21032</v>
      </c>
      <c r="N9" s="112">
        <v>405657</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B70</f>
        <v>3353149.35</v>
      </c>
      <c r="C14" s="107">
        <f t="shared" si="6"/>
        <v>3273742.81</v>
      </c>
      <c r="D14" s="107">
        <f t="shared" si="6"/>
        <v>3389796.38</v>
      </c>
      <c r="E14" s="107">
        <f t="shared" si="6"/>
        <v>3261345.24</v>
      </c>
      <c r="F14" s="107">
        <f t="shared" si="6"/>
        <v>3289131.28</v>
      </c>
      <c r="G14" s="107">
        <f t="shared" si="6"/>
        <v>3189346.29</v>
      </c>
      <c r="H14" s="107">
        <f t="shared" si="6"/>
        <v>2958579.6</v>
      </c>
      <c r="I14" s="107">
        <f t="shared" si="6"/>
        <v>3312181.47</v>
      </c>
      <c r="J14" s="107">
        <f t="shared" si="6"/>
        <v>3302276.56</v>
      </c>
      <c r="K14" s="107">
        <f t="shared" si="6"/>
        <v>3387528.09</v>
      </c>
      <c r="L14" s="107">
        <f t="shared" si="6"/>
        <v>-679342.64</v>
      </c>
      <c r="M14" s="107">
        <f t="shared" si="6"/>
        <v>2767585.02</v>
      </c>
      <c r="N14" s="107">
        <v>34805319.450000003</v>
      </c>
    </row>
    <row r="15" spans="1:14">
      <c r="A15" s="64" t="s">
        <v>35</v>
      </c>
      <c r="B15" s="107">
        <f t="shared" ref="B15:M15" si="7">B74</f>
        <v>233025.91</v>
      </c>
      <c r="C15" s="107">
        <f t="shared" si="7"/>
        <v>224360.39</v>
      </c>
      <c r="D15" s="107">
        <f t="shared" si="7"/>
        <v>206566.11</v>
      </c>
      <c r="E15" s="107">
        <f t="shared" si="7"/>
        <v>211078.48</v>
      </c>
      <c r="F15" s="107">
        <f t="shared" si="7"/>
        <v>249654.79</v>
      </c>
      <c r="G15" s="107">
        <f t="shared" si="7"/>
        <v>230283.29</v>
      </c>
      <c r="H15" s="107">
        <f t="shared" si="7"/>
        <v>206128.37</v>
      </c>
      <c r="I15" s="107">
        <f t="shared" si="7"/>
        <v>291749.83</v>
      </c>
      <c r="J15" s="107">
        <f t="shared" si="7"/>
        <v>330063.49</v>
      </c>
      <c r="K15" s="107">
        <f t="shared" si="7"/>
        <v>360456.51</v>
      </c>
      <c r="L15" s="107">
        <f t="shared" si="7"/>
        <v>-110317.32</v>
      </c>
      <c r="M15" s="107">
        <f t="shared" si="7"/>
        <v>209508.16</v>
      </c>
      <c r="N15" s="107">
        <v>2642558.0099999998</v>
      </c>
    </row>
    <row r="16" spans="1:14">
      <c r="A16" s="64" t="s">
        <v>36</v>
      </c>
      <c r="B16" s="107">
        <f t="shared" ref="B16:M16" si="8">B78</f>
        <v>2398523.08</v>
      </c>
      <c r="C16" s="107">
        <f t="shared" si="8"/>
        <v>2269817.91</v>
      </c>
      <c r="D16" s="107">
        <f t="shared" si="8"/>
        <v>2371134.64</v>
      </c>
      <c r="E16" s="107">
        <f t="shared" si="8"/>
        <v>1907143.44</v>
      </c>
      <c r="F16" s="107">
        <f t="shared" si="8"/>
        <v>2254966.6</v>
      </c>
      <c r="G16" s="107">
        <f t="shared" si="8"/>
        <v>3022603.01</v>
      </c>
      <c r="H16" s="107">
        <f t="shared" si="8"/>
        <v>2599638.5499999998</v>
      </c>
      <c r="I16" s="107">
        <f t="shared" si="8"/>
        <v>2231899.63</v>
      </c>
      <c r="J16" s="107">
        <f t="shared" si="8"/>
        <v>2177349.04</v>
      </c>
      <c r="K16" s="107">
        <f t="shared" si="8"/>
        <v>2047776.15</v>
      </c>
      <c r="L16" s="107">
        <f t="shared" si="8"/>
        <v>-563463.46</v>
      </c>
      <c r="M16" s="107">
        <f t="shared" si="8"/>
        <v>2247763.2799999998</v>
      </c>
      <c r="N16" s="107">
        <v>24965151.870000001</v>
      </c>
    </row>
    <row r="17" spans="1:14">
      <c r="A17" s="64" t="s">
        <v>37</v>
      </c>
      <c r="B17" s="107">
        <f t="shared" ref="B17:M17" si="9">B85</f>
        <v>1922283.62</v>
      </c>
      <c r="C17" s="107">
        <f t="shared" si="9"/>
        <v>1830340.65</v>
      </c>
      <c r="D17" s="107">
        <f t="shared" si="9"/>
        <v>1962309.28</v>
      </c>
      <c r="E17" s="107">
        <f t="shared" si="9"/>
        <v>2010539.34</v>
      </c>
      <c r="F17" s="107">
        <f t="shared" si="9"/>
        <v>1978837.74</v>
      </c>
      <c r="G17" s="107">
        <f t="shared" si="9"/>
        <v>2152925.5099999998</v>
      </c>
      <c r="H17" s="107">
        <f t="shared" si="9"/>
        <v>2433072.27</v>
      </c>
      <c r="I17" s="107">
        <f t="shared" si="9"/>
        <v>2297020.9300000002</v>
      </c>
      <c r="J17" s="107">
        <f t="shared" si="9"/>
        <v>2041631.15</v>
      </c>
      <c r="K17" s="107">
        <f t="shared" si="9"/>
        <v>2133207.04</v>
      </c>
      <c r="L17" s="107">
        <f t="shared" si="9"/>
        <v>367636.69</v>
      </c>
      <c r="M17" s="107">
        <f t="shared" si="9"/>
        <v>2230162.29</v>
      </c>
      <c r="N17" s="107">
        <v>23359966.510000002</v>
      </c>
    </row>
    <row r="18" spans="1:14">
      <c r="A18" s="64" t="s">
        <v>38</v>
      </c>
      <c r="B18" s="111">
        <f t="shared" ref="B18:M18" si="10">B89</f>
        <v>915780.71</v>
      </c>
      <c r="C18" s="111">
        <f t="shared" si="10"/>
        <v>914571.44</v>
      </c>
      <c r="D18" s="111">
        <f t="shared" si="10"/>
        <v>1020925.73</v>
      </c>
      <c r="E18" s="111">
        <f t="shared" si="10"/>
        <v>988354.05</v>
      </c>
      <c r="F18" s="111">
        <f t="shared" si="10"/>
        <v>1008806.33</v>
      </c>
      <c r="G18" s="111">
        <f t="shared" si="10"/>
        <v>980507.78</v>
      </c>
      <c r="H18" s="111">
        <f t="shared" si="10"/>
        <v>917630.19</v>
      </c>
      <c r="I18" s="111">
        <f t="shared" si="10"/>
        <v>969759.51</v>
      </c>
      <c r="J18" s="111">
        <f t="shared" si="10"/>
        <v>980873.41</v>
      </c>
      <c r="K18" s="111">
        <f t="shared" si="10"/>
        <v>1094366.54</v>
      </c>
      <c r="L18" s="111">
        <f t="shared" si="10"/>
        <v>168509.49</v>
      </c>
      <c r="M18" s="111">
        <f t="shared" si="10"/>
        <v>922086.21</v>
      </c>
      <c r="N18" s="111">
        <v>10882171.390000001</v>
      </c>
    </row>
    <row r="19" spans="1:14">
      <c r="A19" s="64" t="s">
        <v>42</v>
      </c>
      <c r="B19" s="107">
        <f t="shared" ref="B19:M19" si="11">B91</f>
        <v>8822762.6700000018</v>
      </c>
      <c r="C19" s="107">
        <f t="shared" si="11"/>
        <v>8512833.1999999974</v>
      </c>
      <c r="D19" s="107">
        <f t="shared" si="11"/>
        <v>8950732.1400000025</v>
      </c>
      <c r="E19" s="107">
        <f t="shared" si="11"/>
        <v>8378460.5500000017</v>
      </c>
      <c r="F19" s="107">
        <f t="shared" si="11"/>
        <v>8781396.7400000021</v>
      </c>
      <c r="G19" s="107">
        <f t="shared" si="11"/>
        <v>9575665.8800000045</v>
      </c>
      <c r="H19" s="107">
        <f t="shared" si="11"/>
        <v>9115048.9800000023</v>
      </c>
      <c r="I19" s="107">
        <f t="shared" si="11"/>
        <v>9102611.3700000029</v>
      </c>
      <c r="J19" s="107">
        <f t="shared" si="11"/>
        <v>8832193.6500000004</v>
      </c>
      <c r="K19" s="107">
        <f t="shared" si="11"/>
        <v>9023334.3299999982</v>
      </c>
      <c r="L19" s="107">
        <f t="shared" si="11"/>
        <v>-816977.24</v>
      </c>
      <c r="M19" s="107">
        <f t="shared" si="11"/>
        <v>8377104.9600000018</v>
      </c>
      <c r="N19" s="107">
        <v>96655167.230000004</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M22" si="12">B97</f>
        <v>242.31</v>
      </c>
      <c r="C22" s="107">
        <f t="shared" si="12"/>
        <v>-85850.15</v>
      </c>
      <c r="D22" s="107">
        <f t="shared" si="12"/>
        <v>46788.49</v>
      </c>
      <c r="E22" s="107">
        <f t="shared" si="12"/>
        <v>-68272.789999999994</v>
      </c>
      <c r="F22" s="107">
        <f t="shared" si="12"/>
        <v>13512.44</v>
      </c>
      <c r="G22" s="107">
        <f t="shared" si="12"/>
        <v>47677.46</v>
      </c>
      <c r="H22" s="107">
        <f t="shared" si="12"/>
        <v>-144114.81</v>
      </c>
      <c r="I22" s="107">
        <f t="shared" si="12"/>
        <v>-21793.72</v>
      </c>
      <c r="J22" s="107">
        <f t="shared" si="12"/>
        <v>91809.78</v>
      </c>
      <c r="K22" s="107">
        <f t="shared" si="12"/>
        <v>-22156.19</v>
      </c>
      <c r="L22" s="107">
        <f t="shared" si="12"/>
        <v>-42614.28</v>
      </c>
      <c r="M22" s="107">
        <f t="shared" si="12"/>
        <v>68059.56</v>
      </c>
      <c r="N22" s="107">
        <v>-116711.9</v>
      </c>
    </row>
    <row r="23" spans="1:14">
      <c r="A23" s="64" t="s">
        <v>35</v>
      </c>
      <c r="B23" s="107">
        <f t="shared" ref="B23:M23" si="13">B101</f>
        <v>-5746.27</v>
      </c>
      <c r="C23" s="107">
        <f t="shared" si="13"/>
        <v>45755.43</v>
      </c>
      <c r="D23" s="107">
        <f t="shared" si="13"/>
        <v>-24036.53</v>
      </c>
      <c r="E23" s="107">
        <f t="shared" si="13"/>
        <v>6943.45</v>
      </c>
      <c r="F23" s="107">
        <f t="shared" si="13"/>
        <v>13535.1</v>
      </c>
      <c r="G23" s="107">
        <f t="shared" si="13"/>
        <v>37324.78</v>
      </c>
      <c r="H23" s="107">
        <f t="shared" si="13"/>
        <v>-15522.51</v>
      </c>
      <c r="I23" s="107">
        <f t="shared" si="13"/>
        <v>-17088.16</v>
      </c>
      <c r="J23" s="107">
        <f t="shared" si="13"/>
        <v>7675.62</v>
      </c>
      <c r="K23" s="107">
        <f t="shared" si="13"/>
        <v>2078.66</v>
      </c>
      <c r="L23" s="107">
        <f t="shared" si="13"/>
        <v>-11987.38</v>
      </c>
      <c r="M23" s="107">
        <f t="shared" si="13"/>
        <v>-35053.379999999997</v>
      </c>
      <c r="N23" s="107">
        <v>3878.81</v>
      </c>
    </row>
    <row r="24" spans="1:14">
      <c r="A24" s="64" t="s">
        <v>36</v>
      </c>
      <c r="B24" s="107">
        <f t="shared" ref="B24:M24" si="14">B105</f>
        <v>-26284.77</v>
      </c>
      <c r="C24" s="107">
        <f t="shared" si="14"/>
        <v>-69116.09</v>
      </c>
      <c r="D24" s="107">
        <f t="shared" si="14"/>
        <v>-69499.94</v>
      </c>
      <c r="E24" s="107">
        <f t="shared" si="14"/>
        <v>-64713.78</v>
      </c>
      <c r="F24" s="107">
        <f t="shared" si="14"/>
        <v>5675.86</v>
      </c>
      <c r="G24" s="107">
        <f t="shared" si="14"/>
        <v>-5342.56</v>
      </c>
      <c r="H24" s="107">
        <f t="shared" si="14"/>
        <v>-5800.71</v>
      </c>
      <c r="I24" s="107">
        <f t="shared" si="14"/>
        <v>237390.47</v>
      </c>
      <c r="J24" s="107">
        <f t="shared" si="14"/>
        <v>4853.4399999999996</v>
      </c>
      <c r="K24" s="107">
        <f t="shared" si="14"/>
        <v>-275909.59000000003</v>
      </c>
      <c r="L24" s="107">
        <f t="shared" si="14"/>
        <v>8509.74</v>
      </c>
      <c r="M24" s="107">
        <f t="shared" si="14"/>
        <v>12808.3</v>
      </c>
      <c r="N24" s="107">
        <v>-247429.63</v>
      </c>
    </row>
    <row r="25" spans="1:14">
      <c r="A25" s="64" t="s">
        <v>37</v>
      </c>
      <c r="B25" s="107">
        <f t="shared" ref="B25:M25" si="15">B112</f>
        <v>-45849.5</v>
      </c>
      <c r="C25" s="107">
        <f t="shared" si="15"/>
        <v>10424.780000000001</v>
      </c>
      <c r="D25" s="107">
        <f t="shared" si="15"/>
        <v>-50063.38</v>
      </c>
      <c r="E25" s="107">
        <f t="shared" si="15"/>
        <v>122192.74</v>
      </c>
      <c r="F25" s="107">
        <f t="shared" si="15"/>
        <v>4754.3999999999996</v>
      </c>
      <c r="G25" s="107">
        <f t="shared" si="15"/>
        <v>25250.62</v>
      </c>
      <c r="H25" s="107">
        <f t="shared" si="15"/>
        <v>-11438.62</v>
      </c>
      <c r="I25" s="107">
        <f t="shared" si="15"/>
        <v>-118049.37</v>
      </c>
      <c r="J25" s="107">
        <f t="shared" si="15"/>
        <v>9992.01</v>
      </c>
      <c r="K25" s="107">
        <f t="shared" si="15"/>
        <v>214452.79</v>
      </c>
      <c r="L25" s="107">
        <f t="shared" si="15"/>
        <v>62921.09</v>
      </c>
      <c r="M25" s="107">
        <f t="shared" si="15"/>
        <v>20155.599999999999</v>
      </c>
      <c r="N25" s="107">
        <v>244743.16</v>
      </c>
    </row>
    <row r="26" spans="1:14">
      <c r="A26" s="64" t="s">
        <v>38</v>
      </c>
      <c r="B26" s="111">
        <f t="shared" ref="B26:M26" si="16">B116</f>
        <v>29968.31</v>
      </c>
      <c r="C26" s="111">
        <f t="shared" si="16"/>
        <v>70052.210000000006</v>
      </c>
      <c r="D26" s="111">
        <f t="shared" si="16"/>
        <v>2794.32</v>
      </c>
      <c r="E26" s="111">
        <f t="shared" si="16"/>
        <v>52354.58</v>
      </c>
      <c r="F26" s="111">
        <f t="shared" si="16"/>
        <v>7091.13</v>
      </c>
      <c r="G26" s="111">
        <f t="shared" si="16"/>
        <v>-43954.879999999997</v>
      </c>
      <c r="H26" s="111">
        <f t="shared" si="16"/>
        <v>90524.13</v>
      </c>
      <c r="I26" s="111">
        <f t="shared" si="16"/>
        <v>6966.57</v>
      </c>
      <c r="J26" s="111">
        <f t="shared" si="16"/>
        <v>-71585</v>
      </c>
      <c r="K26" s="111">
        <f t="shared" si="16"/>
        <v>47193.52</v>
      </c>
      <c r="L26" s="111">
        <f t="shared" si="16"/>
        <v>22922.23</v>
      </c>
      <c r="M26" s="111">
        <f t="shared" si="16"/>
        <v>-29166.01</v>
      </c>
      <c r="N26" s="111">
        <v>185161.11</v>
      </c>
    </row>
    <row r="27" spans="1:14">
      <c r="A27" s="64" t="s">
        <v>44</v>
      </c>
      <c r="B27" s="107">
        <f t="shared" ref="B27:M27" si="17">B118</f>
        <v>-47669.920000000013</v>
      </c>
      <c r="C27" s="107">
        <f t="shared" si="17"/>
        <v>-28733.82</v>
      </c>
      <c r="D27" s="107">
        <f t="shared" si="17"/>
        <v>-94017.039999999979</v>
      </c>
      <c r="E27" s="107">
        <f t="shared" si="17"/>
        <v>48504.199999999983</v>
      </c>
      <c r="F27" s="107">
        <f t="shared" si="17"/>
        <v>44568.93</v>
      </c>
      <c r="G27" s="107">
        <f t="shared" si="17"/>
        <v>60955.42</v>
      </c>
      <c r="H27" s="107">
        <f t="shared" si="17"/>
        <v>-86352.520000000048</v>
      </c>
      <c r="I27" s="107">
        <f t="shared" si="17"/>
        <v>87425.790000000008</v>
      </c>
      <c r="J27" s="107">
        <f t="shared" si="17"/>
        <v>42745.850000000013</v>
      </c>
      <c r="K27" s="107">
        <f t="shared" si="17"/>
        <v>-34340.809999999947</v>
      </c>
      <c r="L27" s="107">
        <f t="shared" si="17"/>
        <v>39751.399999999994</v>
      </c>
      <c r="M27" s="107">
        <f t="shared" si="17"/>
        <v>36804.070000000014</v>
      </c>
      <c r="N27" s="107">
        <v>69641.55</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f t="shared" ref="B30:M30" si="18">B134</f>
        <v>26963.30000000001</v>
      </c>
      <c r="C30" s="107">
        <f t="shared" si="18"/>
        <v>31065.079999999998</v>
      </c>
      <c r="D30" s="107">
        <f t="shared" si="18"/>
        <v>32118.540000000008</v>
      </c>
      <c r="E30" s="107">
        <f t="shared" si="18"/>
        <v>22629.040000000001</v>
      </c>
      <c r="F30" s="107">
        <f t="shared" si="18"/>
        <v>-10477.559999999998</v>
      </c>
      <c r="G30" s="107">
        <f t="shared" si="18"/>
        <v>16489.490000000005</v>
      </c>
      <c r="H30" s="107">
        <f t="shared" si="18"/>
        <v>45514.1</v>
      </c>
      <c r="I30" s="107">
        <f t="shared" si="18"/>
        <v>22533.96</v>
      </c>
      <c r="J30" s="107">
        <f t="shared" si="18"/>
        <v>19262.089999999997</v>
      </c>
      <c r="K30" s="107">
        <f t="shared" si="18"/>
        <v>20377.380000000005</v>
      </c>
      <c r="L30" s="107">
        <f t="shared" si="18"/>
        <v>-67600</v>
      </c>
      <c r="M30" s="107">
        <f t="shared" si="18"/>
        <v>3613.0399999999972</v>
      </c>
      <c r="N30" s="107">
        <v>162488.46</v>
      </c>
    </row>
    <row r="31" spans="1:14">
      <c r="A31" s="64" t="s">
        <v>36</v>
      </c>
      <c r="B31" s="107"/>
      <c r="C31" s="107"/>
      <c r="D31" s="107"/>
      <c r="E31" s="107"/>
      <c r="F31" s="107">
        <f>F154</f>
        <v>-17661.029999999912</v>
      </c>
      <c r="G31" s="107">
        <f>G154</f>
        <v>17661.029999999795</v>
      </c>
      <c r="H31" s="107"/>
      <c r="I31" s="107">
        <f>I154</f>
        <v>2250</v>
      </c>
      <c r="J31" s="107">
        <f>J154</f>
        <v>-2250</v>
      </c>
      <c r="K31" s="107"/>
      <c r="L31" s="107"/>
      <c r="M31" s="107"/>
      <c r="N31" s="107"/>
    </row>
    <row r="32" spans="1:14">
      <c r="A32" s="64" t="s">
        <v>46</v>
      </c>
      <c r="B32" s="107">
        <f t="shared" ref="B32:M32" si="19">B163</f>
        <v>167723.68000000005</v>
      </c>
      <c r="C32" s="107">
        <f t="shared" si="19"/>
        <v>202239.45999999996</v>
      </c>
      <c r="D32" s="107">
        <f t="shared" si="19"/>
        <v>145907.20999999996</v>
      </c>
      <c r="E32" s="107">
        <f t="shared" si="19"/>
        <v>170878.94000000003</v>
      </c>
      <c r="F32" s="107">
        <f t="shared" si="19"/>
        <v>188411.66000000003</v>
      </c>
      <c r="G32" s="107">
        <f t="shared" si="19"/>
        <v>129500.31</v>
      </c>
      <c r="H32" s="107">
        <f t="shared" si="19"/>
        <v>117259.76999999999</v>
      </c>
      <c r="I32" s="107">
        <f t="shared" si="19"/>
        <v>160233.05000000005</v>
      </c>
      <c r="J32" s="107">
        <f t="shared" si="19"/>
        <v>153908.43999999997</v>
      </c>
      <c r="K32" s="107">
        <f t="shared" si="19"/>
        <v>178035.47999999998</v>
      </c>
      <c r="L32" s="107">
        <f t="shared" si="19"/>
        <v>-72987.109999999986</v>
      </c>
      <c r="M32" s="107">
        <f t="shared" si="19"/>
        <v>63006.66</v>
      </c>
      <c r="N32" s="107">
        <v>1604117.55</v>
      </c>
    </row>
    <row r="33" spans="1:14">
      <c r="A33" s="64" t="s">
        <v>37</v>
      </c>
      <c r="B33" s="107">
        <f t="shared" ref="B33:M33" si="20">B182</f>
        <v>153272.39000000013</v>
      </c>
      <c r="C33" s="107">
        <f t="shared" si="20"/>
        <v>109983.35000000009</v>
      </c>
      <c r="D33" s="107">
        <f t="shared" si="20"/>
        <v>111982.2200000002</v>
      </c>
      <c r="E33" s="107">
        <f t="shared" si="20"/>
        <v>158771.15999999992</v>
      </c>
      <c r="F33" s="107">
        <f t="shared" si="20"/>
        <v>138082.76000000024</v>
      </c>
      <c r="G33" s="107">
        <f t="shared" si="20"/>
        <v>112319.67999999993</v>
      </c>
      <c r="H33" s="107">
        <f t="shared" si="20"/>
        <v>136350.4600000002</v>
      </c>
      <c r="I33" s="107">
        <f t="shared" si="20"/>
        <v>145503.86999999988</v>
      </c>
      <c r="J33" s="107">
        <f t="shared" si="20"/>
        <v>176787.26000000024</v>
      </c>
      <c r="K33" s="107">
        <f t="shared" si="20"/>
        <v>168344.56000000006</v>
      </c>
      <c r="L33" s="107">
        <f t="shared" si="20"/>
        <v>-61721.45</v>
      </c>
      <c r="M33" s="107">
        <f t="shared" si="20"/>
        <v>55245.440000000177</v>
      </c>
      <c r="N33" s="107">
        <v>1404921.7</v>
      </c>
    </row>
    <row r="34" spans="1:14">
      <c r="A34" s="64" t="s">
        <v>38</v>
      </c>
      <c r="B34" s="111">
        <f t="shared" ref="B34:M34" si="21">B198</f>
        <v>20894.400000000001</v>
      </c>
      <c r="C34" s="111">
        <f t="shared" si="21"/>
        <v>20802.509999999998</v>
      </c>
      <c r="D34" s="111">
        <f t="shared" si="21"/>
        <v>18032.829999999998</v>
      </c>
      <c r="E34" s="111">
        <f t="shared" si="21"/>
        <v>26957.239999999998</v>
      </c>
      <c r="F34" s="111">
        <f t="shared" si="21"/>
        <v>18755.38</v>
      </c>
      <c r="G34" s="111">
        <f t="shared" si="21"/>
        <v>16766.920000000002</v>
      </c>
      <c r="H34" s="111">
        <f t="shared" si="21"/>
        <v>10512.230000000001</v>
      </c>
      <c r="I34" s="111">
        <f t="shared" si="21"/>
        <v>36468.800000000003</v>
      </c>
      <c r="J34" s="111">
        <f t="shared" si="21"/>
        <v>4735.66</v>
      </c>
      <c r="K34" s="111">
        <f t="shared" si="21"/>
        <v>24218.829999999994</v>
      </c>
      <c r="L34" s="111">
        <f t="shared" si="21"/>
        <v>8612.11</v>
      </c>
      <c r="M34" s="111">
        <f t="shared" si="21"/>
        <v>19674.080000000002</v>
      </c>
      <c r="N34" s="111">
        <v>226430.99</v>
      </c>
    </row>
    <row r="35" spans="1:14">
      <c r="A35" s="64" t="s">
        <v>47</v>
      </c>
      <c r="B35" s="107">
        <f t="shared" ref="B35:M35" si="22">B200</f>
        <v>368853.77</v>
      </c>
      <c r="C35" s="107">
        <f t="shared" si="22"/>
        <v>364090.40000000014</v>
      </c>
      <c r="D35" s="107">
        <f t="shared" si="22"/>
        <v>308040.80000000022</v>
      </c>
      <c r="E35" s="107">
        <f t="shared" si="22"/>
        <v>379236.37999999989</v>
      </c>
      <c r="F35" s="107">
        <f t="shared" si="22"/>
        <v>317111.21000000031</v>
      </c>
      <c r="G35" s="107">
        <f t="shared" si="22"/>
        <v>292737.42999999993</v>
      </c>
      <c r="H35" s="107">
        <f t="shared" si="22"/>
        <v>309636.55999999994</v>
      </c>
      <c r="I35" s="107">
        <f t="shared" si="22"/>
        <v>366989.68000000058</v>
      </c>
      <c r="J35" s="107">
        <f t="shared" si="22"/>
        <v>352443.45000000059</v>
      </c>
      <c r="K35" s="107">
        <f t="shared" si="22"/>
        <v>390976.25000000017</v>
      </c>
      <c r="L35" s="107">
        <f t="shared" si="22"/>
        <v>-193696.45</v>
      </c>
      <c r="M35" s="107">
        <f t="shared" si="22"/>
        <v>141539.22000000015</v>
      </c>
      <c r="N35" s="107">
        <v>3397958.7</v>
      </c>
    </row>
    <row r="36" spans="1:14">
      <c r="A36" s="64"/>
      <c r="B36" s="22"/>
      <c r="C36" s="22"/>
      <c r="D36" s="22"/>
      <c r="E36" s="22"/>
      <c r="F36" s="22"/>
      <c r="G36" s="22"/>
      <c r="H36" s="22"/>
      <c r="I36" s="22"/>
      <c r="J36" s="22"/>
      <c r="K36" s="22"/>
      <c r="L36" s="22"/>
      <c r="M36" s="22"/>
      <c r="N36" s="22"/>
    </row>
    <row r="37" spans="1:14">
      <c r="A37" s="64" t="s">
        <v>48</v>
      </c>
      <c r="B37" s="107">
        <f t="shared" ref="B37:M37" si="23">B214</f>
        <v>608368.62</v>
      </c>
      <c r="C37" s="107">
        <f t="shared" si="23"/>
        <v>1109813.17</v>
      </c>
      <c r="D37" s="107">
        <f t="shared" si="23"/>
        <v>921688.18</v>
      </c>
      <c r="E37" s="107">
        <f t="shared" si="23"/>
        <v>815655.47</v>
      </c>
      <c r="F37" s="107">
        <f t="shared" si="23"/>
        <v>-6316869.4700000007</v>
      </c>
      <c r="G37" s="107">
        <f t="shared" si="23"/>
        <v>739343.70000000007</v>
      </c>
      <c r="H37" s="107">
        <f t="shared" si="23"/>
        <v>813393.71</v>
      </c>
      <c r="I37" s="107">
        <f t="shared" si="23"/>
        <v>854909.94000000006</v>
      </c>
      <c r="J37" s="107">
        <f t="shared" si="23"/>
        <v>632768.71000000008</v>
      </c>
      <c r="K37" s="107">
        <f t="shared" si="23"/>
        <v>887832.23</v>
      </c>
      <c r="L37" s="107">
        <f t="shared" si="23"/>
        <v>-401915.11</v>
      </c>
      <c r="M37" s="107">
        <f t="shared" si="23"/>
        <v>586685.53</v>
      </c>
      <c r="N37" s="107">
        <v>1251674.68</v>
      </c>
    </row>
    <row r="38" spans="1:14">
      <c r="A38" s="64"/>
      <c r="B38" s="22"/>
      <c r="C38" s="22"/>
      <c r="D38" s="22"/>
      <c r="E38" s="22"/>
      <c r="F38" s="22"/>
      <c r="G38" s="22"/>
      <c r="H38" s="22"/>
      <c r="I38" s="22"/>
      <c r="J38" s="22"/>
      <c r="K38" s="22"/>
      <c r="L38" s="22"/>
      <c r="M38" s="22"/>
      <c r="N38" s="22"/>
    </row>
    <row r="39" spans="1:14" ht="15.75" thickBot="1">
      <c r="A39" s="64" t="s">
        <v>13</v>
      </c>
      <c r="B39" s="112">
        <f t="shared" ref="B39:M39" si="24">B216</f>
        <v>9752315.1399999876</v>
      </c>
      <c r="C39" s="112">
        <f t="shared" si="24"/>
        <v>9958002.9500000104</v>
      </c>
      <c r="D39" s="112">
        <f t="shared" si="24"/>
        <v>10086444.079999991</v>
      </c>
      <c r="E39" s="112">
        <f t="shared" si="24"/>
        <v>9621856.5999999773</v>
      </c>
      <c r="F39" s="112">
        <f t="shared" si="24"/>
        <v>2826207.4100000081</v>
      </c>
      <c r="G39" s="112">
        <f t="shared" si="24"/>
        <v>10668702.430000015</v>
      </c>
      <c r="H39" s="112">
        <f t="shared" si="24"/>
        <v>10151726.729999997</v>
      </c>
      <c r="I39" s="112">
        <f t="shared" si="24"/>
        <v>10411936.780000001</v>
      </c>
      <c r="J39" s="112">
        <f t="shared" si="24"/>
        <v>9860151.6600000318</v>
      </c>
      <c r="K39" s="112">
        <f t="shared" si="24"/>
        <v>10267801.999999994</v>
      </c>
      <c r="L39" s="112">
        <f t="shared" si="24"/>
        <v>-1372837.4</v>
      </c>
      <c r="M39" s="112">
        <f t="shared" si="24"/>
        <v>9142133.7799999975</v>
      </c>
      <c r="N39" s="112">
        <v>101374442.16</v>
      </c>
    </row>
    <row r="40" spans="1:14" ht="15.75" thickTop="1">
      <c r="A40" s="64"/>
      <c r="B40" s="22"/>
      <c r="C40" s="22"/>
      <c r="D40" s="22"/>
      <c r="E40" s="22"/>
      <c r="F40" s="22"/>
      <c r="G40" s="22"/>
      <c r="H40" s="22"/>
      <c r="I40" s="22"/>
      <c r="J40" s="22"/>
      <c r="K40" s="22"/>
      <c r="L40" s="22"/>
      <c r="M40" s="22"/>
      <c r="N40" s="22"/>
    </row>
    <row r="41" spans="1:14">
      <c r="A41" s="64" t="s">
        <v>14</v>
      </c>
      <c r="B41" s="22"/>
      <c r="C41" s="22"/>
      <c r="D41" s="22"/>
      <c r="E41" s="22"/>
      <c r="F41" s="22"/>
      <c r="G41" s="22"/>
      <c r="H41" s="22"/>
      <c r="I41" s="22"/>
      <c r="J41" s="22"/>
      <c r="K41" s="22"/>
      <c r="L41" s="22"/>
      <c r="M41" s="22"/>
      <c r="N41" s="22"/>
    </row>
    <row r="42" spans="1:14">
      <c r="A42" s="64" t="s">
        <v>49</v>
      </c>
      <c r="B42" s="107">
        <f t="shared" ref="B42:M42" si="25">B243</f>
        <v>3630437.3999999994</v>
      </c>
      <c r="C42" s="107">
        <f t="shared" si="25"/>
        <v>3453793.209999999</v>
      </c>
      <c r="D42" s="107">
        <f t="shared" si="25"/>
        <v>3627864.6</v>
      </c>
      <c r="E42" s="107">
        <f t="shared" si="25"/>
        <v>3419816.669999999</v>
      </c>
      <c r="F42" s="107">
        <f t="shared" si="25"/>
        <v>3454032.1599999997</v>
      </c>
      <c r="G42" s="107">
        <f t="shared" si="25"/>
        <v>3386685.2299999995</v>
      </c>
      <c r="H42" s="107">
        <f t="shared" si="25"/>
        <v>3240473.0899999994</v>
      </c>
      <c r="I42" s="107">
        <f t="shared" si="25"/>
        <v>3599566.26</v>
      </c>
      <c r="J42" s="107">
        <f t="shared" si="25"/>
        <v>3449276.1399999997</v>
      </c>
      <c r="K42" s="107">
        <f t="shared" si="25"/>
        <v>3340321.5200000005</v>
      </c>
      <c r="L42" s="107">
        <f t="shared" si="25"/>
        <v>-409428.20000000007</v>
      </c>
      <c r="M42" s="107">
        <f t="shared" si="25"/>
        <v>2985412.56</v>
      </c>
      <c r="N42" s="107">
        <v>37178250.640000001</v>
      </c>
    </row>
    <row r="43" spans="1:14">
      <c r="A43" s="64" t="s">
        <v>50</v>
      </c>
      <c r="B43" s="107">
        <f>B251</f>
        <v>331112.37</v>
      </c>
      <c r="C43" s="107">
        <f>C251</f>
        <v>274446.3</v>
      </c>
      <c r="D43" s="107">
        <f>D251</f>
        <v>175769.94</v>
      </c>
      <c r="E43" s="107">
        <f>E251</f>
        <v>141105.13</v>
      </c>
      <c r="F43" s="107">
        <f>F251</f>
        <v>-1555006.0999999999</v>
      </c>
      <c r="G43" s="107"/>
      <c r="H43" s="107"/>
      <c r="I43" s="107">
        <f>I251</f>
        <v>61933.72</v>
      </c>
      <c r="J43" s="107">
        <f>J251</f>
        <v>34463.72</v>
      </c>
      <c r="K43" s="107">
        <f>K251</f>
        <v>-96397.440000000002</v>
      </c>
      <c r="L43" s="107"/>
      <c r="M43" s="107"/>
      <c r="N43" s="107">
        <v>-632572.36</v>
      </c>
    </row>
    <row r="44" spans="1:14">
      <c r="A44" s="64" t="s">
        <v>51</v>
      </c>
      <c r="B44" s="107">
        <f t="shared" ref="B44:M44" si="26">B263</f>
        <v>607613.78</v>
      </c>
      <c r="C44" s="107">
        <f t="shared" si="26"/>
        <v>629530.37999999989</v>
      </c>
      <c r="D44" s="107">
        <f t="shared" si="26"/>
        <v>496024.22000000003</v>
      </c>
      <c r="E44" s="107">
        <f t="shared" si="26"/>
        <v>549723.56000000006</v>
      </c>
      <c r="F44" s="107">
        <f t="shared" si="26"/>
        <v>702253.72000000009</v>
      </c>
      <c r="G44" s="107">
        <f t="shared" si="26"/>
        <v>753969.88</v>
      </c>
      <c r="H44" s="107">
        <f t="shared" si="26"/>
        <v>554789.36</v>
      </c>
      <c r="I44" s="107">
        <f t="shared" si="26"/>
        <v>610230.59000000008</v>
      </c>
      <c r="J44" s="107">
        <f t="shared" si="26"/>
        <v>490670.69000000006</v>
      </c>
      <c r="K44" s="107">
        <f t="shared" si="26"/>
        <v>658447.87000000011</v>
      </c>
      <c r="L44" s="107">
        <f t="shared" si="26"/>
        <v>-283126.93</v>
      </c>
      <c r="M44" s="107">
        <f t="shared" si="26"/>
        <v>558824.6399999999</v>
      </c>
      <c r="N44" s="107">
        <v>6328951.7599999998</v>
      </c>
    </row>
    <row r="45" spans="1:14">
      <c r="A45" s="64" t="s">
        <v>52</v>
      </c>
      <c r="B45" s="107">
        <f t="shared" ref="B45:M45" si="27">B279</f>
        <v>1248614.73</v>
      </c>
      <c r="C45" s="107">
        <f t="shared" si="27"/>
        <v>1299036.8899999999</v>
      </c>
      <c r="D45" s="107">
        <f t="shared" si="27"/>
        <v>1254679.27</v>
      </c>
      <c r="E45" s="107">
        <f t="shared" si="27"/>
        <v>1230156.8600000001</v>
      </c>
      <c r="F45" s="107">
        <f t="shared" si="27"/>
        <v>1372529.48</v>
      </c>
      <c r="G45" s="107">
        <f t="shared" si="27"/>
        <v>1276344.55</v>
      </c>
      <c r="H45" s="107">
        <f t="shared" si="27"/>
        <v>1300006.4499999997</v>
      </c>
      <c r="I45" s="107">
        <f t="shared" si="27"/>
        <v>1501591.3900000001</v>
      </c>
      <c r="J45" s="107">
        <f t="shared" si="27"/>
        <v>1300766.6399999999</v>
      </c>
      <c r="K45" s="107">
        <f t="shared" si="27"/>
        <v>1364054.5400000003</v>
      </c>
      <c r="L45" s="107">
        <f t="shared" si="27"/>
        <v>-212051.77</v>
      </c>
      <c r="M45" s="107">
        <f t="shared" si="27"/>
        <v>1120100.0699999998</v>
      </c>
      <c r="N45" s="107">
        <v>14055829.1</v>
      </c>
    </row>
    <row r="46" spans="1:14">
      <c r="A46" s="64" t="s">
        <v>53</v>
      </c>
      <c r="B46" s="107">
        <f t="shared" ref="B46:M46" si="28">B305</f>
        <v>1990365.36</v>
      </c>
      <c r="C46" s="107">
        <f t="shared" si="28"/>
        <v>1938232.67</v>
      </c>
      <c r="D46" s="107">
        <f t="shared" si="28"/>
        <v>1990466.9900000002</v>
      </c>
      <c r="E46" s="107">
        <f t="shared" si="28"/>
        <v>1914305.3700000003</v>
      </c>
      <c r="F46" s="107">
        <f t="shared" si="28"/>
        <v>-6234772.2600000007</v>
      </c>
      <c r="G46" s="107">
        <f t="shared" si="28"/>
        <v>1958415.43</v>
      </c>
      <c r="H46" s="107">
        <f t="shared" si="28"/>
        <v>1972735.57</v>
      </c>
      <c r="I46" s="107">
        <f t="shared" si="28"/>
        <v>2019119.5400000003</v>
      </c>
      <c r="J46" s="107">
        <f t="shared" si="28"/>
        <v>2004595.6400000004</v>
      </c>
      <c r="K46" s="107">
        <f t="shared" si="28"/>
        <v>2115994.65</v>
      </c>
      <c r="L46" s="107">
        <f t="shared" si="28"/>
        <v>-591123.73</v>
      </c>
      <c r="M46" s="107">
        <f t="shared" si="28"/>
        <v>1748348.05</v>
      </c>
      <c r="N46" s="107">
        <v>12826683.279999999</v>
      </c>
    </row>
    <row r="47" spans="1:14">
      <c r="A47" s="64" t="s">
        <v>54</v>
      </c>
      <c r="B47" s="107">
        <f t="shared" ref="B47:M47" si="29">B322</f>
        <v>197893.55000000002</v>
      </c>
      <c r="C47" s="107">
        <f t="shared" si="29"/>
        <v>198380.99</v>
      </c>
      <c r="D47" s="107">
        <f t="shared" si="29"/>
        <v>190580.47999999998</v>
      </c>
      <c r="E47" s="107">
        <f t="shared" si="29"/>
        <v>169709.71</v>
      </c>
      <c r="F47" s="107">
        <f t="shared" si="29"/>
        <v>207341.79</v>
      </c>
      <c r="G47" s="107">
        <f t="shared" si="29"/>
        <v>169412.84</v>
      </c>
      <c r="H47" s="107">
        <f t="shared" si="29"/>
        <v>191497.29</v>
      </c>
      <c r="I47" s="107">
        <f t="shared" si="29"/>
        <v>194911.68</v>
      </c>
      <c r="J47" s="107">
        <f t="shared" si="29"/>
        <v>189471.4</v>
      </c>
      <c r="K47" s="107">
        <f t="shared" si="29"/>
        <v>212105.12000000005</v>
      </c>
      <c r="L47" s="107">
        <f t="shared" si="29"/>
        <v>30854.509999999995</v>
      </c>
      <c r="M47" s="107">
        <f t="shared" si="29"/>
        <v>185655.43999999997</v>
      </c>
      <c r="N47" s="107">
        <v>2137814.7999999998</v>
      </c>
    </row>
    <row r="48" spans="1:14">
      <c r="A48" s="64" t="s">
        <v>55</v>
      </c>
      <c r="B48" s="107">
        <f t="shared" ref="B48:M48" si="30">B332</f>
        <v>105263.03999999999</v>
      </c>
      <c r="C48" s="107">
        <f t="shared" si="30"/>
        <v>102525.84999999999</v>
      </c>
      <c r="D48" s="107">
        <f t="shared" si="30"/>
        <v>76387.430000000008</v>
      </c>
      <c r="E48" s="107">
        <f t="shared" si="30"/>
        <v>68482.900000000009</v>
      </c>
      <c r="F48" s="107">
        <f t="shared" si="30"/>
        <v>126511.76000000001</v>
      </c>
      <c r="G48" s="107">
        <f t="shared" si="30"/>
        <v>59158.38</v>
      </c>
      <c r="H48" s="107">
        <f t="shared" si="30"/>
        <v>144269.32999999999</v>
      </c>
      <c r="I48" s="107">
        <f t="shared" si="30"/>
        <v>98975.76</v>
      </c>
      <c r="J48" s="107">
        <f t="shared" si="30"/>
        <v>86896.99</v>
      </c>
      <c r="K48" s="107">
        <f t="shared" si="30"/>
        <v>122453.69</v>
      </c>
      <c r="L48" s="107">
        <f t="shared" si="30"/>
        <v>-20640.669999999998</v>
      </c>
      <c r="M48" s="107">
        <f t="shared" si="30"/>
        <v>100389.88</v>
      </c>
      <c r="N48" s="107">
        <v>1070674.3400000001</v>
      </c>
    </row>
    <row r="49" spans="1:14">
      <c r="A49" s="64" t="s">
        <v>56</v>
      </c>
      <c r="B49" s="107">
        <f t="shared" ref="B49:M49" si="31">B342</f>
        <v>237919.99999999997</v>
      </c>
      <c r="C49" s="107">
        <f t="shared" si="31"/>
        <v>230251.97000000003</v>
      </c>
      <c r="D49" s="107">
        <f t="shared" si="31"/>
        <v>220630.94999999998</v>
      </c>
      <c r="E49" s="107">
        <f t="shared" si="31"/>
        <v>221606.74999999997</v>
      </c>
      <c r="F49" s="107">
        <f t="shared" si="31"/>
        <v>119969.71</v>
      </c>
      <c r="G49" s="107">
        <f t="shared" si="31"/>
        <v>228700.79999999999</v>
      </c>
      <c r="H49" s="107">
        <f t="shared" si="31"/>
        <v>220715.51999999999</v>
      </c>
      <c r="I49" s="107">
        <f t="shared" si="31"/>
        <v>229761.44999999998</v>
      </c>
      <c r="J49" s="107">
        <f t="shared" si="31"/>
        <v>224762.77999999997</v>
      </c>
      <c r="K49" s="107">
        <f t="shared" si="31"/>
        <v>226794.69999999998</v>
      </c>
      <c r="L49" s="107">
        <f t="shared" si="31"/>
        <v>21293.899999999998</v>
      </c>
      <c r="M49" s="107">
        <f t="shared" si="31"/>
        <v>188736.83</v>
      </c>
      <c r="N49" s="107">
        <v>2371145.36</v>
      </c>
    </row>
    <row r="50" spans="1:14">
      <c r="A50" s="64" t="s">
        <v>57</v>
      </c>
      <c r="B50" s="107">
        <f t="shared" ref="B50:M50" si="32">B347</f>
        <v>238119</v>
      </c>
      <c r="C50" s="107">
        <f t="shared" si="32"/>
        <v>229301</v>
      </c>
      <c r="D50" s="107">
        <f t="shared" si="32"/>
        <v>251690.81999999998</v>
      </c>
      <c r="E50" s="107">
        <f t="shared" si="32"/>
        <v>228100</v>
      </c>
      <c r="F50" s="107">
        <f t="shared" si="32"/>
        <v>917719</v>
      </c>
      <c r="G50" s="107">
        <f t="shared" si="32"/>
        <v>346161</v>
      </c>
      <c r="H50" s="107">
        <f t="shared" si="32"/>
        <v>651016.80000000005</v>
      </c>
      <c r="I50" s="107">
        <f t="shared" si="32"/>
        <v>319494</v>
      </c>
      <c r="J50" s="107">
        <f t="shared" si="32"/>
        <v>238802</v>
      </c>
      <c r="K50" s="107">
        <f t="shared" si="32"/>
        <v>141888</v>
      </c>
      <c r="L50" s="107">
        <f t="shared" si="32"/>
        <v>-215283.46</v>
      </c>
      <c r="M50" s="107">
        <f t="shared" si="32"/>
        <v>331309</v>
      </c>
      <c r="N50" s="107">
        <v>3678317.16</v>
      </c>
    </row>
    <row r="51" spans="1:14">
      <c r="A51" s="64" t="s">
        <v>58</v>
      </c>
      <c r="B51" s="107">
        <f t="shared" ref="B51:M51" si="33">B356</f>
        <v>136898.79999999999</v>
      </c>
      <c r="C51" s="107">
        <f t="shared" si="33"/>
        <v>143192.99000000002</v>
      </c>
      <c r="D51" s="107">
        <f t="shared" si="33"/>
        <v>228523.17</v>
      </c>
      <c r="E51" s="107">
        <f t="shared" si="33"/>
        <v>145741.58000000002</v>
      </c>
      <c r="F51" s="107">
        <f t="shared" si="33"/>
        <v>56512.510000000009</v>
      </c>
      <c r="G51" s="107">
        <f t="shared" si="33"/>
        <v>149227.70000000001</v>
      </c>
      <c r="H51" s="107">
        <f t="shared" si="33"/>
        <v>147284.93</v>
      </c>
      <c r="I51" s="107">
        <f t="shared" si="33"/>
        <v>273378.17</v>
      </c>
      <c r="J51" s="107">
        <f t="shared" si="33"/>
        <v>260108.68</v>
      </c>
      <c r="K51" s="107">
        <f t="shared" si="33"/>
        <v>122945.62000000001</v>
      </c>
      <c r="L51" s="107">
        <f t="shared" si="33"/>
        <v>-149869.86000000002</v>
      </c>
      <c r="M51" s="107">
        <f t="shared" si="33"/>
        <v>114186.07999999999</v>
      </c>
      <c r="N51" s="107">
        <v>1628130.37</v>
      </c>
    </row>
    <row r="52" spans="1:14">
      <c r="A52" s="64" t="s">
        <v>59</v>
      </c>
      <c r="B52" s="107">
        <f t="shared" ref="B52:M52" si="34">B365</f>
        <v>98616.069999999992</v>
      </c>
      <c r="C52" s="107">
        <f t="shared" si="34"/>
        <v>99717.929999999964</v>
      </c>
      <c r="D52" s="107">
        <f t="shared" si="34"/>
        <v>99736.120000000024</v>
      </c>
      <c r="E52" s="107">
        <f t="shared" si="34"/>
        <v>101251.24999999999</v>
      </c>
      <c r="F52" s="107">
        <f t="shared" si="34"/>
        <v>102144.88999999998</v>
      </c>
      <c r="G52" s="107">
        <f t="shared" si="34"/>
        <v>101986.71</v>
      </c>
      <c r="H52" s="107">
        <f t="shared" si="34"/>
        <v>98380.14</v>
      </c>
      <c r="I52" s="107">
        <f t="shared" si="34"/>
        <v>101617.4</v>
      </c>
      <c r="J52" s="107">
        <f t="shared" si="34"/>
        <v>106451.73999999999</v>
      </c>
      <c r="K52" s="107">
        <f t="shared" si="34"/>
        <v>105504.35999999997</v>
      </c>
      <c r="L52" s="107">
        <f t="shared" si="34"/>
        <v>212.88000000000466</v>
      </c>
      <c r="M52" s="107">
        <f t="shared" si="34"/>
        <v>88498.210000000021</v>
      </c>
      <c r="N52" s="107">
        <v>1104117.7</v>
      </c>
    </row>
    <row r="53" spans="1:14">
      <c r="A53" s="64" t="s">
        <v>60</v>
      </c>
      <c r="B53" s="107">
        <f t="shared" ref="B53:M53" si="35">B373</f>
        <v>1435080.51</v>
      </c>
      <c r="C53" s="107">
        <f t="shared" si="35"/>
        <v>1533655.4200000002</v>
      </c>
      <c r="D53" s="107">
        <f t="shared" si="35"/>
        <v>1463787.9400000002</v>
      </c>
      <c r="E53" s="107">
        <f t="shared" si="35"/>
        <v>1476243.08</v>
      </c>
      <c r="F53" s="107">
        <f t="shared" si="35"/>
        <v>1360893.38</v>
      </c>
      <c r="G53" s="107">
        <f t="shared" si="35"/>
        <v>1465035.17</v>
      </c>
      <c r="H53" s="107">
        <f t="shared" si="35"/>
        <v>1463344.18</v>
      </c>
      <c r="I53" s="107">
        <f t="shared" si="35"/>
        <v>1477543.75</v>
      </c>
      <c r="J53" s="107">
        <f t="shared" si="35"/>
        <v>1521189.74</v>
      </c>
      <c r="K53" s="107">
        <f t="shared" si="35"/>
        <v>1461399.73</v>
      </c>
      <c r="L53" s="107">
        <f t="shared" si="35"/>
        <v>-343537.36</v>
      </c>
      <c r="M53" s="107">
        <f t="shared" si="35"/>
        <v>1271635.9099999999</v>
      </c>
      <c r="N53" s="107">
        <v>15586271.449999999</v>
      </c>
    </row>
    <row r="54" spans="1:14">
      <c r="A54" s="64" t="s">
        <v>61</v>
      </c>
      <c r="B54" s="107">
        <f>B377</f>
        <v>583.07000000000005</v>
      </c>
      <c r="C54" s="107">
        <f>C377</f>
        <v>3877.99</v>
      </c>
      <c r="D54" s="107">
        <f>D377</f>
        <v>319.85000000000002</v>
      </c>
      <c r="E54" s="107">
        <f>E377</f>
        <v>1620.34</v>
      </c>
      <c r="F54" s="107">
        <f>F377</f>
        <v>-408849.09</v>
      </c>
      <c r="G54" s="107"/>
      <c r="H54" s="107">
        <f>H377</f>
        <v>-6633.78</v>
      </c>
      <c r="I54" s="107"/>
      <c r="J54" s="107">
        <f>J377</f>
        <v>10005</v>
      </c>
      <c r="K54" s="107"/>
      <c r="L54" s="107"/>
      <c r="M54" s="107">
        <f>M377</f>
        <v>3554.08</v>
      </c>
      <c r="N54" s="107">
        <v>-395522.54</v>
      </c>
    </row>
    <row r="55" spans="1:14">
      <c r="A55" s="64"/>
      <c r="B55" s="22"/>
      <c r="C55" s="22"/>
      <c r="D55" s="22"/>
      <c r="E55" s="22"/>
      <c r="F55" s="22"/>
      <c r="G55" s="22"/>
      <c r="H55" s="22"/>
      <c r="I55" s="22"/>
      <c r="J55" s="22"/>
      <c r="K55" s="22"/>
      <c r="L55" s="22"/>
      <c r="M55" s="22"/>
      <c r="N55" s="22"/>
    </row>
    <row r="56" spans="1:14" ht="15.75" thickBot="1">
      <c r="A56" s="64" t="s">
        <v>62</v>
      </c>
      <c r="B56" s="112">
        <f t="shared" ref="B56:M56" si="36">B379</f>
        <v>10258517.680000002</v>
      </c>
      <c r="C56" s="112">
        <f t="shared" si="36"/>
        <v>10135943.589999991</v>
      </c>
      <c r="D56" s="112">
        <f t="shared" si="36"/>
        <v>10076461.780000009</v>
      </c>
      <c r="E56" s="112">
        <f t="shared" si="36"/>
        <v>9667863.1999999974</v>
      </c>
      <c r="F56" s="112">
        <f t="shared" si="36"/>
        <v>221280.94999999431</v>
      </c>
      <c r="G56" s="112">
        <f t="shared" si="36"/>
        <v>9895097.689999992</v>
      </c>
      <c r="H56" s="112">
        <f t="shared" si="36"/>
        <v>9977878.879999999</v>
      </c>
      <c r="I56" s="112">
        <f t="shared" si="36"/>
        <v>10488123.709999997</v>
      </c>
      <c r="J56" s="112">
        <f t="shared" si="36"/>
        <v>9917461.160000002</v>
      </c>
      <c r="K56" s="112">
        <f t="shared" si="36"/>
        <v>9775512.3599999975</v>
      </c>
      <c r="L56" s="112">
        <f t="shared" si="36"/>
        <v>-2172700.6900000004</v>
      </c>
      <c r="M56" s="112">
        <f t="shared" si="36"/>
        <v>8696650.7499999963</v>
      </c>
      <c r="N56" s="112">
        <v>96938091.060000002</v>
      </c>
    </row>
    <row r="57" spans="1:14" ht="15.75" thickTop="1">
      <c r="A57" s="64"/>
      <c r="B57" s="22"/>
      <c r="C57" s="22"/>
      <c r="D57" s="22"/>
      <c r="E57" s="22"/>
      <c r="F57" s="22"/>
      <c r="G57" s="22"/>
      <c r="H57" s="22"/>
      <c r="I57" s="22"/>
      <c r="J57" s="22"/>
      <c r="K57" s="22"/>
      <c r="L57" s="22"/>
      <c r="M57" s="22"/>
      <c r="N57" s="22"/>
    </row>
    <row r="58" spans="1:14" ht="15.75" thickBot="1">
      <c r="A58" s="64" t="s">
        <v>63</v>
      </c>
      <c r="B58" s="112">
        <f t="shared" ref="B58:M58" si="37">B381</f>
        <v>-506202.54000001401</v>
      </c>
      <c r="C58" s="112">
        <f t="shared" si="37"/>
        <v>-177940.63999998011</v>
      </c>
      <c r="D58" s="112">
        <f t="shared" si="37"/>
        <v>9982.2999999821186</v>
      </c>
      <c r="E58" s="112">
        <f t="shared" si="37"/>
        <v>-46006.600000020117</v>
      </c>
      <c r="F58" s="112">
        <f t="shared" si="37"/>
        <v>2604926.4600000139</v>
      </c>
      <c r="G58" s="112">
        <f t="shared" si="37"/>
        <v>773604.74000002258</v>
      </c>
      <c r="H58" s="112">
        <f t="shared" si="37"/>
        <v>173847.84999999776</v>
      </c>
      <c r="I58" s="112">
        <f t="shared" si="37"/>
        <v>-76186.929999995977</v>
      </c>
      <c r="J58" s="112">
        <f t="shared" si="37"/>
        <v>-57309.499999970198</v>
      </c>
      <c r="K58" s="112">
        <f t="shared" si="37"/>
        <v>492289.63999999687</v>
      </c>
      <c r="L58" s="112">
        <f t="shared" si="37"/>
        <v>799863.2900000005</v>
      </c>
      <c r="M58" s="112">
        <f t="shared" si="37"/>
        <v>445483.03000000119</v>
      </c>
      <c r="N58" s="112">
        <v>4436351.0999999996</v>
      </c>
    </row>
    <row r="59" spans="1:14" ht="15.75" thickTop="1">
      <c r="A59" s="64"/>
      <c r="B59" s="22"/>
      <c r="C59" s="22"/>
      <c r="D59" s="22"/>
      <c r="E59" s="22"/>
      <c r="F59" s="22"/>
      <c r="G59" s="22"/>
      <c r="H59" s="22"/>
      <c r="I59" s="22"/>
      <c r="J59" s="22"/>
      <c r="K59" s="22"/>
      <c r="L59" s="22"/>
      <c r="M59" s="22"/>
      <c r="N59" s="22"/>
    </row>
    <row r="60" spans="1:14" ht="15.75" thickBot="1">
      <c r="A60" s="64" t="s">
        <v>64</v>
      </c>
      <c r="B60" s="112">
        <f t="shared" ref="B60:M60" si="38">B386</f>
        <v>196898.38</v>
      </c>
      <c r="C60" s="112">
        <f t="shared" si="38"/>
        <v>243342.8</v>
      </c>
      <c r="D60" s="112">
        <f t="shared" si="38"/>
        <v>127462.43</v>
      </c>
      <c r="E60" s="112">
        <f t="shared" si="38"/>
        <v>123840.06</v>
      </c>
      <c r="F60" s="112">
        <f t="shared" si="38"/>
        <v>1991983.63</v>
      </c>
      <c r="G60" s="112">
        <f t="shared" si="38"/>
        <v>319549.14</v>
      </c>
      <c r="H60" s="112">
        <f t="shared" si="38"/>
        <v>460015.15</v>
      </c>
      <c r="I60" s="112">
        <f t="shared" si="38"/>
        <v>455421.19</v>
      </c>
      <c r="J60" s="112">
        <f t="shared" si="38"/>
        <v>452584.68</v>
      </c>
      <c r="K60" s="112">
        <f t="shared" si="38"/>
        <v>476986.01</v>
      </c>
      <c r="L60" s="112">
        <f t="shared" si="38"/>
        <v>893786.32000000007</v>
      </c>
      <c r="M60" s="112">
        <f t="shared" si="38"/>
        <v>306111.35999999999</v>
      </c>
      <c r="N60" s="112">
        <v>6047981.1500000004</v>
      </c>
    </row>
    <row r="61" spans="1:14" ht="15.75" thickTop="1">
      <c r="A61" s="64"/>
      <c r="B61" s="22"/>
      <c r="C61" s="22"/>
      <c r="D61" s="22"/>
      <c r="E61" s="22"/>
      <c r="F61" s="22"/>
      <c r="G61" s="22"/>
      <c r="H61" s="22"/>
      <c r="I61" s="22"/>
      <c r="J61" s="22"/>
      <c r="K61" s="22"/>
      <c r="L61" s="22"/>
      <c r="M61" s="22"/>
      <c r="N61" s="22"/>
    </row>
    <row r="62" spans="1:14" ht="15.75" thickBot="1">
      <c r="A62" s="64" t="s">
        <v>22</v>
      </c>
      <c r="B62" s="112">
        <f t="shared" ref="B62:M62" si="39">B388</f>
        <v>-703100.92000001401</v>
      </c>
      <c r="C62" s="112">
        <f t="shared" si="39"/>
        <v>-421283.4399999801</v>
      </c>
      <c r="D62" s="112">
        <f t="shared" si="39"/>
        <v>-117480.13000001787</v>
      </c>
      <c r="E62" s="112">
        <f t="shared" si="39"/>
        <v>-169846.66000002011</v>
      </c>
      <c r="F62" s="112">
        <f t="shared" si="39"/>
        <v>612942.83000001404</v>
      </c>
      <c r="G62" s="112">
        <f t="shared" si="39"/>
        <v>454055.60000002256</v>
      </c>
      <c r="H62" s="112">
        <f t="shared" si="39"/>
        <v>-286167.30000000226</v>
      </c>
      <c r="I62" s="112">
        <f t="shared" si="39"/>
        <v>-531608.11999999592</v>
      </c>
      <c r="J62" s="112">
        <f t="shared" si="39"/>
        <v>-509894.17999997019</v>
      </c>
      <c r="K62" s="112">
        <f t="shared" si="39"/>
        <v>15303.629999996861</v>
      </c>
      <c r="L62" s="112">
        <f t="shared" si="39"/>
        <v>-93923.029999999562</v>
      </c>
      <c r="M62" s="112">
        <f t="shared" si="39"/>
        <v>139371.67000000121</v>
      </c>
      <c r="N62" s="112">
        <v>-1611630.05</v>
      </c>
    </row>
    <row r="63" spans="1:14" ht="15.75" thickTop="1">
      <c r="A63" s="64"/>
      <c r="B63" s="22"/>
      <c r="C63" s="22"/>
      <c r="D63" s="22"/>
      <c r="E63" s="22"/>
      <c r="F63" s="22"/>
      <c r="G63" s="22"/>
      <c r="H63" s="22"/>
      <c r="I63" s="22"/>
      <c r="J63" s="22"/>
      <c r="K63" s="22"/>
      <c r="L63" s="22"/>
      <c r="M63" s="22"/>
      <c r="N63" s="22"/>
    </row>
    <row r="64" spans="1:14">
      <c r="A64" s="64" t="s">
        <v>40</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41</v>
      </c>
      <c r="B66" s="22"/>
      <c r="C66" s="22"/>
      <c r="D66" s="22"/>
      <c r="E66" s="22"/>
      <c r="F66" s="22"/>
      <c r="G66" s="22"/>
      <c r="H66" s="22"/>
      <c r="I66" s="22"/>
      <c r="J66" s="22"/>
      <c r="K66" s="22"/>
      <c r="L66" s="22"/>
      <c r="M66" s="22"/>
      <c r="N66" s="22"/>
    </row>
    <row r="67" spans="1:14">
      <c r="A67" s="64"/>
      <c r="B67" s="22"/>
      <c r="C67" s="22"/>
      <c r="D67" s="22"/>
      <c r="E67" s="22"/>
      <c r="F67" s="22"/>
      <c r="G67" s="22"/>
      <c r="H67" s="22"/>
      <c r="I67" s="22"/>
      <c r="J67" s="22"/>
      <c r="K67" s="22"/>
      <c r="L67" s="22"/>
      <c r="M67" s="22"/>
      <c r="N67" s="22"/>
    </row>
    <row r="68" spans="1:14">
      <c r="A68" s="64" t="s">
        <v>65</v>
      </c>
      <c r="B68" s="22"/>
      <c r="C68" s="22"/>
      <c r="D68" s="22"/>
      <c r="E68" s="22"/>
      <c r="F68" s="22"/>
      <c r="G68" s="22"/>
      <c r="H68" s="22"/>
      <c r="I68" s="22"/>
      <c r="J68" s="22"/>
      <c r="K68" s="22"/>
      <c r="L68" s="22"/>
      <c r="M68" s="22"/>
      <c r="N68" s="22"/>
    </row>
    <row r="69" spans="1:14">
      <c r="A69" s="64" t="s">
        <v>66</v>
      </c>
      <c r="B69" s="111">
        <v>3353149.35</v>
      </c>
      <c r="C69" s="111">
        <v>3273742.81</v>
      </c>
      <c r="D69" s="111">
        <v>3389796.38</v>
      </c>
      <c r="E69" s="111">
        <v>3261345.24</v>
      </c>
      <c r="F69" s="111">
        <v>3289131.28</v>
      </c>
      <c r="G69" s="111">
        <v>3189346.29</v>
      </c>
      <c r="H69" s="111">
        <v>2958579.6</v>
      </c>
      <c r="I69" s="111">
        <v>3312181.47</v>
      </c>
      <c r="J69" s="111">
        <v>3302276.56</v>
      </c>
      <c r="K69" s="111">
        <v>3387528.09</v>
      </c>
      <c r="L69" s="111">
        <v>-679342.64</v>
      </c>
      <c r="M69" s="111">
        <v>2767585.02</v>
      </c>
      <c r="N69" s="111">
        <v>34805319.450000003</v>
      </c>
    </row>
    <row r="70" spans="1:14">
      <c r="A70" s="64" t="s">
        <v>67</v>
      </c>
      <c r="B70" s="107">
        <f t="shared" ref="B70:M70" si="40">SUM(B66:B69)</f>
        <v>3353149.35</v>
      </c>
      <c r="C70" s="107">
        <f t="shared" si="40"/>
        <v>3273742.81</v>
      </c>
      <c r="D70" s="107">
        <f t="shared" si="40"/>
        <v>3389796.38</v>
      </c>
      <c r="E70" s="107">
        <f t="shared" si="40"/>
        <v>3261345.24</v>
      </c>
      <c r="F70" s="107">
        <f t="shared" si="40"/>
        <v>3289131.28</v>
      </c>
      <c r="G70" s="107">
        <f t="shared" si="40"/>
        <v>3189346.29</v>
      </c>
      <c r="H70" s="107">
        <f t="shared" si="40"/>
        <v>2958579.6</v>
      </c>
      <c r="I70" s="107">
        <f t="shared" si="40"/>
        <v>3312181.47</v>
      </c>
      <c r="J70" s="107">
        <f t="shared" si="40"/>
        <v>3302276.56</v>
      </c>
      <c r="K70" s="107">
        <f t="shared" si="40"/>
        <v>3387528.09</v>
      </c>
      <c r="L70" s="107">
        <f t="shared" si="40"/>
        <v>-679342.64</v>
      </c>
      <c r="M70" s="107">
        <f t="shared" si="40"/>
        <v>2767585.02</v>
      </c>
      <c r="N70" s="107">
        <v>34805319.450000003</v>
      </c>
    </row>
    <row r="71" spans="1:14">
      <c r="A71" s="64"/>
      <c r="B71" s="22"/>
      <c r="C71" s="22"/>
      <c r="D71" s="22"/>
      <c r="E71" s="22"/>
      <c r="F71" s="22"/>
      <c r="G71" s="22"/>
      <c r="H71" s="22"/>
      <c r="I71" s="22"/>
      <c r="J71" s="22"/>
      <c r="K71" s="22"/>
      <c r="L71" s="22"/>
      <c r="M71" s="22"/>
      <c r="N71" s="22"/>
    </row>
    <row r="72" spans="1:14">
      <c r="A72" s="64" t="s">
        <v>68</v>
      </c>
      <c r="B72" s="22"/>
      <c r="C72" s="22"/>
      <c r="D72" s="22"/>
      <c r="E72" s="22"/>
      <c r="F72" s="22"/>
      <c r="G72" s="22"/>
      <c r="H72" s="22"/>
      <c r="I72" s="22"/>
      <c r="J72" s="22"/>
      <c r="K72" s="22"/>
      <c r="L72" s="22"/>
      <c r="M72" s="22"/>
      <c r="N72" s="22"/>
    </row>
    <row r="73" spans="1:14">
      <c r="A73" s="64" t="s">
        <v>66</v>
      </c>
      <c r="B73" s="111">
        <v>233025.91</v>
      </c>
      <c r="C73" s="111">
        <v>224360.39</v>
      </c>
      <c r="D73" s="111">
        <v>206566.11</v>
      </c>
      <c r="E73" s="111">
        <v>211078.48</v>
      </c>
      <c r="F73" s="111">
        <v>249654.79</v>
      </c>
      <c r="G73" s="111">
        <v>230283.29</v>
      </c>
      <c r="H73" s="111">
        <v>206128.37</v>
      </c>
      <c r="I73" s="111">
        <v>291749.83</v>
      </c>
      <c r="J73" s="111">
        <v>330063.49</v>
      </c>
      <c r="K73" s="111">
        <v>360456.51</v>
      </c>
      <c r="L73" s="111">
        <v>-110317.32</v>
      </c>
      <c r="M73" s="111">
        <v>209508.16</v>
      </c>
      <c r="N73" s="111">
        <v>2642558.0099999998</v>
      </c>
    </row>
    <row r="74" spans="1:14">
      <c r="A74" s="64" t="s">
        <v>69</v>
      </c>
      <c r="B74" s="107">
        <f t="shared" ref="B74:M74" si="41">SUM(B71:B73)</f>
        <v>233025.91</v>
      </c>
      <c r="C74" s="107">
        <f t="shared" si="41"/>
        <v>224360.39</v>
      </c>
      <c r="D74" s="107">
        <f t="shared" si="41"/>
        <v>206566.11</v>
      </c>
      <c r="E74" s="107">
        <f t="shared" si="41"/>
        <v>211078.48</v>
      </c>
      <c r="F74" s="107">
        <f t="shared" si="41"/>
        <v>249654.79</v>
      </c>
      <c r="G74" s="107">
        <f t="shared" si="41"/>
        <v>230283.29</v>
      </c>
      <c r="H74" s="107">
        <f t="shared" si="41"/>
        <v>206128.37</v>
      </c>
      <c r="I74" s="107">
        <f t="shared" si="41"/>
        <v>291749.83</v>
      </c>
      <c r="J74" s="107">
        <f t="shared" si="41"/>
        <v>330063.49</v>
      </c>
      <c r="K74" s="107">
        <f t="shared" si="41"/>
        <v>360456.51</v>
      </c>
      <c r="L74" s="107">
        <f t="shared" si="41"/>
        <v>-110317.32</v>
      </c>
      <c r="M74" s="107">
        <f t="shared" si="41"/>
        <v>209508.16</v>
      </c>
      <c r="N74" s="107">
        <v>2642558.0099999998</v>
      </c>
    </row>
    <row r="75" spans="1:14">
      <c r="A75" s="64"/>
      <c r="B75" s="22"/>
      <c r="C75" s="22"/>
      <c r="D75" s="22"/>
      <c r="E75" s="22"/>
      <c r="F75" s="22"/>
      <c r="G75" s="22"/>
      <c r="H75" s="22"/>
      <c r="I75" s="22"/>
      <c r="J75" s="22"/>
      <c r="K75" s="22"/>
      <c r="L75" s="22"/>
      <c r="M75" s="22"/>
      <c r="N75" s="22"/>
    </row>
    <row r="76" spans="1:14">
      <c r="A76" s="64" t="s">
        <v>70</v>
      </c>
      <c r="B76" s="22"/>
      <c r="C76" s="22"/>
      <c r="D76" s="22"/>
      <c r="E76" s="22"/>
      <c r="F76" s="22"/>
      <c r="G76" s="22"/>
      <c r="H76" s="22"/>
      <c r="I76" s="22"/>
      <c r="J76" s="22"/>
      <c r="K76" s="22"/>
      <c r="L76" s="22"/>
      <c r="M76" s="22"/>
      <c r="N76" s="22"/>
    </row>
    <row r="77" spans="1:14">
      <c r="A77" s="64" t="s">
        <v>66</v>
      </c>
      <c r="B77" s="111">
        <v>2398523.08</v>
      </c>
      <c r="C77" s="111">
        <v>2269817.91</v>
      </c>
      <c r="D77" s="111">
        <v>2371134.64</v>
      </c>
      <c r="E77" s="111">
        <v>1907143.44</v>
      </c>
      <c r="F77" s="111">
        <v>2254966.6</v>
      </c>
      <c r="G77" s="111">
        <v>3022603.01</v>
      </c>
      <c r="H77" s="111">
        <v>2599638.5499999998</v>
      </c>
      <c r="I77" s="111">
        <v>2231899.63</v>
      </c>
      <c r="J77" s="111">
        <v>2177349.04</v>
      </c>
      <c r="K77" s="111">
        <v>2047776.15</v>
      </c>
      <c r="L77" s="111">
        <v>-563463.46</v>
      </c>
      <c r="M77" s="111">
        <v>2247763.2799999998</v>
      </c>
      <c r="N77" s="111">
        <v>24965151.870000001</v>
      </c>
    </row>
    <row r="78" spans="1:14">
      <c r="A78" s="64" t="s">
        <v>71</v>
      </c>
      <c r="B78" s="107">
        <f t="shared" ref="B78:M78" si="42">SUM(B75:B77)</f>
        <v>2398523.08</v>
      </c>
      <c r="C78" s="107">
        <f t="shared" si="42"/>
        <v>2269817.91</v>
      </c>
      <c r="D78" s="107">
        <f t="shared" si="42"/>
        <v>2371134.64</v>
      </c>
      <c r="E78" s="107">
        <f t="shared" si="42"/>
        <v>1907143.44</v>
      </c>
      <c r="F78" s="107">
        <f t="shared" si="42"/>
        <v>2254966.6</v>
      </c>
      <c r="G78" s="107">
        <f t="shared" si="42"/>
        <v>3022603.01</v>
      </c>
      <c r="H78" s="107">
        <f t="shared" si="42"/>
        <v>2599638.5499999998</v>
      </c>
      <c r="I78" s="107">
        <f t="shared" si="42"/>
        <v>2231899.63</v>
      </c>
      <c r="J78" s="107">
        <f t="shared" si="42"/>
        <v>2177349.04</v>
      </c>
      <c r="K78" s="107">
        <f t="shared" si="42"/>
        <v>2047776.15</v>
      </c>
      <c r="L78" s="107">
        <f t="shared" si="42"/>
        <v>-563463.46</v>
      </c>
      <c r="M78" s="107">
        <f t="shared" si="42"/>
        <v>2247763.2799999998</v>
      </c>
      <c r="N78" s="107">
        <v>24965151.870000001</v>
      </c>
    </row>
    <row r="79" spans="1:14">
      <c r="A79" s="64"/>
      <c r="B79" s="22"/>
      <c r="C79" s="22"/>
      <c r="D79" s="22"/>
      <c r="E79" s="22"/>
      <c r="F79" s="22"/>
      <c r="G79" s="22"/>
      <c r="H79" s="22"/>
      <c r="I79" s="22"/>
      <c r="J79" s="22"/>
      <c r="K79" s="22"/>
      <c r="L79" s="22"/>
      <c r="M79" s="22"/>
      <c r="N79" s="22"/>
    </row>
    <row r="80" spans="1:14">
      <c r="A80" s="64" t="s">
        <v>72</v>
      </c>
      <c r="B80" s="113"/>
      <c r="C80" s="113"/>
      <c r="D80" s="113"/>
      <c r="E80" s="113"/>
      <c r="F80" s="113"/>
      <c r="G80" s="113"/>
      <c r="H80" s="113"/>
      <c r="I80" s="113"/>
      <c r="J80" s="113"/>
      <c r="K80" s="113"/>
      <c r="L80" s="113"/>
      <c r="M80" s="113"/>
      <c r="N80" s="113"/>
    </row>
    <row r="81" spans="1:14">
      <c r="A81" s="64" t="s">
        <v>314</v>
      </c>
      <c r="B81" s="107"/>
      <c r="C81" s="107"/>
      <c r="D81" s="107"/>
      <c r="E81" s="107"/>
      <c r="F81" s="107"/>
      <c r="G81" s="107"/>
      <c r="H81" s="107"/>
      <c r="I81" s="107"/>
      <c r="J81" s="107"/>
      <c r="K81" s="107"/>
      <c r="L81" s="107"/>
      <c r="M81" s="107"/>
      <c r="N81" s="107"/>
    </row>
    <row r="82" spans="1:14">
      <c r="A82" s="64"/>
      <c r="B82" s="22"/>
      <c r="C82" s="22"/>
      <c r="D82" s="22"/>
      <c r="E82" s="22"/>
      <c r="F82" s="22"/>
      <c r="G82" s="22"/>
      <c r="H82" s="22"/>
      <c r="I82" s="22"/>
      <c r="J82" s="22"/>
      <c r="K82" s="22"/>
      <c r="L82" s="22"/>
      <c r="M82" s="22"/>
      <c r="N82" s="22"/>
    </row>
    <row r="83" spans="1:14">
      <c r="A83" s="64" t="s">
        <v>73</v>
      </c>
      <c r="B83" s="22"/>
      <c r="C83" s="22"/>
      <c r="D83" s="22"/>
      <c r="E83" s="22"/>
      <c r="F83" s="22"/>
      <c r="G83" s="22"/>
      <c r="H83" s="22"/>
      <c r="I83" s="22"/>
      <c r="J83" s="22"/>
      <c r="K83" s="22"/>
      <c r="L83" s="22"/>
      <c r="M83" s="22"/>
      <c r="N83" s="22"/>
    </row>
    <row r="84" spans="1:14">
      <c r="A84" s="64" t="s">
        <v>66</v>
      </c>
      <c r="B84" s="111">
        <v>1922283.62</v>
      </c>
      <c r="C84" s="111">
        <v>1830340.65</v>
      </c>
      <c r="D84" s="111">
        <v>1962309.28</v>
      </c>
      <c r="E84" s="111">
        <v>2010539.34</v>
      </c>
      <c r="F84" s="111">
        <v>1978837.74</v>
      </c>
      <c r="G84" s="111">
        <v>2152925.5099999998</v>
      </c>
      <c r="H84" s="111">
        <v>2433072.27</v>
      </c>
      <c r="I84" s="111">
        <v>2297020.9300000002</v>
      </c>
      <c r="J84" s="111">
        <v>2041631.15</v>
      </c>
      <c r="K84" s="111">
        <v>2133207.04</v>
      </c>
      <c r="L84" s="111">
        <v>367636.69</v>
      </c>
      <c r="M84" s="111">
        <v>2230162.29</v>
      </c>
      <c r="N84" s="111">
        <v>23359966.510000002</v>
      </c>
    </row>
    <row r="85" spans="1:14">
      <c r="A85" s="64" t="s">
        <v>74</v>
      </c>
      <c r="B85" s="107">
        <f t="shared" ref="B85:M85" si="43">SUM(B82:B84)</f>
        <v>1922283.62</v>
      </c>
      <c r="C85" s="107">
        <f t="shared" si="43"/>
        <v>1830340.65</v>
      </c>
      <c r="D85" s="107">
        <f t="shared" si="43"/>
        <v>1962309.28</v>
      </c>
      <c r="E85" s="107">
        <f t="shared" si="43"/>
        <v>2010539.34</v>
      </c>
      <c r="F85" s="107">
        <f t="shared" si="43"/>
        <v>1978837.74</v>
      </c>
      <c r="G85" s="107">
        <f t="shared" si="43"/>
        <v>2152925.5099999998</v>
      </c>
      <c r="H85" s="107">
        <f t="shared" si="43"/>
        <v>2433072.27</v>
      </c>
      <c r="I85" s="107">
        <f t="shared" si="43"/>
        <v>2297020.9300000002</v>
      </c>
      <c r="J85" s="107">
        <f t="shared" si="43"/>
        <v>2041631.15</v>
      </c>
      <c r="K85" s="107">
        <f t="shared" si="43"/>
        <v>2133207.04</v>
      </c>
      <c r="L85" s="107">
        <f t="shared" si="43"/>
        <v>367636.69</v>
      </c>
      <c r="M85" s="107">
        <f t="shared" si="43"/>
        <v>2230162.29</v>
      </c>
      <c r="N85" s="107">
        <v>23359966.510000002</v>
      </c>
    </row>
    <row r="86" spans="1:14">
      <c r="A86" s="64"/>
      <c r="B86" s="22"/>
      <c r="C86" s="22"/>
      <c r="D86" s="22"/>
      <c r="E86" s="22"/>
      <c r="F86" s="22"/>
      <c r="G86" s="22"/>
      <c r="H86" s="22"/>
      <c r="I86" s="22"/>
      <c r="J86" s="22"/>
      <c r="K86" s="22"/>
      <c r="L86" s="22"/>
      <c r="M86" s="22"/>
      <c r="N86" s="22"/>
    </row>
    <row r="87" spans="1:14">
      <c r="A87" s="64" t="s">
        <v>75</v>
      </c>
      <c r="B87" s="22"/>
      <c r="C87" s="22"/>
      <c r="D87" s="22"/>
      <c r="E87" s="22"/>
      <c r="F87" s="22"/>
      <c r="G87" s="22"/>
      <c r="H87" s="22"/>
      <c r="I87" s="22"/>
      <c r="J87" s="22"/>
      <c r="K87" s="22"/>
      <c r="L87" s="22"/>
      <c r="M87" s="22"/>
      <c r="N87" s="22"/>
    </row>
    <row r="88" spans="1:14">
      <c r="A88" s="64" t="s">
        <v>66</v>
      </c>
      <c r="B88" s="111">
        <v>915780.71</v>
      </c>
      <c r="C88" s="111">
        <v>914571.44</v>
      </c>
      <c r="D88" s="111">
        <v>1020925.73</v>
      </c>
      <c r="E88" s="111">
        <v>988354.05</v>
      </c>
      <c r="F88" s="111">
        <v>1008806.33</v>
      </c>
      <c r="G88" s="111">
        <v>980507.78</v>
      </c>
      <c r="H88" s="111">
        <v>917630.19</v>
      </c>
      <c r="I88" s="111">
        <v>969759.51</v>
      </c>
      <c r="J88" s="111">
        <v>980873.41</v>
      </c>
      <c r="K88" s="111">
        <v>1094366.54</v>
      </c>
      <c r="L88" s="111">
        <v>168509.49</v>
      </c>
      <c r="M88" s="111">
        <v>922086.21</v>
      </c>
      <c r="N88" s="111">
        <v>10882171.390000001</v>
      </c>
    </row>
    <row r="89" spans="1:14">
      <c r="A89" s="64" t="s">
        <v>76</v>
      </c>
      <c r="B89" s="107">
        <f t="shared" ref="B89:M89" si="44">SUM(B86:B88)</f>
        <v>915780.71</v>
      </c>
      <c r="C89" s="107">
        <f t="shared" si="44"/>
        <v>914571.44</v>
      </c>
      <c r="D89" s="107">
        <f t="shared" si="44"/>
        <v>1020925.73</v>
      </c>
      <c r="E89" s="107">
        <f t="shared" si="44"/>
        <v>988354.05</v>
      </c>
      <c r="F89" s="107">
        <f t="shared" si="44"/>
        <v>1008806.33</v>
      </c>
      <c r="G89" s="107">
        <f t="shared" si="44"/>
        <v>980507.78</v>
      </c>
      <c r="H89" s="107">
        <f t="shared" si="44"/>
        <v>917630.19</v>
      </c>
      <c r="I89" s="107">
        <f t="shared" si="44"/>
        <v>969759.51</v>
      </c>
      <c r="J89" s="107">
        <f t="shared" si="44"/>
        <v>980873.41</v>
      </c>
      <c r="K89" s="107">
        <f t="shared" si="44"/>
        <v>1094366.54</v>
      </c>
      <c r="L89" s="107">
        <f t="shared" si="44"/>
        <v>168509.49</v>
      </c>
      <c r="M89" s="107">
        <f t="shared" si="44"/>
        <v>922086.21</v>
      </c>
      <c r="N89" s="107">
        <v>10882171.390000001</v>
      </c>
    </row>
    <row r="90" spans="1:14">
      <c r="A90" s="64"/>
      <c r="B90" s="113"/>
      <c r="C90" s="113"/>
      <c r="D90" s="113"/>
      <c r="E90" s="113"/>
      <c r="F90" s="113"/>
      <c r="G90" s="113"/>
      <c r="H90" s="113"/>
      <c r="I90" s="113"/>
      <c r="J90" s="113"/>
      <c r="K90" s="113"/>
      <c r="L90" s="113"/>
      <c r="M90" s="113"/>
      <c r="N90" s="113"/>
    </row>
    <row r="91" spans="1:14">
      <c r="A91" s="64" t="s">
        <v>42</v>
      </c>
      <c r="B91" s="107">
        <f t="shared" ref="B91:M91" si="45">SUM(B68:B90)-B70-B74-B78-B81-B85-B89</f>
        <v>8822762.6700000018</v>
      </c>
      <c r="C91" s="107">
        <f t="shared" si="45"/>
        <v>8512833.1999999974</v>
      </c>
      <c r="D91" s="107">
        <f t="shared" si="45"/>
        <v>8950732.1400000025</v>
      </c>
      <c r="E91" s="107">
        <f t="shared" si="45"/>
        <v>8378460.5500000017</v>
      </c>
      <c r="F91" s="107">
        <f t="shared" si="45"/>
        <v>8781396.7400000021</v>
      </c>
      <c r="G91" s="107">
        <f t="shared" si="45"/>
        <v>9575665.8800000045</v>
      </c>
      <c r="H91" s="107">
        <f t="shared" si="45"/>
        <v>9115048.9800000023</v>
      </c>
      <c r="I91" s="107">
        <f t="shared" si="45"/>
        <v>9102611.3700000029</v>
      </c>
      <c r="J91" s="107">
        <f t="shared" si="45"/>
        <v>8832193.6500000004</v>
      </c>
      <c r="K91" s="107">
        <f t="shared" si="45"/>
        <v>9023334.3299999982</v>
      </c>
      <c r="L91" s="107">
        <f t="shared" si="45"/>
        <v>-816977.24</v>
      </c>
      <c r="M91" s="107">
        <f t="shared" si="45"/>
        <v>8377104.9600000018</v>
      </c>
      <c r="N91" s="107">
        <v>96655167.230000004</v>
      </c>
    </row>
    <row r="92" spans="1:14">
      <c r="A92" s="64"/>
      <c r="B92" s="22"/>
      <c r="C92" s="22"/>
      <c r="D92" s="22"/>
      <c r="E92" s="22"/>
      <c r="F92" s="22"/>
      <c r="G92" s="22"/>
      <c r="H92" s="22"/>
      <c r="I92" s="22"/>
      <c r="J92" s="22"/>
      <c r="K92" s="22"/>
      <c r="L92" s="22"/>
      <c r="M92" s="22"/>
      <c r="N92" s="22"/>
    </row>
    <row r="93" spans="1:14">
      <c r="A93" s="64" t="s">
        <v>43</v>
      </c>
      <c r="B93" s="22"/>
      <c r="C93" s="22"/>
      <c r="D93" s="22"/>
      <c r="E93" s="22"/>
      <c r="F93" s="22"/>
      <c r="G93" s="22"/>
      <c r="H93" s="22"/>
      <c r="I93" s="22"/>
      <c r="J93" s="22"/>
      <c r="K93" s="22"/>
      <c r="L93" s="22"/>
      <c r="M93" s="22"/>
      <c r="N93" s="22"/>
    </row>
    <row r="94" spans="1:14">
      <c r="A94" s="64"/>
      <c r="B94" s="22"/>
      <c r="C94" s="22"/>
      <c r="D94" s="22"/>
      <c r="E94" s="22"/>
      <c r="F94" s="22"/>
      <c r="G94" s="22"/>
      <c r="H94" s="22"/>
      <c r="I94" s="22"/>
      <c r="J94" s="22"/>
      <c r="K94" s="22"/>
      <c r="L94" s="22"/>
      <c r="M94" s="22"/>
      <c r="N94" s="22"/>
    </row>
    <row r="95" spans="1:14">
      <c r="A95" s="64" t="s">
        <v>65</v>
      </c>
      <c r="B95" s="22"/>
      <c r="C95" s="22"/>
      <c r="D95" s="22"/>
      <c r="E95" s="22"/>
      <c r="F95" s="22"/>
      <c r="G95" s="22"/>
      <c r="H95" s="22"/>
      <c r="I95" s="22"/>
      <c r="J95" s="22"/>
      <c r="K95" s="22"/>
      <c r="L95" s="22"/>
      <c r="M95" s="22"/>
      <c r="N95" s="22"/>
    </row>
    <row r="96" spans="1:14">
      <c r="A96" s="64" t="s">
        <v>66</v>
      </c>
      <c r="B96" s="111">
        <v>242.31</v>
      </c>
      <c r="C96" s="111">
        <v>-85850.15</v>
      </c>
      <c r="D96" s="111">
        <v>46788.49</v>
      </c>
      <c r="E96" s="111">
        <v>-68272.789999999994</v>
      </c>
      <c r="F96" s="111">
        <v>13512.44</v>
      </c>
      <c r="G96" s="111">
        <v>47677.46</v>
      </c>
      <c r="H96" s="111">
        <v>-144114.81</v>
      </c>
      <c r="I96" s="111">
        <v>-21793.72</v>
      </c>
      <c r="J96" s="111">
        <v>91809.78</v>
      </c>
      <c r="K96" s="111">
        <v>-22156.19</v>
      </c>
      <c r="L96" s="111">
        <v>-42614.28</v>
      </c>
      <c r="M96" s="111">
        <v>68059.56</v>
      </c>
      <c r="N96" s="111">
        <v>-116711.9</v>
      </c>
    </row>
    <row r="97" spans="1:14">
      <c r="A97" s="64" t="s">
        <v>67</v>
      </c>
      <c r="B97" s="107">
        <f t="shared" ref="B97:M97" si="46">SUM(B95:B96)</f>
        <v>242.31</v>
      </c>
      <c r="C97" s="107">
        <f t="shared" si="46"/>
        <v>-85850.15</v>
      </c>
      <c r="D97" s="107">
        <f t="shared" si="46"/>
        <v>46788.49</v>
      </c>
      <c r="E97" s="107">
        <f t="shared" si="46"/>
        <v>-68272.789999999994</v>
      </c>
      <c r="F97" s="107">
        <f t="shared" si="46"/>
        <v>13512.44</v>
      </c>
      <c r="G97" s="107">
        <f t="shared" si="46"/>
        <v>47677.46</v>
      </c>
      <c r="H97" s="107">
        <f t="shared" si="46"/>
        <v>-144114.81</v>
      </c>
      <c r="I97" s="107">
        <f t="shared" si="46"/>
        <v>-21793.72</v>
      </c>
      <c r="J97" s="107">
        <f t="shared" si="46"/>
        <v>91809.78</v>
      </c>
      <c r="K97" s="107">
        <f t="shared" si="46"/>
        <v>-22156.19</v>
      </c>
      <c r="L97" s="107">
        <f t="shared" si="46"/>
        <v>-42614.28</v>
      </c>
      <c r="M97" s="107">
        <f t="shared" si="46"/>
        <v>68059.56</v>
      </c>
      <c r="N97" s="107">
        <v>-116711.9</v>
      </c>
    </row>
    <row r="98" spans="1:14">
      <c r="A98" s="64"/>
      <c r="B98" s="22"/>
      <c r="C98" s="22"/>
      <c r="D98" s="22"/>
      <c r="E98" s="22"/>
      <c r="F98" s="22"/>
      <c r="G98" s="22"/>
      <c r="H98" s="22"/>
      <c r="I98" s="22"/>
      <c r="J98" s="22"/>
      <c r="K98" s="22"/>
      <c r="L98" s="22"/>
      <c r="M98" s="22"/>
      <c r="N98" s="22"/>
    </row>
    <row r="99" spans="1:14">
      <c r="A99" s="64" t="s">
        <v>68</v>
      </c>
      <c r="B99" s="22"/>
      <c r="C99" s="22"/>
      <c r="D99" s="22"/>
      <c r="E99" s="22"/>
      <c r="F99" s="22"/>
      <c r="G99" s="22"/>
      <c r="H99" s="22"/>
      <c r="I99" s="22"/>
      <c r="J99" s="22"/>
      <c r="K99" s="22"/>
      <c r="L99" s="22"/>
      <c r="M99" s="22"/>
      <c r="N99" s="22"/>
    </row>
    <row r="100" spans="1:14">
      <c r="A100" s="64" t="s">
        <v>66</v>
      </c>
      <c r="B100" s="111">
        <v>-5746.27</v>
      </c>
      <c r="C100" s="111">
        <v>45755.43</v>
      </c>
      <c r="D100" s="111">
        <v>-24036.53</v>
      </c>
      <c r="E100" s="111">
        <v>6943.45</v>
      </c>
      <c r="F100" s="111">
        <v>13535.1</v>
      </c>
      <c r="G100" s="111">
        <v>37324.78</v>
      </c>
      <c r="H100" s="111">
        <v>-15522.51</v>
      </c>
      <c r="I100" s="111">
        <v>-17088.16</v>
      </c>
      <c r="J100" s="111">
        <v>7675.62</v>
      </c>
      <c r="K100" s="111">
        <v>2078.66</v>
      </c>
      <c r="L100" s="111">
        <v>-11987.38</v>
      </c>
      <c r="M100" s="111">
        <v>-35053.379999999997</v>
      </c>
      <c r="N100" s="111">
        <v>3878.81</v>
      </c>
    </row>
    <row r="101" spans="1:14">
      <c r="A101" s="64" t="s">
        <v>69</v>
      </c>
      <c r="B101" s="107">
        <f t="shared" ref="B101:M101" si="47">SUM(B98:B100)</f>
        <v>-5746.27</v>
      </c>
      <c r="C101" s="107">
        <f t="shared" si="47"/>
        <v>45755.43</v>
      </c>
      <c r="D101" s="107">
        <f t="shared" si="47"/>
        <v>-24036.53</v>
      </c>
      <c r="E101" s="107">
        <f t="shared" si="47"/>
        <v>6943.45</v>
      </c>
      <c r="F101" s="107">
        <f t="shared" si="47"/>
        <v>13535.1</v>
      </c>
      <c r="G101" s="107">
        <f t="shared" si="47"/>
        <v>37324.78</v>
      </c>
      <c r="H101" s="107">
        <f t="shared" si="47"/>
        <v>-15522.51</v>
      </c>
      <c r="I101" s="107">
        <f t="shared" si="47"/>
        <v>-17088.16</v>
      </c>
      <c r="J101" s="107">
        <f t="shared" si="47"/>
        <v>7675.62</v>
      </c>
      <c r="K101" s="107">
        <f t="shared" si="47"/>
        <v>2078.66</v>
      </c>
      <c r="L101" s="107">
        <f t="shared" si="47"/>
        <v>-11987.38</v>
      </c>
      <c r="M101" s="107">
        <f t="shared" si="47"/>
        <v>-35053.379999999997</v>
      </c>
      <c r="N101" s="107">
        <v>3878.81</v>
      </c>
    </row>
    <row r="102" spans="1:14">
      <c r="A102" s="64"/>
      <c r="B102" s="22"/>
      <c r="C102" s="22"/>
      <c r="D102" s="22"/>
      <c r="E102" s="22"/>
      <c r="F102" s="22"/>
      <c r="G102" s="22"/>
      <c r="H102" s="22"/>
      <c r="I102" s="22"/>
      <c r="J102" s="22"/>
      <c r="K102" s="22"/>
      <c r="L102" s="22"/>
      <c r="M102" s="22"/>
      <c r="N102" s="22"/>
    </row>
    <row r="103" spans="1:14">
      <c r="A103" s="64" t="s">
        <v>70</v>
      </c>
      <c r="B103" s="22"/>
      <c r="C103" s="22"/>
      <c r="D103" s="22"/>
      <c r="E103" s="22"/>
      <c r="F103" s="22"/>
      <c r="G103" s="22"/>
      <c r="H103" s="22"/>
      <c r="I103" s="22"/>
      <c r="J103" s="22"/>
      <c r="K103" s="22"/>
      <c r="L103" s="22"/>
      <c r="M103" s="22"/>
      <c r="N103" s="22"/>
    </row>
    <row r="104" spans="1:14">
      <c r="A104" s="64" t="s">
        <v>66</v>
      </c>
      <c r="B104" s="111">
        <v>-26284.77</v>
      </c>
      <c r="C104" s="111">
        <v>-69116.09</v>
      </c>
      <c r="D104" s="111">
        <v>-69499.94</v>
      </c>
      <c r="E104" s="111">
        <v>-64713.78</v>
      </c>
      <c r="F104" s="111">
        <v>5675.86</v>
      </c>
      <c r="G104" s="111">
        <v>-5342.56</v>
      </c>
      <c r="H104" s="111">
        <v>-5800.71</v>
      </c>
      <c r="I104" s="111">
        <v>237390.47</v>
      </c>
      <c r="J104" s="111">
        <v>4853.4399999999996</v>
      </c>
      <c r="K104" s="111">
        <v>-275909.59000000003</v>
      </c>
      <c r="L104" s="111">
        <v>8509.74</v>
      </c>
      <c r="M104" s="111">
        <v>12808.3</v>
      </c>
      <c r="N104" s="111">
        <v>-247429.63</v>
      </c>
    </row>
    <row r="105" spans="1:14">
      <c r="A105" s="64" t="s">
        <v>71</v>
      </c>
      <c r="B105" s="107">
        <f t="shared" ref="B105:M105" si="48">SUM(B102:B104)</f>
        <v>-26284.77</v>
      </c>
      <c r="C105" s="107">
        <f t="shared" si="48"/>
        <v>-69116.09</v>
      </c>
      <c r="D105" s="107">
        <f t="shared" si="48"/>
        <v>-69499.94</v>
      </c>
      <c r="E105" s="107">
        <f t="shared" si="48"/>
        <v>-64713.78</v>
      </c>
      <c r="F105" s="107">
        <f t="shared" si="48"/>
        <v>5675.86</v>
      </c>
      <c r="G105" s="107">
        <f t="shared" si="48"/>
        <v>-5342.56</v>
      </c>
      <c r="H105" s="107">
        <f t="shared" si="48"/>
        <v>-5800.71</v>
      </c>
      <c r="I105" s="107">
        <f t="shared" si="48"/>
        <v>237390.47</v>
      </c>
      <c r="J105" s="107">
        <f t="shared" si="48"/>
        <v>4853.4399999999996</v>
      </c>
      <c r="K105" s="107">
        <f t="shared" si="48"/>
        <v>-275909.59000000003</v>
      </c>
      <c r="L105" s="107">
        <f t="shared" si="48"/>
        <v>8509.74</v>
      </c>
      <c r="M105" s="107">
        <f t="shared" si="48"/>
        <v>12808.3</v>
      </c>
      <c r="N105" s="107">
        <v>-247429.63</v>
      </c>
    </row>
    <row r="106" spans="1:14">
      <c r="A106" s="64"/>
      <c r="B106" s="22"/>
      <c r="C106" s="22"/>
      <c r="D106" s="22"/>
      <c r="E106" s="22"/>
      <c r="F106" s="22"/>
      <c r="G106" s="22"/>
      <c r="H106" s="22"/>
      <c r="I106" s="22"/>
      <c r="J106" s="22"/>
      <c r="K106" s="22"/>
      <c r="L106" s="22"/>
      <c r="M106" s="22"/>
      <c r="N106" s="22"/>
    </row>
    <row r="107" spans="1:14">
      <c r="A107" s="64" t="s">
        <v>72</v>
      </c>
      <c r="B107" s="113"/>
      <c r="C107" s="113"/>
      <c r="D107" s="113"/>
      <c r="E107" s="113"/>
      <c r="F107" s="113"/>
      <c r="G107" s="113"/>
      <c r="H107" s="113"/>
      <c r="I107" s="113"/>
      <c r="J107" s="113"/>
      <c r="K107" s="113"/>
      <c r="L107" s="113"/>
      <c r="M107" s="113"/>
      <c r="N107" s="113"/>
    </row>
    <row r="108" spans="1:14">
      <c r="A108" s="64" t="s">
        <v>314</v>
      </c>
      <c r="B108" s="107"/>
      <c r="C108" s="107"/>
      <c r="D108" s="107"/>
      <c r="E108" s="107"/>
      <c r="F108" s="107"/>
      <c r="G108" s="107"/>
      <c r="H108" s="107"/>
      <c r="I108" s="107"/>
      <c r="J108" s="107"/>
      <c r="K108" s="107"/>
      <c r="L108" s="107"/>
      <c r="M108" s="107"/>
      <c r="N108" s="107"/>
    </row>
    <row r="109" spans="1:14">
      <c r="A109" s="64"/>
      <c r="B109" s="22"/>
      <c r="C109" s="22"/>
      <c r="D109" s="22"/>
      <c r="E109" s="22"/>
      <c r="F109" s="22"/>
      <c r="G109" s="22"/>
      <c r="H109" s="22"/>
      <c r="I109" s="22"/>
      <c r="J109" s="22"/>
      <c r="K109" s="22"/>
      <c r="L109" s="22"/>
      <c r="M109" s="22"/>
      <c r="N109" s="22"/>
    </row>
    <row r="110" spans="1:14">
      <c r="A110" s="64" t="s">
        <v>73</v>
      </c>
      <c r="B110" s="22"/>
      <c r="C110" s="22"/>
      <c r="D110" s="22"/>
      <c r="E110" s="22"/>
      <c r="F110" s="22"/>
      <c r="G110" s="22"/>
      <c r="H110" s="22"/>
      <c r="I110" s="22"/>
      <c r="J110" s="22"/>
      <c r="K110" s="22"/>
      <c r="L110" s="22"/>
      <c r="M110" s="22"/>
      <c r="N110" s="22"/>
    </row>
    <row r="111" spans="1:14">
      <c r="A111" s="64" t="s">
        <v>66</v>
      </c>
      <c r="B111" s="111">
        <v>-45849.5</v>
      </c>
      <c r="C111" s="111">
        <v>10424.780000000001</v>
      </c>
      <c r="D111" s="111">
        <v>-50063.38</v>
      </c>
      <c r="E111" s="111">
        <v>122192.74</v>
      </c>
      <c r="F111" s="111">
        <v>4754.3999999999996</v>
      </c>
      <c r="G111" s="111">
        <v>25250.62</v>
      </c>
      <c r="H111" s="111">
        <v>-11438.62</v>
      </c>
      <c r="I111" s="111">
        <v>-118049.37</v>
      </c>
      <c r="J111" s="111">
        <v>9992.01</v>
      </c>
      <c r="K111" s="111">
        <v>214452.79</v>
      </c>
      <c r="L111" s="111">
        <v>62921.09</v>
      </c>
      <c r="M111" s="111">
        <v>20155.599999999999</v>
      </c>
      <c r="N111" s="111">
        <v>244743.16</v>
      </c>
    </row>
    <row r="112" spans="1:14">
      <c r="A112" s="64" t="s">
        <v>74</v>
      </c>
      <c r="B112" s="107">
        <f t="shared" ref="B112:M112" si="49">SUM(B109:B111)</f>
        <v>-45849.5</v>
      </c>
      <c r="C112" s="107">
        <f t="shared" si="49"/>
        <v>10424.780000000001</v>
      </c>
      <c r="D112" s="107">
        <f t="shared" si="49"/>
        <v>-50063.38</v>
      </c>
      <c r="E112" s="107">
        <f t="shared" si="49"/>
        <v>122192.74</v>
      </c>
      <c r="F112" s="107">
        <f t="shared" si="49"/>
        <v>4754.3999999999996</v>
      </c>
      <c r="G112" s="107">
        <f t="shared" si="49"/>
        <v>25250.62</v>
      </c>
      <c r="H112" s="107">
        <f t="shared" si="49"/>
        <v>-11438.62</v>
      </c>
      <c r="I112" s="107">
        <f t="shared" si="49"/>
        <v>-118049.37</v>
      </c>
      <c r="J112" s="107">
        <f t="shared" si="49"/>
        <v>9992.01</v>
      </c>
      <c r="K112" s="107">
        <f t="shared" si="49"/>
        <v>214452.79</v>
      </c>
      <c r="L112" s="107">
        <f t="shared" si="49"/>
        <v>62921.09</v>
      </c>
      <c r="M112" s="107">
        <f t="shared" si="49"/>
        <v>20155.599999999999</v>
      </c>
      <c r="N112" s="107">
        <v>244743.16</v>
      </c>
    </row>
    <row r="113" spans="1:14">
      <c r="A113" s="64"/>
      <c r="B113" s="22"/>
      <c r="C113" s="22"/>
      <c r="D113" s="22"/>
      <c r="E113" s="22"/>
      <c r="F113" s="22"/>
      <c r="G113" s="22"/>
      <c r="H113" s="22"/>
      <c r="I113" s="22"/>
      <c r="J113" s="22"/>
      <c r="K113" s="22"/>
      <c r="L113" s="22"/>
      <c r="M113" s="22"/>
      <c r="N113" s="22"/>
    </row>
    <row r="114" spans="1:14">
      <c r="A114" s="64" t="s">
        <v>75</v>
      </c>
      <c r="B114" s="22"/>
      <c r="C114" s="22"/>
      <c r="D114" s="22"/>
      <c r="E114" s="22"/>
      <c r="F114" s="22"/>
      <c r="G114" s="22"/>
      <c r="H114" s="22"/>
      <c r="I114" s="22"/>
      <c r="J114" s="22"/>
      <c r="K114" s="22"/>
      <c r="L114" s="22"/>
      <c r="M114" s="22"/>
      <c r="N114" s="22"/>
    </row>
    <row r="115" spans="1:14">
      <c r="A115" s="64" t="s">
        <v>66</v>
      </c>
      <c r="B115" s="111">
        <v>29968.31</v>
      </c>
      <c r="C115" s="111">
        <v>70052.210000000006</v>
      </c>
      <c r="D115" s="111">
        <v>2794.32</v>
      </c>
      <c r="E115" s="111">
        <v>52354.58</v>
      </c>
      <c r="F115" s="111">
        <v>7091.13</v>
      </c>
      <c r="G115" s="111">
        <v>-43954.879999999997</v>
      </c>
      <c r="H115" s="111">
        <v>90524.13</v>
      </c>
      <c r="I115" s="111">
        <v>6966.57</v>
      </c>
      <c r="J115" s="111">
        <v>-71585</v>
      </c>
      <c r="K115" s="111">
        <v>47193.52</v>
      </c>
      <c r="L115" s="111">
        <v>22922.23</v>
      </c>
      <c r="M115" s="111">
        <v>-29166.01</v>
      </c>
      <c r="N115" s="111">
        <v>185161.11</v>
      </c>
    </row>
    <row r="116" spans="1:14">
      <c r="A116" s="64" t="s">
        <v>76</v>
      </c>
      <c r="B116" s="107">
        <f t="shared" ref="B116:M116" si="50">SUM(B113:B115)</f>
        <v>29968.31</v>
      </c>
      <c r="C116" s="107">
        <f t="shared" si="50"/>
        <v>70052.210000000006</v>
      </c>
      <c r="D116" s="107">
        <f t="shared" si="50"/>
        <v>2794.32</v>
      </c>
      <c r="E116" s="107">
        <f t="shared" si="50"/>
        <v>52354.58</v>
      </c>
      <c r="F116" s="107">
        <f t="shared" si="50"/>
        <v>7091.13</v>
      </c>
      <c r="G116" s="107">
        <f t="shared" si="50"/>
        <v>-43954.879999999997</v>
      </c>
      <c r="H116" s="107">
        <f t="shared" si="50"/>
        <v>90524.13</v>
      </c>
      <c r="I116" s="107">
        <f t="shared" si="50"/>
        <v>6966.57</v>
      </c>
      <c r="J116" s="107">
        <f t="shared" si="50"/>
        <v>-71585</v>
      </c>
      <c r="K116" s="107">
        <f t="shared" si="50"/>
        <v>47193.52</v>
      </c>
      <c r="L116" s="107">
        <f t="shared" si="50"/>
        <v>22922.23</v>
      </c>
      <c r="M116" s="107">
        <f t="shared" si="50"/>
        <v>-29166.01</v>
      </c>
      <c r="N116" s="107">
        <v>185161.11</v>
      </c>
    </row>
    <row r="117" spans="1:14">
      <c r="A117" s="64"/>
      <c r="B117" s="113"/>
      <c r="C117" s="113"/>
      <c r="D117" s="113"/>
      <c r="E117" s="113"/>
      <c r="F117" s="113"/>
      <c r="G117" s="113"/>
      <c r="H117" s="113"/>
      <c r="I117" s="113"/>
      <c r="J117" s="113"/>
      <c r="K117" s="113"/>
      <c r="L117" s="113"/>
      <c r="M117" s="113"/>
      <c r="N117" s="113"/>
    </row>
    <row r="118" spans="1:14">
      <c r="A118" s="64" t="s">
        <v>44</v>
      </c>
      <c r="B118" s="107">
        <f t="shared" ref="B118:M118" si="51">SUM(B93:B117)-B97-B101-B105-B108-B112-B116</f>
        <v>-47669.920000000013</v>
      </c>
      <c r="C118" s="107">
        <f t="shared" si="51"/>
        <v>-28733.82</v>
      </c>
      <c r="D118" s="107">
        <f t="shared" si="51"/>
        <v>-94017.039999999979</v>
      </c>
      <c r="E118" s="107">
        <f t="shared" si="51"/>
        <v>48504.199999999983</v>
      </c>
      <c r="F118" s="107">
        <f t="shared" si="51"/>
        <v>44568.93</v>
      </c>
      <c r="G118" s="107">
        <f t="shared" si="51"/>
        <v>60955.42</v>
      </c>
      <c r="H118" s="107">
        <f t="shared" si="51"/>
        <v>-86352.520000000048</v>
      </c>
      <c r="I118" s="107">
        <f t="shared" si="51"/>
        <v>87425.790000000008</v>
      </c>
      <c r="J118" s="107">
        <f t="shared" si="51"/>
        <v>42745.850000000013</v>
      </c>
      <c r="K118" s="107">
        <f t="shared" si="51"/>
        <v>-34340.809999999947</v>
      </c>
      <c r="L118" s="107">
        <f t="shared" si="51"/>
        <v>39751.399999999994</v>
      </c>
      <c r="M118" s="107">
        <f t="shared" si="51"/>
        <v>36804.070000000014</v>
      </c>
      <c r="N118" s="107">
        <v>69641.55</v>
      </c>
    </row>
    <row r="119" spans="1:14">
      <c r="A119" s="64"/>
      <c r="B119" s="22"/>
      <c r="C119" s="22"/>
      <c r="D119" s="22"/>
      <c r="E119" s="22"/>
      <c r="F119" s="22"/>
      <c r="G119" s="22"/>
      <c r="H119" s="22"/>
      <c r="I119" s="22"/>
      <c r="J119" s="22"/>
      <c r="K119" s="22"/>
      <c r="L119" s="22"/>
      <c r="M119" s="22"/>
      <c r="N119" s="22"/>
    </row>
    <row r="120" spans="1:14">
      <c r="A120" s="64" t="s">
        <v>45</v>
      </c>
      <c r="B120" s="22"/>
      <c r="C120" s="22"/>
      <c r="D120" s="22"/>
      <c r="E120" s="22"/>
      <c r="F120" s="22"/>
      <c r="G120" s="22"/>
      <c r="H120" s="22"/>
      <c r="I120" s="22"/>
      <c r="J120" s="22"/>
      <c r="K120" s="22"/>
      <c r="L120" s="22"/>
      <c r="M120" s="22"/>
      <c r="N120" s="22"/>
    </row>
    <row r="121" spans="1:14">
      <c r="A121" s="64"/>
      <c r="B121" s="22"/>
      <c r="C121" s="22"/>
      <c r="D121" s="22"/>
      <c r="E121" s="22"/>
      <c r="F121" s="22"/>
      <c r="G121" s="22"/>
      <c r="H121" s="22"/>
      <c r="I121" s="22"/>
      <c r="J121" s="22"/>
      <c r="K121" s="22"/>
      <c r="L121" s="22"/>
      <c r="M121" s="22"/>
      <c r="N121" s="22"/>
    </row>
    <row r="122" spans="1:14">
      <c r="A122" s="64" t="s">
        <v>19</v>
      </c>
      <c r="B122" s="22"/>
      <c r="C122" s="22"/>
      <c r="D122" s="22"/>
      <c r="E122" s="22"/>
      <c r="F122" s="22"/>
      <c r="G122" s="22"/>
      <c r="H122" s="22"/>
      <c r="I122" s="22"/>
      <c r="J122" s="22"/>
      <c r="K122" s="22"/>
      <c r="L122" s="22"/>
      <c r="M122" s="22"/>
      <c r="N122" s="22"/>
    </row>
    <row r="123" spans="1:14">
      <c r="A123" s="64" t="s">
        <v>77</v>
      </c>
      <c r="B123" s="107">
        <v>6767.67</v>
      </c>
      <c r="C123" s="107">
        <v>2056.9899999999998</v>
      </c>
      <c r="D123" s="107">
        <v>4869.1000000000004</v>
      </c>
      <c r="E123" s="107">
        <v>1665.77</v>
      </c>
      <c r="F123" s="107">
        <v>6004.83</v>
      </c>
      <c r="G123" s="107">
        <v>3465.57</v>
      </c>
      <c r="H123" s="107">
        <v>3115.29</v>
      </c>
      <c r="I123" s="107">
        <v>8768.1299999999992</v>
      </c>
      <c r="J123" s="107">
        <v>4243.6899999999996</v>
      </c>
      <c r="K123" s="107">
        <v>4768.38</v>
      </c>
      <c r="L123" s="107">
        <v>9778.4599999999991</v>
      </c>
      <c r="M123" s="107">
        <v>5324.44</v>
      </c>
      <c r="N123" s="107">
        <v>60828.32</v>
      </c>
    </row>
    <row r="124" spans="1:14">
      <c r="A124" s="64" t="s">
        <v>78</v>
      </c>
      <c r="B124" s="107">
        <v>15430</v>
      </c>
      <c r="C124" s="107">
        <v>18735</v>
      </c>
      <c r="D124" s="107">
        <v>21870</v>
      </c>
      <c r="E124" s="107">
        <v>14425</v>
      </c>
      <c r="F124" s="107">
        <v>15240</v>
      </c>
      <c r="G124" s="107">
        <v>10335</v>
      </c>
      <c r="H124" s="107">
        <v>-425</v>
      </c>
      <c r="I124" s="107">
        <v>19935</v>
      </c>
      <c r="J124" s="107">
        <v>26385</v>
      </c>
      <c r="K124" s="107">
        <v>17245</v>
      </c>
      <c r="L124" s="107">
        <v>-17410</v>
      </c>
      <c r="M124" s="107">
        <v>6845</v>
      </c>
      <c r="N124" s="107">
        <v>148610</v>
      </c>
    </row>
    <row r="125" spans="1:14">
      <c r="A125" s="64" t="s">
        <v>315</v>
      </c>
      <c r="B125" s="107">
        <v>21180</v>
      </c>
      <c r="C125" s="107">
        <v>17755</v>
      </c>
      <c r="D125" s="107">
        <v>30165</v>
      </c>
      <c r="E125" s="107">
        <v>22290</v>
      </c>
      <c r="F125" s="107">
        <v>5335</v>
      </c>
      <c r="G125" s="107">
        <v>17180</v>
      </c>
      <c r="H125" s="107">
        <v>645</v>
      </c>
      <c r="I125" s="107">
        <v>37865</v>
      </c>
      <c r="J125" s="107">
        <v>31480</v>
      </c>
      <c r="K125" s="107">
        <v>18290</v>
      </c>
      <c r="L125" s="107">
        <v>-38660</v>
      </c>
      <c r="M125" s="107">
        <v>5895</v>
      </c>
      <c r="N125" s="107">
        <v>169420</v>
      </c>
    </row>
    <row r="126" spans="1:14">
      <c r="A126" s="64" t="s">
        <v>316</v>
      </c>
      <c r="B126" s="107">
        <v>12840</v>
      </c>
      <c r="C126" s="107">
        <v>6995</v>
      </c>
      <c r="D126" s="107">
        <v>9295</v>
      </c>
      <c r="E126" s="107">
        <v>7560</v>
      </c>
      <c r="F126" s="107">
        <v>-5320</v>
      </c>
      <c r="G126" s="107">
        <v>9265</v>
      </c>
      <c r="H126" s="107">
        <v>5560</v>
      </c>
      <c r="I126" s="107">
        <v>3675</v>
      </c>
      <c r="J126" s="107">
        <v>10260</v>
      </c>
      <c r="K126" s="107">
        <v>10185</v>
      </c>
      <c r="L126" s="107">
        <v>-13030</v>
      </c>
      <c r="M126" s="107">
        <v>275</v>
      </c>
      <c r="N126" s="107">
        <v>57560</v>
      </c>
    </row>
    <row r="127" spans="1:14">
      <c r="A127" s="64" t="s">
        <v>79</v>
      </c>
      <c r="B127" s="107">
        <v>450</v>
      </c>
      <c r="C127" s="107">
        <v>900</v>
      </c>
      <c r="D127" s="107">
        <v>900</v>
      </c>
      <c r="E127" s="107">
        <v>450</v>
      </c>
      <c r="F127" s="107">
        <v>900</v>
      </c>
      <c r="G127" s="107">
        <v>900</v>
      </c>
      <c r="H127" s="107">
        <v>1800</v>
      </c>
      <c r="I127" s="22"/>
      <c r="J127" s="107">
        <v>950</v>
      </c>
      <c r="K127" s="22"/>
      <c r="L127" s="107">
        <v>-500</v>
      </c>
      <c r="M127" s="107">
        <v>900</v>
      </c>
      <c r="N127" s="107">
        <v>7650</v>
      </c>
    </row>
    <row r="128" spans="1:14">
      <c r="A128" s="64" t="s">
        <v>80</v>
      </c>
      <c r="B128" s="107">
        <v>2668.65</v>
      </c>
      <c r="C128" s="107">
        <v>4456.82</v>
      </c>
      <c r="D128" s="107">
        <v>1395.73</v>
      </c>
      <c r="E128" s="107">
        <v>3121.34</v>
      </c>
      <c r="F128" s="107">
        <v>7901.05</v>
      </c>
      <c r="G128" s="107">
        <v>5563.12</v>
      </c>
      <c r="H128" s="107">
        <v>6736.9</v>
      </c>
      <c r="I128" s="107">
        <v>2500.33</v>
      </c>
      <c r="J128" s="107">
        <v>995.14</v>
      </c>
      <c r="K128" s="107">
        <v>482.96</v>
      </c>
      <c r="L128" s="107">
        <v>-3514.2</v>
      </c>
      <c r="M128" s="107">
        <v>745.68</v>
      </c>
      <c r="N128" s="107">
        <v>33053.519999999997</v>
      </c>
    </row>
    <row r="129" spans="1:14">
      <c r="A129" s="64" t="s">
        <v>81</v>
      </c>
      <c r="B129" s="107">
        <v>6938.75</v>
      </c>
      <c r="C129" s="107">
        <v>7513.04</v>
      </c>
      <c r="D129" s="107">
        <v>7360.95</v>
      </c>
      <c r="E129" s="107">
        <v>7074.57</v>
      </c>
      <c r="F129" s="107">
        <v>6967.12</v>
      </c>
      <c r="G129" s="107">
        <v>5924.97</v>
      </c>
      <c r="H129" s="107">
        <v>5884.53</v>
      </c>
      <c r="I129" s="107">
        <v>6020.31</v>
      </c>
      <c r="J129" s="107">
        <v>5681.44</v>
      </c>
      <c r="K129" s="107">
        <v>8056.56</v>
      </c>
      <c r="L129" s="107">
        <v>7948.76</v>
      </c>
      <c r="M129" s="107">
        <v>8243.58</v>
      </c>
      <c r="N129" s="107">
        <v>83614.58</v>
      </c>
    </row>
    <row r="130" spans="1:14">
      <c r="A130" s="64" t="s">
        <v>82</v>
      </c>
      <c r="B130" s="107">
        <v>160</v>
      </c>
      <c r="C130" s="107">
        <v>155</v>
      </c>
      <c r="D130" s="107">
        <v>160</v>
      </c>
      <c r="E130" s="107">
        <v>110</v>
      </c>
      <c r="F130" s="107">
        <v>160</v>
      </c>
      <c r="G130" s="107">
        <v>215</v>
      </c>
      <c r="H130" s="107">
        <v>145</v>
      </c>
      <c r="I130" s="107">
        <v>160</v>
      </c>
      <c r="J130" s="107">
        <v>155</v>
      </c>
      <c r="K130" s="107">
        <v>250</v>
      </c>
      <c r="L130" s="107">
        <v>305</v>
      </c>
      <c r="M130" s="107">
        <v>380</v>
      </c>
      <c r="N130" s="107">
        <v>2355</v>
      </c>
    </row>
    <row r="131" spans="1:14">
      <c r="A131" s="64" t="s">
        <v>83</v>
      </c>
      <c r="B131" s="107">
        <v>2867.49</v>
      </c>
      <c r="C131" s="107">
        <v>2679.07</v>
      </c>
      <c r="D131" s="107">
        <v>2081.0700000000002</v>
      </c>
      <c r="E131" s="107">
        <v>2046.11</v>
      </c>
      <c r="F131" s="107">
        <v>2756.41</v>
      </c>
      <c r="G131" s="107">
        <v>1337.43</v>
      </c>
      <c r="H131" s="107">
        <v>1018.17</v>
      </c>
      <c r="I131" s="107">
        <v>1381.45</v>
      </c>
      <c r="J131" s="107">
        <v>2474.6799999999998</v>
      </c>
      <c r="K131" s="107">
        <v>2632.05</v>
      </c>
      <c r="L131" s="107">
        <v>2271.6999999999998</v>
      </c>
      <c r="M131" s="107">
        <v>3136.25</v>
      </c>
      <c r="N131" s="107">
        <v>26681.88</v>
      </c>
    </row>
    <row r="132" spans="1:14">
      <c r="A132" s="64" t="s">
        <v>354</v>
      </c>
      <c r="B132" s="22"/>
      <c r="C132" s="22"/>
      <c r="D132" s="22"/>
      <c r="E132" s="22"/>
      <c r="F132" s="22"/>
      <c r="G132" s="22"/>
      <c r="H132" s="22"/>
      <c r="I132" s="22"/>
      <c r="J132" s="22"/>
      <c r="K132" s="22"/>
      <c r="L132" s="22"/>
      <c r="M132" s="22"/>
      <c r="N132" s="107"/>
    </row>
    <row r="133" spans="1:14">
      <c r="A133" s="64" t="s">
        <v>84</v>
      </c>
      <c r="B133" s="111">
        <v>-42339.26</v>
      </c>
      <c r="C133" s="111">
        <v>-30180.84</v>
      </c>
      <c r="D133" s="111">
        <v>-45978.31</v>
      </c>
      <c r="E133" s="111">
        <v>-36113.75</v>
      </c>
      <c r="F133" s="111">
        <v>-50421.97</v>
      </c>
      <c r="G133" s="111">
        <v>-37696.6</v>
      </c>
      <c r="H133" s="111">
        <v>21034.21</v>
      </c>
      <c r="I133" s="111">
        <v>-57771.26</v>
      </c>
      <c r="J133" s="111">
        <v>-63362.86</v>
      </c>
      <c r="K133" s="111">
        <v>-41532.57</v>
      </c>
      <c r="L133" s="111">
        <v>-14789.72</v>
      </c>
      <c r="M133" s="111">
        <v>-28131.91</v>
      </c>
      <c r="N133" s="111">
        <v>-427284.84</v>
      </c>
    </row>
    <row r="134" spans="1:14">
      <c r="A134" s="64" t="s">
        <v>85</v>
      </c>
      <c r="B134" s="107">
        <f t="shared" ref="B134:M134" si="52">SUM(B122:B133)</f>
        <v>26963.30000000001</v>
      </c>
      <c r="C134" s="107">
        <f t="shared" si="52"/>
        <v>31065.079999999998</v>
      </c>
      <c r="D134" s="107">
        <f t="shared" si="52"/>
        <v>32118.540000000008</v>
      </c>
      <c r="E134" s="107">
        <f t="shared" si="52"/>
        <v>22629.040000000001</v>
      </c>
      <c r="F134" s="107">
        <f t="shared" si="52"/>
        <v>-10477.559999999998</v>
      </c>
      <c r="G134" s="107">
        <f t="shared" si="52"/>
        <v>16489.490000000005</v>
      </c>
      <c r="H134" s="107">
        <f t="shared" si="52"/>
        <v>45514.1</v>
      </c>
      <c r="I134" s="107">
        <f t="shared" si="52"/>
        <v>22533.96</v>
      </c>
      <c r="J134" s="107">
        <f t="shared" si="52"/>
        <v>19262.089999999997</v>
      </c>
      <c r="K134" s="107">
        <f t="shared" si="52"/>
        <v>20377.380000000005</v>
      </c>
      <c r="L134" s="107">
        <f t="shared" si="52"/>
        <v>-67600</v>
      </c>
      <c r="M134" s="107">
        <f t="shared" si="52"/>
        <v>3613.0399999999972</v>
      </c>
      <c r="N134" s="107">
        <v>162488.46</v>
      </c>
    </row>
    <row r="135" spans="1:14">
      <c r="A135" s="64"/>
      <c r="B135" s="22"/>
      <c r="C135" s="22"/>
      <c r="D135" s="22"/>
      <c r="E135" s="22"/>
      <c r="F135" s="22"/>
      <c r="G135" s="22"/>
      <c r="H135" s="22"/>
      <c r="I135" s="22"/>
      <c r="J135" s="22"/>
      <c r="K135" s="22"/>
      <c r="L135" s="22"/>
      <c r="M135" s="22"/>
      <c r="N135" s="22"/>
    </row>
    <row r="136" spans="1:14">
      <c r="A136" s="64" t="s">
        <v>20</v>
      </c>
      <c r="B136" s="22"/>
      <c r="C136" s="22"/>
      <c r="D136" s="22"/>
      <c r="E136" s="22"/>
      <c r="F136" s="22"/>
      <c r="G136" s="22"/>
      <c r="H136" s="22"/>
      <c r="I136" s="22"/>
      <c r="J136" s="22"/>
      <c r="K136" s="22"/>
      <c r="L136" s="22"/>
      <c r="M136" s="22"/>
      <c r="N136" s="22"/>
    </row>
    <row r="137" spans="1:14">
      <c r="A137" s="64" t="s">
        <v>317</v>
      </c>
      <c r="B137" s="107">
        <v>315.05</v>
      </c>
      <c r="C137" s="22"/>
      <c r="D137" s="22"/>
      <c r="E137" s="22"/>
      <c r="F137" s="107">
        <v>978.46</v>
      </c>
      <c r="G137" s="107">
        <v>54.8</v>
      </c>
      <c r="H137" s="107">
        <v>19.91</v>
      </c>
      <c r="I137" s="107">
        <v>204.77</v>
      </c>
      <c r="J137" s="22"/>
      <c r="K137" s="107">
        <v>258.02</v>
      </c>
      <c r="L137" s="107">
        <v>59.05</v>
      </c>
      <c r="M137" s="22"/>
      <c r="N137" s="107">
        <v>1890.06</v>
      </c>
    </row>
    <row r="138" spans="1:14">
      <c r="A138" s="64" t="s">
        <v>353</v>
      </c>
      <c r="B138" s="22"/>
      <c r="C138" s="107">
        <v>-360</v>
      </c>
      <c r="D138" s="22"/>
      <c r="E138" s="22"/>
      <c r="F138" s="22"/>
      <c r="G138" s="107">
        <v>900</v>
      </c>
      <c r="H138" s="22"/>
      <c r="I138" s="22"/>
      <c r="J138" s="22"/>
      <c r="K138" s="22"/>
      <c r="L138" s="107">
        <v>450</v>
      </c>
      <c r="M138" s="107">
        <v>450</v>
      </c>
      <c r="N138" s="107">
        <v>1440</v>
      </c>
    </row>
    <row r="139" spans="1:14">
      <c r="A139" s="64" t="s">
        <v>320</v>
      </c>
      <c r="B139" s="22"/>
      <c r="C139" s="107">
        <v>-61.33</v>
      </c>
      <c r="D139" s="22"/>
      <c r="E139" s="22"/>
      <c r="F139" s="107">
        <v>257.07</v>
      </c>
      <c r="G139" s="107">
        <v>265.24</v>
      </c>
      <c r="H139" s="107">
        <v>46.21</v>
      </c>
      <c r="I139" s="22"/>
      <c r="J139" s="22"/>
      <c r="K139" s="22"/>
      <c r="L139" s="107">
        <v>42.6</v>
      </c>
      <c r="M139" s="22"/>
      <c r="N139" s="107">
        <v>549.79</v>
      </c>
    </row>
    <row r="140" spans="1:14">
      <c r="A140" s="64" t="s">
        <v>86</v>
      </c>
      <c r="B140" s="22"/>
      <c r="C140" s="22"/>
      <c r="D140" s="22"/>
      <c r="E140" s="22"/>
      <c r="F140" s="22"/>
      <c r="G140" s="22"/>
      <c r="H140" s="22"/>
      <c r="I140" s="22"/>
      <c r="J140" s="107">
        <v>10</v>
      </c>
      <c r="K140" s="22"/>
      <c r="L140" s="22"/>
      <c r="M140" s="22"/>
      <c r="N140" s="107">
        <v>10</v>
      </c>
    </row>
    <row r="141" spans="1:14">
      <c r="A141" s="64" t="s">
        <v>87</v>
      </c>
      <c r="B141" s="111">
        <v>-315.05</v>
      </c>
      <c r="C141" s="111">
        <v>421.33</v>
      </c>
      <c r="D141" s="113"/>
      <c r="E141" s="113"/>
      <c r="F141" s="111">
        <v>-1235.53</v>
      </c>
      <c r="G141" s="111">
        <v>-1220.04</v>
      </c>
      <c r="H141" s="111">
        <v>-66.12</v>
      </c>
      <c r="I141" s="111">
        <v>-204.77</v>
      </c>
      <c r="J141" s="111">
        <v>-10</v>
      </c>
      <c r="K141" s="111">
        <v>-258.02</v>
      </c>
      <c r="L141" s="111">
        <v>-551.65</v>
      </c>
      <c r="M141" s="111">
        <v>-450</v>
      </c>
      <c r="N141" s="111">
        <v>-3889.85</v>
      </c>
    </row>
    <row r="142" spans="1:14">
      <c r="A142" s="64"/>
      <c r="B142" s="22"/>
      <c r="C142" s="22"/>
      <c r="D142" s="22"/>
      <c r="E142" s="22"/>
      <c r="F142" s="22"/>
      <c r="G142" s="22"/>
      <c r="H142" s="22"/>
      <c r="I142" s="22"/>
      <c r="J142" s="22"/>
      <c r="K142" s="22"/>
      <c r="L142" s="22"/>
      <c r="M142" s="22"/>
      <c r="N142" s="22"/>
    </row>
    <row r="143" spans="1:14">
      <c r="A143" s="64" t="s">
        <v>88</v>
      </c>
      <c r="B143" s="22"/>
      <c r="C143" s="22"/>
      <c r="D143" s="22"/>
      <c r="E143" s="22"/>
      <c r="F143" s="22"/>
      <c r="G143" s="22"/>
      <c r="H143" s="22"/>
      <c r="I143" s="22"/>
      <c r="J143" s="22"/>
      <c r="K143" s="22"/>
      <c r="L143" s="22"/>
      <c r="M143" s="22"/>
      <c r="N143" s="22"/>
    </row>
    <row r="144" spans="1:14">
      <c r="A144" s="64" t="s">
        <v>89</v>
      </c>
      <c r="B144" s="107">
        <v>176252.28</v>
      </c>
      <c r="C144" s="107">
        <v>177868.91</v>
      </c>
      <c r="D144" s="107">
        <v>164509.35</v>
      </c>
      <c r="E144" s="107">
        <v>136893.62</v>
      </c>
      <c r="F144" s="107">
        <v>95069.1</v>
      </c>
      <c r="G144" s="107">
        <v>245660.95</v>
      </c>
      <c r="H144" s="107">
        <v>156640.95999999999</v>
      </c>
      <c r="I144" s="107">
        <v>172439.2</v>
      </c>
      <c r="J144" s="107">
        <v>177878.11</v>
      </c>
      <c r="K144" s="107">
        <v>181346.24</v>
      </c>
      <c r="L144" s="107">
        <v>13594.55</v>
      </c>
      <c r="M144" s="107">
        <v>168114.19</v>
      </c>
      <c r="N144" s="107">
        <v>1866267.46</v>
      </c>
    </row>
    <row r="145" spans="1:14">
      <c r="A145" s="64" t="s">
        <v>90</v>
      </c>
      <c r="B145" s="107">
        <v>397670</v>
      </c>
      <c r="C145" s="107">
        <v>406225</v>
      </c>
      <c r="D145" s="107">
        <v>399255</v>
      </c>
      <c r="E145" s="107">
        <v>338245</v>
      </c>
      <c r="F145" s="107">
        <v>358030</v>
      </c>
      <c r="G145" s="107">
        <v>390335</v>
      </c>
      <c r="H145" s="107">
        <v>384180</v>
      </c>
      <c r="I145" s="107">
        <v>397200</v>
      </c>
      <c r="J145" s="107">
        <v>342770</v>
      </c>
      <c r="K145" s="107">
        <v>326820</v>
      </c>
      <c r="L145" s="107">
        <v>-77970</v>
      </c>
      <c r="M145" s="107">
        <v>337910</v>
      </c>
      <c r="N145" s="107">
        <v>4000670</v>
      </c>
    </row>
    <row r="146" spans="1:14">
      <c r="A146" s="64" t="s">
        <v>91</v>
      </c>
      <c r="B146" s="107">
        <v>363495</v>
      </c>
      <c r="C146" s="107">
        <v>345830</v>
      </c>
      <c r="D146" s="107">
        <v>350120</v>
      </c>
      <c r="E146" s="107">
        <v>296025</v>
      </c>
      <c r="F146" s="107">
        <v>336830</v>
      </c>
      <c r="G146" s="107">
        <v>388245</v>
      </c>
      <c r="H146" s="107">
        <v>365065</v>
      </c>
      <c r="I146" s="107">
        <v>377330</v>
      </c>
      <c r="J146" s="107">
        <v>308600</v>
      </c>
      <c r="K146" s="107">
        <v>299965</v>
      </c>
      <c r="L146" s="107">
        <v>-101825</v>
      </c>
      <c r="M146" s="107">
        <v>342210</v>
      </c>
      <c r="N146" s="107">
        <v>3671890</v>
      </c>
    </row>
    <row r="147" spans="1:14">
      <c r="A147" s="64" t="s">
        <v>92</v>
      </c>
      <c r="B147" s="107">
        <v>107455</v>
      </c>
      <c r="C147" s="107">
        <v>114820</v>
      </c>
      <c r="D147" s="107">
        <v>106060</v>
      </c>
      <c r="E147" s="107">
        <v>98895</v>
      </c>
      <c r="F147" s="107">
        <v>111770</v>
      </c>
      <c r="G147" s="107">
        <v>144660</v>
      </c>
      <c r="H147" s="107">
        <v>161790</v>
      </c>
      <c r="I147" s="107">
        <v>175835</v>
      </c>
      <c r="J147" s="107">
        <v>164740</v>
      </c>
      <c r="K147" s="107">
        <v>178195</v>
      </c>
      <c r="L147" s="107">
        <v>-61755</v>
      </c>
      <c r="M147" s="107">
        <v>142035</v>
      </c>
      <c r="N147" s="107">
        <v>1444500</v>
      </c>
    </row>
    <row r="148" spans="1:14">
      <c r="A148" s="64" t="s">
        <v>93</v>
      </c>
      <c r="B148" s="107">
        <v>638.25</v>
      </c>
      <c r="C148" s="107">
        <v>90</v>
      </c>
      <c r="D148" s="107">
        <v>900</v>
      </c>
      <c r="E148" s="107">
        <v>450</v>
      </c>
      <c r="F148" s="107">
        <v>135</v>
      </c>
      <c r="G148" s="107">
        <v>144.38</v>
      </c>
      <c r="H148" s="107">
        <v>96.75</v>
      </c>
      <c r="I148" s="107">
        <v>125.63</v>
      </c>
      <c r="J148" s="107">
        <v>334.64</v>
      </c>
      <c r="K148" s="107">
        <v>298.5</v>
      </c>
      <c r="L148" s="107">
        <v>90</v>
      </c>
      <c r="M148" s="107">
        <v>230.63</v>
      </c>
      <c r="N148" s="107">
        <v>3533.78</v>
      </c>
    </row>
    <row r="149" spans="1:14">
      <c r="A149" s="64" t="s">
        <v>94</v>
      </c>
      <c r="B149" s="107">
        <v>33300</v>
      </c>
      <c r="C149" s="107">
        <v>29885</v>
      </c>
      <c r="D149" s="107">
        <v>28040</v>
      </c>
      <c r="E149" s="107">
        <v>20422.82</v>
      </c>
      <c r="F149" s="107">
        <v>27630</v>
      </c>
      <c r="G149" s="107">
        <v>35190.22</v>
      </c>
      <c r="H149" s="107">
        <v>23680</v>
      </c>
      <c r="I149" s="107">
        <v>31829.8</v>
      </c>
      <c r="J149" s="107">
        <v>39467.4</v>
      </c>
      <c r="K149" s="107">
        <v>24959.8</v>
      </c>
      <c r="L149" s="107">
        <v>15787.18</v>
      </c>
      <c r="M149" s="107">
        <v>27450</v>
      </c>
      <c r="N149" s="107">
        <v>337642.22</v>
      </c>
    </row>
    <row r="150" spans="1:14">
      <c r="A150" s="64" t="s">
        <v>95</v>
      </c>
      <c r="B150" s="107">
        <v>19609.27</v>
      </c>
      <c r="C150" s="107">
        <v>24936.01</v>
      </c>
      <c r="D150" s="107">
        <v>23311.34</v>
      </c>
      <c r="E150" s="107">
        <v>16558.400000000001</v>
      </c>
      <c r="F150" s="107">
        <v>20020.18</v>
      </c>
      <c r="G150" s="107">
        <v>20556.38</v>
      </c>
      <c r="H150" s="107">
        <v>20142.16</v>
      </c>
      <c r="I150" s="107">
        <v>27296.03</v>
      </c>
      <c r="J150" s="107">
        <v>23572.83</v>
      </c>
      <c r="K150" s="107">
        <v>26564.55</v>
      </c>
      <c r="L150" s="107">
        <v>8517.82</v>
      </c>
      <c r="M150" s="107">
        <v>18774.64</v>
      </c>
      <c r="N150" s="107">
        <v>249859.61</v>
      </c>
    </row>
    <row r="151" spans="1:14">
      <c r="A151" s="64" t="s">
        <v>96</v>
      </c>
      <c r="B151" s="107">
        <v>3540.02</v>
      </c>
      <c r="C151" s="107">
        <v>2950.55</v>
      </c>
      <c r="D151" s="107">
        <v>2253.4899999999998</v>
      </c>
      <c r="E151" s="107">
        <v>1653.22</v>
      </c>
      <c r="F151" s="107">
        <v>3778.51</v>
      </c>
      <c r="G151" s="107">
        <v>2677.96</v>
      </c>
      <c r="H151" s="107">
        <v>1217.1600000000001</v>
      </c>
      <c r="I151" s="107">
        <v>3682.71</v>
      </c>
      <c r="J151" s="107">
        <v>1677.11</v>
      </c>
      <c r="K151" s="107">
        <v>1529.78</v>
      </c>
      <c r="L151" s="107">
        <v>2091.41</v>
      </c>
      <c r="M151" s="107">
        <v>2729.74</v>
      </c>
      <c r="N151" s="107">
        <v>29781.66</v>
      </c>
    </row>
    <row r="152" spans="1:14">
      <c r="A152" s="64" t="s">
        <v>97</v>
      </c>
      <c r="B152" s="107">
        <v>1922.99</v>
      </c>
      <c r="C152" s="107">
        <v>1123.57</v>
      </c>
      <c r="D152" s="107">
        <v>2589.62</v>
      </c>
      <c r="E152" s="107">
        <v>1924.04</v>
      </c>
      <c r="F152" s="107">
        <v>1761.65</v>
      </c>
      <c r="G152" s="107">
        <v>281.05</v>
      </c>
      <c r="H152" s="107">
        <v>1291.6500000000001</v>
      </c>
      <c r="I152" s="107">
        <v>3675.56</v>
      </c>
      <c r="J152" s="107">
        <v>2202.2399999999998</v>
      </c>
      <c r="K152" s="107">
        <v>983.85</v>
      </c>
      <c r="L152" s="107">
        <v>997.57</v>
      </c>
      <c r="M152" s="107">
        <v>375.84</v>
      </c>
      <c r="N152" s="107">
        <v>19129.63</v>
      </c>
    </row>
    <row r="153" spans="1:14">
      <c r="A153" s="64" t="s">
        <v>98</v>
      </c>
      <c r="B153" s="111">
        <v>-1103882.81</v>
      </c>
      <c r="C153" s="111">
        <v>-1103729.04</v>
      </c>
      <c r="D153" s="111">
        <v>-1077038.8</v>
      </c>
      <c r="E153" s="111">
        <v>-911067.1</v>
      </c>
      <c r="F153" s="111">
        <v>-972685.47</v>
      </c>
      <c r="G153" s="111">
        <v>-1210089.9099999999</v>
      </c>
      <c r="H153" s="111">
        <v>-1114103.68</v>
      </c>
      <c r="I153" s="111">
        <v>-1187163.93</v>
      </c>
      <c r="J153" s="111">
        <v>-1063492.33</v>
      </c>
      <c r="K153" s="111">
        <v>-1040662.72</v>
      </c>
      <c r="L153" s="111">
        <v>200471.47</v>
      </c>
      <c r="M153" s="111">
        <v>-1039830.04</v>
      </c>
      <c r="N153" s="111">
        <v>-11623274.359999999</v>
      </c>
    </row>
    <row r="154" spans="1:14">
      <c r="A154" s="64" t="s">
        <v>357</v>
      </c>
      <c r="B154" s="107"/>
      <c r="C154" s="107"/>
      <c r="D154" s="107"/>
      <c r="E154" s="107"/>
      <c r="F154" s="107">
        <f>SUM(F143:F153)</f>
        <v>-17661.029999999912</v>
      </c>
      <c r="G154" s="107">
        <f>SUM(G143:G153)</f>
        <v>17661.029999999795</v>
      </c>
      <c r="H154" s="107"/>
      <c r="I154" s="107">
        <f>SUM(I143:I153)</f>
        <v>2250</v>
      </c>
      <c r="J154" s="107">
        <f>SUM(J143:J153)</f>
        <v>-2250</v>
      </c>
      <c r="K154" s="107"/>
      <c r="L154" s="107"/>
      <c r="M154" s="107"/>
      <c r="N154" s="107"/>
    </row>
    <row r="155" spans="1:14">
      <c r="A155" s="64"/>
      <c r="B155" s="22"/>
      <c r="C155" s="22"/>
      <c r="D155" s="22"/>
      <c r="E155" s="22"/>
      <c r="F155" s="22"/>
      <c r="G155" s="22"/>
      <c r="H155" s="22"/>
      <c r="I155" s="22"/>
      <c r="J155" s="22"/>
      <c r="K155" s="22"/>
      <c r="L155" s="22"/>
      <c r="M155" s="22"/>
      <c r="N155" s="22"/>
    </row>
    <row r="156" spans="1:14">
      <c r="A156" s="64" t="s">
        <v>99</v>
      </c>
      <c r="B156" s="22"/>
      <c r="C156" s="22"/>
      <c r="D156" s="22"/>
      <c r="E156" s="22"/>
      <c r="F156" s="22"/>
      <c r="G156" s="22"/>
      <c r="H156" s="22"/>
      <c r="I156" s="22"/>
      <c r="J156" s="22"/>
      <c r="K156" s="22"/>
      <c r="L156" s="22"/>
      <c r="M156" s="22"/>
      <c r="N156" s="22"/>
    </row>
    <row r="157" spans="1:14">
      <c r="A157" s="64" t="s">
        <v>382</v>
      </c>
      <c r="B157" s="22"/>
      <c r="C157" s="22"/>
      <c r="D157" s="22"/>
      <c r="E157" s="107">
        <v>1422.04</v>
      </c>
      <c r="F157" s="107">
        <v>139.66999999999999</v>
      </c>
      <c r="G157" s="107">
        <v>986.61</v>
      </c>
      <c r="H157" s="107">
        <v>4109.12</v>
      </c>
      <c r="I157" s="107">
        <v>231.66</v>
      </c>
      <c r="J157" s="107">
        <v>-139.9</v>
      </c>
      <c r="K157" s="107">
        <v>-19.91</v>
      </c>
      <c r="L157" s="107">
        <v>-1234.42</v>
      </c>
      <c r="M157" s="22"/>
      <c r="N157" s="107">
        <v>5494.87</v>
      </c>
    </row>
    <row r="158" spans="1:14">
      <c r="A158" s="64" t="s">
        <v>100</v>
      </c>
      <c r="B158" s="107">
        <v>186340.1</v>
      </c>
      <c r="C158" s="107">
        <v>205370.08</v>
      </c>
      <c r="D158" s="107">
        <v>135870.18</v>
      </c>
      <c r="E158" s="107">
        <v>152015</v>
      </c>
      <c r="F158" s="107">
        <v>184255</v>
      </c>
      <c r="G158" s="107">
        <v>131795</v>
      </c>
      <c r="H158" s="107">
        <v>115735</v>
      </c>
      <c r="I158" s="107">
        <v>188775</v>
      </c>
      <c r="J158" s="107">
        <v>181795</v>
      </c>
      <c r="K158" s="107">
        <v>206565.06</v>
      </c>
      <c r="L158" s="107">
        <v>-44990</v>
      </c>
      <c r="M158" s="107">
        <v>70180</v>
      </c>
      <c r="N158" s="107">
        <v>1713705.42</v>
      </c>
    </row>
    <row r="159" spans="1:14">
      <c r="A159" s="64" t="s">
        <v>101</v>
      </c>
      <c r="B159" s="107">
        <v>153335.07</v>
      </c>
      <c r="C159" s="107">
        <v>176285.08</v>
      </c>
      <c r="D159" s="107">
        <v>135510.16</v>
      </c>
      <c r="E159" s="107">
        <v>137970</v>
      </c>
      <c r="F159" s="107">
        <v>196215</v>
      </c>
      <c r="G159" s="107">
        <v>140505</v>
      </c>
      <c r="H159" s="107">
        <v>104900</v>
      </c>
      <c r="I159" s="107">
        <v>141125</v>
      </c>
      <c r="J159" s="107">
        <v>142625</v>
      </c>
      <c r="K159" s="107">
        <v>185255.08</v>
      </c>
      <c r="L159" s="107">
        <v>-80355</v>
      </c>
      <c r="M159" s="107">
        <v>64515</v>
      </c>
      <c r="N159" s="107">
        <v>1497885.39</v>
      </c>
    </row>
    <row r="160" spans="1:14">
      <c r="A160" s="64" t="s">
        <v>102</v>
      </c>
      <c r="B160" s="107">
        <v>29800.06</v>
      </c>
      <c r="C160" s="107">
        <v>57535.040000000001</v>
      </c>
      <c r="D160" s="107">
        <v>48190.06</v>
      </c>
      <c r="E160" s="107">
        <v>54500</v>
      </c>
      <c r="F160" s="107">
        <v>64155</v>
      </c>
      <c r="G160" s="107">
        <v>30210</v>
      </c>
      <c r="H160" s="107">
        <v>28570</v>
      </c>
      <c r="I160" s="107">
        <v>50235</v>
      </c>
      <c r="J160" s="107">
        <v>40205</v>
      </c>
      <c r="K160" s="107">
        <v>41045</v>
      </c>
      <c r="L160" s="107">
        <v>-28565</v>
      </c>
      <c r="M160" s="107">
        <v>10845</v>
      </c>
      <c r="N160" s="107">
        <v>426725.16</v>
      </c>
    </row>
    <row r="161" spans="1:14">
      <c r="A161" s="64" t="s">
        <v>358</v>
      </c>
      <c r="B161" s="107">
        <v>630</v>
      </c>
      <c r="C161" s="107">
        <v>259</v>
      </c>
      <c r="D161" s="107">
        <v>518</v>
      </c>
      <c r="E161" s="107">
        <v>35</v>
      </c>
      <c r="F161" s="107">
        <v>35</v>
      </c>
      <c r="G161" s="107">
        <v>616</v>
      </c>
      <c r="H161" s="107">
        <v>210</v>
      </c>
      <c r="I161" s="107">
        <v>525</v>
      </c>
      <c r="J161" s="107">
        <v>329</v>
      </c>
      <c r="K161" s="107">
        <v>63</v>
      </c>
      <c r="L161" s="107">
        <v>56</v>
      </c>
      <c r="M161" s="107">
        <v>588</v>
      </c>
      <c r="N161" s="107">
        <v>3864</v>
      </c>
    </row>
    <row r="162" spans="1:14">
      <c r="A162" s="64" t="s">
        <v>103</v>
      </c>
      <c r="B162" s="111">
        <v>-202381.55</v>
      </c>
      <c r="C162" s="111">
        <v>-237209.74</v>
      </c>
      <c r="D162" s="111">
        <v>-174181.19</v>
      </c>
      <c r="E162" s="111">
        <v>-175063.1</v>
      </c>
      <c r="F162" s="111">
        <v>-256388.01</v>
      </c>
      <c r="G162" s="111">
        <v>-174612.3</v>
      </c>
      <c r="H162" s="111">
        <v>-136264.35</v>
      </c>
      <c r="I162" s="111">
        <v>-220658.61</v>
      </c>
      <c r="J162" s="111">
        <v>-210905.66</v>
      </c>
      <c r="K162" s="111">
        <v>-254872.75</v>
      </c>
      <c r="L162" s="111">
        <v>82101.31</v>
      </c>
      <c r="M162" s="111">
        <v>-83121.34</v>
      </c>
      <c r="N162" s="111">
        <v>-2043557.29</v>
      </c>
    </row>
    <row r="163" spans="1:14">
      <c r="A163" s="64" t="s">
        <v>104</v>
      </c>
      <c r="B163" s="107">
        <f t="shared" ref="B163:M163" si="53">SUM(B156:B162)</f>
        <v>167723.68000000005</v>
      </c>
      <c r="C163" s="107">
        <f t="shared" si="53"/>
        <v>202239.45999999996</v>
      </c>
      <c r="D163" s="107">
        <f t="shared" si="53"/>
        <v>145907.20999999996</v>
      </c>
      <c r="E163" s="107">
        <f t="shared" si="53"/>
        <v>170878.94000000003</v>
      </c>
      <c r="F163" s="107">
        <f t="shared" si="53"/>
        <v>188411.66000000003</v>
      </c>
      <c r="G163" s="107">
        <f t="shared" si="53"/>
        <v>129500.31</v>
      </c>
      <c r="H163" s="107">
        <f t="shared" si="53"/>
        <v>117259.76999999999</v>
      </c>
      <c r="I163" s="107">
        <f t="shared" si="53"/>
        <v>160233.05000000005</v>
      </c>
      <c r="J163" s="107">
        <f t="shared" si="53"/>
        <v>153908.43999999997</v>
      </c>
      <c r="K163" s="107">
        <f t="shared" si="53"/>
        <v>178035.47999999998</v>
      </c>
      <c r="L163" s="107">
        <f t="shared" si="53"/>
        <v>-72987.109999999986</v>
      </c>
      <c r="M163" s="107">
        <f t="shared" si="53"/>
        <v>63006.66</v>
      </c>
      <c r="N163" s="107">
        <v>1604117.55</v>
      </c>
    </row>
    <row r="164" spans="1:14">
      <c r="A164" s="64"/>
      <c r="B164" s="22"/>
      <c r="C164" s="22"/>
      <c r="D164" s="22"/>
      <c r="E164" s="22"/>
      <c r="F164" s="22"/>
      <c r="G164" s="22"/>
      <c r="H164" s="22"/>
      <c r="I164" s="22"/>
      <c r="J164" s="22"/>
      <c r="K164" s="22"/>
      <c r="L164" s="22"/>
      <c r="M164" s="22"/>
      <c r="N164" s="22"/>
    </row>
    <row r="165" spans="1:14">
      <c r="A165" s="64" t="s">
        <v>105</v>
      </c>
      <c r="B165" s="113"/>
      <c r="C165" s="113"/>
      <c r="D165" s="113"/>
      <c r="E165" s="113"/>
      <c r="F165" s="113"/>
      <c r="G165" s="113"/>
      <c r="H165" s="113"/>
      <c r="I165" s="113"/>
      <c r="J165" s="113"/>
      <c r="K165" s="113"/>
      <c r="L165" s="113"/>
      <c r="M165" s="113"/>
      <c r="N165" s="113"/>
    </row>
    <row r="166" spans="1:14">
      <c r="A166" s="64"/>
      <c r="B166" s="22"/>
      <c r="C166" s="22"/>
      <c r="D166" s="22"/>
      <c r="E166" s="22"/>
      <c r="F166" s="22"/>
      <c r="G166" s="22"/>
      <c r="H166" s="22"/>
      <c r="I166" s="22"/>
      <c r="J166" s="22"/>
      <c r="K166" s="22"/>
      <c r="L166" s="22"/>
      <c r="M166" s="22"/>
      <c r="N166" s="22"/>
    </row>
    <row r="167" spans="1:14">
      <c r="A167" s="64" t="s">
        <v>106</v>
      </c>
      <c r="B167" s="22"/>
      <c r="C167" s="22"/>
      <c r="D167" s="22"/>
      <c r="E167" s="22"/>
      <c r="F167" s="22"/>
      <c r="G167" s="22"/>
      <c r="H167" s="22"/>
      <c r="I167" s="22"/>
      <c r="J167" s="22"/>
      <c r="K167" s="22"/>
      <c r="L167" s="22"/>
      <c r="M167" s="22"/>
      <c r="N167" s="22"/>
    </row>
    <row r="168" spans="1:14">
      <c r="A168" s="64" t="s">
        <v>107</v>
      </c>
      <c r="B168" s="107">
        <v>199681.64</v>
      </c>
      <c r="C168" s="107">
        <v>190342.18</v>
      </c>
      <c r="D168" s="107">
        <v>173784.64</v>
      </c>
      <c r="E168" s="107">
        <v>194723.02</v>
      </c>
      <c r="F168" s="107">
        <v>221797.67</v>
      </c>
      <c r="G168" s="107">
        <v>244556.33</v>
      </c>
      <c r="H168" s="107">
        <v>261913.73</v>
      </c>
      <c r="I168" s="107">
        <v>267217.73</v>
      </c>
      <c r="J168" s="107">
        <v>237650.12</v>
      </c>
      <c r="K168" s="107">
        <v>221907.22</v>
      </c>
      <c r="L168" s="107">
        <v>62526.49</v>
      </c>
      <c r="M168" s="107">
        <v>240500.04</v>
      </c>
      <c r="N168" s="107">
        <v>2516600.81</v>
      </c>
    </row>
    <row r="169" spans="1:14">
      <c r="A169" s="64" t="s">
        <v>383</v>
      </c>
      <c r="B169" s="22"/>
      <c r="C169" s="22"/>
      <c r="D169" s="22"/>
      <c r="E169" s="107">
        <v>1935.7</v>
      </c>
      <c r="F169" s="107">
        <v>-19.91</v>
      </c>
      <c r="G169" s="107">
        <v>876.04</v>
      </c>
      <c r="H169" s="107">
        <v>266.89</v>
      </c>
      <c r="I169" s="107">
        <v>1466.18</v>
      </c>
      <c r="J169" s="107">
        <v>-585.96</v>
      </c>
      <c r="K169" s="22"/>
      <c r="L169" s="107">
        <v>-318.56</v>
      </c>
      <c r="M169" s="22"/>
      <c r="N169" s="107">
        <v>3620.38</v>
      </c>
    </row>
    <row r="170" spans="1:14">
      <c r="A170" s="64" t="s">
        <v>108</v>
      </c>
      <c r="B170" s="107">
        <v>691360</v>
      </c>
      <c r="C170" s="107">
        <v>637900</v>
      </c>
      <c r="D170" s="107">
        <v>634830</v>
      </c>
      <c r="E170" s="107">
        <v>716940</v>
      </c>
      <c r="F170" s="107">
        <v>654750</v>
      </c>
      <c r="G170" s="107">
        <v>642610</v>
      </c>
      <c r="H170" s="107">
        <v>736425</v>
      </c>
      <c r="I170" s="107">
        <v>688645</v>
      </c>
      <c r="J170" s="107">
        <v>649440</v>
      </c>
      <c r="K170" s="107">
        <v>591355</v>
      </c>
      <c r="L170" s="107">
        <v>22570</v>
      </c>
      <c r="M170" s="107">
        <v>510065</v>
      </c>
      <c r="N170" s="107">
        <v>7176890</v>
      </c>
    </row>
    <row r="171" spans="1:14">
      <c r="A171" s="64" t="s">
        <v>109</v>
      </c>
      <c r="B171" s="107">
        <v>589214.96</v>
      </c>
      <c r="C171" s="107">
        <v>514820</v>
      </c>
      <c r="D171" s="107">
        <v>574100</v>
      </c>
      <c r="E171" s="107">
        <v>635320</v>
      </c>
      <c r="F171" s="107">
        <v>632900</v>
      </c>
      <c r="G171" s="107">
        <v>644610</v>
      </c>
      <c r="H171" s="107">
        <v>680205</v>
      </c>
      <c r="I171" s="107">
        <v>614100</v>
      </c>
      <c r="J171" s="107">
        <v>615115</v>
      </c>
      <c r="K171" s="107">
        <v>579915</v>
      </c>
      <c r="L171" s="107">
        <v>-52910</v>
      </c>
      <c r="M171" s="107">
        <v>457165</v>
      </c>
      <c r="N171" s="107">
        <v>6484554.96</v>
      </c>
    </row>
    <row r="172" spans="1:14">
      <c r="A172" s="64" t="s">
        <v>110</v>
      </c>
      <c r="B172" s="107">
        <v>167679.94</v>
      </c>
      <c r="C172" s="107">
        <v>158730</v>
      </c>
      <c r="D172" s="107">
        <v>162115</v>
      </c>
      <c r="E172" s="107">
        <v>179310</v>
      </c>
      <c r="F172" s="107">
        <v>171020</v>
      </c>
      <c r="G172" s="107">
        <v>188630</v>
      </c>
      <c r="H172" s="107">
        <v>227780</v>
      </c>
      <c r="I172" s="107">
        <v>254960</v>
      </c>
      <c r="J172" s="107">
        <v>228530</v>
      </c>
      <c r="K172" s="107">
        <v>187775</v>
      </c>
      <c r="L172" s="107">
        <v>7485</v>
      </c>
      <c r="M172" s="107">
        <v>185730</v>
      </c>
      <c r="N172" s="107">
        <v>2119744.94</v>
      </c>
    </row>
    <row r="173" spans="1:14">
      <c r="A173" s="64" t="s">
        <v>379</v>
      </c>
      <c r="B173" s="22"/>
      <c r="C173" s="107">
        <v>132</v>
      </c>
      <c r="D173" s="107">
        <v>315.97000000000003</v>
      </c>
      <c r="E173" s="107">
        <v>1137.74</v>
      </c>
      <c r="F173" s="22"/>
      <c r="G173" s="107">
        <v>747.46</v>
      </c>
      <c r="H173" s="22"/>
      <c r="I173" s="22"/>
      <c r="J173" s="107">
        <v>123.75</v>
      </c>
      <c r="K173" s="107">
        <v>115.5</v>
      </c>
      <c r="L173" s="22"/>
      <c r="M173" s="107">
        <v>18</v>
      </c>
      <c r="N173" s="107">
        <v>2590.42</v>
      </c>
    </row>
    <row r="174" spans="1:14">
      <c r="A174" s="64" t="s">
        <v>111</v>
      </c>
      <c r="B174" s="107">
        <v>45450</v>
      </c>
      <c r="C174" s="107">
        <v>47665</v>
      </c>
      <c r="D174" s="107">
        <v>40950</v>
      </c>
      <c r="E174" s="107">
        <v>37460</v>
      </c>
      <c r="F174" s="107">
        <v>44350</v>
      </c>
      <c r="G174" s="107">
        <v>47742.82</v>
      </c>
      <c r="H174" s="107">
        <v>40852.82</v>
      </c>
      <c r="I174" s="107">
        <v>29685.93</v>
      </c>
      <c r="J174" s="107">
        <v>26916.240000000002</v>
      </c>
      <c r="K174" s="107">
        <v>21622.82</v>
      </c>
      <c r="L174" s="107">
        <v>12703.87</v>
      </c>
      <c r="M174" s="107">
        <v>47700</v>
      </c>
      <c r="N174" s="107">
        <v>443099.5</v>
      </c>
    </row>
    <row r="175" spans="1:14">
      <c r="A175" s="64" t="s">
        <v>112</v>
      </c>
      <c r="B175" s="107">
        <v>29605.08</v>
      </c>
      <c r="C175" s="107">
        <v>30774.81</v>
      </c>
      <c r="D175" s="107">
        <v>29045.69</v>
      </c>
      <c r="E175" s="107">
        <v>35546.18</v>
      </c>
      <c r="F175" s="107">
        <v>32326.32</v>
      </c>
      <c r="G175" s="107">
        <v>33242.660000000003</v>
      </c>
      <c r="H175" s="107">
        <v>38454.21</v>
      </c>
      <c r="I175" s="107">
        <v>34006.269999999997</v>
      </c>
      <c r="J175" s="107">
        <v>32872.449999999997</v>
      </c>
      <c r="K175" s="107">
        <v>30091.32</v>
      </c>
      <c r="L175" s="107">
        <v>13145.29</v>
      </c>
      <c r="M175" s="107">
        <v>34134.06</v>
      </c>
      <c r="N175" s="107">
        <v>373244.34</v>
      </c>
    </row>
    <row r="176" spans="1:14">
      <c r="A176" s="64" t="s">
        <v>113</v>
      </c>
      <c r="B176" s="107">
        <v>5503.1</v>
      </c>
      <c r="C176" s="107">
        <v>5923.01</v>
      </c>
      <c r="D176" s="107">
        <v>6447.05</v>
      </c>
      <c r="E176" s="107">
        <v>5458.69</v>
      </c>
      <c r="F176" s="107">
        <v>5729.83</v>
      </c>
      <c r="G176" s="107">
        <v>6778.16</v>
      </c>
      <c r="H176" s="107">
        <v>5609.33</v>
      </c>
      <c r="I176" s="107">
        <v>1846.66</v>
      </c>
      <c r="J176" s="107">
        <v>4609.8</v>
      </c>
      <c r="K176" s="107">
        <v>2133.4699999999998</v>
      </c>
      <c r="L176" s="107">
        <v>5265.42</v>
      </c>
      <c r="M176" s="107">
        <v>6659.85</v>
      </c>
      <c r="N176" s="107">
        <v>61964.37</v>
      </c>
    </row>
    <row r="177" spans="1:14">
      <c r="A177" s="64" t="s">
        <v>359</v>
      </c>
      <c r="B177" s="107">
        <v>553</v>
      </c>
      <c r="C177" s="107">
        <v>420</v>
      </c>
      <c r="D177" s="107">
        <v>637</v>
      </c>
      <c r="E177" s="107">
        <v>35</v>
      </c>
      <c r="F177" s="22"/>
      <c r="G177" s="107">
        <v>119</v>
      </c>
      <c r="H177" s="107">
        <v>84</v>
      </c>
      <c r="I177" s="107">
        <v>63</v>
      </c>
      <c r="J177" s="107">
        <v>56</v>
      </c>
      <c r="K177" s="22"/>
      <c r="L177" s="107">
        <v>-84</v>
      </c>
      <c r="M177" s="107">
        <v>112</v>
      </c>
      <c r="N177" s="107">
        <v>1995</v>
      </c>
    </row>
    <row r="178" spans="1:14">
      <c r="A178" s="64" t="s">
        <v>414</v>
      </c>
      <c r="B178" s="22"/>
      <c r="C178" s="22"/>
      <c r="D178" s="22"/>
      <c r="E178" s="22"/>
      <c r="F178" s="22"/>
      <c r="G178" s="22"/>
      <c r="H178" s="22"/>
      <c r="I178" s="22"/>
      <c r="J178" s="22"/>
      <c r="K178" s="22"/>
      <c r="L178" s="22"/>
      <c r="M178" s="107">
        <v>150</v>
      </c>
      <c r="N178" s="107">
        <v>150</v>
      </c>
    </row>
    <row r="179" spans="1:14">
      <c r="A179" s="64" t="s">
        <v>114</v>
      </c>
      <c r="B179" s="107">
        <v>465.9</v>
      </c>
      <c r="C179" s="107">
        <v>679.53</v>
      </c>
      <c r="D179" s="107">
        <v>247.83</v>
      </c>
      <c r="E179" s="22"/>
      <c r="F179" s="107">
        <v>39</v>
      </c>
      <c r="G179" s="107">
        <v>451.53</v>
      </c>
      <c r="H179" s="107">
        <v>794.64</v>
      </c>
      <c r="I179" s="107">
        <v>481.81</v>
      </c>
      <c r="J179" s="107">
        <v>1187.0999999999999</v>
      </c>
      <c r="K179" s="107">
        <v>793.18</v>
      </c>
      <c r="L179" s="107">
        <v>453</v>
      </c>
      <c r="M179" s="107">
        <v>1157.97</v>
      </c>
      <c r="N179" s="107">
        <v>6751.49</v>
      </c>
    </row>
    <row r="180" spans="1:14">
      <c r="A180" s="64" t="s">
        <v>376</v>
      </c>
      <c r="B180" s="107">
        <v>1500</v>
      </c>
      <c r="C180" s="107">
        <v>1550</v>
      </c>
      <c r="D180" s="107">
        <v>1100</v>
      </c>
      <c r="E180" s="107">
        <v>1600</v>
      </c>
      <c r="F180" s="107">
        <v>900</v>
      </c>
      <c r="G180" s="22"/>
      <c r="H180" s="107">
        <v>2000</v>
      </c>
      <c r="I180" s="22"/>
      <c r="J180" s="22"/>
      <c r="K180" s="22"/>
      <c r="L180" s="22"/>
      <c r="M180" s="22"/>
      <c r="N180" s="107">
        <v>8650</v>
      </c>
    </row>
    <row r="181" spans="1:14">
      <c r="A181" s="64" t="s">
        <v>115</v>
      </c>
      <c r="B181" s="111">
        <v>-1577741.23</v>
      </c>
      <c r="C181" s="111">
        <v>-1478953.18</v>
      </c>
      <c r="D181" s="111">
        <v>-1511590.96</v>
      </c>
      <c r="E181" s="111">
        <v>-1650695.17</v>
      </c>
      <c r="F181" s="111">
        <v>-1625710.15</v>
      </c>
      <c r="G181" s="111">
        <v>-1698044.32</v>
      </c>
      <c r="H181" s="111">
        <v>-1858035.16</v>
      </c>
      <c r="I181" s="111">
        <v>-1746968.71</v>
      </c>
      <c r="J181" s="111">
        <v>-1619127.24</v>
      </c>
      <c r="K181" s="111">
        <v>-1467363.95</v>
      </c>
      <c r="L181" s="111">
        <v>-132557.96</v>
      </c>
      <c r="M181" s="111">
        <v>-1428146.48</v>
      </c>
      <c r="N181" s="111">
        <v>-17794934.510000002</v>
      </c>
    </row>
    <row r="182" spans="1:14">
      <c r="A182" s="64" t="s">
        <v>116</v>
      </c>
      <c r="B182" s="107">
        <f t="shared" ref="B182:M182" si="54">SUM(B167:B181)</f>
        <v>153272.39000000013</v>
      </c>
      <c r="C182" s="107">
        <f t="shared" si="54"/>
        <v>109983.35000000009</v>
      </c>
      <c r="D182" s="107">
        <f t="shared" si="54"/>
        <v>111982.2200000002</v>
      </c>
      <c r="E182" s="107">
        <f t="shared" si="54"/>
        <v>158771.15999999992</v>
      </c>
      <c r="F182" s="107">
        <f t="shared" si="54"/>
        <v>138082.76000000024</v>
      </c>
      <c r="G182" s="107">
        <f t="shared" si="54"/>
        <v>112319.67999999993</v>
      </c>
      <c r="H182" s="107">
        <f t="shared" si="54"/>
        <v>136350.4600000002</v>
      </c>
      <c r="I182" s="107">
        <f t="shared" si="54"/>
        <v>145503.86999999988</v>
      </c>
      <c r="J182" s="107">
        <f t="shared" si="54"/>
        <v>176787.26000000024</v>
      </c>
      <c r="K182" s="107">
        <f t="shared" si="54"/>
        <v>168344.56000000006</v>
      </c>
      <c r="L182" s="107">
        <f t="shared" si="54"/>
        <v>-61721.45</v>
      </c>
      <c r="M182" s="107">
        <f t="shared" si="54"/>
        <v>55245.440000000177</v>
      </c>
      <c r="N182" s="107">
        <v>1404921.7</v>
      </c>
    </row>
    <row r="183" spans="1:14">
      <c r="A183" s="64"/>
      <c r="B183" s="22"/>
      <c r="C183" s="22"/>
      <c r="D183" s="22"/>
      <c r="E183" s="22"/>
      <c r="F183" s="22"/>
      <c r="G183" s="22"/>
      <c r="H183" s="22"/>
      <c r="I183" s="22"/>
      <c r="J183" s="22"/>
      <c r="K183" s="22"/>
      <c r="L183" s="22"/>
      <c r="M183" s="22"/>
      <c r="N183" s="22"/>
    </row>
    <row r="184" spans="1:14">
      <c r="A184" s="64" t="s">
        <v>117</v>
      </c>
      <c r="B184" s="22"/>
      <c r="C184" s="22"/>
      <c r="D184" s="22"/>
      <c r="E184" s="22"/>
      <c r="F184" s="22"/>
      <c r="G184" s="22"/>
      <c r="H184" s="22"/>
      <c r="I184" s="22"/>
      <c r="J184" s="22"/>
      <c r="K184" s="22"/>
      <c r="L184" s="22"/>
      <c r="M184" s="22"/>
      <c r="N184" s="22"/>
    </row>
    <row r="185" spans="1:14">
      <c r="A185" s="64" t="s">
        <v>282</v>
      </c>
      <c r="B185" s="107">
        <v>11466.94</v>
      </c>
      <c r="C185" s="107">
        <v>10500</v>
      </c>
      <c r="D185" s="107">
        <v>10275</v>
      </c>
      <c r="E185" s="107">
        <v>10185.83</v>
      </c>
      <c r="F185" s="107">
        <v>11986.29</v>
      </c>
      <c r="G185" s="107">
        <v>9961.2900000000009</v>
      </c>
      <c r="H185" s="107">
        <v>10653.86</v>
      </c>
      <c r="I185" s="107">
        <v>11995.84</v>
      </c>
      <c r="J185" s="107">
        <v>12018.71</v>
      </c>
      <c r="K185" s="107">
        <v>17849.71</v>
      </c>
      <c r="L185" s="107">
        <v>4292.8900000000003</v>
      </c>
      <c r="M185" s="107">
        <v>10122.81</v>
      </c>
      <c r="N185" s="107">
        <v>131309.17000000001</v>
      </c>
    </row>
    <row r="186" spans="1:14">
      <c r="A186" s="64" t="s">
        <v>118</v>
      </c>
      <c r="B186" s="107">
        <v>1112.69</v>
      </c>
      <c r="C186" s="107">
        <v>1417.59</v>
      </c>
      <c r="D186" s="107">
        <v>555.33000000000004</v>
      </c>
      <c r="E186" s="107">
        <v>753.97</v>
      </c>
      <c r="F186" s="107">
        <v>819.65</v>
      </c>
      <c r="G186" s="107">
        <v>1702.58</v>
      </c>
      <c r="H186" s="107">
        <v>316.02</v>
      </c>
      <c r="I186" s="107">
        <v>2539.73</v>
      </c>
      <c r="J186" s="107">
        <v>-14.13</v>
      </c>
      <c r="K186" s="107">
        <v>308.42</v>
      </c>
      <c r="L186" s="107">
        <v>-835.04</v>
      </c>
      <c r="M186" s="107">
        <v>2662.05</v>
      </c>
      <c r="N186" s="107">
        <v>11338.86</v>
      </c>
    </row>
    <row r="187" spans="1:14">
      <c r="A187" s="64" t="s">
        <v>390</v>
      </c>
      <c r="B187" s="22"/>
      <c r="C187" s="22"/>
      <c r="D187" s="22"/>
      <c r="E187" s="22"/>
      <c r="F187" s="22"/>
      <c r="G187" s="107">
        <v>1294.1500000000001</v>
      </c>
      <c r="H187" s="107">
        <v>-1294.1500000000001</v>
      </c>
      <c r="I187" s="107">
        <v>40.01</v>
      </c>
      <c r="J187" s="22"/>
      <c r="K187" s="22"/>
      <c r="L187" s="22"/>
      <c r="M187" s="22"/>
      <c r="N187" s="107">
        <v>40.01</v>
      </c>
    </row>
    <row r="188" spans="1:14">
      <c r="A188" s="64" t="s">
        <v>119</v>
      </c>
      <c r="B188" s="107">
        <v>2520</v>
      </c>
      <c r="C188" s="107">
        <v>1965</v>
      </c>
      <c r="D188" s="107">
        <v>2070</v>
      </c>
      <c r="E188" s="107">
        <v>7450</v>
      </c>
      <c r="F188" s="107">
        <v>2075</v>
      </c>
      <c r="G188" s="107">
        <v>170</v>
      </c>
      <c r="H188" s="107">
        <v>1325</v>
      </c>
      <c r="I188" s="107">
        <v>7885</v>
      </c>
      <c r="J188" s="107">
        <v>-770</v>
      </c>
      <c r="K188" s="107">
        <v>2395</v>
      </c>
      <c r="L188" s="107">
        <v>1690</v>
      </c>
      <c r="M188" s="107">
        <v>2490</v>
      </c>
      <c r="N188" s="107">
        <v>31265</v>
      </c>
    </row>
    <row r="189" spans="1:14">
      <c r="A189" s="64" t="s">
        <v>120</v>
      </c>
      <c r="B189" s="107">
        <v>2265</v>
      </c>
      <c r="C189" s="107">
        <v>2200</v>
      </c>
      <c r="D189" s="107">
        <v>2355</v>
      </c>
      <c r="E189" s="107">
        <v>6410</v>
      </c>
      <c r="F189" s="107">
        <v>1590</v>
      </c>
      <c r="G189" s="107">
        <v>390</v>
      </c>
      <c r="H189" s="107">
        <v>-1780</v>
      </c>
      <c r="I189" s="107">
        <v>12025</v>
      </c>
      <c r="J189" s="107">
        <v>-6465</v>
      </c>
      <c r="K189" s="107">
        <v>1430</v>
      </c>
      <c r="L189" s="107">
        <v>2355</v>
      </c>
      <c r="M189" s="107">
        <v>1995</v>
      </c>
      <c r="N189" s="107">
        <v>24770</v>
      </c>
    </row>
    <row r="190" spans="1:14">
      <c r="A190" s="64" t="s">
        <v>121</v>
      </c>
      <c r="B190" s="22"/>
      <c r="C190" s="107">
        <v>1355</v>
      </c>
      <c r="D190" s="107">
        <v>95</v>
      </c>
      <c r="E190" s="107">
        <v>250</v>
      </c>
      <c r="F190" s="22"/>
      <c r="G190" s="22"/>
      <c r="H190" s="107">
        <v>20</v>
      </c>
      <c r="I190" s="107">
        <v>1080</v>
      </c>
      <c r="J190" s="107">
        <v>-635</v>
      </c>
      <c r="K190" s="107">
        <v>405</v>
      </c>
      <c r="L190" s="107">
        <v>370</v>
      </c>
      <c r="M190" s="107">
        <v>895</v>
      </c>
      <c r="N190" s="107">
        <v>3835</v>
      </c>
    </row>
    <row r="191" spans="1:14">
      <c r="A191" s="64" t="s">
        <v>355</v>
      </c>
      <c r="B191" s="107">
        <v>900</v>
      </c>
      <c r="C191" s="22"/>
      <c r="D191" s="22"/>
      <c r="E191" s="22"/>
      <c r="F191" s="22"/>
      <c r="G191" s="22"/>
      <c r="H191" s="22"/>
      <c r="I191" s="22"/>
      <c r="J191" s="22"/>
      <c r="K191" s="107">
        <v>1110</v>
      </c>
      <c r="L191" s="107">
        <v>-660</v>
      </c>
      <c r="M191" s="22"/>
      <c r="N191" s="107">
        <v>1350</v>
      </c>
    </row>
    <row r="192" spans="1:14">
      <c r="A192" s="64" t="s">
        <v>122</v>
      </c>
      <c r="B192" s="22"/>
      <c r="C192" s="107">
        <v>533.73</v>
      </c>
      <c r="D192" s="107">
        <v>112.88</v>
      </c>
      <c r="E192" s="107">
        <v>60</v>
      </c>
      <c r="F192" s="107">
        <v>458.28</v>
      </c>
      <c r="G192" s="107">
        <v>512.62</v>
      </c>
      <c r="H192" s="107">
        <v>114.89</v>
      </c>
      <c r="I192" s="107">
        <v>223.22</v>
      </c>
      <c r="J192" s="107">
        <v>-207.38</v>
      </c>
      <c r="K192" s="107">
        <v>160.94</v>
      </c>
      <c r="L192" s="107">
        <v>1.06</v>
      </c>
      <c r="M192" s="107">
        <v>81.42</v>
      </c>
      <c r="N192" s="107">
        <v>2051.66</v>
      </c>
    </row>
    <row r="193" spans="1:14">
      <c r="A193" s="64" t="s">
        <v>123</v>
      </c>
      <c r="B193" s="107">
        <v>401.93</v>
      </c>
      <c r="C193" s="107">
        <v>583.69000000000005</v>
      </c>
      <c r="D193" s="107">
        <v>434.93</v>
      </c>
      <c r="E193" s="107">
        <v>98</v>
      </c>
      <c r="F193" s="107">
        <v>108.5</v>
      </c>
      <c r="G193" s="107">
        <v>1033.5</v>
      </c>
      <c r="H193" s="107">
        <v>42</v>
      </c>
      <c r="I193" s="22"/>
      <c r="J193" s="107">
        <v>171.46</v>
      </c>
      <c r="K193" s="107">
        <v>184.76</v>
      </c>
      <c r="L193" s="107">
        <v>268.2</v>
      </c>
      <c r="M193" s="107">
        <v>181.97</v>
      </c>
      <c r="N193" s="107">
        <v>3508.94</v>
      </c>
    </row>
    <row r="194" spans="1:14">
      <c r="A194" s="64" t="s">
        <v>124</v>
      </c>
      <c r="B194" s="107">
        <v>1224</v>
      </c>
      <c r="C194" s="107">
        <v>1123.5</v>
      </c>
      <c r="D194" s="107">
        <v>1179</v>
      </c>
      <c r="E194" s="107">
        <v>854.5</v>
      </c>
      <c r="F194" s="107">
        <v>761</v>
      </c>
      <c r="G194" s="107">
        <v>676</v>
      </c>
      <c r="H194" s="107">
        <v>698</v>
      </c>
      <c r="I194" s="107">
        <v>680</v>
      </c>
      <c r="J194" s="107">
        <v>637</v>
      </c>
      <c r="K194" s="107">
        <v>375</v>
      </c>
      <c r="L194" s="107">
        <v>1025</v>
      </c>
      <c r="M194" s="107">
        <v>783</v>
      </c>
      <c r="N194" s="107">
        <v>10016</v>
      </c>
    </row>
    <row r="195" spans="1:14">
      <c r="A195" s="64" t="s">
        <v>361</v>
      </c>
      <c r="B195" s="107">
        <v>35</v>
      </c>
      <c r="C195" s="22"/>
      <c r="D195" s="22"/>
      <c r="E195" s="22"/>
      <c r="F195" s="22"/>
      <c r="G195" s="107">
        <v>-35</v>
      </c>
      <c r="H195" s="22"/>
      <c r="I195" s="22"/>
      <c r="J195" s="22"/>
      <c r="K195" s="22"/>
      <c r="L195" s="107">
        <v>105</v>
      </c>
      <c r="M195" s="22"/>
      <c r="N195" s="107">
        <v>105</v>
      </c>
    </row>
    <row r="196" spans="1:14">
      <c r="A196" s="64" t="s">
        <v>125</v>
      </c>
      <c r="B196" s="107">
        <v>956.66</v>
      </c>
      <c r="C196" s="107">
        <v>1123.03</v>
      </c>
      <c r="D196" s="107">
        <v>956.66</v>
      </c>
      <c r="E196" s="107">
        <v>894.94</v>
      </c>
      <c r="F196" s="107">
        <v>956.66</v>
      </c>
      <c r="G196" s="107">
        <v>1061.78</v>
      </c>
      <c r="H196" s="107">
        <v>416.61</v>
      </c>
      <c r="I196" s="22"/>
      <c r="J196" s="22"/>
      <c r="K196" s="22"/>
      <c r="L196" s="22"/>
      <c r="M196" s="107">
        <v>462.83</v>
      </c>
      <c r="N196" s="107">
        <v>6829.17</v>
      </c>
    </row>
    <row r="197" spans="1:14">
      <c r="A197" s="64" t="s">
        <v>126</v>
      </c>
      <c r="B197" s="111">
        <v>12.18</v>
      </c>
      <c r="C197" s="111">
        <v>0.97</v>
      </c>
      <c r="D197" s="111">
        <v>-0.97</v>
      </c>
      <c r="E197" s="113"/>
      <c r="F197" s="113"/>
      <c r="G197" s="113"/>
      <c r="H197" s="113"/>
      <c r="I197" s="113"/>
      <c r="J197" s="113"/>
      <c r="K197" s="113"/>
      <c r="L197" s="113"/>
      <c r="M197" s="113"/>
      <c r="N197" s="111">
        <v>12.18</v>
      </c>
    </row>
    <row r="198" spans="1:14">
      <c r="A198" s="64" t="s">
        <v>127</v>
      </c>
      <c r="B198" s="107">
        <f t="shared" ref="B198:M198" si="55">SUM(B184:B197)</f>
        <v>20894.400000000001</v>
      </c>
      <c r="C198" s="107">
        <f t="shared" si="55"/>
        <v>20802.509999999998</v>
      </c>
      <c r="D198" s="107">
        <f t="shared" si="55"/>
        <v>18032.829999999998</v>
      </c>
      <c r="E198" s="107">
        <f t="shared" si="55"/>
        <v>26957.239999999998</v>
      </c>
      <c r="F198" s="107">
        <f t="shared" si="55"/>
        <v>18755.38</v>
      </c>
      <c r="G198" s="107">
        <f t="shared" si="55"/>
        <v>16766.920000000002</v>
      </c>
      <c r="H198" s="107">
        <f t="shared" si="55"/>
        <v>10512.230000000001</v>
      </c>
      <c r="I198" s="107">
        <f t="shared" si="55"/>
        <v>36468.800000000003</v>
      </c>
      <c r="J198" s="107">
        <f t="shared" si="55"/>
        <v>4735.66</v>
      </c>
      <c r="K198" s="107">
        <f t="shared" si="55"/>
        <v>24218.829999999994</v>
      </c>
      <c r="L198" s="107">
        <f t="shared" si="55"/>
        <v>8612.11</v>
      </c>
      <c r="M198" s="107">
        <f t="shared" si="55"/>
        <v>19674.080000000002</v>
      </c>
      <c r="N198" s="107">
        <v>226430.99</v>
      </c>
    </row>
    <row r="199" spans="1:14">
      <c r="A199" s="64"/>
      <c r="B199" s="22"/>
      <c r="C199" s="22"/>
      <c r="D199" s="22"/>
      <c r="E199" s="22"/>
      <c r="F199" s="22"/>
      <c r="G199" s="22"/>
      <c r="H199" s="22"/>
      <c r="I199" s="22"/>
      <c r="J199" s="22"/>
      <c r="K199" s="22"/>
      <c r="L199" s="22"/>
      <c r="M199" s="22"/>
      <c r="N199" s="22"/>
    </row>
    <row r="200" spans="1:14">
      <c r="A200" s="64" t="s">
        <v>47</v>
      </c>
      <c r="B200" s="107">
        <f t="shared" ref="B200:M200" si="56">SUM(B120:B199)-B134-0-B154-B163-0-B182-B198</f>
        <v>368853.77</v>
      </c>
      <c r="C200" s="107">
        <f t="shared" si="56"/>
        <v>364090.40000000014</v>
      </c>
      <c r="D200" s="107">
        <f t="shared" si="56"/>
        <v>308040.80000000022</v>
      </c>
      <c r="E200" s="107">
        <f t="shared" si="56"/>
        <v>379236.37999999989</v>
      </c>
      <c r="F200" s="107">
        <f t="shared" si="56"/>
        <v>317111.21000000031</v>
      </c>
      <c r="G200" s="107">
        <f t="shared" si="56"/>
        <v>292737.42999999993</v>
      </c>
      <c r="H200" s="107">
        <f t="shared" si="56"/>
        <v>309636.55999999994</v>
      </c>
      <c r="I200" s="107">
        <f t="shared" si="56"/>
        <v>366989.68000000058</v>
      </c>
      <c r="J200" s="107">
        <f t="shared" si="56"/>
        <v>352443.45000000059</v>
      </c>
      <c r="K200" s="107">
        <f t="shared" si="56"/>
        <v>390976.25000000017</v>
      </c>
      <c r="L200" s="107">
        <f t="shared" si="56"/>
        <v>-193696.45</v>
      </c>
      <c r="M200" s="107">
        <f t="shared" si="56"/>
        <v>141539.22000000015</v>
      </c>
      <c r="N200" s="107">
        <v>3397958.7</v>
      </c>
    </row>
    <row r="201" spans="1:14">
      <c r="A201" s="64"/>
      <c r="B201" s="22"/>
      <c r="C201" s="22"/>
      <c r="D201" s="22"/>
      <c r="E201" s="22"/>
      <c r="F201" s="22"/>
      <c r="G201" s="22"/>
      <c r="H201" s="22"/>
      <c r="I201" s="22"/>
      <c r="J201" s="22"/>
      <c r="K201" s="22"/>
      <c r="L201" s="22"/>
      <c r="M201" s="22"/>
      <c r="N201" s="22"/>
    </row>
    <row r="202" spans="1:14">
      <c r="A202" s="64" t="s">
        <v>48</v>
      </c>
      <c r="B202" s="22"/>
      <c r="C202" s="22"/>
      <c r="D202" s="22"/>
      <c r="E202" s="22"/>
      <c r="F202" s="22"/>
      <c r="G202" s="22"/>
      <c r="H202" s="22"/>
      <c r="I202" s="22"/>
      <c r="J202" s="22"/>
      <c r="K202" s="22"/>
      <c r="L202" s="22"/>
      <c r="M202" s="22"/>
      <c r="N202" s="22"/>
    </row>
    <row r="203" spans="1:14">
      <c r="A203" s="64" t="s">
        <v>326</v>
      </c>
      <c r="B203" s="107">
        <v>68.5</v>
      </c>
      <c r="C203" s="22"/>
      <c r="D203" s="22"/>
      <c r="E203" s="22"/>
      <c r="F203" s="22"/>
      <c r="G203" s="22"/>
      <c r="H203" s="22"/>
      <c r="I203" s="107">
        <v>229.52</v>
      </c>
      <c r="J203" s="107">
        <v>-459.04</v>
      </c>
      <c r="K203" s="22"/>
      <c r="L203" s="22"/>
      <c r="M203" s="22"/>
      <c r="N203" s="107">
        <v>-161.02000000000001</v>
      </c>
    </row>
    <row r="204" spans="1:14">
      <c r="A204" s="64" t="s">
        <v>128</v>
      </c>
      <c r="B204" s="107">
        <v>565</v>
      </c>
      <c r="C204" s="107">
        <v>937</v>
      </c>
      <c r="D204" s="107">
        <v>804.03</v>
      </c>
      <c r="E204" s="107">
        <v>838.5</v>
      </c>
      <c r="F204" s="107">
        <v>752</v>
      </c>
      <c r="G204" s="107">
        <v>8438.27</v>
      </c>
      <c r="H204" s="107">
        <v>-5884.79</v>
      </c>
      <c r="I204" s="107">
        <v>868</v>
      </c>
      <c r="J204" s="107">
        <v>852</v>
      </c>
      <c r="K204" s="107">
        <v>852</v>
      </c>
      <c r="L204" s="107">
        <v>708</v>
      </c>
      <c r="M204" s="107">
        <v>840</v>
      </c>
      <c r="N204" s="107">
        <v>10570.01</v>
      </c>
    </row>
    <row r="205" spans="1:14">
      <c r="A205" s="64" t="s">
        <v>129</v>
      </c>
      <c r="B205" s="107">
        <v>400</v>
      </c>
      <c r="C205" s="107">
        <v>400</v>
      </c>
      <c r="D205" s="107">
        <v>400</v>
      </c>
      <c r="E205" s="107">
        <v>400</v>
      </c>
      <c r="F205" s="107">
        <v>400</v>
      </c>
      <c r="G205" s="107">
        <v>400</v>
      </c>
      <c r="H205" s="107">
        <v>200</v>
      </c>
      <c r="I205" s="107">
        <v>600</v>
      </c>
      <c r="J205" s="107">
        <v>400</v>
      </c>
      <c r="K205" s="107">
        <v>200</v>
      </c>
      <c r="L205" s="107">
        <v>400</v>
      </c>
      <c r="M205" s="107">
        <v>200</v>
      </c>
      <c r="N205" s="107">
        <v>4400</v>
      </c>
    </row>
    <row r="206" spans="1:14">
      <c r="A206" s="64" t="s">
        <v>130</v>
      </c>
      <c r="B206" s="107">
        <v>648.17999999999995</v>
      </c>
      <c r="C206" s="107">
        <v>450</v>
      </c>
      <c r="D206" s="107">
        <v>700.23</v>
      </c>
      <c r="E206" s="107">
        <v>450</v>
      </c>
      <c r="F206" s="107">
        <v>516.76</v>
      </c>
      <c r="G206" s="107">
        <v>548.20000000000005</v>
      </c>
      <c r="H206" s="107">
        <v>617.61</v>
      </c>
      <c r="I206" s="107">
        <v>574.26</v>
      </c>
      <c r="J206" s="107">
        <v>569.64</v>
      </c>
      <c r="K206" s="107">
        <v>647.82000000000005</v>
      </c>
      <c r="L206" s="107">
        <v>320</v>
      </c>
      <c r="M206" s="107">
        <v>520.23</v>
      </c>
      <c r="N206" s="107">
        <v>6562.93</v>
      </c>
    </row>
    <row r="207" spans="1:14">
      <c r="A207" s="64" t="s">
        <v>131</v>
      </c>
      <c r="B207" s="107">
        <v>745.81</v>
      </c>
      <c r="C207" s="107">
        <v>670</v>
      </c>
      <c r="D207" s="107">
        <v>745</v>
      </c>
      <c r="E207" s="107">
        <v>695</v>
      </c>
      <c r="F207" s="107">
        <v>695</v>
      </c>
      <c r="G207" s="107">
        <v>695</v>
      </c>
      <c r="H207" s="107">
        <v>797.86</v>
      </c>
      <c r="I207" s="107">
        <v>730</v>
      </c>
      <c r="J207" s="107">
        <v>855</v>
      </c>
      <c r="K207" s="107">
        <v>905</v>
      </c>
      <c r="L207" s="107">
        <v>905</v>
      </c>
      <c r="M207" s="107">
        <v>880</v>
      </c>
      <c r="N207" s="107">
        <v>9318.67</v>
      </c>
    </row>
    <row r="208" spans="1:14">
      <c r="A208" s="64" t="s">
        <v>132</v>
      </c>
      <c r="B208" s="107">
        <v>35623.269999999997</v>
      </c>
      <c r="C208" s="107">
        <v>27867.75</v>
      </c>
      <c r="D208" s="107">
        <v>5919.3</v>
      </c>
      <c r="E208" s="107">
        <v>9048.1</v>
      </c>
      <c r="F208" s="107">
        <v>327861.71000000002</v>
      </c>
      <c r="G208" s="107">
        <v>16383.06</v>
      </c>
      <c r="H208" s="107">
        <v>15671.42</v>
      </c>
      <c r="I208" s="107">
        <v>12137.6</v>
      </c>
      <c r="J208" s="107">
        <v>15416.98</v>
      </c>
      <c r="K208" s="107">
        <v>25001.13</v>
      </c>
      <c r="L208" s="107">
        <v>65477.279999999999</v>
      </c>
      <c r="M208" s="107">
        <v>-58665.38</v>
      </c>
      <c r="N208" s="107">
        <v>497742.22</v>
      </c>
    </row>
    <row r="209" spans="1:14">
      <c r="A209" s="64" t="s">
        <v>133</v>
      </c>
      <c r="B209" s="107">
        <v>383651</v>
      </c>
      <c r="C209" s="107">
        <v>709717</v>
      </c>
      <c r="D209" s="107">
        <v>794289</v>
      </c>
      <c r="E209" s="107">
        <v>685712</v>
      </c>
      <c r="F209" s="107">
        <v>1509073.9</v>
      </c>
      <c r="G209" s="107">
        <v>404369</v>
      </c>
      <c r="H209" s="107">
        <v>346072</v>
      </c>
      <c r="I209" s="107">
        <v>384881</v>
      </c>
      <c r="J209" s="107">
        <v>380339</v>
      </c>
      <c r="K209" s="107">
        <v>391507</v>
      </c>
      <c r="L209" s="107">
        <v>-149871</v>
      </c>
      <c r="M209" s="107">
        <v>310998</v>
      </c>
      <c r="N209" s="107">
        <v>6150737.9000000004</v>
      </c>
    </row>
    <row r="210" spans="1:14">
      <c r="A210" s="64" t="s">
        <v>360</v>
      </c>
      <c r="B210" s="107">
        <v>185150.52</v>
      </c>
      <c r="C210" s="107">
        <v>369545</v>
      </c>
      <c r="D210" s="107">
        <v>118706.55</v>
      </c>
      <c r="E210" s="107">
        <v>118450</v>
      </c>
      <c r="F210" s="107">
        <v>19054.16</v>
      </c>
      <c r="G210" s="107">
        <v>304731.8</v>
      </c>
      <c r="H210" s="107">
        <v>453400</v>
      </c>
      <c r="I210" s="107">
        <v>454100</v>
      </c>
      <c r="J210" s="107">
        <v>230100</v>
      </c>
      <c r="K210" s="107">
        <v>468014</v>
      </c>
      <c r="L210" s="107">
        <v>-321126.27</v>
      </c>
      <c r="M210" s="107">
        <v>331317.87</v>
      </c>
      <c r="N210" s="107">
        <v>2731443.63</v>
      </c>
    </row>
    <row r="211" spans="1:14">
      <c r="A211" s="64" t="s">
        <v>134</v>
      </c>
      <c r="B211" s="107">
        <v>1516.34</v>
      </c>
      <c r="C211" s="107">
        <v>226.42</v>
      </c>
      <c r="D211" s="107">
        <v>124.07</v>
      </c>
      <c r="E211" s="107">
        <v>61.87</v>
      </c>
      <c r="F211" s="107">
        <v>2209</v>
      </c>
      <c r="G211" s="107">
        <v>3778.37</v>
      </c>
      <c r="H211" s="107">
        <v>2519.61</v>
      </c>
      <c r="I211" s="107">
        <v>789.56</v>
      </c>
      <c r="J211" s="107">
        <v>4695.13</v>
      </c>
      <c r="K211" s="107">
        <v>705.28</v>
      </c>
      <c r="L211" s="107">
        <v>1271.8800000000001</v>
      </c>
      <c r="M211" s="107">
        <v>594.80999999999995</v>
      </c>
      <c r="N211" s="107">
        <v>18492.34</v>
      </c>
    </row>
    <row r="212" spans="1:14">
      <c r="A212" s="64" t="s">
        <v>396</v>
      </c>
      <c r="B212" s="22"/>
      <c r="C212" s="22"/>
      <c r="D212" s="22"/>
      <c r="E212" s="22"/>
      <c r="F212" s="107">
        <v>4817843</v>
      </c>
      <c r="G212" s="22"/>
      <c r="H212" s="22"/>
      <c r="I212" s="22"/>
      <c r="J212" s="22"/>
      <c r="K212" s="22"/>
      <c r="L212" s="22"/>
      <c r="M212" s="22"/>
      <c r="N212" s="107">
        <v>4817843</v>
      </c>
    </row>
    <row r="213" spans="1:14">
      <c r="A213" s="64" t="s">
        <v>397</v>
      </c>
      <c r="B213" s="113"/>
      <c r="C213" s="113"/>
      <c r="D213" s="113"/>
      <c r="E213" s="113"/>
      <c r="F213" s="111">
        <v>-12995275</v>
      </c>
      <c r="G213" s="113"/>
      <c r="H213" s="113"/>
      <c r="I213" s="113"/>
      <c r="J213" s="113"/>
      <c r="K213" s="113"/>
      <c r="L213" s="113"/>
      <c r="M213" s="113"/>
      <c r="N213" s="111">
        <v>-12995275</v>
      </c>
    </row>
    <row r="214" spans="1:14">
      <c r="A214" s="64" t="s">
        <v>135</v>
      </c>
      <c r="B214" s="107">
        <f t="shared" ref="B214:M214" si="57">SUM(B201:B213)</f>
        <v>608368.62</v>
      </c>
      <c r="C214" s="107">
        <f t="shared" si="57"/>
        <v>1109813.17</v>
      </c>
      <c r="D214" s="107">
        <f t="shared" si="57"/>
        <v>921688.18</v>
      </c>
      <c r="E214" s="107">
        <f t="shared" si="57"/>
        <v>815655.47</v>
      </c>
      <c r="F214" s="107">
        <f t="shared" si="57"/>
        <v>-6316869.4700000007</v>
      </c>
      <c r="G214" s="107">
        <f t="shared" si="57"/>
        <v>739343.70000000007</v>
      </c>
      <c r="H214" s="107">
        <f t="shared" si="57"/>
        <v>813393.71</v>
      </c>
      <c r="I214" s="107">
        <f t="shared" si="57"/>
        <v>854909.94000000006</v>
      </c>
      <c r="J214" s="107">
        <f t="shared" si="57"/>
        <v>632768.71000000008</v>
      </c>
      <c r="K214" s="107">
        <f t="shared" si="57"/>
        <v>887832.23</v>
      </c>
      <c r="L214" s="107">
        <f t="shared" si="57"/>
        <v>-401915.11</v>
      </c>
      <c r="M214" s="107">
        <f t="shared" si="57"/>
        <v>586685.53</v>
      </c>
      <c r="N214" s="107">
        <v>1251674.68</v>
      </c>
    </row>
    <row r="215" spans="1:14">
      <c r="A215" s="64"/>
      <c r="B215" s="22"/>
      <c r="C215" s="22"/>
      <c r="D215" s="22"/>
      <c r="E215" s="22"/>
      <c r="F215" s="22"/>
      <c r="G215" s="22"/>
      <c r="H215" s="22"/>
      <c r="I215" s="22"/>
      <c r="J215" s="22"/>
      <c r="K215" s="22"/>
      <c r="L215" s="22"/>
      <c r="M215" s="22"/>
      <c r="N215" s="22"/>
    </row>
    <row r="216" spans="1:14" ht="15.75" thickBot="1">
      <c r="A216" s="64" t="s">
        <v>13</v>
      </c>
      <c r="B216" s="112">
        <f t="shared" ref="B216:M216" si="58">SUM(B68:B215)-B70-B74-B78-B81-B85-B89-B91-B97-B101-B105-B108-B112-B116-B118-B134-0-B154-B163-0-B182-B198-B200-B214</f>
        <v>9752315.1399999876</v>
      </c>
      <c r="C216" s="112">
        <f t="shared" si="58"/>
        <v>9958002.9500000104</v>
      </c>
      <c r="D216" s="112">
        <f t="shared" si="58"/>
        <v>10086444.079999991</v>
      </c>
      <c r="E216" s="112">
        <f t="shared" si="58"/>
        <v>9621856.5999999773</v>
      </c>
      <c r="F216" s="112">
        <f t="shared" si="58"/>
        <v>2826207.4100000081</v>
      </c>
      <c r="G216" s="112">
        <f t="shared" si="58"/>
        <v>10668702.430000015</v>
      </c>
      <c r="H216" s="112">
        <f t="shared" si="58"/>
        <v>10151726.729999997</v>
      </c>
      <c r="I216" s="112">
        <f t="shared" si="58"/>
        <v>10411936.780000001</v>
      </c>
      <c r="J216" s="112">
        <f t="shared" si="58"/>
        <v>9860151.6600000318</v>
      </c>
      <c r="K216" s="112">
        <f t="shared" si="58"/>
        <v>10267801.999999994</v>
      </c>
      <c r="L216" s="112">
        <f t="shared" si="58"/>
        <v>-1372837.4</v>
      </c>
      <c r="M216" s="112">
        <f t="shared" si="58"/>
        <v>9142133.7799999975</v>
      </c>
      <c r="N216" s="112">
        <v>101374442.16</v>
      </c>
    </row>
    <row r="217" spans="1:14" ht="15.75" thickTop="1">
      <c r="A217" s="64"/>
      <c r="B217" s="22"/>
      <c r="C217" s="22"/>
      <c r="D217" s="22"/>
      <c r="E217" s="22"/>
      <c r="F217" s="22"/>
      <c r="G217" s="22"/>
      <c r="H217" s="22"/>
      <c r="I217" s="22"/>
      <c r="J217" s="22"/>
      <c r="K217" s="22"/>
      <c r="L217" s="22"/>
      <c r="M217" s="22"/>
      <c r="N217" s="22"/>
    </row>
    <row r="218" spans="1:14">
      <c r="A218" s="64"/>
      <c r="B218" s="22"/>
      <c r="C218" s="22"/>
      <c r="D218" s="22"/>
      <c r="E218" s="22"/>
      <c r="F218" s="22"/>
      <c r="G218" s="22"/>
      <c r="H218" s="22"/>
      <c r="I218" s="22"/>
      <c r="J218" s="22"/>
      <c r="K218" s="22"/>
      <c r="L218" s="22"/>
      <c r="M218" s="22"/>
      <c r="N218" s="22"/>
    </row>
    <row r="219" spans="1:14">
      <c r="A219" s="64" t="s">
        <v>14</v>
      </c>
      <c r="B219" s="22"/>
      <c r="C219" s="22"/>
      <c r="D219" s="22"/>
      <c r="E219" s="22"/>
      <c r="F219" s="22"/>
      <c r="G219" s="22"/>
      <c r="H219" s="22"/>
      <c r="I219" s="22"/>
      <c r="J219" s="22"/>
      <c r="K219" s="22"/>
      <c r="L219" s="22"/>
      <c r="M219" s="22"/>
      <c r="N219" s="22"/>
    </row>
    <row r="220" spans="1:14">
      <c r="A220" s="64"/>
      <c r="B220" s="22"/>
      <c r="C220" s="22"/>
      <c r="D220" s="22"/>
      <c r="E220" s="22"/>
      <c r="F220" s="22"/>
      <c r="G220" s="22"/>
      <c r="H220" s="22"/>
      <c r="I220" s="22"/>
      <c r="J220" s="22"/>
      <c r="K220" s="22"/>
      <c r="L220" s="22"/>
      <c r="M220" s="22"/>
      <c r="N220" s="22"/>
    </row>
    <row r="221" spans="1:14">
      <c r="A221" s="64" t="s">
        <v>136</v>
      </c>
      <c r="B221" s="22"/>
      <c r="C221" s="22"/>
      <c r="D221" s="22"/>
      <c r="E221" s="22"/>
      <c r="F221" s="22"/>
      <c r="G221" s="22"/>
      <c r="H221" s="22"/>
      <c r="I221" s="22"/>
      <c r="J221" s="22"/>
      <c r="K221" s="22"/>
      <c r="L221" s="22"/>
      <c r="M221" s="22"/>
      <c r="N221" s="22"/>
    </row>
    <row r="222" spans="1:14">
      <c r="A222" s="64" t="s">
        <v>137</v>
      </c>
      <c r="B222" s="107">
        <v>135983.06</v>
      </c>
      <c r="C222" s="107">
        <v>137908.01</v>
      </c>
      <c r="D222" s="107">
        <v>136123.54999999999</v>
      </c>
      <c r="E222" s="107">
        <v>142396.35999999999</v>
      </c>
      <c r="F222" s="107">
        <v>120737.60000000001</v>
      </c>
      <c r="G222" s="107">
        <v>119476.58</v>
      </c>
      <c r="H222" s="107">
        <v>121581.03</v>
      </c>
      <c r="I222" s="107">
        <v>147562.42000000001</v>
      </c>
      <c r="J222" s="107">
        <v>148563.03</v>
      </c>
      <c r="K222" s="107">
        <v>145364.07999999999</v>
      </c>
      <c r="L222" s="107">
        <v>-35694.82</v>
      </c>
      <c r="M222" s="107">
        <v>94528.08</v>
      </c>
      <c r="N222" s="107">
        <v>1414528.98</v>
      </c>
    </row>
    <row r="223" spans="1:14">
      <c r="A223" s="64" t="s">
        <v>138</v>
      </c>
      <c r="B223" s="107">
        <v>409868.98</v>
      </c>
      <c r="C223" s="107">
        <v>346598.12</v>
      </c>
      <c r="D223" s="107">
        <v>353442.88</v>
      </c>
      <c r="E223" s="107">
        <v>290026.09000000003</v>
      </c>
      <c r="F223" s="107">
        <v>351716.83</v>
      </c>
      <c r="G223" s="107">
        <v>276834.46999999997</v>
      </c>
      <c r="H223" s="107">
        <v>261782.71</v>
      </c>
      <c r="I223" s="107">
        <v>301671.09000000003</v>
      </c>
      <c r="J223" s="107">
        <v>258555.71</v>
      </c>
      <c r="K223" s="107">
        <v>261846.5</v>
      </c>
      <c r="L223" s="107">
        <v>52451.41</v>
      </c>
      <c r="M223" s="107">
        <v>285512.13</v>
      </c>
      <c r="N223" s="107">
        <v>3450306.92</v>
      </c>
    </row>
    <row r="224" spans="1:14">
      <c r="A224" s="64" t="s">
        <v>139</v>
      </c>
      <c r="B224" s="107">
        <v>1206552.1599999999</v>
      </c>
      <c r="C224" s="107">
        <v>1160909.75</v>
      </c>
      <c r="D224" s="107">
        <v>1235208.3700000001</v>
      </c>
      <c r="E224" s="107">
        <v>1122940.68</v>
      </c>
      <c r="F224" s="107">
        <v>1098174.6499999999</v>
      </c>
      <c r="G224" s="107">
        <v>1153103.4099999999</v>
      </c>
      <c r="H224" s="107">
        <v>1058154.47</v>
      </c>
      <c r="I224" s="107">
        <v>1119712.92</v>
      </c>
      <c r="J224" s="107">
        <v>1084416.1299999999</v>
      </c>
      <c r="K224" s="107">
        <v>1037359.56</v>
      </c>
      <c r="L224" s="107">
        <v>-46226.559999999998</v>
      </c>
      <c r="M224" s="107">
        <v>953051.13</v>
      </c>
      <c r="N224" s="107">
        <v>12183356.67</v>
      </c>
    </row>
    <row r="225" spans="1:14">
      <c r="A225" s="64" t="s">
        <v>140</v>
      </c>
      <c r="B225" s="107">
        <v>37420.25</v>
      </c>
      <c r="C225" s="107">
        <v>40069.17</v>
      </c>
      <c r="D225" s="107">
        <v>44367.68</v>
      </c>
      <c r="E225" s="107">
        <v>48556.14</v>
      </c>
      <c r="F225" s="107">
        <v>41729.449999999997</v>
      </c>
      <c r="G225" s="107">
        <v>50189.66</v>
      </c>
      <c r="H225" s="107">
        <v>46366.89</v>
      </c>
      <c r="I225" s="107">
        <v>59458.64</v>
      </c>
      <c r="J225" s="107">
        <v>51911.09</v>
      </c>
      <c r="K225" s="107">
        <v>56831.4</v>
      </c>
      <c r="L225" s="107">
        <v>-49915.7</v>
      </c>
      <c r="M225" s="107">
        <v>43610.54</v>
      </c>
      <c r="N225" s="107">
        <v>470595.21</v>
      </c>
    </row>
    <row r="226" spans="1:14">
      <c r="A226" s="64" t="s">
        <v>141</v>
      </c>
      <c r="B226" s="107">
        <v>220580.04</v>
      </c>
      <c r="C226" s="107">
        <v>214269.59</v>
      </c>
      <c r="D226" s="107">
        <v>206394.43</v>
      </c>
      <c r="E226" s="107">
        <v>197362.01</v>
      </c>
      <c r="F226" s="107">
        <v>200450.28</v>
      </c>
      <c r="G226" s="107">
        <v>206118.73</v>
      </c>
      <c r="H226" s="107">
        <v>172759.33</v>
      </c>
      <c r="I226" s="107">
        <v>206348.12</v>
      </c>
      <c r="J226" s="107">
        <v>204680.02</v>
      </c>
      <c r="K226" s="107">
        <v>209396.76</v>
      </c>
      <c r="L226" s="107">
        <v>-138693.06</v>
      </c>
      <c r="M226" s="107">
        <v>161760.14000000001</v>
      </c>
      <c r="N226" s="107">
        <v>2061426.39</v>
      </c>
    </row>
    <row r="227" spans="1:14">
      <c r="A227" s="64" t="s">
        <v>142</v>
      </c>
      <c r="B227" s="107">
        <v>51384.6</v>
      </c>
      <c r="C227" s="107">
        <v>45088.23</v>
      </c>
      <c r="D227" s="107">
        <v>41713.17</v>
      </c>
      <c r="E227" s="107">
        <v>38163.199999999997</v>
      </c>
      <c r="F227" s="107">
        <v>48994.52</v>
      </c>
      <c r="G227" s="107">
        <v>37090.959999999999</v>
      </c>
      <c r="H227" s="107">
        <v>38695.33</v>
      </c>
      <c r="I227" s="107">
        <v>38814.14</v>
      </c>
      <c r="J227" s="107">
        <v>40496.21</v>
      </c>
      <c r="K227" s="107">
        <v>41773.17</v>
      </c>
      <c r="L227" s="107">
        <v>15342.49</v>
      </c>
      <c r="M227" s="107">
        <v>36989.01</v>
      </c>
      <c r="N227" s="107">
        <v>474545.03</v>
      </c>
    </row>
    <row r="228" spans="1:14">
      <c r="A228" s="64" t="s">
        <v>143</v>
      </c>
      <c r="B228" s="107">
        <v>736877.53</v>
      </c>
      <c r="C228" s="107">
        <v>750203.22</v>
      </c>
      <c r="D228" s="107">
        <v>824150.83</v>
      </c>
      <c r="E228" s="107">
        <v>775247.15</v>
      </c>
      <c r="F228" s="107">
        <v>818763.3</v>
      </c>
      <c r="G228" s="107">
        <v>805564.62</v>
      </c>
      <c r="H228" s="107">
        <v>764814.68</v>
      </c>
      <c r="I228" s="107">
        <v>859066.6</v>
      </c>
      <c r="J228" s="107">
        <v>826986.99</v>
      </c>
      <c r="K228" s="107">
        <v>784648.6</v>
      </c>
      <c r="L228" s="107">
        <v>-159111.18</v>
      </c>
      <c r="M228" s="107">
        <v>713986.95</v>
      </c>
      <c r="N228" s="107">
        <v>8501199.2899999991</v>
      </c>
    </row>
    <row r="229" spans="1:14">
      <c r="A229" s="64" t="s">
        <v>144</v>
      </c>
      <c r="B229" s="107">
        <v>67122.03</v>
      </c>
      <c r="C229" s="107">
        <v>67346.12</v>
      </c>
      <c r="D229" s="107">
        <v>68943.92</v>
      </c>
      <c r="E229" s="107">
        <v>60809.51</v>
      </c>
      <c r="F229" s="107">
        <v>58703.12</v>
      </c>
      <c r="G229" s="107">
        <v>61729.74</v>
      </c>
      <c r="H229" s="107">
        <v>59016.28</v>
      </c>
      <c r="I229" s="107">
        <v>65216.94</v>
      </c>
      <c r="J229" s="107">
        <v>64225.42</v>
      </c>
      <c r="K229" s="107">
        <v>50924.91</v>
      </c>
      <c r="L229" s="107">
        <v>-6464.18</v>
      </c>
      <c r="M229" s="107">
        <v>38967.21</v>
      </c>
      <c r="N229" s="107">
        <v>656541.02</v>
      </c>
    </row>
    <row r="230" spans="1:14">
      <c r="A230" s="64" t="s">
        <v>324</v>
      </c>
      <c r="B230" s="107">
        <v>1391.7</v>
      </c>
      <c r="C230" s="107">
        <v>1607.82</v>
      </c>
      <c r="D230" s="107">
        <v>1828.12</v>
      </c>
      <c r="E230" s="107">
        <v>1443</v>
      </c>
      <c r="F230" s="107">
        <v>5522.13</v>
      </c>
      <c r="G230" s="107">
        <v>943.73</v>
      </c>
      <c r="H230" s="107">
        <v>4136.68</v>
      </c>
      <c r="I230" s="107">
        <v>3282.12</v>
      </c>
      <c r="J230" s="107">
        <v>2660.6</v>
      </c>
      <c r="K230" s="107">
        <v>4271.04</v>
      </c>
      <c r="L230" s="107">
        <v>4143.6000000000004</v>
      </c>
      <c r="M230" s="107">
        <v>3558.66</v>
      </c>
      <c r="N230" s="107">
        <v>34789.199999999997</v>
      </c>
    </row>
    <row r="231" spans="1:14">
      <c r="A231" s="64" t="s">
        <v>145</v>
      </c>
      <c r="B231" s="107">
        <v>55811.07</v>
      </c>
      <c r="C231" s="107">
        <v>57004.77</v>
      </c>
      <c r="D231" s="107">
        <v>57717.93</v>
      </c>
      <c r="E231" s="107">
        <v>56945.33</v>
      </c>
      <c r="F231" s="107">
        <v>53710.95</v>
      </c>
      <c r="G231" s="107">
        <v>53875.37</v>
      </c>
      <c r="H231" s="107">
        <v>53619.199999999997</v>
      </c>
      <c r="I231" s="107">
        <v>59020.89</v>
      </c>
      <c r="J231" s="107">
        <v>56275.6</v>
      </c>
      <c r="K231" s="107">
        <v>49896.15</v>
      </c>
      <c r="L231" s="107">
        <v>-572.85</v>
      </c>
      <c r="M231" s="107">
        <v>50076.26</v>
      </c>
      <c r="N231" s="107">
        <v>603380.67000000004</v>
      </c>
    </row>
    <row r="232" spans="1:14">
      <c r="A232" s="64" t="s">
        <v>146</v>
      </c>
      <c r="B232" s="107">
        <v>27407.35</v>
      </c>
      <c r="C232" s="107">
        <v>17833.650000000001</v>
      </c>
      <c r="D232" s="107">
        <v>22770.6</v>
      </c>
      <c r="E232" s="107">
        <v>24153.95</v>
      </c>
      <c r="F232" s="107">
        <v>22710.9</v>
      </c>
      <c r="G232" s="107">
        <v>16534.46</v>
      </c>
      <c r="H232" s="107">
        <v>23232.36</v>
      </c>
      <c r="I232" s="107">
        <v>26001.71</v>
      </c>
      <c r="J232" s="107">
        <v>25091.37</v>
      </c>
      <c r="K232" s="107">
        <v>28645.5</v>
      </c>
      <c r="L232" s="107">
        <v>23638.49</v>
      </c>
      <c r="M232" s="107">
        <v>23207.11</v>
      </c>
      <c r="N232" s="107">
        <v>281227.45</v>
      </c>
    </row>
    <row r="233" spans="1:14">
      <c r="A233" s="64" t="s">
        <v>147</v>
      </c>
      <c r="B233" s="107">
        <v>33293.58</v>
      </c>
      <c r="C233" s="107">
        <v>29686.2</v>
      </c>
      <c r="D233" s="107">
        <v>33248.47</v>
      </c>
      <c r="E233" s="107">
        <v>32608.14</v>
      </c>
      <c r="F233" s="107">
        <v>34561.82</v>
      </c>
      <c r="G233" s="107">
        <v>29198.79</v>
      </c>
      <c r="H233" s="107">
        <v>29909.26</v>
      </c>
      <c r="I233" s="107">
        <v>37944.17</v>
      </c>
      <c r="J233" s="107">
        <v>37863.800000000003</v>
      </c>
      <c r="K233" s="107">
        <v>37607.25</v>
      </c>
      <c r="L233" s="107">
        <v>-16491.41</v>
      </c>
      <c r="M233" s="107">
        <v>27319.69</v>
      </c>
      <c r="N233" s="107">
        <v>346749.76</v>
      </c>
    </row>
    <row r="234" spans="1:14">
      <c r="A234" s="64" t="s">
        <v>148</v>
      </c>
      <c r="B234" s="107">
        <v>33149.760000000002</v>
      </c>
      <c r="C234" s="107">
        <v>30190.11</v>
      </c>
      <c r="D234" s="107">
        <v>30525.55</v>
      </c>
      <c r="E234" s="107">
        <v>36681.5</v>
      </c>
      <c r="F234" s="107">
        <v>39430.050000000003</v>
      </c>
      <c r="G234" s="107">
        <v>32334.880000000001</v>
      </c>
      <c r="H234" s="107">
        <v>39212.769999999997</v>
      </c>
      <c r="I234" s="107">
        <v>41033.08</v>
      </c>
      <c r="J234" s="107">
        <v>41611.21</v>
      </c>
      <c r="K234" s="107">
        <v>39694.639999999999</v>
      </c>
      <c r="L234" s="107">
        <v>-9559.06</v>
      </c>
      <c r="M234" s="107">
        <v>32253.87</v>
      </c>
      <c r="N234" s="107">
        <v>386558.36</v>
      </c>
    </row>
    <row r="235" spans="1:14">
      <c r="A235" s="64" t="s">
        <v>149</v>
      </c>
      <c r="B235" s="107">
        <v>4887.3100000000004</v>
      </c>
      <c r="C235" s="107">
        <v>4858.3</v>
      </c>
      <c r="D235" s="107">
        <v>4882.79</v>
      </c>
      <c r="E235" s="107">
        <v>5010.6499999999996</v>
      </c>
      <c r="F235" s="107">
        <v>4430.84</v>
      </c>
      <c r="G235" s="107">
        <v>5420.66</v>
      </c>
      <c r="H235" s="107">
        <v>4059.28</v>
      </c>
      <c r="I235" s="107">
        <v>3739.61</v>
      </c>
      <c r="J235" s="107">
        <v>3373.82</v>
      </c>
      <c r="K235" s="107">
        <v>4041.37</v>
      </c>
      <c r="L235" s="107">
        <v>3191.13</v>
      </c>
      <c r="M235" s="107">
        <v>3551.16</v>
      </c>
      <c r="N235" s="107">
        <v>51446.92</v>
      </c>
    </row>
    <row r="236" spans="1:14">
      <c r="A236" s="64" t="s">
        <v>150</v>
      </c>
      <c r="B236" s="107">
        <v>20417.36</v>
      </c>
      <c r="C236" s="107">
        <v>19306.09</v>
      </c>
      <c r="D236" s="107">
        <v>21249.42</v>
      </c>
      <c r="E236" s="107">
        <v>19742.28</v>
      </c>
      <c r="F236" s="107">
        <v>19930.25</v>
      </c>
      <c r="G236" s="107">
        <v>17217.29</v>
      </c>
      <c r="H236" s="107">
        <v>14097.94</v>
      </c>
      <c r="I236" s="107">
        <v>18153.580000000002</v>
      </c>
      <c r="J236" s="107">
        <v>16528.53</v>
      </c>
      <c r="K236" s="107">
        <v>16871.84</v>
      </c>
      <c r="L236" s="107">
        <v>19892.189999999999</v>
      </c>
      <c r="M236" s="107">
        <v>21216.959999999999</v>
      </c>
      <c r="N236" s="107">
        <v>224623.73</v>
      </c>
    </row>
    <row r="237" spans="1:14">
      <c r="A237" s="64" t="s">
        <v>283</v>
      </c>
      <c r="B237" s="107">
        <v>40289.31</v>
      </c>
      <c r="C237" s="107">
        <v>31255.58</v>
      </c>
      <c r="D237" s="107">
        <v>32006.79</v>
      </c>
      <c r="E237" s="107">
        <v>25352.9</v>
      </c>
      <c r="F237" s="107">
        <v>23749.67</v>
      </c>
      <c r="G237" s="107">
        <v>16340.11</v>
      </c>
      <c r="H237" s="107">
        <v>25973.07</v>
      </c>
      <c r="I237" s="107">
        <v>46062.19</v>
      </c>
      <c r="J237" s="107">
        <v>51487.23</v>
      </c>
      <c r="K237" s="107">
        <v>40289.919999999998</v>
      </c>
      <c r="L237" s="107">
        <v>29097.53</v>
      </c>
      <c r="M237" s="107">
        <v>44314.49</v>
      </c>
      <c r="N237" s="107">
        <v>406218.79</v>
      </c>
    </row>
    <row r="238" spans="1:14">
      <c r="A238" s="64" t="s">
        <v>151</v>
      </c>
      <c r="B238" s="107">
        <v>8145.77</v>
      </c>
      <c r="C238" s="107">
        <v>8937.84</v>
      </c>
      <c r="D238" s="107">
        <v>9199.65</v>
      </c>
      <c r="E238" s="107">
        <v>8232.3799999999992</v>
      </c>
      <c r="F238" s="107">
        <v>8284.2900000000009</v>
      </c>
      <c r="G238" s="107">
        <v>7528.32</v>
      </c>
      <c r="H238" s="107">
        <v>7679.36</v>
      </c>
      <c r="I238" s="107">
        <v>9104.1</v>
      </c>
      <c r="J238" s="107">
        <v>8331.43</v>
      </c>
      <c r="K238" s="107">
        <v>7575.98</v>
      </c>
      <c r="L238" s="107">
        <v>8954.92</v>
      </c>
      <c r="M238" s="107">
        <v>6943.61</v>
      </c>
      <c r="N238" s="107">
        <v>98917.65</v>
      </c>
    </row>
    <row r="239" spans="1:14">
      <c r="A239" s="64" t="s">
        <v>152</v>
      </c>
      <c r="B239" s="107">
        <v>22793.759999999998</v>
      </c>
      <c r="C239" s="107">
        <v>19552.03</v>
      </c>
      <c r="D239" s="107">
        <v>20546.599999999999</v>
      </c>
      <c r="E239" s="107">
        <v>19929.810000000001</v>
      </c>
      <c r="F239" s="107">
        <v>23282.58</v>
      </c>
      <c r="G239" s="107">
        <v>25050.69</v>
      </c>
      <c r="H239" s="107">
        <v>22068.68</v>
      </c>
      <c r="I239" s="107">
        <v>23633.4</v>
      </c>
      <c r="J239" s="107">
        <v>22603.42</v>
      </c>
      <c r="K239" s="107">
        <v>23074.45</v>
      </c>
      <c r="L239" s="107">
        <v>28141.03</v>
      </c>
      <c r="M239" s="107">
        <v>27502.65</v>
      </c>
      <c r="N239" s="107">
        <v>278179.09999999998</v>
      </c>
    </row>
    <row r="240" spans="1:14">
      <c r="A240" s="64" t="s">
        <v>153</v>
      </c>
      <c r="B240" s="107">
        <v>76051.77</v>
      </c>
      <c r="C240" s="107">
        <v>70209.27</v>
      </c>
      <c r="D240" s="107">
        <v>74978.679999999993</v>
      </c>
      <c r="E240" s="107">
        <v>72884.3</v>
      </c>
      <c r="F240" s="107">
        <v>72584.570000000007</v>
      </c>
      <c r="G240" s="107">
        <v>64679.28</v>
      </c>
      <c r="H240" s="107">
        <v>69232.3</v>
      </c>
      <c r="I240" s="107">
        <v>76933.56</v>
      </c>
      <c r="J240" s="107">
        <v>69488.25</v>
      </c>
      <c r="K240" s="107">
        <v>69290.97</v>
      </c>
      <c r="L240" s="107">
        <v>-17651.45</v>
      </c>
      <c r="M240" s="107">
        <v>60810.71</v>
      </c>
      <c r="N240" s="107">
        <v>759492.21</v>
      </c>
    </row>
    <row r="241" spans="1:14">
      <c r="A241" s="64" t="s">
        <v>154</v>
      </c>
      <c r="B241" s="107">
        <v>171048.32000000001</v>
      </c>
      <c r="C241" s="107">
        <v>160057.35</v>
      </c>
      <c r="D241" s="107">
        <v>141192.24</v>
      </c>
      <c r="E241" s="107">
        <v>158328.07</v>
      </c>
      <c r="F241" s="107">
        <v>157378.95000000001</v>
      </c>
      <c r="G241" s="107">
        <v>150387.09</v>
      </c>
      <c r="H241" s="107">
        <v>159024.87</v>
      </c>
      <c r="I241" s="107">
        <v>158073.09</v>
      </c>
      <c r="J241" s="107">
        <v>157043.45000000001</v>
      </c>
      <c r="K241" s="107">
        <v>156323.71</v>
      </c>
      <c r="L241" s="107">
        <v>-10303.94</v>
      </c>
      <c r="M241" s="107">
        <v>120835.48</v>
      </c>
      <c r="N241" s="107">
        <v>1679388.68</v>
      </c>
    </row>
    <row r="242" spans="1:14">
      <c r="A242" s="64" t="s">
        <v>155</v>
      </c>
      <c r="B242" s="111">
        <v>269961.69</v>
      </c>
      <c r="C242" s="111">
        <v>240901.99</v>
      </c>
      <c r="D242" s="111">
        <v>267372.93</v>
      </c>
      <c r="E242" s="111">
        <v>283003.21999999997</v>
      </c>
      <c r="F242" s="111">
        <v>249185.41</v>
      </c>
      <c r="G242" s="111">
        <v>257066.39</v>
      </c>
      <c r="H242" s="111">
        <v>265056.59999999998</v>
      </c>
      <c r="I242" s="111">
        <v>298733.89</v>
      </c>
      <c r="J242" s="111">
        <v>277082.83</v>
      </c>
      <c r="K242" s="111">
        <v>274593.71999999997</v>
      </c>
      <c r="L242" s="111">
        <v>-103596.78</v>
      </c>
      <c r="M242" s="111">
        <v>235416.72</v>
      </c>
      <c r="N242" s="111">
        <v>2814778.61</v>
      </c>
    </row>
    <row r="243" spans="1:14">
      <c r="A243" s="64" t="s">
        <v>156</v>
      </c>
      <c r="B243" s="107">
        <f t="shared" ref="B243:M243" si="59">SUM(B217:B242)</f>
        <v>3630437.3999999994</v>
      </c>
      <c r="C243" s="107">
        <f t="shared" si="59"/>
        <v>3453793.209999999</v>
      </c>
      <c r="D243" s="107">
        <f t="shared" si="59"/>
        <v>3627864.6</v>
      </c>
      <c r="E243" s="107">
        <f t="shared" si="59"/>
        <v>3419816.669999999</v>
      </c>
      <c r="F243" s="107">
        <f t="shared" si="59"/>
        <v>3454032.1599999997</v>
      </c>
      <c r="G243" s="107">
        <f t="shared" si="59"/>
        <v>3386685.2299999995</v>
      </c>
      <c r="H243" s="107">
        <f t="shared" si="59"/>
        <v>3240473.0899999994</v>
      </c>
      <c r="I243" s="107">
        <f t="shared" si="59"/>
        <v>3599566.26</v>
      </c>
      <c r="J243" s="107">
        <f t="shared" si="59"/>
        <v>3449276.1399999997</v>
      </c>
      <c r="K243" s="107">
        <f t="shared" si="59"/>
        <v>3340321.5200000005</v>
      </c>
      <c r="L243" s="107">
        <f t="shared" si="59"/>
        <v>-409428.20000000007</v>
      </c>
      <c r="M243" s="107">
        <f t="shared" si="59"/>
        <v>2985412.56</v>
      </c>
      <c r="N243" s="107">
        <v>37178250.640000001</v>
      </c>
    </row>
    <row r="244" spans="1:14">
      <c r="A244" s="64"/>
      <c r="B244" s="22"/>
      <c r="C244" s="22"/>
      <c r="D244" s="22"/>
      <c r="E244" s="22"/>
      <c r="F244" s="22"/>
      <c r="G244" s="22"/>
      <c r="H244" s="22"/>
      <c r="I244" s="22"/>
      <c r="J244" s="22"/>
      <c r="K244" s="22"/>
      <c r="L244" s="22"/>
      <c r="M244" s="22"/>
      <c r="N244" s="22"/>
    </row>
    <row r="245" spans="1:14">
      <c r="A245" s="64"/>
      <c r="B245" s="22"/>
      <c r="C245" s="22"/>
      <c r="D245" s="22"/>
      <c r="E245" s="22"/>
      <c r="F245" s="22"/>
      <c r="G245" s="22"/>
      <c r="H245" s="22"/>
      <c r="I245" s="22"/>
      <c r="J245" s="22"/>
      <c r="K245" s="22"/>
      <c r="L245" s="22"/>
      <c r="M245" s="22"/>
      <c r="N245" s="22"/>
    </row>
    <row r="246" spans="1:14">
      <c r="A246" s="64" t="s">
        <v>157</v>
      </c>
      <c r="B246" s="22"/>
      <c r="C246" s="22"/>
      <c r="D246" s="22"/>
      <c r="E246" s="22"/>
      <c r="F246" s="22"/>
      <c r="G246" s="22"/>
      <c r="H246" s="22"/>
      <c r="I246" s="22"/>
      <c r="J246" s="22"/>
      <c r="K246" s="22"/>
      <c r="L246" s="22"/>
      <c r="M246" s="22"/>
      <c r="N246" s="22"/>
    </row>
    <row r="247" spans="1:14">
      <c r="A247" s="64" t="s">
        <v>158</v>
      </c>
      <c r="B247" s="107">
        <v>24679.69</v>
      </c>
      <c r="C247" s="107">
        <v>36630.19</v>
      </c>
      <c r="D247" s="107">
        <v>7649.37</v>
      </c>
      <c r="E247" s="107">
        <v>5530.4</v>
      </c>
      <c r="F247" s="107">
        <v>-59844.57</v>
      </c>
      <c r="G247" s="22"/>
      <c r="H247" s="22"/>
      <c r="I247" s="22"/>
      <c r="J247" s="107">
        <v>1100</v>
      </c>
      <c r="K247" s="107">
        <v>-1100</v>
      </c>
      <c r="L247" s="22"/>
      <c r="M247" s="22"/>
      <c r="N247" s="107">
        <v>14645.08</v>
      </c>
    </row>
    <row r="248" spans="1:14">
      <c r="A248" s="64" t="s">
        <v>159</v>
      </c>
      <c r="B248" s="107">
        <v>116617.86</v>
      </c>
      <c r="C248" s="107">
        <v>75674.679999999993</v>
      </c>
      <c r="D248" s="107">
        <v>69110.53</v>
      </c>
      <c r="E248" s="107">
        <v>53770.94</v>
      </c>
      <c r="F248" s="107">
        <v>-643541.32999999996</v>
      </c>
      <c r="G248" s="22"/>
      <c r="H248" s="22"/>
      <c r="I248" s="22"/>
      <c r="J248" s="107">
        <v>20800</v>
      </c>
      <c r="K248" s="107">
        <v>-20800</v>
      </c>
      <c r="L248" s="22"/>
      <c r="M248" s="22"/>
      <c r="N248" s="107">
        <v>-328367.32</v>
      </c>
    </row>
    <row r="249" spans="1:14">
      <c r="A249" s="64" t="s">
        <v>160</v>
      </c>
      <c r="B249" s="107">
        <v>17624.52</v>
      </c>
      <c r="C249" s="107">
        <v>7261.83</v>
      </c>
      <c r="D249" s="107">
        <v>-511.82</v>
      </c>
      <c r="E249" s="107">
        <v>2240.77</v>
      </c>
      <c r="F249" s="107">
        <v>-52930.71</v>
      </c>
      <c r="G249" s="22"/>
      <c r="H249" s="22"/>
      <c r="I249" s="22"/>
      <c r="J249" s="107">
        <v>4379.72</v>
      </c>
      <c r="K249" s="107">
        <v>-4379.72</v>
      </c>
      <c r="L249" s="22"/>
      <c r="M249" s="22"/>
      <c r="N249" s="107">
        <v>-26315.41</v>
      </c>
    </row>
    <row r="250" spans="1:14">
      <c r="A250" s="64" t="s">
        <v>161</v>
      </c>
      <c r="B250" s="111">
        <v>172190.3</v>
      </c>
      <c r="C250" s="111">
        <v>154879.6</v>
      </c>
      <c r="D250" s="111">
        <v>99521.86</v>
      </c>
      <c r="E250" s="111">
        <v>79563.02</v>
      </c>
      <c r="F250" s="111">
        <v>-798689.49</v>
      </c>
      <c r="G250" s="113"/>
      <c r="H250" s="113"/>
      <c r="I250" s="111">
        <v>61933.72</v>
      </c>
      <c r="J250" s="111">
        <v>8184</v>
      </c>
      <c r="K250" s="111">
        <v>-70117.72</v>
      </c>
      <c r="L250" s="113"/>
      <c r="M250" s="113"/>
      <c r="N250" s="111">
        <v>-292534.71000000002</v>
      </c>
    </row>
    <row r="251" spans="1:14">
      <c r="A251" s="64" t="s">
        <v>162</v>
      </c>
      <c r="B251" s="107">
        <f>SUM(B244:B250)</f>
        <v>331112.37</v>
      </c>
      <c r="C251" s="107">
        <f>SUM(C244:C250)</f>
        <v>274446.3</v>
      </c>
      <c r="D251" s="107">
        <f>SUM(D244:D250)</f>
        <v>175769.94</v>
      </c>
      <c r="E251" s="107">
        <f>SUM(E244:E250)</f>
        <v>141105.13</v>
      </c>
      <c r="F251" s="107">
        <f>SUM(F244:F250)</f>
        <v>-1555006.0999999999</v>
      </c>
      <c r="G251" s="107"/>
      <c r="H251" s="107"/>
      <c r="I251" s="107">
        <f>SUM(I244:I250)</f>
        <v>61933.72</v>
      </c>
      <c r="J251" s="107">
        <f>SUM(J244:J250)</f>
        <v>34463.72</v>
      </c>
      <c r="K251" s="107">
        <f>SUM(K244:K250)</f>
        <v>-96397.440000000002</v>
      </c>
      <c r="L251" s="107"/>
      <c r="M251" s="107"/>
      <c r="N251" s="107">
        <v>-632572.36</v>
      </c>
    </row>
    <row r="252" spans="1:14">
      <c r="A252" s="64"/>
      <c r="B252" s="22"/>
      <c r="C252" s="22"/>
      <c r="D252" s="22"/>
      <c r="E252" s="22"/>
      <c r="F252" s="22"/>
      <c r="G252" s="22"/>
      <c r="H252" s="22"/>
      <c r="I252" s="22"/>
      <c r="J252" s="22"/>
      <c r="K252" s="22"/>
      <c r="L252" s="22"/>
      <c r="M252" s="22"/>
      <c r="N252" s="22"/>
    </row>
    <row r="253" spans="1:14">
      <c r="A253" s="64" t="s">
        <v>163</v>
      </c>
      <c r="B253" s="22"/>
      <c r="C253" s="22"/>
      <c r="D253" s="22"/>
      <c r="E253" s="22"/>
      <c r="F253" s="22"/>
      <c r="G253" s="22"/>
      <c r="H253" s="22"/>
      <c r="I253" s="22"/>
      <c r="J253" s="22"/>
      <c r="K253" s="22"/>
      <c r="L253" s="22"/>
      <c r="M253" s="22"/>
      <c r="N253" s="22"/>
    </row>
    <row r="254" spans="1:14">
      <c r="A254" s="64" t="s">
        <v>164</v>
      </c>
      <c r="B254" s="107">
        <v>295769.36</v>
      </c>
      <c r="C254" s="107">
        <v>287104.86</v>
      </c>
      <c r="D254" s="107">
        <v>292774.76</v>
      </c>
      <c r="E254" s="107">
        <v>271037.26</v>
      </c>
      <c r="F254" s="107">
        <v>286105.12</v>
      </c>
      <c r="G254" s="107">
        <v>300061.38</v>
      </c>
      <c r="H254" s="107">
        <v>269288.63</v>
      </c>
      <c r="I254" s="107">
        <v>291129.76</v>
      </c>
      <c r="J254" s="107">
        <v>274107.03000000003</v>
      </c>
      <c r="K254" s="107">
        <v>275808.82</v>
      </c>
      <c r="L254" s="107">
        <v>-52877.56</v>
      </c>
      <c r="M254" s="107">
        <v>243923.74</v>
      </c>
      <c r="N254" s="107">
        <v>3034233.16</v>
      </c>
    </row>
    <row r="255" spans="1:14">
      <c r="A255" s="64" t="s">
        <v>165</v>
      </c>
      <c r="B255" s="107">
        <v>27441.27</v>
      </c>
      <c r="C255" s="107">
        <v>13398.44</v>
      </c>
      <c r="D255" s="107">
        <v>7951.48</v>
      </c>
      <c r="E255" s="107">
        <v>14135.98</v>
      </c>
      <c r="F255" s="107">
        <v>11991.04</v>
      </c>
      <c r="G255" s="107">
        <v>88005.28</v>
      </c>
      <c r="H255" s="107">
        <v>38346.239999999998</v>
      </c>
      <c r="I255" s="107">
        <v>43340.65</v>
      </c>
      <c r="J255" s="107">
        <v>2014.44</v>
      </c>
      <c r="K255" s="107">
        <v>16804.97</v>
      </c>
      <c r="L255" s="107">
        <v>-8980.02</v>
      </c>
      <c r="M255" s="107">
        <v>13923.29</v>
      </c>
      <c r="N255" s="107">
        <v>268373.06</v>
      </c>
    </row>
    <row r="256" spans="1:14">
      <c r="A256" s="64" t="s">
        <v>166</v>
      </c>
      <c r="B256" s="107">
        <v>34689.07</v>
      </c>
      <c r="C256" s="107">
        <v>42243.33</v>
      </c>
      <c r="D256" s="107">
        <v>36580.79</v>
      </c>
      <c r="E256" s="107">
        <v>39670.949999999997</v>
      </c>
      <c r="F256" s="107">
        <v>43801.51</v>
      </c>
      <c r="G256" s="107">
        <v>37187.279999999999</v>
      </c>
      <c r="H256" s="107">
        <v>39344.980000000003</v>
      </c>
      <c r="I256" s="107">
        <v>50662.43</v>
      </c>
      <c r="J256" s="107">
        <v>43885.88</v>
      </c>
      <c r="K256" s="107">
        <v>50180.66</v>
      </c>
      <c r="L256" s="107">
        <v>2452.3200000000002</v>
      </c>
      <c r="M256" s="107">
        <v>34802.129999999997</v>
      </c>
      <c r="N256" s="107">
        <v>455501.33</v>
      </c>
    </row>
    <row r="257" spans="1:14">
      <c r="A257" s="64" t="s">
        <v>167</v>
      </c>
      <c r="B257" s="107">
        <v>96549.37</v>
      </c>
      <c r="C257" s="107">
        <v>59932.84</v>
      </c>
      <c r="D257" s="107">
        <v>76953.570000000007</v>
      </c>
      <c r="E257" s="107">
        <v>48950.54</v>
      </c>
      <c r="F257" s="107">
        <v>100388.16</v>
      </c>
      <c r="G257" s="107">
        <v>51947.1</v>
      </c>
      <c r="H257" s="107">
        <v>58333.279999999999</v>
      </c>
      <c r="I257" s="107">
        <v>98547.56</v>
      </c>
      <c r="J257" s="107">
        <v>67072.33</v>
      </c>
      <c r="K257" s="107">
        <v>70721.02</v>
      </c>
      <c r="L257" s="107">
        <v>25464.14</v>
      </c>
      <c r="M257" s="107">
        <v>89729.19</v>
      </c>
      <c r="N257" s="107">
        <v>844589.1</v>
      </c>
    </row>
    <row r="258" spans="1:14">
      <c r="A258" s="64" t="s">
        <v>168</v>
      </c>
      <c r="B258" s="107">
        <v>-845.14</v>
      </c>
      <c r="C258" s="107">
        <v>106382.23</v>
      </c>
      <c r="D258" s="107">
        <v>-96.85</v>
      </c>
      <c r="E258" s="107">
        <v>97505.17</v>
      </c>
      <c r="F258" s="107">
        <v>117474.67</v>
      </c>
      <c r="G258" s="107">
        <v>106689.94</v>
      </c>
      <c r="H258" s="22"/>
      <c r="I258" s="22"/>
      <c r="J258" s="22"/>
      <c r="K258" s="107">
        <v>157292.69</v>
      </c>
      <c r="L258" s="107">
        <v>-92996.160000000003</v>
      </c>
      <c r="M258" s="107">
        <v>91489.45</v>
      </c>
      <c r="N258" s="107">
        <v>582896</v>
      </c>
    </row>
    <row r="259" spans="1:14">
      <c r="A259" s="64" t="s">
        <v>169</v>
      </c>
      <c r="B259" s="107">
        <v>25359.79</v>
      </c>
      <c r="C259" s="107">
        <v>32192.6</v>
      </c>
      <c r="D259" s="107">
        <v>33979.519999999997</v>
      </c>
      <c r="E259" s="107">
        <v>24385.96</v>
      </c>
      <c r="F259" s="107">
        <v>39946.99</v>
      </c>
      <c r="G259" s="107">
        <v>59012.21</v>
      </c>
      <c r="H259" s="107">
        <v>34478.81</v>
      </c>
      <c r="I259" s="107">
        <v>18738.57</v>
      </c>
      <c r="J259" s="107">
        <v>20257.63</v>
      </c>
      <c r="K259" s="107">
        <v>28135.1</v>
      </c>
      <c r="L259" s="107">
        <v>-29152.54</v>
      </c>
      <c r="M259" s="107">
        <v>40839.040000000001</v>
      </c>
      <c r="N259" s="107">
        <v>328173.68</v>
      </c>
    </row>
    <row r="260" spans="1:14">
      <c r="A260" s="64" t="s">
        <v>170</v>
      </c>
      <c r="B260" s="107">
        <v>6575</v>
      </c>
      <c r="C260" s="107">
        <v>6110.71</v>
      </c>
      <c r="D260" s="107">
        <v>6371.43</v>
      </c>
      <c r="E260" s="107">
        <v>5157.1499999999996</v>
      </c>
      <c r="F260" s="107">
        <v>5114.28</v>
      </c>
      <c r="G260" s="107">
        <v>5857.14</v>
      </c>
      <c r="H260" s="107">
        <v>4042.87</v>
      </c>
      <c r="I260" s="107">
        <v>6135.7</v>
      </c>
      <c r="J260" s="107">
        <v>4335.72</v>
      </c>
      <c r="K260" s="107">
        <v>4842.8599999999997</v>
      </c>
      <c r="L260" s="107">
        <v>-25214.29</v>
      </c>
      <c r="M260" s="22"/>
      <c r="N260" s="107">
        <v>29328.57</v>
      </c>
    </row>
    <row r="261" spans="1:14">
      <c r="A261" s="64" t="s">
        <v>318</v>
      </c>
      <c r="B261" s="107">
        <v>28500</v>
      </c>
      <c r="C261" s="107">
        <v>39267.660000000003</v>
      </c>
      <c r="D261" s="107">
        <v>14715</v>
      </c>
      <c r="E261" s="107">
        <v>35828.26</v>
      </c>
      <c r="F261" s="107">
        <v>39406.660000000003</v>
      </c>
      <c r="G261" s="107">
        <v>57436.03</v>
      </c>
      <c r="H261" s="107">
        <v>65245</v>
      </c>
      <c r="I261" s="107">
        <v>26470.12</v>
      </c>
      <c r="J261" s="107">
        <v>50386.2</v>
      </c>
      <c r="K261" s="107">
        <v>24872.47</v>
      </c>
      <c r="L261" s="107">
        <v>-133381.76999999999</v>
      </c>
      <c r="M261" s="107">
        <v>26728.2</v>
      </c>
      <c r="N261" s="107">
        <v>275473.83</v>
      </c>
    </row>
    <row r="262" spans="1:14">
      <c r="A262" s="64" t="s">
        <v>171</v>
      </c>
      <c r="B262" s="111">
        <v>93575.06</v>
      </c>
      <c r="C262" s="111">
        <v>42897.71</v>
      </c>
      <c r="D262" s="111">
        <v>26794.52</v>
      </c>
      <c r="E262" s="111">
        <v>13052.29</v>
      </c>
      <c r="F262" s="111">
        <v>58025.29</v>
      </c>
      <c r="G262" s="111">
        <v>47773.52</v>
      </c>
      <c r="H262" s="111">
        <v>45709.55</v>
      </c>
      <c r="I262" s="111">
        <v>75205.8</v>
      </c>
      <c r="J262" s="111">
        <v>28611.46</v>
      </c>
      <c r="K262" s="111">
        <v>29789.279999999999</v>
      </c>
      <c r="L262" s="111">
        <v>31558.95</v>
      </c>
      <c r="M262" s="111">
        <v>17389.599999999999</v>
      </c>
      <c r="N262" s="111">
        <v>510383.03</v>
      </c>
    </row>
    <row r="263" spans="1:14">
      <c r="A263" s="64" t="s">
        <v>16</v>
      </c>
      <c r="B263" s="107">
        <f t="shared" ref="B263:M263" si="60">SUM(B252:B262)</f>
        <v>607613.78</v>
      </c>
      <c r="C263" s="107">
        <f t="shared" si="60"/>
        <v>629530.37999999989</v>
      </c>
      <c r="D263" s="107">
        <f t="shared" si="60"/>
        <v>496024.22000000003</v>
      </c>
      <c r="E263" s="107">
        <f t="shared" si="60"/>
        <v>549723.56000000006</v>
      </c>
      <c r="F263" s="107">
        <f t="shared" si="60"/>
        <v>702253.72000000009</v>
      </c>
      <c r="G263" s="107">
        <f t="shared" si="60"/>
        <v>753969.88</v>
      </c>
      <c r="H263" s="107">
        <f t="shared" si="60"/>
        <v>554789.36</v>
      </c>
      <c r="I263" s="107">
        <f t="shared" si="60"/>
        <v>610230.59000000008</v>
      </c>
      <c r="J263" s="107">
        <f t="shared" si="60"/>
        <v>490670.69000000006</v>
      </c>
      <c r="K263" s="107">
        <f t="shared" si="60"/>
        <v>658447.87000000011</v>
      </c>
      <c r="L263" s="107">
        <f t="shared" si="60"/>
        <v>-283126.93</v>
      </c>
      <c r="M263" s="107">
        <f t="shared" si="60"/>
        <v>558824.6399999999</v>
      </c>
      <c r="N263" s="107">
        <v>6328951.7599999998</v>
      </c>
    </row>
    <row r="264" spans="1:14">
      <c r="A264" s="64"/>
      <c r="B264" s="22"/>
      <c r="C264" s="22"/>
      <c r="D264" s="22"/>
      <c r="E264" s="22"/>
      <c r="F264" s="22"/>
      <c r="G264" s="22"/>
      <c r="H264" s="22"/>
      <c r="I264" s="22"/>
      <c r="J264" s="22"/>
      <c r="K264" s="22"/>
      <c r="L264" s="22"/>
      <c r="M264" s="22"/>
      <c r="N264" s="22"/>
    </row>
    <row r="265" spans="1:14">
      <c r="A265" s="64" t="s">
        <v>17</v>
      </c>
      <c r="B265" s="22"/>
      <c r="C265" s="22"/>
      <c r="D265" s="22"/>
      <c r="E265" s="22"/>
      <c r="F265" s="22"/>
      <c r="G265" s="22"/>
      <c r="H265" s="22"/>
      <c r="I265" s="22"/>
      <c r="J265" s="22"/>
      <c r="K265" s="22"/>
      <c r="L265" s="22"/>
      <c r="M265" s="22"/>
      <c r="N265" s="22"/>
    </row>
    <row r="266" spans="1:14">
      <c r="A266" s="64" t="s">
        <v>172</v>
      </c>
      <c r="B266" s="107">
        <v>270740.93</v>
      </c>
      <c r="C266" s="107">
        <v>295629.84999999998</v>
      </c>
      <c r="D266" s="107">
        <v>304740.21000000002</v>
      </c>
      <c r="E266" s="107">
        <v>265685.25</v>
      </c>
      <c r="F266" s="107">
        <v>290260.76</v>
      </c>
      <c r="G266" s="107">
        <v>306672.34000000003</v>
      </c>
      <c r="H266" s="107">
        <v>301293.15000000002</v>
      </c>
      <c r="I266" s="107">
        <v>311275.33</v>
      </c>
      <c r="J266" s="107">
        <v>266134.76</v>
      </c>
      <c r="K266" s="107">
        <v>306407.38</v>
      </c>
      <c r="L266" s="107">
        <v>-27120.46</v>
      </c>
      <c r="M266" s="107">
        <v>256396.04</v>
      </c>
      <c r="N266" s="107">
        <v>3148115.54</v>
      </c>
    </row>
    <row r="267" spans="1:14">
      <c r="A267" s="64" t="s">
        <v>173</v>
      </c>
      <c r="B267" s="107">
        <v>330942.09999999998</v>
      </c>
      <c r="C267" s="107">
        <v>341018.13</v>
      </c>
      <c r="D267" s="107">
        <v>307913.08</v>
      </c>
      <c r="E267" s="107">
        <v>324261.32</v>
      </c>
      <c r="F267" s="107">
        <v>319432.78999999998</v>
      </c>
      <c r="G267" s="107">
        <v>324124.38</v>
      </c>
      <c r="H267" s="107">
        <v>317152.17</v>
      </c>
      <c r="I267" s="107">
        <v>343786.72</v>
      </c>
      <c r="J267" s="107">
        <v>331964.87</v>
      </c>
      <c r="K267" s="107">
        <v>324553.44</v>
      </c>
      <c r="L267" s="107">
        <v>29706.58</v>
      </c>
      <c r="M267" s="107">
        <v>259542.97</v>
      </c>
      <c r="N267" s="107">
        <v>3554398.55</v>
      </c>
    </row>
    <row r="268" spans="1:14">
      <c r="A268" s="64" t="s">
        <v>174</v>
      </c>
      <c r="B268" s="107">
        <v>331186.14</v>
      </c>
      <c r="C268" s="107">
        <v>309470.63</v>
      </c>
      <c r="D268" s="107">
        <v>327217.95</v>
      </c>
      <c r="E268" s="107">
        <v>319724.42</v>
      </c>
      <c r="F268" s="107">
        <v>361705.02</v>
      </c>
      <c r="G268" s="107">
        <v>347298.47</v>
      </c>
      <c r="H268" s="107">
        <v>317361.64</v>
      </c>
      <c r="I268" s="107">
        <v>369025.21</v>
      </c>
      <c r="J268" s="107">
        <v>336247.33</v>
      </c>
      <c r="K268" s="107">
        <v>321313.67</v>
      </c>
      <c r="L268" s="107">
        <v>-43541.77</v>
      </c>
      <c r="M268" s="107">
        <v>261170.2</v>
      </c>
      <c r="N268" s="107">
        <v>3558178.91</v>
      </c>
    </row>
    <row r="269" spans="1:14">
      <c r="A269" s="64" t="s">
        <v>175</v>
      </c>
      <c r="B269" s="107">
        <v>87289.56</v>
      </c>
      <c r="C269" s="107">
        <v>93846.32</v>
      </c>
      <c r="D269" s="107">
        <v>96610.02</v>
      </c>
      <c r="E269" s="107">
        <v>102933.89</v>
      </c>
      <c r="F269" s="107">
        <v>98534.55</v>
      </c>
      <c r="G269" s="107">
        <v>120405.84</v>
      </c>
      <c r="H269" s="107">
        <v>132813.29999999999</v>
      </c>
      <c r="I269" s="107">
        <v>135770.91</v>
      </c>
      <c r="J269" s="107">
        <v>141697.64000000001</v>
      </c>
      <c r="K269" s="107">
        <v>128615.3</v>
      </c>
      <c r="L269" s="107">
        <v>15291.46</v>
      </c>
      <c r="M269" s="107">
        <v>119003.23</v>
      </c>
      <c r="N269" s="107">
        <v>1272812.02</v>
      </c>
    </row>
    <row r="270" spans="1:14">
      <c r="A270" s="64" t="s">
        <v>176</v>
      </c>
      <c r="B270" s="107">
        <v>7780.51</v>
      </c>
      <c r="C270" s="107">
        <v>1743.8</v>
      </c>
      <c r="D270" s="107">
        <v>11824.04</v>
      </c>
      <c r="E270" s="107">
        <v>6861.69</v>
      </c>
      <c r="F270" s="107">
        <v>3301.56</v>
      </c>
      <c r="G270" s="107">
        <v>404.83</v>
      </c>
      <c r="H270" s="107">
        <v>725.96</v>
      </c>
      <c r="I270" s="107">
        <v>2043.69</v>
      </c>
      <c r="J270" s="107">
        <v>865.11</v>
      </c>
      <c r="K270" s="107">
        <v>271.26</v>
      </c>
      <c r="L270" s="107">
        <v>653.75</v>
      </c>
      <c r="M270" s="107">
        <v>543.94000000000005</v>
      </c>
      <c r="N270" s="107">
        <v>37020.14</v>
      </c>
    </row>
    <row r="271" spans="1:14">
      <c r="A271" s="64" t="s">
        <v>177</v>
      </c>
      <c r="B271" s="107">
        <v>25148.99</v>
      </c>
      <c r="C271" s="107">
        <v>24975.38</v>
      </c>
      <c r="D271" s="107">
        <v>22702.57</v>
      </c>
      <c r="E271" s="107">
        <v>26591.96</v>
      </c>
      <c r="F271" s="107">
        <v>23339.57</v>
      </c>
      <c r="G271" s="107">
        <v>18036.490000000002</v>
      </c>
      <c r="H271" s="107">
        <v>28116.68</v>
      </c>
      <c r="I271" s="107">
        <v>106568.35</v>
      </c>
      <c r="J271" s="107">
        <v>15939.51</v>
      </c>
      <c r="K271" s="107">
        <v>18150.560000000001</v>
      </c>
      <c r="L271" s="107">
        <v>-104857.9</v>
      </c>
      <c r="M271" s="107">
        <v>15681.84</v>
      </c>
      <c r="N271" s="107">
        <v>220394</v>
      </c>
    </row>
    <row r="272" spans="1:14">
      <c r="A272" s="64" t="s">
        <v>178</v>
      </c>
      <c r="B272" s="107">
        <v>19957.509999999998</v>
      </c>
      <c r="C272" s="107">
        <v>21060.47</v>
      </c>
      <c r="D272" s="107">
        <v>16636.400000000001</v>
      </c>
      <c r="E272" s="107">
        <v>15215.42</v>
      </c>
      <c r="F272" s="107">
        <v>11042.09</v>
      </c>
      <c r="G272" s="107">
        <v>12975.84</v>
      </c>
      <c r="H272" s="107">
        <v>20344.41</v>
      </c>
      <c r="I272" s="107">
        <v>29664.04</v>
      </c>
      <c r="J272" s="107">
        <v>17038.91</v>
      </c>
      <c r="K272" s="107">
        <v>27544.29</v>
      </c>
      <c r="L272" s="107">
        <v>-3046.77</v>
      </c>
      <c r="M272" s="107">
        <v>18877.04</v>
      </c>
      <c r="N272" s="107">
        <v>207309.65</v>
      </c>
    </row>
    <row r="273" spans="1:14">
      <c r="A273" s="64" t="s">
        <v>179</v>
      </c>
      <c r="B273" s="107">
        <v>51839.15</v>
      </c>
      <c r="C273" s="107">
        <v>52658.71</v>
      </c>
      <c r="D273" s="107">
        <v>50639.69</v>
      </c>
      <c r="E273" s="107">
        <v>53999.56</v>
      </c>
      <c r="F273" s="107">
        <v>67362.53</v>
      </c>
      <c r="G273" s="107">
        <v>50235.38</v>
      </c>
      <c r="H273" s="107">
        <v>53795.7</v>
      </c>
      <c r="I273" s="107">
        <v>51664.800000000003</v>
      </c>
      <c r="J273" s="107">
        <v>48869.9</v>
      </c>
      <c r="K273" s="107">
        <v>73093.52</v>
      </c>
      <c r="L273" s="107">
        <v>-30247.14</v>
      </c>
      <c r="M273" s="107">
        <v>37488.07</v>
      </c>
      <c r="N273" s="107">
        <v>561399.87</v>
      </c>
    </row>
    <row r="274" spans="1:14">
      <c r="A274" s="64" t="s">
        <v>180</v>
      </c>
      <c r="B274" s="107">
        <v>29808.74</v>
      </c>
      <c r="C274" s="107">
        <v>50315.519999999997</v>
      </c>
      <c r="D274" s="107">
        <v>25523.46</v>
      </c>
      <c r="E274" s="107">
        <v>23827.119999999999</v>
      </c>
      <c r="F274" s="107">
        <v>30720.43</v>
      </c>
      <c r="G274" s="107">
        <v>27073.83</v>
      </c>
      <c r="H274" s="107">
        <v>31343.97</v>
      </c>
      <c r="I274" s="107">
        <v>34842.67</v>
      </c>
      <c r="J274" s="107">
        <v>29081.03</v>
      </c>
      <c r="K274" s="107">
        <v>26438.85</v>
      </c>
      <c r="L274" s="107">
        <v>-8161.74</v>
      </c>
      <c r="M274" s="107">
        <v>20330.39</v>
      </c>
      <c r="N274" s="107">
        <v>321144.27</v>
      </c>
    </row>
    <row r="275" spans="1:14">
      <c r="A275" s="64" t="s">
        <v>181</v>
      </c>
      <c r="B275" s="107">
        <v>36752.04</v>
      </c>
      <c r="C275" s="107">
        <v>43921.8</v>
      </c>
      <c r="D275" s="107">
        <v>32817.370000000003</v>
      </c>
      <c r="E275" s="107">
        <v>34659.620000000003</v>
      </c>
      <c r="F275" s="107">
        <v>49868.23</v>
      </c>
      <c r="G275" s="107">
        <v>33313.71</v>
      </c>
      <c r="H275" s="107">
        <v>39972.65</v>
      </c>
      <c r="I275" s="107">
        <v>40712.910000000003</v>
      </c>
      <c r="J275" s="107">
        <v>37162.46</v>
      </c>
      <c r="K275" s="107">
        <v>36267.440000000002</v>
      </c>
      <c r="L275" s="107">
        <v>-12020.75</v>
      </c>
      <c r="M275" s="107">
        <v>32273.54</v>
      </c>
      <c r="N275" s="107">
        <v>405701.02</v>
      </c>
    </row>
    <row r="276" spans="1:14">
      <c r="A276" s="64" t="s">
        <v>182</v>
      </c>
      <c r="B276" s="107">
        <v>6467.21</v>
      </c>
      <c r="C276" s="107">
        <v>10026.719999999999</v>
      </c>
      <c r="D276" s="107">
        <v>7445.81</v>
      </c>
      <c r="E276" s="107">
        <v>7808.52</v>
      </c>
      <c r="F276" s="107">
        <v>11278.4</v>
      </c>
      <c r="G276" s="107">
        <v>7048.02</v>
      </c>
      <c r="H276" s="107">
        <v>6981.07</v>
      </c>
      <c r="I276" s="107">
        <v>6554.34</v>
      </c>
      <c r="J276" s="107">
        <v>8244.43</v>
      </c>
      <c r="K276" s="107">
        <v>7873.7</v>
      </c>
      <c r="L276" s="107">
        <v>3435.88</v>
      </c>
      <c r="M276" s="107">
        <v>7328.94</v>
      </c>
      <c r="N276" s="107">
        <v>90493.04</v>
      </c>
    </row>
    <row r="277" spans="1:14">
      <c r="A277" s="64" t="s">
        <v>183</v>
      </c>
      <c r="B277" s="107">
        <v>5885.51</v>
      </c>
      <c r="C277" s="107">
        <v>7309.51</v>
      </c>
      <c r="D277" s="107">
        <v>5274.28</v>
      </c>
      <c r="E277" s="107">
        <v>5898.14</v>
      </c>
      <c r="F277" s="107">
        <v>13423.38</v>
      </c>
      <c r="G277" s="107">
        <v>7938.14</v>
      </c>
      <c r="H277" s="107">
        <v>10494.13</v>
      </c>
      <c r="I277" s="107">
        <v>9617.85</v>
      </c>
      <c r="J277" s="107">
        <v>4141.88</v>
      </c>
      <c r="K277" s="107">
        <v>13213.28</v>
      </c>
      <c r="L277" s="107">
        <v>-3888.87</v>
      </c>
      <c r="M277" s="107">
        <v>9238.8799999999992</v>
      </c>
      <c r="N277" s="107">
        <v>88546.11</v>
      </c>
    </row>
    <row r="278" spans="1:14">
      <c r="A278" s="64" t="s">
        <v>184</v>
      </c>
      <c r="B278" s="111">
        <v>44816.34</v>
      </c>
      <c r="C278" s="111">
        <v>47060.05</v>
      </c>
      <c r="D278" s="111">
        <v>45334.39</v>
      </c>
      <c r="E278" s="111">
        <v>42689.95</v>
      </c>
      <c r="F278" s="111">
        <v>92260.17</v>
      </c>
      <c r="G278" s="111">
        <v>20817.28</v>
      </c>
      <c r="H278" s="111">
        <v>39611.620000000003</v>
      </c>
      <c r="I278" s="111">
        <v>60064.57</v>
      </c>
      <c r="J278" s="111">
        <v>63378.81</v>
      </c>
      <c r="K278" s="111">
        <v>80311.850000000006</v>
      </c>
      <c r="L278" s="111">
        <v>-28254.04</v>
      </c>
      <c r="M278" s="111">
        <v>82224.990000000005</v>
      </c>
      <c r="N278" s="111">
        <v>590315.98</v>
      </c>
    </row>
    <row r="279" spans="1:14">
      <c r="A279" s="64" t="s">
        <v>185</v>
      </c>
      <c r="B279" s="107">
        <f t="shared" ref="B279:M279" si="61">SUM(B264:B278)</f>
        <v>1248614.73</v>
      </c>
      <c r="C279" s="107">
        <f t="shared" si="61"/>
        <v>1299036.8899999999</v>
      </c>
      <c r="D279" s="107">
        <f t="shared" si="61"/>
        <v>1254679.27</v>
      </c>
      <c r="E279" s="107">
        <f t="shared" si="61"/>
        <v>1230156.8600000001</v>
      </c>
      <c r="F279" s="107">
        <f t="shared" si="61"/>
        <v>1372529.48</v>
      </c>
      <c r="G279" s="107">
        <f t="shared" si="61"/>
        <v>1276344.55</v>
      </c>
      <c r="H279" s="107">
        <f t="shared" si="61"/>
        <v>1300006.4499999997</v>
      </c>
      <c r="I279" s="107">
        <f t="shared" si="61"/>
        <v>1501591.3900000001</v>
      </c>
      <c r="J279" s="107">
        <f t="shared" si="61"/>
        <v>1300766.6399999999</v>
      </c>
      <c r="K279" s="107">
        <f t="shared" si="61"/>
        <v>1364054.5400000003</v>
      </c>
      <c r="L279" s="107">
        <f t="shared" si="61"/>
        <v>-212051.77</v>
      </c>
      <c r="M279" s="107">
        <f t="shared" si="61"/>
        <v>1120100.0699999998</v>
      </c>
      <c r="N279" s="107">
        <v>14055829.1</v>
      </c>
    </row>
    <row r="280" spans="1:14">
      <c r="A280" s="64"/>
      <c r="B280" s="22"/>
      <c r="C280" s="22"/>
      <c r="D280" s="22"/>
      <c r="E280" s="22"/>
      <c r="F280" s="22"/>
      <c r="G280" s="22"/>
      <c r="H280" s="22"/>
      <c r="I280" s="22"/>
      <c r="J280" s="22"/>
      <c r="K280" s="22"/>
      <c r="L280" s="22"/>
      <c r="M280" s="22"/>
      <c r="N280" s="22"/>
    </row>
    <row r="281" spans="1:14">
      <c r="A281" s="64" t="s">
        <v>186</v>
      </c>
      <c r="B281" s="22"/>
      <c r="C281" s="22"/>
      <c r="D281" s="22"/>
      <c r="E281" s="22"/>
      <c r="F281" s="22"/>
      <c r="G281" s="22"/>
      <c r="H281" s="22"/>
      <c r="I281" s="22"/>
      <c r="J281" s="22"/>
      <c r="K281" s="22"/>
      <c r="L281" s="22"/>
      <c r="M281" s="22"/>
      <c r="N281" s="22"/>
    </row>
    <row r="282" spans="1:14">
      <c r="A282" s="64" t="s">
        <v>187</v>
      </c>
      <c r="B282" s="107">
        <v>71605</v>
      </c>
      <c r="C282" s="107">
        <v>68000</v>
      </c>
      <c r="D282" s="107">
        <v>69500</v>
      </c>
      <c r="E282" s="107">
        <v>56500</v>
      </c>
      <c r="F282" s="107">
        <v>80000</v>
      </c>
      <c r="G282" s="107">
        <v>69000</v>
      </c>
      <c r="H282" s="107">
        <v>64850</v>
      </c>
      <c r="I282" s="107">
        <v>69300</v>
      </c>
      <c r="J282" s="107">
        <v>68300</v>
      </c>
      <c r="K282" s="107">
        <v>68800</v>
      </c>
      <c r="L282" s="107">
        <v>-6700</v>
      </c>
      <c r="M282" s="107">
        <v>57300</v>
      </c>
      <c r="N282" s="107">
        <v>736455</v>
      </c>
    </row>
    <row r="283" spans="1:14">
      <c r="A283" s="64" t="s">
        <v>188</v>
      </c>
      <c r="B283" s="107">
        <v>18922.810000000001</v>
      </c>
      <c r="C283" s="107">
        <v>19265.97</v>
      </c>
      <c r="D283" s="107">
        <v>19131.16</v>
      </c>
      <c r="E283" s="107">
        <v>18962.72</v>
      </c>
      <c r="F283" s="107">
        <v>22626.95</v>
      </c>
      <c r="G283" s="107">
        <v>16310.18</v>
      </c>
      <c r="H283" s="107">
        <v>21429.119999999999</v>
      </c>
      <c r="I283" s="107">
        <v>19242.71</v>
      </c>
      <c r="J283" s="107">
        <v>20267.5</v>
      </c>
      <c r="K283" s="107">
        <v>19147.25</v>
      </c>
      <c r="L283" s="107">
        <v>-2280</v>
      </c>
      <c r="M283" s="107">
        <v>16365.12</v>
      </c>
      <c r="N283" s="107">
        <v>209391.49</v>
      </c>
    </row>
    <row r="284" spans="1:14">
      <c r="A284" s="64" t="s">
        <v>189</v>
      </c>
      <c r="B284" s="22"/>
      <c r="C284" s="22"/>
      <c r="D284" s="107">
        <v>279</v>
      </c>
      <c r="E284" s="22"/>
      <c r="F284" s="22"/>
      <c r="G284" s="22"/>
      <c r="H284" s="22"/>
      <c r="I284" s="22"/>
      <c r="J284" s="107">
        <v>2200</v>
      </c>
      <c r="K284" s="107">
        <v>1100</v>
      </c>
      <c r="L284" s="107">
        <v>500</v>
      </c>
      <c r="M284" s="22"/>
      <c r="N284" s="107">
        <v>4079</v>
      </c>
    </row>
    <row r="285" spans="1:14">
      <c r="A285" s="64" t="s">
        <v>190</v>
      </c>
      <c r="B285" s="107">
        <v>38787.03</v>
      </c>
      <c r="C285" s="107">
        <v>34630.400000000001</v>
      </c>
      <c r="D285" s="107">
        <v>39352.379999999997</v>
      </c>
      <c r="E285" s="107">
        <v>40817.31</v>
      </c>
      <c r="F285" s="107">
        <v>32550.560000000001</v>
      </c>
      <c r="G285" s="107">
        <v>21436.86</v>
      </c>
      <c r="H285" s="107">
        <v>42054.87</v>
      </c>
      <c r="I285" s="107">
        <v>36515.74</v>
      </c>
      <c r="J285" s="107">
        <v>41827.69</v>
      </c>
      <c r="K285" s="107">
        <v>33758.32</v>
      </c>
      <c r="L285" s="107">
        <v>-15367.55</v>
      </c>
      <c r="M285" s="107">
        <v>27168.6</v>
      </c>
      <c r="N285" s="107">
        <v>373532.21</v>
      </c>
    </row>
    <row r="286" spans="1:14">
      <c r="A286" s="64" t="s">
        <v>191</v>
      </c>
      <c r="B286" s="107">
        <v>185209.5</v>
      </c>
      <c r="C286" s="107">
        <v>188686.1</v>
      </c>
      <c r="D286" s="107">
        <v>168997.87</v>
      </c>
      <c r="E286" s="107">
        <v>164776.82</v>
      </c>
      <c r="F286" s="107">
        <v>164323.85</v>
      </c>
      <c r="G286" s="107">
        <v>147679.94</v>
      </c>
      <c r="H286" s="107">
        <v>166852.24</v>
      </c>
      <c r="I286" s="107">
        <v>156399.71</v>
      </c>
      <c r="J286" s="107">
        <v>157924.76999999999</v>
      </c>
      <c r="K286" s="107">
        <v>171139.51</v>
      </c>
      <c r="L286" s="107">
        <v>-66260.31</v>
      </c>
      <c r="M286" s="22"/>
      <c r="N286" s="107">
        <v>1605730</v>
      </c>
    </row>
    <row r="287" spans="1:14">
      <c r="A287" s="64" t="s">
        <v>415</v>
      </c>
      <c r="B287" s="22"/>
      <c r="C287" s="22"/>
      <c r="D287" s="22"/>
      <c r="E287" s="22"/>
      <c r="F287" s="22"/>
      <c r="G287" s="22"/>
      <c r="H287" s="22"/>
      <c r="I287" s="22"/>
      <c r="J287" s="22"/>
      <c r="K287" s="22"/>
      <c r="L287" s="22"/>
      <c r="M287" s="107">
        <v>93369.55</v>
      </c>
      <c r="N287" s="107">
        <v>93369.55</v>
      </c>
    </row>
    <row r="288" spans="1:14">
      <c r="A288" s="64" t="s">
        <v>416</v>
      </c>
      <c r="B288" s="22"/>
      <c r="C288" s="22"/>
      <c r="D288" s="22"/>
      <c r="E288" s="22"/>
      <c r="F288" s="22"/>
      <c r="G288" s="22"/>
      <c r="H288" s="22"/>
      <c r="I288" s="22"/>
      <c r="J288" s="22"/>
      <c r="K288" s="22"/>
      <c r="L288" s="22"/>
      <c r="M288" s="107">
        <v>22449.91</v>
      </c>
      <c r="N288" s="107">
        <v>22449.91</v>
      </c>
    </row>
    <row r="289" spans="1:14">
      <c r="A289" s="64" t="s">
        <v>417</v>
      </c>
      <c r="B289" s="22"/>
      <c r="C289" s="22"/>
      <c r="D289" s="22"/>
      <c r="E289" s="22"/>
      <c r="F289" s="22"/>
      <c r="G289" s="22"/>
      <c r="H289" s="22"/>
      <c r="I289" s="22"/>
      <c r="J289" s="22"/>
      <c r="K289" s="22"/>
      <c r="L289" s="22"/>
      <c r="M289" s="107">
        <v>49057.440000000002</v>
      </c>
      <c r="N289" s="107">
        <v>49057.440000000002</v>
      </c>
    </row>
    <row r="290" spans="1:14">
      <c r="A290" s="64" t="s">
        <v>192</v>
      </c>
      <c r="B290" s="107">
        <v>18132.060000000001</v>
      </c>
      <c r="C290" s="107">
        <v>16302.73</v>
      </c>
      <c r="D290" s="107">
        <v>17608.45</v>
      </c>
      <c r="E290" s="107">
        <v>16860.060000000001</v>
      </c>
      <c r="F290" s="107">
        <v>15641</v>
      </c>
      <c r="G290" s="107">
        <v>16381.7</v>
      </c>
      <c r="H290" s="107">
        <v>16631.75</v>
      </c>
      <c r="I290" s="107">
        <v>16091.92</v>
      </c>
      <c r="J290" s="107">
        <v>16866.580000000002</v>
      </c>
      <c r="K290" s="107">
        <v>16454.48</v>
      </c>
      <c r="L290" s="107">
        <v>-3802.56</v>
      </c>
      <c r="M290" s="107">
        <v>13023.33</v>
      </c>
      <c r="N290" s="107">
        <v>176191.5</v>
      </c>
    </row>
    <row r="291" spans="1:14">
      <c r="A291" s="64" t="s">
        <v>193</v>
      </c>
      <c r="B291" s="107">
        <v>30665.3</v>
      </c>
      <c r="C291" s="107">
        <v>31178.12</v>
      </c>
      <c r="D291" s="107">
        <v>32527.040000000001</v>
      </c>
      <c r="E291" s="107">
        <v>31809.95</v>
      </c>
      <c r="F291" s="107">
        <v>28853.59</v>
      </c>
      <c r="G291" s="107">
        <v>31541.759999999998</v>
      </c>
      <c r="H291" s="107">
        <v>53004.2</v>
      </c>
      <c r="I291" s="107">
        <v>33012.99</v>
      </c>
      <c r="J291" s="107">
        <v>32172.39</v>
      </c>
      <c r="K291" s="107">
        <v>33836.559999999998</v>
      </c>
      <c r="L291" s="107">
        <v>-8003.54</v>
      </c>
      <c r="M291" s="107">
        <v>25957.69</v>
      </c>
      <c r="N291" s="107">
        <v>356556.05</v>
      </c>
    </row>
    <row r="292" spans="1:14">
      <c r="A292" s="64" t="s">
        <v>194</v>
      </c>
      <c r="B292" s="107">
        <v>51885.45</v>
      </c>
      <c r="C292" s="107">
        <v>71623.149999999994</v>
      </c>
      <c r="D292" s="107">
        <v>45231.16</v>
      </c>
      <c r="E292" s="107">
        <v>37602.92</v>
      </c>
      <c r="F292" s="107">
        <v>47405.68</v>
      </c>
      <c r="G292" s="107">
        <v>29935.08</v>
      </c>
      <c r="H292" s="107">
        <v>38892.57</v>
      </c>
      <c r="I292" s="107">
        <v>48343.040000000001</v>
      </c>
      <c r="J292" s="107">
        <v>56475.58</v>
      </c>
      <c r="K292" s="107">
        <v>58730.86</v>
      </c>
      <c r="L292" s="107">
        <v>-18.52</v>
      </c>
      <c r="M292" s="107">
        <v>55987.83</v>
      </c>
      <c r="N292" s="107">
        <v>542094.80000000005</v>
      </c>
    </row>
    <row r="293" spans="1:14">
      <c r="A293" s="64" t="s">
        <v>195</v>
      </c>
      <c r="B293" s="107">
        <v>176511.39</v>
      </c>
      <c r="C293" s="107">
        <v>166769.37</v>
      </c>
      <c r="D293" s="107">
        <v>178976.27</v>
      </c>
      <c r="E293" s="107">
        <v>176599.24</v>
      </c>
      <c r="F293" s="107">
        <v>174611.81</v>
      </c>
      <c r="G293" s="107">
        <v>183052.93</v>
      </c>
      <c r="H293" s="107">
        <v>175563.02</v>
      </c>
      <c r="I293" s="107">
        <v>177403.81</v>
      </c>
      <c r="J293" s="107">
        <v>177451.17</v>
      </c>
      <c r="K293" s="107">
        <v>188582.45</v>
      </c>
      <c r="L293" s="107">
        <v>-61874.02</v>
      </c>
      <c r="M293" s="107">
        <v>141238.23000000001</v>
      </c>
      <c r="N293" s="107">
        <v>1854885.67</v>
      </c>
    </row>
    <row r="294" spans="1:14">
      <c r="A294" s="64" t="s">
        <v>196</v>
      </c>
      <c r="B294" s="107">
        <v>107052.5</v>
      </c>
      <c r="C294" s="107">
        <v>63767.29</v>
      </c>
      <c r="D294" s="107">
        <v>108841.76</v>
      </c>
      <c r="E294" s="107">
        <v>99069.89</v>
      </c>
      <c r="F294" s="107">
        <v>99873.29</v>
      </c>
      <c r="G294" s="107">
        <v>100300.72</v>
      </c>
      <c r="H294" s="107">
        <v>98572.29</v>
      </c>
      <c r="I294" s="107">
        <v>96855.27</v>
      </c>
      <c r="J294" s="107">
        <v>96884.14</v>
      </c>
      <c r="K294" s="107">
        <v>102382</v>
      </c>
      <c r="L294" s="107">
        <v>-56016.6</v>
      </c>
      <c r="M294" s="107">
        <v>73356.460000000006</v>
      </c>
      <c r="N294" s="107">
        <v>990939.01</v>
      </c>
    </row>
    <row r="295" spans="1:14">
      <c r="A295" s="64" t="s">
        <v>197</v>
      </c>
      <c r="B295" s="107">
        <v>566172.68000000005</v>
      </c>
      <c r="C295" s="107">
        <v>572151.13</v>
      </c>
      <c r="D295" s="107">
        <v>576800.91</v>
      </c>
      <c r="E295" s="107">
        <v>573822.24</v>
      </c>
      <c r="F295" s="107">
        <v>581981.93000000005</v>
      </c>
      <c r="G295" s="107">
        <v>584351.99</v>
      </c>
      <c r="H295" s="107">
        <v>596414.28</v>
      </c>
      <c r="I295" s="107">
        <v>585175.91</v>
      </c>
      <c r="J295" s="107">
        <v>617445.99</v>
      </c>
      <c r="K295" s="107">
        <v>635299.68000000005</v>
      </c>
      <c r="L295" s="107">
        <v>-290097.43</v>
      </c>
      <c r="M295" s="107">
        <v>493335.41</v>
      </c>
      <c r="N295" s="107">
        <v>6092854.7199999997</v>
      </c>
    </row>
    <row r="296" spans="1:14">
      <c r="A296" s="64" t="s">
        <v>198</v>
      </c>
      <c r="B296" s="107">
        <v>14996.53</v>
      </c>
      <c r="C296" s="107">
        <v>14888.46</v>
      </c>
      <c r="D296" s="107">
        <v>15048.84</v>
      </c>
      <c r="E296" s="107">
        <v>14999.85</v>
      </c>
      <c r="F296" s="107">
        <v>13725.68</v>
      </c>
      <c r="G296" s="107">
        <v>14475.18</v>
      </c>
      <c r="H296" s="107">
        <v>14745.66</v>
      </c>
      <c r="I296" s="107">
        <v>14958.7</v>
      </c>
      <c r="J296" s="107">
        <v>15255.82</v>
      </c>
      <c r="K296" s="107">
        <v>9327.76</v>
      </c>
      <c r="L296" s="107">
        <v>-6089.89</v>
      </c>
      <c r="M296" s="107">
        <v>10748.37</v>
      </c>
      <c r="N296" s="107">
        <v>147080.95999999999</v>
      </c>
    </row>
    <row r="297" spans="1:14">
      <c r="A297" s="64" t="s">
        <v>199</v>
      </c>
      <c r="B297" s="107">
        <v>7741.45</v>
      </c>
      <c r="C297" s="107">
        <v>10373.030000000001</v>
      </c>
      <c r="D297" s="107">
        <v>9192.1200000000008</v>
      </c>
      <c r="E297" s="107">
        <v>6977.82</v>
      </c>
      <c r="F297" s="107">
        <v>4636.6899999999996</v>
      </c>
      <c r="G297" s="107">
        <v>9327.9500000000007</v>
      </c>
      <c r="H297" s="107">
        <v>6025.45</v>
      </c>
      <c r="I297" s="107">
        <v>7100.49</v>
      </c>
      <c r="J297" s="107">
        <v>4722.3599999999997</v>
      </c>
      <c r="K297" s="107">
        <v>6043.5</v>
      </c>
      <c r="L297" s="107">
        <v>-27.78</v>
      </c>
      <c r="M297" s="107">
        <v>6945.95</v>
      </c>
      <c r="N297" s="107">
        <v>79059.03</v>
      </c>
    </row>
    <row r="298" spans="1:14">
      <c r="A298" s="64" t="s">
        <v>200</v>
      </c>
      <c r="B298" s="107">
        <v>30794.97</v>
      </c>
      <c r="C298" s="107">
        <v>23676.7</v>
      </c>
      <c r="D298" s="107">
        <v>24224.3</v>
      </c>
      <c r="E298" s="107">
        <v>24223.58</v>
      </c>
      <c r="F298" s="107">
        <v>26403.03</v>
      </c>
      <c r="G298" s="107">
        <v>20799.580000000002</v>
      </c>
      <c r="H298" s="107">
        <v>22489</v>
      </c>
      <c r="I298" s="107">
        <v>25598.57</v>
      </c>
      <c r="J298" s="107">
        <v>23145.84</v>
      </c>
      <c r="K298" s="107">
        <v>26512.55</v>
      </c>
      <c r="L298" s="107">
        <v>-8212.92</v>
      </c>
      <c r="M298" s="107">
        <v>20433.22</v>
      </c>
      <c r="N298" s="107">
        <v>260088.42</v>
      </c>
    </row>
    <row r="299" spans="1:14">
      <c r="A299" s="64" t="s">
        <v>201</v>
      </c>
      <c r="B299" s="107">
        <v>5564.53</v>
      </c>
      <c r="C299" s="107">
        <v>5339.91</v>
      </c>
      <c r="D299" s="107">
        <v>6419.72</v>
      </c>
      <c r="E299" s="107">
        <v>6830.61</v>
      </c>
      <c r="F299" s="107">
        <v>5742.29</v>
      </c>
      <c r="G299" s="107">
        <v>4844.1400000000003</v>
      </c>
      <c r="H299" s="107">
        <v>7048.62</v>
      </c>
      <c r="I299" s="107">
        <v>6122.93</v>
      </c>
      <c r="J299" s="107">
        <v>6198.06</v>
      </c>
      <c r="K299" s="107">
        <v>5199.83</v>
      </c>
      <c r="L299" s="107">
        <v>-2709.27</v>
      </c>
      <c r="M299" s="107">
        <v>4640.91</v>
      </c>
      <c r="N299" s="107">
        <v>61242.28</v>
      </c>
    </row>
    <row r="300" spans="1:14">
      <c r="A300" s="64" t="s">
        <v>202</v>
      </c>
      <c r="B300" s="107">
        <v>45228.19</v>
      </c>
      <c r="C300" s="107">
        <v>13412.7</v>
      </c>
      <c r="D300" s="107">
        <v>22408.74</v>
      </c>
      <c r="E300" s="107">
        <v>32310.69</v>
      </c>
      <c r="F300" s="107">
        <v>-2311.02</v>
      </c>
      <c r="G300" s="107">
        <v>25659.759999999998</v>
      </c>
      <c r="H300" s="107">
        <v>28045.439999999999</v>
      </c>
      <c r="I300" s="107">
        <v>45466.45</v>
      </c>
      <c r="J300" s="107">
        <v>9633.8700000000008</v>
      </c>
      <c r="K300" s="107">
        <v>59848.61</v>
      </c>
      <c r="L300" s="107">
        <v>17998.38</v>
      </c>
      <c r="M300" s="107">
        <v>47034</v>
      </c>
      <c r="N300" s="107">
        <v>344735.81</v>
      </c>
    </row>
    <row r="301" spans="1:14">
      <c r="A301" s="64" t="s">
        <v>203</v>
      </c>
      <c r="B301" s="107">
        <v>126212.74</v>
      </c>
      <c r="C301" s="107">
        <v>153938.35999999999</v>
      </c>
      <c r="D301" s="107">
        <v>149294.79</v>
      </c>
      <c r="E301" s="107">
        <v>123404.86</v>
      </c>
      <c r="F301" s="107">
        <v>139698.60999999999</v>
      </c>
      <c r="G301" s="107">
        <v>131344.56</v>
      </c>
      <c r="H301" s="107">
        <v>141130.21</v>
      </c>
      <c r="I301" s="107">
        <v>150962.32999999999</v>
      </c>
      <c r="J301" s="107">
        <v>156477.5</v>
      </c>
      <c r="K301" s="107">
        <v>168069.16</v>
      </c>
      <c r="L301" s="107">
        <v>-52872.39</v>
      </c>
      <c r="M301" s="107">
        <v>131172.29</v>
      </c>
      <c r="N301" s="107">
        <v>1518833.02</v>
      </c>
    </row>
    <row r="302" spans="1:14">
      <c r="A302" s="64" t="s">
        <v>204</v>
      </c>
      <c r="B302" s="107">
        <v>467323</v>
      </c>
      <c r="C302" s="107">
        <v>452703</v>
      </c>
      <c r="D302" s="107">
        <v>470752</v>
      </c>
      <c r="E302" s="107">
        <v>449342</v>
      </c>
      <c r="F302" s="107">
        <v>-7708798</v>
      </c>
      <c r="G302" s="107">
        <v>519160</v>
      </c>
      <c r="H302" s="107">
        <v>452227</v>
      </c>
      <c r="I302" s="107">
        <v>484192</v>
      </c>
      <c r="J302" s="107">
        <v>469257</v>
      </c>
      <c r="K302" s="107">
        <v>476378</v>
      </c>
      <c r="L302" s="107">
        <v>-31707</v>
      </c>
      <c r="M302" s="107">
        <v>429711</v>
      </c>
      <c r="N302" s="107">
        <v>-3069460</v>
      </c>
    </row>
    <row r="303" spans="1:14">
      <c r="A303" s="64" t="s">
        <v>205</v>
      </c>
      <c r="B303" s="107">
        <v>12735.1</v>
      </c>
      <c r="C303" s="107">
        <v>14007.57</v>
      </c>
      <c r="D303" s="107">
        <v>14337.57</v>
      </c>
      <c r="E303" s="107">
        <v>12779.45</v>
      </c>
      <c r="F303" s="107">
        <v>9558.67</v>
      </c>
      <c r="G303" s="107">
        <v>9233.14</v>
      </c>
      <c r="H303" s="107">
        <v>9394.09</v>
      </c>
      <c r="I303" s="107">
        <v>11577.62</v>
      </c>
      <c r="J303" s="107">
        <v>9313.14</v>
      </c>
      <c r="K303" s="107">
        <v>8988.98</v>
      </c>
      <c r="L303" s="107">
        <v>-5624.13</v>
      </c>
      <c r="M303" s="107">
        <v>7424.48</v>
      </c>
      <c r="N303" s="107">
        <v>113725.68</v>
      </c>
    </row>
    <row r="304" spans="1:14">
      <c r="A304" s="64" t="s">
        <v>206</v>
      </c>
      <c r="B304" s="111">
        <v>14825.13</v>
      </c>
      <c r="C304" s="111">
        <v>17518.68</v>
      </c>
      <c r="D304" s="111">
        <v>21542.91</v>
      </c>
      <c r="E304" s="111">
        <v>26615.360000000001</v>
      </c>
      <c r="F304" s="111">
        <v>28703.13</v>
      </c>
      <c r="G304" s="111">
        <v>23579.96</v>
      </c>
      <c r="H304" s="111">
        <v>17365.759999999998</v>
      </c>
      <c r="I304" s="111">
        <v>34799.35</v>
      </c>
      <c r="J304" s="111">
        <v>22776.240000000002</v>
      </c>
      <c r="K304" s="111">
        <v>26395.15</v>
      </c>
      <c r="L304" s="111">
        <v>8041.8</v>
      </c>
      <c r="M304" s="111">
        <v>21628.26</v>
      </c>
      <c r="N304" s="111">
        <v>263791.73</v>
      </c>
    </row>
    <row r="305" spans="1:14">
      <c r="A305" s="64" t="s">
        <v>207</v>
      </c>
      <c r="B305" s="107">
        <f t="shared" ref="B305:M305" si="62">SUM(B280:B304)</f>
        <v>1990365.36</v>
      </c>
      <c r="C305" s="107">
        <f t="shared" si="62"/>
        <v>1938232.67</v>
      </c>
      <c r="D305" s="107">
        <f t="shared" si="62"/>
        <v>1990466.9900000002</v>
      </c>
      <c r="E305" s="107">
        <f t="shared" si="62"/>
        <v>1914305.3700000003</v>
      </c>
      <c r="F305" s="107">
        <f t="shared" si="62"/>
        <v>-6234772.2600000007</v>
      </c>
      <c r="G305" s="107">
        <f t="shared" si="62"/>
        <v>1958415.43</v>
      </c>
      <c r="H305" s="107">
        <f t="shared" si="62"/>
        <v>1972735.57</v>
      </c>
      <c r="I305" s="107">
        <f t="shared" si="62"/>
        <v>2019119.5400000003</v>
      </c>
      <c r="J305" s="107">
        <f t="shared" si="62"/>
        <v>2004595.6400000004</v>
      </c>
      <c r="K305" s="107">
        <f t="shared" si="62"/>
        <v>2115994.65</v>
      </c>
      <c r="L305" s="107">
        <f t="shared" si="62"/>
        <v>-591123.73</v>
      </c>
      <c r="M305" s="107">
        <f t="shared" si="62"/>
        <v>1748348.05</v>
      </c>
      <c r="N305" s="107">
        <v>12826683.279999999</v>
      </c>
    </row>
    <row r="306" spans="1:14">
      <c r="A306" s="64"/>
      <c r="B306" s="22"/>
      <c r="C306" s="22"/>
      <c r="D306" s="22"/>
      <c r="E306" s="22"/>
      <c r="F306" s="22"/>
      <c r="G306" s="22"/>
      <c r="H306" s="22"/>
      <c r="I306" s="22"/>
      <c r="J306" s="22"/>
      <c r="K306" s="22"/>
      <c r="L306" s="22"/>
      <c r="M306" s="22"/>
      <c r="N306" s="22"/>
    </row>
    <row r="307" spans="1:14">
      <c r="A307" s="64" t="s">
        <v>15</v>
      </c>
      <c r="B307" s="22"/>
      <c r="C307" s="22"/>
      <c r="D307" s="22"/>
      <c r="E307" s="22"/>
      <c r="F307" s="22"/>
      <c r="G307" s="22"/>
      <c r="H307" s="22"/>
      <c r="I307" s="22"/>
      <c r="J307" s="22"/>
      <c r="K307" s="22"/>
      <c r="L307" s="22"/>
      <c r="M307" s="22"/>
      <c r="N307" s="22"/>
    </row>
    <row r="308" spans="1:14">
      <c r="A308" s="64" t="s">
        <v>208</v>
      </c>
      <c r="B308" s="107">
        <v>42776.38</v>
      </c>
      <c r="C308" s="107">
        <v>42921.45</v>
      </c>
      <c r="D308" s="107">
        <v>35417.760000000002</v>
      </c>
      <c r="E308" s="107">
        <v>34528.42</v>
      </c>
      <c r="F308" s="107">
        <v>48846</v>
      </c>
      <c r="G308" s="107">
        <v>41789.26</v>
      </c>
      <c r="H308" s="107">
        <v>46067.33</v>
      </c>
      <c r="I308" s="107">
        <v>45720.39</v>
      </c>
      <c r="J308" s="107">
        <v>46029.21</v>
      </c>
      <c r="K308" s="107">
        <v>45428.08</v>
      </c>
      <c r="L308" s="107">
        <v>-5008.6899999999996</v>
      </c>
      <c r="M308" s="107">
        <v>38987.949999999997</v>
      </c>
      <c r="N308" s="107">
        <v>463503.54</v>
      </c>
    </row>
    <row r="309" spans="1:14">
      <c r="A309" s="64" t="s">
        <v>209</v>
      </c>
      <c r="B309" s="107">
        <v>13879.66</v>
      </c>
      <c r="C309" s="107">
        <v>21720.37</v>
      </c>
      <c r="D309" s="107">
        <v>11711.4</v>
      </c>
      <c r="E309" s="107">
        <v>12053.63</v>
      </c>
      <c r="F309" s="107">
        <v>15616.54</v>
      </c>
      <c r="G309" s="107">
        <v>14814.03</v>
      </c>
      <c r="H309" s="107">
        <v>16571.86</v>
      </c>
      <c r="I309" s="107">
        <v>18308.23</v>
      </c>
      <c r="J309" s="107">
        <v>15589.03</v>
      </c>
      <c r="K309" s="107">
        <v>13342.61</v>
      </c>
      <c r="L309" s="107">
        <v>-10509.23</v>
      </c>
      <c r="M309" s="107">
        <v>13462</v>
      </c>
      <c r="N309" s="107">
        <v>156560.13</v>
      </c>
    </row>
    <row r="310" spans="1:14">
      <c r="A310" s="64" t="s">
        <v>210</v>
      </c>
      <c r="B310" s="107">
        <v>5620.84</v>
      </c>
      <c r="C310" s="107">
        <v>9188.31</v>
      </c>
      <c r="D310" s="107">
        <v>9830.01</v>
      </c>
      <c r="E310" s="107">
        <v>7656.34</v>
      </c>
      <c r="F310" s="107">
        <v>11533.33</v>
      </c>
      <c r="G310" s="107">
        <v>5577.35</v>
      </c>
      <c r="H310" s="107">
        <v>6381.51</v>
      </c>
      <c r="I310" s="107">
        <v>9584.5400000000009</v>
      </c>
      <c r="J310" s="107">
        <v>10124.07</v>
      </c>
      <c r="K310" s="107">
        <v>9952.27</v>
      </c>
      <c r="L310" s="107">
        <v>3886.53</v>
      </c>
      <c r="M310" s="107">
        <v>8229.32</v>
      </c>
      <c r="N310" s="107">
        <v>97564.42</v>
      </c>
    </row>
    <row r="311" spans="1:14">
      <c r="A311" s="64" t="s">
        <v>211</v>
      </c>
      <c r="B311" s="107">
        <v>2453.6999999999998</v>
      </c>
      <c r="C311" s="107">
        <v>2359.0100000000002</v>
      </c>
      <c r="D311" s="107">
        <v>2536.5700000000002</v>
      </c>
      <c r="E311" s="107">
        <v>2258.4</v>
      </c>
      <c r="F311" s="107">
        <v>2452.64</v>
      </c>
      <c r="G311" s="107">
        <v>2804.63</v>
      </c>
      <c r="H311" s="107">
        <v>3395.72</v>
      </c>
      <c r="I311" s="107">
        <v>2523.85</v>
      </c>
      <c r="J311" s="107">
        <v>5230.26</v>
      </c>
      <c r="K311" s="107">
        <v>4694.6000000000004</v>
      </c>
      <c r="L311" s="107">
        <v>-4151.28</v>
      </c>
      <c r="M311" s="107">
        <v>2511.63</v>
      </c>
      <c r="N311" s="107">
        <v>29069.73</v>
      </c>
    </row>
    <row r="312" spans="1:14">
      <c r="A312" s="64" t="s">
        <v>195</v>
      </c>
      <c r="B312" s="107">
        <v>4586.37</v>
      </c>
      <c r="C312" s="107">
        <v>4855.46</v>
      </c>
      <c r="D312" s="107">
        <v>4057.25</v>
      </c>
      <c r="E312" s="107">
        <v>3446.95</v>
      </c>
      <c r="F312" s="107">
        <v>5941.27</v>
      </c>
      <c r="G312" s="107">
        <v>3602.09</v>
      </c>
      <c r="H312" s="107">
        <v>6432.41</v>
      </c>
      <c r="I312" s="107">
        <v>5976.16</v>
      </c>
      <c r="J312" s="107">
        <v>5004.8900000000003</v>
      </c>
      <c r="K312" s="107">
        <v>7227.1</v>
      </c>
      <c r="L312" s="107">
        <v>4252.58</v>
      </c>
      <c r="M312" s="107">
        <v>6149.69</v>
      </c>
      <c r="N312" s="107">
        <v>61532.22</v>
      </c>
    </row>
    <row r="313" spans="1:14">
      <c r="A313" s="64" t="s">
        <v>212</v>
      </c>
      <c r="B313" s="107">
        <v>1452.11</v>
      </c>
      <c r="C313" s="107">
        <v>484.64</v>
      </c>
      <c r="D313" s="107">
        <v>1527.38</v>
      </c>
      <c r="E313" s="107">
        <v>437.56</v>
      </c>
      <c r="F313" s="107">
        <v>620.54999999999995</v>
      </c>
      <c r="G313" s="107">
        <v>499.44</v>
      </c>
      <c r="H313" s="107">
        <v>1930.34</v>
      </c>
      <c r="I313" s="107">
        <v>3342.25</v>
      </c>
      <c r="J313" s="107">
        <v>2077.7600000000002</v>
      </c>
      <c r="K313" s="107">
        <v>850.03</v>
      </c>
      <c r="L313" s="107">
        <v>53.33</v>
      </c>
      <c r="M313" s="107">
        <v>399.59</v>
      </c>
      <c r="N313" s="107">
        <v>13674.98</v>
      </c>
    </row>
    <row r="314" spans="1:14">
      <c r="A314" s="64" t="s">
        <v>213</v>
      </c>
      <c r="B314" s="107">
        <v>31464.59</v>
      </c>
      <c r="C314" s="107">
        <v>25344.25</v>
      </c>
      <c r="D314" s="107">
        <v>26671.09</v>
      </c>
      <c r="E314" s="107">
        <v>24567.57</v>
      </c>
      <c r="F314" s="107">
        <v>30208.9</v>
      </c>
      <c r="G314" s="107">
        <v>28107.07</v>
      </c>
      <c r="H314" s="107">
        <v>26115.14</v>
      </c>
      <c r="I314" s="107">
        <v>28233.95</v>
      </c>
      <c r="J314" s="107">
        <v>33876</v>
      </c>
      <c r="K314" s="107">
        <v>34887.93</v>
      </c>
      <c r="L314" s="107">
        <v>32552.17</v>
      </c>
      <c r="M314" s="107">
        <v>32708.62</v>
      </c>
      <c r="N314" s="107">
        <v>354737.28</v>
      </c>
    </row>
    <row r="315" spans="1:14">
      <c r="A315" s="64" t="s">
        <v>214</v>
      </c>
      <c r="B315" s="107">
        <v>9928.49</v>
      </c>
      <c r="C315" s="107">
        <v>2139.4899999999998</v>
      </c>
      <c r="D315" s="107">
        <v>11171.45</v>
      </c>
      <c r="E315" s="107">
        <v>5204.3500000000004</v>
      </c>
      <c r="F315" s="107">
        <v>3176.92</v>
      </c>
      <c r="G315" s="107">
        <v>4135.1400000000003</v>
      </c>
      <c r="H315" s="107">
        <v>1298.23</v>
      </c>
      <c r="I315" s="107">
        <v>2010.98</v>
      </c>
      <c r="J315" s="107">
        <v>2465.96</v>
      </c>
      <c r="K315" s="107">
        <v>2364.23</v>
      </c>
      <c r="L315" s="107">
        <v>-521.65</v>
      </c>
      <c r="M315" s="107">
        <v>1672.97</v>
      </c>
      <c r="N315" s="107">
        <v>45046.559999999998</v>
      </c>
    </row>
    <row r="316" spans="1:14">
      <c r="A316" s="64" t="s">
        <v>215</v>
      </c>
      <c r="B316" s="107">
        <v>4816.21</v>
      </c>
      <c r="C316" s="107">
        <v>4874.87</v>
      </c>
      <c r="D316" s="107">
        <v>7843.12</v>
      </c>
      <c r="E316" s="107">
        <v>3236.56</v>
      </c>
      <c r="F316" s="107">
        <v>3444.04</v>
      </c>
      <c r="G316" s="107">
        <v>4073.59</v>
      </c>
      <c r="H316" s="107">
        <v>4610.5</v>
      </c>
      <c r="I316" s="107">
        <v>5674.15</v>
      </c>
      <c r="J316" s="107">
        <v>3021.71</v>
      </c>
      <c r="K316" s="107">
        <v>4419.3</v>
      </c>
      <c r="L316" s="107">
        <v>3386.37</v>
      </c>
      <c r="M316" s="107">
        <v>6247.01</v>
      </c>
      <c r="N316" s="107">
        <v>55647.43</v>
      </c>
    </row>
    <row r="317" spans="1:14">
      <c r="A317" s="64" t="s">
        <v>216</v>
      </c>
      <c r="B317" s="107">
        <v>29214.37</v>
      </c>
      <c r="C317" s="107">
        <v>29462.61</v>
      </c>
      <c r="D317" s="107">
        <v>27965.49</v>
      </c>
      <c r="E317" s="107">
        <v>27270.92</v>
      </c>
      <c r="F317" s="107">
        <v>23675.85</v>
      </c>
      <c r="G317" s="107">
        <v>20506.93</v>
      </c>
      <c r="H317" s="107">
        <v>21372.47</v>
      </c>
      <c r="I317" s="107">
        <v>21030.73</v>
      </c>
      <c r="J317" s="107">
        <v>19076.62</v>
      </c>
      <c r="K317" s="107">
        <v>42961.58</v>
      </c>
      <c r="L317" s="107">
        <v>4429.67</v>
      </c>
      <c r="M317" s="107">
        <v>27515.82</v>
      </c>
      <c r="N317" s="107">
        <v>294483.06</v>
      </c>
    </row>
    <row r="318" spans="1:14">
      <c r="A318" s="64" t="s">
        <v>217</v>
      </c>
      <c r="B318" s="107">
        <v>8157.9</v>
      </c>
      <c r="C318" s="107">
        <v>8314.74</v>
      </c>
      <c r="D318" s="107">
        <v>4993.34</v>
      </c>
      <c r="E318" s="107">
        <v>7821.36</v>
      </c>
      <c r="F318" s="107">
        <v>5139.22</v>
      </c>
      <c r="G318" s="107">
        <v>6683.85</v>
      </c>
      <c r="H318" s="107">
        <v>7459.63</v>
      </c>
      <c r="I318" s="107">
        <v>8114.18</v>
      </c>
      <c r="J318" s="107">
        <v>6791.33</v>
      </c>
      <c r="K318" s="107">
        <v>8148.75</v>
      </c>
      <c r="L318" s="107">
        <v>3084.43</v>
      </c>
      <c r="M318" s="107">
        <v>7202.13</v>
      </c>
      <c r="N318" s="107">
        <v>81910.86</v>
      </c>
    </row>
    <row r="319" spans="1:14">
      <c r="A319" s="64" t="s">
        <v>218</v>
      </c>
      <c r="B319" s="107">
        <v>13443.92</v>
      </c>
      <c r="C319" s="107">
        <v>14972.16</v>
      </c>
      <c r="D319" s="107">
        <v>12748.37</v>
      </c>
      <c r="E319" s="107">
        <v>13366.44</v>
      </c>
      <c r="F319" s="107">
        <v>19285.72</v>
      </c>
      <c r="G319" s="107">
        <v>15395.87</v>
      </c>
      <c r="H319" s="107">
        <v>17777.14</v>
      </c>
      <c r="I319" s="107">
        <v>11021.52</v>
      </c>
      <c r="J319" s="107">
        <v>10759.03</v>
      </c>
      <c r="K319" s="107">
        <v>9838.7900000000009</v>
      </c>
      <c r="L319" s="107">
        <v>-1814.81</v>
      </c>
      <c r="M319" s="107">
        <v>14882.46</v>
      </c>
      <c r="N319" s="107">
        <v>151676.60999999999</v>
      </c>
    </row>
    <row r="320" spans="1:14">
      <c r="A320" s="64" t="s">
        <v>219</v>
      </c>
      <c r="B320" s="107">
        <v>25539.599999999999</v>
      </c>
      <c r="C320" s="107">
        <v>23912.57</v>
      </c>
      <c r="D320" s="107">
        <v>29022.75</v>
      </c>
      <c r="E320" s="107">
        <v>23275.97</v>
      </c>
      <c r="F320" s="107">
        <v>27964.66</v>
      </c>
      <c r="G320" s="107">
        <v>18191.93</v>
      </c>
      <c r="H320" s="107">
        <v>25144.18</v>
      </c>
      <c r="I320" s="107">
        <v>23123.82</v>
      </c>
      <c r="J320" s="107">
        <v>23671.85</v>
      </c>
      <c r="K320" s="107">
        <v>20543.259999999998</v>
      </c>
      <c r="L320" s="107">
        <v>3479.48</v>
      </c>
      <c r="M320" s="107">
        <v>20258.509999999998</v>
      </c>
      <c r="N320" s="107">
        <v>264128.58</v>
      </c>
    </row>
    <row r="321" spans="1:14">
      <c r="A321" s="64" t="s">
        <v>220</v>
      </c>
      <c r="B321" s="111">
        <v>4559.41</v>
      </c>
      <c r="C321" s="111">
        <v>7831.06</v>
      </c>
      <c r="D321" s="111">
        <v>5084.5</v>
      </c>
      <c r="E321" s="111">
        <v>4585.24</v>
      </c>
      <c r="F321" s="111">
        <v>9436.15</v>
      </c>
      <c r="G321" s="111">
        <v>3231.66</v>
      </c>
      <c r="H321" s="111">
        <v>6940.83</v>
      </c>
      <c r="I321" s="111">
        <v>10246.93</v>
      </c>
      <c r="J321" s="111">
        <v>5753.68</v>
      </c>
      <c r="K321" s="111">
        <v>7446.59</v>
      </c>
      <c r="L321" s="111">
        <v>-2264.39</v>
      </c>
      <c r="M321" s="111">
        <v>5427.74</v>
      </c>
      <c r="N321" s="111">
        <v>68279.399999999994</v>
      </c>
    </row>
    <row r="322" spans="1:14">
      <c r="A322" s="64" t="s">
        <v>221</v>
      </c>
      <c r="B322" s="107">
        <f t="shared" ref="B322:M322" si="63">SUM(B306:B321)</f>
        <v>197893.55000000002</v>
      </c>
      <c r="C322" s="107">
        <f t="shared" si="63"/>
        <v>198380.99</v>
      </c>
      <c r="D322" s="107">
        <f t="shared" si="63"/>
        <v>190580.47999999998</v>
      </c>
      <c r="E322" s="107">
        <f t="shared" si="63"/>
        <v>169709.71</v>
      </c>
      <c r="F322" s="107">
        <f t="shared" si="63"/>
        <v>207341.79</v>
      </c>
      <c r="G322" s="107">
        <f t="shared" si="63"/>
        <v>169412.84</v>
      </c>
      <c r="H322" s="107">
        <f t="shared" si="63"/>
        <v>191497.29</v>
      </c>
      <c r="I322" s="107">
        <f t="shared" si="63"/>
        <v>194911.68</v>
      </c>
      <c r="J322" s="107">
        <f t="shared" si="63"/>
        <v>189471.4</v>
      </c>
      <c r="K322" s="107">
        <f t="shared" si="63"/>
        <v>212105.12000000005</v>
      </c>
      <c r="L322" s="107">
        <f t="shared" si="63"/>
        <v>30854.509999999995</v>
      </c>
      <c r="M322" s="107">
        <f t="shared" si="63"/>
        <v>185655.43999999997</v>
      </c>
      <c r="N322" s="107">
        <v>2137814.7999999998</v>
      </c>
    </row>
    <row r="323" spans="1:14">
      <c r="A323" s="64"/>
      <c r="B323" s="22"/>
      <c r="C323" s="22"/>
      <c r="D323" s="22"/>
      <c r="E323" s="22"/>
      <c r="F323" s="22"/>
      <c r="G323" s="22"/>
      <c r="H323" s="22"/>
      <c r="I323" s="22"/>
      <c r="J323" s="22"/>
      <c r="K323" s="22"/>
      <c r="L323" s="22"/>
      <c r="M323" s="22"/>
      <c r="N323" s="22"/>
    </row>
    <row r="324" spans="1:14">
      <c r="A324" s="64" t="s">
        <v>222</v>
      </c>
      <c r="B324" s="22"/>
      <c r="C324" s="22"/>
      <c r="D324" s="22"/>
      <c r="E324" s="22"/>
      <c r="F324" s="22"/>
      <c r="G324" s="22"/>
      <c r="H324" s="22"/>
      <c r="I324" s="22"/>
      <c r="J324" s="22"/>
      <c r="K324" s="22"/>
      <c r="L324" s="22"/>
      <c r="M324" s="22"/>
      <c r="N324" s="22"/>
    </row>
    <row r="325" spans="1:14">
      <c r="A325" s="64" t="s">
        <v>386</v>
      </c>
      <c r="B325" s="22"/>
      <c r="C325" s="22"/>
      <c r="D325" s="22"/>
      <c r="E325" s="22"/>
      <c r="F325" s="107">
        <v>317.85000000000002</v>
      </c>
      <c r="G325" s="107">
        <v>2003</v>
      </c>
      <c r="H325" s="22"/>
      <c r="I325" s="107">
        <v>33.9</v>
      </c>
      <c r="J325" s="22"/>
      <c r="K325" s="22"/>
      <c r="L325" s="107">
        <v>-1000</v>
      </c>
      <c r="M325" s="107">
        <v>850</v>
      </c>
      <c r="N325" s="107">
        <v>2204.75</v>
      </c>
    </row>
    <row r="326" spans="1:14">
      <c r="A326" s="64" t="s">
        <v>223</v>
      </c>
      <c r="B326" s="107">
        <v>722.9</v>
      </c>
      <c r="C326" s="107">
        <v>18809.939999999999</v>
      </c>
      <c r="D326" s="107">
        <v>277.8</v>
      </c>
      <c r="E326" s="107">
        <v>3147.61</v>
      </c>
      <c r="F326" s="107">
        <v>24975.05</v>
      </c>
      <c r="G326" s="22"/>
      <c r="H326" s="107">
        <v>43172.97</v>
      </c>
      <c r="I326" s="107">
        <v>244</v>
      </c>
      <c r="J326" s="107">
        <v>1114.71</v>
      </c>
      <c r="K326" s="107">
        <v>490.77</v>
      </c>
      <c r="L326" s="107">
        <v>-8013.32</v>
      </c>
      <c r="M326" s="107">
        <v>1674.4</v>
      </c>
      <c r="N326" s="107">
        <v>86616.83</v>
      </c>
    </row>
    <row r="327" spans="1:14">
      <c r="A327" s="64" t="s">
        <v>224</v>
      </c>
      <c r="B327" s="107">
        <v>90043.61</v>
      </c>
      <c r="C327" s="107">
        <v>71993.009999999995</v>
      </c>
      <c r="D327" s="107">
        <v>53432.79</v>
      </c>
      <c r="E327" s="107">
        <v>44498.64</v>
      </c>
      <c r="F327" s="107">
        <v>71565.789999999994</v>
      </c>
      <c r="G327" s="107">
        <v>44210.02</v>
      </c>
      <c r="H327" s="107">
        <v>79206.37</v>
      </c>
      <c r="I327" s="107">
        <v>75491.5</v>
      </c>
      <c r="J327" s="107">
        <v>64271.86</v>
      </c>
      <c r="K327" s="107">
        <v>108386.36</v>
      </c>
      <c r="L327" s="107">
        <v>-385.97</v>
      </c>
      <c r="M327" s="107">
        <v>79947.12</v>
      </c>
      <c r="N327" s="107">
        <v>782661.1</v>
      </c>
    </row>
    <row r="328" spans="1:14">
      <c r="A328" s="64" t="s">
        <v>225</v>
      </c>
      <c r="B328" s="107">
        <v>5840.34</v>
      </c>
      <c r="C328" s="107">
        <v>3353.04</v>
      </c>
      <c r="D328" s="107">
        <v>4751.46</v>
      </c>
      <c r="E328" s="107">
        <v>6125.12</v>
      </c>
      <c r="F328" s="107">
        <v>2260.8200000000002</v>
      </c>
      <c r="G328" s="107">
        <v>2414.9899999999998</v>
      </c>
      <c r="H328" s="107">
        <v>9351.2800000000007</v>
      </c>
      <c r="I328" s="107">
        <v>12145.38</v>
      </c>
      <c r="J328" s="107">
        <v>5061.0600000000004</v>
      </c>
      <c r="K328" s="107">
        <v>4713.78</v>
      </c>
      <c r="L328" s="107">
        <v>829.27</v>
      </c>
      <c r="M328" s="107">
        <v>10414.629999999999</v>
      </c>
      <c r="N328" s="107">
        <v>67261.17</v>
      </c>
    </row>
    <row r="329" spans="1:14">
      <c r="A329" s="64" t="s">
        <v>226</v>
      </c>
      <c r="B329" s="107">
        <v>2980.44</v>
      </c>
      <c r="C329" s="107">
        <v>3989.35</v>
      </c>
      <c r="D329" s="107">
        <v>10353.18</v>
      </c>
      <c r="E329" s="107">
        <v>8681.32</v>
      </c>
      <c r="F329" s="107">
        <v>21662.15</v>
      </c>
      <c r="G329" s="107">
        <v>5408.58</v>
      </c>
      <c r="H329" s="107">
        <v>7128.08</v>
      </c>
      <c r="I329" s="107">
        <v>6822.92</v>
      </c>
      <c r="J329" s="107">
        <v>8660.27</v>
      </c>
      <c r="K329" s="107">
        <v>4786.25</v>
      </c>
      <c r="L329" s="107">
        <v>-10252.48</v>
      </c>
      <c r="M329" s="107">
        <v>4084.99</v>
      </c>
      <c r="N329" s="107">
        <v>74305.05</v>
      </c>
    </row>
    <row r="330" spans="1:14">
      <c r="A330" s="64" t="s">
        <v>227</v>
      </c>
      <c r="B330" s="107">
        <v>4675.75</v>
      </c>
      <c r="C330" s="107">
        <v>4380.51</v>
      </c>
      <c r="D330" s="107">
        <v>7572.2</v>
      </c>
      <c r="E330" s="107">
        <v>6030.21</v>
      </c>
      <c r="F330" s="107">
        <v>5730.1</v>
      </c>
      <c r="G330" s="107">
        <v>5121.79</v>
      </c>
      <c r="H330" s="107">
        <v>5410.63</v>
      </c>
      <c r="I330" s="107">
        <v>4238.0600000000004</v>
      </c>
      <c r="J330" s="107">
        <v>7789.09</v>
      </c>
      <c r="K330" s="107">
        <v>4076.53</v>
      </c>
      <c r="L330" s="107">
        <v>-1818.17</v>
      </c>
      <c r="M330" s="107">
        <v>3418.74</v>
      </c>
      <c r="N330" s="107">
        <v>56625.440000000002</v>
      </c>
    </row>
    <row r="331" spans="1:14">
      <c r="A331" s="64" t="s">
        <v>228</v>
      </c>
      <c r="B331" s="111">
        <v>1000</v>
      </c>
      <c r="C331" s="113"/>
      <c r="D331" s="113"/>
      <c r="E331" s="113"/>
      <c r="F331" s="113"/>
      <c r="G331" s="113"/>
      <c r="H331" s="113"/>
      <c r="I331" s="113"/>
      <c r="J331" s="113"/>
      <c r="K331" s="113"/>
      <c r="L331" s="113"/>
      <c r="M331" s="113"/>
      <c r="N331" s="111">
        <v>1000</v>
      </c>
    </row>
    <row r="332" spans="1:14">
      <c r="A332" s="64" t="s">
        <v>229</v>
      </c>
      <c r="B332" s="107">
        <f t="shared" ref="B332:M332" si="64">SUM(B323:B331)</f>
        <v>105263.03999999999</v>
      </c>
      <c r="C332" s="107">
        <f t="shared" si="64"/>
        <v>102525.84999999999</v>
      </c>
      <c r="D332" s="107">
        <f t="shared" si="64"/>
        <v>76387.430000000008</v>
      </c>
      <c r="E332" s="107">
        <f t="shared" si="64"/>
        <v>68482.900000000009</v>
      </c>
      <c r="F332" s="107">
        <f t="shared" si="64"/>
        <v>126511.76000000001</v>
      </c>
      <c r="G332" s="107">
        <f t="shared" si="64"/>
        <v>59158.38</v>
      </c>
      <c r="H332" s="107">
        <f t="shared" si="64"/>
        <v>144269.32999999999</v>
      </c>
      <c r="I332" s="107">
        <f t="shared" si="64"/>
        <v>98975.76</v>
      </c>
      <c r="J332" s="107">
        <f t="shared" si="64"/>
        <v>86896.99</v>
      </c>
      <c r="K332" s="107">
        <f t="shared" si="64"/>
        <v>122453.69</v>
      </c>
      <c r="L332" s="107">
        <f t="shared" si="64"/>
        <v>-20640.669999999998</v>
      </c>
      <c r="M332" s="107">
        <f t="shared" si="64"/>
        <v>100389.88</v>
      </c>
      <c r="N332" s="107">
        <v>1070674.3400000001</v>
      </c>
    </row>
    <row r="333" spans="1:14">
      <c r="A333" s="64"/>
      <c r="B333" s="22"/>
      <c r="C333" s="22"/>
      <c r="D333" s="22"/>
      <c r="E333" s="22"/>
      <c r="F333" s="22"/>
      <c r="G333" s="22"/>
      <c r="H333" s="22"/>
      <c r="I333" s="22"/>
      <c r="J333" s="22"/>
      <c r="K333" s="22"/>
      <c r="L333" s="22"/>
      <c r="M333" s="22"/>
      <c r="N333" s="22"/>
    </row>
    <row r="334" spans="1:14">
      <c r="A334" s="64" t="s">
        <v>230</v>
      </c>
      <c r="B334" s="22"/>
      <c r="C334" s="22"/>
      <c r="D334" s="22"/>
      <c r="E334" s="22"/>
      <c r="F334" s="22"/>
      <c r="G334" s="22"/>
      <c r="H334" s="22"/>
      <c r="I334" s="22"/>
      <c r="J334" s="22"/>
      <c r="K334" s="22"/>
      <c r="L334" s="22"/>
      <c r="M334" s="22"/>
      <c r="N334" s="22"/>
    </row>
    <row r="335" spans="1:14">
      <c r="A335" s="64" t="s">
        <v>231</v>
      </c>
      <c r="B335" s="107">
        <v>155484.01999999999</v>
      </c>
      <c r="C335" s="107">
        <v>155484.01999999999</v>
      </c>
      <c r="D335" s="107">
        <v>155484.01999999999</v>
      </c>
      <c r="E335" s="107">
        <v>155484.01999999999</v>
      </c>
      <c r="F335" s="107">
        <v>43497.19</v>
      </c>
      <c r="G335" s="107">
        <v>144584.01999999999</v>
      </c>
      <c r="H335" s="107">
        <v>144584.01999999999</v>
      </c>
      <c r="I335" s="107">
        <v>144584.01999999999</v>
      </c>
      <c r="J335" s="107">
        <v>144584.01999999999</v>
      </c>
      <c r="K335" s="107">
        <v>144584.01999999999</v>
      </c>
      <c r="L335" s="107">
        <v>-28054.94</v>
      </c>
      <c r="M335" s="107">
        <v>115810.87</v>
      </c>
      <c r="N335" s="107">
        <v>1476109.3</v>
      </c>
    </row>
    <row r="336" spans="1:14">
      <c r="A336" s="64" t="s">
        <v>232</v>
      </c>
      <c r="B336" s="107">
        <v>4178</v>
      </c>
      <c r="C336" s="107">
        <v>4178</v>
      </c>
      <c r="D336" s="107">
        <v>4178</v>
      </c>
      <c r="E336" s="107">
        <v>4178</v>
      </c>
      <c r="F336" s="107">
        <v>5111.01</v>
      </c>
      <c r="G336" s="107">
        <v>4110</v>
      </c>
      <c r="H336" s="107">
        <v>4110</v>
      </c>
      <c r="I336" s="107">
        <v>4110</v>
      </c>
      <c r="J336" s="107">
        <v>4110</v>
      </c>
      <c r="K336" s="107">
        <v>4110</v>
      </c>
      <c r="L336" s="107">
        <v>570</v>
      </c>
      <c r="M336" s="107">
        <v>3520</v>
      </c>
      <c r="N336" s="107">
        <v>46463.01</v>
      </c>
    </row>
    <row r="337" spans="1:14">
      <c r="A337" s="64" t="s">
        <v>233</v>
      </c>
      <c r="B337" s="107">
        <v>58896</v>
      </c>
      <c r="C337" s="107">
        <v>58896</v>
      </c>
      <c r="D337" s="107">
        <v>58896</v>
      </c>
      <c r="E337" s="107">
        <v>58896</v>
      </c>
      <c r="F337" s="107">
        <v>58896</v>
      </c>
      <c r="G337" s="107">
        <v>58896</v>
      </c>
      <c r="H337" s="107">
        <v>58896</v>
      </c>
      <c r="I337" s="107">
        <v>58896</v>
      </c>
      <c r="J337" s="107">
        <v>58896</v>
      </c>
      <c r="K337" s="107">
        <v>58896</v>
      </c>
      <c r="L337" s="107">
        <v>58896</v>
      </c>
      <c r="M337" s="107">
        <v>58896</v>
      </c>
      <c r="N337" s="107">
        <v>706752</v>
      </c>
    </row>
    <row r="338" spans="1:14">
      <c r="A338" s="64" t="s">
        <v>234</v>
      </c>
      <c r="B338" s="107">
        <v>2250.85</v>
      </c>
      <c r="C338" s="107">
        <v>1077.76</v>
      </c>
      <c r="D338" s="107">
        <v>468.44</v>
      </c>
      <c r="E338" s="107">
        <v>266.52</v>
      </c>
      <c r="F338" s="107">
        <v>2464.12</v>
      </c>
      <c r="G338" s="107">
        <v>2820.68</v>
      </c>
      <c r="H338" s="107">
        <v>1817.5</v>
      </c>
      <c r="I338" s="107">
        <v>3801</v>
      </c>
      <c r="J338" s="107">
        <v>3680</v>
      </c>
      <c r="K338" s="107">
        <v>6554.67</v>
      </c>
      <c r="L338" s="107">
        <v>-4135.59</v>
      </c>
      <c r="M338" s="107">
        <v>914.41</v>
      </c>
      <c r="N338" s="107">
        <v>21980.36</v>
      </c>
    </row>
    <row r="339" spans="1:14">
      <c r="A339" s="64" t="s">
        <v>352</v>
      </c>
      <c r="B339" s="107">
        <v>13954.55</v>
      </c>
      <c r="C339" s="107">
        <v>2226.39</v>
      </c>
      <c r="D339" s="107">
        <v>-976.39</v>
      </c>
      <c r="E339" s="22"/>
      <c r="F339" s="107">
        <v>2640</v>
      </c>
      <c r="G339" s="107">
        <v>14329.1</v>
      </c>
      <c r="H339" s="107">
        <v>10623</v>
      </c>
      <c r="I339" s="107">
        <v>16733.05</v>
      </c>
      <c r="J339" s="107">
        <v>11047.65</v>
      </c>
      <c r="K339" s="107">
        <v>10764.55</v>
      </c>
      <c r="L339" s="107">
        <v>-5885.27</v>
      </c>
      <c r="M339" s="107">
        <v>8089.58</v>
      </c>
      <c r="N339" s="107">
        <v>83546.210000000006</v>
      </c>
    </row>
    <row r="340" spans="1:14">
      <c r="A340" s="64" t="s">
        <v>235</v>
      </c>
      <c r="B340" s="107">
        <v>3156.58</v>
      </c>
      <c r="C340" s="107">
        <v>7475.73</v>
      </c>
      <c r="D340" s="107">
        <v>2580.88</v>
      </c>
      <c r="E340" s="107">
        <v>2782.21</v>
      </c>
      <c r="F340" s="107">
        <v>3961.39</v>
      </c>
      <c r="G340" s="107">
        <v>3961</v>
      </c>
      <c r="H340" s="107">
        <v>685</v>
      </c>
      <c r="I340" s="107">
        <v>1637.38</v>
      </c>
      <c r="J340" s="107">
        <v>1842.37</v>
      </c>
      <c r="K340" s="107">
        <v>1885.46</v>
      </c>
      <c r="L340" s="107">
        <v>6.44</v>
      </c>
      <c r="M340" s="107">
        <v>385.97</v>
      </c>
      <c r="N340" s="107">
        <v>30360.41</v>
      </c>
    </row>
    <row r="341" spans="1:14">
      <c r="A341" s="64" t="s">
        <v>228</v>
      </c>
      <c r="B341" s="113"/>
      <c r="C341" s="111">
        <v>914.07</v>
      </c>
      <c r="D341" s="113"/>
      <c r="E341" s="113"/>
      <c r="F341" s="111">
        <v>3400</v>
      </c>
      <c r="G341" s="113"/>
      <c r="H341" s="113"/>
      <c r="I341" s="113"/>
      <c r="J341" s="111">
        <v>602.74</v>
      </c>
      <c r="K341" s="113"/>
      <c r="L341" s="111">
        <v>-102.74</v>
      </c>
      <c r="M341" s="111">
        <v>1120</v>
      </c>
      <c r="N341" s="111">
        <v>5934.07</v>
      </c>
    </row>
    <row r="342" spans="1:14">
      <c r="A342" s="64" t="s">
        <v>236</v>
      </c>
      <c r="B342" s="107">
        <f t="shared" ref="B342:M342" si="65">SUM(B333:B341)</f>
        <v>237919.99999999997</v>
      </c>
      <c r="C342" s="107">
        <f t="shared" si="65"/>
        <v>230251.97000000003</v>
      </c>
      <c r="D342" s="107">
        <f t="shared" si="65"/>
        <v>220630.94999999998</v>
      </c>
      <c r="E342" s="107">
        <f t="shared" si="65"/>
        <v>221606.74999999997</v>
      </c>
      <c r="F342" s="107">
        <f t="shared" si="65"/>
        <v>119969.71</v>
      </c>
      <c r="G342" s="107">
        <f t="shared" si="65"/>
        <v>228700.79999999999</v>
      </c>
      <c r="H342" s="107">
        <f t="shared" si="65"/>
        <v>220715.51999999999</v>
      </c>
      <c r="I342" s="107">
        <f t="shared" si="65"/>
        <v>229761.44999999998</v>
      </c>
      <c r="J342" s="107">
        <f t="shared" si="65"/>
        <v>224762.77999999997</v>
      </c>
      <c r="K342" s="107">
        <f t="shared" si="65"/>
        <v>226794.69999999998</v>
      </c>
      <c r="L342" s="107">
        <f t="shared" si="65"/>
        <v>21293.899999999998</v>
      </c>
      <c r="M342" s="107">
        <f t="shared" si="65"/>
        <v>188736.83</v>
      </c>
      <c r="N342" s="107">
        <v>2371145.36</v>
      </c>
    </row>
    <row r="343" spans="1:14">
      <c r="A343" s="64"/>
      <c r="B343" s="22"/>
      <c r="C343" s="22"/>
      <c r="D343" s="22"/>
      <c r="E343" s="22"/>
      <c r="F343" s="22"/>
      <c r="G343" s="22"/>
      <c r="H343" s="22"/>
      <c r="I343" s="22"/>
      <c r="J343" s="22"/>
      <c r="K343" s="22"/>
      <c r="L343" s="22"/>
      <c r="M343" s="22"/>
      <c r="N343" s="22"/>
    </row>
    <row r="344" spans="1:14">
      <c r="A344" s="64" t="s">
        <v>237</v>
      </c>
      <c r="B344" s="22"/>
      <c r="C344" s="22"/>
      <c r="D344" s="22"/>
      <c r="E344" s="22"/>
      <c r="F344" s="22"/>
      <c r="G344" s="22"/>
      <c r="H344" s="22"/>
      <c r="I344" s="22"/>
      <c r="J344" s="22"/>
      <c r="K344" s="22"/>
      <c r="L344" s="22"/>
      <c r="M344" s="22"/>
      <c r="N344" s="22"/>
    </row>
    <row r="345" spans="1:14">
      <c r="A345" s="64" t="s">
        <v>375</v>
      </c>
      <c r="B345" s="107">
        <v>11849</v>
      </c>
      <c r="C345" s="107">
        <v>9168</v>
      </c>
      <c r="D345" s="107">
        <v>15204.83</v>
      </c>
      <c r="E345" s="107">
        <v>2464</v>
      </c>
      <c r="F345" s="107">
        <v>51555</v>
      </c>
      <c r="G345" s="107">
        <v>31430</v>
      </c>
      <c r="H345" s="107">
        <v>56410</v>
      </c>
      <c r="I345" s="107">
        <v>46153</v>
      </c>
      <c r="J345" s="107">
        <v>12479</v>
      </c>
      <c r="K345" s="107">
        <v>33033</v>
      </c>
      <c r="L345" s="107">
        <v>-30301</v>
      </c>
      <c r="M345" s="107">
        <v>41130</v>
      </c>
      <c r="N345" s="107">
        <v>280574.83</v>
      </c>
    </row>
    <row r="346" spans="1:14">
      <c r="A346" s="64" t="s">
        <v>228</v>
      </c>
      <c r="B346" s="111">
        <v>226270</v>
      </c>
      <c r="C346" s="111">
        <v>220133</v>
      </c>
      <c r="D346" s="111">
        <v>236485.99</v>
      </c>
      <c r="E346" s="111">
        <v>225636</v>
      </c>
      <c r="F346" s="111">
        <v>866164</v>
      </c>
      <c r="G346" s="111">
        <v>314731</v>
      </c>
      <c r="H346" s="111">
        <v>594606.80000000005</v>
      </c>
      <c r="I346" s="111">
        <v>273341</v>
      </c>
      <c r="J346" s="111">
        <v>226323</v>
      </c>
      <c r="K346" s="111">
        <v>108855</v>
      </c>
      <c r="L346" s="111">
        <v>-184982.46</v>
      </c>
      <c r="M346" s="111">
        <v>290179</v>
      </c>
      <c r="N346" s="111">
        <v>3397742.33</v>
      </c>
    </row>
    <row r="347" spans="1:14">
      <c r="A347" s="64" t="s">
        <v>238</v>
      </c>
      <c r="B347" s="107">
        <f t="shared" ref="B347:M347" si="66">SUM(B343:B346)</f>
        <v>238119</v>
      </c>
      <c r="C347" s="107">
        <f t="shared" si="66"/>
        <v>229301</v>
      </c>
      <c r="D347" s="107">
        <f t="shared" si="66"/>
        <v>251690.81999999998</v>
      </c>
      <c r="E347" s="107">
        <f t="shared" si="66"/>
        <v>228100</v>
      </c>
      <c r="F347" s="107">
        <f t="shared" si="66"/>
        <v>917719</v>
      </c>
      <c r="G347" s="107">
        <f t="shared" si="66"/>
        <v>346161</v>
      </c>
      <c r="H347" s="107">
        <f t="shared" si="66"/>
        <v>651016.80000000005</v>
      </c>
      <c r="I347" s="107">
        <f t="shared" si="66"/>
        <v>319494</v>
      </c>
      <c r="J347" s="107">
        <f t="shared" si="66"/>
        <v>238802</v>
      </c>
      <c r="K347" s="107">
        <f t="shared" si="66"/>
        <v>141888</v>
      </c>
      <c r="L347" s="107">
        <f t="shared" si="66"/>
        <v>-215283.46</v>
      </c>
      <c r="M347" s="107">
        <f t="shared" si="66"/>
        <v>331309</v>
      </c>
      <c r="N347" s="107">
        <v>3678317.16</v>
      </c>
    </row>
    <row r="348" spans="1:14">
      <c r="A348" s="64"/>
      <c r="B348" s="22"/>
      <c r="C348" s="22"/>
      <c r="D348" s="22"/>
      <c r="E348" s="22"/>
      <c r="F348" s="22"/>
      <c r="G348" s="22"/>
      <c r="H348" s="22"/>
      <c r="I348" s="22"/>
      <c r="J348" s="22"/>
      <c r="K348" s="22"/>
      <c r="L348" s="22"/>
      <c r="M348" s="22"/>
      <c r="N348" s="22"/>
    </row>
    <row r="349" spans="1:14">
      <c r="A349" s="64" t="s">
        <v>239</v>
      </c>
      <c r="B349" s="22"/>
      <c r="C349" s="22"/>
      <c r="D349" s="22"/>
      <c r="E349" s="22"/>
      <c r="F349" s="22"/>
      <c r="G349" s="22"/>
      <c r="H349" s="22"/>
      <c r="I349" s="22"/>
      <c r="J349" s="22"/>
      <c r="K349" s="22"/>
      <c r="L349" s="22"/>
      <c r="M349" s="22"/>
      <c r="N349" s="22"/>
    </row>
    <row r="350" spans="1:14">
      <c r="A350" s="64" t="s">
        <v>240</v>
      </c>
      <c r="B350" s="107">
        <v>43449.84</v>
      </c>
      <c r="C350" s="107">
        <v>43449.84</v>
      </c>
      <c r="D350" s="107">
        <v>41901.01</v>
      </c>
      <c r="E350" s="107">
        <v>43205.67</v>
      </c>
      <c r="F350" s="107">
        <v>43206.720000000001</v>
      </c>
      <c r="G350" s="107">
        <v>43205.63</v>
      </c>
      <c r="H350" s="107">
        <v>47523.05</v>
      </c>
      <c r="I350" s="107">
        <v>58075.19</v>
      </c>
      <c r="J350" s="107">
        <v>50475.46</v>
      </c>
      <c r="K350" s="107">
        <v>50475.46</v>
      </c>
      <c r="L350" s="107">
        <v>-12947.47</v>
      </c>
      <c r="M350" s="107">
        <v>39596.01</v>
      </c>
      <c r="N350" s="107">
        <v>491616.41</v>
      </c>
    </row>
    <row r="351" spans="1:14">
      <c r="A351" s="64" t="s">
        <v>241</v>
      </c>
      <c r="B351" s="107">
        <v>3804.94</v>
      </c>
      <c r="C351" s="107">
        <v>3804.94</v>
      </c>
      <c r="D351" s="107">
        <v>3804.94</v>
      </c>
      <c r="E351" s="107">
        <v>3804.94</v>
      </c>
      <c r="F351" s="107">
        <v>3804.93</v>
      </c>
      <c r="G351" s="107">
        <v>3804.94</v>
      </c>
      <c r="H351" s="107">
        <v>14037.2</v>
      </c>
      <c r="I351" s="107">
        <v>-2794.44</v>
      </c>
      <c r="J351" s="107">
        <v>708.17</v>
      </c>
      <c r="K351" s="107">
        <v>708.17</v>
      </c>
      <c r="L351" s="107">
        <v>283.33</v>
      </c>
      <c r="M351" s="107">
        <v>708.17</v>
      </c>
      <c r="N351" s="107">
        <v>36480.230000000003</v>
      </c>
    </row>
    <row r="352" spans="1:14">
      <c r="A352" s="64" t="s">
        <v>242</v>
      </c>
      <c r="B352" s="107">
        <v>78528.31</v>
      </c>
      <c r="C352" s="107">
        <v>84471.3</v>
      </c>
      <c r="D352" s="107">
        <v>84471.3</v>
      </c>
      <c r="E352" s="107">
        <v>87234.05</v>
      </c>
      <c r="F352" s="107">
        <v>84471.3</v>
      </c>
      <c r="G352" s="107">
        <v>96158.56</v>
      </c>
      <c r="H352" s="107">
        <v>85724.68</v>
      </c>
      <c r="I352" s="107">
        <v>85724.68</v>
      </c>
      <c r="J352" s="107">
        <v>85986.83</v>
      </c>
      <c r="K352" s="107">
        <v>87589.88</v>
      </c>
      <c r="L352" s="107">
        <v>-35988.980000000003</v>
      </c>
      <c r="M352" s="107">
        <v>65728.899999999994</v>
      </c>
      <c r="N352" s="107">
        <v>890100.81</v>
      </c>
    </row>
    <row r="353" spans="1:14">
      <c r="A353" s="64" t="s">
        <v>284</v>
      </c>
      <c r="B353" s="22"/>
      <c r="C353" s="22"/>
      <c r="D353" s="107">
        <v>86999</v>
      </c>
      <c r="E353" s="107">
        <v>150</v>
      </c>
      <c r="F353" s="107">
        <v>-89550</v>
      </c>
      <c r="G353" s="22"/>
      <c r="H353" s="22"/>
      <c r="I353" s="107">
        <v>132372.74</v>
      </c>
      <c r="J353" s="107">
        <v>112643.72</v>
      </c>
      <c r="K353" s="107">
        <v>-25000</v>
      </c>
      <c r="L353" s="107">
        <v>-107372.74</v>
      </c>
      <c r="M353" s="22"/>
      <c r="N353" s="107">
        <v>110242.72</v>
      </c>
    </row>
    <row r="354" spans="1:14">
      <c r="A354" s="64" t="s">
        <v>243</v>
      </c>
      <c r="B354" s="107">
        <v>11115.71</v>
      </c>
      <c r="C354" s="107">
        <v>11466.91</v>
      </c>
      <c r="D354" s="107">
        <v>11346.92</v>
      </c>
      <c r="E354" s="107">
        <v>11346.92</v>
      </c>
      <c r="F354" s="107">
        <v>14579.56</v>
      </c>
      <c r="G354" s="107">
        <v>6058.57</v>
      </c>
      <c r="H354" s="22"/>
      <c r="I354" s="22"/>
      <c r="J354" s="107">
        <v>10294.5</v>
      </c>
      <c r="K354" s="107">
        <v>9172.11</v>
      </c>
      <c r="L354" s="107">
        <v>6156</v>
      </c>
      <c r="M354" s="107">
        <v>8153</v>
      </c>
      <c r="N354" s="107">
        <v>99690.2</v>
      </c>
    </row>
    <row r="355" spans="1:14">
      <c r="A355" s="64" t="s">
        <v>387</v>
      </c>
      <c r="B355" s="113"/>
      <c r="C355" s="113"/>
      <c r="D355" s="113"/>
      <c r="E355" s="113"/>
      <c r="F355" s="113"/>
      <c r="G355" s="113"/>
      <c r="H355" s="113"/>
      <c r="I355" s="113"/>
      <c r="J355" s="113"/>
      <c r="K355" s="113"/>
      <c r="L355" s="113"/>
      <c r="M355" s="113"/>
      <c r="N355" s="111"/>
    </row>
    <row r="356" spans="1:14">
      <c r="A356" s="64" t="s">
        <v>244</v>
      </c>
      <c r="B356" s="107">
        <f t="shared" ref="B356:M356" si="67">SUM(B348:B355)</f>
        <v>136898.79999999999</v>
      </c>
      <c r="C356" s="107">
        <f t="shared" si="67"/>
        <v>143192.99000000002</v>
      </c>
      <c r="D356" s="107">
        <f t="shared" si="67"/>
        <v>228523.17</v>
      </c>
      <c r="E356" s="107">
        <f t="shared" si="67"/>
        <v>145741.58000000002</v>
      </c>
      <c r="F356" s="107">
        <f t="shared" si="67"/>
        <v>56512.510000000009</v>
      </c>
      <c r="G356" s="107">
        <f t="shared" si="67"/>
        <v>149227.70000000001</v>
      </c>
      <c r="H356" s="107">
        <f t="shared" si="67"/>
        <v>147284.93</v>
      </c>
      <c r="I356" s="107">
        <f t="shared" si="67"/>
        <v>273378.17</v>
      </c>
      <c r="J356" s="107">
        <f t="shared" si="67"/>
        <v>260108.68</v>
      </c>
      <c r="K356" s="107">
        <f t="shared" si="67"/>
        <v>122945.62000000001</v>
      </c>
      <c r="L356" s="107">
        <f t="shared" si="67"/>
        <v>-149869.86000000002</v>
      </c>
      <c r="M356" s="107">
        <f t="shared" si="67"/>
        <v>114186.07999999999</v>
      </c>
      <c r="N356" s="107">
        <v>1628130.37</v>
      </c>
    </row>
    <row r="357" spans="1:14">
      <c r="A357" s="64"/>
      <c r="B357" s="22"/>
      <c r="C357" s="22"/>
      <c r="D357" s="22"/>
      <c r="E357" s="22"/>
      <c r="F357" s="22"/>
      <c r="G357" s="22"/>
      <c r="H357" s="22"/>
      <c r="I357" s="22"/>
      <c r="J357" s="22"/>
      <c r="K357" s="22"/>
      <c r="L357" s="22"/>
      <c r="M357" s="22"/>
      <c r="N357" s="22"/>
    </row>
    <row r="358" spans="1:14">
      <c r="A358" s="64" t="s">
        <v>245</v>
      </c>
      <c r="B358" s="22"/>
      <c r="C358" s="22"/>
      <c r="D358" s="22"/>
      <c r="E358" s="22"/>
      <c r="F358" s="22"/>
      <c r="G358" s="22"/>
      <c r="H358" s="22"/>
      <c r="I358" s="22"/>
      <c r="J358" s="22"/>
      <c r="K358" s="22"/>
      <c r="L358" s="22"/>
      <c r="M358" s="22"/>
      <c r="N358" s="22"/>
    </row>
    <row r="359" spans="1:14">
      <c r="A359" s="64" t="s">
        <v>246</v>
      </c>
      <c r="B359" s="107">
        <v>83334.880000000005</v>
      </c>
      <c r="C359" s="107">
        <v>83917.4</v>
      </c>
      <c r="D359" s="107">
        <v>84129.85</v>
      </c>
      <c r="E359" s="107">
        <v>85537.68</v>
      </c>
      <c r="F359" s="107">
        <v>84041.05</v>
      </c>
      <c r="G359" s="107">
        <v>52327.49</v>
      </c>
      <c r="H359" s="107">
        <v>120678.69</v>
      </c>
      <c r="I359" s="107">
        <v>87672.5</v>
      </c>
      <c r="J359" s="107">
        <v>88368.28</v>
      </c>
      <c r="K359" s="107">
        <v>90330.49</v>
      </c>
      <c r="L359" s="107">
        <v>2054.33</v>
      </c>
      <c r="M359" s="107">
        <v>74320.33</v>
      </c>
      <c r="N359" s="107">
        <v>936712.97</v>
      </c>
    </row>
    <row r="360" spans="1:14">
      <c r="A360" s="64" t="s">
        <v>247</v>
      </c>
      <c r="B360" s="107">
        <v>65909.149999999994</v>
      </c>
      <c r="C360" s="107">
        <v>64820.31</v>
      </c>
      <c r="D360" s="107">
        <v>65091.05</v>
      </c>
      <c r="E360" s="107">
        <v>68743.87</v>
      </c>
      <c r="F360" s="107">
        <v>62958.879999999997</v>
      </c>
      <c r="G360" s="107">
        <v>36623.79</v>
      </c>
      <c r="H360" s="107">
        <v>94381.06</v>
      </c>
      <c r="I360" s="107">
        <v>66791.34</v>
      </c>
      <c r="J360" s="107">
        <v>73952.789999999994</v>
      </c>
      <c r="K360" s="107">
        <v>69150.94</v>
      </c>
      <c r="L360" s="107">
        <v>-18781.689999999999</v>
      </c>
      <c r="M360" s="107">
        <v>57853.56</v>
      </c>
      <c r="N360" s="107">
        <v>707495.05</v>
      </c>
    </row>
    <row r="361" spans="1:14">
      <c r="A361" s="64" t="s">
        <v>285</v>
      </c>
      <c r="B361" s="107">
        <v>326.13</v>
      </c>
      <c r="C361" s="107">
        <v>371.57</v>
      </c>
      <c r="D361" s="107">
        <v>371.57</v>
      </c>
      <c r="E361" s="107">
        <v>371.57</v>
      </c>
      <c r="F361" s="107">
        <v>371.72</v>
      </c>
      <c r="G361" s="107">
        <v>259.72000000000003</v>
      </c>
      <c r="H361" s="107">
        <v>483.42</v>
      </c>
      <c r="I361" s="107">
        <v>371.57</v>
      </c>
      <c r="J361" s="107">
        <v>371.57</v>
      </c>
      <c r="K361" s="107">
        <v>369.99</v>
      </c>
      <c r="L361" s="107">
        <v>-133.87</v>
      </c>
      <c r="M361" s="107">
        <v>287.07</v>
      </c>
      <c r="N361" s="107">
        <v>3822.03</v>
      </c>
    </row>
    <row r="362" spans="1:14">
      <c r="A362" s="64" t="s">
        <v>248</v>
      </c>
      <c r="B362" s="107">
        <v>1303.53</v>
      </c>
      <c r="C362" s="107">
        <v>2268.33</v>
      </c>
      <c r="D362" s="107">
        <v>2254.7600000000002</v>
      </c>
      <c r="E362" s="107">
        <v>2223.29</v>
      </c>
      <c r="F362" s="107">
        <v>2261.5700000000002</v>
      </c>
      <c r="G362" s="107">
        <v>2059.38</v>
      </c>
      <c r="H362" s="107">
        <v>801.38</v>
      </c>
      <c r="I362" s="107">
        <v>1702</v>
      </c>
      <c r="J362" s="107">
        <v>1611.46</v>
      </c>
      <c r="K362" s="107">
        <v>1595.66</v>
      </c>
      <c r="L362" s="107">
        <v>1580.88</v>
      </c>
      <c r="M362" s="107">
        <v>1580.88</v>
      </c>
      <c r="N362" s="107">
        <v>21243.119999999999</v>
      </c>
    </row>
    <row r="363" spans="1:14">
      <c r="A363" s="64" t="s">
        <v>362</v>
      </c>
      <c r="B363" s="107">
        <v>10716.33</v>
      </c>
      <c r="C363" s="107">
        <v>10716.33</v>
      </c>
      <c r="D363" s="107">
        <v>10716.33</v>
      </c>
      <c r="E363" s="107">
        <v>10716.33</v>
      </c>
      <c r="F363" s="107">
        <v>10716.33</v>
      </c>
      <c r="G363" s="107">
        <v>10716.33</v>
      </c>
      <c r="H363" s="107">
        <v>10716.33</v>
      </c>
      <c r="I363" s="107">
        <v>10716.33</v>
      </c>
      <c r="J363" s="107">
        <v>10716.33</v>
      </c>
      <c r="K363" s="107">
        <v>10716.33</v>
      </c>
      <c r="L363" s="107">
        <v>-4583.67</v>
      </c>
      <c r="M363" s="107">
        <v>8166.33</v>
      </c>
      <c r="N363" s="107">
        <v>110745.96</v>
      </c>
    </row>
    <row r="364" spans="1:14">
      <c r="A364" s="64" t="s">
        <v>363</v>
      </c>
      <c r="B364" s="111">
        <v>-62973.95</v>
      </c>
      <c r="C364" s="111">
        <v>-62376.01</v>
      </c>
      <c r="D364" s="111">
        <v>-62827.44</v>
      </c>
      <c r="E364" s="111">
        <v>-66341.490000000005</v>
      </c>
      <c r="F364" s="111">
        <v>-58204.66</v>
      </c>
      <c r="G364" s="113"/>
      <c r="H364" s="111">
        <v>-128680.74</v>
      </c>
      <c r="I364" s="111">
        <v>-65636.34</v>
      </c>
      <c r="J364" s="111">
        <v>-68568.69</v>
      </c>
      <c r="K364" s="111">
        <v>-66659.05</v>
      </c>
      <c r="L364" s="111">
        <v>20076.900000000001</v>
      </c>
      <c r="M364" s="111">
        <v>-53709.96</v>
      </c>
      <c r="N364" s="111">
        <v>-675901.43</v>
      </c>
    </row>
    <row r="365" spans="1:14">
      <c r="A365" s="64" t="s">
        <v>250</v>
      </c>
      <c r="B365" s="107">
        <f t="shared" ref="B365:M365" si="68">SUM(B357:B364)</f>
        <v>98616.069999999992</v>
      </c>
      <c r="C365" s="107">
        <f t="shared" si="68"/>
        <v>99717.929999999964</v>
      </c>
      <c r="D365" s="107">
        <f t="shared" si="68"/>
        <v>99736.120000000024</v>
      </c>
      <c r="E365" s="107">
        <f t="shared" si="68"/>
        <v>101251.24999999999</v>
      </c>
      <c r="F365" s="107">
        <f t="shared" si="68"/>
        <v>102144.88999999998</v>
      </c>
      <c r="G365" s="107">
        <f t="shared" si="68"/>
        <v>101986.71</v>
      </c>
      <c r="H365" s="107">
        <f t="shared" si="68"/>
        <v>98380.14</v>
      </c>
      <c r="I365" s="107">
        <f t="shared" si="68"/>
        <v>101617.4</v>
      </c>
      <c r="J365" s="107">
        <f t="shared" si="68"/>
        <v>106451.73999999999</v>
      </c>
      <c r="K365" s="107">
        <f t="shared" si="68"/>
        <v>105504.35999999997</v>
      </c>
      <c r="L365" s="107">
        <f t="shared" si="68"/>
        <v>212.88000000000466</v>
      </c>
      <c r="M365" s="107">
        <f t="shared" si="68"/>
        <v>88498.210000000021</v>
      </c>
      <c r="N365" s="107">
        <v>1104117.7</v>
      </c>
    </row>
    <row r="366" spans="1:14">
      <c r="A366" s="64"/>
      <c r="B366" s="22"/>
      <c r="C366" s="22"/>
      <c r="D366" s="22"/>
      <c r="E366" s="22"/>
      <c r="F366" s="22"/>
      <c r="G366" s="22"/>
      <c r="H366" s="22"/>
      <c r="I366" s="22"/>
      <c r="J366" s="22"/>
      <c r="K366" s="22"/>
      <c r="L366" s="22"/>
      <c r="M366" s="22"/>
      <c r="N366" s="22"/>
    </row>
    <row r="367" spans="1:14">
      <c r="A367" s="64" t="s">
        <v>251</v>
      </c>
      <c r="B367" s="22"/>
      <c r="C367" s="22"/>
      <c r="D367" s="22"/>
      <c r="E367" s="22"/>
      <c r="F367" s="22"/>
      <c r="G367" s="22"/>
      <c r="H367" s="22"/>
      <c r="I367" s="22"/>
      <c r="J367" s="22"/>
      <c r="K367" s="22"/>
      <c r="L367" s="22"/>
      <c r="M367" s="22"/>
      <c r="N367" s="22"/>
    </row>
    <row r="368" spans="1:14">
      <c r="A368" s="64" t="s">
        <v>252</v>
      </c>
      <c r="B368" s="107">
        <v>1527042.82</v>
      </c>
      <c r="C368" s="107">
        <v>1559378.06</v>
      </c>
      <c r="D368" s="107">
        <v>1559378.06</v>
      </c>
      <c r="E368" s="107">
        <v>1559378.06</v>
      </c>
      <c r="F368" s="107">
        <v>1430451.06</v>
      </c>
      <c r="G368" s="107">
        <v>1559378.06</v>
      </c>
      <c r="H368" s="107">
        <v>1559378.06</v>
      </c>
      <c r="I368" s="107">
        <v>1559378.06</v>
      </c>
      <c r="J368" s="107">
        <v>1559378.06</v>
      </c>
      <c r="K368" s="107">
        <v>1551320.06</v>
      </c>
      <c r="L368" s="107">
        <v>-229263.88</v>
      </c>
      <c r="M368" s="107">
        <v>1357410.48</v>
      </c>
      <c r="N368" s="107">
        <v>16552606.960000001</v>
      </c>
    </row>
    <row r="369" spans="1:14">
      <c r="A369" s="64" t="s">
        <v>388</v>
      </c>
      <c r="B369" s="107">
        <v>-100000</v>
      </c>
      <c r="C369" s="107">
        <v>-100000</v>
      </c>
      <c r="D369" s="107">
        <v>-100000</v>
      </c>
      <c r="E369" s="107">
        <v>-100000</v>
      </c>
      <c r="F369" s="107">
        <v>-100000</v>
      </c>
      <c r="G369" s="107">
        <v>-100000</v>
      </c>
      <c r="H369" s="107">
        <v>-100000</v>
      </c>
      <c r="I369" s="107">
        <v>-100000</v>
      </c>
      <c r="J369" s="107">
        <v>-100000</v>
      </c>
      <c r="K369" s="107">
        <v>-100000</v>
      </c>
      <c r="L369" s="107">
        <v>-100000</v>
      </c>
      <c r="M369" s="107">
        <v>-100000</v>
      </c>
      <c r="N369" s="107">
        <v>-1200000</v>
      </c>
    </row>
    <row r="370" spans="1:14">
      <c r="A370" s="64" t="s">
        <v>253</v>
      </c>
      <c r="B370" s="107">
        <v>5573.15</v>
      </c>
      <c r="C370" s="107">
        <v>3519.6</v>
      </c>
      <c r="D370" s="107">
        <v>3259.79</v>
      </c>
      <c r="E370" s="107">
        <v>3313.86</v>
      </c>
      <c r="F370" s="107">
        <v>4541.63</v>
      </c>
      <c r="G370" s="107">
        <v>1921.45</v>
      </c>
      <c r="H370" s="107">
        <v>267.44</v>
      </c>
      <c r="I370" s="107">
        <v>1301.03</v>
      </c>
      <c r="J370" s="107">
        <v>2660.01</v>
      </c>
      <c r="K370" s="107">
        <v>2177.0300000000002</v>
      </c>
      <c r="L370" s="107">
        <v>1725.32</v>
      </c>
      <c r="M370" s="107">
        <v>2110.9</v>
      </c>
      <c r="N370" s="107">
        <v>32371.21</v>
      </c>
    </row>
    <row r="371" spans="1:14">
      <c r="A371" s="64" t="s">
        <v>321</v>
      </c>
      <c r="B371" s="107">
        <v>1436.94</v>
      </c>
      <c r="C371" s="22"/>
      <c r="D371" s="22"/>
      <c r="E371" s="22"/>
      <c r="F371" s="107">
        <v>290</v>
      </c>
      <c r="G371" s="22"/>
      <c r="H371" s="107">
        <v>1200</v>
      </c>
      <c r="I371" s="22"/>
      <c r="J371" s="22"/>
      <c r="K371" s="22"/>
      <c r="L371" s="107">
        <v>400</v>
      </c>
      <c r="M371" s="22"/>
      <c r="N371" s="107">
        <v>3326.94</v>
      </c>
    </row>
    <row r="372" spans="1:14">
      <c r="A372" s="64" t="s">
        <v>254</v>
      </c>
      <c r="B372" s="111">
        <v>1027.5999999999999</v>
      </c>
      <c r="C372" s="111">
        <v>70757.759999999995</v>
      </c>
      <c r="D372" s="111">
        <v>1150.0899999999999</v>
      </c>
      <c r="E372" s="111">
        <v>13551.16</v>
      </c>
      <c r="F372" s="111">
        <v>25610.69</v>
      </c>
      <c r="G372" s="111">
        <v>3735.66</v>
      </c>
      <c r="H372" s="111">
        <v>2498.6799999999998</v>
      </c>
      <c r="I372" s="111">
        <v>16864.66</v>
      </c>
      <c r="J372" s="111">
        <v>59151.67</v>
      </c>
      <c r="K372" s="111">
        <v>7902.64</v>
      </c>
      <c r="L372" s="111">
        <v>-16398.8</v>
      </c>
      <c r="M372" s="111">
        <v>12114.53</v>
      </c>
      <c r="N372" s="111">
        <v>197966.34</v>
      </c>
    </row>
    <row r="373" spans="1:14">
      <c r="A373" s="64" t="s">
        <v>255</v>
      </c>
      <c r="B373" s="107">
        <f t="shared" ref="B373:M373" si="69">SUM(B366:B372)</f>
        <v>1435080.51</v>
      </c>
      <c r="C373" s="107">
        <f t="shared" si="69"/>
        <v>1533655.4200000002</v>
      </c>
      <c r="D373" s="107">
        <f t="shared" si="69"/>
        <v>1463787.9400000002</v>
      </c>
      <c r="E373" s="107">
        <f t="shared" si="69"/>
        <v>1476243.08</v>
      </c>
      <c r="F373" s="107">
        <f t="shared" si="69"/>
        <v>1360893.38</v>
      </c>
      <c r="G373" s="107">
        <f t="shared" si="69"/>
        <v>1465035.17</v>
      </c>
      <c r="H373" s="107">
        <f t="shared" si="69"/>
        <v>1463344.18</v>
      </c>
      <c r="I373" s="107">
        <f t="shared" si="69"/>
        <v>1477543.75</v>
      </c>
      <c r="J373" s="107">
        <f t="shared" si="69"/>
        <v>1521189.74</v>
      </c>
      <c r="K373" s="107">
        <f t="shared" si="69"/>
        <v>1461399.73</v>
      </c>
      <c r="L373" s="107">
        <f t="shared" si="69"/>
        <v>-343537.36</v>
      </c>
      <c r="M373" s="107">
        <f t="shared" si="69"/>
        <v>1271635.9099999999</v>
      </c>
      <c r="N373" s="107">
        <v>15586271.449999999</v>
      </c>
    </row>
    <row r="374" spans="1:14">
      <c r="A374" s="64"/>
      <c r="B374" s="22"/>
      <c r="C374" s="22"/>
      <c r="D374" s="22"/>
      <c r="E374" s="22"/>
      <c r="F374" s="22"/>
      <c r="G374" s="22"/>
      <c r="H374" s="22"/>
      <c r="I374" s="22"/>
      <c r="J374" s="22"/>
      <c r="K374" s="22"/>
      <c r="L374" s="22"/>
      <c r="M374" s="22"/>
      <c r="N374" s="22"/>
    </row>
    <row r="375" spans="1:14">
      <c r="A375" s="64" t="s">
        <v>256</v>
      </c>
      <c r="B375" s="22"/>
      <c r="C375" s="22"/>
      <c r="D375" s="22"/>
      <c r="E375" s="22"/>
      <c r="F375" s="22"/>
      <c r="G375" s="22"/>
      <c r="H375" s="22"/>
      <c r="I375" s="22"/>
      <c r="J375" s="22"/>
      <c r="K375" s="22"/>
      <c r="L375" s="22"/>
      <c r="M375" s="22"/>
      <c r="N375" s="22"/>
    </row>
    <row r="376" spans="1:14">
      <c r="A376" s="64" t="s">
        <v>257</v>
      </c>
      <c r="B376" s="111">
        <v>583.07000000000005</v>
      </c>
      <c r="C376" s="111">
        <v>3877.99</v>
      </c>
      <c r="D376" s="111">
        <v>319.85000000000002</v>
      </c>
      <c r="E376" s="111">
        <v>1620.34</v>
      </c>
      <c r="F376" s="111">
        <v>-408849.09</v>
      </c>
      <c r="G376" s="113"/>
      <c r="H376" s="111">
        <v>-6633.78</v>
      </c>
      <c r="I376" s="113"/>
      <c r="J376" s="111">
        <v>10005</v>
      </c>
      <c r="K376" s="113"/>
      <c r="L376" s="113"/>
      <c r="M376" s="111">
        <v>3554.08</v>
      </c>
      <c r="N376" s="111">
        <v>-395522.54</v>
      </c>
    </row>
    <row r="377" spans="1:14">
      <c r="A377" s="64" t="s">
        <v>258</v>
      </c>
      <c r="B377" s="107">
        <f>SUM(B374:B376)</f>
        <v>583.07000000000005</v>
      </c>
      <c r="C377" s="107">
        <f>SUM(C374:C376)</f>
        <v>3877.99</v>
      </c>
      <c r="D377" s="107">
        <f>SUM(D374:D376)</f>
        <v>319.85000000000002</v>
      </c>
      <c r="E377" s="107">
        <f>SUM(E374:E376)</f>
        <v>1620.34</v>
      </c>
      <c r="F377" s="107">
        <f>SUM(F374:F376)</f>
        <v>-408849.09</v>
      </c>
      <c r="G377" s="107"/>
      <c r="H377" s="107">
        <f>SUM(H374:H376)</f>
        <v>-6633.78</v>
      </c>
      <c r="I377" s="107"/>
      <c r="J377" s="107">
        <f>SUM(J374:J376)</f>
        <v>10005</v>
      </c>
      <c r="K377" s="107"/>
      <c r="L377" s="107"/>
      <c r="M377" s="107">
        <f>SUM(M374:M376)</f>
        <v>3554.08</v>
      </c>
      <c r="N377" s="107">
        <v>-395522.54</v>
      </c>
    </row>
    <row r="378" spans="1:14">
      <c r="A378" s="64"/>
      <c r="B378" s="22"/>
      <c r="C378" s="22"/>
      <c r="D378" s="22"/>
      <c r="E378" s="22"/>
      <c r="F378" s="22"/>
      <c r="G378" s="22"/>
      <c r="H378" s="22"/>
      <c r="I378" s="22"/>
      <c r="J378" s="22"/>
      <c r="K378" s="22"/>
      <c r="L378" s="22"/>
      <c r="M378" s="22"/>
      <c r="N378" s="22"/>
    </row>
    <row r="379" spans="1:14" ht="15.75" thickBot="1">
      <c r="A379" s="64" t="s">
        <v>62</v>
      </c>
      <c r="B379" s="112">
        <f t="shared" ref="B379:M379" si="70">SUM(B219:B378)-B243-B251-B263-B279-B305-B322-B332-B342-B347-B356-B365-B373-B377</f>
        <v>10258517.680000002</v>
      </c>
      <c r="C379" s="112">
        <f t="shared" si="70"/>
        <v>10135943.589999991</v>
      </c>
      <c r="D379" s="112">
        <f t="shared" si="70"/>
        <v>10076461.780000009</v>
      </c>
      <c r="E379" s="112">
        <f t="shared" si="70"/>
        <v>9667863.1999999974</v>
      </c>
      <c r="F379" s="112">
        <f t="shared" si="70"/>
        <v>221280.94999999431</v>
      </c>
      <c r="G379" s="112">
        <f t="shared" si="70"/>
        <v>9895097.689999992</v>
      </c>
      <c r="H379" s="112">
        <f t="shared" si="70"/>
        <v>9977878.879999999</v>
      </c>
      <c r="I379" s="112">
        <f t="shared" si="70"/>
        <v>10488123.709999997</v>
      </c>
      <c r="J379" s="112">
        <f t="shared" si="70"/>
        <v>9917461.160000002</v>
      </c>
      <c r="K379" s="112">
        <f t="shared" si="70"/>
        <v>9775512.3599999975</v>
      </c>
      <c r="L379" s="112">
        <f t="shared" si="70"/>
        <v>-2172700.6900000004</v>
      </c>
      <c r="M379" s="112">
        <f t="shared" si="70"/>
        <v>8696650.7499999963</v>
      </c>
      <c r="N379" s="112">
        <v>96938091.060000002</v>
      </c>
    </row>
    <row r="380" spans="1:14" ht="15.75" thickTop="1">
      <c r="A380" s="64"/>
      <c r="B380" s="22"/>
      <c r="C380" s="22"/>
      <c r="D380" s="22"/>
      <c r="E380" s="22"/>
      <c r="F380" s="22"/>
      <c r="G380" s="22"/>
      <c r="H380" s="22"/>
      <c r="I380" s="22"/>
      <c r="J380" s="22"/>
      <c r="K380" s="22"/>
      <c r="L380" s="22"/>
      <c r="M380" s="22"/>
      <c r="N380" s="22"/>
    </row>
    <row r="381" spans="1:14" ht="15.75" thickBot="1">
      <c r="A381" s="64" t="s">
        <v>259</v>
      </c>
      <c r="B381" s="112">
        <f t="shared" ref="B381:M381" si="71">+B216-B379</f>
        <v>-506202.54000001401</v>
      </c>
      <c r="C381" s="112">
        <f t="shared" si="71"/>
        <v>-177940.63999998011</v>
      </c>
      <c r="D381" s="112">
        <f t="shared" si="71"/>
        <v>9982.2999999821186</v>
      </c>
      <c r="E381" s="112">
        <f t="shared" si="71"/>
        <v>-46006.600000020117</v>
      </c>
      <c r="F381" s="112">
        <f t="shared" si="71"/>
        <v>2604926.4600000139</v>
      </c>
      <c r="G381" s="112">
        <f t="shared" si="71"/>
        <v>773604.74000002258</v>
      </c>
      <c r="H381" s="112">
        <f t="shared" si="71"/>
        <v>173847.84999999776</v>
      </c>
      <c r="I381" s="112">
        <f t="shared" si="71"/>
        <v>-76186.929999995977</v>
      </c>
      <c r="J381" s="112">
        <f t="shared" si="71"/>
        <v>-57309.499999970198</v>
      </c>
      <c r="K381" s="112">
        <f t="shared" si="71"/>
        <v>492289.63999999687</v>
      </c>
      <c r="L381" s="112">
        <f t="shared" si="71"/>
        <v>799863.2900000005</v>
      </c>
      <c r="M381" s="112">
        <f t="shared" si="71"/>
        <v>445483.03000000119</v>
      </c>
      <c r="N381" s="112">
        <v>4436351.0999999996</v>
      </c>
    </row>
    <row r="382" spans="1:14" ht="15.75" thickTop="1">
      <c r="A382" s="64"/>
      <c r="B382" s="22"/>
      <c r="C382" s="22"/>
      <c r="D382" s="22"/>
      <c r="E382" s="22"/>
      <c r="F382" s="22"/>
      <c r="G382" s="22"/>
      <c r="H382" s="22"/>
      <c r="I382" s="22"/>
      <c r="J382" s="22"/>
      <c r="K382" s="22"/>
      <c r="L382" s="22"/>
      <c r="M382" s="22"/>
      <c r="N382" s="22"/>
    </row>
    <row r="383" spans="1:14">
      <c r="A383" s="64" t="s">
        <v>351</v>
      </c>
      <c r="B383" s="107">
        <v>196898.38</v>
      </c>
      <c r="C383" s="107">
        <v>243342.8</v>
      </c>
      <c r="D383" s="107">
        <v>127462.43</v>
      </c>
      <c r="E383" s="107">
        <v>123840.06</v>
      </c>
      <c r="F383" s="107">
        <v>2159127.63</v>
      </c>
      <c r="G383" s="107">
        <v>319549.14</v>
      </c>
      <c r="H383" s="107">
        <v>460015.15</v>
      </c>
      <c r="I383" s="107">
        <v>455421.19</v>
      </c>
      <c r="J383" s="107">
        <v>452584.68</v>
      </c>
      <c r="K383" s="107">
        <v>476986.01</v>
      </c>
      <c r="L383" s="107">
        <v>-816559.5</v>
      </c>
      <c r="M383" s="107">
        <v>82025.05</v>
      </c>
      <c r="N383" s="107">
        <v>4280693.0199999996</v>
      </c>
    </row>
    <row r="384" spans="1:14">
      <c r="A384" s="64" t="s">
        <v>418</v>
      </c>
      <c r="B384" s="22"/>
      <c r="C384" s="22"/>
      <c r="D384" s="22"/>
      <c r="E384" s="22"/>
      <c r="F384" s="22"/>
      <c r="G384" s="22"/>
      <c r="H384" s="22"/>
      <c r="I384" s="22"/>
      <c r="J384" s="22"/>
      <c r="K384" s="22"/>
      <c r="L384" s="107">
        <v>1710345.82</v>
      </c>
      <c r="M384" s="107">
        <v>224086.31</v>
      </c>
      <c r="N384" s="107">
        <v>1934432.13</v>
      </c>
    </row>
    <row r="385" spans="1:14">
      <c r="A385" s="64" t="s">
        <v>364</v>
      </c>
      <c r="B385" s="113"/>
      <c r="C385" s="113"/>
      <c r="D385" s="113"/>
      <c r="E385" s="113"/>
      <c r="F385" s="111">
        <v>-167144</v>
      </c>
      <c r="G385" s="113"/>
      <c r="H385" s="113"/>
      <c r="I385" s="113"/>
      <c r="J385" s="113"/>
      <c r="K385" s="113"/>
      <c r="L385" s="113"/>
      <c r="M385" s="113"/>
      <c r="N385" s="111">
        <v>-167144</v>
      </c>
    </row>
    <row r="386" spans="1:14">
      <c r="A386" s="64" t="s">
        <v>64</v>
      </c>
      <c r="B386" s="107">
        <f t="shared" ref="B386:M386" si="72">SUM(B382:B385)</f>
        <v>196898.38</v>
      </c>
      <c r="C386" s="107">
        <f t="shared" si="72"/>
        <v>243342.8</v>
      </c>
      <c r="D386" s="107">
        <f t="shared" si="72"/>
        <v>127462.43</v>
      </c>
      <c r="E386" s="107">
        <f t="shared" si="72"/>
        <v>123840.06</v>
      </c>
      <c r="F386" s="107">
        <f t="shared" si="72"/>
        <v>1991983.63</v>
      </c>
      <c r="G386" s="107">
        <f t="shared" si="72"/>
        <v>319549.14</v>
      </c>
      <c r="H386" s="107">
        <f t="shared" si="72"/>
        <v>460015.15</v>
      </c>
      <c r="I386" s="107">
        <f t="shared" si="72"/>
        <v>455421.19</v>
      </c>
      <c r="J386" s="107">
        <f t="shared" si="72"/>
        <v>452584.68</v>
      </c>
      <c r="K386" s="107">
        <f t="shared" si="72"/>
        <v>476986.01</v>
      </c>
      <c r="L386" s="107">
        <f t="shared" si="72"/>
        <v>893786.32000000007</v>
      </c>
      <c r="M386" s="107">
        <f t="shared" si="72"/>
        <v>306111.35999999999</v>
      </c>
      <c r="N386" s="107">
        <v>6047981.1500000004</v>
      </c>
    </row>
    <row r="387" spans="1:14">
      <c r="A387" s="64"/>
      <c r="B387" s="22"/>
      <c r="C387" s="22"/>
      <c r="D387" s="22"/>
      <c r="E387" s="22"/>
      <c r="F387" s="22"/>
      <c r="G387" s="22"/>
      <c r="H387" s="22"/>
      <c r="I387" s="22"/>
      <c r="J387" s="22"/>
      <c r="K387" s="22"/>
      <c r="L387" s="22"/>
      <c r="M387" s="22"/>
      <c r="N387" s="22"/>
    </row>
    <row r="388" spans="1:14" ht="15.75" thickBot="1">
      <c r="A388" s="64" t="s">
        <v>22</v>
      </c>
      <c r="B388" s="112">
        <f t="shared" ref="B388:M388" si="73">+B381-B386</f>
        <v>-703100.92000001401</v>
      </c>
      <c r="C388" s="112">
        <f t="shared" si="73"/>
        <v>-421283.4399999801</v>
      </c>
      <c r="D388" s="112">
        <f t="shared" si="73"/>
        <v>-117480.13000001787</v>
      </c>
      <c r="E388" s="112">
        <f t="shared" si="73"/>
        <v>-169846.66000002011</v>
      </c>
      <c r="F388" s="112">
        <f t="shared" si="73"/>
        <v>612942.83000001404</v>
      </c>
      <c r="G388" s="112">
        <f t="shared" si="73"/>
        <v>454055.60000002256</v>
      </c>
      <c r="H388" s="112">
        <f t="shared" si="73"/>
        <v>-286167.30000000226</v>
      </c>
      <c r="I388" s="112">
        <f t="shared" si="73"/>
        <v>-531608.11999999592</v>
      </c>
      <c r="J388" s="112">
        <f t="shared" si="73"/>
        <v>-509894.17999997019</v>
      </c>
      <c r="K388" s="112">
        <f t="shared" si="73"/>
        <v>15303.629999996861</v>
      </c>
      <c r="L388" s="112">
        <f t="shared" si="73"/>
        <v>-93923.029999999562</v>
      </c>
      <c r="M388" s="112">
        <f t="shared" si="73"/>
        <v>139371.67000000121</v>
      </c>
      <c r="N388" s="112">
        <v>-1611630.05</v>
      </c>
    </row>
    <row r="389" spans="1:14" ht="15.75" thickTop="1">
      <c r="A389" s="64"/>
      <c r="B389" s="22"/>
      <c r="C389" s="22"/>
      <c r="D389" s="22"/>
      <c r="E389" s="22"/>
      <c r="F389" s="22"/>
      <c r="G389" s="22"/>
      <c r="H389" s="22"/>
      <c r="I389" s="22"/>
      <c r="J389" s="22"/>
      <c r="K389" s="22"/>
      <c r="L389" s="22"/>
      <c r="M389" s="22"/>
      <c r="N389" s="22"/>
    </row>
    <row r="390" spans="1:14">
      <c r="A390" s="64"/>
      <c r="B390" s="22"/>
      <c r="C390" s="22"/>
      <c r="D390" s="22"/>
      <c r="E390" s="22"/>
      <c r="F390" s="22"/>
      <c r="G390" s="22"/>
      <c r="H390" s="22"/>
      <c r="I390" s="22"/>
      <c r="J390" s="22"/>
      <c r="K390" s="22"/>
      <c r="L390" s="22"/>
      <c r="M390" s="22"/>
      <c r="N390" s="22"/>
    </row>
    <row r="391" spans="1:14">
      <c r="A391" s="64" t="s">
        <v>260</v>
      </c>
      <c r="B391" s="22"/>
      <c r="C391" s="22"/>
      <c r="D391" s="22"/>
      <c r="E391" s="22"/>
      <c r="F391" s="22"/>
      <c r="G391" s="22"/>
      <c r="H391" s="22"/>
      <c r="I391" s="22"/>
      <c r="J391" s="22"/>
      <c r="K391" s="22"/>
      <c r="L391" s="22"/>
      <c r="M391" s="22"/>
      <c r="N391" s="22"/>
    </row>
    <row r="392" spans="1:14">
      <c r="A392" s="64"/>
      <c r="B392" s="22"/>
      <c r="C392" s="22"/>
      <c r="D392" s="22"/>
      <c r="E392" s="22"/>
      <c r="F392" s="22"/>
      <c r="G392" s="22"/>
      <c r="H392" s="22"/>
      <c r="I392" s="22"/>
      <c r="J392" s="22"/>
      <c r="K392" s="22"/>
      <c r="L392" s="22"/>
      <c r="M392" s="22"/>
      <c r="N392" s="22"/>
    </row>
    <row r="393" spans="1:14">
      <c r="A393" s="64" t="s">
        <v>19</v>
      </c>
      <c r="B393" s="22"/>
      <c r="C393" s="22"/>
      <c r="D393" s="22"/>
      <c r="E393" s="22"/>
      <c r="F393" s="22"/>
      <c r="G393" s="22"/>
      <c r="H393" s="22"/>
      <c r="I393" s="22"/>
      <c r="J393" s="22"/>
      <c r="K393" s="22"/>
      <c r="L393" s="22"/>
      <c r="M393" s="22"/>
      <c r="N393" s="22"/>
    </row>
    <row r="394" spans="1:14">
      <c r="A394" s="64" t="s">
        <v>261</v>
      </c>
      <c r="B394" s="107">
        <v>-168</v>
      </c>
      <c r="C394" s="107">
        <v>-514</v>
      </c>
      <c r="D394" s="107">
        <v>361</v>
      </c>
      <c r="E394" s="107">
        <v>-287</v>
      </c>
      <c r="F394" s="107">
        <v>-92</v>
      </c>
      <c r="G394" s="107">
        <v>131</v>
      </c>
      <c r="H394" s="107">
        <v>-474</v>
      </c>
      <c r="I394" s="107">
        <v>4</v>
      </c>
      <c r="J394" s="107">
        <v>609</v>
      </c>
      <c r="K394" s="107">
        <v>-173</v>
      </c>
      <c r="L394" s="107">
        <v>-639</v>
      </c>
      <c r="M394" s="107">
        <v>263</v>
      </c>
      <c r="N394" s="107">
        <v>-979</v>
      </c>
    </row>
    <row r="395" spans="1:14">
      <c r="A395" s="64" t="s">
        <v>66</v>
      </c>
      <c r="B395" s="111">
        <v>18517</v>
      </c>
      <c r="C395" s="111">
        <v>18081</v>
      </c>
      <c r="D395" s="111">
        <v>19011</v>
      </c>
      <c r="E395" s="111">
        <v>18448</v>
      </c>
      <c r="F395" s="111">
        <v>18815</v>
      </c>
      <c r="G395" s="111">
        <v>18029</v>
      </c>
      <c r="H395" s="111">
        <v>16624</v>
      </c>
      <c r="I395" s="111">
        <v>18588</v>
      </c>
      <c r="J395" s="111">
        <v>18354</v>
      </c>
      <c r="K395" s="111">
        <v>18678</v>
      </c>
      <c r="L395" s="111">
        <v>3333</v>
      </c>
      <c r="M395" s="111">
        <v>6791</v>
      </c>
      <c r="N395" s="111">
        <v>193269</v>
      </c>
    </row>
    <row r="396" spans="1:14">
      <c r="A396" s="64" t="s">
        <v>85</v>
      </c>
      <c r="B396" s="107">
        <f t="shared" ref="B396:M396" si="74">SUM(B393:B395)</f>
        <v>18349</v>
      </c>
      <c r="C396" s="107">
        <f t="shared" si="74"/>
        <v>17567</v>
      </c>
      <c r="D396" s="107">
        <f t="shared" si="74"/>
        <v>19372</v>
      </c>
      <c r="E396" s="107">
        <f t="shared" si="74"/>
        <v>18161</v>
      </c>
      <c r="F396" s="107">
        <f t="shared" si="74"/>
        <v>18723</v>
      </c>
      <c r="G396" s="107">
        <f t="shared" si="74"/>
        <v>18160</v>
      </c>
      <c r="H396" s="107">
        <f t="shared" si="74"/>
        <v>16150</v>
      </c>
      <c r="I396" s="107">
        <f t="shared" si="74"/>
        <v>18592</v>
      </c>
      <c r="J396" s="107">
        <f t="shared" si="74"/>
        <v>18963</v>
      </c>
      <c r="K396" s="107">
        <f t="shared" si="74"/>
        <v>18505</v>
      </c>
      <c r="L396" s="107">
        <f t="shared" si="74"/>
        <v>2694</v>
      </c>
      <c r="M396" s="107">
        <f t="shared" si="74"/>
        <v>7054</v>
      </c>
      <c r="N396" s="107">
        <v>192290</v>
      </c>
    </row>
    <row r="397" spans="1:14">
      <c r="A397" s="64"/>
      <c r="B397" s="22"/>
      <c r="C397" s="22"/>
      <c r="D397" s="22"/>
      <c r="E397" s="22"/>
      <c r="F397" s="22"/>
      <c r="G397" s="22"/>
      <c r="H397" s="22"/>
      <c r="I397" s="22"/>
      <c r="J397" s="22"/>
      <c r="K397" s="22"/>
      <c r="L397" s="22"/>
      <c r="M397" s="22"/>
      <c r="N397" s="22"/>
    </row>
    <row r="398" spans="1:14">
      <c r="A398" s="64" t="s">
        <v>20</v>
      </c>
      <c r="B398" s="22"/>
      <c r="C398" s="22"/>
      <c r="D398" s="22"/>
      <c r="E398" s="22"/>
      <c r="F398" s="22"/>
      <c r="G398" s="22"/>
      <c r="H398" s="22"/>
      <c r="I398" s="22"/>
      <c r="J398" s="22"/>
      <c r="K398" s="22"/>
      <c r="L398" s="22"/>
      <c r="M398" s="22"/>
      <c r="N398" s="22"/>
    </row>
    <row r="399" spans="1:14">
      <c r="A399" s="64" t="s">
        <v>261</v>
      </c>
      <c r="B399" s="107">
        <v>-19</v>
      </c>
      <c r="C399" s="107">
        <v>174</v>
      </c>
      <c r="D399" s="107">
        <v>-115</v>
      </c>
      <c r="E399" s="107">
        <v>122</v>
      </c>
      <c r="F399" s="107">
        <v>74</v>
      </c>
      <c r="G399" s="107">
        <v>48</v>
      </c>
      <c r="H399" s="107">
        <v>-42</v>
      </c>
      <c r="I399" s="107">
        <v>111</v>
      </c>
      <c r="J399" s="107">
        <v>7</v>
      </c>
      <c r="K399" s="107">
        <v>-23</v>
      </c>
      <c r="L399" s="107">
        <v>111</v>
      </c>
      <c r="M399" s="107">
        <v>-144</v>
      </c>
      <c r="N399" s="107">
        <v>304</v>
      </c>
    </row>
    <row r="400" spans="1:14">
      <c r="A400" s="64" t="s">
        <v>66</v>
      </c>
      <c r="B400" s="111">
        <v>1338</v>
      </c>
      <c r="C400" s="111">
        <v>1253</v>
      </c>
      <c r="D400" s="111">
        <v>1160</v>
      </c>
      <c r="E400" s="111">
        <v>1219</v>
      </c>
      <c r="F400" s="111">
        <v>1413</v>
      </c>
      <c r="G400" s="111">
        <v>1257</v>
      </c>
      <c r="H400" s="111">
        <v>1208</v>
      </c>
      <c r="I400" s="111">
        <v>1739</v>
      </c>
      <c r="J400" s="111">
        <v>1858</v>
      </c>
      <c r="K400" s="111">
        <v>2032</v>
      </c>
      <c r="L400" s="111">
        <v>-194</v>
      </c>
      <c r="M400" s="111">
        <v>846</v>
      </c>
      <c r="N400" s="111">
        <v>15129</v>
      </c>
    </row>
    <row r="401" spans="1:14">
      <c r="A401" s="64" t="s">
        <v>262</v>
      </c>
      <c r="B401" s="107">
        <f t="shared" ref="B401:M401" si="75">SUM(B397:B400)</f>
        <v>1319</v>
      </c>
      <c r="C401" s="107">
        <f t="shared" si="75"/>
        <v>1427</v>
      </c>
      <c r="D401" s="107">
        <f t="shared" si="75"/>
        <v>1045</v>
      </c>
      <c r="E401" s="107">
        <f t="shared" si="75"/>
        <v>1341</v>
      </c>
      <c r="F401" s="107">
        <f t="shared" si="75"/>
        <v>1487</v>
      </c>
      <c r="G401" s="107">
        <f t="shared" si="75"/>
        <v>1305</v>
      </c>
      <c r="H401" s="107">
        <f t="shared" si="75"/>
        <v>1166</v>
      </c>
      <c r="I401" s="107">
        <f t="shared" si="75"/>
        <v>1850</v>
      </c>
      <c r="J401" s="107">
        <f t="shared" si="75"/>
        <v>1865</v>
      </c>
      <c r="K401" s="107">
        <f t="shared" si="75"/>
        <v>2009</v>
      </c>
      <c r="L401" s="107">
        <f t="shared" si="75"/>
        <v>-83</v>
      </c>
      <c r="M401" s="107">
        <f t="shared" si="75"/>
        <v>702</v>
      </c>
      <c r="N401" s="107">
        <v>15433</v>
      </c>
    </row>
    <row r="402" spans="1:14">
      <c r="A402" s="64"/>
      <c r="B402" s="22"/>
      <c r="C402" s="22"/>
      <c r="D402" s="22"/>
      <c r="E402" s="22"/>
      <c r="F402" s="22"/>
      <c r="G402" s="22"/>
      <c r="H402" s="22"/>
      <c r="I402" s="22"/>
      <c r="J402" s="22"/>
      <c r="K402" s="22"/>
      <c r="L402" s="22"/>
      <c r="M402" s="22"/>
      <c r="N402" s="22"/>
    </row>
    <row r="403" spans="1:14">
      <c r="A403" s="64" t="s">
        <v>263</v>
      </c>
      <c r="B403" s="22"/>
      <c r="C403" s="22"/>
      <c r="D403" s="22"/>
      <c r="E403" s="22"/>
      <c r="F403" s="22"/>
      <c r="G403" s="22"/>
      <c r="H403" s="22"/>
      <c r="I403" s="22"/>
      <c r="J403" s="22"/>
      <c r="K403" s="22"/>
      <c r="L403" s="22"/>
      <c r="M403" s="22"/>
      <c r="N403" s="22"/>
    </row>
    <row r="404" spans="1:14">
      <c r="A404" s="64" t="s">
        <v>261</v>
      </c>
      <c r="B404" s="107">
        <v>-8</v>
      </c>
      <c r="C404" s="107">
        <v>-76</v>
      </c>
      <c r="D404" s="107">
        <v>-113</v>
      </c>
      <c r="E404" s="107">
        <v>-67</v>
      </c>
      <c r="F404" s="107">
        <v>33</v>
      </c>
      <c r="G404" s="107">
        <v>-19</v>
      </c>
      <c r="H404" s="107">
        <v>9</v>
      </c>
      <c r="I404" s="107">
        <v>307</v>
      </c>
      <c r="J404" s="107">
        <v>-57</v>
      </c>
      <c r="K404" s="107">
        <v>-358</v>
      </c>
      <c r="L404" s="107">
        <v>-19</v>
      </c>
      <c r="M404" s="107">
        <v>22</v>
      </c>
      <c r="N404" s="107">
        <v>-346</v>
      </c>
    </row>
    <row r="405" spans="1:14">
      <c r="A405" s="64" t="s">
        <v>66</v>
      </c>
      <c r="B405" s="111">
        <v>3761</v>
      </c>
      <c r="C405" s="111">
        <v>3565</v>
      </c>
      <c r="D405" s="111">
        <v>3714</v>
      </c>
      <c r="E405" s="111">
        <v>3067</v>
      </c>
      <c r="F405" s="111">
        <v>3554</v>
      </c>
      <c r="G405" s="111">
        <v>4537</v>
      </c>
      <c r="H405" s="111">
        <v>4076</v>
      </c>
      <c r="I405" s="111">
        <v>3507</v>
      </c>
      <c r="J405" s="111">
        <v>3427</v>
      </c>
      <c r="K405" s="111">
        <v>3212</v>
      </c>
      <c r="L405" s="111">
        <v>122</v>
      </c>
      <c r="M405" s="111">
        <v>2574</v>
      </c>
      <c r="N405" s="111">
        <v>39116</v>
      </c>
    </row>
    <row r="406" spans="1:14">
      <c r="A406" s="64" t="s">
        <v>264</v>
      </c>
      <c r="B406" s="107">
        <f t="shared" ref="B406:M406" si="76">SUM(B402:B405)</f>
        <v>3753</v>
      </c>
      <c r="C406" s="107">
        <f t="shared" si="76"/>
        <v>3489</v>
      </c>
      <c r="D406" s="107">
        <f t="shared" si="76"/>
        <v>3601</v>
      </c>
      <c r="E406" s="107">
        <f t="shared" si="76"/>
        <v>3000</v>
      </c>
      <c r="F406" s="107">
        <f t="shared" si="76"/>
        <v>3587</v>
      </c>
      <c r="G406" s="107">
        <f t="shared" si="76"/>
        <v>4518</v>
      </c>
      <c r="H406" s="107">
        <f t="shared" si="76"/>
        <v>4085</v>
      </c>
      <c r="I406" s="107">
        <f t="shared" si="76"/>
        <v>3814</v>
      </c>
      <c r="J406" s="107">
        <f t="shared" si="76"/>
        <v>3370</v>
      </c>
      <c r="K406" s="107">
        <f t="shared" si="76"/>
        <v>2854</v>
      </c>
      <c r="L406" s="107">
        <f t="shared" si="76"/>
        <v>103</v>
      </c>
      <c r="M406" s="107">
        <f t="shared" si="76"/>
        <v>2596</v>
      </c>
      <c r="N406" s="107">
        <v>38770</v>
      </c>
    </row>
    <row r="407" spans="1:14">
      <c r="A407" s="64"/>
      <c r="B407" s="22"/>
      <c r="C407" s="22"/>
      <c r="D407" s="22"/>
      <c r="E407" s="22"/>
      <c r="F407" s="22"/>
      <c r="G407" s="22"/>
      <c r="H407" s="22"/>
      <c r="I407" s="22"/>
      <c r="J407" s="22"/>
      <c r="K407" s="22"/>
      <c r="L407" s="22"/>
      <c r="M407" s="22"/>
      <c r="N407" s="22"/>
    </row>
    <row r="408" spans="1:14">
      <c r="A408" s="64" t="s">
        <v>265</v>
      </c>
      <c r="B408" s="113"/>
      <c r="C408" s="113"/>
      <c r="D408" s="113"/>
      <c r="E408" s="113"/>
      <c r="F408" s="113"/>
      <c r="G408" s="113"/>
      <c r="H408" s="113"/>
      <c r="I408" s="113"/>
      <c r="J408" s="113"/>
      <c r="K408" s="113"/>
      <c r="L408" s="113"/>
      <c r="M408" s="113"/>
      <c r="N408" s="113"/>
    </row>
    <row r="409" spans="1:14">
      <c r="A409" s="64" t="s">
        <v>319</v>
      </c>
      <c r="B409" s="107"/>
      <c r="C409" s="107"/>
      <c r="D409" s="107"/>
      <c r="E409" s="107"/>
      <c r="F409" s="107"/>
      <c r="G409" s="107"/>
      <c r="H409" s="107"/>
      <c r="I409" s="107"/>
      <c r="J409" s="107"/>
      <c r="K409" s="107"/>
      <c r="L409" s="107"/>
      <c r="M409" s="107"/>
      <c r="N409" s="107"/>
    </row>
    <row r="410" spans="1:14">
      <c r="A410" s="64"/>
      <c r="B410" s="22"/>
      <c r="C410" s="22"/>
      <c r="D410" s="22"/>
      <c r="E410" s="22"/>
      <c r="F410" s="22"/>
      <c r="G410" s="22"/>
      <c r="H410" s="22"/>
      <c r="I410" s="22"/>
      <c r="J410" s="22"/>
      <c r="K410" s="22"/>
      <c r="L410" s="22"/>
      <c r="M410" s="22"/>
      <c r="N410" s="22"/>
    </row>
    <row r="411" spans="1:14">
      <c r="A411" s="64" t="s">
        <v>106</v>
      </c>
      <c r="B411" s="22"/>
      <c r="C411" s="22"/>
      <c r="D411" s="22"/>
      <c r="E411" s="22"/>
      <c r="F411" s="22"/>
      <c r="G411" s="22"/>
      <c r="H411" s="22"/>
      <c r="I411" s="22"/>
      <c r="J411" s="22"/>
      <c r="K411" s="22"/>
      <c r="L411" s="22"/>
      <c r="M411" s="22"/>
      <c r="N411" s="22"/>
    </row>
    <row r="412" spans="1:14">
      <c r="A412" s="64" t="s">
        <v>261</v>
      </c>
      <c r="B412" s="107">
        <v>-31</v>
      </c>
      <c r="C412" s="107">
        <v>42</v>
      </c>
      <c r="D412" s="107">
        <v>-51</v>
      </c>
      <c r="E412" s="107">
        <v>-15</v>
      </c>
      <c r="F412" s="107">
        <v>70</v>
      </c>
      <c r="G412" s="107">
        <v>17</v>
      </c>
      <c r="H412" s="107">
        <v>-32</v>
      </c>
      <c r="I412" s="107">
        <v>-406</v>
      </c>
      <c r="J412" s="107">
        <v>-69</v>
      </c>
      <c r="K412" s="107">
        <v>308</v>
      </c>
      <c r="L412" s="107">
        <v>11</v>
      </c>
      <c r="M412" s="107">
        <v>-7</v>
      </c>
      <c r="N412" s="107">
        <v>-163</v>
      </c>
    </row>
    <row r="413" spans="1:14">
      <c r="A413" s="64" t="s">
        <v>66</v>
      </c>
      <c r="B413" s="111">
        <v>4935</v>
      </c>
      <c r="C413" s="111">
        <v>4607</v>
      </c>
      <c r="D413" s="111">
        <v>4844</v>
      </c>
      <c r="E413" s="111">
        <v>4970</v>
      </c>
      <c r="F413" s="111">
        <v>4903</v>
      </c>
      <c r="G413" s="111">
        <v>5406</v>
      </c>
      <c r="H413" s="111">
        <v>5970</v>
      </c>
      <c r="I413" s="111">
        <v>5490</v>
      </c>
      <c r="J413" s="111">
        <v>4940</v>
      </c>
      <c r="K413" s="111">
        <v>4940</v>
      </c>
      <c r="L413" s="111">
        <v>1404</v>
      </c>
      <c r="M413" s="111">
        <v>3766</v>
      </c>
      <c r="N413" s="111">
        <v>56175</v>
      </c>
    </row>
    <row r="414" spans="1:14">
      <c r="A414" s="64" t="s">
        <v>116</v>
      </c>
      <c r="B414" s="107">
        <f t="shared" ref="B414:M414" si="77">SUM(B410:B413)</f>
        <v>4904</v>
      </c>
      <c r="C414" s="107">
        <f t="shared" si="77"/>
        <v>4649</v>
      </c>
      <c r="D414" s="107">
        <f t="shared" si="77"/>
        <v>4793</v>
      </c>
      <c r="E414" s="107">
        <f t="shared" si="77"/>
        <v>4955</v>
      </c>
      <c r="F414" s="107">
        <f t="shared" si="77"/>
        <v>4973</v>
      </c>
      <c r="G414" s="107">
        <f t="shared" si="77"/>
        <v>5423</v>
      </c>
      <c r="H414" s="107">
        <f t="shared" si="77"/>
        <v>5938</v>
      </c>
      <c r="I414" s="107">
        <f t="shared" si="77"/>
        <v>5084</v>
      </c>
      <c r="J414" s="107">
        <f t="shared" si="77"/>
        <v>4871</v>
      </c>
      <c r="K414" s="107">
        <f t="shared" si="77"/>
        <v>5248</v>
      </c>
      <c r="L414" s="107">
        <f t="shared" si="77"/>
        <v>1415</v>
      </c>
      <c r="M414" s="107">
        <f t="shared" si="77"/>
        <v>3759</v>
      </c>
      <c r="N414" s="107">
        <v>56012</v>
      </c>
    </row>
    <row r="415" spans="1:14">
      <c r="A415" s="64"/>
      <c r="B415" s="22"/>
      <c r="C415" s="22"/>
      <c r="D415" s="22"/>
      <c r="E415" s="22"/>
      <c r="F415" s="22"/>
      <c r="G415" s="22"/>
      <c r="H415" s="22"/>
      <c r="I415" s="22"/>
      <c r="J415" s="22"/>
      <c r="K415" s="22"/>
      <c r="L415" s="22"/>
      <c r="M415" s="22"/>
      <c r="N415" s="22"/>
    </row>
    <row r="416" spans="1:14">
      <c r="A416" s="64" t="s">
        <v>117</v>
      </c>
      <c r="B416" s="22"/>
      <c r="C416" s="22"/>
      <c r="D416" s="22"/>
      <c r="E416" s="22"/>
      <c r="F416" s="22"/>
      <c r="G416" s="22"/>
      <c r="H416" s="22"/>
      <c r="I416" s="22"/>
      <c r="J416" s="22"/>
      <c r="K416" s="22"/>
      <c r="L416" s="22"/>
      <c r="M416" s="22"/>
      <c r="N416" s="22"/>
    </row>
    <row r="417" spans="1:14">
      <c r="A417" s="64" t="s">
        <v>261</v>
      </c>
      <c r="B417" s="107">
        <v>221</v>
      </c>
      <c r="C417" s="107">
        <v>-816</v>
      </c>
      <c r="D417" s="107">
        <v>-32</v>
      </c>
      <c r="E417" s="107">
        <v>208</v>
      </c>
      <c r="F417" s="107">
        <v>38</v>
      </c>
      <c r="G417" s="107">
        <v>-238</v>
      </c>
      <c r="H417" s="107">
        <v>444</v>
      </c>
      <c r="I417" s="107">
        <v>-27</v>
      </c>
      <c r="J417" s="107">
        <v>-498</v>
      </c>
      <c r="K417" s="107">
        <v>241</v>
      </c>
      <c r="L417" s="107">
        <v>530</v>
      </c>
      <c r="M417" s="107">
        <v>-115</v>
      </c>
      <c r="N417" s="107">
        <v>-44</v>
      </c>
    </row>
    <row r="418" spans="1:14">
      <c r="A418" s="64" t="s">
        <v>66</v>
      </c>
      <c r="B418" s="111">
        <v>8664</v>
      </c>
      <c r="C418" s="111">
        <v>8376</v>
      </c>
      <c r="D418" s="111">
        <v>8425</v>
      </c>
      <c r="E418" s="111">
        <v>8881</v>
      </c>
      <c r="F418" s="111">
        <v>9210</v>
      </c>
      <c r="G418" s="111">
        <v>9006</v>
      </c>
      <c r="H418" s="111">
        <v>7988</v>
      </c>
      <c r="I418" s="111">
        <v>8930</v>
      </c>
      <c r="J418" s="111">
        <v>8791</v>
      </c>
      <c r="K418" s="111">
        <v>9651</v>
      </c>
      <c r="L418" s="111">
        <v>6991</v>
      </c>
      <c r="M418" s="111">
        <v>7055</v>
      </c>
      <c r="N418" s="111">
        <v>101968</v>
      </c>
    </row>
    <row r="419" spans="1:14">
      <c r="A419" s="64" t="s">
        <v>127</v>
      </c>
      <c r="B419" s="107">
        <f t="shared" ref="B419:M419" si="78">SUM(B415:B418)</f>
        <v>8885</v>
      </c>
      <c r="C419" s="107">
        <f t="shared" si="78"/>
        <v>7560</v>
      </c>
      <c r="D419" s="107">
        <f t="shared" si="78"/>
        <v>8393</v>
      </c>
      <c r="E419" s="107">
        <f t="shared" si="78"/>
        <v>9089</v>
      </c>
      <c r="F419" s="107">
        <f t="shared" si="78"/>
        <v>9248</v>
      </c>
      <c r="G419" s="107">
        <f t="shared" si="78"/>
        <v>8768</v>
      </c>
      <c r="H419" s="107">
        <f t="shared" si="78"/>
        <v>8432</v>
      </c>
      <c r="I419" s="107">
        <f t="shared" si="78"/>
        <v>8903</v>
      </c>
      <c r="J419" s="107">
        <f t="shared" si="78"/>
        <v>8293</v>
      </c>
      <c r="K419" s="107">
        <f t="shared" si="78"/>
        <v>9892</v>
      </c>
      <c r="L419" s="107">
        <f t="shared" si="78"/>
        <v>7521</v>
      </c>
      <c r="M419" s="107">
        <f t="shared" si="78"/>
        <v>6940</v>
      </c>
      <c r="N419" s="107">
        <v>101924</v>
      </c>
    </row>
    <row r="420" spans="1:14">
      <c r="A420" s="64"/>
      <c r="B420" s="22"/>
      <c r="C420" s="22"/>
      <c r="D420" s="22"/>
      <c r="E420" s="22"/>
      <c r="F420" s="22"/>
      <c r="G420" s="22"/>
      <c r="H420" s="22"/>
      <c r="I420" s="22"/>
      <c r="J420" s="22"/>
      <c r="K420" s="22"/>
      <c r="L420" s="22"/>
      <c r="M420" s="22"/>
      <c r="N420" s="22"/>
    </row>
    <row r="421" spans="1:14" ht="15.75" thickBot="1">
      <c r="A421" s="64" t="s">
        <v>266</v>
      </c>
      <c r="B421" s="112">
        <f t="shared" ref="B421:M421" si="79">SUM(B391:B420)-B396-B401-B406-B409-B414-B419</f>
        <v>37210</v>
      </c>
      <c r="C421" s="112">
        <f t="shared" si="79"/>
        <v>34692</v>
      </c>
      <c r="D421" s="112">
        <f t="shared" si="79"/>
        <v>37204</v>
      </c>
      <c r="E421" s="112">
        <f t="shared" si="79"/>
        <v>36546</v>
      </c>
      <c r="F421" s="112">
        <f t="shared" si="79"/>
        <v>38018</v>
      </c>
      <c r="G421" s="112">
        <f t="shared" si="79"/>
        <v>38174</v>
      </c>
      <c r="H421" s="112">
        <f t="shared" si="79"/>
        <v>35771</v>
      </c>
      <c r="I421" s="112">
        <f t="shared" si="79"/>
        <v>38243</v>
      </c>
      <c r="J421" s="112">
        <f t="shared" si="79"/>
        <v>37362</v>
      </c>
      <c r="K421" s="112">
        <f t="shared" si="79"/>
        <v>38508</v>
      </c>
      <c r="L421" s="112">
        <f t="shared" si="79"/>
        <v>11650</v>
      </c>
      <c r="M421" s="112">
        <f t="shared" si="79"/>
        <v>21051</v>
      </c>
      <c r="N421" s="112">
        <v>404429</v>
      </c>
    </row>
    <row r="422" spans="1:14" ht="15.75" thickTop="1">
      <c r="A422" s="64"/>
      <c r="B422" s="22"/>
      <c r="C422" s="22"/>
      <c r="D422" s="22"/>
      <c r="E422" s="22"/>
      <c r="F422" s="22"/>
      <c r="G422" s="22"/>
      <c r="H422" s="22"/>
      <c r="I422" s="22"/>
      <c r="J422" s="22"/>
      <c r="K422" s="22"/>
      <c r="L422" s="22"/>
      <c r="M422" s="22"/>
      <c r="N422" s="22"/>
    </row>
    <row r="423" spans="1:14" hidden="1">
      <c r="A423" s="64"/>
      <c r="B423" s="107">
        <v>703100.92</v>
      </c>
      <c r="C423" s="107">
        <v>421283.44</v>
      </c>
      <c r="D423" s="107">
        <v>117480.13</v>
      </c>
      <c r="E423" s="107">
        <v>169846.66</v>
      </c>
      <c r="F423" s="107">
        <v>-612962.04</v>
      </c>
      <c r="G423" s="107">
        <v>-454055.6</v>
      </c>
      <c r="H423" s="107">
        <v>286167.3</v>
      </c>
      <c r="I423" s="107">
        <v>531608.12</v>
      </c>
      <c r="J423" s="107">
        <v>509894.18</v>
      </c>
      <c r="K423" s="107">
        <v>-15303.63</v>
      </c>
      <c r="L423" s="107">
        <v>93923.03</v>
      </c>
      <c r="M423" s="107">
        <v>-139371.67000000001</v>
      </c>
      <c r="N423" s="107">
        <v>1611610.84</v>
      </c>
    </row>
    <row r="424" spans="1:14">
      <c r="A424" s="64" t="s">
        <v>356</v>
      </c>
      <c r="B424" s="107"/>
      <c r="C424" s="107"/>
      <c r="D424" s="107"/>
      <c r="E424" s="107"/>
      <c r="F424" s="107">
        <f>F423+F388</f>
        <v>-19.209999985992908</v>
      </c>
      <c r="G424" s="107"/>
      <c r="H424" s="107"/>
      <c r="I424" s="107"/>
      <c r="J424" s="107"/>
      <c r="K424" s="107"/>
      <c r="L424" s="107"/>
      <c r="M424" s="107"/>
      <c r="N424" s="107">
        <v>-19.21</v>
      </c>
    </row>
    <row r="425" spans="1:14">
      <c r="A425" s="64"/>
      <c r="B425" s="22"/>
      <c r="C425" s="22"/>
      <c r="D425" s="22"/>
      <c r="E425" s="22"/>
      <c r="F425" s="22"/>
      <c r="G425" s="22"/>
      <c r="H425" s="22"/>
      <c r="I425" s="22"/>
      <c r="J425" s="22"/>
      <c r="K425" s="22"/>
      <c r="L425" s="22"/>
      <c r="M425" s="22"/>
      <c r="N425" s="22"/>
    </row>
    <row r="426" spans="1:14" hidden="1">
      <c r="A426" s="64" t="s">
        <v>267</v>
      </c>
      <c r="B426" s="107">
        <f t="shared" ref="B426:M426" si="80">B395+B400+B405+B413+B418</f>
        <v>37215</v>
      </c>
      <c r="C426" s="107">
        <f t="shared" si="80"/>
        <v>35882</v>
      </c>
      <c r="D426" s="107">
        <f t="shared" si="80"/>
        <v>37154</v>
      </c>
      <c r="E426" s="107">
        <f t="shared" si="80"/>
        <v>36585</v>
      </c>
      <c r="F426" s="107">
        <f t="shared" si="80"/>
        <v>37895</v>
      </c>
      <c r="G426" s="107">
        <f t="shared" si="80"/>
        <v>38235</v>
      </c>
      <c r="H426" s="107">
        <f t="shared" si="80"/>
        <v>35866</v>
      </c>
      <c r="I426" s="107">
        <f t="shared" si="80"/>
        <v>38254</v>
      </c>
      <c r="J426" s="107">
        <f t="shared" si="80"/>
        <v>37370</v>
      </c>
      <c r="K426" s="107">
        <f t="shared" si="80"/>
        <v>38513</v>
      </c>
      <c r="L426" s="107">
        <f t="shared" si="80"/>
        <v>11656</v>
      </c>
      <c r="M426" s="107">
        <f t="shared" si="80"/>
        <v>21032</v>
      </c>
      <c r="N426" s="107">
        <v>405657</v>
      </c>
    </row>
    <row r="427" spans="1:14">
      <c r="A427" s="64"/>
      <c r="B427" s="22"/>
      <c r="C427" s="22"/>
      <c r="D427" s="22"/>
      <c r="E427" s="22"/>
      <c r="F427" s="22"/>
      <c r="G427" s="22"/>
      <c r="H427" s="22"/>
      <c r="I427" s="22"/>
      <c r="J427" s="22"/>
      <c r="K427" s="22"/>
      <c r="L427" s="22"/>
      <c r="M427" s="22"/>
      <c r="N427" s="22"/>
    </row>
  </sheetData>
  <pageMargins left="0.75" right="0.75" top="0.75" bottom="0.75" header="0.03" footer="0.03"/>
  <pageSetup scale="46" fitToHeight="0" pageOrder="overThenDown" orientation="landscape" r:id="rId1"/>
  <headerFooter>
    <oddHeader>&amp;L&amp;C&amp;"Arial,Regular"&amp;9&amp;K000000Sabra-HMG/Winnie Consolidation 
Trailing 12 Months&amp;R</oddHeader>
  </headerFooter>
  <rowBreaks count="1" manualBreakCount="1">
    <brk id="63" max="16383" man="1"/>
  </rowBreaks>
  <customProperties>
    <customPr name="EpmWorksheetKeyString_GUID" r:id="rId2"/>
  </customProperties>
  <drawing r:id="rId3"/>
  <legacyDrawing r:id="rId4"/>
  <controls>
    <mc:AlternateContent xmlns:mc="http://schemas.openxmlformats.org/markup-compatibility/2006">
      <mc:Choice Requires="x14">
        <control shapeId="25601"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25601" r:id="rId5" name="FPMExcelClientSheetOptionstb1"/>
      </mc:Fallback>
    </mc:AlternateContent>
  </control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pageSetUpPr fitToPage="1"/>
  </sheetPr>
  <dimension ref="A1:N381"/>
  <sheetViews>
    <sheetView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B350</f>
        <v>1643</v>
      </c>
      <c r="C4" s="110">
        <f t="shared" si="0"/>
        <v>1692</v>
      </c>
      <c r="D4" s="110">
        <f t="shared" si="0"/>
        <v>1642</v>
      </c>
      <c r="E4" s="110">
        <f t="shared" si="0"/>
        <v>1549</v>
      </c>
      <c r="F4" s="110">
        <f t="shared" si="0"/>
        <v>1529</v>
      </c>
      <c r="G4" s="110">
        <f t="shared" si="0"/>
        <v>1728</v>
      </c>
      <c r="H4" s="110">
        <f t="shared" si="0"/>
        <v>1806</v>
      </c>
      <c r="I4" s="110">
        <f t="shared" si="0"/>
        <v>2035</v>
      </c>
      <c r="J4" s="110">
        <f t="shared" si="0"/>
        <v>1961</v>
      </c>
      <c r="K4" s="110">
        <f t="shared" si="0"/>
        <v>1976</v>
      </c>
      <c r="L4" s="110">
        <f t="shared" si="0"/>
        <v>1825</v>
      </c>
      <c r="M4" s="110">
        <f t="shared" si="0"/>
        <v>1926</v>
      </c>
      <c r="N4" s="110">
        <v>21312</v>
      </c>
    </row>
    <row r="5" spans="1:14">
      <c r="A5" s="64" t="s">
        <v>35</v>
      </c>
      <c r="B5" s="107">
        <f t="shared" ref="B5:M5" si="1">B355</f>
        <v>32</v>
      </c>
      <c r="C5" s="107">
        <f t="shared" si="1"/>
        <v>20</v>
      </c>
      <c r="D5" s="107">
        <f t="shared" si="1"/>
        <v>10</v>
      </c>
      <c r="E5" s="107">
        <f t="shared" si="1"/>
        <v>5</v>
      </c>
      <c r="F5" s="107">
        <f t="shared" si="1"/>
        <v>44</v>
      </c>
      <c r="G5" s="107">
        <f t="shared" si="1"/>
        <v>46</v>
      </c>
      <c r="H5" s="107">
        <f t="shared" si="1"/>
        <v>19</v>
      </c>
      <c r="I5" s="107">
        <f t="shared" si="1"/>
        <v>44</v>
      </c>
      <c r="J5" s="107">
        <f t="shared" si="1"/>
        <v>38</v>
      </c>
      <c r="K5" s="107">
        <f t="shared" si="1"/>
        <v>65</v>
      </c>
      <c r="L5" s="107">
        <f t="shared" si="1"/>
        <v>80</v>
      </c>
      <c r="M5" s="107">
        <f t="shared" si="1"/>
        <v>98</v>
      </c>
      <c r="N5" s="107">
        <v>501</v>
      </c>
    </row>
    <row r="6" spans="1:14">
      <c r="A6" s="64" t="s">
        <v>36</v>
      </c>
      <c r="B6" s="107">
        <f t="shared" ref="B6:M6" si="2">B360</f>
        <v>211</v>
      </c>
      <c r="C6" s="107">
        <f t="shared" si="2"/>
        <v>172</v>
      </c>
      <c r="D6" s="107">
        <f t="shared" si="2"/>
        <v>308</v>
      </c>
      <c r="E6" s="107">
        <f t="shared" si="2"/>
        <v>383</v>
      </c>
      <c r="F6" s="107">
        <f t="shared" si="2"/>
        <v>303</v>
      </c>
      <c r="G6" s="107">
        <f t="shared" si="2"/>
        <v>284</v>
      </c>
      <c r="H6" s="107">
        <f t="shared" si="2"/>
        <v>264</v>
      </c>
      <c r="I6" s="107">
        <f t="shared" si="2"/>
        <v>253</v>
      </c>
      <c r="J6" s="107">
        <f t="shared" si="2"/>
        <v>371</v>
      </c>
      <c r="K6" s="107">
        <f t="shared" si="2"/>
        <v>238</v>
      </c>
      <c r="L6" s="107">
        <f t="shared" si="2"/>
        <v>254</v>
      </c>
      <c r="M6" s="107">
        <f t="shared" si="2"/>
        <v>149</v>
      </c>
      <c r="N6" s="107">
        <v>3190</v>
      </c>
    </row>
    <row r="7" spans="1:14">
      <c r="A7" s="64" t="s">
        <v>37</v>
      </c>
      <c r="B7" s="107">
        <f t="shared" ref="B7:M7" si="3">B368</f>
        <v>482</v>
      </c>
      <c r="C7" s="107">
        <f t="shared" si="3"/>
        <v>426</v>
      </c>
      <c r="D7" s="107">
        <f t="shared" si="3"/>
        <v>503</v>
      </c>
      <c r="E7" s="107">
        <f t="shared" si="3"/>
        <v>408</v>
      </c>
      <c r="F7" s="107">
        <f t="shared" si="3"/>
        <v>521</v>
      </c>
      <c r="G7" s="107">
        <f t="shared" si="3"/>
        <v>494</v>
      </c>
      <c r="H7" s="107">
        <f t="shared" si="3"/>
        <v>498</v>
      </c>
      <c r="I7" s="107">
        <f t="shared" si="3"/>
        <v>629</v>
      </c>
      <c r="J7" s="107">
        <f t="shared" si="3"/>
        <v>477</v>
      </c>
      <c r="K7" s="107">
        <f t="shared" si="3"/>
        <v>493</v>
      </c>
      <c r="L7" s="107">
        <f t="shared" si="3"/>
        <v>513</v>
      </c>
      <c r="M7" s="107">
        <f t="shared" si="3"/>
        <v>613</v>
      </c>
      <c r="N7" s="107">
        <v>6057</v>
      </c>
    </row>
    <row r="8" spans="1:14">
      <c r="A8" s="64" t="s">
        <v>38</v>
      </c>
      <c r="B8" s="111">
        <f t="shared" ref="B8:M8" si="4">B373</f>
        <v>269</v>
      </c>
      <c r="C8" s="111">
        <f t="shared" si="4"/>
        <v>246</v>
      </c>
      <c r="D8" s="111">
        <f t="shared" si="4"/>
        <v>288</v>
      </c>
      <c r="E8" s="111">
        <f t="shared" si="4"/>
        <v>223</v>
      </c>
      <c r="F8" s="111">
        <f t="shared" si="4"/>
        <v>266</v>
      </c>
      <c r="G8" s="111">
        <f t="shared" si="4"/>
        <v>281</v>
      </c>
      <c r="H8" s="111">
        <f t="shared" si="4"/>
        <v>208</v>
      </c>
      <c r="I8" s="111">
        <f t="shared" si="4"/>
        <v>281</v>
      </c>
      <c r="J8" s="111">
        <f t="shared" si="4"/>
        <v>241</v>
      </c>
      <c r="K8" s="111">
        <f t="shared" si="4"/>
        <v>247</v>
      </c>
      <c r="L8" s="111">
        <f t="shared" si="4"/>
        <v>191</v>
      </c>
      <c r="M8" s="111">
        <f t="shared" si="4"/>
        <v>178</v>
      </c>
      <c r="N8" s="111">
        <v>2919</v>
      </c>
    </row>
    <row r="9" spans="1:14" ht="15.75" thickBot="1">
      <c r="A9" s="64" t="s">
        <v>39</v>
      </c>
      <c r="B9" s="112">
        <f t="shared" ref="B9:M9" si="5">B380</f>
        <v>2637</v>
      </c>
      <c r="C9" s="112">
        <f t="shared" si="5"/>
        <v>2556</v>
      </c>
      <c r="D9" s="112">
        <f t="shared" si="5"/>
        <v>2751</v>
      </c>
      <c r="E9" s="112">
        <f t="shared" si="5"/>
        <v>2568</v>
      </c>
      <c r="F9" s="112">
        <f t="shared" si="5"/>
        <v>2663</v>
      </c>
      <c r="G9" s="112">
        <f t="shared" si="5"/>
        <v>2833</v>
      </c>
      <c r="H9" s="112">
        <f t="shared" si="5"/>
        <v>2795</v>
      </c>
      <c r="I9" s="112">
        <f t="shared" si="5"/>
        <v>3242</v>
      </c>
      <c r="J9" s="112">
        <f t="shared" si="5"/>
        <v>3088</v>
      </c>
      <c r="K9" s="112">
        <f t="shared" si="5"/>
        <v>3019</v>
      </c>
      <c r="L9" s="112">
        <f t="shared" si="5"/>
        <v>2863</v>
      </c>
      <c r="M9" s="112">
        <f t="shared" si="5"/>
        <v>2964</v>
      </c>
      <c r="N9" s="112">
        <v>33979</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B69</f>
        <v>309105.74</v>
      </c>
      <c r="C14" s="107">
        <f t="shared" si="6"/>
        <v>324723.19</v>
      </c>
      <c r="D14" s="107">
        <f t="shared" si="6"/>
        <v>308482.52</v>
      </c>
      <c r="E14" s="107">
        <f t="shared" si="6"/>
        <v>286601.93</v>
      </c>
      <c r="F14" s="107">
        <f t="shared" si="6"/>
        <v>276504.18</v>
      </c>
      <c r="G14" s="107">
        <f t="shared" si="6"/>
        <v>312622.74</v>
      </c>
      <c r="H14" s="107">
        <f t="shared" si="6"/>
        <v>323057.25</v>
      </c>
      <c r="I14" s="107">
        <f t="shared" si="6"/>
        <v>369780.84</v>
      </c>
      <c r="J14" s="107">
        <f t="shared" si="6"/>
        <v>357581.55</v>
      </c>
      <c r="K14" s="107">
        <f t="shared" si="6"/>
        <v>354317.19</v>
      </c>
      <c r="L14" s="107">
        <f t="shared" si="6"/>
        <v>308138.52</v>
      </c>
      <c r="M14" s="107">
        <f t="shared" si="6"/>
        <v>344713.6</v>
      </c>
      <c r="N14" s="107">
        <v>3875629.25</v>
      </c>
    </row>
    <row r="15" spans="1:14">
      <c r="A15" s="64" t="s">
        <v>35</v>
      </c>
      <c r="B15" s="107">
        <f t="shared" ref="B15:M15" si="7">B73</f>
        <v>4236.8</v>
      </c>
      <c r="C15" s="107">
        <f t="shared" si="7"/>
        <v>2648</v>
      </c>
      <c r="D15" s="107">
        <f t="shared" si="7"/>
        <v>4610.8999999999996</v>
      </c>
      <c r="E15" s="107">
        <f t="shared" si="7"/>
        <v>1250</v>
      </c>
      <c r="F15" s="107">
        <f t="shared" si="7"/>
        <v>10596.3</v>
      </c>
      <c r="G15" s="107">
        <f t="shared" si="7"/>
        <v>18903.669999999998</v>
      </c>
      <c r="H15" s="107">
        <f t="shared" si="7"/>
        <v>5893.86</v>
      </c>
      <c r="I15" s="107">
        <f t="shared" si="7"/>
        <v>7022.68</v>
      </c>
      <c r="J15" s="107">
        <f t="shared" si="7"/>
        <v>7359.36</v>
      </c>
      <c r="K15" s="107">
        <f t="shared" si="7"/>
        <v>10573.24</v>
      </c>
      <c r="L15" s="107">
        <f t="shared" si="7"/>
        <v>12860.1</v>
      </c>
      <c r="M15" s="107">
        <f t="shared" si="7"/>
        <v>14029.71</v>
      </c>
      <c r="N15" s="107">
        <v>99984.62</v>
      </c>
    </row>
    <row r="16" spans="1:14">
      <c r="A16" s="64" t="s">
        <v>36</v>
      </c>
      <c r="B16" s="107">
        <f t="shared" ref="B16:M16" si="8">B77</f>
        <v>156292.60999999999</v>
      </c>
      <c r="C16" s="107">
        <f t="shared" si="8"/>
        <v>121075.68</v>
      </c>
      <c r="D16" s="107">
        <f t="shared" si="8"/>
        <v>207861.98</v>
      </c>
      <c r="E16" s="107">
        <f t="shared" si="8"/>
        <v>244359.85</v>
      </c>
      <c r="F16" s="107">
        <f t="shared" si="8"/>
        <v>194947.53</v>
      </c>
      <c r="G16" s="107">
        <f t="shared" si="8"/>
        <v>208862.42</v>
      </c>
      <c r="H16" s="107">
        <f t="shared" si="8"/>
        <v>177557.66</v>
      </c>
      <c r="I16" s="107">
        <f t="shared" si="8"/>
        <v>178148.87</v>
      </c>
      <c r="J16" s="107">
        <f t="shared" si="8"/>
        <v>248161.53</v>
      </c>
      <c r="K16" s="107">
        <f t="shared" si="8"/>
        <v>159710.12</v>
      </c>
      <c r="L16" s="107">
        <f t="shared" si="8"/>
        <v>168994.32</v>
      </c>
      <c r="M16" s="107">
        <f t="shared" si="8"/>
        <v>102164.7</v>
      </c>
      <c r="N16" s="107">
        <v>2168137.27</v>
      </c>
    </row>
    <row r="17" spans="1:14">
      <c r="A17" s="64" t="s">
        <v>37</v>
      </c>
      <c r="B17" s="107">
        <f t="shared" ref="B17:M17" si="9">B84</f>
        <v>216365.45</v>
      </c>
      <c r="C17" s="107">
        <f t="shared" si="9"/>
        <v>171490.68</v>
      </c>
      <c r="D17" s="107">
        <f t="shared" si="9"/>
        <v>216750.91</v>
      </c>
      <c r="E17" s="107">
        <f t="shared" si="9"/>
        <v>175267.06</v>
      </c>
      <c r="F17" s="107">
        <f t="shared" si="9"/>
        <v>201470.99</v>
      </c>
      <c r="G17" s="107">
        <f t="shared" si="9"/>
        <v>204479.74</v>
      </c>
      <c r="H17" s="107">
        <f t="shared" si="9"/>
        <v>204065.38</v>
      </c>
      <c r="I17" s="107">
        <f t="shared" si="9"/>
        <v>267357.57</v>
      </c>
      <c r="J17" s="107">
        <f t="shared" si="9"/>
        <v>201454.64</v>
      </c>
      <c r="K17" s="107">
        <f t="shared" si="9"/>
        <v>225525.73</v>
      </c>
      <c r="L17" s="107">
        <f t="shared" si="9"/>
        <v>222620.56</v>
      </c>
      <c r="M17" s="107">
        <f t="shared" si="9"/>
        <v>260272.82</v>
      </c>
      <c r="N17" s="107">
        <v>2567121.5299999998</v>
      </c>
    </row>
    <row r="18" spans="1:14">
      <c r="A18" s="64" t="s">
        <v>38</v>
      </c>
      <c r="B18" s="111">
        <f t="shared" ref="B18:M18" si="10">B88</f>
        <v>47197</v>
      </c>
      <c r="C18" s="111">
        <f t="shared" si="10"/>
        <v>44218</v>
      </c>
      <c r="D18" s="111">
        <f t="shared" si="10"/>
        <v>49776</v>
      </c>
      <c r="E18" s="111">
        <f t="shared" si="10"/>
        <v>38863</v>
      </c>
      <c r="F18" s="111">
        <f t="shared" si="10"/>
        <v>45820</v>
      </c>
      <c r="G18" s="111">
        <f t="shared" si="10"/>
        <v>48496.66</v>
      </c>
      <c r="H18" s="111">
        <f t="shared" si="10"/>
        <v>36322</v>
      </c>
      <c r="I18" s="111">
        <f t="shared" si="10"/>
        <v>49688</v>
      </c>
      <c r="J18" s="111">
        <f t="shared" si="10"/>
        <v>42761</v>
      </c>
      <c r="K18" s="111">
        <f t="shared" si="10"/>
        <v>42649</v>
      </c>
      <c r="L18" s="111">
        <f t="shared" si="10"/>
        <v>33092</v>
      </c>
      <c r="M18" s="111">
        <f t="shared" si="10"/>
        <v>30255</v>
      </c>
      <c r="N18" s="111">
        <v>509137.66</v>
      </c>
    </row>
    <row r="19" spans="1:14">
      <c r="A19" s="64" t="s">
        <v>42</v>
      </c>
      <c r="B19" s="107">
        <f t="shared" ref="B19:M19" si="11">B90</f>
        <v>733197.59999999986</v>
      </c>
      <c r="C19" s="107">
        <f t="shared" si="11"/>
        <v>664155.55000000005</v>
      </c>
      <c r="D19" s="107">
        <f t="shared" si="11"/>
        <v>787482.30999999994</v>
      </c>
      <c r="E19" s="107">
        <f t="shared" si="11"/>
        <v>746341.84000000032</v>
      </c>
      <c r="F19" s="107">
        <f t="shared" si="11"/>
        <v>729339.00000000023</v>
      </c>
      <c r="G19" s="107">
        <f t="shared" si="11"/>
        <v>793365.23</v>
      </c>
      <c r="H19" s="107">
        <f t="shared" si="11"/>
        <v>746896.14999999967</v>
      </c>
      <c r="I19" s="107">
        <f t="shared" si="11"/>
        <v>871997.9600000002</v>
      </c>
      <c r="J19" s="107">
        <f t="shared" si="11"/>
        <v>857318.08</v>
      </c>
      <c r="K19" s="107">
        <f t="shared" si="11"/>
        <v>792775.28000000026</v>
      </c>
      <c r="L19" s="107">
        <f t="shared" si="11"/>
        <v>745705.5</v>
      </c>
      <c r="M19" s="107">
        <f t="shared" si="11"/>
        <v>751435.83000000007</v>
      </c>
      <c r="N19" s="107">
        <v>9220010.3300000001</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I22" si="12">B96</f>
        <v>2274.04</v>
      </c>
      <c r="C22" s="107">
        <f t="shared" si="12"/>
        <v>320.33999999999997</v>
      </c>
      <c r="D22" s="107">
        <f t="shared" si="12"/>
        <v>16706.14</v>
      </c>
      <c r="E22" s="107">
        <f t="shared" si="12"/>
        <v>-6673.66</v>
      </c>
      <c r="F22" s="107">
        <f t="shared" si="12"/>
        <v>-6004.01</v>
      </c>
      <c r="G22" s="107">
        <f t="shared" si="12"/>
        <v>-8740.76</v>
      </c>
      <c r="H22" s="107">
        <f t="shared" si="12"/>
        <v>-22412.36</v>
      </c>
      <c r="I22" s="107">
        <f t="shared" si="12"/>
        <v>-12093.52</v>
      </c>
      <c r="J22" s="107"/>
      <c r="K22" s="107">
        <f>K96</f>
        <v>-12294.08</v>
      </c>
      <c r="L22" s="107">
        <f>L96</f>
        <v>-23300.93</v>
      </c>
      <c r="M22" s="107">
        <f>M96</f>
        <v>20616</v>
      </c>
      <c r="N22" s="107">
        <v>-51602.8</v>
      </c>
    </row>
    <row r="23" spans="1:14">
      <c r="A23" s="64" t="s">
        <v>35</v>
      </c>
      <c r="B23" s="107"/>
      <c r="C23" s="107"/>
      <c r="D23" s="107"/>
      <c r="E23" s="107">
        <f>E100</f>
        <v>-2110.9</v>
      </c>
      <c r="F23" s="107"/>
      <c r="G23" s="107">
        <f>G100</f>
        <v>8509.9</v>
      </c>
      <c r="H23" s="107">
        <f>H100</f>
        <v>-4059.4</v>
      </c>
      <c r="I23" s="107">
        <f>I100</f>
        <v>17735.52</v>
      </c>
      <c r="J23" s="107"/>
      <c r="K23" s="107"/>
      <c r="L23" s="107"/>
      <c r="M23" s="107">
        <f>M100</f>
        <v>-42.15</v>
      </c>
      <c r="N23" s="107">
        <v>20032.97</v>
      </c>
    </row>
    <row r="24" spans="1:14">
      <c r="A24" s="64" t="s">
        <v>36</v>
      </c>
      <c r="B24" s="107">
        <f t="shared" ref="B24:I24" si="13">B104</f>
        <v>-856.18</v>
      </c>
      <c r="C24" s="107">
        <f t="shared" si="13"/>
        <v>-4473.42</v>
      </c>
      <c r="D24" s="107">
        <f t="shared" si="13"/>
        <v>-28067.03</v>
      </c>
      <c r="E24" s="107">
        <f t="shared" si="13"/>
        <v>-42501.2</v>
      </c>
      <c r="F24" s="107">
        <f t="shared" si="13"/>
        <v>-207.08</v>
      </c>
      <c r="G24" s="107">
        <f t="shared" si="13"/>
        <v>7638.93</v>
      </c>
      <c r="H24" s="107">
        <f t="shared" si="13"/>
        <v>9664.99</v>
      </c>
      <c r="I24" s="107">
        <f t="shared" si="13"/>
        <v>41845.4</v>
      </c>
      <c r="J24" s="107"/>
      <c r="K24" s="107">
        <f>K104</f>
        <v>-15930.75</v>
      </c>
      <c r="L24" s="107">
        <f>L104</f>
        <v>-1078.6300000000001</v>
      </c>
      <c r="M24" s="107">
        <f>M104</f>
        <v>1391.79</v>
      </c>
      <c r="N24" s="107">
        <v>-32573.18</v>
      </c>
    </row>
    <row r="25" spans="1:14">
      <c r="A25" s="64" t="s">
        <v>37</v>
      </c>
      <c r="B25" s="107">
        <f>B111</f>
        <v>-8877.6200000000008</v>
      </c>
      <c r="C25" s="107">
        <f>C111</f>
        <v>-9315.4699999999993</v>
      </c>
      <c r="D25" s="107"/>
      <c r="E25" s="107">
        <f>E111</f>
        <v>2107.16</v>
      </c>
      <c r="F25" s="107">
        <f>F111</f>
        <v>3.3</v>
      </c>
      <c r="G25" s="107">
        <f>G111</f>
        <v>-763</v>
      </c>
      <c r="H25" s="107">
        <f>H111</f>
        <v>1871.5</v>
      </c>
      <c r="I25" s="107">
        <f>I111</f>
        <v>-11069.81</v>
      </c>
      <c r="J25" s="107"/>
      <c r="K25" s="107">
        <f>K111</f>
        <v>11397.18</v>
      </c>
      <c r="L25" s="107">
        <f>L111</f>
        <v>6111.39</v>
      </c>
      <c r="M25" s="107">
        <f>M111</f>
        <v>-2436.27</v>
      </c>
      <c r="N25" s="107">
        <v>-10971.64</v>
      </c>
    </row>
    <row r="26" spans="1:14">
      <c r="A26" s="64" t="s">
        <v>38</v>
      </c>
      <c r="B26" s="111">
        <f>B115</f>
        <v>5818.1</v>
      </c>
      <c r="C26" s="111"/>
      <c r="D26" s="111">
        <f t="shared" ref="D26:I26" si="14">D115</f>
        <v>-1344</v>
      </c>
      <c r="E26" s="111">
        <f t="shared" si="14"/>
        <v>14507</v>
      </c>
      <c r="F26" s="111">
        <f t="shared" si="14"/>
        <v>5053</v>
      </c>
      <c r="G26" s="111">
        <f t="shared" si="14"/>
        <v>-3861</v>
      </c>
      <c r="H26" s="111">
        <f t="shared" si="14"/>
        <v>7009</v>
      </c>
      <c r="I26" s="111">
        <f t="shared" si="14"/>
        <v>-8572.48</v>
      </c>
      <c r="J26" s="111"/>
      <c r="K26" s="111">
        <f>K115</f>
        <v>3218.34</v>
      </c>
      <c r="L26" s="111"/>
      <c r="M26" s="111">
        <f>M115</f>
        <v>4075</v>
      </c>
      <c r="N26" s="111">
        <v>25902.959999999999</v>
      </c>
    </row>
    <row r="27" spans="1:14">
      <c r="A27" s="64" t="s">
        <v>44</v>
      </c>
      <c r="B27" s="107">
        <f t="shared" ref="B27:I27" si="15">B117</f>
        <v>-1641.6599999999989</v>
      </c>
      <c r="C27" s="107">
        <f t="shared" si="15"/>
        <v>-13468.549999999997</v>
      </c>
      <c r="D27" s="107">
        <f t="shared" si="15"/>
        <v>-12704.89</v>
      </c>
      <c r="E27" s="107">
        <f t="shared" si="15"/>
        <v>-34671.599999999977</v>
      </c>
      <c r="F27" s="107">
        <f t="shared" si="15"/>
        <v>-1154.7900000000018</v>
      </c>
      <c r="G27" s="107">
        <f t="shared" si="15"/>
        <v>2784.0699999999997</v>
      </c>
      <c r="H27" s="107">
        <f t="shared" si="15"/>
        <v>-7926.2700000000077</v>
      </c>
      <c r="I27" s="107">
        <f t="shared" si="15"/>
        <v>27845.110000000011</v>
      </c>
      <c r="J27" s="107"/>
      <c r="K27" s="107">
        <f>K117</f>
        <v>-13609.310000000003</v>
      </c>
      <c r="L27" s="107">
        <f>L117</f>
        <v>-18268.169999999995</v>
      </c>
      <c r="M27" s="107">
        <f>M117</f>
        <v>23604.370000000006</v>
      </c>
      <c r="N27" s="107">
        <v>-49211.69</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c r="C30" s="107">
        <f t="shared" ref="C30:H30" si="16">C131</f>
        <v>11288.44</v>
      </c>
      <c r="D30" s="107">
        <f t="shared" si="16"/>
        <v>10200.92</v>
      </c>
      <c r="E30" s="107">
        <f t="shared" si="16"/>
        <v>4849.0800000000008</v>
      </c>
      <c r="F30" s="107">
        <f t="shared" si="16"/>
        <v>266.48</v>
      </c>
      <c r="G30" s="107">
        <f t="shared" si="16"/>
        <v>190.16000000000003</v>
      </c>
      <c r="H30" s="107">
        <f t="shared" si="16"/>
        <v>-23458.68</v>
      </c>
      <c r="I30" s="107"/>
      <c r="J30" s="107"/>
      <c r="K30" s="107"/>
      <c r="L30" s="107"/>
      <c r="M30" s="107"/>
      <c r="N30" s="107">
        <v>3336.4</v>
      </c>
    </row>
    <row r="31" spans="1:14">
      <c r="A31" s="64" t="s">
        <v>46</v>
      </c>
      <c r="B31" s="107">
        <f t="shared" ref="B31:M31" si="17">B150</f>
        <v>25598.5</v>
      </c>
      <c r="C31" s="107">
        <f t="shared" si="17"/>
        <v>5212.0200000000004</v>
      </c>
      <c r="D31" s="107">
        <f t="shared" si="17"/>
        <v>9420.59</v>
      </c>
      <c r="E31" s="107">
        <f t="shared" si="17"/>
        <v>7444.93</v>
      </c>
      <c r="F31" s="107">
        <f t="shared" si="17"/>
        <v>10802.59</v>
      </c>
      <c r="G31" s="107">
        <f t="shared" si="17"/>
        <v>3962.02</v>
      </c>
      <c r="H31" s="107">
        <f t="shared" si="17"/>
        <v>18163.41</v>
      </c>
      <c r="I31" s="107">
        <f t="shared" si="17"/>
        <v>12870.16</v>
      </c>
      <c r="J31" s="107">
        <f t="shared" si="17"/>
        <v>7944.1</v>
      </c>
      <c r="K31" s="107">
        <f t="shared" si="17"/>
        <v>9938.5</v>
      </c>
      <c r="L31" s="107">
        <f t="shared" si="17"/>
        <v>935.3</v>
      </c>
      <c r="M31" s="107">
        <f t="shared" si="17"/>
        <v>7387.67</v>
      </c>
      <c r="N31" s="107">
        <v>119679.79</v>
      </c>
    </row>
    <row r="32" spans="1:14">
      <c r="A32" s="64" t="s">
        <v>37</v>
      </c>
      <c r="B32" s="107">
        <f t="shared" ref="B32:M32" si="18">B163</f>
        <v>13057.880000000005</v>
      </c>
      <c r="C32" s="107">
        <f t="shared" si="18"/>
        <v>3654.7600000000093</v>
      </c>
      <c r="D32" s="107">
        <f t="shared" si="18"/>
        <v>-1481.5399999999936</v>
      </c>
      <c r="E32" s="107">
        <f t="shared" si="18"/>
        <v>9651.9799999999959</v>
      </c>
      <c r="F32" s="107">
        <f t="shared" si="18"/>
        <v>3455.7100000000064</v>
      </c>
      <c r="G32" s="107">
        <f t="shared" si="18"/>
        <v>12499.970000000001</v>
      </c>
      <c r="H32" s="107">
        <f t="shared" si="18"/>
        <v>8761.9700000000012</v>
      </c>
      <c r="I32" s="107">
        <f t="shared" si="18"/>
        <v>14040.330000000002</v>
      </c>
      <c r="J32" s="107">
        <f t="shared" si="18"/>
        <v>8416.7700000000041</v>
      </c>
      <c r="K32" s="107">
        <f t="shared" si="18"/>
        <v>9841.0699999999924</v>
      </c>
      <c r="L32" s="107">
        <f t="shared" si="18"/>
        <v>7131.6100000000151</v>
      </c>
      <c r="M32" s="107">
        <f t="shared" si="18"/>
        <v>13945.410000000003</v>
      </c>
      <c r="N32" s="107">
        <v>102975.92</v>
      </c>
    </row>
    <row r="33" spans="1:14">
      <c r="A33" s="64" t="s">
        <v>38</v>
      </c>
      <c r="B33" s="111">
        <f t="shared" ref="B33:M33" si="19">B173</f>
        <v>2945</v>
      </c>
      <c r="C33" s="111">
        <f t="shared" si="19"/>
        <v>5210</v>
      </c>
      <c r="D33" s="111">
        <f t="shared" si="19"/>
        <v>4494.88</v>
      </c>
      <c r="E33" s="111">
        <f t="shared" si="19"/>
        <v>10657.42</v>
      </c>
      <c r="F33" s="111">
        <f t="shared" si="19"/>
        <v>564.71</v>
      </c>
      <c r="G33" s="111">
        <f t="shared" si="19"/>
        <v>1592.12</v>
      </c>
      <c r="H33" s="111">
        <f t="shared" si="19"/>
        <v>-6832.53</v>
      </c>
      <c r="I33" s="111">
        <f t="shared" si="19"/>
        <v>1880</v>
      </c>
      <c r="J33" s="111">
        <f t="shared" si="19"/>
        <v>450</v>
      </c>
      <c r="K33" s="111">
        <f t="shared" si="19"/>
        <v>375</v>
      </c>
      <c r="L33" s="111">
        <f t="shared" si="19"/>
        <v>-65</v>
      </c>
      <c r="M33" s="111">
        <f t="shared" si="19"/>
        <v>4856.71</v>
      </c>
      <c r="N33" s="111">
        <v>26128.31</v>
      </c>
    </row>
    <row r="34" spans="1:14">
      <c r="A34" s="64" t="s">
        <v>47</v>
      </c>
      <c r="B34" s="107">
        <f t="shared" ref="B34:M34" si="20">B175</f>
        <v>41601.37999999999</v>
      </c>
      <c r="C34" s="107">
        <f t="shared" si="20"/>
        <v>25365.22</v>
      </c>
      <c r="D34" s="107">
        <f t="shared" si="20"/>
        <v>22634.849999999991</v>
      </c>
      <c r="E34" s="107">
        <f t="shared" si="20"/>
        <v>32603.409999999996</v>
      </c>
      <c r="F34" s="107">
        <f t="shared" si="20"/>
        <v>15089.49000000002</v>
      </c>
      <c r="G34" s="107">
        <f t="shared" si="20"/>
        <v>18244.270000000019</v>
      </c>
      <c r="H34" s="107">
        <f t="shared" si="20"/>
        <v>-3365.8299999999899</v>
      </c>
      <c r="I34" s="107">
        <f t="shared" si="20"/>
        <v>28790.490000000005</v>
      </c>
      <c r="J34" s="107">
        <f t="shared" si="20"/>
        <v>16810.870000000003</v>
      </c>
      <c r="K34" s="107">
        <f t="shared" si="20"/>
        <v>20154.569999999978</v>
      </c>
      <c r="L34" s="107">
        <f t="shared" si="20"/>
        <v>8001.9099999999926</v>
      </c>
      <c r="M34" s="107">
        <f t="shared" si="20"/>
        <v>26189.79</v>
      </c>
      <c r="N34" s="107">
        <v>252120.42</v>
      </c>
    </row>
    <row r="35" spans="1:14">
      <c r="A35" s="64"/>
      <c r="B35" s="22"/>
      <c r="C35" s="22"/>
      <c r="D35" s="22"/>
      <c r="E35" s="22"/>
      <c r="F35" s="22"/>
      <c r="G35" s="22"/>
      <c r="H35" s="22"/>
      <c r="I35" s="22"/>
      <c r="J35" s="22"/>
      <c r="K35" s="22"/>
      <c r="L35" s="22"/>
      <c r="M35" s="22"/>
      <c r="N35" s="22"/>
    </row>
    <row r="36" spans="1:14">
      <c r="A36" s="64" t="s">
        <v>48</v>
      </c>
      <c r="B36" s="107">
        <f t="shared" ref="B36:M36" si="21">B186</f>
        <v>51214.62</v>
      </c>
      <c r="C36" s="107">
        <f t="shared" si="21"/>
        <v>90856.13</v>
      </c>
      <c r="D36" s="107">
        <f t="shared" si="21"/>
        <v>97387.199999999997</v>
      </c>
      <c r="E36" s="107">
        <f t="shared" si="21"/>
        <v>85214.49</v>
      </c>
      <c r="F36" s="107">
        <f t="shared" si="21"/>
        <v>-9695.0700000000652</v>
      </c>
      <c r="G36" s="107">
        <f t="shared" si="21"/>
        <v>42698.33</v>
      </c>
      <c r="H36" s="107">
        <f t="shared" si="21"/>
        <v>45405.93</v>
      </c>
      <c r="I36" s="107">
        <f t="shared" si="21"/>
        <v>50650.43</v>
      </c>
      <c r="J36" s="107">
        <f t="shared" si="21"/>
        <v>50094.53</v>
      </c>
      <c r="K36" s="107">
        <f t="shared" si="21"/>
        <v>64129.729999999996</v>
      </c>
      <c r="L36" s="107">
        <f t="shared" si="21"/>
        <v>53446.81</v>
      </c>
      <c r="M36" s="107">
        <f t="shared" si="21"/>
        <v>46335.38</v>
      </c>
      <c r="N36" s="107">
        <v>667738.51</v>
      </c>
    </row>
    <row r="37" spans="1:14">
      <c r="A37" s="64"/>
      <c r="B37" s="22"/>
      <c r="C37" s="22"/>
      <c r="D37" s="22"/>
      <c r="E37" s="22"/>
      <c r="F37" s="22"/>
      <c r="G37" s="22"/>
      <c r="H37" s="22"/>
      <c r="I37" s="22"/>
      <c r="J37" s="22"/>
      <c r="K37" s="22"/>
      <c r="L37" s="22"/>
      <c r="M37" s="22"/>
      <c r="N37" s="22"/>
    </row>
    <row r="38" spans="1:14" ht="15.75" thickBot="1">
      <c r="A38" s="64" t="s">
        <v>13</v>
      </c>
      <c r="B38" s="112">
        <f t="shared" ref="B38:M38" si="22">B188</f>
        <v>824371.93999999959</v>
      </c>
      <c r="C38" s="112">
        <f t="shared" si="22"/>
        <v>766908.35000000068</v>
      </c>
      <c r="D38" s="112">
        <f t="shared" si="22"/>
        <v>894799.47000000125</v>
      </c>
      <c r="E38" s="112">
        <f t="shared" si="22"/>
        <v>829488.1399999999</v>
      </c>
      <c r="F38" s="112">
        <f t="shared" si="22"/>
        <v>733578.62999999896</v>
      </c>
      <c r="G38" s="112">
        <f t="shared" si="22"/>
        <v>857091.90000000107</v>
      </c>
      <c r="H38" s="112">
        <f t="shared" si="22"/>
        <v>781009.98000000161</v>
      </c>
      <c r="I38" s="112">
        <f t="shared" si="22"/>
        <v>979283.99000000057</v>
      </c>
      <c r="J38" s="112">
        <f t="shared" si="22"/>
        <v>924223.48000000103</v>
      </c>
      <c r="K38" s="112">
        <f t="shared" si="22"/>
        <v>863450.26999999967</v>
      </c>
      <c r="L38" s="112">
        <f t="shared" si="22"/>
        <v>788886.04999999958</v>
      </c>
      <c r="M38" s="112">
        <f t="shared" si="22"/>
        <v>847565.37000000023</v>
      </c>
      <c r="N38" s="112">
        <v>10090657.57</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M41" si="23">B210</f>
        <v>307681.88</v>
      </c>
      <c r="C41" s="107">
        <f t="shared" si="23"/>
        <v>283855.60000000003</v>
      </c>
      <c r="D41" s="107">
        <f t="shared" si="23"/>
        <v>313547.54000000004</v>
      </c>
      <c r="E41" s="107">
        <f t="shared" si="23"/>
        <v>296104.34999999998</v>
      </c>
      <c r="F41" s="107">
        <f t="shared" si="23"/>
        <v>286178.70999999996</v>
      </c>
      <c r="G41" s="107">
        <f t="shared" si="23"/>
        <v>279388.71000000008</v>
      </c>
      <c r="H41" s="107">
        <f t="shared" si="23"/>
        <v>277829.50000000006</v>
      </c>
      <c r="I41" s="107">
        <f t="shared" si="23"/>
        <v>320735.72000000003</v>
      </c>
      <c r="J41" s="107">
        <f t="shared" si="23"/>
        <v>309762.62000000005</v>
      </c>
      <c r="K41" s="107">
        <f t="shared" si="23"/>
        <v>289202.36</v>
      </c>
      <c r="L41" s="107">
        <f t="shared" si="23"/>
        <v>321018.50999999995</v>
      </c>
      <c r="M41" s="107">
        <f t="shared" si="23"/>
        <v>293555.07</v>
      </c>
      <c r="N41" s="107">
        <v>3578860.57</v>
      </c>
    </row>
    <row r="42" spans="1:14">
      <c r="A42" s="64" t="s">
        <v>50</v>
      </c>
      <c r="B42" s="107">
        <f>B217</f>
        <v>4542.66</v>
      </c>
      <c r="C42" s="107">
        <f>C217</f>
        <v>2919.3199999999997</v>
      </c>
      <c r="D42" s="107">
        <f>D217</f>
        <v>3214.95</v>
      </c>
      <c r="E42" s="107"/>
      <c r="F42" s="107">
        <f>F217</f>
        <v>-32431.95</v>
      </c>
      <c r="G42" s="107"/>
      <c r="H42" s="107"/>
      <c r="I42" s="107"/>
      <c r="J42" s="107"/>
      <c r="K42" s="107"/>
      <c r="L42" s="107"/>
      <c r="M42" s="107"/>
      <c r="N42" s="107">
        <v>-21755.02</v>
      </c>
    </row>
    <row r="43" spans="1:14">
      <c r="A43" s="64" t="s">
        <v>51</v>
      </c>
      <c r="B43" s="107">
        <f t="shared" ref="B43:M43" si="24">B228</f>
        <v>46066.64</v>
      </c>
      <c r="C43" s="107">
        <f t="shared" si="24"/>
        <v>44397.27</v>
      </c>
      <c r="D43" s="107">
        <f t="shared" si="24"/>
        <v>37001.440000000002</v>
      </c>
      <c r="E43" s="107">
        <f t="shared" si="24"/>
        <v>48829.819999999992</v>
      </c>
      <c r="F43" s="107">
        <f t="shared" si="24"/>
        <v>47619.41</v>
      </c>
      <c r="G43" s="107">
        <f t="shared" si="24"/>
        <v>56700.95</v>
      </c>
      <c r="H43" s="107">
        <f t="shared" si="24"/>
        <v>41233.29</v>
      </c>
      <c r="I43" s="107">
        <f t="shared" si="24"/>
        <v>62708.679999999993</v>
      </c>
      <c r="J43" s="107">
        <f t="shared" si="24"/>
        <v>38260.92</v>
      </c>
      <c r="K43" s="107">
        <f t="shared" si="24"/>
        <v>58556.17</v>
      </c>
      <c r="L43" s="107">
        <f t="shared" si="24"/>
        <v>42324.979999999996</v>
      </c>
      <c r="M43" s="107">
        <f t="shared" si="24"/>
        <v>47461.13</v>
      </c>
      <c r="N43" s="107">
        <v>571160.69999999995</v>
      </c>
    </row>
    <row r="44" spans="1:14">
      <c r="A44" s="64" t="s">
        <v>52</v>
      </c>
      <c r="B44" s="107">
        <f t="shared" ref="B44:M44" si="25">B244</f>
        <v>94243.81</v>
      </c>
      <c r="C44" s="107">
        <f t="shared" si="25"/>
        <v>113936.29000000001</v>
      </c>
      <c r="D44" s="107">
        <f t="shared" si="25"/>
        <v>95375.360000000001</v>
      </c>
      <c r="E44" s="107">
        <f t="shared" si="25"/>
        <v>103816.61000000002</v>
      </c>
      <c r="F44" s="107">
        <f t="shared" si="25"/>
        <v>103844.15000000001</v>
      </c>
      <c r="G44" s="107">
        <f t="shared" si="25"/>
        <v>98213.969999999987</v>
      </c>
      <c r="H44" s="107">
        <f t="shared" si="25"/>
        <v>104103.99999999999</v>
      </c>
      <c r="I44" s="107">
        <f t="shared" si="25"/>
        <v>105568.62999999999</v>
      </c>
      <c r="J44" s="107">
        <f t="shared" si="25"/>
        <v>113744.82</v>
      </c>
      <c r="K44" s="107">
        <f t="shared" si="25"/>
        <v>111976.47</v>
      </c>
      <c r="L44" s="107">
        <f t="shared" si="25"/>
        <v>81555.81</v>
      </c>
      <c r="M44" s="107">
        <f t="shared" si="25"/>
        <v>92195.9</v>
      </c>
      <c r="N44" s="107">
        <v>1218575.82</v>
      </c>
    </row>
    <row r="45" spans="1:14">
      <c r="A45" s="64" t="s">
        <v>53</v>
      </c>
      <c r="B45" s="107">
        <f t="shared" ref="B45:M45" si="26">B269</f>
        <v>157440.87000000002</v>
      </c>
      <c r="C45" s="107">
        <f t="shared" si="26"/>
        <v>154381.48000000001</v>
      </c>
      <c r="D45" s="107">
        <f t="shared" si="26"/>
        <v>162283.61000000002</v>
      </c>
      <c r="E45" s="107">
        <f t="shared" si="26"/>
        <v>153774.91</v>
      </c>
      <c r="F45" s="107">
        <f t="shared" si="26"/>
        <v>-32401.189999999988</v>
      </c>
      <c r="G45" s="107">
        <f t="shared" si="26"/>
        <v>148899.99000000002</v>
      </c>
      <c r="H45" s="107">
        <f t="shared" si="26"/>
        <v>153331.26</v>
      </c>
      <c r="I45" s="107">
        <f t="shared" si="26"/>
        <v>161237.31000000003</v>
      </c>
      <c r="J45" s="107">
        <f t="shared" si="26"/>
        <v>164916.59999999998</v>
      </c>
      <c r="K45" s="107">
        <f t="shared" si="26"/>
        <v>171512.68000000002</v>
      </c>
      <c r="L45" s="107">
        <f t="shared" si="26"/>
        <v>144288.63</v>
      </c>
      <c r="M45" s="107">
        <f t="shared" si="26"/>
        <v>180871.71</v>
      </c>
      <c r="N45" s="107">
        <v>1720537.86</v>
      </c>
    </row>
    <row r="46" spans="1:14">
      <c r="A46" s="64" t="s">
        <v>54</v>
      </c>
      <c r="B46" s="107">
        <f t="shared" ref="B46:M46" si="27">B286</f>
        <v>15819.16</v>
      </c>
      <c r="C46" s="107">
        <f t="shared" si="27"/>
        <v>13050.119999999999</v>
      </c>
      <c r="D46" s="107">
        <f t="shared" si="27"/>
        <v>14528.710000000001</v>
      </c>
      <c r="E46" s="107">
        <f t="shared" si="27"/>
        <v>14858.72</v>
      </c>
      <c r="F46" s="107">
        <f t="shared" si="27"/>
        <v>15800.74</v>
      </c>
      <c r="G46" s="107">
        <f t="shared" si="27"/>
        <v>10356.630000000001</v>
      </c>
      <c r="H46" s="107">
        <f t="shared" si="27"/>
        <v>19978.599999999999</v>
      </c>
      <c r="I46" s="107">
        <f t="shared" si="27"/>
        <v>16375.84</v>
      </c>
      <c r="J46" s="107">
        <f t="shared" si="27"/>
        <v>14263.23</v>
      </c>
      <c r="K46" s="107">
        <f t="shared" si="27"/>
        <v>14960.28</v>
      </c>
      <c r="L46" s="107">
        <f t="shared" si="27"/>
        <v>12182.919999999998</v>
      </c>
      <c r="M46" s="107">
        <f t="shared" si="27"/>
        <v>14733.919999999998</v>
      </c>
      <c r="N46" s="107">
        <v>176908.87</v>
      </c>
    </row>
    <row r="47" spans="1:14">
      <c r="A47" s="64" t="s">
        <v>55</v>
      </c>
      <c r="B47" s="107">
        <f t="shared" ref="B47:M47" si="28">B295</f>
        <v>5914.0300000000007</v>
      </c>
      <c r="C47" s="107">
        <f t="shared" si="28"/>
        <v>9068.19</v>
      </c>
      <c r="D47" s="107">
        <f t="shared" si="28"/>
        <v>7425.89</v>
      </c>
      <c r="E47" s="107">
        <f t="shared" si="28"/>
        <v>7121.29</v>
      </c>
      <c r="F47" s="107">
        <f t="shared" si="28"/>
        <v>7320.7699999999995</v>
      </c>
      <c r="G47" s="107">
        <f t="shared" si="28"/>
        <v>4244.3500000000004</v>
      </c>
      <c r="H47" s="107">
        <f t="shared" si="28"/>
        <v>9678.7899999999991</v>
      </c>
      <c r="I47" s="107">
        <f t="shared" si="28"/>
        <v>3141.01</v>
      </c>
      <c r="J47" s="107">
        <f t="shared" si="28"/>
        <v>9230.380000000001</v>
      </c>
      <c r="K47" s="107">
        <f t="shared" si="28"/>
        <v>6633.99</v>
      </c>
      <c r="L47" s="107">
        <f t="shared" si="28"/>
        <v>3325.15</v>
      </c>
      <c r="M47" s="107">
        <f t="shared" si="28"/>
        <v>12749.439999999999</v>
      </c>
      <c r="N47" s="107">
        <v>85853.28</v>
      </c>
    </row>
    <row r="48" spans="1:14">
      <c r="A48" s="64" t="s">
        <v>56</v>
      </c>
      <c r="B48" s="107">
        <f t="shared" ref="B48:M48" si="29">B302</f>
        <v>15209.560000000001</v>
      </c>
      <c r="C48" s="107">
        <f t="shared" si="29"/>
        <v>12918.84</v>
      </c>
      <c r="D48" s="107">
        <f t="shared" si="29"/>
        <v>12918.84</v>
      </c>
      <c r="E48" s="107">
        <f t="shared" si="29"/>
        <v>13253.84</v>
      </c>
      <c r="F48" s="107">
        <f t="shared" si="29"/>
        <v>-31.779999999999973</v>
      </c>
      <c r="G48" s="107">
        <f t="shared" si="29"/>
        <v>12745.35</v>
      </c>
      <c r="H48" s="107">
        <f t="shared" si="29"/>
        <v>12928.68</v>
      </c>
      <c r="I48" s="107">
        <f t="shared" si="29"/>
        <v>12678.68</v>
      </c>
      <c r="J48" s="107">
        <f t="shared" si="29"/>
        <v>12678.68</v>
      </c>
      <c r="K48" s="107">
        <f t="shared" si="29"/>
        <v>12678.68</v>
      </c>
      <c r="L48" s="107">
        <f t="shared" si="29"/>
        <v>12678.68</v>
      </c>
      <c r="M48" s="107">
        <f t="shared" si="29"/>
        <v>12747.68</v>
      </c>
      <c r="N48" s="107">
        <v>143405.73000000001</v>
      </c>
    </row>
    <row r="49" spans="1:14">
      <c r="A49" s="64" t="s">
        <v>57</v>
      </c>
      <c r="B49" s="107">
        <f t="shared" ref="B49:M49" si="30">B307</f>
        <v>23316</v>
      </c>
      <c r="C49" s="107">
        <f t="shared" si="30"/>
        <v>21518</v>
      </c>
      <c r="D49" s="107">
        <f t="shared" si="30"/>
        <v>25133</v>
      </c>
      <c r="E49" s="107">
        <f t="shared" si="30"/>
        <v>23801</v>
      </c>
      <c r="F49" s="107">
        <f t="shared" si="30"/>
        <v>24098</v>
      </c>
      <c r="G49" s="107">
        <f t="shared" si="30"/>
        <v>27883</v>
      </c>
      <c r="H49" s="107">
        <f t="shared" si="30"/>
        <v>54052.31</v>
      </c>
      <c r="I49" s="107">
        <f t="shared" si="30"/>
        <v>28456</v>
      </c>
      <c r="J49" s="107">
        <f t="shared" si="30"/>
        <v>25832</v>
      </c>
      <c r="K49" s="107">
        <f t="shared" si="30"/>
        <v>-4576</v>
      </c>
      <c r="L49" s="107">
        <f t="shared" si="30"/>
        <v>22262</v>
      </c>
      <c r="M49" s="107">
        <f t="shared" si="30"/>
        <v>24037</v>
      </c>
      <c r="N49" s="107">
        <v>295812.31</v>
      </c>
    </row>
    <row r="50" spans="1:14">
      <c r="A50" s="64" t="s">
        <v>58</v>
      </c>
      <c r="B50" s="107">
        <f t="shared" ref="B50:M50" si="31">B315</f>
        <v>8198.58</v>
      </c>
      <c r="C50" s="107">
        <f t="shared" si="31"/>
        <v>8680.89</v>
      </c>
      <c r="D50" s="107">
        <f t="shared" si="31"/>
        <v>45679.89</v>
      </c>
      <c r="E50" s="107">
        <f t="shared" si="31"/>
        <v>8705.89</v>
      </c>
      <c r="F50" s="107">
        <f t="shared" si="31"/>
        <v>-16319.11</v>
      </c>
      <c r="G50" s="107">
        <f t="shared" si="31"/>
        <v>9260.5499999999993</v>
      </c>
      <c r="H50" s="107">
        <f t="shared" si="31"/>
        <v>8680.89</v>
      </c>
      <c r="I50" s="107">
        <f t="shared" si="31"/>
        <v>8825.01</v>
      </c>
      <c r="J50" s="107">
        <f t="shared" si="31"/>
        <v>25671.95</v>
      </c>
      <c r="K50" s="107">
        <f t="shared" si="31"/>
        <v>8834.11</v>
      </c>
      <c r="L50" s="107">
        <f t="shared" si="31"/>
        <v>8752.9500000000007</v>
      </c>
      <c r="M50" s="107">
        <f t="shared" si="31"/>
        <v>8752.9500000000007</v>
      </c>
      <c r="N50" s="107">
        <v>133724.54999999999</v>
      </c>
    </row>
    <row r="51" spans="1:14">
      <c r="A51" s="64" t="s">
        <v>59</v>
      </c>
      <c r="B51" s="107">
        <f t="shared" ref="B51:M51" si="32">B323</f>
        <v>6112.9500000000016</v>
      </c>
      <c r="C51" s="107">
        <f t="shared" si="32"/>
        <v>6138.1200000000017</v>
      </c>
      <c r="D51" s="107">
        <f t="shared" si="32"/>
        <v>6218.4400000000014</v>
      </c>
      <c r="E51" s="107">
        <f t="shared" si="32"/>
        <v>6691.67</v>
      </c>
      <c r="F51" s="107">
        <f t="shared" si="32"/>
        <v>6647.0300000000007</v>
      </c>
      <c r="G51" s="107">
        <f t="shared" si="32"/>
        <v>6627.06</v>
      </c>
      <c r="H51" s="107">
        <f t="shared" si="32"/>
        <v>6561.98</v>
      </c>
      <c r="I51" s="107">
        <f t="shared" si="32"/>
        <v>7141.72</v>
      </c>
      <c r="J51" s="107">
        <f t="shared" si="32"/>
        <v>7465.26</v>
      </c>
      <c r="K51" s="107">
        <f t="shared" si="32"/>
        <v>7082.47</v>
      </c>
      <c r="L51" s="107">
        <f t="shared" si="32"/>
        <v>7752.47</v>
      </c>
      <c r="M51" s="107">
        <f t="shared" si="32"/>
        <v>7499.97</v>
      </c>
      <c r="N51" s="107">
        <v>81939.14</v>
      </c>
    </row>
    <row r="52" spans="1:14">
      <c r="A52" s="64" t="s">
        <v>60</v>
      </c>
      <c r="B52" s="107">
        <f t="shared" ref="B52:M52" si="33">B330</f>
        <v>118462.45000000001</v>
      </c>
      <c r="C52" s="107">
        <f t="shared" si="33"/>
        <v>128702.90999999999</v>
      </c>
      <c r="D52" s="107">
        <f t="shared" si="33"/>
        <v>121184.20999999999</v>
      </c>
      <c r="E52" s="107">
        <f t="shared" si="33"/>
        <v>121235.48999999999</v>
      </c>
      <c r="F52" s="107">
        <f t="shared" si="33"/>
        <v>128591.47</v>
      </c>
      <c r="G52" s="107">
        <f t="shared" si="33"/>
        <v>121347.97999999998</v>
      </c>
      <c r="H52" s="107">
        <f t="shared" si="33"/>
        <v>121022.57999999999</v>
      </c>
      <c r="I52" s="107">
        <f t="shared" si="33"/>
        <v>121383.74999999999</v>
      </c>
      <c r="J52" s="107">
        <f t="shared" si="33"/>
        <v>128875.73999999999</v>
      </c>
      <c r="K52" s="107">
        <f t="shared" si="33"/>
        <v>121183.36999999998</v>
      </c>
      <c r="L52" s="107">
        <f t="shared" si="33"/>
        <v>121130.26</v>
      </c>
      <c r="M52" s="107">
        <f t="shared" si="33"/>
        <v>133151.41</v>
      </c>
      <c r="N52" s="107">
        <v>1486271.62</v>
      </c>
    </row>
    <row r="53" spans="1:14">
      <c r="A53" s="64" t="s">
        <v>61</v>
      </c>
      <c r="B53" s="107"/>
      <c r="C53" s="107"/>
      <c r="D53" s="107"/>
      <c r="E53" s="107">
        <f>E334</f>
        <v>270.63</v>
      </c>
      <c r="F53" s="107">
        <f>F334</f>
        <v>-16601.72</v>
      </c>
      <c r="G53" s="107"/>
      <c r="H53" s="107"/>
      <c r="I53" s="107"/>
      <c r="J53" s="107"/>
      <c r="K53" s="107"/>
      <c r="L53" s="107"/>
      <c r="M53" s="107"/>
      <c r="N53" s="107">
        <v>-16331.09</v>
      </c>
    </row>
    <row r="54" spans="1:14">
      <c r="A54" s="64"/>
      <c r="B54" s="22"/>
      <c r="C54" s="22"/>
      <c r="D54" s="22"/>
      <c r="E54" s="22"/>
      <c r="F54" s="22"/>
      <c r="G54" s="22"/>
      <c r="H54" s="22"/>
      <c r="I54" s="22"/>
      <c r="J54" s="22"/>
      <c r="K54" s="22"/>
      <c r="L54" s="22"/>
      <c r="M54" s="22"/>
      <c r="N54" s="22"/>
    </row>
    <row r="55" spans="1:14" ht="15.75" thickBot="1">
      <c r="A55" s="64" t="s">
        <v>62</v>
      </c>
      <c r="B55" s="112">
        <f t="shared" ref="B55:M55" si="34">B336</f>
        <v>803008.59000000032</v>
      </c>
      <c r="C55" s="112">
        <f t="shared" si="34"/>
        <v>799567.02999999968</v>
      </c>
      <c r="D55" s="112">
        <f t="shared" si="34"/>
        <v>844511.87999999989</v>
      </c>
      <c r="E55" s="112">
        <f t="shared" si="34"/>
        <v>798464.21999999962</v>
      </c>
      <c r="F55" s="112">
        <f t="shared" si="34"/>
        <v>522314.52999999968</v>
      </c>
      <c r="G55" s="112">
        <f t="shared" si="34"/>
        <v>775668.54000000015</v>
      </c>
      <c r="H55" s="112">
        <f t="shared" si="34"/>
        <v>809401.88000000035</v>
      </c>
      <c r="I55" s="112">
        <f t="shared" si="34"/>
        <v>848252.35000000102</v>
      </c>
      <c r="J55" s="112">
        <f t="shared" si="34"/>
        <v>850702.20000000007</v>
      </c>
      <c r="K55" s="112">
        <f t="shared" si="34"/>
        <v>798044.57999999984</v>
      </c>
      <c r="L55" s="112">
        <f t="shared" si="34"/>
        <v>777272.3600000001</v>
      </c>
      <c r="M55" s="112">
        <f t="shared" si="34"/>
        <v>827756.17999999982</v>
      </c>
      <c r="N55" s="112">
        <v>9454964.3399999999</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M57" si="35">B338</f>
        <v>21363.349999999278</v>
      </c>
      <c r="C57" s="112">
        <f t="shared" si="35"/>
        <v>-32658.679999999003</v>
      </c>
      <c r="D57" s="112">
        <f t="shared" si="35"/>
        <v>50287.590000001364</v>
      </c>
      <c r="E57" s="112">
        <f t="shared" si="35"/>
        <v>31023.920000000275</v>
      </c>
      <c r="F57" s="112">
        <f t="shared" si="35"/>
        <v>211264.09999999928</v>
      </c>
      <c r="G57" s="112">
        <f t="shared" si="35"/>
        <v>81423.360000000917</v>
      </c>
      <c r="H57" s="112">
        <f t="shared" si="35"/>
        <v>-28391.899999998743</v>
      </c>
      <c r="I57" s="112">
        <f t="shared" si="35"/>
        <v>131031.63999999955</v>
      </c>
      <c r="J57" s="112">
        <f t="shared" si="35"/>
        <v>73521.280000000959</v>
      </c>
      <c r="K57" s="112">
        <f t="shared" si="35"/>
        <v>65405.689999999828</v>
      </c>
      <c r="L57" s="112">
        <f t="shared" si="35"/>
        <v>11613.689999999478</v>
      </c>
      <c r="M57" s="112">
        <f t="shared" si="35"/>
        <v>19809.19000000041</v>
      </c>
      <c r="N57" s="112">
        <v>635693.23</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6">B341</f>
        <v>8353.2000000000007</v>
      </c>
      <c r="C59" s="112">
        <f t="shared" si="36"/>
        <v>4854.45</v>
      </c>
      <c r="D59" s="112">
        <f t="shared" si="36"/>
        <v>4782.3599999999997</v>
      </c>
      <c r="E59" s="112">
        <f t="shared" si="36"/>
        <v>4614.99</v>
      </c>
      <c r="F59" s="112">
        <f t="shared" si="36"/>
        <v>68140.19</v>
      </c>
      <c r="G59" s="112">
        <f t="shared" si="36"/>
        <v>3151.86</v>
      </c>
      <c r="H59" s="112">
        <f t="shared" si="36"/>
        <v>2669.02</v>
      </c>
      <c r="I59" s="112">
        <f t="shared" si="36"/>
        <v>2198.6799999999998</v>
      </c>
      <c r="J59" s="112">
        <f t="shared" si="36"/>
        <v>3748.61</v>
      </c>
      <c r="K59" s="112">
        <f t="shared" si="36"/>
        <v>5303.31</v>
      </c>
      <c r="L59" s="112">
        <f t="shared" si="36"/>
        <v>3696.06</v>
      </c>
      <c r="M59" s="112">
        <f t="shared" si="36"/>
        <v>798.36</v>
      </c>
      <c r="N59" s="112">
        <v>112311.09</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7">B343</f>
        <v>13010.149999999277</v>
      </c>
      <c r="C61" s="112">
        <f t="shared" si="37"/>
        <v>-37513.129999999001</v>
      </c>
      <c r="D61" s="112">
        <f t="shared" si="37"/>
        <v>45505.230000001364</v>
      </c>
      <c r="E61" s="112">
        <f t="shared" si="37"/>
        <v>26408.930000000277</v>
      </c>
      <c r="F61" s="112">
        <f t="shared" si="37"/>
        <v>143123.90999999928</v>
      </c>
      <c r="G61" s="112">
        <f t="shared" si="37"/>
        <v>78271.500000000917</v>
      </c>
      <c r="H61" s="112">
        <f t="shared" si="37"/>
        <v>-31060.919999998743</v>
      </c>
      <c r="I61" s="112">
        <f t="shared" si="37"/>
        <v>128832.95999999956</v>
      </c>
      <c r="J61" s="112">
        <f t="shared" si="37"/>
        <v>69772.670000000959</v>
      </c>
      <c r="K61" s="112">
        <f t="shared" si="37"/>
        <v>60102.37999999983</v>
      </c>
      <c r="L61" s="112">
        <f t="shared" si="37"/>
        <v>7917.629999999479</v>
      </c>
      <c r="M61" s="112">
        <f t="shared" si="37"/>
        <v>19010.830000000409</v>
      </c>
      <c r="N61" s="112">
        <v>523382.14</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309105.74</v>
      </c>
      <c r="C68" s="111">
        <v>324723.19</v>
      </c>
      <c r="D68" s="111">
        <v>308482.52</v>
      </c>
      <c r="E68" s="111">
        <v>286601.93</v>
      </c>
      <c r="F68" s="111">
        <v>276504.18</v>
      </c>
      <c r="G68" s="111">
        <v>312622.74</v>
      </c>
      <c r="H68" s="111">
        <v>323057.25</v>
      </c>
      <c r="I68" s="111">
        <v>369780.84</v>
      </c>
      <c r="J68" s="111">
        <v>357581.55</v>
      </c>
      <c r="K68" s="111">
        <v>354317.19</v>
      </c>
      <c r="L68" s="111">
        <v>308138.52</v>
      </c>
      <c r="M68" s="111">
        <v>344713.6</v>
      </c>
      <c r="N68" s="111">
        <v>3875629.25</v>
      </c>
    </row>
    <row r="69" spans="1:14">
      <c r="A69" s="64" t="s">
        <v>67</v>
      </c>
      <c r="B69" s="107">
        <f t="shared" ref="B69:M69" si="38">SUM(B65:B68)</f>
        <v>309105.74</v>
      </c>
      <c r="C69" s="107">
        <f t="shared" si="38"/>
        <v>324723.19</v>
      </c>
      <c r="D69" s="107">
        <f t="shared" si="38"/>
        <v>308482.52</v>
      </c>
      <c r="E69" s="107">
        <f t="shared" si="38"/>
        <v>286601.93</v>
      </c>
      <c r="F69" s="107">
        <f t="shared" si="38"/>
        <v>276504.18</v>
      </c>
      <c r="G69" s="107">
        <f t="shared" si="38"/>
        <v>312622.74</v>
      </c>
      <c r="H69" s="107">
        <f t="shared" si="38"/>
        <v>323057.25</v>
      </c>
      <c r="I69" s="107">
        <f t="shared" si="38"/>
        <v>369780.84</v>
      </c>
      <c r="J69" s="107">
        <f t="shared" si="38"/>
        <v>357581.55</v>
      </c>
      <c r="K69" s="107">
        <f t="shared" si="38"/>
        <v>354317.19</v>
      </c>
      <c r="L69" s="107">
        <f t="shared" si="38"/>
        <v>308138.52</v>
      </c>
      <c r="M69" s="107">
        <f t="shared" si="38"/>
        <v>344713.6</v>
      </c>
      <c r="N69" s="107">
        <v>3875629.25</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4236.8</v>
      </c>
      <c r="C72" s="111">
        <v>2648</v>
      </c>
      <c r="D72" s="111">
        <v>4610.8999999999996</v>
      </c>
      <c r="E72" s="111">
        <v>1250</v>
      </c>
      <c r="F72" s="111">
        <v>10596.3</v>
      </c>
      <c r="G72" s="111">
        <v>18903.669999999998</v>
      </c>
      <c r="H72" s="111">
        <v>5893.86</v>
      </c>
      <c r="I72" s="111">
        <v>7022.68</v>
      </c>
      <c r="J72" s="111">
        <v>7359.36</v>
      </c>
      <c r="K72" s="111">
        <v>10573.24</v>
      </c>
      <c r="L72" s="111">
        <v>12860.1</v>
      </c>
      <c r="M72" s="111">
        <v>14029.71</v>
      </c>
      <c r="N72" s="111">
        <v>99984.62</v>
      </c>
    </row>
    <row r="73" spans="1:14">
      <c r="A73" s="64" t="s">
        <v>69</v>
      </c>
      <c r="B73" s="107">
        <f t="shared" ref="B73:M73" si="39">SUM(B70:B72)</f>
        <v>4236.8</v>
      </c>
      <c r="C73" s="107">
        <f t="shared" si="39"/>
        <v>2648</v>
      </c>
      <c r="D73" s="107">
        <f t="shared" si="39"/>
        <v>4610.8999999999996</v>
      </c>
      <c r="E73" s="107">
        <f t="shared" si="39"/>
        <v>1250</v>
      </c>
      <c r="F73" s="107">
        <f t="shared" si="39"/>
        <v>10596.3</v>
      </c>
      <c r="G73" s="107">
        <f t="shared" si="39"/>
        <v>18903.669999999998</v>
      </c>
      <c r="H73" s="107">
        <f t="shared" si="39"/>
        <v>5893.86</v>
      </c>
      <c r="I73" s="107">
        <f t="shared" si="39"/>
        <v>7022.68</v>
      </c>
      <c r="J73" s="107">
        <f t="shared" si="39"/>
        <v>7359.36</v>
      </c>
      <c r="K73" s="107">
        <f t="shared" si="39"/>
        <v>10573.24</v>
      </c>
      <c r="L73" s="107">
        <f t="shared" si="39"/>
        <v>12860.1</v>
      </c>
      <c r="M73" s="107">
        <f t="shared" si="39"/>
        <v>14029.71</v>
      </c>
      <c r="N73" s="107">
        <v>99984.62</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156292.60999999999</v>
      </c>
      <c r="C76" s="111">
        <v>121075.68</v>
      </c>
      <c r="D76" s="111">
        <v>207861.98</v>
      </c>
      <c r="E76" s="111">
        <v>244359.85</v>
      </c>
      <c r="F76" s="111">
        <v>194947.53</v>
      </c>
      <c r="G76" s="111">
        <v>208862.42</v>
      </c>
      <c r="H76" s="111">
        <v>177557.66</v>
      </c>
      <c r="I76" s="111">
        <v>178148.87</v>
      </c>
      <c r="J76" s="111">
        <v>248161.53</v>
      </c>
      <c r="K76" s="111">
        <v>159710.12</v>
      </c>
      <c r="L76" s="111">
        <v>168994.32</v>
      </c>
      <c r="M76" s="111">
        <v>102164.7</v>
      </c>
      <c r="N76" s="111">
        <v>2168137.27</v>
      </c>
    </row>
    <row r="77" spans="1:14">
      <c r="A77" s="64" t="s">
        <v>71</v>
      </c>
      <c r="B77" s="107">
        <f t="shared" ref="B77:M77" si="40">SUM(B74:B76)</f>
        <v>156292.60999999999</v>
      </c>
      <c r="C77" s="107">
        <f t="shared" si="40"/>
        <v>121075.68</v>
      </c>
      <c r="D77" s="107">
        <f t="shared" si="40"/>
        <v>207861.98</v>
      </c>
      <c r="E77" s="107">
        <f t="shared" si="40"/>
        <v>244359.85</v>
      </c>
      <c r="F77" s="107">
        <f t="shared" si="40"/>
        <v>194947.53</v>
      </c>
      <c r="G77" s="107">
        <f t="shared" si="40"/>
        <v>208862.42</v>
      </c>
      <c r="H77" s="107">
        <f t="shared" si="40"/>
        <v>177557.66</v>
      </c>
      <c r="I77" s="107">
        <f t="shared" si="40"/>
        <v>178148.87</v>
      </c>
      <c r="J77" s="107">
        <f t="shared" si="40"/>
        <v>248161.53</v>
      </c>
      <c r="K77" s="107">
        <f t="shared" si="40"/>
        <v>159710.12</v>
      </c>
      <c r="L77" s="107">
        <f t="shared" si="40"/>
        <v>168994.32</v>
      </c>
      <c r="M77" s="107">
        <f t="shared" si="40"/>
        <v>102164.7</v>
      </c>
      <c r="N77" s="107">
        <v>2168137.27</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216365.45</v>
      </c>
      <c r="C83" s="111">
        <v>171490.68</v>
      </c>
      <c r="D83" s="111">
        <v>216750.91</v>
      </c>
      <c r="E83" s="111">
        <v>175267.06</v>
      </c>
      <c r="F83" s="111">
        <v>201470.99</v>
      </c>
      <c r="G83" s="111">
        <v>204479.74</v>
      </c>
      <c r="H83" s="111">
        <v>204065.38</v>
      </c>
      <c r="I83" s="111">
        <v>267357.57</v>
      </c>
      <c r="J83" s="111">
        <v>201454.64</v>
      </c>
      <c r="K83" s="111">
        <v>225525.73</v>
      </c>
      <c r="L83" s="111">
        <v>222620.56</v>
      </c>
      <c r="M83" s="111">
        <v>260272.82</v>
      </c>
      <c r="N83" s="111">
        <v>2567121.5299999998</v>
      </c>
    </row>
    <row r="84" spans="1:14">
      <c r="A84" s="64" t="s">
        <v>74</v>
      </c>
      <c r="B84" s="107">
        <f t="shared" ref="B84:M84" si="41">SUM(B81:B83)</f>
        <v>216365.45</v>
      </c>
      <c r="C84" s="107">
        <f t="shared" si="41"/>
        <v>171490.68</v>
      </c>
      <c r="D84" s="107">
        <f t="shared" si="41"/>
        <v>216750.91</v>
      </c>
      <c r="E84" s="107">
        <f t="shared" si="41"/>
        <v>175267.06</v>
      </c>
      <c r="F84" s="107">
        <f t="shared" si="41"/>
        <v>201470.99</v>
      </c>
      <c r="G84" s="107">
        <f t="shared" si="41"/>
        <v>204479.74</v>
      </c>
      <c r="H84" s="107">
        <f t="shared" si="41"/>
        <v>204065.38</v>
      </c>
      <c r="I84" s="107">
        <f t="shared" si="41"/>
        <v>267357.57</v>
      </c>
      <c r="J84" s="107">
        <f t="shared" si="41"/>
        <v>201454.64</v>
      </c>
      <c r="K84" s="107">
        <f t="shared" si="41"/>
        <v>225525.73</v>
      </c>
      <c r="L84" s="107">
        <f t="shared" si="41"/>
        <v>222620.56</v>
      </c>
      <c r="M84" s="107">
        <f t="shared" si="41"/>
        <v>260272.82</v>
      </c>
      <c r="N84" s="107">
        <v>2567121.5299999998</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47197</v>
      </c>
      <c r="C87" s="111">
        <v>44218</v>
      </c>
      <c r="D87" s="111">
        <v>49776</v>
      </c>
      <c r="E87" s="111">
        <v>38863</v>
      </c>
      <c r="F87" s="111">
        <v>45820</v>
      </c>
      <c r="G87" s="111">
        <v>48496.66</v>
      </c>
      <c r="H87" s="111">
        <v>36322</v>
      </c>
      <c r="I87" s="111">
        <v>49688</v>
      </c>
      <c r="J87" s="111">
        <v>42761</v>
      </c>
      <c r="K87" s="111">
        <v>42649</v>
      </c>
      <c r="L87" s="111">
        <v>33092</v>
      </c>
      <c r="M87" s="111">
        <v>30255</v>
      </c>
      <c r="N87" s="111">
        <v>509137.66</v>
      </c>
    </row>
    <row r="88" spans="1:14">
      <c r="A88" s="64" t="s">
        <v>76</v>
      </c>
      <c r="B88" s="107">
        <f t="shared" ref="B88:M88" si="42">SUM(B85:B87)</f>
        <v>47197</v>
      </c>
      <c r="C88" s="107">
        <f t="shared" si="42"/>
        <v>44218</v>
      </c>
      <c r="D88" s="107">
        <f t="shared" si="42"/>
        <v>49776</v>
      </c>
      <c r="E88" s="107">
        <f t="shared" si="42"/>
        <v>38863</v>
      </c>
      <c r="F88" s="107">
        <f t="shared" si="42"/>
        <v>45820</v>
      </c>
      <c r="G88" s="107">
        <f t="shared" si="42"/>
        <v>48496.66</v>
      </c>
      <c r="H88" s="107">
        <f t="shared" si="42"/>
        <v>36322</v>
      </c>
      <c r="I88" s="107">
        <f t="shared" si="42"/>
        <v>49688</v>
      </c>
      <c r="J88" s="107">
        <f t="shared" si="42"/>
        <v>42761</v>
      </c>
      <c r="K88" s="107">
        <f t="shared" si="42"/>
        <v>42649</v>
      </c>
      <c r="L88" s="107">
        <f t="shared" si="42"/>
        <v>33092</v>
      </c>
      <c r="M88" s="107">
        <f t="shared" si="42"/>
        <v>30255</v>
      </c>
      <c r="N88" s="107">
        <v>509137.66</v>
      </c>
    </row>
    <row r="89" spans="1:14">
      <c r="A89" s="64"/>
      <c r="B89" s="113"/>
      <c r="C89" s="113"/>
      <c r="D89" s="113"/>
      <c r="E89" s="113"/>
      <c r="F89" s="113"/>
      <c r="G89" s="113"/>
      <c r="H89" s="113"/>
      <c r="I89" s="113"/>
      <c r="J89" s="113"/>
      <c r="K89" s="113"/>
      <c r="L89" s="113"/>
      <c r="M89" s="113"/>
      <c r="N89" s="113"/>
    </row>
    <row r="90" spans="1:14">
      <c r="A90" s="64" t="s">
        <v>42</v>
      </c>
      <c r="B90" s="107">
        <f t="shared" ref="B90:M90" si="43">SUM(B67:B89)-B69-B73-B77-B80-B84-B88</f>
        <v>733197.59999999986</v>
      </c>
      <c r="C90" s="107">
        <f t="shared" si="43"/>
        <v>664155.55000000005</v>
      </c>
      <c r="D90" s="107">
        <f t="shared" si="43"/>
        <v>787482.30999999994</v>
      </c>
      <c r="E90" s="107">
        <f t="shared" si="43"/>
        <v>746341.84000000032</v>
      </c>
      <c r="F90" s="107">
        <f t="shared" si="43"/>
        <v>729339.00000000023</v>
      </c>
      <c r="G90" s="107">
        <f t="shared" si="43"/>
        <v>793365.23</v>
      </c>
      <c r="H90" s="107">
        <f t="shared" si="43"/>
        <v>746896.14999999967</v>
      </c>
      <c r="I90" s="107">
        <f t="shared" si="43"/>
        <v>871997.9600000002</v>
      </c>
      <c r="J90" s="107">
        <f t="shared" si="43"/>
        <v>857318.08</v>
      </c>
      <c r="K90" s="107">
        <f t="shared" si="43"/>
        <v>792775.28000000026</v>
      </c>
      <c r="L90" s="107">
        <f t="shared" si="43"/>
        <v>745705.5</v>
      </c>
      <c r="M90" s="107">
        <f t="shared" si="43"/>
        <v>751435.83000000007</v>
      </c>
      <c r="N90" s="107">
        <v>9220010.3300000001</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2274.04</v>
      </c>
      <c r="C95" s="111">
        <v>320.33999999999997</v>
      </c>
      <c r="D95" s="111">
        <v>16706.14</v>
      </c>
      <c r="E95" s="111">
        <v>-6673.66</v>
      </c>
      <c r="F95" s="111">
        <v>-6004.01</v>
      </c>
      <c r="G95" s="111">
        <v>-8740.76</v>
      </c>
      <c r="H95" s="111">
        <v>-22412.36</v>
      </c>
      <c r="I95" s="111">
        <v>-12093.52</v>
      </c>
      <c r="J95" s="111"/>
      <c r="K95" s="111">
        <v>-12294.08</v>
      </c>
      <c r="L95" s="111">
        <v>-23300.93</v>
      </c>
      <c r="M95" s="111">
        <v>20616</v>
      </c>
      <c r="N95" s="111">
        <v>-51602.8</v>
      </c>
    </row>
    <row r="96" spans="1:14">
      <c r="A96" s="64" t="s">
        <v>67</v>
      </c>
      <c r="B96" s="107">
        <f t="shared" ref="B96:I96" si="44">SUM(B94:B95)</f>
        <v>2274.04</v>
      </c>
      <c r="C96" s="107">
        <f t="shared" si="44"/>
        <v>320.33999999999997</v>
      </c>
      <c r="D96" s="107">
        <f t="shared" si="44"/>
        <v>16706.14</v>
      </c>
      <c r="E96" s="107">
        <f t="shared" si="44"/>
        <v>-6673.66</v>
      </c>
      <c r="F96" s="107">
        <f t="shared" si="44"/>
        <v>-6004.01</v>
      </c>
      <c r="G96" s="107">
        <f t="shared" si="44"/>
        <v>-8740.76</v>
      </c>
      <c r="H96" s="107">
        <f t="shared" si="44"/>
        <v>-22412.36</v>
      </c>
      <c r="I96" s="107">
        <f t="shared" si="44"/>
        <v>-12093.52</v>
      </c>
      <c r="J96" s="107"/>
      <c r="K96" s="107">
        <f>SUM(K94:K95)</f>
        <v>-12294.08</v>
      </c>
      <c r="L96" s="107">
        <f>SUM(L94:L95)</f>
        <v>-23300.93</v>
      </c>
      <c r="M96" s="107">
        <f>SUM(M94:M95)</f>
        <v>20616</v>
      </c>
      <c r="N96" s="107">
        <v>-51602.8</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3"/>
      <c r="C99" s="113"/>
      <c r="D99" s="113"/>
      <c r="E99" s="111">
        <v>-2110.9</v>
      </c>
      <c r="F99" s="113"/>
      <c r="G99" s="111">
        <v>8509.9</v>
      </c>
      <c r="H99" s="111">
        <v>-4059.4</v>
      </c>
      <c r="I99" s="111">
        <v>17735.52</v>
      </c>
      <c r="J99" s="113"/>
      <c r="K99" s="113"/>
      <c r="L99" s="113"/>
      <c r="M99" s="111">
        <v>-42.15</v>
      </c>
      <c r="N99" s="111">
        <v>20032.97</v>
      </c>
    </row>
    <row r="100" spans="1:14">
      <c r="A100" s="64" t="s">
        <v>69</v>
      </c>
      <c r="B100" s="107"/>
      <c r="C100" s="107"/>
      <c r="D100" s="107"/>
      <c r="E100" s="107">
        <f>SUM(E97:E99)</f>
        <v>-2110.9</v>
      </c>
      <c r="F100" s="107"/>
      <c r="G100" s="107">
        <f>SUM(G97:G99)</f>
        <v>8509.9</v>
      </c>
      <c r="H100" s="107">
        <f>SUM(H97:H99)</f>
        <v>-4059.4</v>
      </c>
      <c r="I100" s="107">
        <f>SUM(I97:I99)</f>
        <v>17735.52</v>
      </c>
      <c r="J100" s="107"/>
      <c r="K100" s="107"/>
      <c r="L100" s="107"/>
      <c r="M100" s="107">
        <f>SUM(M97:M99)</f>
        <v>-42.15</v>
      </c>
      <c r="N100" s="107">
        <v>20032.97</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-856.18</v>
      </c>
      <c r="C103" s="111">
        <v>-4473.42</v>
      </c>
      <c r="D103" s="111">
        <v>-28067.03</v>
      </c>
      <c r="E103" s="111">
        <v>-42501.2</v>
      </c>
      <c r="F103" s="111">
        <v>-207.08</v>
      </c>
      <c r="G103" s="111">
        <v>7638.93</v>
      </c>
      <c r="H103" s="111">
        <v>9664.99</v>
      </c>
      <c r="I103" s="111">
        <v>41845.4</v>
      </c>
      <c r="J103" s="111"/>
      <c r="K103" s="111">
        <v>-15930.75</v>
      </c>
      <c r="L103" s="111">
        <v>-1078.6300000000001</v>
      </c>
      <c r="M103" s="111">
        <v>1391.79</v>
      </c>
      <c r="N103" s="111">
        <v>-32573.18</v>
      </c>
    </row>
    <row r="104" spans="1:14">
      <c r="A104" s="64" t="s">
        <v>71</v>
      </c>
      <c r="B104" s="107">
        <f t="shared" ref="B104:I104" si="45">SUM(B101:B103)</f>
        <v>-856.18</v>
      </c>
      <c r="C104" s="107">
        <f t="shared" si="45"/>
        <v>-4473.42</v>
      </c>
      <c r="D104" s="107">
        <f t="shared" si="45"/>
        <v>-28067.03</v>
      </c>
      <c r="E104" s="107">
        <f t="shared" si="45"/>
        <v>-42501.2</v>
      </c>
      <c r="F104" s="107">
        <f t="shared" si="45"/>
        <v>-207.08</v>
      </c>
      <c r="G104" s="107">
        <f t="shared" si="45"/>
        <v>7638.93</v>
      </c>
      <c r="H104" s="107">
        <f t="shared" si="45"/>
        <v>9664.99</v>
      </c>
      <c r="I104" s="107">
        <f t="shared" si="45"/>
        <v>41845.4</v>
      </c>
      <c r="J104" s="107"/>
      <c r="K104" s="107">
        <f>SUM(K101:K103)</f>
        <v>-15930.75</v>
      </c>
      <c r="L104" s="107">
        <f>SUM(L101:L103)</f>
        <v>-1078.6300000000001</v>
      </c>
      <c r="M104" s="107">
        <f>SUM(M101:M103)</f>
        <v>1391.79</v>
      </c>
      <c r="N104" s="107">
        <v>-32573.18</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-8877.6200000000008</v>
      </c>
      <c r="C110" s="111">
        <v>-9315.4699999999993</v>
      </c>
      <c r="D110" s="111"/>
      <c r="E110" s="111">
        <v>2107.16</v>
      </c>
      <c r="F110" s="111">
        <v>3.3</v>
      </c>
      <c r="G110" s="111">
        <v>-763</v>
      </c>
      <c r="H110" s="111">
        <v>1871.5</v>
      </c>
      <c r="I110" s="111">
        <v>-11069.81</v>
      </c>
      <c r="J110" s="111"/>
      <c r="K110" s="111">
        <v>11397.18</v>
      </c>
      <c r="L110" s="111">
        <v>6111.39</v>
      </c>
      <c r="M110" s="111">
        <v>-2436.27</v>
      </c>
      <c r="N110" s="111">
        <v>-10971.64</v>
      </c>
    </row>
    <row r="111" spans="1:14">
      <c r="A111" s="64" t="s">
        <v>74</v>
      </c>
      <c r="B111" s="107">
        <f>SUM(B108:B110)</f>
        <v>-8877.6200000000008</v>
      </c>
      <c r="C111" s="107">
        <f>SUM(C108:C110)</f>
        <v>-9315.4699999999993</v>
      </c>
      <c r="D111" s="107"/>
      <c r="E111" s="107">
        <f>SUM(E108:E110)</f>
        <v>2107.16</v>
      </c>
      <c r="F111" s="107">
        <f>SUM(F108:F110)</f>
        <v>3.3</v>
      </c>
      <c r="G111" s="107">
        <f>SUM(G108:G110)</f>
        <v>-763</v>
      </c>
      <c r="H111" s="107">
        <f>SUM(H108:H110)</f>
        <v>1871.5</v>
      </c>
      <c r="I111" s="107">
        <f>SUM(I108:I110)</f>
        <v>-11069.81</v>
      </c>
      <c r="J111" s="107"/>
      <c r="K111" s="107">
        <f>SUM(K108:K110)</f>
        <v>11397.18</v>
      </c>
      <c r="L111" s="107">
        <f>SUM(L108:L110)</f>
        <v>6111.39</v>
      </c>
      <c r="M111" s="107">
        <f>SUM(M108:M110)</f>
        <v>-2436.27</v>
      </c>
      <c r="N111" s="107">
        <v>-10971.64</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1">
        <v>5818.1</v>
      </c>
      <c r="C114" s="113"/>
      <c r="D114" s="111">
        <v>-1344</v>
      </c>
      <c r="E114" s="111">
        <v>14507</v>
      </c>
      <c r="F114" s="111">
        <v>5053</v>
      </c>
      <c r="G114" s="111">
        <v>-3861</v>
      </c>
      <c r="H114" s="111">
        <v>7009</v>
      </c>
      <c r="I114" s="111">
        <v>-8572.48</v>
      </c>
      <c r="J114" s="113"/>
      <c r="K114" s="111">
        <v>3218.34</v>
      </c>
      <c r="L114" s="113"/>
      <c r="M114" s="111">
        <v>4075</v>
      </c>
      <c r="N114" s="111">
        <v>25902.959999999999</v>
      </c>
    </row>
    <row r="115" spans="1:14">
      <c r="A115" s="64" t="s">
        <v>76</v>
      </c>
      <c r="B115" s="107">
        <f>SUM(B112:B114)</f>
        <v>5818.1</v>
      </c>
      <c r="C115" s="107"/>
      <c r="D115" s="107">
        <f t="shared" ref="D115:I115" si="46">SUM(D112:D114)</f>
        <v>-1344</v>
      </c>
      <c r="E115" s="107">
        <f t="shared" si="46"/>
        <v>14507</v>
      </c>
      <c r="F115" s="107">
        <f t="shared" si="46"/>
        <v>5053</v>
      </c>
      <c r="G115" s="107">
        <f t="shared" si="46"/>
        <v>-3861</v>
      </c>
      <c r="H115" s="107">
        <f t="shared" si="46"/>
        <v>7009</v>
      </c>
      <c r="I115" s="107">
        <f t="shared" si="46"/>
        <v>-8572.48</v>
      </c>
      <c r="J115" s="107"/>
      <c r="K115" s="107">
        <f>SUM(K112:K114)</f>
        <v>3218.34</v>
      </c>
      <c r="L115" s="107"/>
      <c r="M115" s="107">
        <f>SUM(M112:M114)</f>
        <v>4075</v>
      </c>
      <c r="N115" s="107">
        <v>25902.959999999999</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I117" si="47">SUM(B92:B116)-B96-B100-B104-B107-B111-B115</f>
        <v>-1641.6599999999989</v>
      </c>
      <c r="C117" s="107">
        <f t="shared" si="47"/>
        <v>-13468.549999999997</v>
      </c>
      <c r="D117" s="107">
        <f t="shared" si="47"/>
        <v>-12704.89</v>
      </c>
      <c r="E117" s="107">
        <f t="shared" si="47"/>
        <v>-34671.599999999977</v>
      </c>
      <c r="F117" s="107">
        <f t="shared" si="47"/>
        <v>-1154.7900000000018</v>
      </c>
      <c r="G117" s="107">
        <f t="shared" si="47"/>
        <v>2784.0699999999997</v>
      </c>
      <c r="H117" s="107">
        <f t="shared" si="47"/>
        <v>-7926.2700000000077</v>
      </c>
      <c r="I117" s="107">
        <f t="shared" si="47"/>
        <v>27845.110000000011</v>
      </c>
      <c r="J117" s="107"/>
      <c r="K117" s="107">
        <f>SUM(K92:K116)-K96-K100-K104-K107-K111-K115</f>
        <v>-13609.310000000003</v>
      </c>
      <c r="L117" s="107">
        <f>SUM(L92:L116)-L96-L100-L104-L107-L111-L115</f>
        <v>-18268.169999999995</v>
      </c>
      <c r="M117" s="107">
        <f>SUM(M92:M116)-M96-M100-M104-M107-M111-M115</f>
        <v>23604.370000000006</v>
      </c>
      <c r="N117" s="107">
        <v>-49211.69</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107">
        <v>110.6</v>
      </c>
      <c r="C122" s="22"/>
      <c r="D122" s="107">
        <v>146.58000000000001</v>
      </c>
      <c r="E122" s="107">
        <v>41.51</v>
      </c>
      <c r="F122" s="107">
        <v>421.03</v>
      </c>
      <c r="G122" s="107">
        <v>165.45</v>
      </c>
      <c r="H122" s="22"/>
      <c r="I122" s="107">
        <v>17.98</v>
      </c>
      <c r="J122" s="22"/>
      <c r="K122" s="22"/>
      <c r="L122" s="107">
        <v>57.33</v>
      </c>
      <c r="M122" s="22"/>
      <c r="N122" s="107">
        <v>960.48</v>
      </c>
    </row>
    <row r="123" spans="1:14">
      <c r="A123" s="64" t="s">
        <v>78</v>
      </c>
      <c r="B123" s="22"/>
      <c r="C123" s="107">
        <v>5850</v>
      </c>
      <c r="D123" s="107">
        <v>6720</v>
      </c>
      <c r="E123" s="107">
        <v>3855</v>
      </c>
      <c r="F123" s="107">
        <v>135</v>
      </c>
      <c r="G123" s="107">
        <v>90</v>
      </c>
      <c r="H123" s="107">
        <v>-12525</v>
      </c>
      <c r="I123" s="107">
        <v>-225</v>
      </c>
      <c r="J123" s="22"/>
      <c r="K123" s="22"/>
      <c r="L123" s="22"/>
      <c r="M123" s="107">
        <v>360</v>
      </c>
      <c r="N123" s="107">
        <v>4260</v>
      </c>
    </row>
    <row r="124" spans="1:14">
      <c r="A124" s="64" t="s">
        <v>315</v>
      </c>
      <c r="B124" s="107">
        <v>210</v>
      </c>
      <c r="C124" s="107">
        <v>6750</v>
      </c>
      <c r="D124" s="107">
        <v>6150</v>
      </c>
      <c r="E124" s="107">
        <v>2925</v>
      </c>
      <c r="F124" s="107">
        <v>1110</v>
      </c>
      <c r="G124" s="107">
        <v>-930</v>
      </c>
      <c r="H124" s="107">
        <v>-15300</v>
      </c>
      <c r="I124" s="107">
        <v>135</v>
      </c>
      <c r="J124" s="107">
        <v>870</v>
      </c>
      <c r="K124" s="22"/>
      <c r="L124" s="22"/>
      <c r="M124" s="22"/>
      <c r="N124" s="107">
        <v>1920</v>
      </c>
    </row>
    <row r="125" spans="1:14">
      <c r="A125" s="64" t="s">
        <v>316</v>
      </c>
      <c r="B125" s="22"/>
      <c r="C125" s="22"/>
      <c r="D125" s="107">
        <v>975</v>
      </c>
      <c r="E125" s="22"/>
      <c r="F125" s="22"/>
      <c r="G125" s="22"/>
      <c r="H125" s="22"/>
      <c r="I125" s="107">
        <v>95</v>
      </c>
      <c r="J125" s="22"/>
      <c r="K125" s="22"/>
      <c r="L125" s="22"/>
      <c r="M125" s="22"/>
      <c r="N125" s="107">
        <v>1070</v>
      </c>
    </row>
    <row r="126" spans="1:14">
      <c r="A126" s="64" t="s">
        <v>79</v>
      </c>
      <c r="B126" s="22"/>
      <c r="C126" s="22"/>
      <c r="D126" s="22"/>
      <c r="E126" s="22"/>
      <c r="F126" s="22"/>
      <c r="G126" s="107">
        <v>900</v>
      </c>
      <c r="H126" s="22"/>
      <c r="I126" s="22"/>
      <c r="J126" s="22"/>
      <c r="K126" s="22"/>
      <c r="L126" s="22"/>
      <c r="M126" s="22"/>
      <c r="N126" s="107">
        <v>900</v>
      </c>
    </row>
    <row r="127" spans="1:14">
      <c r="A127" s="64" t="s">
        <v>80</v>
      </c>
      <c r="B127" s="107">
        <v>135</v>
      </c>
      <c r="C127" s="107">
        <v>75</v>
      </c>
      <c r="D127" s="107">
        <v>182.7</v>
      </c>
      <c r="E127" s="107">
        <v>-107.32</v>
      </c>
      <c r="F127" s="107">
        <v>33.9</v>
      </c>
      <c r="G127" s="107">
        <v>44.15</v>
      </c>
      <c r="H127" s="107">
        <v>269.93</v>
      </c>
      <c r="I127" s="22"/>
      <c r="J127" s="22"/>
      <c r="K127" s="22"/>
      <c r="L127" s="22"/>
      <c r="M127" s="107">
        <v>153.47</v>
      </c>
      <c r="N127" s="107">
        <v>786.83</v>
      </c>
    </row>
    <row r="128" spans="1:14">
      <c r="A128" s="64" t="s">
        <v>82</v>
      </c>
      <c r="B128" s="22"/>
      <c r="C128" s="22"/>
      <c r="D128" s="22"/>
      <c r="E128" s="22"/>
      <c r="F128" s="22"/>
      <c r="G128" s="22"/>
      <c r="H128" s="22"/>
      <c r="I128" s="22"/>
      <c r="J128" s="22"/>
      <c r="K128" s="107">
        <v>90</v>
      </c>
      <c r="L128" s="107">
        <v>150</v>
      </c>
      <c r="M128" s="107">
        <v>220</v>
      </c>
      <c r="N128" s="107">
        <v>460</v>
      </c>
    </row>
    <row r="129" spans="1:14">
      <c r="A129" s="64" t="s">
        <v>354</v>
      </c>
      <c r="B129" s="22"/>
      <c r="C129" s="22"/>
      <c r="D129" s="22"/>
      <c r="E129" s="22"/>
      <c r="F129" s="22"/>
      <c r="G129" s="22"/>
      <c r="H129" s="22"/>
      <c r="I129" s="22"/>
      <c r="J129" s="22"/>
      <c r="K129" s="22"/>
      <c r="L129" s="22"/>
      <c r="M129" s="22"/>
      <c r="N129" s="22"/>
    </row>
    <row r="130" spans="1:14">
      <c r="A130" s="64" t="s">
        <v>84</v>
      </c>
      <c r="B130" s="111">
        <v>-455.6</v>
      </c>
      <c r="C130" s="111">
        <v>-1386.56</v>
      </c>
      <c r="D130" s="111">
        <v>-3973.36</v>
      </c>
      <c r="E130" s="111">
        <v>-1865.11</v>
      </c>
      <c r="F130" s="111">
        <v>-1433.45</v>
      </c>
      <c r="G130" s="111">
        <v>-79.44</v>
      </c>
      <c r="H130" s="111">
        <v>4096.3900000000003</v>
      </c>
      <c r="I130" s="111">
        <v>-22.98</v>
      </c>
      <c r="J130" s="111">
        <v>-870</v>
      </c>
      <c r="K130" s="111">
        <v>-90</v>
      </c>
      <c r="L130" s="111">
        <v>-207.33</v>
      </c>
      <c r="M130" s="111">
        <v>-733.47</v>
      </c>
      <c r="N130" s="111">
        <v>-7020.91</v>
      </c>
    </row>
    <row r="131" spans="1:14">
      <c r="A131" s="64" t="s">
        <v>85</v>
      </c>
      <c r="B131" s="107"/>
      <c r="C131" s="107">
        <f t="shared" ref="C131:H131" si="48">SUM(C121:C130)</f>
        <v>11288.44</v>
      </c>
      <c r="D131" s="107">
        <f t="shared" si="48"/>
        <v>10200.92</v>
      </c>
      <c r="E131" s="107">
        <f t="shared" si="48"/>
        <v>4849.0800000000008</v>
      </c>
      <c r="F131" s="107">
        <f t="shared" si="48"/>
        <v>266.48</v>
      </c>
      <c r="G131" s="107">
        <f t="shared" si="48"/>
        <v>190.16000000000003</v>
      </c>
      <c r="H131" s="107">
        <f t="shared" si="48"/>
        <v>-23458.68</v>
      </c>
      <c r="I131" s="107"/>
      <c r="J131" s="107"/>
      <c r="K131" s="107"/>
      <c r="L131" s="107"/>
      <c r="M131" s="107"/>
      <c r="N131" s="107">
        <v>3336.4</v>
      </c>
    </row>
    <row r="132" spans="1:14">
      <c r="A132" s="64"/>
      <c r="B132" s="22"/>
      <c r="C132" s="22"/>
      <c r="D132" s="22"/>
      <c r="E132" s="22"/>
      <c r="F132" s="22"/>
      <c r="G132" s="22"/>
      <c r="H132" s="22"/>
      <c r="I132" s="22"/>
      <c r="J132" s="22"/>
      <c r="K132" s="22"/>
      <c r="L132" s="22"/>
      <c r="M132" s="22"/>
      <c r="N132" s="22"/>
    </row>
    <row r="133" spans="1:14">
      <c r="A133" s="64" t="s">
        <v>20</v>
      </c>
      <c r="B133" s="113"/>
      <c r="C133" s="113"/>
      <c r="D133" s="113"/>
      <c r="E133" s="113"/>
      <c r="F133" s="113"/>
      <c r="G133" s="113"/>
      <c r="H133" s="113"/>
      <c r="I133" s="113"/>
      <c r="J133" s="113"/>
      <c r="K133" s="113"/>
      <c r="L133" s="113"/>
      <c r="M133" s="113"/>
      <c r="N133" s="113"/>
    </row>
    <row r="134" spans="1:14">
      <c r="A134" s="64"/>
      <c r="B134" s="22"/>
      <c r="C134" s="22"/>
      <c r="D134" s="22"/>
      <c r="E134" s="22"/>
      <c r="F134" s="22"/>
      <c r="G134" s="22"/>
      <c r="H134" s="22"/>
      <c r="I134" s="22"/>
      <c r="J134" s="22"/>
      <c r="K134" s="22"/>
      <c r="L134" s="22"/>
      <c r="M134" s="22"/>
      <c r="N134" s="22"/>
    </row>
    <row r="135" spans="1:14">
      <c r="A135" s="64" t="s">
        <v>88</v>
      </c>
      <c r="B135" s="22"/>
      <c r="C135" s="22"/>
      <c r="D135" s="22"/>
      <c r="E135" s="22"/>
      <c r="F135" s="22"/>
      <c r="G135" s="22"/>
      <c r="H135" s="22"/>
      <c r="I135" s="22"/>
      <c r="J135" s="22"/>
      <c r="K135" s="22"/>
      <c r="L135" s="22"/>
      <c r="M135" s="22"/>
      <c r="N135" s="22"/>
    </row>
    <row r="136" spans="1:14">
      <c r="A136" s="64" t="s">
        <v>89</v>
      </c>
      <c r="B136" s="107">
        <v>10728.87</v>
      </c>
      <c r="C136" s="107">
        <v>30437.37</v>
      </c>
      <c r="D136" s="107">
        <v>16441.96</v>
      </c>
      <c r="E136" s="107">
        <v>20230.93</v>
      </c>
      <c r="F136" s="107">
        <v>8982.9</v>
      </c>
      <c r="G136" s="107">
        <v>14500.84</v>
      </c>
      <c r="H136" s="107">
        <v>12674.72</v>
      </c>
      <c r="I136" s="107">
        <v>18540.03</v>
      </c>
      <c r="J136" s="107">
        <v>8269.91</v>
      </c>
      <c r="K136" s="107">
        <v>14403.49</v>
      </c>
      <c r="L136" s="107">
        <v>14145.96</v>
      </c>
      <c r="M136" s="107">
        <v>6483.77</v>
      </c>
      <c r="N136" s="107">
        <v>175840.75</v>
      </c>
    </row>
    <row r="137" spans="1:14">
      <c r="A137" s="64" t="s">
        <v>90</v>
      </c>
      <c r="B137" s="107">
        <v>8715</v>
      </c>
      <c r="C137" s="107">
        <v>14340</v>
      </c>
      <c r="D137" s="107">
        <v>20115</v>
      </c>
      <c r="E137" s="107">
        <v>31530</v>
      </c>
      <c r="F137" s="107">
        <v>18285</v>
      </c>
      <c r="G137" s="107">
        <v>16650</v>
      </c>
      <c r="H137" s="107">
        <v>18645</v>
      </c>
      <c r="I137" s="107">
        <v>29145</v>
      </c>
      <c r="J137" s="107">
        <v>32820</v>
      </c>
      <c r="K137" s="107">
        <v>22980</v>
      </c>
      <c r="L137" s="107">
        <v>27960</v>
      </c>
      <c r="M137" s="107">
        <v>11820</v>
      </c>
      <c r="N137" s="107">
        <v>253005</v>
      </c>
    </row>
    <row r="138" spans="1:14">
      <c r="A138" s="64" t="s">
        <v>91</v>
      </c>
      <c r="B138" s="107">
        <v>8550</v>
      </c>
      <c r="C138" s="107">
        <v>14460</v>
      </c>
      <c r="D138" s="107">
        <v>21435</v>
      </c>
      <c r="E138" s="107">
        <v>27240</v>
      </c>
      <c r="F138" s="107">
        <v>19200</v>
      </c>
      <c r="G138" s="107">
        <v>14355</v>
      </c>
      <c r="H138" s="107">
        <v>22230</v>
      </c>
      <c r="I138" s="107">
        <v>29055</v>
      </c>
      <c r="J138" s="107">
        <v>28740</v>
      </c>
      <c r="K138" s="107">
        <v>23940</v>
      </c>
      <c r="L138" s="107">
        <v>26040</v>
      </c>
      <c r="M138" s="107">
        <v>14595</v>
      </c>
      <c r="N138" s="107">
        <v>249840</v>
      </c>
    </row>
    <row r="139" spans="1:14">
      <c r="A139" s="64" t="s">
        <v>92</v>
      </c>
      <c r="B139" s="107">
        <v>4665</v>
      </c>
      <c r="C139" s="107">
        <v>4600</v>
      </c>
      <c r="D139" s="107">
        <v>3140</v>
      </c>
      <c r="E139" s="107">
        <v>4180</v>
      </c>
      <c r="F139" s="107">
        <v>4285</v>
      </c>
      <c r="G139" s="107">
        <v>4370</v>
      </c>
      <c r="H139" s="107">
        <v>12390</v>
      </c>
      <c r="I139" s="107">
        <v>12585</v>
      </c>
      <c r="J139" s="107">
        <v>15540</v>
      </c>
      <c r="K139" s="107">
        <v>12065</v>
      </c>
      <c r="L139" s="107">
        <v>11225</v>
      </c>
      <c r="M139" s="107">
        <v>4995</v>
      </c>
      <c r="N139" s="107">
        <v>94040</v>
      </c>
    </row>
    <row r="140" spans="1:14">
      <c r="A140" s="64" t="s">
        <v>94</v>
      </c>
      <c r="B140" s="107">
        <v>1350</v>
      </c>
      <c r="C140" s="107">
        <v>1800</v>
      </c>
      <c r="D140" s="107">
        <v>900</v>
      </c>
      <c r="E140" s="107">
        <v>2250</v>
      </c>
      <c r="F140" s="107">
        <v>900</v>
      </c>
      <c r="G140" s="107">
        <v>717.4</v>
      </c>
      <c r="H140" s="107">
        <v>140</v>
      </c>
      <c r="I140" s="107">
        <v>1019.8</v>
      </c>
      <c r="J140" s="107">
        <v>647.4</v>
      </c>
      <c r="K140" s="107">
        <v>210</v>
      </c>
      <c r="L140" s="107">
        <v>210</v>
      </c>
      <c r="M140" s="107">
        <v>450</v>
      </c>
      <c r="N140" s="107">
        <v>10594.6</v>
      </c>
    </row>
    <row r="141" spans="1:14">
      <c r="A141" s="64" t="s">
        <v>95</v>
      </c>
      <c r="B141" s="107">
        <v>672.5</v>
      </c>
      <c r="C141" s="107">
        <v>1587.3</v>
      </c>
      <c r="D141" s="107">
        <v>2929.7</v>
      </c>
      <c r="E141" s="107">
        <v>3354.79</v>
      </c>
      <c r="F141" s="107">
        <v>1340.64</v>
      </c>
      <c r="G141" s="107">
        <v>1397.1</v>
      </c>
      <c r="H141" s="107">
        <v>1233.83</v>
      </c>
      <c r="I141" s="107">
        <v>1628.74</v>
      </c>
      <c r="J141" s="107">
        <v>2060.1</v>
      </c>
      <c r="K141" s="107">
        <v>2641.98</v>
      </c>
      <c r="L141" s="107">
        <v>1743.29</v>
      </c>
      <c r="M141" s="107">
        <v>1127.99</v>
      </c>
      <c r="N141" s="107">
        <v>21717.96</v>
      </c>
    </row>
    <row r="142" spans="1:14">
      <c r="A142" s="64" t="s">
        <v>98</v>
      </c>
      <c r="B142" s="111">
        <v>-34681.370000000003</v>
      </c>
      <c r="C142" s="111">
        <v>-67224.67</v>
      </c>
      <c r="D142" s="111">
        <v>-64961.66</v>
      </c>
      <c r="E142" s="111">
        <v>-88785.72</v>
      </c>
      <c r="F142" s="111">
        <v>-52993.54</v>
      </c>
      <c r="G142" s="111">
        <v>-51990.34</v>
      </c>
      <c r="H142" s="111">
        <v>-67313.55</v>
      </c>
      <c r="I142" s="111">
        <v>-91973.57</v>
      </c>
      <c r="J142" s="111">
        <v>-88077.41</v>
      </c>
      <c r="K142" s="111">
        <v>-76240.47</v>
      </c>
      <c r="L142" s="111">
        <v>-81324.25</v>
      </c>
      <c r="M142" s="111">
        <v>-39471.760000000002</v>
      </c>
      <c r="N142" s="111">
        <v>-805038.31</v>
      </c>
    </row>
    <row r="143" spans="1:14">
      <c r="A143" s="64"/>
      <c r="B143" s="22"/>
      <c r="C143" s="22"/>
      <c r="D143" s="22"/>
      <c r="E143" s="22"/>
      <c r="F143" s="22"/>
      <c r="G143" s="22"/>
      <c r="H143" s="22"/>
      <c r="I143" s="22"/>
      <c r="J143" s="22"/>
      <c r="K143" s="22"/>
      <c r="L143" s="22"/>
      <c r="M143" s="22"/>
      <c r="N143" s="22"/>
    </row>
    <row r="144" spans="1:14">
      <c r="A144" s="64" t="s">
        <v>99</v>
      </c>
      <c r="B144" s="22"/>
      <c r="C144" s="22"/>
      <c r="D144" s="22"/>
      <c r="E144" s="22"/>
      <c r="F144" s="22"/>
      <c r="G144" s="22"/>
      <c r="H144" s="22"/>
      <c r="I144" s="22"/>
      <c r="J144" s="22"/>
      <c r="K144" s="22"/>
      <c r="L144" s="22"/>
      <c r="M144" s="22"/>
      <c r="N144" s="22"/>
    </row>
    <row r="145" spans="1:14">
      <c r="A145" s="64" t="s">
        <v>382</v>
      </c>
      <c r="B145" s="22"/>
      <c r="C145" s="22"/>
      <c r="D145" s="22"/>
      <c r="E145" s="22"/>
      <c r="F145" s="22"/>
      <c r="G145" s="22"/>
      <c r="H145" s="22"/>
      <c r="I145" s="107">
        <v>61.59</v>
      </c>
      <c r="J145" s="22"/>
      <c r="K145" s="22"/>
      <c r="L145" s="22"/>
      <c r="M145" s="22"/>
      <c r="N145" s="107">
        <v>61.59</v>
      </c>
    </row>
    <row r="146" spans="1:14">
      <c r="A146" s="64" t="s">
        <v>100</v>
      </c>
      <c r="B146" s="107">
        <v>22305</v>
      </c>
      <c r="C146" s="107">
        <v>5070</v>
      </c>
      <c r="D146" s="107">
        <v>9075.18</v>
      </c>
      <c r="E146" s="107">
        <v>6630</v>
      </c>
      <c r="F146" s="107">
        <v>12345</v>
      </c>
      <c r="G146" s="107">
        <v>5595</v>
      </c>
      <c r="H146" s="107">
        <v>17115</v>
      </c>
      <c r="I146" s="107">
        <v>10515</v>
      </c>
      <c r="J146" s="107">
        <v>8745</v>
      </c>
      <c r="K146" s="107">
        <v>9765.06</v>
      </c>
      <c r="L146" s="107">
        <v>825</v>
      </c>
      <c r="M146" s="107">
        <v>4080</v>
      </c>
      <c r="N146" s="107">
        <v>112065.24</v>
      </c>
    </row>
    <row r="147" spans="1:14">
      <c r="A147" s="64" t="s">
        <v>101</v>
      </c>
      <c r="B147" s="107">
        <v>21705</v>
      </c>
      <c r="C147" s="107">
        <v>3075</v>
      </c>
      <c r="D147" s="107">
        <v>5430.16</v>
      </c>
      <c r="E147" s="107">
        <v>5340</v>
      </c>
      <c r="F147" s="107">
        <v>4635</v>
      </c>
      <c r="G147" s="107">
        <v>1155</v>
      </c>
      <c r="H147" s="107">
        <v>16305</v>
      </c>
      <c r="I147" s="107">
        <v>4515</v>
      </c>
      <c r="J147" s="107">
        <v>2565</v>
      </c>
      <c r="K147" s="107">
        <v>3525.08</v>
      </c>
      <c r="L147" s="107">
        <v>1485</v>
      </c>
      <c r="M147" s="107">
        <v>7230</v>
      </c>
      <c r="N147" s="107">
        <v>76965.240000000005</v>
      </c>
    </row>
    <row r="148" spans="1:14">
      <c r="A148" s="64" t="s">
        <v>102</v>
      </c>
      <c r="B148" s="107">
        <v>2245</v>
      </c>
      <c r="C148" s="107">
        <v>1900</v>
      </c>
      <c r="D148" s="107">
        <v>950.06</v>
      </c>
      <c r="E148" s="107">
        <v>1450</v>
      </c>
      <c r="F148" s="107">
        <v>1215</v>
      </c>
      <c r="G148" s="107">
        <v>-335</v>
      </c>
      <c r="H148" s="107">
        <v>2630</v>
      </c>
      <c r="I148" s="107">
        <v>6870</v>
      </c>
      <c r="J148" s="107">
        <v>2205</v>
      </c>
      <c r="K148" s="107">
        <v>3830</v>
      </c>
      <c r="L148" s="107">
        <v>-75</v>
      </c>
      <c r="M148" s="107">
        <v>3150</v>
      </c>
      <c r="N148" s="107">
        <v>26035.06</v>
      </c>
    </row>
    <row r="149" spans="1:14">
      <c r="A149" s="64" t="s">
        <v>103</v>
      </c>
      <c r="B149" s="111">
        <v>-20656.5</v>
      </c>
      <c r="C149" s="111">
        <v>-4832.9799999999996</v>
      </c>
      <c r="D149" s="111">
        <v>-6034.81</v>
      </c>
      <c r="E149" s="111">
        <v>-5975.07</v>
      </c>
      <c r="F149" s="111">
        <v>-7392.41</v>
      </c>
      <c r="G149" s="111">
        <v>-2452.98</v>
      </c>
      <c r="H149" s="111">
        <v>-17886.59</v>
      </c>
      <c r="I149" s="111">
        <v>-9091.43</v>
      </c>
      <c r="J149" s="111">
        <v>-5570.9</v>
      </c>
      <c r="K149" s="111">
        <v>-7181.64</v>
      </c>
      <c r="L149" s="111">
        <v>-1299.7</v>
      </c>
      <c r="M149" s="111">
        <v>-7072.33</v>
      </c>
      <c r="N149" s="111">
        <v>-95447.34</v>
      </c>
    </row>
    <row r="150" spans="1:14">
      <c r="A150" s="64" t="s">
        <v>104</v>
      </c>
      <c r="B150" s="107">
        <f t="shared" ref="B150:M150" si="49">SUM(B144:B149)</f>
        <v>25598.5</v>
      </c>
      <c r="C150" s="107">
        <f t="shared" si="49"/>
        <v>5212.0200000000004</v>
      </c>
      <c r="D150" s="107">
        <f t="shared" si="49"/>
        <v>9420.59</v>
      </c>
      <c r="E150" s="107">
        <f t="shared" si="49"/>
        <v>7444.93</v>
      </c>
      <c r="F150" s="107">
        <f t="shared" si="49"/>
        <v>10802.59</v>
      </c>
      <c r="G150" s="107">
        <f t="shared" si="49"/>
        <v>3962.02</v>
      </c>
      <c r="H150" s="107">
        <f t="shared" si="49"/>
        <v>18163.41</v>
      </c>
      <c r="I150" s="107">
        <f t="shared" si="49"/>
        <v>12870.16</v>
      </c>
      <c r="J150" s="107">
        <f t="shared" si="49"/>
        <v>7944.1</v>
      </c>
      <c r="K150" s="107">
        <f t="shared" si="49"/>
        <v>9938.5</v>
      </c>
      <c r="L150" s="107">
        <f t="shared" si="49"/>
        <v>935.3</v>
      </c>
      <c r="M150" s="107">
        <f t="shared" si="49"/>
        <v>7387.67</v>
      </c>
      <c r="N150" s="107">
        <v>119679.79</v>
      </c>
    </row>
    <row r="151" spans="1:14">
      <c r="A151" s="64"/>
      <c r="B151" s="22"/>
      <c r="C151" s="22"/>
      <c r="D151" s="22"/>
      <c r="E151" s="22"/>
      <c r="F151" s="22"/>
      <c r="G151" s="22"/>
      <c r="H151" s="22"/>
      <c r="I151" s="22"/>
      <c r="J151" s="22"/>
      <c r="K151" s="22"/>
      <c r="L151" s="22"/>
      <c r="M151" s="22"/>
      <c r="N151" s="22"/>
    </row>
    <row r="152" spans="1:14">
      <c r="A152" s="64" t="s">
        <v>105</v>
      </c>
      <c r="B152" s="113"/>
      <c r="C152" s="113"/>
      <c r="D152" s="113"/>
      <c r="E152" s="113"/>
      <c r="F152" s="113"/>
      <c r="G152" s="113"/>
      <c r="H152" s="113"/>
      <c r="I152" s="113"/>
      <c r="J152" s="113"/>
      <c r="K152" s="113"/>
      <c r="L152" s="113"/>
      <c r="M152" s="113"/>
      <c r="N152" s="113"/>
    </row>
    <row r="153" spans="1:14">
      <c r="A153" s="64"/>
      <c r="B153" s="22"/>
      <c r="C153" s="22"/>
      <c r="D153" s="22"/>
      <c r="E153" s="22"/>
      <c r="F153" s="22"/>
      <c r="G153" s="22"/>
      <c r="H153" s="22"/>
      <c r="I153" s="22"/>
      <c r="J153" s="22"/>
      <c r="K153" s="22"/>
      <c r="L153" s="22"/>
      <c r="M153" s="22"/>
      <c r="N153" s="22"/>
    </row>
    <row r="154" spans="1:14">
      <c r="A154" s="64" t="s">
        <v>106</v>
      </c>
      <c r="B154" s="22"/>
      <c r="C154" s="22"/>
      <c r="D154" s="22"/>
      <c r="E154" s="22"/>
      <c r="F154" s="22"/>
      <c r="G154" s="22"/>
      <c r="H154" s="22"/>
      <c r="I154" s="22"/>
      <c r="J154" s="22"/>
      <c r="K154" s="22"/>
      <c r="L154" s="22"/>
      <c r="M154" s="22"/>
      <c r="N154" s="22"/>
    </row>
    <row r="155" spans="1:14">
      <c r="A155" s="64" t="s">
        <v>107</v>
      </c>
      <c r="B155" s="107">
        <v>28830.48</v>
      </c>
      <c r="C155" s="107">
        <v>24165.1</v>
      </c>
      <c r="D155" s="107">
        <v>19859.05</v>
      </c>
      <c r="E155" s="107">
        <v>27030.29</v>
      </c>
      <c r="F155" s="107">
        <v>24433.38</v>
      </c>
      <c r="G155" s="107">
        <v>21704.86</v>
      </c>
      <c r="H155" s="107">
        <v>20539.650000000001</v>
      </c>
      <c r="I155" s="107">
        <v>19111.54</v>
      </c>
      <c r="J155" s="107">
        <v>14005</v>
      </c>
      <c r="K155" s="107">
        <v>18512.37</v>
      </c>
      <c r="L155" s="107">
        <v>17352.349999999999</v>
      </c>
      <c r="M155" s="107">
        <v>28617.34</v>
      </c>
      <c r="N155" s="107">
        <v>264161.40999999997</v>
      </c>
    </row>
    <row r="156" spans="1:14">
      <c r="A156" s="64" t="s">
        <v>383</v>
      </c>
      <c r="B156" s="22"/>
      <c r="C156" s="22"/>
      <c r="D156" s="22"/>
      <c r="E156" s="22"/>
      <c r="F156" s="22"/>
      <c r="G156" s="22"/>
      <c r="H156" s="22"/>
      <c r="I156" s="107">
        <v>615.9</v>
      </c>
      <c r="J156" s="107">
        <v>-615.9</v>
      </c>
      <c r="K156" s="22"/>
      <c r="L156" s="22"/>
      <c r="M156" s="22"/>
      <c r="N156" s="107"/>
    </row>
    <row r="157" spans="1:14">
      <c r="A157" s="64" t="s">
        <v>108</v>
      </c>
      <c r="B157" s="107">
        <v>38340</v>
      </c>
      <c r="C157" s="107">
        <v>36345</v>
      </c>
      <c r="D157" s="107">
        <v>34980</v>
      </c>
      <c r="E157" s="107">
        <v>35745</v>
      </c>
      <c r="F157" s="107">
        <v>46590</v>
      </c>
      <c r="G157" s="107">
        <v>45165</v>
      </c>
      <c r="H157" s="107">
        <v>53820</v>
      </c>
      <c r="I157" s="107">
        <v>55755</v>
      </c>
      <c r="J157" s="107">
        <v>42300</v>
      </c>
      <c r="K157" s="107">
        <v>32520</v>
      </c>
      <c r="L157" s="107">
        <v>40680</v>
      </c>
      <c r="M157" s="107">
        <v>50805</v>
      </c>
      <c r="N157" s="107">
        <v>513045</v>
      </c>
    </row>
    <row r="158" spans="1:14">
      <c r="A158" s="64" t="s">
        <v>109</v>
      </c>
      <c r="B158" s="107">
        <v>35220</v>
      </c>
      <c r="C158" s="107">
        <v>34635</v>
      </c>
      <c r="D158" s="107">
        <v>34905</v>
      </c>
      <c r="E158" s="107">
        <v>42315</v>
      </c>
      <c r="F158" s="107">
        <v>46350</v>
      </c>
      <c r="G158" s="107">
        <v>46815</v>
      </c>
      <c r="H158" s="107">
        <v>43470</v>
      </c>
      <c r="I158" s="107">
        <v>44805</v>
      </c>
      <c r="J158" s="107">
        <v>32280</v>
      </c>
      <c r="K158" s="107">
        <v>33840</v>
      </c>
      <c r="L158" s="107">
        <v>40950</v>
      </c>
      <c r="M158" s="107">
        <v>45795</v>
      </c>
      <c r="N158" s="107">
        <v>481380</v>
      </c>
    </row>
    <row r="159" spans="1:14">
      <c r="A159" s="64" t="s">
        <v>110</v>
      </c>
      <c r="B159" s="107">
        <v>9135</v>
      </c>
      <c r="C159" s="107">
        <v>14280</v>
      </c>
      <c r="D159" s="107">
        <v>15330</v>
      </c>
      <c r="E159" s="107">
        <v>7295</v>
      </c>
      <c r="F159" s="107">
        <v>6295</v>
      </c>
      <c r="G159" s="107">
        <v>17785</v>
      </c>
      <c r="H159" s="107">
        <v>18180</v>
      </c>
      <c r="I159" s="107">
        <v>20280</v>
      </c>
      <c r="J159" s="107">
        <v>18715</v>
      </c>
      <c r="K159" s="107">
        <v>11390</v>
      </c>
      <c r="L159" s="107">
        <v>19380</v>
      </c>
      <c r="M159" s="107">
        <v>20170</v>
      </c>
      <c r="N159" s="107">
        <v>178235</v>
      </c>
    </row>
    <row r="160" spans="1:14">
      <c r="A160" s="64" t="s">
        <v>111</v>
      </c>
      <c r="B160" s="107">
        <v>3150</v>
      </c>
      <c r="C160" s="107">
        <v>3150</v>
      </c>
      <c r="D160" s="107">
        <v>2700</v>
      </c>
      <c r="E160" s="107">
        <v>3150</v>
      </c>
      <c r="F160" s="107">
        <v>7200</v>
      </c>
      <c r="G160" s="107">
        <v>-137.18</v>
      </c>
      <c r="H160" s="107">
        <v>552.82000000000005</v>
      </c>
      <c r="I160" s="107">
        <v>606.98</v>
      </c>
      <c r="J160" s="107">
        <v>86.24</v>
      </c>
      <c r="K160" s="107">
        <v>-790</v>
      </c>
      <c r="L160" s="107">
        <v>972.82</v>
      </c>
      <c r="M160" s="107">
        <v>4050</v>
      </c>
      <c r="N160" s="107">
        <v>24691.68</v>
      </c>
    </row>
    <row r="161" spans="1:14">
      <c r="A161" s="64" t="s">
        <v>112</v>
      </c>
      <c r="B161" s="107">
        <v>2751.6</v>
      </c>
      <c r="C161" s="107">
        <v>1691.3</v>
      </c>
      <c r="D161" s="107">
        <v>1500.96</v>
      </c>
      <c r="E161" s="107">
        <v>4449.01</v>
      </c>
      <c r="F161" s="107">
        <v>1493.38</v>
      </c>
      <c r="G161" s="107">
        <v>1691.39</v>
      </c>
      <c r="H161" s="107">
        <v>2158.1799999999998</v>
      </c>
      <c r="I161" s="107">
        <v>1839.02</v>
      </c>
      <c r="J161" s="107">
        <v>1437.45</v>
      </c>
      <c r="K161" s="107">
        <v>911.08</v>
      </c>
      <c r="L161" s="107">
        <v>2533.81</v>
      </c>
      <c r="M161" s="107">
        <v>5511.29</v>
      </c>
      <c r="N161" s="107">
        <v>27968.47</v>
      </c>
    </row>
    <row r="162" spans="1:14">
      <c r="A162" s="64" t="s">
        <v>115</v>
      </c>
      <c r="B162" s="111">
        <v>-104369.2</v>
      </c>
      <c r="C162" s="111">
        <v>-110611.64</v>
      </c>
      <c r="D162" s="111">
        <v>-110756.55</v>
      </c>
      <c r="E162" s="111">
        <v>-110332.32</v>
      </c>
      <c r="F162" s="111">
        <v>-128906.05</v>
      </c>
      <c r="G162" s="111">
        <v>-120524.1</v>
      </c>
      <c r="H162" s="111">
        <v>-129958.68</v>
      </c>
      <c r="I162" s="111">
        <v>-128973.11</v>
      </c>
      <c r="J162" s="111">
        <v>-99791.02</v>
      </c>
      <c r="K162" s="111">
        <v>-86542.38</v>
      </c>
      <c r="L162" s="111">
        <v>-114737.37</v>
      </c>
      <c r="M162" s="111">
        <v>-141003.22</v>
      </c>
      <c r="N162" s="111">
        <v>-1386505.64</v>
      </c>
    </row>
    <row r="163" spans="1:14">
      <c r="A163" s="64" t="s">
        <v>116</v>
      </c>
      <c r="B163" s="107">
        <f t="shared" ref="B163:M163" si="50">SUM(B154:B162)</f>
        <v>13057.880000000005</v>
      </c>
      <c r="C163" s="107">
        <f t="shared" si="50"/>
        <v>3654.7600000000093</v>
      </c>
      <c r="D163" s="107">
        <f t="shared" si="50"/>
        <v>-1481.5399999999936</v>
      </c>
      <c r="E163" s="107">
        <f t="shared" si="50"/>
        <v>9651.9799999999959</v>
      </c>
      <c r="F163" s="107">
        <f t="shared" si="50"/>
        <v>3455.7100000000064</v>
      </c>
      <c r="G163" s="107">
        <f t="shared" si="50"/>
        <v>12499.970000000001</v>
      </c>
      <c r="H163" s="107">
        <f t="shared" si="50"/>
        <v>8761.9700000000012</v>
      </c>
      <c r="I163" s="107">
        <f t="shared" si="50"/>
        <v>14040.330000000002</v>
      </c>
      <c r="J163" s="107">
        <f t="shared" si="50"/>
        <v>8416.7700000000041</v>
      </c>
      <c r="K163" s="107">
        <f t="shared" si="50"/>
        <v>9841.0699999999924</v>
      </c>
      <c r="L163" s="107">
        <f t="shared" si="50"/>
        <v>7131.6100000000151</v>
      </c>
      <c r="M163" s="107">
        <f t="shared" si="50"/>
        <v>13945.410000000003</v>
      </c>
      <c r="N163" s="107">
        <v>102975.92</v>
      </c>
    </row>
    <row r="164" spans="1:14">
      <c r="A164" s="64"/>
      <c r="B164" s="22"/>
      <c r="C164" s="22"/>
      <c r="D164" s="22"/>
      <c r="E164" s="22"/>
      <c r="F164" s="22"/>
      <c r="G164" s="22"/>
      <c r="H164" s="22"/>
      <c r="I164" s="22"/>
      <c r="J164" s="22"/>
      <c r="K164" s="22"/>
      <c r="L164" s="22"/>
      <c r="M164" s="22"/>
      <c r="N164" s="22"/>
    </row>
    <row r="165" spans="1:14">
      <c r="A165" s="64" t="s">
        <v>117</v>
      </c>
      <c r="B165" s="22"/>
      <c r="C165" s="22"/>
      <c r="D165" s="22"/>
      <c r="E165" s="22"/>
      <c r="F165" s="22"/>
      <c r="G165" s="22"/>
      <c r="H165" s="22"/>
      <c r="I165" s="22"/>
      <c r="J165" s="22"/>
      <c r="K165" s="22"/>
      <c r="L165" s="22"/>
      <c r="M165" s="22"/>
      <c r="N165" s="22"/>
    </row>
    <row r="166" spans="1:14">
      <c r="A166" s="64" t="s">
        <v>282</v>
      </c>
      <c r="B166" s="22"/>
      <c r="C166" s="22"/>
      <c r="D166" s="22"/>
      <c r="E166" s="22"/>
      <c r="F166" s="22"/>
      <c r="G166" s="22"/>
      <c r="H166" s="22"/>
      <c r="I166" s="22"/>
      <c r="J166" s="22"/>
      <c r="K166" s="22"/>
      <c r="L166" s="22"/>
      <c r="M166" s="22"/>
      <c r="N166" s="22"/>
    </row>
    <row r="167" spans="1:14">
      <c r="A167" s="64" t="s">
        <v>118</v>
      </c>
      <c r="B167" s="22"/>
      <c r="C167" s="22"/>
      <c r="D167" s="22"/>
      <c r="E167" s="107">
        <v>167.42</v>
      </c>
      <c r="F167" s="22"/>
      <c r="G167" s="107">
        <v>1302.1199999999999</v>
      </c>
      <c r="H167" s="107">
        <v>-167.42</v>
      </c>
      <c r="I167" s="22"/>
      <c r="J167" s="22"/>
      <c r="K167" s="22"/>
      <c r="L167" s="22"/>
      <c r="M167" s="107">
        <v>125.29</v>
      </c>
      <c r="N167" s="107">
        <v>1427.41</v>
      </c>
    </row>
    <row r="168" spans="1:14">
      <c r="A168" s="64" t="s">
        <v>119</v>
      </c>
      <c r="B168" s="107">
        <v>1125</v>
      </c>
      <c r="C168" s="107">
        <v>1380</v>
      </c>
      <c r="D168" s="107">
        <v>1755</v>
      </c>
      <c r="E168" s="107">
        <v>4635</v>
      </c>
      <c r="F168" s="22"/>
      <c r="G168" s="22"/>
      <c r="H168" s="107">
        <v>-2460</v>
      </c>
      <c r="I168" s="22"/>
      <c r="J168" s="22"/>
      <c r="K168" s="22"/>
      <c r="L168" s="107">
        <v>-300</v>
      </c>
      <c r="M168" s="107">
        <v>2145</v>
      </c>
      <c r="N168" s="107">
        <v>8280</v>
      </c>
    </row>
    <row r="169" spans="1:14">
      <c r="A169" s="64" t="s">
        <v>120</v>
      </c>
      <c r="B169" s="107">
        <v>1080</v>
      </c>
      <c r="C169" s="107">
        <v>1830</v>
      </c>
      <c r="D169" s="107">
        <v>2085</v>
      </c>
      <c r="E169" s="107">
        <v>5070</v>
      </c>
      <c r="F169" s="22"/>
      <c r="G169" s="107">
        <v>-45</v>
      </c>
      <c r="H169" s="107">
        <v>-4350</v>
      </c>
      <c r="I169" s="107">
        <v>1200</v>
      </c>
      <c r="J169" s="22"/>
      <c r="K169" s="22"/>
      <c r="L169" s="22"/>
      <c r="M169" s="107">
        <v>2415</v>
      </c>
      <c r="N169" s="107">
        <v>9285</v>
      </c>
    </row>
    <row r="170" spans="1:14">
      <c r="A170" s="64" t="s">
        <v>121</v>
      </c>
      <c r="B170" s="22"/>
      <c r="C170" s="107">
        <v>1355</v>
      </c>
      <c r="D170" s="22"/>
      <c r="E170" s="107">
        <v>250</v>
      </c>
      <c r="F170" s="22"/>
      <c r="G170" s="22"/>
      <c r="H170" s="107">
        <v>-250</v>
      </c>
      <c r="I170" s="22"/>
      <c r="J170" s="22"/>
      <c r="K170" s="22"/>
      <c r="L170" s="22"/>
      <c r="M170" s="22"/>
      <c r="N170" s="107">
        <v>1355</v>
      </c>
    </row>
    <row r="171" spans="1:14">
      <c r="A171" s="64" t="s">
        <v>122</v>
      </c>
      <c r="B171" s="22"/>
      <c r="C171" s="22"/>
      <c r="D171" s="107">
        <v>69.88</v>
      </c>
      <c r="E171" s="107">
        <v>60</v>
      </c>
      <c r="F171" s="107">
        <v>144.71</v>
      </c>
      <c r="G171" s="22"/>
      <c r="H171" s="107">
        <v>114.89</v>
      </c>
      <c r="I171" s="22"/>
      <c r="J171" s="22"/>
      <c r="K171" s="22"/>
      <c r="L171" s="22"/>
      <c r="M171" s="107">
        <v>81.42</v>
      </c>
      <c r="N171" s="107">
        <v>470.9</v>
      </c>
    </row>
    <row r="172" spans="1:14">
      <c r="A172" s="64" t="s">
        <v>124</v>
      </c>
      <c r="B172" s="111">
        <v>740</v>
      </c>
      <c r="C172" s="111">
        <v>645</v>
      </c>
      <c r="D172" s="111">
        <v>585</v>
      </c>
      <c r="E172" s="111">
        <v>475</v>
      </c>
      <c r="F172" s="111">
        <v>420</v>
      </c>
      <c r="G172" s="111">
        <v>335</v>
      </c>
      <c r="H172" s="111">
        <v>280</v>
      </c>
      <c r="I172" s="111">
        <v>680</v>
      </c>
      <c r="J172" s="111">
        <v>450</v>
      </c>
      <c r="K172" s="111">
        <v>375</v>
      </c>
      <c r="L172" s="111">
        <v>235</v>
      </c>
      <c r="M172" s="111">
        <v>90</v>
      </c>
      <c r="N172" s="111">
        <v>5310</v>
      </c>
    </row>
    <row r="173" spans="1:14">
      <c r="A173" s="64" t="s">
        <v>127</v>
      </c>
      <c r="B173" s="107">
        <f t="shared" ref="B173:M173" si="51">SUM(B165:B172)</f>
        <v>2945</v>
      </c>
      <c r="C173" s="107">
        <f t="shared" si="51"/>
        <v>5210</v>
      </c>
      <c r="D173" s="107">
        <f t="shared" si="51"/>
        <v>4494.88</v>
      </c>
      <c r="E173" s="107">
        <f t="shared" si="51"/>
        <v>10657.42</v>
      </c>
      <c r="F173" s="107">
        <f t="shared" si="51"/>
        <v>564.71</v>
      </c>
      <c r="G173" s="107">
        <f t="shared" si="51"/>
        <v>1592.12</v>
      </c>
      <c r="H173" s="107">
        <f t="shared" si="51"/>
        <v>-6832.53</v>
      </c>
      <c r="I173" s="107">
        <f t="shared" si="51"/>
        <v>1880</v>
      </c>
      <c r="J173" s="107">
        <f t="shared" si="51"/>
        <v>450</v>
      </c>
      <c r="K173" s="107">
        <f t="shared" si="51"/>
        <v>375</v>
      </c>
      <c r="L173" s="107">
        <f t="shared" si="51"/>
        <v>-65</v>
      </c>
      <c r="M173" s="107">
        <f t="shared" si="51"/>
        <v>4856.71</v>
      </c>
      <c r="N173" s="107">
        <v>26128.31</v>
      </c>
    </row>
    <row r="174" spans="1:14">
      <c r="A174" s="64"/>
      <c r="B174" s="22"/>
      <c r="C174" s="22"/>
      <c r="D174" s="22"/>
      <c r="E174" s="22"/>
      <c r="F174" s="22"/>
      <c r="G174" s="22"/>
      <c r="H174" s="22"/>
      <c r="I174" s="22"/>
      <c r="J174" s="22"/>
      <c r="K174" s="22"/>
      <c r="L174" s="22"/>
      <c r="M174" s="22"/>
      <c r="N174" s="22"/>
    </row>
    <row r="175" spans="1:14">
      <c r="A175" s="64" t="s">
        <v>47</v>
      </c>
      <c r="B175" s="107">
        <f t="shared" ref="B175:M175" si="52">SUM(B119:B174)-B131-0-0-B150-0-B163-B173</f>
        <v>41601.37999999999</v>
      </c>
      <c r="C175" s="107">
        <f t="shared" si="52"/>
        <v>25365.22</v>
      </c>
      <c r="D175" s="107">
        <f t="shared" si="52"/>
        <v>22634.849999999991</v>
      </c>
      <c r="E175" s="107">
        <f t="shared" si="52"/>
        <v>32603.409999999996</v>
      </c>
      <c r="F175" s="107">
        <f t="shared" si="52"/>
        <v>15089.49000000002</v>
      </c>
      <c r="G175" s="107">
        <f t="shared" si="52"/>
        <v>18244.270000000019</v>
      </c>
      <c r="H175" s="107">
        <f t="shared" si="52"/>
        <v>-3365.8299999999899</v>
      </c>
      <c r="I175" s="107">
        <f t="shared" si="52"/>
        <v>28790.490000000005</v>
      </c>
      <c r="J175" s="107">
        <f t="shared" si="52"/>
        <v>16810.870000000003</v>
      </c>
      <c r="K175" s="107">
        <f t="shared" si="52"/>
        <v>20154.569999999978</v>
      </c>
      <c r="L175" s="107">
        <f t="shared" si="52"/>
        <v>8001.9099999999926</v>
      </c>
      <c r="M175" s="107">
        <f t="shared" si="52"/>
        <v>26189.79</v>
      </c>
      <c r="N175" s="107">
        <v>252120.42</v>
      </c>
    </row>
    <row r="176" spans="1:14">
      <c r="A176" s="64"/>
      <c r="B176" s="22"/>
      <c r="C176" s="22"/>
      <c r="D176" s="22"/>
      <c r="E176" s="22"/>
      <c r="F176" s="22"/>
      <c r="G176" s="22"/>
      <c r="H176" s="22"/>
      <c r="I176" s="22"/>
      <c r="J176" s="22"/>
      <c r="K176" s="22"/>
      <c r="L176" s="22"/>
      <c r="M176" s="22"/>
      <c r="N176" s="22"/>
    </row>
    <row r="177" spans="1:14">
      <c r="A177" s="64" t="s">
        <v>48</v>
      </c>
      <c r="B177" s="22"/>
      <c r="C177" s="22"/>
      <c r="D177" s="22"/>
      <c r="E177" s="22"/>
      <c r="F177" s="22"/>
      <c r="G177" s="22"/>
      <c r="H177" s="22"/>
      <c r="I177" s="22"/>
      <c r="J177" s="22"/>
      <c r="K177" s="22"/>
      <c r="L177" s="22"/>
      <c r="M177" s="22"/>
      <c r="N177" s="22"/>
    </row>
    <row r="178" spans="1:14">
      <c r="A178" s="64" t="s">
        <v>326</v>
      </c>
      <c r="B178" s="22"/>
      <c r="C178" s="22"/>
      <c r="D178" s="22"/>
      <c r="E178" s="22"/>
      <c r="F178" s="22"/>
      <c r="G178" s="22"/>
      <c r="H178" s="22"/>
      <c r="I178" s="107">
        <v>229.52</v>
      </c>
      <c r="J178" s="107">
        <v>-459.04</v>
      </c>
      <c r="K178" s="22"/>
      <c r="L178" s="22"/>
      <c r="M178" s="22"/>
      <c r="N178" s="107">
        <v>-229.52</v>
      </c>
    </row>
    <row r="179" spans="1:14">
      <c r="A179" s="64" t="s">
        <v>130</v>
      </c>
      <c r="B179" s="107">
        <v>75</v>
      </c>
      <c r="C179" s="107">
        <v>75</v>
      </c>
      <c r="D179" s="107">
        <v>75</v>
      </c>
      <c r="E179" s="107">
        <v>75</v>
      </c>
      <c r="F179" s="107">
        <v>75</v>
      </c>
      <c r="G179" s="107">
        <v>75</v>
      </c>
      <c r="H179" s="107">
        <v>75</v>
      </c>
      <c r="I179" s="107">
        <v>75</v>
      </c>
      <c r="J179" s="107">
        <v>75</v>
      </c>
      <c r="K179" s="107">
        <v>75</v>
      </c>
      <c r="L179" s="107">
        <v>75</v>
      </c>
      <c r="M179" s="107">
        <v>75</v>
      </c>
      <c r="N179" s="107">
        <v>900</v>
      </c>
    </row>
    <row r="180" spans="1:14">
      <c r="A180" s="64" t="s">
        <v>132</v>
      </c>
      <c r="B180" s="107">
        <v>3886</v>
      </c>
      <c r="C180" s="107">
        <v>2266.0500000000002</v>
      </c>
      <c r="D180" s="107">
        <v>219.37</v>
      </c>
      <c r="E180" s="107">
        <v>520.16999999999996</v>
      </c>
      <c r="F180" s="107">
        <v>21874.15</v>
      </c>
      <c r="G180" s="107">
        <v>-1403.07</v>
      </c>
      <c r="H180" s="107">
        <v>1.03</v>
      </c>
      <c r="I180" s="22"/>
      <c r="J180" s="107">
        <v>371.51</v>
      </c>
      <c r="K180" s="107">
        <v>11897.73</v>
      </c>
      <c r="L180" s="107">
        <v>6321.93</v>
      </c>
      <c r="M180" s="22"/>
      <c r="N180" s="107">
        <v>45954.87</v>
      </c>
    </row>
    <row r="181" spans="1:14">
      <c r="A181" s="64" t="s">
        <v>133</v>
      </c>
      <c r="B181" s="107">
        <v>38857</v>
      </c>
      <c r="C181" s="107">
        <v>83501</v>
      </c>
      <c r="D181" s="107">
        <v>92264</v>
      </c>
      <c r="E181" s="107">
        <v>80119</v>
      </c>
      <c r="F181" s="107">
        <v>156778</v>
      </c>
      <c r="G181" s="107">
        <v>40867</v>
      </c>
      <c r="H181" s="107">
        <v>42712</v>
      </c>
      <c r="I181" s="107">
        <v>48128</v>
      </c>
      <c r="J181" s="107">
        <v>46378</v>
      </c>
      <c r="K181" s="107">
        <v>46732</v>
      </c>
      <c r="L181" s="107">
        <v>43161</v>
      </c>
      <c r="M181" s="107">
        <v>45550</v>
      </c>
      <c r="N181" s="107">
        <v>765047</v>
      </c>
    </row>
    <row r="182" spans="1:14">
      <c r="A182" s="64" t="s">
        <v>360</v>
      </c>
      <c r="B182" s="107">
        <v>8300</v>
      </c>
      <c r="C182" s="107">
        <v>5000</v>
      </c>
      <c r="D182" s="107">
        <v>4800</v>
      </c>
      <c r="E182" s="107">
        <v>4500</v>
      </c>
      <c r="F182" s="107">
        <v>3000</v>
      </c>
      <c r="G182" s="107">
        <v>3150</v>
      </c>
      <c r="H182" s="107">
        <v>2600</v>
      </c>
      <c r="I182" s="107">
        <v>2200</v>
      </c>
      <c r="J182" s="107">
        <v>3700</v>
      </c>
      <c r="K182" s="107">
        <v>5421</v>
      </c>
      <c r="L182" s="107">
        <v>3600</v>
      </c>
      <c r="M182" s="107">
        <v>700</v>
      </c>
      <c r="N182" s="107">
        <v>46971</v>
      </c>
    </row>
    <row r="183" spans="1:14">
      <c r="A183" s="64" t="s">
        <v>134</v>
      </c>
      <c r="B183" s="107">
        <v>96.62</v>
      </c>
      <c r="C183" s="107">
        <v>14.08</v>
      </c>
      <c r="D183" s="107">
        <v>28.83</v>
      </c>
      <c r="E183" s="107">
        <v>0.32</v>
      </c>
      <c r="F183" s="107">
        <v>0.78</v>
      </c>
      <c r="G183" s="107">
        <v>9.4</v>
      </c>
      <c r="H183" s="107">
        <v>17.899999999999999</v>
      </c>
      <c r="I183" s="107">
        <v>17.91</v>
      </c>
      <c r="J183" s="107">
        <v>29.06</v>
      </c>
      <c r="K183" s="107">
        <v>4</v>
      </c>
      <c r="L183" s="107">
        <v>288.88</v>
      </c>
      <c r="M183" s="107">
        <v>10.38</v>
      </c>
      <c r="N183" s="107">
        <v>518.16</v>
      </c>
    </row>
    <row r="184" spans="1:14">
      <c r="A184" s="64" t="s">
        <v>396</v>
      </c>
      <c r="B184" s="22"/>
      <c r="C184" s="22"/>
      <c r="D184" s="22"/>
      <c r="E184" s="22"/>
      <c r="F184" s="107">
        <v>476795</v>
      </c>
      <c r="G184" s="22"/>
      <c r="H184" s="22"/>
      <c r="I184" s="22"/>
      <c r="J184" s="22"/>
      <c r="K184" s="22"/>
      <c r="L184" s="22"/>
      <c r="M184" s="22"/>
      <c r="N184" s="107">
        <v>476795</v>
      </c>
    </row>
    <row r="185" spans="1:14">
      <c r="A185" s="64" t="s">
        <v>397</v>
      </c>
      <c r="B185" s="113"/>
      <c r="C185" s="113"/>
      <c r="D185" s="113"/>
      <c r="E185" s="113"/>
      <c r="F185" s="111">
        <v>-668218</v>
      </c>
      <c r="G185" s="113"/>
      <c r="H185" s="113"/>
      <c r="I185" s="113"/>
      <c r="J185" s="113"/>
      <c r="K185" s="113"/>
      <c r="L185" s="113"/>
      <c r="M185" s="113"/>
      <c r="N185" s="111">
        <v>-668218</v>
      </c>
    </row>
    <row r="186" spans="1:14">
      <c r="A186" s="64" t="s">
        <v>135</v>
      </c>
      <c r="B186" s="107">
        <f t="shared" ref="B186:M186" si="53">SUM(B176:B185)</f>
        <v>51214.62</v>
      </c>
      <c r="C186" s="107">
        <f t="shared" si="53"/>
        <v>90856.13</v>
      </c>
      <c r="D186" s="107">
        <f t="shared" si="53"/>
        <v>97387.199999999997</v>
      </c>
      <c r="E186" s="107">
        <f t="shared" si="53"/>
        <v>85214.49</v>
      </c>
      <c r="F186" s="107">
        <f t="shared" si="53"/>
        <v>-9695.0700000000652</v>
      </c>
      <c r="G186" s="107">
        <f t="shared" si="53"/>
        <v>42698.33</v>
      </c>
      <c r="H186" s="107">
        <f t="shared" si="53"/>
        <v>45405.93</v>
      </c>
      <c r="I186" s="107">
        <f t="shared" si="53"/>
        <v>50650.43</v>
      </c>
      <c r="J186" s="107">
        <f t="shared" si="53"/>
        <v>50094.53</v>
      </c>
      <c r="K186" s="107">
        <f t="shared" si="53"/>
        <v>64129.729999999996</v>
      </c>
      <c r="L186" s="107">
        <f t="shared" si="53"/>
        <v>53446.81</v>
      </c>
      <c r="M186" s="107">
        <f t="shared" si="53"/>
        <v>46335.38</v>
      </c>
      <c r="N186" s="107">
        <v>667738.51</v>
      </c>
    </row>
    <row r="187" spans="1:14">
      <c r="A187" s="64"/>
      <c r="B187" s="22"/>
      <c r="C187" s="22"/>
      <c r="D187" s="22"/>
      <c r="E187" s="22"/>
      <c r="F187" s="22"/>
      <c r="G187" s="22"/>
      <c r="H187" s="22"/>
      <c r="I187" s="22"/>
      <c r="J187" s="22"/>
      <c r="K187" s="22"/>
      <c r="L187" s="22"/>
      <c r="M187" s="22"/>
      <c r="N187" s="22"/>
    </row>
    <row r="188" spans="1:14" ht="15.75" thickBot="1">
      <c r="A188" s="64" t="s">
        <v>13</v>
      </c>
      <c r="B188" s="112">
        <f t="shared" ref="B188:M188" si="54">SUM(B67:B187)-B69-B73-B77-B80-B84-B88-B90-B96-B100-B104-B107-B111-B115-B117-B131-0-0-B150-0-B163-B173-B175-B186</f>
        <v>824371.93999999959</v>
      </c>
      <c r="C188" s="112">
        <f t="shared" si="54"/>
        <v>766908.35000000068</v>
      </c>
      <c r="D188" s="112">
        <f t="shared" si="54"/>
        <v>894799.47000000125</v>
      </c>
      <c r="E188" s="112">
        <f t="shared" si="54"/>
        <v>829488.1399999999</v>
      </c>
      <c r="F188" s="112">
        <f t="shared" si="54"/>
        <v>733578.62999999896</v>
      </c>
      <c r="G188" s="112">
        <f t="shared" si="54"/>
        <v>857091.90000000107</v>
      </c>
      <c r="H188" s="112">
        <f t="shared" si="54"/>
        <v>781009.98000000161</v>
      </c>
      <c r="I188" s="112">
        <f t="shared" si="54"/>
        <v>979283.99000000057</v>
      </c>
      <c r="J188" s="112">
        <f t="shared" si="54"/>
        <v>924223.48000000103</v>
      </c>
      <c r="K188" s="112">
        <f t="shared" si="54"/>
        <v>863450.26999999967</v>
      </c>
      <c r="L188" s="112">
        <f t="shared" si="54"/>
        <v>788886.04999999958</v>
      </c>
      <c r="M188" s="112">
        <f t="shared" si="54"/>
        <v>847565.37000000023</v>
      </c>
      <c r="N188" s="112">
        <v>10090657.57</v>
      </c>
    </row>
    <row r="189" spans="1:14" ht="15.75" thickTop="1">
      <c r="A189" s="64"/>
      <c r="B189" s="22"/>
      <c r="C189" s="22"/>
      <c r="D189" s="22"/>
      <c r="E189" s="22"/>
      <c r="F189" s="22"/>
      <c r="G189" s="22"/>
      <c r="H189" s="22"/>
      <c r="I189" s="22"/>
      <c r="J189" s="22"/>
      <c r="K189" s="22"/>
      <c r="L189" s="22"/>
      <c r="M189" s="22"/>
      <c r="N189" s="22"/>
    </row>
    <row r="190" spans="1:14">
      <c r="A190" s="64"/>
      <c r="B190" s="22"/>
      <c r="C190" s="22"/>
      <c r="D190" s="22"/>
      <c r="E190" s="22"/>
      <c r="F190" s="22"/>
      <c r="G190" s="22"/>
      <c r="H190" s="22"/>
      <c r="I190" s="22"/>
      <c r="J190" s="22"/>
      <c r="K190" s="22"/>
      <c r="L190" s="22"/>
      <c r="M190" s="22"/>
      <c r="N190" s="22"/>
    </row>
    <row r="191" spans="1:14">
      <c r="A191" s="64" t="s">
        <v>14</v>
      </c>
      <c r="B191" s="22"/>
      <c r="C191" s="22"/>
      <c r="D191" s="22"/>
      <c r="E191" s="22"/>
      <c r="F191" s="22"/>
      <c r="G191" s="22"/>
      <c r="H191" s="22"/>
      <c r="I191" s="22"/>
      <c r="J191" s="22"/>
      <c r="K191" s="22"/>
      <c r="L191" s="22"/>
      <c r="M191" s="22"/>
      <c r="N191" s="22"/>
    </row>
    <row r="192" spans="1:14">
      <c r="A192" s="64"/>
      <c r="B192" s="22"/>
      <c r="C192" s="22"/>
      <c r="D192" s="22"/>
      <c r="E192" s="22"/>
      <c r="F192" s="22"/>
      <c r="G192" s="22"/>
      <c r="H192" s="22"/>
      <c r="I192" s="22"/>
      <c r="J192" s="22"/>
      <c r="K192" s="22"/>
      <c r="L192" s="22"/>
      <c r="M192" s="22"/>
      <c r="N192" s="22"/>
    </row>
    <row r="193" spans="1:14">
      <c r="A193" s="64" t="s">
        <v>136</v>
      </c>
      <c r="B193" s="22"/>
      <c r="C193" s="22"/>
      <c r="D193" s="22"/>
      <c r="E193" s="22"/>
      <c r="F193" s="22"/>
      <c r="G193" s="22"/>
      <c r="H193" s="22"/>
      <c r="I193" s="22"/>
      <c r="J193" s="22"/>
      <c r="K193" s="22"/>
      <c r="L193" s="22"/>
      <c r="M193" s="22"/>
      <c r="N193" s="22"/>
    </row>
    <row r="194" spans="1:14">
      <c r="A194" s="64" t="s">
        <v>137</v>
      </c>
      <c r="B194" s="107">
        <v>9974.68</v>
      </c>
      <c r="C194" s="107">
        <v>9091.34</v>
      </c>
      <c r="D194" s="107">
        <v>9873.59</v>
      </c>
      <c r="E194" s="107">
        <v>9555.09</v>
      </c>
      <c r="F194" s="107">
        <v>9427.11</v>
      </c>
      <c r="G194" s="107">
        <v>8981.7900000000009</v>
      </c>
      <c r="H194" s="107">
        <v>9060.93</v>
      </c>
      <c r="I194" s="107">
        <v>9730.73</v>
      </c>
      <c r="J194" s="107">
        <v>9555.09</v>
      </c>
      <c r="K194" s="107">
        <v>9555.57</v>
      </c>
      <c r="L194" s="107">
        <v>9555.08</v>
      </c>
      <c r="M194" s="107">
        <v>8949.94</v>
      </c>
      <c r="N194" s="107">
        <v>113310.94</v>
      </c>
    </row>
    <row r="195" spans="1:14">
      <c r="A195" s="64" t="s">
        <v>138</v>
      </c>
      <c r="B195" s="107">
        <v>40673.56</v>
      </c>
      <c r="C195" s="107">
        <v>35231.08</v>
      </c>
      <c r="D195" s="107">
        <v>47523.360000000001</v>
      </c>
      <c r="E195" s="107">
        <v>41108.32</v>
      </c>
      <c r="F195" s="107">
        <v>39857.33</v>
      </c>
      <c r="G195" s="107">
        <v>28264.41</v>
      </c>
      <c r="H195" s="107">
        <v>30729.1</v>
      </c>
      <c r="I195" s="107">
        <v>36851.870000000003</v>
      </c>
      <c r="J195" s="107">
        <v>39166.44</v>
      </c>
      <c r="K195" s="107">
        <v>42876.49</v>
      </c>
      <c r="L195" s="107">
        <v>45844.81</v>
      </c>
      <c r="M195" s="107">
        <v>42888.79</v>
      </c>
      <c r="N195" s="107">
        <v>471015.56</v>
      </c>
    </row>
    <row r="196" spans="1:14">
      <c r="A196" s="64" t="s">
        <v>139</v>
      </c>
      <c r="B196" s="107">
        <v>99238.96</v>
      </c>
      <c r="C196" s="107">
        <v>100369.98</v>
      </c>
      <c r="D196" s="107">
        <v>97641.08</v>
      </c>
      <c r="E196" s="107">
        <v>103984.66</v>
      </c>
      <c r="F196" s="107">
        <v>90299.88</v>
      </c>
      <c r="G196" s="107">
        <v>99374.99</v>
      </c>
      <c r="H196" s="107">
        <v>103906.61</v>
      </c>
      <c r="I196" s="107">
        <v>113127.62</v>
      </c>
      <c r="J196" s="107">
        <v>103922.4</v>
      </c>
      <c r="K196" s="107">
        <v>87791.8</v>
      </c>
      <c r="L196" s="107">
        <v>101953.01</v>
      </c>
      <c r="M196" s="107">
        <v>94418.66</v>
      </c>
      <c r="N196" s="107">
        <v>1196029.6499999999</v>
      </c>
    </row>
    <row r="197" spans="1:14">
      <c r="A197" s="64" t="s">
        <v>140</v>
      </c>
      <c r="B197" s="107">
        <v>1031.5899999999999</v>
      </c>
      <c r="C197" s="107">
        <v>3081.38</v>
      </c>
      <c r="D197" s="107">
        <v>2625.86</v>
      </c>
      <c r="E197" s="107">
        <v>2288.4899999999998</v>
      </c>
      <c r="F197" s="107">
        <v>291.08</v>
      </c>
      <c r="G197" s="107">
        <v>4522.18</v>
      </c>
      <c r="H197" s="107">
        <v>1996.19</v>
      </c>
      <c r="I197" s="107">
        <v>2327.4699999999998</v>
      </c>
      <c r="J197" s="107">
        <v>2921.53</v>
      </c>
      <c r="K197" s="107">
        <v>2040.16</v>
      </c>
      <c r="L197" s="107">
        <v>2189.92</v>
      </c>
      <c r="M197" s="107">
        <v>3422.82</v>
      </c>
      <c r="N197" s="107">
        <v>28738.67</v>
      </c>
    </row>
    <row r="198" spans="1:14">
      <c r="A198" s="64" t="s">
        <v>141</v>
      </c>
      <c r="B198" s="107">
        <v>18675.599999999999</v>
      </c>
      <c r="C198" s="107">
        <v>17311.259999999998</v>
      </c>
      <c r="D198" s="107">
        <v>16792.03</v>
      </c>
      <c r="E198" s="107">
        <v>16345.58</v>
      </c>
      <c r="F198" s="107">
        <v>15566.07</v>
      </c>
      <c r="G198" s="107">
        <v>14929.53</v>
      </c>
      <c r="H198" s="107">
        <v>13902.29</v>
      </c>
      <c r="I198" s="107">
        <v>16916.38</v>
      </c>
      <c r="J198" s="107">
        <v>17037.32</v>
      </c>
      <c r="K198" s="107">
        <v>13670.28</v>
      </c>
      <c r="L198" s="107">
        <v>15763.33</v>
      </c>
      <c r="M198" s="107">
        <v>12338.64</v>
      </c>
      <c r="N198" s="107">
        <v>189248.31</v>
      </c>
    </row>
    <row r="199" spans="1:14">
      <c r="A199" s="64" t="s">
        <v>142</v>
      </c>
      <c r="B199" s="107">
        <v>6373.62</v>
      </c>
      <c r="C199" s="107">
        <v>5355.23</v>
      </c>
      <c r="D199" s="107">
        <v>6042.57</v>
      </c>
      <c r="E199" s="107">
        <v>5688.53</v>
      </c>
      <c r="F199" s="107">
        <v>7774.4</v>
      </c>
      <c r="G199" s="107">
        <v>6059</v>
      </c>
      <c r="H199" s="107">
        <v>5300.94</v>
      </c>
      <c r="I199" s="107">
        <v>6866.43</v>
      </c>
      <c r="J199" s="107">
        <v>5796.74</v>
      </c>
      <c r="K199" s="107">
        <v>5999.75</v>
      </c>
      <c r="L199" s="107">
        <v>9957.68</v>
      </c>
      <c r="M199" s="107">
        <v>8719.9599999999991</v>
      </c>
      <c r="N199" s="107">
        <v>79934.850000000006</v>
      </c>
    </row>
    <row r="200" spans="1:14">
      <c r="A200" s="64" t="s">
        <v>143</v>
      </c>
      <c r="B200" s="107">
        <v>57080.9</v>
      </c>
      <c r="C200" s="107">
        <v>52448.29</v>
      </c>
      <c r="D200" s="107">
        <v>62667.29</v>
      </c>
      <c r="E200" s="107">
        <v>61226.34</v>
      </c>
      <c r="F200" s="107">
        <v>63470.89</v>
      </c>
      <c r="G200" s="107">
        <v>70448.67</v>
      </c>
      <c r="H200" s="107">
        <v>56507.32</v>
      </c>
      <c r="I200" s="107">
        <v>74494.600000000006</v>
      </c>
      <c r="J200" s="107">
        <v>72119.58</v>
      </c>
      <c r="K200" s="107">
        <v>69830.210000000006</v>
      </c>
      <c r="L200" s="107">
        <v>71877.320000000007</v>
      </c>
      <c r="M200" s="107">
        <v>58681.74</v>
      </c>
      <c r="N200" s="107">
        <v>770853.15</v>
      </c>
    </row>
    <row r="201" spans="1:14">
      <c r="A201" s="64" t="s">
        <v>144</v>
      </c>
      <c r="B201" s="107">
        <v>4920.92</v>
      </c>
      <c r="C201" s="107">
        <v>4541</v>
      </c>
      <c r="D201" s="107">
        <v>4920.91</v>
      </c>
      <c r="E201" s="107">
        <v>4762.18</v>
      </c>
      <c r="F201" s="107">
        <v>4698.7299999999996</v>
      </c>
      <c r="G201" s="107">
        <v>4476.45</v>
      </c>
      <c r="H201" s="107">
        <v>5653.38</v>
      </c>
      <c r="I201" s="107">
        <v>4517.72</v>
      </c>
      <c r="J201" s="107">
        <v>4532.9799999999996</v>
      </c>
      <c r="K201" s="107">
        <v>4472.53</v>
      </c>
      <c r="L201" s="107">
        <v>2750</v>
      </c>
      <c r="M201" s="107">
        <v>5803.52</v>
      </c>
      <c r="N201" s="107">
        <v>56050.32</v>
      </c>
    </row>
    <row r="202" spans="1:14">
      <c r="A202" s="64" t="s">
        <v>145</v>
      </c>
      <c r="B202" s="107">
        <v>2680.52</v>
      </c>
      <c r="C202" s="107">
        <v>2483.14</v>
      </c>
      <c r="D202" s="107">
        <v>2802.92</v>
      </c>
      <c r="E202" s="107">
        <v>3239.49</v>
      </c>
      <c r="F202" s="107">
        <v>3450.69</v>
      </c>
      <c r="G202" s="107">
        <v>1771.94</v>
      </c>
      <c r="H202" s="107">
        <v>3114.14</v>
      </c>
      <c r="I202" s="107">
        <v>1745.92</v>
      </c>
      <c r="J202" s="107">
        <v>-131</v>
      </c>
      <c r="K202" s="107">
        <v>1814.27</v>
      </c>
      <c r="L202" s="107">
        <v>2825.95</v>
      </c>
      <c r="M202" s="107">
        <v>1185.42</v>
      </c>
      <c r="N202" s="107">
        <v>26983.4</v>
      </c>
    </row>
    <row r="203" spans="1:14">
      <c r="A203" s="64" t="s">
        <v>146</v>
      </c>
      <c r="B203" s="107">
        <v>2329.5</v>
      </c>
      <c r="C203" s="107">
        <v>2190</v>
      </c>
      <c r="D203" s="107">
        <v>2056.9299999999998</v>
      </c>
      <c r="E203" s="107">
        <v>2326.5</v>
      </c>
      <c r="F203" s="107">
        <v>2567.14</v>
      </c>
      <c r="G203" s="107">
        <v>2069.79</v>
      </c>
      <c r="H203" s="107">
        <v>2081.14</v>
      </c>
      <c r="I203" s="107">
        <v>2541.96</v>
      </c>
      <c r="J203" s="107">
        <v>1715.04</v>
      </c>
      <c r="K203" s="107">
        <v>2597.21</v>
      </c>
      <c r="L203" s="107">
        <v>1955.17</v>
      </c>
      <c r="M203" s="107">
        <v>2252.14</v>
      </c>
      <c r="N203" s="107">
        <v>26682.52</v>
      </c>
    </row>
    <row r="204" spans="1:14">
      <c r="A204" s="64" t="s">
        <v>147</v>
      </c>
      <c r="B204" s="107">
        <v>2952.28</v>
      </c>
      <c r="C204" s="107">
        <v>1939.34</v>
      </c>
      <c r="D204" s="107">
        <v>3962.76</v>
      </c>
      <c r="E204" s="107">
        <v>2483.6</v>
      </c>
      <c r="F204" s="107">
        <v>4028.12</v>
      </c>
      <c r="G204" s="107">
        <v>3281.21</v>
      </c>
      <c r="H204" s="107">
        <v>3132.34</v>
      </c>
      <c r="I204" s="107">
        <v>3574.99</v>
      </c>
      <c r="J204" s="107">
        <v>4141.03</v>
      </c>
      <c r="K204" s="107">
        <v>3729.76</v>
      </c>
      <c r="L204" s="107">
        <v>3753.31</v>
      </c>
      <c r="M204" s="107">
        <v>3398.01</v>
      </c>
      <c r="N204" s="107">
        <v>40376.75</v>
      </c>
    </row>
    <row r="205" spans="1:14">
      <c r="A205" s="64" t="s">
        <v>148</v>
      </c>
      <c r="B205" s="107">
        <v>4017.7</v>
      </c>
      <c r="C205" s="107">
        <v>2780.03</v>
      </c>
      <c r="D205" s="107">
        <v>3260.41</v>
      </c>
      <c r="E205" s="107">
        <v>2286.4699999999998</v>
      </c>
      <c r="F205" s="107">
        <v>3198.05</v>
      </c>
      <c r="G205" s="107">
        <v>2895.91</v>
      </c>
      <c r="H205" s="107">
        <v>2335.5</v>
      </c>
      <c r="I205" s="107">
        <v>2941.07</v>
      </c>
      <c r="J205" s="107">
        <v>2739.86</v>
      </c>
      <c r="K205" s="107">
        <v>3351.88</v>
      </c>
      <c r="L205" s="107">
        <v>3329.98</v>
      </c>
      <c r="M205" s="107">
        <v>3181.5</v>
      </c>
      <c r="N205" s="107">
        <v>36318.36</v>
      </c>
    </row>
    <row r="206" spans="1:14">
      <c r="A206" s="64" t="s">
        <v>283</v>
      </c>
      <c r="B206" s="107">
        <v>22730.81</v>
      </c>
      <c r="C206" s="107">
        <v>12638.83</v>
      </c>
      <c r="D206" s="107">
        <v>18210.32</v>
      </c>
      <c r="E206" s="107">
        <v>6667.34</v>
      </c>
      <c r="F206" s="107">
        <v>7545.3</v>
      </c>
      <c r="G206" s="107">
        <v>3729.42</v>
      </c>
      <c r="H206" s="107">
        <v>5534.55</v>
      </c>
      <c r="I206" s="107">
        <v>7601.18</v>
      </c>
      <c r="J206" s="107">
        <v>7898.27</v>
      </c>
      <c r="K206" s="107">
        <v>9491.83</v>
      </c>
      <c r="L206" s="107">
        <v>13575.29</v>
      </c>
      <c r="M206" s="107">
        <v>14950.5</v>
      </c>
      <c r="N206" s="107">
        <v>130573.64</v>
      </c>
    </row>
    <row r="207" spans="1:14">
      <c r="A207" s="64" t="s">
        <v>153</v>
      </c>
      <c r="B207" s="107">
        <v>5491.88</v>
      </c>
      <c r="C207" s="107">
        <v>5813.06</v>
      </c>
      <c r="D207" s="107">
        <v>5032.51</v>
      </c>
      <c r="E207" s="107">
        <v>5275.99</v>
      </c>
      <c r="F207" s="107">
        <v>4951.59</v>
      </c>
      <c r="G207" s="107">
        <v>3390.04</v>
      </c>
      <c r="H207" s="107">
        <v>6145.64</v>
      </c>
      <c r="I207" s="107">
        <v>4204.53</v>
      </c>
      <c r="J207" s="107">
        <v>5357.1</v>
      </c>
      <c r="K207" s="107">
        <v>5651.49</v>
      </c>
      <c r="L207" s="107">
        <v>5674.78</v>
      </c>
      <c r="M207" s="107">
        <v>5239.9399999999996</v>
      </c>
      <c r="N207" s="107">
        <v>62228.55</v>
      </c>
    </row>
    <row r="208" spans="1:14">
      <c r="A208" s="64" t="s">
        <v>154</v>
      </c>
      <c r="B208" s="107">
        <v>10964.99</v>
      </c>
      <c r="C208" s="107">
        <v>10116.09</v>
      </c>
      <c r="D208" s="107">
        <v>10964.98</v>
      </c>
      <c r="E208" s="107">
        <v>10611.28</v>
      </c>
      <c r="F208" s="107">
        <v>10469.790000000001</v>
      </c>
      <c r="G208" s="107">
        <v>9974.6</v>
      </c>
      <c r="H208" s="107">
        <v>10046.719999999999</v>
      </c>
      <c r="I208" s="107">
        <v>10822.13</v>
      </c>
      <c r="J208" s="107">
        <v>10611.28</v>
      </c>
      <c r="K208" s="107">
        <v>7993.83</v>
      </c>
      <c r="L208" s="107">
        <v>10116.08</v>
      </c>
      <c r="M208" s="107">
        <v>7816.97</v>
      </c>
      <c r="N208" s="107">
        <v>120508.74</v>
      </c>
    </row>
    <row r="209" spans="1:14">
      <c r="A209" s="64" t="s">
        <v>155</v>
      </c>
      <c r="B209" s="111">
        <v>18544.37</v>
      </c>
      <c r="C209" s="111">
        <v>18465.55</v>
      </c>
      <c r="D209" s="111">
        <v>19170.02</v>
      </c>
      <c r="E209" s="111">
        <v>18254.490000000002</v>
      </c>
      <c r="F209" s="111">
        <v>18582.54</v>
      </c>
      <c r="G209" s="111">
        <v>15218.78</v>
      </c>
      <c r="H209" s="111">
        <v>18382.71</v>
      </c>
      <c r="I209" s="111">
        <v>22471.119999999999</v>
      </c>
      <c r="J209" s="111">
        <v>22378.959999999999</v>
      </c>
      <c r="K209" s="111">
        <v>18335.3</v>
      </c>
      <c r="L209" s="111">
        <v>19896.8</v>
      </c>
      <c r="M209" s="111">
        <v>20306.52</v>
      </c>
      <c r="N209" s="111">
        <v>230007.16</v>
      </c>
    </row>
    <row r="210" spans="1:14">
      <c r="A210" s="64" t="s">
        <v>156</v>
      </c>
      <c r="B210" s="107">
        <f t="shared" ref="B210:M210" si="55">SUM(B189:B209)</f>
        <v>307681.88</v>
      </c>
      <c r="C210" s="107">
        <f t="shared" si="55"/>
        <v>283855.60000000003</v>
      </c>
      <c r="D210" s="107">
        <f t="shared" si="55"/>
        <v>313547.54000000004</v>
      </c>
      <c r="E210" s="107">
        <f t="shared" si="55"/>
        <v>296104.34999999998</v>
      </c>
      <c r="F210" s="107">
        <f t="shared" si="55"/>
        <v>286178.70999999996</v>
      </c>
      <c r="G210" s="107">
        <f t="shared" si="55"/>
        <v>279388.71000000008</v>
      </c>
      <c r="H210" s="107">
        <f t="shared" si="55"/>
        <v>277829.50000000006</v>
      </c>
      <c r="I210" s="107">
        <f t="shared" si="55"/>
        <v>320735.72000000003</v>
      </c>
      <c r="J210" s="107">
        <f t="shared" si="55"/>
        <v>309762.62000000005</v>
      </c>
      <c r="K210" s="107">
        <f t="shared" si="55"/>
        <v>289202.36</v>
      </c>
      <c r="L210" s="107">
        <f t="shared" si="55"/>
        <v>321018.50999999995</v>
      </c>
      <c r="M210" s="107">
        <f t="shared" si="55"/>
        <v>293555.07</v>
      </c>
      <c r="N210" s="107">
        <v>3578860.57</v>
      </c>
    </row>
    <row r="211" spans="1:14">
      <c r="A211" s="64"/>
      <c r="B211" s="22"/>
      <c r="C211" s="22"/>
      <c r="D211" s="22"/>
      <c r="E211" s="22"/>
      <c r="F211" s="22"/>
      <c r="G211" s="22"/>
      <c r="H211" s="22"/>
      <c r="I211" s="22"/>
      <c r="J211" s="22"/>
      <c r="K211" s="22"/>
      <c r="L211" s="22"/>
      <c r="M211" s="22"/>
      <c r="N211" s="22"/>
    </row>
    <row r="212" spans="1:14">
      <c r="A212" s="64"/>
      <c r="B212" s="22"/>
      <c r="C212" s="22"/>
      <c r="D212" s="22"/>
      <c r="E212" s="22"/>
      <c r="F212" s="22"/>
      <c r="G212" s="22"/>
      <c r="H212" s="22"/>
      <c r="I212" s="22"/>
      <c r="J212" s="22"/>
      <c r="K212" s="22"/>
      <c r="L212" s="22"/>
      <c r="M212" s="22"/>
      <c r="N212" s="22"/>
    </row>
    <row r="213" spans="1:14">
      <c r="A213" s="64" t="s">
        <v>157</v>
      </c>
      <c r="B213" s="22"/>
      <c r="C213" s="22"/>
      <c r="D213" s="22"/>
      <c r="E213" s="22"/>
      <c r="F213" s="22"/>
      <c r="G213" s="22"/>
      <c r="H213" s="22"/>
      <c r="I213" s="22"/>
      <c r="J213" s="22"/>
      <c r="K213" s="22"/>
      <c r="L213" s="22"/>
      <c r="M213" s="22"/>
      <c r="N213" s="22"/>
    </row>
    <row r="214" spans="1:14">
      <c r="A214" s="64" t="s">
        <v>159</v>
      </c>
      <c r="B214" s="107">
        <v>2683.75</v>
      </c>
      <c r="C214" s="107">
        <v>1800.25</v>
      </c>
      <c r="D214" s="107">
        <v>1509.65</v>
      </c>
      <c r="E214" s="22"/>
      <c r="F214" s="107">
        <v>-7168.24</v>
      </c>
      <c r="G214" s="22"/>
      <c r="H214" s="22"/>
      <c r="I214" s="22"/>
      <c r="J214" s="22"/>
      <c r="K214" s="22"/>
      <c r="L214" s="22"/>
      <c r="M214" s="22"/>
      <c r="N214" s="107">
        <v>-1174.5899999999999</v>
      </c>
    </row>
    <row r="215" spans="1:14">
      <c r="A215" s="64" t="s">
        <v>160</v>
      </c>
      <c r="B215" s="22"/>
      <c r="C215" s="22"/>
      <c r="D215" s="22"/>
      <c r="E215" s="22"/>
      <c r="F215" s="107">
        <v>-3650.78</v>
      </c>
      <c r="G215" s="22"/>
      <c r="H215" s="22"/>
      <c r="I215" s="22"/>
      <c r="J215" s="22"/>
      <c r="K215" s="22"/>
      <c r="L215" s="22"/>
      <c r="M215" s="22"/>
      <c r="N215" s="107">
        <v>-3650.78</v>
      </c>
    </row>
    <row r="216" spans="1:14">
      <c r="A216" s="64" t="s">
        <v>161</v>
      </c>
      <c r="B216" s="111">
        <v>1858.91</v>
      </c>
      <c r="C216" s="111">
        <v>1119.07</v>
      </c>
      <c r="D216" s="111">
        <v>1705.3</v>
      </c>
      <c r="E216" s="113"/>
      <c r="F216" s="111">
        <v>-21612.93</v>
      </c>
      <c r="G216" s="113"/>
      <c r="H216" s="113"/>
      <c r="I216" s="113"/>
      <c r="J216" s="113"/>
      <c r="K216" s="113"/>
      <c r="L216" s="113"/>
      <c r="M216" s="113"/>
      <c r="N216" s="111">
        <v>-16929.650000000001</v>
      </c>
    </row>
    <row r="217" spans="1:14">
      <c r="A217" s="64" t="s">
        <v>162</v>
      </c>
      <c r="B217" s="107">
        <f>SUM(B211:B216)</f>
        <v>4542.66</v>
      </c>
      <c r="C217" s="107">
        <f>SUM(C211:C216)</f>
        <v>2919.3199999999997</v>
      </c>
      <c r="D217" s="107">
        <f>SUM(D211:D216)</f>
        <v>3214.95</v>
      </c>
      <c r="E217" s="107"/>
      <c r="F217" s="107">
        <f>SUM(F211:F216)</f>
        <v>-32431.95</v>
      </c>
      <c r="G217" s="107"/>
      <c r="H217" s="107"/>
      <c r="I217" s="107"/>
      <c r="J217" s="107"/>
      <c r="K217" s="107"/>
      <c r="L217" s="107"/>
      <c r="M217" s="107"/>
      <c r="N217" s="107">
        <v>-21755.02</v>
      </c>
    </row>
    <row r="218" spans="1:14">
      <c r="A218" s="64"/>
      <c r="B218" s="22"/>
      <c r="C218" s="22"/>
      <c r="D218" s="22"/>
      <c r="E218" s="22"/>
      <c r="F218" s="22"/>
      <c r="G218" s="22"/>
      <c r="H218" s="22"/>
      <c r="I218" s="22"/>
      <c r="J218" s="22"/>
      <c r="K218" s="22"/>
      <c r="L218" s="22"/>
      <c r="M218" s="22"/>
      <c r="N218" s="22"/>
    </row>
    <row r="219" spans="1:14">
      <c r="A219" s="64" t="s">
        <v>163</v>
      </c>
      <c r="B219" s="22"/>
      <c r="C219" s="22"/>
      <c r="D219" s="22"/>
      <c r="E219" s="22"/>
      <c r="F219" s="22"/>
      <c r="G219" s="22"/>
      <c r="H219" s="22"/>
      <c r="I219" s="22"/>
      <c r="J219" s="22"/>
      <c r="K219" s="22"/>
      <c r="L219" s="22"/>
      <c r="M219" s="22"/>
      <c r="N219" s="22"/>
    </row>
    <row r="220" spans="1:14">
      <c r="A220" s="64" t="s">
        <v>164</v>
      </c>
      <c r="B220" s="107">
        <v>24679.21</v>
      </c>
      <c r="C220" s="107">
        <v>23063.83</v>
      </c>
      <c r="D220" s="107">
        <v>24653.07</v>
      </c>
      <c r="E220" s="107">
        <v>23495.1</v>
      </c>
      <c r="F220" s="107">
        <v>21907.47</v>
      </c>
      <c r="G220" s="107">
        <v>23976.13</v>
      </c>
      <c r="H220" s="107">
        <v>21982.400000000001</v>
      </c>
      <c r="I220" s="107">
        <v>26584.37</v>
      </c>
      <c r="J220" s="107">
        <v>24118.75</v>
      </c>
      <c r="K220" s="107">
        <v>24064.55</v>
      </c>
      <c r="L220" s="107">
        <v>25416.59</v>
      </c>
      <c r="M220" s="107">
        <v>23212.28</v>
      </c>
      <c r="N220" s="107">
        <v>287153.75</v>
      </c>
    </row>
    <row r="221" spans="1:14">
      <c r="A221" s="64" t="s">
        <v>165</v>
      </c>
      <c r="B221" s="107">
        <v>668.62</v>
      </c>
      <c r="C221" s="107">
        <v>552.53</v>
      </c>
      <c r="D221" s="107">
        <v>-307.67</v>
      </c>
      <c r="E221" s="107">
        <v>385.97</v>
      </c>
      <c r="F221" s="107">
        <v>336.43</v>
      </c>
      <c r="G221" s="107">
        <v>3917.32</v>
      </c>
      <c r="H221" s="107">
        <v>1696.3</v>
      </c>
      <c r="I221" s="107">
        <v>2553.58</v>
      </c>
      <c r="J221" s="107">
        <v>750</v>
      </c>
      <c r="K221" s="107">
        <v>718.49</v>
      </c>
      <c r="L221" s="107">
        <v>895.96</v>
      </c>
      <c r="M221" s="107">
        <v>636.16</v>
      </c>
      <c r="N221" s="107">
        <v>12803.69</v>
      </c>
    </row>
    <row r="222" spans="1:14">
      <c r="A222" s="64" t="s">
        <v>166</v>
      </c>
      <c r="B222" s="107">
        <v>3400.13</v>
      </c>
      <c r="C222" s="107">
        <v>2019.14</v>
      </c>
      <c r="D222" s="107">
        <v>1903.81</v>
      </c>
      <c r="E222" s="107">
        <v>2292.48</v>
      </c>
      <c r="F222" s="107">
        <v>2549.58</v>
      </c>
      <c r="G222" s="107">
        <v>4748.6400000000003</v>
      </c>
      <c r="H222" s="107">
        <v>3124.57</v>
      </c>
      <c r="I222" s="107">
        <v>2404.14</v>
      </c>
      <c r="J222" s="107">
        <v>1565.71</v>
      </c>
      <c r="K222" s="107">
        <v>1614.45</v>
      </c>
      <c r="L222" s="107">
        <v>1983.91</v>
      </c>
      <c r="M222" s="107">
        <v>1671.46</v>
      </c>
      <c r="N222" s="107">
        <v>29278.02</v>
      </c>
    </row>
    <row r="223" spans="1:14">
      <c r="A223" s="64" t="s">
        <v>167</v>
      </c>
      <c r="B223" s="107">
        <v>10798.12</v>
      </c>
      <c r="C223" s="107">
        <v>4177.34</v>
      </c>
      <c r="D223" s="107">
        <v>6446.83</v>
      </c>
      <c r="E223" s="107">
        <v>9293.1200000000008</v>
      </c>
      <c r="F223" s="107">
        <v>6249.75</v>
      </c>
      <c r="G223" s="107">
        <v>3954.12</v>
      </c>
      <c r="H223" s="107">
        <v>6120.5</v>
      </c>
      <c r="I223" s="107">
        <v>11752.95</v>
      </c>
      <c r="J223" s="107">
        <v>5107.32</v>
      </c>
      <c r="K223" s="107">
        <v>7133.87</v>
      </c>
      <c r="L223" s="107">
        <v>5197.42</v>
      </c>
      <c r="M223" s="107">
        <v>5280.61</v>
      </c>
      <c r="N223" s="107">
        <v>81511.95</v>
      </c>
    </row>
    <row r="224" spans="1:14">
      <c r="A224" s="64" t="s">
        <v>168</v>
      </c>
      <c r="B224" s="22"/>
      <c r="C224" s="107">
        <v>9081.9699999999993</v>
      </c>
      <c r="D224" s="22"/>
      <c r="E224" s="107">
        <v>8088.17</v>
      </c>
      <c r="F224" s="107">
        <v>9131.65</v>
      </c>
      <c r="G224" s="107">
        <v>9803.86</v>
      </c>
      <c r="H224" s="22"/>
      <c r="I224" s="22"/>
      <c r="J224" s="22"/>
      <c r="K224" s="107">
        <v>13712.53</v>
      </c>
      <c r="L224" s="107">
        <v>-5022.66</v>
      </c>
      <c r="M224" s="107">
        <v>8843.0400000000009</v>
      </c>
      <c r="N224" s="107">
        <v>53638.559999999998</v>
      </c>
    </row>
    <row r="225" spans="1:14">
      <c r="A225" s="64" t="s">
        <v>169</v>
      </c>
      <c r="B225" s="107">
        <v>2537.21</v>
      </c>
      <c r="C225" s="107">
        <v>3653.93</v>
      </c>
      <c r="D225" s="107">
        <v>1841.46</v>
      </c>
      <c r="E225" s="107">
        <v>3030.07</v>
      </c>
      <c r="F225" s="107">
        <v>2241.8000000000002</v>
      </c>
      <c r="G225" s="107">
        <v>4252.57</v>
      </c>
      <c r="H225" s="107">
        <v>4518.8100000000004</v>
      </c>
      <c r="I225" s="107">
        <v>2207.13</v>
      </c>
      <c r="J225" s="107">
        <v>1500.5</v>
      </c>
      <c r="K225" s="107">
        <v>5149.58</v>
      </c>
      <c r="L225" s="107">
        <v>2607.0500000000002</v>
      </c>
      <c r="M225" s="107">
        <v>5154.5600000000004</v>
      </c>
      <c r="N225" s="107">
        <v>38694.67</v>
      </c>
    </row>
    <row r="226" spans="1:14">
      <c r="A226" s="64" t="s">
        <v>318</v>
      </c>
      <c r="B226" s="22"/>
      <c r="C226" s="107">
        <v>50</v>
      </c>
      <c r="D226" s="22"/>
      <c r="E226" s="22"/>
      <c r="F226" s="107">
        <v>250</v>
      </c>
      <c r="G226" s="22"/>
      <c r="H226" s="22"/>
      <c r="I226" s="22"/>
      <c r="J226" s="22"/>
      <c r="K226" s="107">
        <v>180</v>
      </c>
      <c r="L226" s="22"/>
      <c r="M226" s="22"/>
      <c r="N226" s="107">
        <v>480</v>
      </c>
    </row>
    <row r="227" spans="1:14">
      <c r="A227" s="64" t="s">
        <v>171</v>
      </c>
      <c r="B227" s="111">
        <v>3983.35</v>
      </c>
      <c r="C227" s="111">
        <v>1798.53</v>
      </c>
      <c r="D227" s="111">
        <v>2463.94</v>
      </c>
      <c r="E227" s="111">
        <v>2244.91</v>
      </c>
      <c r="F227" s="111">
        <v>4952.7299999999996</v>
      </c>
      <c r="G227" s="111">
        <v>6048.31</v>
      </c>
      <c r="H227" s="111">
        <v>3790.71</v>
      </c>
      <c r="I227" s="111">
        <v>17206.509999999998</v>
      </c>
      <c r="J227" s="111">
        <v>5218.6400000000003</v>
      </c>
      <c r="K227" s="111">
        <v>5982.7</v>
      </c>
      <c r="L227" s="111">
        <v>11246.71</v>
      </c>
      <c r="M227" s="111">
        <v>2663.02</v>
      </c>
      <c r="N227" s="111">
        <v>67600.06</v>
      </c>
    </row>
    <row r="228" spans="1:14">
      <c r="A228" s="64" t="s">
        <v>16</v>
      </c>
      <c r="B228" s="107">
        <f t="shared" ref="B228:M228" si="56">SUM(B218:B227)</f>
        <v>46066.64</v>
      </c>
      <c r="C228" s="107">
        <f t="shared" si="56"/>
        <v>44397.27</v>
      </c>
      <c r="D228" s="107">
        <f t="shared" si="56"/>
        <v>37001.440000000002</v>
      </c>
      <c r="E228" s="107">
        <f t="shared" si="56"/>
        <v>48829.819999999992</v>
      </c>
      <c r="F228" s="107">
        <f t="shared" si="56"/>
        <v>47619.41</v>
      </c>
      <c r="G228" s="107">
        <f t="shared" si="56"/>
        <v>56700.95</v>
      </c>
      <c r="H228" s="107">
        <f t="shared" si="56"/>
        <v>41233.29</v>
      </c>
      <c r="I228" s="107">
        <f t="shared" si="56"/>
        <v>62708.679999999993</v>
      </c>
      <c r="J228" s="107">
        <f t="shared" si="56"/>
        <v>38260.92</v>
      </c>
      <c r="K228" s="107">
        <f t="shared" si="56"/>
        <v>58556.17</v>
      </c>
      <c r="L228" s="107">
        <f t="shared" si="56"/>
        <v>42324.979999999996</v>
      </c>
      <c r="M228" s="107">
        <f t="shared" si="56"/>
        <v>47461.13</v>
      </c>
      <c r="N228" s="107">
        <v>571160.69999999995</v>
      </c>
    </row>
    <row r="229" spans="1:14">
      <c r="A229" s="64"/>
      <c r="B229" s="22"/>
      <c r="C229" s="22"/>
      <c r="D229" s="22"/>
      <c r="E229" s="22"/>
      <c r="F229" s="22"/>
      <c r="G229" s="22"/>
      <c r="H229" s="22"/>
      <c r="I229" s="22"/>
      <c r="J229" s="22"/>
      <c r="K229" s="22"/>
      <c r="L229" s="22"/>
      <c r="M229" s="22"/>
      <c r="N229" s="22"/>
    </row>
    <row r="230" spans="1:14">
      <c r="A230" s="64" t="s">
        <v>17</v>
      </c>
      <c r="B230" s="22"/>
      <c r="C230" s="22"/>
      <c r="D230" s="22"/>
      <c r="E230" s="22"/>
      <c r="F230" s="22"/>
      <c r="G230" s="22"/>
      <c r="H230" s="22"/>
      <c r="I230" s="22"/>
      <c r="J230" s="22"/>
      <c r="K230" s="22"/>
      <c r="L230" s="22"/>
      <c r="M230" s="22"/>
      <c r="N230" s="22"/>
    </row>
    <row r="231" spans="1:14">
      <c r="A231" s="64" t="s">
        <v>172</v>
      </c>
      <c r="B231" s="107">
        <v>26727.17</v>
      </c>
      <c r="C231" s="107">
        <v>36553.230000000003</v>
      </c>
      <c r="D231" s="107">
        <v>23532.6</v>
      </c>
      <c r="E231" s="107">
        <v>33948.31</v>
      </c>
      <c r="F231" s="107">
        <v>23460.18</v>
      </c>
      <c r="G231" s="107">
        <v>27020.080000000002</v>
      </c>
      <c r="H231" s="107">
        <v>27314.400000000001</v>
      </c>
      <c r="I231" s="107">
        <v>28197.77</v>
      </c>
      <c r="J231" s="107">
        <v>27481.91</v>
      </c>
      <c r="K231" s="107">
        <v>27500</v>
      </c>
      <c r="L231" s="107">
        <v>14628.8</v>
      </c>
      <c r="M231" s="107">
        <v>14955.24</v>
      </c>
      <c r="N231" s="107">
        <v>311319.69</v>
      </c>
    </row>
    <row r="232" spans="1:14">
      <c r="A232" s="64" t="s">
        <v>173</v>
      </c>
      <c r="B232" s="107">
        <v>21413.86</v>
      </c>
      <c r="C232" s="107">
        <v>20259.95</v>
      </c>
      <c r="D232" s="107">
        <v>23646.47</v>
      </c>
      <c r="E232" s="107">
        <v>21875.4</v>
      </c>
      <c r="F232" s="107">
        <v>29879.279999999999</v>
      </c>
      <c r="G232" s="107">
        <v>21860.53</v>
      </c>
      <c r="H232" s="107">
        <v>24037.53</v>
      </c>
      <c r="I232" s="107">
        <v>23753.919999999998</v>
      </c>
      <c r="J232" s="107">
        <v>29451.56</v>
      </c>
      <c r="K232" s="107">
        <v>25283.88</v>
      </c>
      <c r="L232" s="107">
        <v>19139.23</v>
      </c>
      <c r="M232" s="107">
        <v>22239.42</v>
      </c>
      <c r="N232" s="107">
        <v>282841.03000000003</v>
      </c>
    </row>
    <row r="233" spans="1:14">
      <c r="A233" s="64" t="s">
        <v>174</v>
      </c>
      <c r="B233" s="107">
        <v>24501.98</v>
      </c>
      <c r="C233" s="107">
        <v>26568.48</v>
      </c>
      <c r="D233" s="107">
        <v>25275.42</v>
      </c>
      <c r="E233" s="107">
        <v>25520.57</v>
      </c>
      <c r="F233" s="107">
        <v>27985.96</v>
      </c>
      <c r="G233" s="107">
        <v>21242.76</v>
      </c>
      <c r="H233" s="107">
        <v>21203.82</v>
      </c>
      <c r="I233" s="107">
        <v>22300</v>
      </c>
      <c r="J233" s="107">
        <v>27254.59</v>
      </c>
      <c r="K233" s="107">
        <v>22731.4</v>
      </c>
      <c r="L233" s="107">
        <v>27130.31</v>
      </c>
      <c r="M233" s="107">
        <v>25336.49</v>
      </c>
      <c r="N233" s="107">
        <v>297051.78000000003</v>
      </c>
    </row>
    <row r="234" spans="1:14">
      <c r="A234" s="64" t="s">
        <v>175</v>
      </c>
      <c r="B234" s="107">
        <v>4991.9799999999996</v>
      </c>
      <c r="C234" s="107">
        <v>7339.19</v>
      </c>
      <c r="D234" s="107">
        <v>7723.5</v>
      </c>
      <c r="E234" s="107">
        <v>6684.89</v>
      </c>
      <c r="F234" s="107">
        <v>2134.14</v>
      </c>
      <c r="G234" s="107">
        <v>7537.16</v>
      </c>
      <c r="H234" s="107">
        <v>10023.16</v>
      </c>
      <c r="I234" s="107">
        <v>7300</v>
      </c>
      <c r="J234" s="107">
        <v>13793.69</v>
      </c>
      <c r="K234" s="107">
        <v>12273.61</v>
      </c>
      <c r="L234" s="107">
        <v>9127.59</v>
      </c>
      <c r="M234" s="107">
        <v>8580.2800000000007</v>
      </c>
      <c r="N234" s="107">
        <v>97509.19</v>
      </c>
    </row>
    <row r="235" spans="1:14">
      <c r="A235" s="64" t="s">
        <v>176</v>
      </c>
      <c r="B235" s="22"/>
      <c r="C235" s="22"/>
      <c r="D235" s="22"/>
      <c r="E235" s="22"/>
      <c r="F235" s="107">
        <v>107.71</v>
      </c>
      <c r="G235" s="22"/>
      <c r="H235" s="22"/>
      <c r="I235" s="22"/>
      <c r="J235" s="107">
        <v>167.09</v>
      </c>
      <c r="K235" s="22"/>
      <c r="L235" s="22"/>
      <c r="M235" s="22"/>
      <c r="N235" s="107">
        <v>274.8</v>
      </c>
    </row>
    <row r="236" spans="1:14">
      <c r="A236" s="64" t="s">
        <v>177</v>
      </c>
      <c r="B236" s="107">
        <v>747.34</v>
      </c>
      <c r="C236" s="107">
        <v>1101.97</v>
      </c>
      <c r="D236" s="107">
        <v>465.49</v>
      </c>
      <c r="E236" s="107">
        <v>502.86</v>
      </c>
      <c r="F236" s="107">
        <v>551.45000000000005</v>
      </c>
      <c r="G236" s="107">
        <v>424.64</v>
      </c>
      <c r="H236" s="107">
        <v>976.37</v>
      </c>
      <c r="I236" s="107">
        <v>1472.37</v>
      </c>
      <c r="J236" s="107">
        <v>118.07</v>
      </c>
      <c r="K236" s="107">
        <v>270.45999999999998</v>
      </c>
      <c r="L236" s="107">
        <v>145.01</v>
      </c>
      <c r="M236" s="107">
        <v>1390.75</v>
      </c>
      <c r="N236" s="107">
        <v>8166.78</v>
      </c>
    </row>
    <row r="237" spans="1:14">
      <c r="A237" s="64" t="s">
        <v>178</v>
      </c>
      <c r="B237" s="107">
        <v>777.24</v>
      </c>
      <c r="C237" s="107">
        <v>917.24</v>
      </c>
      <c r="D237" s="107">
        <v>784.48</v>
      </c>
      <c r="E237" s="107">
        <v>770</v>
      </c>
      <c r="F237" s="107">
        <v>1522.38</v>
      </c>
      <c r="G237" s="107">
        <v>1756.54</v>
      </c>
      <c r="H237" s="107">
        <v>1329.06</v>
      </c>
      <c r="I237" s="107">
        <v>2392.4</v>
      </c>
      <c r="J237" s="107">
        <v>1406.78</v>
      </c>
      <c r="K237" s="107">
        <v>2242.9299999999998</v>
      </c>
      <c r="L237" s="107">
        <v>1266.24</v>
      </c>
      <c r="M237" s="107">
        <v>1259.06</v>
      </c>
      <c r="N237" s="107">
        <v>16424.349999999999</v>
      </c>
    </row>
    <row r="238" spans="1:14">
      <c r="A238" s="64" t="s">
        <v>179</v>
      </c>
      <c r="B238" s="107">
        <v>2790.44</v>
      </c>
      <c r="C238" s="107">
        <v>3343.09</v>
      </c>
      <c r="D238" s="107">
        <v>4815.24</v>
      </c>
      <c r="E238" s="107">
        <v>4017.46</v>
      </c>
      <c r="F238" s="107">
        <v>3505.63</v>
      </c>
      <c r="G238" s="107">
        <v>3719.98</v>
      </c>
      <c r="H238" s="107">
        <v>7698.42</v>
      </c>
      <c r="I238" s="107">
        <v>3784.2</v>
      </c>
      <c r="J238" s="107">
        <v>3542.13</v>
      </c>
      <c r="K238" s="107">
        <v>3351.59</v>
      </c>
      <c r="L238" s="107">
        <v>3131.23</v>
      </c>
      <c r="M238" s="107">
        <v>6016.47</v>
      </c>
      <c r="N238" s="107">
        <v>49715.88</v>
      </c>
    </row>
    <row r="239" spans="1:14">
      <c r="A239" s="64" t="s">
        <v>180</v>
      </c>
      <c r="B239" s="107">
        <v>6027</v>
      </c>
      <c r="C239" s="107">
        <v>8351.85</v>
      </c>
      <c r="D239" s="107">
        <v>4317.05</v>
      </c>
      <c r="E239" s="107">
        <v>3827.97</v>
      </c>
      <c r="F239" s="107">
        <v>4670.72</v>
      </c>
      <c r="G239" s="107">
        <v>4049.65</v>
      </c>
      <c r="H239" s="107">
        <v>4311.8100000000004</v>
      </c>
      <c r="I239" s="107">
        <v>7975.46</v>
      </c>
      <c r="J239" s="107">
        <v>3618.49</v>
      </c>
      <c r="K239" s="107">
        <v>3786.44</v>
      </c>
      <c r="L239" s="107">
        <v>2761.46</v>
      </c>
      <c r="M239" s="107">
        <v>2471.7800000000002</v>
      </c>
      <c r="N239" s="107">
        <v>56169.68</v>
      </c>
    </row>
    <row r="240" spans="1:14">
      <c r="A240" s="64" t="s">
        <v>181</v>
      </c>
      <c r="B240" s="107">
        <v>3505.56</v>
      </c>
      <c r="C240" s="107">
        <v>4022.62</v>
      </c>
      <c r="D240" s="107">
        <v>3510.69</v>
      </c>
      <c r="E240" s="107">
        <v>3275.12</v>
      </c>
      <c r="F240" s="107">
        <v>3255.04</v>
      </c>
      <c r="G240" s="107">
        <v>4307.13</v>
      </c>
      <c r="H240" s="107">
        <v>3827.48</v>
      </c>
      <c r="I240" s="107">
        <v>4923.17</v>
      </c>
      <c r="J240" s="107">
        <v>2546.7199999999998</v>
      </c>
      <c r="K240" s="107">
        <v>3136.35</v>
      </c>
      <c r="L240" s="107">
        <v>1464.42</v>
      </c>
      <c r="M240" s="107">
        <v>3609.28</v>
      </c>
      <c r="N240" s="107">
        <v>41383.58</v>
      </c>
    </row>
    <row r="241" spans="1:14">
      <c r="A241" s="64" t="s">
        <v>182</v>
      </c>
      <c r="B241" s="107">
        <v>1191.1400000000001</v>
      </c>
      <c r="C241" s="107">
        <v>1236.69</v>
      </c>
      <c r="D241" s="107">
        <v>1250.31</v>
      </c>
      <c r="E241" s="107">
        <v>2028.32</v>
      </c>
      <c r="F241" s="107">
        <v>1334.7</v>
      </c>
      <c r="G241" s="107">
        <v>1792.31</v>
      </c>
      <c r="H241" s="107">
        <v>1666.75</v>
      </c>
      <c r="I241" s="107">
        <v>1496.08</v>
      </c>
      <c r="J241" s="107">
        <v>1223.93</v>
      </c>
      <c r="K241" s="107">
        <v>1365.82</v>
      </c>
      <c r="L241" s="107">
        <v>747.57</v>
      </c>
      <c r="M241" s="107">
        <v>1212.69</v>
      </c>
      <c r="N241" s="107">
        <v>16546.310000000001</v>
      </c>
    </row>
    <row r="242" spans="1:14">
      <c r="A242" s="64" t="s">
        <v>183</v>
      </c>
      <c r="B242" s="107">
        <v>-64.81</v>
      </c>
      <c r="C242" s="107">
        <v>868.37</v>
      </c>
      <c r="D242" s="107">
        <v>54.11</v>
      </c>
      <c r="E242" s="107">
        <v>97.02</v>
      </c>
      <c r="F242" s="107">
        <v>2496.19</v>
      </c>
      <c r="G242" s="107">
        <v>3025.58</v>
      </c>
      <c r="H242" s="107">
        <v>1715.2</v>
      </c>
      <c r="I242" s="107">
        <v>1973.26</v>
      </c>
      <c r="J242" s="107">
        <v>-619.09</v>
      </c>
      <c r="K242" s="107">
        <v>1788.95</v>
      </c>
      <c r="L242" s="107">
        <v>313.95</v>
      </c>
      <c r="M242" s="107">
        <v>610.28</v>
      </c>
      <c r="N242" s="107">
        <v>12259.01</v>
      </c>
    </row>
    <row r="243" spans="1:14">
      <c r="A243" s="64" t="s">
        <v>184</v>
      </c>
      <c r="B243" s="111">
        <v>1634.91</v>
      </c>
      <c r="C243" s="111">
        <v>3373.61</v>
      </c>
      <c r="D243" s="111"/>
      <c r="E243" s="111">
        <v>1268.69</v>
      </c>
      <c r="F243" s="111">
        <v>2940.77</v>
      </c>
      <c r="G243" s="111">
        <v>1477.61</v>
      </c>
      <c r="H243" s="113"/>
      <c r="I243" s="113"/>
      <c r="J243" s="111">
        <v>3758.95</v>
      </c>
      <c r="K243" s="111">
        <v>8245.0400000000009</v>
      </c>
      <c r="L243" s="111">
        <v>1700</v>
      </c>
      <c r="M243" s="111">
        <v>4514.16</v>
      </c>
      <c r="N243" s="111">
        <v>28913.74</v>
      </c>
    </row>
    <row r="244" spans="1:14">
      <c r="A244" s="64" t="s">
        <v>185</v>
      </c>
      <c r="B244" s="107">
        <f t="shared" ref="B244:M244" si="57">SUM(B229:B243)</f>
        <v>94243.81</v>
      </c>
      <c r="C244" s="107">
        <f t="shared" si="57"/>
        <v>113936.29000000001</v>
      </c>
      <c r="D244" s="107">
        <f t="shared" si="57"/>
        <v>95375.360000000001</v>
      </c>
      <c r="E244" s="107">
        <f t="shared" si="57"/>
        <v>103816.61000000002</v>
      </c>
      <c r="F244" s="107">
        <f t="shared" si="57"/>
        <v>103844.15000000001</v>
      </c>
      <c r="G244" s="107">
        <f t="shared" si="57"/>
        <v>98213.969999999987</v>
      </c>
      <c r="H244" s="107">
        <f t="shared" si="57"/>
        <v>104103.99999999999</v>
      </c>
      <c r="I244" s="107">
        <f t="shared" si="57"/>
        <v>105568.62999999999</v>
      </c>
      <c r="J244" s="107">
        <f t="shared" si="57"/>
        <v>113744.82</v>
      </c>
      <c r="K244" s="107">
        <f t="shared" si="57"/>
        <v>111976.47</v>
      </c>
      <c r="L244" s="107">
        <f t="shared" si="57"/>
        <v>81555.81</v>
      </c>
      <c r="M244" s="107">
        <f t="shared" si="57"/>
        <v>92195.9</v>
      </c>
      <c r="N244" s="107">
        <v>1218575.82</v>
      </c>
    </row>
    <row r="245" spans="1:14">
      <c r="A245" s="64"/>
      <c r="B245" s="22"/>
      <c r="C245" s="22"/>
      <c r="D245" s="22"/>
      <c r="E245" s="22"/>
      <c r="F245" s="22"/>
      <c r="G245" s="22"/>
      <c r="H245" s="22"/>
      <c r="I245" s="22"/>
      <c r="J245" s="22"/>
      <c r="K245" s="22"/>
      <c r="L245" s="22"/>
      <c r="M245" s="22"/>
      <c r="N245" s="22"/>
    </row>
    <row r="246" spans="1:14">
      <c r="A246" s="64" t="s">
        <v>186</v>
      </c>
      <c r="B246" s="22"/>
      <c r="C246" s="22"/>
      <c r="D246" s="22"/>
      <c r="E246" s="22"/>
      <c r="F246" s="22"/>
      <c r="G246" s="22"/>
      <c r="H246" s="22"/>
      <c r="I246" s="22"/>
      <c r="J246" s="22"/>
      <c r="K246" s="22"/>
      <c r="L246" s="22"/>
      <c r="M246" s="22"/>
      <c r="N246" s="22"/>
    </row>
    <row r="247" spans="1:14">
      <c r="A247" s="64" t="s">
        <v>187</v>
      </c>
      <c r="B247" s="107">
        <v>5500</v>
      </c>
      <c r="C247" s="107">
        <v>5500</v>
      </c>
      <c r="D247" s="107">
        <v>5500</v>
      </c>
      <c r="E247" s="107">
        <v>5500</v>
      </c>
      <c r="F247" s="107">
        <v>5500</v>
      </c>
      <c r="G247" s="107">
        <v>5500</v>
      </c>
      <c r="H247" s="107">
        <v>5650</v>
      </c>
      <c r="I247" s="107">
        <v>5500</v>
      </c>
      <c r="J247" s="107">
        <v>5500</v>
      </c>
      <c r="K247" s="107">
        <v>5500</v>
      </c>
      <c r="L247" s="107">
        <v>5500</v>
      </c>
      <c r="M247" s="107">
        <v>5500</v>
      </c>
      <c r="N247" s="107">
        <v>66150</v>
      </c>
    </row>
    <row r="248" spans="1:14">
      <c r="A248" s="64" t="s">
        <v>188</v>
      </c>
      <c r="B248" s="107">
        <v>1750</v>
      </c>
      <c r="C248" s="107">
        <v>1785</v>
      </c>
      <c r="D248" s="107">
        <v>2257.5</v>
      </c>
      <c r="E248" s="107">
        <v>1417.5</v>
      </c>
      <c r="F248" s="107">
        <v>1767.5</v>
      </c>
      <c r="G248" s="107">
        <v>1907.5</v>
      </c>
      <c r="H248" s="107">
        <v>2170</v>
      </c>
      <c r="I248" s="107">
        <v>1907.5</v>
      </c>
      <c r="J248" s="107">
        <v>2187.5</v>
      </c>
      <c r="K248" s="107">
        <v>2065</v>
      </c>
      <c r="L248" s="107">
        <v>2012.5</v>
      </c>
      <c r="M248" s="107">
        <v>1802.5</v>
      </c>
      <c r="N248" s="107">
        <v>23030</v>
      </c>
    </row>
    <row r="249" spans="1:14">
      <c r="A249" s="64" t="s">
        <v>190</v>
      </c>
      <c r="B249" s="107">
        <v>6600</v>
      </c>
      <c r="C249" s="107">
        <v>2082.64</v>
      </c>
      <c r="D249" s="107">
        <v>4482.62</v>
      </c>
      <c r="E249" s="107">
        <v>2556.3200000000002</v>
      </c>
      <c r="F249" s="107">
        <v>1500</v>
      </c>
      <c r="G249" s="107">
        <v>1115</v>
      </c>
      <c r="H249" s="107">
        <v>3450</v>
      </c>
      <c r="I249" s="107">
        <v>3985</v>
      </c>
      <c r="J249" s="107">
        <v>3470</v>
      </c>
      <c r="K249" s="107">
        <v>1890</v>
      </c>
      <c r="L249" s="107">
        <v>2638</v>
      </c>
      <c r="M249" s="107">
        <v>3450</v>
      </c>
      <c r="N249" s="107">
        <v>37219.58</v>
      </c>
    </row>
    <row r="250" spans="1:14">
      <c r="A250" s="64" t="s">
        <v>191</v>
      </c>
      <c r="B250" s="107">
        <v>13149.65</v>
      </c>
      <c r="C250" s="107">
        <v>12515.08</v>
      </c>
      <c r="D250" s="107">
        <v>14118.09</v>
      </c>
      <c r="E250" s="107">
        <v>12207.14</v>
      </c>
      <c r="F250" s="107">
        <v>16383.55</v>
      </c>
      <c r="G250" s="107">
        <v>2599.87</v>
      </c>
      <c r="H250" s="107">
        <v>10790.01</v>
      </c>
      <c r="I250" s="107">
        <v>3834.49</v>
      </c>
      <c r="J250" s="107">
        <v>13424.71</v>
      </c>
      <c r="K250" s="107">
        <v>12606.69</v>
      </c>
      <c r="L250" s="107">
        <v>10012.219999999999</v>
      </c>
      <c r="M250" s="107"/>
      <c r="N250" s="107">
        <v>121641.5</v>
      </c>
    </row>
    <row r="251" spans="1:14">
      <c r="A251" s="64" t="s">
        <v>415</v>
      </c>
      <c r="B251" s="22"/>
      <c r="C251" s="22"/>
      <c r="D251" s="22"/>
      <c r="E251" s="22"/>
      <c r="F251" s="22"/>
      <c r="G251" s="22"/>
      <c r="H251" s="22"/>
      <c r="I251" s="22"/>
      <c r="J251" s="22"/>
      <c r="K251" s="22"/>
      <c r="L251" s="22"/>
      <c r="M251" s="107">
        <v>12334.63</v>
      </c>
      <c r="N251" s="107">
        <v>12334.63</v>
      </c>
    </row>
    <row r="252" spans="1:14">
      <c r="A252" s="64" t="s">
        <v>416</v>
      </c>
      <c r="B252" s="22"/>
      <c r="C252" s="22"/>
      <c r="D252" s="22"/>
      <c r="E252" s="22"/>
      <c r="F252" s="22"/>
      <c r="G252" s="22"/>
      <c r="H252" s="22"/>
      <c r="I252" s="22"/>
      <c r="J252" s="22"/>
      <c r="K252" s="22"/>
      <c r="L252" s="22"/>
      <c r="M252" s="107">
        <v>816.15</v>
      </c>
      <c r="N252" s="107">
        <v>816.15</v>
      </c>
    </row>
    <row r="253" spans="1:14">
      <c r="A253" s="64" t="s">
        <v>417</v>
      </c>
      <c r="B253" s="22"/>
      <c r="C253" s="22"/>
      <c r="D253" s="22"/>
      <c r="E253" s="22"/>
      <c r="F253" s="22"/>
      <c r="G253" s="22"/>
      <c r="H253" s="22"/>
      <c r="I253" s="22"/>
      <c r="J253" s="22"/>
      <c r="K253" s="22"/>
      <c r="L253" s="22"/>
      <c r="M253" s="107">
        <v>921.85</v>
      </c>
      <c r="N253" s="107">
        <v>921.85</v>
      </c>
    </row>
    <row r="254" spans="1:14">
      <c r="A254" s="64" t="s">
        <v>192</v>
      </c>
      <c r="B254" s="107">
        <v>956.8</v>
      </c>
      <c r="C254" s="107">
        <v>997.74</v>
      </c>
      <c r="D254" s="107">
        <v>997.74</v>
      </c>
      <c r="E254" s="107">
        <v>997.74</v>
      </c>
      <c r="F254" s="107">
        <v>997.74</v>
      </c>
      <c r="G254" s="107">
        <v>921.75</v>
      </c>
      <c r="H254" s="107">
        <v>921.75</v>
      </c>
      <c r="I254" s="107">
        <v>943.5</v>
      </c>
      <c r="J254" s="107">
        <v>900</v>
      </c>
      <c r="K254" s="107">
        <v>921.75</v>
      </c>
      <c r="L254" s="107">
        <v>921.75</v>
      </c>
      <c r="M254" s="107">
        <v>921.75</v>
      </c>
      <c r="N254" s="107">
        <v>11400.01</v>
      </c>
    </row>
    <row r="255" spans="1:14">
      <c r="A255" s="64" t="s">
        <v>193</v>
      </c>
      <c r="B255" s="107">
        <v>2973.32</v>
      </c>
      <c r="C255" s="107">
        <v>2892.4</v>
      </c>
      <c r="D255" s="107">
        <v>2966.23</v>
      </c>
      <c r="E255" s="107">
        <v>2975.38</v>
      </c>
      <c r="F255" s="107">
        <v>2910.22</v>
      </c>
      <c r="G255" s="107">
        <v>2852.58</v>
      </c>
      <c r="H255" s="107">
        <v>2898.76</v>
      </c>
      <c r="I255" s="107">
        <v>2968.91</v>
      </c>
      <c r="J255" s="107">
        <v>3034.02</v>
      </c>
      <c r="K255" s="107">
        <v>2224.31</v>
      </c>
      <c r="L255" s="107">
        <v>2699.82</v>
      </c>
      <c r="M255" s="107">
        <v>1864.16</v>
      </c>
      <c r="N255" s="107">
        <v>33260.11</v>
      </c>
    </row>
    <row r="256" spans="1:14">
      <c r="A256" s="64" t="s">
        <v>194</v>
      </c>
      <c r="B256" s="107">
        <v>1870.88</v>
      </c>
      <c r="C256" s="107">
        <v>6528.92</v>
      </c>
      <c r="D256" s="107">
        <v>2703.39</v>
      </c>
      <c r="E256" s="107">
        <v>2587.38</v>
      </c>
      <c r="F256" s="107">
        <v>3838.32</v>
      </c>
      <c r="G256" s="107">
        <v>3300.3</v>
      </c>
      <c r="H256" s="107">
        <v>2643.37</v>
      </c>
      <c r="I256" s="107">
        <v>6023.56</v>
      </c>
      <c r="J256" s="107">
        <v>3413.37</v>
      </c>
      <c r="K256" s="107">
        <v>3605.87</v>
      </c>
      <c r="L256" s="107">
        <v>847.04</v>
      </c>
      <c r="M256" s="107">
        <v>3501.64</v>
      </c>
      <c r="N256" s="107">
        <v>40864.04</v>
      </c>
    </row>
    <row r="257" spans="1:14">
      <c r="A257" s="64" t="s">
        <v>195</v>
      </c>
      <c r="B257" s="107">
        <v>15568.53</v>
      </c>
      <c r="C257" s="107">
        <v>15590.4</v>
      </c>
      <c r="D257" s="107">
        <v>15590.4</v>
      </c>
      <c r="E257" s="107">
        <v>15590.4</v>
      </c>
      <c r="F257" s="107">
        <v>15590.4</v>
      </c>
      <c r="G257" s="107">
        <v>15590.2</v>
      </c>
      <c r="H257" s="107">
        <v>15590.39</v>
      </c>
      <c r="I257" s="107">
        <v>15590.4</v>
      </c>
      <c r="J257" s="107">
        <v>15590.4</v>
      </c>
      <c r="K257" s="107">
        <v>16747.2</v>
      </c>
      <c r="L257" s="107">
        <v>16197.16</v>
      </c>
      <c r="M257" s="107">
        <v>15919.06</v>
      </c>
      <c r="N257" s="107">
        <v>189154.94</v>
      </c>
    </row>
    <row r="258" spans="1:14">
      <c r="A258" s="64" t="s">
        <v>196</v>
      </c>
      <c r="B258" s="107">
        <v>7401.11</v>
      </c>
      <c r="C258" s="107">
        <v>7379.24</v>
      </c>
      <c r="D258" s="107">
        <v>7379.24</v>
      </c>
      <c r="E258" s="107">
        <v>7379.24</v>
      </c>
      <c r="F258" s="107">
        <v>7379.24</v>
      </c>
      <c r="G258" s="107">
        <v>7379.24</v>
      </c>
      <c r="H258" s="107">
        <v>7379.25</v>
      </c>
      <c r="I258" s="107">
        <v>7379.24</v>
      </c>
      <c r="J258" s="107">
        <v>7379.24</v>
      </c>
      <c r="K258" s="107">
        <v>7600.62</v>
      </c>
      <c r="L258" s="107">
        <v>7600.62</v>
      </c>
      <c r="M258" s="107">
        <v>7600.62</v>
      </c>
      <c r="N258" s="107">
        <v>89236.9</v>
      </c>
    </row>
    <row r="259" spans="1:14">
      <c r="A259" s="64" t="s">
        <v>197</v>
      </c>
      <c r="B259" s="107">
        <v>46497.52</v>
      </c>
      <c r="C259" s="107">
        <v>45897.62</v>
      </c>
      <c r="D259" s="107">
        <v>45313.27</v>
      </c>
      <c r="E259" s="107">
        <v>45266.25</v>
      </c>
      <c r="F259" s="107">
        <v>45800.89</v>
      </c>
      <c r="G259" s="107">
        <v>45804.7</v>
      </c>
      <c r="H259" s="107">
        <v>46594.61</v>
      </c>
      <c r="I259" s="107">
        <v>45804.7</v>
      </c>
      <c r="J259" s="107">
        <v>47226.98</v>
      </c>
      <c r="K259" s="107">
        <v>52707.1</v>
      </c>
      <c r="L259" s="107">
        <v>38749.519999999997</v>
      </c>
      <c r="M259" s="107">
        <v>62597.48</v>
      </c>
      <c r="N259" s="107">
        <v>568260.64</v>
      </c>
    </row>
    <row r="260" spans="1:14">
      <c r="A260" s="64" t="s">
        <v>198</v>
      </c>
      <c r="B260" s="107">
        <v>687.3</v>
      </c>
      <c r="C260" s="107">
        <v>678.17</v>
      </c>
      <c r="D260" s="107">
        <v>678.17</v>
      </c>
      <c r="E260" s="107">
        <v>695.68</v>
      </c>
      <c r="F260" s="107">
        <v>690.22</v>
      </c>
      <c r="G260" s="107">
        <v>735.88</v>
      </c>
      <c r="H260" s="107">
        <v>733.71</v>
      </c>
      <c r="I260" s="107">
        <v>746.58</v>
      </c>
      <c r="J260" s="107">
        <v>790.48</v>
      </c>
      <c r="K260" s="107">
        <v>866.6</v>
      </c>
      <c r="L260" s="107">
        <v>803.69</v>
      </c>
      <c r="M260" s="107">
        <v>815.36</v>
      </c>
      <c r="N260" s="107">
        <v>8921.84</v>
      </c>
    </row>
    <row r="261" spans="1:14">
      <c r="A261" s="64" t="s">
        <v>199</v>
      </c>
      <c r="B261" s="107">
        <v>1711</v>
      </c>
      <c r="C261" s="107">
        <v>1519.25</v>
      </c>
      <c r="D261" s="107">
        <v>1509.42</v>
      </c>
      <c r="E261" s="107">
        <v>680.58</v>
      </c>
      <c r="F261" s="107">
        <v>210</v>
      </c>
      <c r="G261" s="107">
        <v>1635</v>
      </c>
      <c r="H261" s="107">
        <v>930</v>
      </c>
      <c r="I261" s="107">
        <v>400</v>
      </c>
      <c r="J261" s="107">
        <v>214.25</v>
      </c>
      <c r="K261" s="107">
        <v>1260</v>
      </c>
      <c r="L261" s="107">
        <v>500</v>
      </c>
      <c r="M261" s="107">
        <v>305.5</v>
      </c>
      <c r="N261" s="107">
        <v>10875</v>
      </c>
    </row>
    <row r="262" spans="1:14">
      <c r="A262" s="64" t="s">
        <v>200</v>
      </c>
      <c r="B262" s="107">
        <v>1880</v>
      </c>
      <c r="C262" s="107">
        <v>1600</v>
      </c>
      <c r="D262" s="107">
        <v>1600</v>
      </c>
      <c r="E262" s="107">
        <v>1600</v>
      </c>
      <c r="F262" s="107">
        <v>1600</v>
      </c>
      <c r="G262" s="107">
        <v>1600</v>
      </c>
      <c r="H262" s="107">
        <v>1600</v>
      </c>
      <c r="I262" s="107">
        <v>2255</v>
      </c>
      <c r="J262" s="107">
        <v>1600</v>
      </c>
      <c r="K262" s="107">
        <v>1600</v>
      </c>
      <c r="L262" s="107">
        <v>2234.5500000000002</v>
      </c>
      <c r="M262" s="107">
        <v>2300</v>
      </c>
      <c r="N262" s="107">
        <v>21469.55</v>
      </c>
    </row>
    <row r="263" spans="1:14">
      <c r="A263" s="64" t="s">
        <v>201</v>
      </c>
      <c r="B263" s="107">
        <v>588.5</v>
      </c>
      <c r="C263" s="107">
        <v>294.25</v>
      </c>
      <c r="D263" s="107">
        <v>294.25</v>
      </c>
      <c r="E263" s="107">
        <v>588.5</v>
      </c>
      <c r="F263" s="107">
        <v>271.82</v>
      </c>
      <c r="G263" s="107">
        <v>271.82</v>
      </c>
      <c r="H263" s="107">
        <v>271.82</v>
      </c>
      <c r="I263" s="107">
        <v>271.82</v>
      </c>
      <c r="J263" s="107">
        <v>321.82</v>
      </c>
      <c r="K263" s="107">
        <v>405.94</v>
      </c>
      <c r="L263" s="107">
        <v>606.82000000000005</v>
      </c>
      <c r="M263" s="107">
        <v>271.82</v>
      </c>
      <c r="N263" s="107">
        <v>4459.18</v>
      </c>
    </row>
    <row r="264" spans="1:14">
      <c r="A264" s="64" t="s">
        <v>202</v>
      </c>
      <c r="B264" s="22"/>
      <c r="C264" s="107">
        <v>37.5</v>
      </c>
      <c r="D264" s="22"/>
      <c r="E264" s="22"/>
      <c r="F264" s="22"/>
      <c r="G264" s="107"/>
      <c r="H264" s="22"/>
      <c r="I264" s="107">
        <v>740</v>
      </c>
      <c r="J264" s="22"/>
      <c r="K264" s="107">
        <v>869.89</v>
      </c>
      <c r="L264" s="107">
        <v>2430</v>
      </c>
      <c r="M264" s="107">
        <v>4190.82</v>
      </c>
      <c r="N264" s="107">
        <v>8268.2099999999991</v>
      </c>
    </row>
    <row r="265" spans="1:14">
      <c r="A265" s="64" t="s">
        <v>203</v>
      </c>
      <c r="B265" s="107">
        <v>8859.66</v>
      </c>
      <c r="C265" s="107">
        <v>10851.69</v>
      </c>
      <c r="D265" s="107">
        <v>10691.21</v>
      </c>
      <c r="E265" s="107">
        <v>9384.36</v>
      </c>
      <c r="F265" s="107">
        <v>12109.88</v>
      </c>
      <c r="G265" s="107">
        <v>8580.98</v>
      </c>
      <c r="H265" s="107">
        <v>11071.56</v>
      </c>
      <c r="I265" s="107">
        <v>13213.88</v>
      </c>
      <c r="J265" s="107">
        <v>13482.78</v>
      </c>
      <c r="K265" s="107">
        <v>15600.97</v>
      </c>
      <c r="L265" s="107">
        <v>10066.92</v>
      </c>
      <c r="M265" s="107">
        <v>11966.07</v>
      </c>
      <c r="N265" s="107">
        <v>135879.96</v>
      </c>
    </row>
    <row r="266" spans="1:14">
      <c r="A266" s="64" t="s">
        <v>204</v>
      </c>
      <c r="B266" s="107">
        <v>38861</v>
      </c>
      <c r="C266" s="107">
        <v>35863</v>
      </c>
      <c r="D266" s="107">
        <v>41888</v>
      </c>
      <c r="E266" s="107">
        <v>39669</v>
      </c>
      <c r="F266" s="107">
        <v>-152406</v>
      </c>
      <c r="G266" s="107">
        <v>46471</v>
      </c>
      <c r="H266" s="107">
        <v>37882</v>
      </c>
      <c r="I266" s="107">
        <v>46444</v>
      </c>
      <c r="J266" s="107">
        <v>43054</v>
      </c>
      <c r="K266" s="107">
        <v>40561</v>
      </c>
      <c r="L266" s="107">
        <v>37103</v>
      </c>
      <c r="M266" s="107">
        <v>40062</v>
      </c>
      <c r="N266" s="107">
        <v>295452</v>
      </c>
    </row>
    <row r="267" spans="1:14">
      <c r="A267" s="64" t="s">
        <v>205</v>
      </c>
      <c r="B267" s="107">
        <v>901.42</v>
      </c>
      <c r="C267" s="107">
        <v>913.96</v>
      </c>
      <c r="D267" s="107">
        <v>900.94</v>
      </c>
      <c r="E267" s="107">
        <v>904.52</v>
      </c>
      <c r="F267" s="107">
        <v>651.14</v>
      </c>
      <c r="G267" s="107">
        <v>617.01</v>
      </c>
      <c r="H267" s="107">
        <v>625.75</v>
      </c>
      <c r="I267" s="107">
        <v>761.09</v>
      </c>
      <c r="J267" s="107">
        <v>626.55999999999995</v>
      </c>
      <c r="K267" s="107">
        <v>642.07000000000005</v>
      </c>
      <c r="L267" s="107">
        <v>500</v>
      </c>
      <c r="M267" s="107">
        <v>621.09</v>
      </c>
      <c r="N267" s="107">
        <v>8665.5499999999993</v>
      </c>
    </row>
    <row r="268" spans="1:14">
      <c r="A268" s="64" t="s">
        <v>206</v>
      </c>
      <c r="B268" s="111">
        <v>1684.18</v>
      </c>
      <c r="C268" s="111">
        <v>1454.62</v>
      </c>
      <c r="D268" s="111">
        <v>3413.14</v>
      </c>
      <c r="E268" s="111">
        <v>3774.92</v>
      </c>
      <c r="F268" s="111">
        <v>2803.89</v>
      </c>
      <c r="G268" s="111">
        <v>2017.16</v>
      </c>
      <c r="H268" s="111">
        <v>2128.2800000000002</v>
      </c>
      <c r="I268" s="111">
        <v>2467.64</v>
      </c>
      <c r="J268" s="111">
        <v>2700.49</v>
      </c>
      <c r="K268" s="111">
        <v>3837.67</v>
      </c>
      <c r="L268" s="111">
        <v>2865.02</v>
      </c>
      <c r="M268" s="111">
        <v>3109.21</v>
      </c>
      <c r="N268" s="111">
        <v>32256.22</v>
      </c>
    </row>
    <row r="269" spans="1:14">
      <c r="A269" s="64" t="s">
        <v>207</v>
      </c>
      <c r="B269" s="107">
        <f t="shared" ref="B269:M269" si="58">SUM(B245:B268)</f>
        <v>157440.87000000002</v>
      </c>
      <c r="C269" s="107">
        <f t="shared" si="58"/>
        <v>154381.48000000001</v>
      </c>
      <c r="D269" s="107">
        <f t="shared" si="58"/>
        <v>162283.61000000002</v>
      </c>
      <c r="E269" s="107">
        <f t="shared" si="58"/>
        <v>153774.91</v>
      </c>
      <c r="F269" s="107">
        <f t="shared" si="58"/>
        <v>-32401.189999999988</v>
      </c>
      <c r="G269" s="107">
        <f t="shared" si="58"/>
        <v>148899.99000000002</v>
      </c>
      <c r="H269" s="107">
        <f t="shared" si="58"/>
        <v>153331.26</v>
      </c>
      <c r="I269" s="107">
        <f t="shared" si="58"/>
        <v>161237.31000000003</v>
      </c>
      <c r="J269" s="107">
        <f t="shared" si="58"/>
        <v>164916.59999999998</v>
      </c>
      <c r="K269" s="107">
        <f t="shared" si="58"/>
        <v>171512.68000000002</v>
      </c>
      <c r="L269" s="107">
        <f t="shared" si="58"/>
        <v>144288.63</v>
      </c>
      <c r="M269" s="107">
        <f t="shared" si="58"/>
        <v>180871.71</v>
      </c>
      <c r="N269" s="107">
        <v>1720537.86</v>
      </c>
    </row>
    <row r="270" spans="1:14">
      <c r="A270" s="64"/>
      <c r="B270" s="22"/>
      <c r="C270" s="22"/>
      <c r="D270" s="22"/>
      <c r="E270" s="22"/>
      <c r="F270" s="22"/>
      <c r="G270" s="22"/>
      <c r="H270" s="22"/>
      <c r="I270" s="22"/>
      <c r="J270" s="22"/>
      <c r="K270" s="22"/>
      <c r="L270" s="22"/>
      <c r="M270" s="22"/>
      <c r="N270" s="22"/>
    </row>
    <row r="271" spans="1:14">
      <c r="A271" s="64" t="s">
        <v>15</v>
      </c>
      <c r="B271" s="22"/>
      <c r="C271" s="22"/>
      <c r="D271" s="22"/>
      <c r="E271" s="22"/>
      <c r="F271" s="22"/>
      <c r="G271" s="22"/>
      <c r="H271" s="22"/>
      <c r="I271" s="22"/>
      <c r="J271" s="22"/>
      <c r="K271" s="22"/>
      <c r="L271" s="22"/>
      <c r="M271" s="22"/>
      <c r="N271" s="22"/>
    </row>
    <row r="272" spans="1:14">
      <c r="A272" s="64" t="s">
        <v>208</v>
      </c>
      <c r="B272" s="107">
        <v>4995.46</v>
      </c>
      <c r="C272" s="107">
        <v>3911.38</v>
      </c>
      <c r="D272" s="107">
        <v>3773.41</v>
      </c>
      <c r="E272" s="107">
        <v>2851.72</v>
      </c>
      <c r="F272" s="107">
        <v>3086.83</v>
      </c>
      <c r="G272" s="107">
        <v>3803.77</v>
      </c>
      <c r="H272" s="107">
        <v>6277.35</v>
      </c>
      <c r="I272" s="107">
        <v>5812.12</v>
      </c>
      <c r="J272" s="107">
        <v>2866.05</v>
      </c>
      <c r="K272" s="107">
        <v>3739.41</v>
      </c>
      <c r="L272" s="107">
        <v>2775.83</v>
      </c>
      <c r="M272" s="107">
        <v>3734.49</v>
      </c>
      <c r="N272" s="107">
        <v>47627.82</v>
      </c>
    </row>
    <row r="273" spans="1:14">
      <c r="A273" s="64" t="s">
        <v>209</v>
      </c>
      <c r="B273" s="107">
        <v>759.97</v>
      </c>
      <c r="C273" s="107">
        <v>1267.8399999999999</v>
      </c>
      <c r="D273" s="107">
        <v>1045.1600000000001</v>
      </c>
      <c r="E273" s="107">
        <v>1349.64</v>
      </c>
      <c r="F273" s="107">
        <v>1628.84</v>
      </c>
      <c r="G273" s="107">
        <v>1140.55</v>
      </c>
      <c r="H273" s="107">
        <v>1043.68</v>
      </c>
      <c r="I273" s="107">
        <v>1665.2</v>
      </c>
      <c r="J273" s="107">
        <v>875.7</v>
      </c>
      <c r="K273" s="107">
        <v>1040.74</v>
      </c>
      <c r="L273" s="107">
        <v>376.7</v>
      </c>
      <c r="M273" s="107">
        <v>883.2</v>
      </c>
      <c r="N273" s="107">
        <v>13077.22</v>
      </c>
    </row>
    <row r="274" spans="1:14">
      <c r="A274" s="64" t="s">
        <v>210</v>
      </c>
      <c r="B274" s="107">
        <v>716.63</v>
      </c>
      <c r="C274" s="107">
        <v>721.12</v>
      </c>
      <c r="D274" s="107">
        <v>1698.85</v>
      </c>
      <c r="E274" s="107">
        <v>888.25</v>
      </c>
      <c r="F274" s="107">
        <v>982.41</v>
      </c>
      <c r="G274" s="107">
        <v>164</v>
      </c>
      <c r="H274" s="107">
        <v>466.46</v>
      </c>
      <c r="I274" s="107">
        <v>1019.56</v>
      </c>
      <c r="J274" s="107">
        <v>269.27</v>
      </c>
      <c r="K274" s="107">
        <v>811.04</v>
      </c>
      <c r="L274" s="107">
        <v>579.83000000000004</v>
      </c>
      <c r="M274" s="107">
        <v>1174.47</v>
      </c>
      <c r="N274" s="107">
        <v>9491.89</v>
      </c>
    </row>
    <row r="275" spans="1:14">
      <c r="A275" s="64" t="s">
        <v>211</v>
      </c>
      <c r="B275" s="107">
        <v>167.35</v>
      </c>
      <c r="C275" s="107">
        <v>59.82</v>
      </c>
      <c r="D275" s="107">
        <v>167.35</v>
      </c>
      <c r="E275" s="107">
        <v>167.35</v>
      </c>
      <c r="F275" s="107">
        <v>3</v>
      </c>
      <c r="G275" s="107">
        <v>83.23</v>
      </c>
      <c r="H275" s="107">
        <v>902.25</v>
      </c>
      <c r="I275" s="107">
        <v>361.87</v>
      </c>
      <c r="J275" s="107">
        <v>115.95</v>
      </c>
      <c r="K275" s="107">
        <v>115.95</v>
      </c>
      <c r="L275" s="107">
        <v>101</v>
      </c>
      <c r="M275" s="107">
        <v>386.5</v>
      </c>
      <c r="N275" s="107">
        <v>2631.62</v>
      </c>
    </row>
    <row r="276" spans="1:14">
      <c r="A276" s="64" t="s">
        <v>195</v>
      </c>
      <c r="B276" s="107">
        <v>664.39</v>
      </c>
      <c r="C276" s="107">
        <v>156.9</v>
      </c>
      <c r="D276" s="107">
        <v>122.98</v>
      </c>
      <c r="E276" s="107">
        <v>285.64</v>
      </c>
      <c r="F276" s="107">
        <v>59.39</v>
      </c>
      <c r="G276" s="107">
        <v>562.41</v>
      </c>
      <c r="H276" s="107">
        <v>819.3</v>
      </c>
      <c r="I276" s="107">
        <v>211.34</v>
      </c>
      <c r="J276" s="107">
        <v>151.4</v>
      </c>
      <c r="K276" s="107">
        <v>479.18</v>
      </c>
      <c r="L276" s="107">
        <v>160.04</v>
      </c>
      <c r="M276" s="107">
        <v>273.95</v>
      </c>
      <c r="N276" s="107">
        <v>3946.92</v>
      </c>
    </row>
    <row r="277" spans="1:14">
      <c r="A277" s="64" t="s">
        <v>212</v>
      </c>
      <c r="B277" s="107"/>
      <c r="C277" s="22"/>
      <c r="D277" s="22"/>
      <c r="E277" s="22"/>
      <c r="F277" s="107">
        <v>407.86</v>
      </c>
      <c r="G277" s="22"/>
      <c r="H277" s="107">
        <v>489.24</v>
      </c>
      <c r="I277" s="22"/>
      <c r="J277" s="107">
        <v>766.26</v>
      </c>
      <c r="K277" s="22"/>
      <c r="L277" s="22"/>
      <c r="M277" s="22"/>
      <c r="N277" s="107">
        <v>1663.36</v>
      </c>
    </row>
    <row r="278" spans="1:14">
      <c r="A278" s="64" t="s">
        <v>213</v>
      </c>
      <c r="B278" s="22"/>
      <c r="C278" s="22"/>
      <c r="D278" s="22"/>
      <c r="E278" s="22"/>
      <c r="F278" s="22"/>
      <c r="G278" s="22"/>
      <c r="H278" s="22"/>
      <c r="I278" s="22"/>
      <c r="J278" s="22"/>
      <c r="K278" s="107">
        <v>13.59</v>
      </c>
      <c r="L278" s="22"/>
      <c r="M278" s="22"/>
      <c r="N278" s="107">
        <v>13.59</v>
      </c>
    </row>
    <row r="279" spans="1:14">
      <c r="A279" s="64" t="s">
        <v>214</v>
      </c>
      <c r="B279" s="107">
        <v>737.53</v>
      </c>
      <c r="C279" s="107">
        <v>486.34</v>
      </c>
      <c r="D279" s="107">
        <v>559.01</v>
      </c>
      <c r="E279" s="107">
        <v>338.96</v>
      </c>
      <c r="F279" s="107">
        <v>118.12</v>
      </c>
      <c r="G279" s="107">
        <v>200.54</v>
      </c>
      <c r="H279" s="107"/>
      <c r="I279" s="107">
        <v>219.55</v>
      </c>
      <c r="J279" s="107">
        <v>68.89</v>
      </c>
      <c r="K279" s="107">
        <v>92.28</v>
      </c>
      <c r="L279" s="107">
        <v>154.04</v>
      </c>
      <c r="M279" s="107">
        <v>207.89</v>
      </c>
      <c r="N279" s="107">
        <v>3183.15</v>
      </c>
    </row>
    <row r="280" spans="1:14">
      <c r="A280" s="64" t="s">
        <v>215</v>
      </c>
      <c r="B280" s="107">
        <v>109.07</v>
      </c>
      <c r="C280" s="107">
        <v>11.89</v>
      </c>
      <c r="D280" s="107">
        <v>37.159999999999997</v>
      </c>
      <c r="E280" s="107">
        <v>272.87</v>
      </c>
      <c r="F280" s="107">
        <v>422.05</v>
      </c>
      <c r="G280" s="107">
        <v>321.99</v>
      </c>
      <c r="H280" s="107">
        <v>159.71</v>
      </c>
      <c r="I280" s="107">
        <v>1518.05</v>
      </c>
      <c r="J280" s="107">
        <v>88.62</v>
      </c>
      <c r="K280" s="107">
        <v>12.34</v>
      </c>
      <c r="L280" s="107">
        <v>339.36</v>
      </c>
      <c r="M280" s="107">
        <v>12.65</v>
      </c>
      <c r="N280" s="107">
        <v>3305.76</v>
      </c>
    </row>
    <row r="281" spans="1:14">
      <c r="A281" s="64" t="s">
        <v>216</v>
      </c>
      <c r="B281" s="107">
        <v>2766.98</v>
      </c>
      <c r="C281" s="107">
        <v>1193.57</v>
      </c>
      <c r="D281" s="107">
        <v>3725.9</v>
      </c>
      <c r="E281" s="107">
        <v>5492.73</v>
      </c>
      <c r="F281" s="107">
        <v>1745.15</v>
      </c>
      <c r="G281" s="107">
        <v>1352.53</v>
      </c>
      <c r="H281" s="107">
        <v>2761.38</v>
      </c>
      <c r="I281" s="107">
        <v>970.85</v>
      </c>
      <c r="J281" s="107">
        <v>2375.44</v>
      </c>
      <c r="K281" s="107">
        <v>2404.4899999999998</v>
      </c>
      <c r="L281" s="107">
        <v>1959.11</v>
      </c>
      <c r="M281" s="107">
        <v>3521.03</v>
      </c>
      <c r="N281" s="107">
        <v>30269.16</v>
      </c>
    </row>
    <row r="282" spans="1:14">
      <c r="A282" s="64" t="s">
        <v>217</v>
      </c>
      <c r="B282" s="22"/>
      <c r="C282" s="107">
        <v>500.22</v>
      </c>
      <c r="D282" s="107">
        <v>898.7</v>
      </c>
      <c r="E282" s="107">
        <v>1018.8</v>
      </c>
      <c r="F282" s="107">
        <v>1130.7</v>
      </c>
      <c r="G282" s="107">
        <v>629.44000000000005</v>
      </c>
      <c r="H282" s="107">
        <v>1713.95</v>
      </c>
      <c r="I282" s="107">
        <v>1562.35</v>
      </c>
      <c r="J282" s="107">
        <v>-584.28</v>
      </c>
      <c r="K282" s="107">
        <v>1433.33</v>
      </c>
      <c r="L282" s="107">
        <v>2539.85</v>
      </c>
      <c r="M282" s="107">
        <v>694.98</v>
      </c>
      <c r="N282" s="107">
        <v>11538.04</v>
      </c>
    </row>
    <row r="283" spans="1:14">
      <c r="A283" s="64" t="s">
        <v>218</v>
      </c>
      <c r="B283" s="107">
        <v>632.75</v>
      </c>
      <c r="C283" s="107">
        <v>668.79</v>
      </c>
      <c r="D283" s="107">
        <v>587.47</v>
      </c>
      <c r="E283" s="107">
        <v>603.04</v>
      </c>
      <c r="F283" s="107">
        <v>671.82</v>
      </c>
      <c r="G283" s="107">
        <v>986.54</v>
      </c>
      <c r="H283" s="107">
        <v>952.61</v>
      </c>
      <c r="I283" s="107">
        <v>590</v>
      </c>
      <c r="J283" s="107">
        <v>677.78</v>
      </c>
      <c r="K283" s="107">
        <v>669.17</v>
      </c>
      <c r="L283" s="107">
        <v>719.57</v>
      </c>
      <c r="M283" s="107">
        <v>1056.96</v>
      </c>
      <c r="N283" s="107">
        <v>8816.5</v>
      </c>
    </row>
    <row r="284" spans="1:14">
      <c r="A284" s="64" t="s">
        <v>219</v>
      </c>
      <c r="B284" s="107">
        <v>4072.8</v>
      </c>
      <c r="C284" s="107">
        <v>3875.51</v>
      </c>
      <c r="D284" s="107">
        <v>1620.53</v>
      </c>
      <c r="E284" s="107">
        <v>1477.59</v>
      </c>
      <c r="F284" s="107">
        <v>4979.4799999999996</v>
      </c>
      <c r="G284" s="107">
        <v>1034.8800000000001</v>
      </c>
      <c r="H284" s="107">
        <v>3827.92</v>
      </c>
      <c r="I284" s="107">
        <v>1711.53</v>
      </c>
      <c r="J284" s="107">
        <v>5680.59</v>
      </c>
      <c r="K284" s="107">
        <v>3531.51</v>
      </c>
      <c r="L284" s="107">
        <v>2215.39</v>
      </c>
      <c r="M284" s="107">
        <v>2430.9899999999998</v>
      </c>
      <c r="N284" s="107">
        <v>36458.720000000001</v>
      </c>
    </row>
    <row r="285" spans="1:14">
      <c r="A285" s="64" t="s">
        <v>220</v>
      </c>
      <c r="B285" s="111">
        <v>196.23</v>
      </c>
      <c r="C285" s="111">
        <v>196.74</v>
      </c>
      <c r="D285" s="111">
        <v>292.19</v>
      </c>
      <c r="E285" s="111">
        <v>112.13</v>
      </c>
      <c r="F285" s="111">
        <v>565.09</v>
      </c>
      <c r="G285" s="111">
        <v>76.75</v>
      </c>
      <c r="H285" s="111">
        <v>564.75</v>
      </c>
      <c r="I285" s="111">
        <v>733.42</v>
      </c>
      <c r="J285" s="111">
        <v>911.56</v>
      </c>
      <c r="K285" s="111">
        <v>617.25</v>
      </c>
      <c r="L285" s="111">
        <v>262.2</v>
      </c>
      <c r="M285" s="111">
        <v>356.81</v>
      </c>
      <c r="N285" s="111">
        <v>4885.12</v>
      </c>
    </row>
    <row r="286" spans="1:14">
      <c r="A286" s="64" t="s">
        <v>221</v>
      </c>
      <c r="B286" s="107">
        <f t="shared" ref="B286:M286" si="59">SUM(B270:B285)</f>
        <v>15819.16</v>
      </c>
      <c r="C286" s="107">
        <f t="shared" si="59"/>
        <v>13050.119999999999</v>
      </c>
      <c r="D286" s="107">
        <f t="shared" si="59"/>
        <v>14528.710000000001</v>
      </c>
      <c r="E286" s="107">
        <f t="shared" si="59"/>
        <v>14858.72</v>
      </c>
      <c r="F286" s="107">
        <f t="shared" si="59"/>
        <v>15800.74</v>
      </c>
      <c r="G286" s="107">
        <f t="shared" si="59"/>
        <v>10356.630000000001</v>
      </c>
      <c r="H286" s="107">
        <f t="shared" si="59"/>
        <v>19978.599999999999</v>
      </c>
      <c r="I286" s="107">
        <f t="shared" si="59"/>
        <v>16375.84</v>
      </c>
      <c r="J286" s="107">
        <f t="shared" si="59"/>
        <v>14263.23</v>
      </c>
      <c r="K286" s="107">
        <f t="shared" si="59"/>
        <v>14960.28</v>
      </c>
      <c r="L286" s="107">
        <f t="shared" si="59"/>
        <v>12182.919999999998</v>
      </c>
      <c r="M286" s="107">
        <f t="shared" si="59"/>
        <v>14733.919999999998</v>
      </c>
      <c r="N286" s="107">
        <v>176908.87</v>
      </c>
    </row>
    <row r="287" spans="1:14">
      <c r="A287" s="64"/>
      <c r="B287" s="22"/>
      <c r="C287" s="22"/>
      <c r="D287" s="22"/>
      <c r="E287" s="22"/>
      <c r="F287" s="22"/>
      <c r="G287" s="22"/>
      <c r="H287" s="22"/>
      <c r="I287" s="22"/>
      <c r="J287" s="22"/>
      <c r="K287" s="22"/>
      <c r="L287" s="22"/>
      <c r="M287" s="22"/>
      <c r="N287" s="22"/>
    </row>
    <row r="288" spans="1:14">
      <c r="A288" s="64" t="s">
        <v>222</v>
      </c>
      <c r="B288" s="22"/>
      <c r="C288" s="22"/>
      <c r="D288" s="22"/>
      <c r="E288" s="22"/>
      <c r="F288" s="22"/>
      <c r="G288" s="22"/>
      <c r="H288" s="22"/>
      <c r="I288" s="22"/>
      <c r="J288" s="22"/>
      <c r="K288" s="22"/>
      <c r="L288" s="22"/>
      <c r="M288" s="22"/>
      <c r="N288" s="22"/>
    </row>
    <row r="289" spans="1:14">
      <c r="A289" s="64" t="s">
        <v>386</v>
      </c>
      <c r="B289" s="22"/>
      <c r="C289" s="22"/>
      <c r="D289" s="22"/>
      <c r="E289" s="22"/>
      <c r="F289" s="22"/>
      <c r="G289" s="22"/>
      <c r="H289" s="22"/>
      <c r="I289" s="22"/>
      <c r="J289" s="107"/>
      <c r="K289" s="22"/>
      <c r="L289" s="22"/>
      <c r="M289" s="107">
        <v>850</v>
      </c>
      <c r="N289" s="107">
        <v>850</v>
      </c>
    </row>
    <row r="290" spans="1:14">
      <c r="A290" s="64" t="s">
        <v>223</v>
      </c>
      <c r="B290" s="22"/>
      <c r="C290" s="107">
        <v>1050</v>
      </c>
      <c r="D290" s="22"/>
      <c r="E290" s="22"/>
      <c r="F290" s="107">
        <v>865.62</v>
      </c>
      <c r="G290" s="22"/>
      <c r="H290" s="107">
        <v>2966.51</v>
      </c>
      <c r="I290" s="22"/>
      <c r="J290" s="107">
        <v>104.71</v>
      </c>
      <c r="K290" s="107">
        <v>113.87</v>
      </c>
      <c r="L290" s="107">
        <v>252.5</v>
      </c>
      <c r="M290" s="22"/>
      <c r="N290" s="107">
        <v>5353.21</v>
      </c>
    </row>
    <row r="291" spans="1:14">
      <c r="A291" s="64" t="s">
        <v>224</v>
      </c>
      <c r="B291" s="107">
        <v>5173.34</v>
      </c>
      <c r="C291" s="107">
        <v>6716.15</v>
      </c>
      <c r="D291" s="107">
        <v>5657.05</v>
      </c>
      <c r="E291" s="107">
        <v>6463</v>
      </c>
      <c r="F291" s="107">
        <v>3742</v>
      </c>
      <c r="G291" s="107">
        <v>3821.15</v>
      </c>
      <c r="H291" s="107">
        <v>5405</v>
      </c>
      <c r="I291" s="107">
        <v>1967.64</v>
      </c>
      <c r="J291" s="107">
        <v>7230.05</v>
      </c>
      <c r="K291" s="107">
        <v>5237.6000000000004</v>
      </c>
      <c r="L291" s="107">
        <v>1900</v>
      </c>
      <c r="M291" s="107">
        <v>8424.76</v>
      </c>
      <c r="N291" s="107">
        <v>61737.74</v>
      </c>
    </row>
    <row r="292" spans="1:14">
      <c r="A292" s="64" t="s">
        <v>225</v>
      </c>
      <c r="B292" s="22"/>
      <c r="C292" s="107">
        <v>250</v>
      </c>
      <c r="D292" s="107">
        <v>107.99</v>
      </c>
      <c r="E292" s="107">
        <v>80</v>
      </c>
      <c r="F292" s="22"/>
      <c r="G292" s="22"/>
      <c r="H292" s="22"/>
      <c r="I292" s="107">
        <v>294.86</v>
      </c>
      <c r="J292" s="107">
        <v>224.32</v>
      </c>
      <c r="K292" s="107">
        <v>110</v>
      </c>
      <c r="L292" s="22"/>
      <c r="M292" s="107">
        <v>2492.5700000000002</v>
      </c>
      <c r="N292" s="107">
        <v>3559.74</v>
      </c>
    </row>
    <row r="293" spans="1:14">
      <c r="A293" s="64" t="s">
        <v>226</v>
      </c>
      <c r="B293" s="107">
        <v>288.77</v>
      </c>
      <c r="C293" s="107">
        <v>421.85</v>
      </c>
      <c r="D293" s="107">
        <v>514.30999999999995</v>
      </c>
      <c r="E293" s="107">
        <v>248.1</v>
      </c>
      <c r="F293" s="107">
        <v>2377.5300000000002</v>
      </c>
      <c r="G293" s="107">
        <v>157.87</v>
      </c>
      <c r="H293" s="107">
        <v>212.56</v>
      </c>
      <c r="I293" s="107">
        <v>317.06</v>
      </c>
      <c r="J293" s="107">
        <v>236.34</v>
      </c>
      <c r="K293" s="107">
        <v>405.87</v>
      </c>
      <c r="L293" s="107">
        <v>423.23</v>
      </c>
      <c r="M293" s="107">
        <v>340.46</v>
      </c>
      <c r="N293" s="107">
        <v>5943.95</v>
      </c>
    </row>
    <row r="294" spans="1:14">
      <c r="A294" s="64" t="s">
        <v>227</v>
      </c>
      <c r="B294" s="111">
        <v>451.92</v>
      </c>
      <c r="C294" s="111">
        <v>630.19000000000005</v>
      </c>
      <c r="D294" s="111">
        <v>1146.54</v>
      </c>
      <c r="E294" s="111">
        <v>330.19</v>
      </c>
      <c r="F294" s="111">
        <v>335.62</v>
      </c>
      <c r="G294" s="111">
        <v>265.33</v>
      </c>
      <c r="H294" s="111">
        <v>1094.72</v>
      </c>
      <c r="I294" s="111">
        <v>561.45000000000005</v>
      </c>
      <c r="J294" s="111">
        <v>1434.96</v>
      </c>
      <c r="K294" s="111">
        <v>766.65</v>
      </c>
      <c r="L294" s="111">
        <v>749.42</v>
      </c>
      <c r="M294" s="111">
        <v>641.65</v>
      </c>
      <c r="N294" s="111">
        <v>8408.64</v>
      </c>
    </row>
    <row r="295" spans="1:14">
      <c r="A295" s="64" t="s">
        <v>229</v>
      </c>
      <c r="B295" s="107">
        <f t="shared" ref="B295:M295" si="60">SUM(B287:B294)</f>
        <v>5914.0300000000007</v>
      </c>
      <c r="C295" s="107">
        <f t="shared" si="60"/>
        <v>9068.19</v>
      </c>
      <c r="D295" s="107">
        <f t="shared" si="60"/>
        <v>7425.89</v>
      </c>
      <c r="E295" s="107">
        <f t="shared" si="60"/>
        <v>7121.29</v>
      </c>
      <c r="F295" s="107">
        <f t="shared" si="60"/>
        <v>7320.7699999999995</v>
      </c>
      <c r="G295" s="107">
        <f t="shared" si="60"/>
        <v>4244.3500000000004</v>
      </c>
      <c r="H295" s="107">
        <f t="shared" si="60"/>
        <v>9678.7899999999991</v>
      </c>
      <c r="I295" s="107">
        <f t="shared" si="60"/>
        <v>3141.01</v>
      </c>
      <c r="J295" s="107">
        <f t="shared" si="60"/>
        <v>9230.380000000001</v>
      </c>
      <c r="K295" s="107">
        <f t="shared" si="60"/>
        <v>6633.99</v>
      </c>
      <c r="L295" s="107">
        <f t="shared" si="60"/>
        <v>3325.15</v>
      </c>
      <c r="M295" s="107">
        <f t="shared" si="60"/>
        <v>12749.439999999999</v>
      </c>
      <c r="N295" s="107">
        <v>85853.28</v>
      </c>
    </row>
    <row r="296" spans="1:14">
      <c r="A296" s="64"/>
      <c r="B296" s="22"/>
      <c r="C296" s="22"/>
      <c r="D296" s="22"/>
      <c r="E296" s="22"/>
      <c r="F296" s="22"/>
      <c r="G296" s="22"/>
      <c r="H296" s="22"/>
      <c r="I296" s="22"/>
      <c r="J296" s="22"/>
      <c r="K296" s="22"/>
      <c r="L296" s="22"/>
      <c r="M296" s="22"/>
      <c r="N296" s="22"/>
    </row>
    <row r="297" spans="1:14">
      <c r="A297" s="64" t="s">
        <v>230</v>
      </c>
      <c r="B297" s="22"/>
      <c r="C297" s="22"/>
      <c r="D297" s="22"/>
      <c r="E297" s="22"/>
      <c r="F297" s="22"/>
      <c r="G297" s="22"/>
      <c r="H297" s="22"/>
      <c r="I297" s="22"/>
      <c r="J297" s="22"/>
      <c r="K297" s="22"/>
      <c r="L297" s="22"/>
      <c r="M297" s="22"/>
      <c r="N297" s="22"/>
    </row>
    <row r="298" spans="1:14">
      <c r="A298" s="64" t="s">
        <v>231</v>
      </c>
      <c r="B298" s="107">
        <v>12583.84</v>
      </c>
      <c r="C298" s="107">
        <v>12583.84</v>
      </c>
      <c r="D298" s="107">
        <v>12583.84</v>
      </c>
      <c r="E298" s="107">
        <v>12583.84</v>
      </c>
      <c r="F298" s="107">
        <v>-935.93</v>
      </c>
      <c r="G298" s="107">
        <v>11483.84</v>
      </c>
      <c r="H298" s="107">
        <v>11483.84</v>
      </c>
      <c r="I298" s="107">
        <v>11483.84</v>
      </c>
      <c r="J298" s="107">
        <v>11483.84</v>
      </c>
      <c r="K298" s="107">
        <v>11483.84</v>
      </c>
      <c r="L298" s="107">
        <v>11483.84</v>
      </c>
      <c r="M298" s="107">
        <v>11483.84</v>
      </c>
      <c r="N298" s="107">
        <v>129786.31</v>
      </c>
    </row>
    <row r="299" spans="1:14">
      <c r="A299" s="64" t="s">
        <v>232</v>
      </c>
      <c r="B299" s="107">
        <v>335</v>
      </c>
      <c r="C299" s="107">
        <v>335</v>
      </c>
      <c r="D299" s="107">
        <v>335</v>
      </c>
      <c r="E299" s="107">
        <v>335</v>
      </c>
      <c r="F299" s="107">
        <v>604.15</v>
      </c>
      <c r="G299" s="107">
        <v>360</v>
      </c>
      <c r="H299" s="107">
        <v>360</v>
      </c>
      <c r="I299" s="107">
        <v>360</v>
      </c>
      <c r="J299" s="107">
        <v>360</v>
      </c>
      <c r="K299" s="107">
        <v>360</v>
      </c>
      <c r="L299" s="107">
        <v>360</v>
      </c>
      <c r="M299" s="107">
        <v>360</v>
      </c>
      <c r="N299" s="107">
        <v>4464.1499999999996</v>
      </c>
    </row>
    <row r="300" spans="1:14">
      <c r="A300" s="64" t="s">
        <v>234</v>
      </c>
      <c r="B300" s="107">
        <v>1455.88</v>
      </c>
      <c r="C300" s="22"/>
      <c r="D300" s="22"/>
      <c r="E300" s="107">
        <v>335</v>
      </c>
      <c r="F300" s="107">
        <v>300</v>
      </c>
      <c r="G300" s="107">
        <v>66.67</v>
      </c>
      <c r="H300" s="107">
        <v>250</v>
      </c>
      <c r="I300" s="22"/>
      <c r="J300" s="22"/>
      <c r="K300" s="22"/>
      <c r="L300" s="22"/>
      <c r="M300" s="107">
        <v>69</v>
      </c>
      <c r="N300" s="107">
        <v>2476.5500000000002</v>
      </c>
    </row>
    <row r="301" spans="1:14">
      <c r="A301" s="64" t="s">
        <v>352</v>
      </c>
      <c r="B301" s="111">
        <v>834.84</v>
      </c>
      <c r="C301" s="113"/>
      <c r="D301" s="113"/>
      <c r="E301" s="113"/>
      <c r="F301" s="111"/>
      <c r="G301" s="111">
        <v>834.84</v>
      </c>
      <c r="H301" s="111">
        <v>834.84</v>
      </c>
      <c r="I301" s="111">
        <v>834.84</v>
      </c>
      <c r="J301" s="111">
        <v>834.84</v>
      </c>
      <c r="K301" s="111">
        <v>834.84</v>
      </c>
      <c r="L301" s="111">
        <v>834.84</v>
      </c>
      <c r="M301" s="111">
        <v>834.84</v>
      </c>
      <c r="N301" s="111">
        <v>6678.72</v>
      </c>
    </row>
    <row r="302" spans="1:14">
      <c r="A302" s="64" t="s">
        <v>236</v>
      </c>
      <c r="B302" s="107">
        <f t="shared" ref="B302:M302" si="61">SUM(B296:B301)</f>
        <v>15209.560000000001</v>
      </c>
      <c r="C302" s="107">
        <f t="shared" si="61"/>
        <v>12918.84</v>
      </c>
      <c r="D302" s="107">
        <f t="shared" si="61"/>
        <v>12918.84</v>
      </c>
      <c r="E302" s="107">
        <f t="shared" si="61"/>
        <v>13253.84</v>
      </c>
      <c r="F302" s="107">
        <f t="shared" si="61"/>
        <v>-31.779999999999973</v>
      </c>
      <c r="G302" s="107">
        <f t="shared" si="61"/>
        <v>12745.35</v>
      </c>
      <c r="H302" s="107">
        <f t="shared" si="61"/>
        <v>12928.68</v>
      </c>
      <c r="I302" s="107">
        <f t="shared" si="61"/>
        <v>12678.68</v>
      </c>
      <c r="J302" s="107">
        <f t="shared" si="61"/>
        <v>12678.68</v>
      </c>
      <c r="K302" s="107">
        <f t="shared" si="61"/>
        <v>12678.68</v>
      </c>
      <c r="L302" s="107">
        <f t="shared" si="61"/>
        <v>12678.68</v>
      </c>
      <c r="M302" s="107">
        <f t="shared" si="61"/>
        <v>12747.68</v>
      </c>
      <c r="N302" s="107">
        <v>143405.73000000001</v>
      </c>
    </row>
    <row r="303" spans="1:14">
      <c r="A303" s="64"/>
      <c r="B303" s="22"/>
      <c r="C303" s="22"/>
      <c r="D303" s="22"/>
      <c r="E303" s="22"/>
      <c r="F303" s="22"/>
      <c r="G303" s="22"/>
      <c r="H303" s="22"/>
      <c r="I303" s="22"/>
      <c r="J303" s="22"/>
      <c r="K303" s="22"/>
      <c r="L303" s="22"/>
      <c r="M303" s="22"/>
      <c r="N303" s="22"/>
    </row>
    <row r="304" spans="1:14">
      <c r="A304" s="64" t="s">
        <v>237</v>
      </c>
      <c r="B304" s="22"/>
      <c r="C304" s="22"/>
      <c r="D304" s="22"/>
      <c r="E304" s="22"/>
      <c r="F304" s="22"/>
      <c r="G304" s="22"/>
      <c r="H304" s="22"/>
      <c r="I304" s="22"/>
      <c r="J304" s="22"/>
      <c r="K304" s="22"/>
      <c r="L304" s="22"/>
      <c r="M304" s="22"/>
      <c r="N304" s="22"/>
    </row>
    <row r="305" spans="1:14">
      <c r="A305" s="64" t="s">
        <v>375</v>
      </c>
      <c r="B305" s="22"/>
      <c r="C305" s="22"/>
      <c r="D305" s="22"/>
      <c r="E305" s="22"/>
      <c r="F305" s="22"/>
      <c r="G305" s="22"/>
      <c r="H305" s="107">
        <v>12390</v>
      </c>
      <c r="I305" s="107">
        <v>590</v>
      </c>
      <c r="J305" s="22"/>
      <c r="K305" s="107">
        <v>21087</v>
      </c>
      <c r="L305" s="22"/>
      <c r="M305" s="22"/>
      <c r="N305" s="107">
        <v>34067</v>
      </c>
    </row>
    <row r="306" spans="1:14">
      <c r="A306" s="64" t="s">
        <v>228</v>
      </c>
      <c r="B306" s="111">
        <v>23316</v>
      </c>
      <c r="C306" s="111">
        <v>21518</v>
      </c>
      <c r="D306" s="111">
        <v>25133</v>
      </c>
      <c r="E306" s="111">
        <v>23801</v>
      </c>
      <c r="F306" s="111">
        <v>24098</v>
      </c>
      <c r="G306" s="111">
        <v>27883</v>
      </c>
      <c r="H306" s="111">
        <v>41662.31</v>
      </c>
      <c r="I306" s="111">
        <v>27866</v>
      </c>
      <c r="J306" s="111">
        <v>25832</v>
      </c>
      <c r="K306" s="111">
        <v>-25663</v>
      </c>
      <c r="L306" s="111">
        <v>22262</v>
      </c>
      <c r="M306" s="111">
        <v>24037</v>
      </c>
      <c r="N306" s="111">
        <v>261745.31</v>
      </c>
    </row>
    <row r="307" spans="1:14">
      <c r="A307" s="64" t="s">
        <v>238</v>
      </c>
      <c r="B307" s="107">
        <f t="shared" ref="B307:M307" si="62">SUM(B303:B306)</f>
        <v>23316</v>
      </c>
      <c r="C307" s="107">
        <f t="shared" si="62"/>
        <v>21518</v>
      </c>
      <c r="D307" s="107">
        <f t="shared" si="62"/>
        <v>25133</v>
      </c>
      <c r="E307" s="107">
        <f t="shared" si="62"/>
        <v>23801</v>
      </c>
      <c r="F307" s="107">
        <f t="shared" si="62"/>
        <v>24098</v>
      </c>
      <c r="G307" s="107">
        <f t="shared" si="62"/>
        <v>27883</v>
      </c>
      <c r="H307" s="107">
        <f t="shared" si="62"/>
        <v>54052.31</v>
      </c>
      <c r="I307" s="107">
        <f t="shared" si="62"/>
        <v>28456</v>
      </c>
      <c r="J307" s="107">
        <f t="shared" si="62"/>
        <v>25832</v>
      </c>
      <c r="K307" s="107">
        <f t="shared" si="62"/>
        <v>-4576</v>
      </c>
      <c r="L307" s="107">
        <f t="shared" si="62"/>
        <v>22262</v>
      </c>
      <c r="M307" s="107">
        <f t="shared" si="62"/>
        <v>24037</v>
      </c>
      <c r="N307" s="107">
        <v>295812.31</v>
      </c>
    </row>
    <row r="308" spans="1:14">
      <c r="A308" s="64"/>
      <c r="B308" s="22"/>
      <c r="C308" s="22"/>
      <c r="D308" s="22"/>
      <c r="E308" s="22"/>
      <c r="F308" s="22"/>
      <c r="G308" s="22"/>
      <c r="H308" s="22"/>
      <c r="I308" s="22"/>
      <c r="J308" s="22"/>
      <c r="K308" s="22"/>
      <c r="L308" s="22"/>
      <c r="M308" s="22"/>
      <c r="N308" s="22"/>
    </row>
    <row r="309" spans="1:14">
      <c r="A309" s="64" t="s">
        <v>239</v>
      </c>
      <c r="B309" s="22"/>
      <c r="C309" s="22"/>
      <c r="D309" s="22"/>
      <c r="E309" s="22"/>
      <c r="F309" s="22"/>
      <c r="G309" s="22"/>
      <c r="H309" s="22"/>
      <c r="I309" s="22"/>
      <c r="J309" s="22"/>
      <c r="K309" s="22"/>
      <c r="L309" s="22"/>
      <c r="M309" s="22"/>
      <c r="N309" s="22"/>
    </row>
    <row r="310" spans="1:14">
      <c r="A310" s="64" t="s">
        <v>240</v>
      </c>
      <c r="B310" s="107">
        <v>2280.0100000000002</v>
      </c>
      <c r="C310" s="107">
        <v>2280.0100000000002</v>
      </c>
      <c r="D310" s="107">
        <v>2280.0100000000002</v>
      </c>
      <c r="E310" s="107">
        <v>2280.0100000000002</v>
      </c>
      <c r="F310" s="107">
        <v>2280.0100000000002</v>
      </c>
      <c r="G310" s="107">
        <v>2280.0100000000002</v>
      </c>
      <c r="H310" s="107">
        <v>2280.0100000000002</v>
      </c>
      <c r="I310" s="107">
        <v>3168.13</v>
      </c>
      <c r="J310" s="107">
        <v>2724.07</v>
      </c>
      <c r="K310" s="107">
        <v>2724.07</v>
      </c>
      <c r="L310" s="107">
        <v>2724.07</v>
      </c>
      <c r="M310" s="107">
        <v>2724.07</v>
      </c>
      <c r="N310" s="107">
        <v>30024.48</v>
      </c>
    </row>
    <row r="311" spans="1:14">
      <c r="A311" s="64" t="s">
        <v>241</v>
      </c>
      <c r="B311" s="107">
        <v>372</v>
      </c>
      <c r="C311" s="107">
        <v>372</v>
      </c>
      <c r="D311" s="107">
        <v>372</v>
      </c>
      <c r="E311" s="107">
        <v>372</v>
      </c>
      <c r="F311" s="107">
        <v>372</v>
      </c>
      <c r="G311" s="107">
        <v>372</v>
      </c>
      <c r="H311" s="107">
        <v>372</v>
      </c>
      <c r="I311" s="107">
        <v>-372</v>
      </c>
      <c r="J311" s="22"/>
      <c r="K311" s="22"/>
      <c r="L311" s="22"/>
      <c r="M311" s="22"/>
      <c r="N311" s="107">
        <v>2232</v>
      </c>
    </row>
    <row r="312" spans="1:14">
      <c r="A312" s="64" t="s">
        <v>242</v>
      </c>
      <c r="B312" s="107">
        <v>5546.57</v>
      </c>
      <c r="C312" s="107">
        <v>6028.88</v>
      </c>
      <c r="D312" s="107">
        <v>6028.88</v>
      </c>
      <c r="E312" s="107">
        <v>6028.88</v>
      </c>
      <c r="F312" s="107">
        <v>6028.88</v>
      </c>
      <c r="G312" s="107">
        <v>6608.54</v>
      </c>
      <c r="H312" s="107">
        <v>6028.88</v>
      </c>
      <c r="I312" s="107">
        <v>6028.88</v>
      </c>
      <c r="J312" s="107">
        <v>6028.88</v>
      </c>
      <c r="K312" s="107">
        <v>6110.04</v>
      </c>
      <c r="L312" s="107">
        <v>6028.88</v>
      </c>
      <c r="M312" s="107">
        <v>6028.88</v>
      </c>
      <c r="N312" s="107">
        <v>72525.070000000007</v>
      </c>
    </row>
    <row r="313" spans="1:14">
      <c r="A313" s="64" t="s">
        <v>284</v>
      </c>
      <c r="B313" s="22"/>
      <c r="C313" s="22"/>
      <c r="D313" s="107">
        <v>36999</v>
      </c>
      <c r="E313" s="107">
        <v>25</v>
      </c>
      <c r="F313" s="107">
        <v>-25000</v>
      </c>
      <c r="G313" s="22"/>
      <c r="H313" s="22"/>
      <c r="I313" s="107"/>
      <c r="J313" s="107">
        <v>16919</v>
      </c>
      <c r="K313" s="107"/>
      <c r="L313" s="22"/>
      <c r="M313" s="22"/>
      <c r="N313" s="107">
        <v>28943</v>
      </c>
    </row>
    <row r="314" spans="1:14">
      <c r="A314" s="64" t="s">
        <v>387</v>
      </c>
      <c r="B314" s="113"/>
      <c r="C314" s="113"/>
      <c r="D314" s="113"/>
      <c r="E314" s="113"/>
      <c r="F314" s="113"/>
      <c r="G314" s="113"/>
      <c r="H314" s="113"/>
      <c r="I314" s="113"/>
      <c r="J314" s="113"/>
      <c r="K314" s="113"/>
      <c r="L314" s="113"/>
      <c r="M314" s="113"/>
      <c r="N314" s="113"/>
    </row>
    <row r="315" spans="1:14">
      <c r="A315" s="64" t="s">
        <v>244</v>
      </c>
      <c r="B315" s="107">
        <f t="shared" ref="B315:M315" si="63">SUM(B308:B314)</f>
        <v>8198.58</v>
      </c>
      <c r="C315" s="107">
        <f t="shared" si="63"/>
        <v>8680.89</v>
      </c>
      <c r="D315" s="107">
        <f t="shared" si="63"/>
        <v>45679.89</v>
      </c>
      <c r="E315" s="107">
        <f t="shared" si="63"/>
        <v>8705.89</v>
      </c>
      <c r="F315" s="107">
        <f t="shared" si="63"/>
        <v>-16319.11</v>
      </c>
      <c r="G315" s="107">
        <f t="shared" si="63"/>
        <v>9260.5499999999993</v>
      </c>
      <c r="H315" s="107">
        <f t="shared" si="63"/>
        <v>8680.89</v>
      </c>
      <c r="I315" s="107">
        <f t="shared" si="63"/>
        <v>8825.01</v>
      </c>
      <c r="J315" s="107">
        <f t="shared" si="63"/>
        <v>25671.95</v>
      </c>
      <c r="K315" s="107">
        <f t="shared" si="63"/>
        <v>8834.11</v>
      </c>
      <c r="L315" s="107">
        <f t="shared" si="63"/>
        <v>8752.9500000000007</v>
      </c>
      <c r="M315" s="107">
        <f t="shared" si="63"/>
        <v>8752.9500000000007</v>
      </c>
      <c r="N315" s="107">
        <v>133724.54999999999</v>
      </c>
    </row>
    <row r="316" spans="1:14">
      <c r="A316" s="64"/>
      <c r="B316" s="22"/>
      <c r="C316" s="22"/>
      <c r="D316" s="22"/>
      <c r="E316" s="22"/>
      <c r="F316" s="22"/>
      <c r="G316" s="22"/>
      <c r="H316" s="22"/>
      <c r="I316" s="22"/>
      <c r="J316" s="22"/>
      <c r="K316" s="22"/>
      <c r="L316" s="22"/>
      <c r="M316" s="22"/>
      <c r="N316" s="22"/>
    </row>
    <row r="317" spans="1:14">
      <c r="A317" s="64" t="s">
        <v>245</v>
      </c>
      <c r="B317" s="22"/>
      <c r="C317" s="22"/>
      <c r="D317" s="22"/>
      <c r="E317" s="22"/>
      <c r="F317" s="22"/>
      <c r="G317" s="22"/>
      <c r="H317" s="22"/>
      <c r="I317" s="22"/>
      <c r="J317" s="22"/>
      <c r="K317" s="22"/>
      <c r="L317" s="22"/>
      <c r="M317" s="22"/>
      <c r="N317" s="22"/>
    </row>
    <row r="318" spans="1:14">
      <c r="A318" s="64" t="s">
        <v>246</v>
      </c>
      <c r="B318" s="107">
        <v>3442.32</v>
      </c>
      <c r="C318" s="107">
        <v>3445.66</v>
      </c>
      <c r="D318" s="107">
        <v>3759.4</v>
      </c>
      <c r="E318" s="107">
        <v>3967.96</v>
      </c>
      <c r="F318" s="107">
        <v>2033.41</v>
      </c>
      <c r="G318" s="107">
        <v>2033.41</v>
      </c>
      <c r="H318" s="107">
        <v>5992.31</v>
      </c>
      <c r="I318" s="107">
        <v>4582.04</v>
      </c>
      <c r="J318" s="107">
        <v>4480.7</v>
      </c>
      <c r="K318" s="107">
        <v>4279.8999999999996</v>
      </c>
      <c r="L318" s="107">
        <v>4468.34</v>
      </c>
      <c r="M318" s="107">
        <v>4391.08</v>
      </c>
      <c r="N318" s="107">
        <v>46876.53</v>
      </c>
    </row>
    <row r="319" spans="1:14">
      <c r="A319" s="64" t="s">
        <v>247</v>
      </c>
      <c r="B319" s="107">
        <v>7243.72</v>
      </c>
      <c r="C319" s="107">
        <v>7290.72</v>
      </c>
      <c r="D319" s="107">
        <v>7137.62</v>
      </c>
      <c r="E319" s="107">
        <v>7875.52</v>
      </c>
      <c r="F319" s="107">
        <v>3843.65</v>
      </c>
      <c r="G319" s="107">
        <v>3843.65</v>
      </c>
      <c r="H319" s="107">
        <v>11428.99</v>
      </c>
      <c r="I319" s="107">
        <v>8161.54</v>
      </c>
      <c r="J319" s="107">
        <v>8909.9599999999991</v>
      </c>
      <c r="K319" s="107">
        <v>8345.18</v>
      </c>
      <c r="L319" s="107">
        <v>9496.74</v>
      </c>
      <c r="M319" s="107">
        <v>9069</v>
      </c>
      <c r="N319" s="107">
        <v>92646.29</v>
      </c>
    </row>
    <row r="320" spans="1:14">
      <c r="A320" s="64" t="s">
        <v>248</v>
      </c>
      <c r="B320" s="107">
        <v>39.86</v>
      </c>
      <c r="C320" s="107">
        <v>19.93</v>
      </c>
      <c r="D320" s="107">
        <v>39.86</v>
      </c>
      <c r="E320" s="107">
        <v>39.86</v>
      </c>
      <c r="F320" s="107">
        <v>19.97</v>
      </c>
      <c r="G320" s="22"/>
      <c r="H320" s="107">
        <v>79.72</v>
      </c>
      <c r="I320" s="107">
        <v>39.86</v>
      </c>
      <c r="J320" s="107">
        <v>39.86</v>
      </c>
      <c r="K320" s="107">
        <v>39.86</v>
      </c>
      <c r="L320" s="107">
        <v>39.86</v>
      </c>
      <c r="M320" s="107">
        <v>39.86</v>
      </c>
      <c r="N320" s="107">
        <v>438.5</v>
      </c>
    </row>
    <row r="321" spans="1:14">
      <c r="A321" s="64" t="s">
        <v>362</v>
      </c>
      <c r="B321" s="107">
        <v>750</v>
      </c>
      <c r="C321" s="107">
        <v>750</v>
      </c>
      <c r="D321" s="107">
        <v>750</v>
      </c>
      <c r="E321" s="107">
        <v>750</v>
      </c>
      <c r="F321" s="107">
        <v>750</v>
      </c>
      <c r="G321" s="107">
        <v>750</v>
      </c>
      <c r="H321" s="107">
        <v>750</v>
      </c>
      <c r="I321" s="107">
        <v>750</v>
      </c>
      <c r="J321" s="107">
        <v>750</v>
      </c>
      <c r="K321" s="107">
        <v>750</v>
      </c>
      <c r="L321" s="107">
        <v>750</v>
      </c>
      <c r="M321" s="107">
        <v>750</v>
      </c>
      <c r="N321" s="107">
        <v>9000</v>
      </c>
    </row>
    <row r="322" spans="1:14">
      <c r="A322" s="64" t="s">
        <v>363</v>
      </c>
      <c r="B322" s="111">
        <v>-5362.95</v>
      </c>
      <c r="C322" s="111">
        <v>-5368.19</v>
      </c>
      <c r="D322" s="111">
        <v>-5468.44</v>
      </c>
      <c r="E322" s="111">
        <v>-5941.67</v>
      </c>
      <c r="F322" s="111"/>
      <c r="G322" s="113"/>
      <c r="H322" s="111">
        <v>-11689.04</v>
      </c>
      <c r="I322" s="111">
        <v>-6391.72</v>
      </c>
      <c r="J322" s="111">
        <v>-6715.26</v>
      </c>
      <c r="K322" s="111">
        <v>-6332.47</v>
      </c>
      <c r="L322" s="111">
        <v>-7002.47</v>
      </c>
      <c r="M322" s="111">
        <v>-6749.97</v>
      </c>
      <c r="N322" s="111">
        <v>-67022.179999999993</v>
      </c>
    </row>
    <row r="323" spans="1:14">
      <c r="A323" s="64" t="s">
        <v>250</v>
      </c>
      <c r="B323" s="107">
        <f t="shared" ref="B323:M323" si="64">SUM(B316:B322)</f>
        <v>6112.9500000000016</v>
      </c>
      <c r="C323" s="107">
        <f t="shared" si="64"/>
        <v>6138.1200000000017</v>
      </c>
      <c r="D323" s="107">
        <f t="shared" si="64"/>
        <v>6218.4400000000014</v>
      </c>
      <c r="E323" s="107">
        <f t="shared" si="64"/>
        <v>6691.67</v>
      </c>
      <c r="F323" s="107">
        <f t="shared" si="64"/>
        <v>6647.0300000000007</v>
      </c>
      <c r="G323" s="107">
        <f t="shared" si="64"/>
        <v>6627.06</v>
      </c>
      <c r="H323" s="107">
        <f t="shared" si="64"/>
        <v>6561.98</v>
      </c>
      <c r="I323" s="107">
        <f t="shared" si="64"/>
        <v>7141.72</v>
      </c>
      <c r="J323" s="107">
        <f t="shared" si="64"/>
        <v>7465.26</v>
      </c>
      <c r="K323" s="107">
        <f t="shared" si="64"/>
        <v>7082.47</v>
      </c>
      <c r="L323" s="107">
        <f t="shared" si="64"/>
        <v>7752.47</v>
      </c>
      <c r="M323" s="107">
        <f t="shared" si="64"/>
        <v>7499.97</v>
      </c>
      <c r="N323" s="107">
        <v>81939.14</v>
      </c>
    </row>
    <row r="324" spans="1:14">
      <c r="A324" s="64"/>
      <c r="B324" s="22"/>
      <c r="C324" s="22"/>
      <c r="D324" s="22"/>
      <c r="E324" s="22"/>
      <c r="F324" s="22"/>
      <c r="G324" s="22"/>
      <c r="H324" s="22"/>
      <c r="I324" s="22"/>
      <c r="J324" s="22"/>
      <c r="K324" s="22"/>
      <c r="L324" s="22"/>
      <c r="M324" s="22"/>
      <c r="N324" s="22"/>
    </row>
    <row r="325" spans="1:14">
      <c r="A325" s="64" t="s">
        <v>251</v>
      </c>
      <c r="B325" s="22"/>
      <c r="C325" s="22"/>
      <c r="D325" s="22"/>
      <c r="E325" s="22"/>
      <c r="F325" s="22"/>
      <c r="G325" s="22"/>
      <c r="H325" s="22"/>
      <c r="I325" s="22"/>
      <c r="J325" s="22"/>
      <c r="K325" s="22"/>
      <c r="L325" s="22"/>
      <c r="M325" s="22"/>
      <c r="N325" s="22"/>
    </row>
    <row r="326" spans="1:14">
      <c r="A326" s="64" t="s">
        <v>252</v>
      </c>
      <c r="B326" s="107">
        <v>134129</v>
      </c>
      <c r="C326" s="107">
        <v>137022.57999999999</v>
      </c>
      <c r="D326" s="107">
        <v>137022.57999999999</v>
      </c>
      <c r="E326" s="107">
        <v>137022.57999999999</v>
      </c>
      <c r="F326" s="107">
        <v>137022.57999999999</v>
      </c>
      <c r="G326" s="107">
        <v>137022.57999999999</v>
      </c>
      <c r="H326" s="107">
        <v>137022.57999999999</v>
      </c>
      <c r="I326" s="107">
        <v>137022.57999999999</v>
      </c>
      <c r="J326" s="107">
        <v>137022.57999999999</v>
      </c>
      <c r="K326" s="107">
        <v>137022.57999999999</v>
      </c>
      <c r="L326" s="107">
        <v>137022.57999999999</v>
      </c>
      <c r="M326" s="107">
        <v>149068.06</v>
      </c>
      <c r="N326" s="107">
        <v>1653422.86</v>
      </c>
    </row>
    <row r="327" spans="1:14">
      <c r="A327" s="64" t="s">
        <v>388</v>
      </c>
      <c r="B327" s="107">
        <v>-16000</v>
      </c>
      <c r="C327" s="107">
        <v>-16000</v>
      </c>
      <c r="D327" s="107">
        <v>-16000</v>
      </c>
      <c r="E327" s="107">
        <v>-16000</v>
      </c>
      <c r="F327" s="107">
        <v>-16000</v>
      </c>
      <c r="G327" s="107">
        <v>-16000</v>
      </c>
      <c r="H327" s="107">
        <v>-16000</v>
      </c>
      <c r="I327" s="107">
        <v>-16000</v>
      </c>
      <c r="J327" s="107">
        <v>-16000</v>
      </c>
      <c r="K327" s="107">
        <v>-16000</v>
      </c>
      <c r="L327" s="107">
        <v>-16000</v>
      </c>
      <c r="M327" s="107">
        <v>-16000</v>
      </c>
      <c r="N327" s="107">
        <v>-192000</v>
      </c>
    </row>
    <row r="328" spans="1:14">
      <c r="A328" s="64" t="s">
        <v>253</v>
      </c>
      <c r="B328" s="107">
        <v>101.32</v>
      </c>
      <c r="C328" s="107">
        <v>101.32</v>
      </c>
      <c r="D328" s="107">
        <v>101.32</v>
      </c>
      <c r="E328" s="107">
        <v>101.32</v>
      </c>
      <c r="F328" s="107">
        <v>101.32</v>
      </c>
      <c r="G328" s="22"/>
      <c r="H328" s="22"/>
      <c r="I328" s="107">
        <v>7.94</v>
      </c>
      <c r="J328" s="107">
        <v>51.39</v>
      </c>
      <c r="K328" s="107">
        <v>51.39</v>
      </c>
      <c r="L328" s="107">
        <v>61.52</v>
      </c>
      <c r="M328" s="107">
        <v>51.39</v>
      </c>
      <c r="N328" s="107">
        <v>730.23</v>
      </c>
    </row>
    <row r="329" spans="1:14">
      <c r="A329" s="64" t="s">
        <v>254</v>
      </c>
      <c r="B329" s="111">
        <v>232.13</v>
      </c>
      <c r="C329" s="111">
        <v>7579.01</v>
      </c>
      <c r="D329" s="111">
        <v>60.31</v>
      </c>
      <c r="E329" s="111">
        <v>111.59</v>
      </c>
      <c r="F329" s="111">
        <v>7467.57</v>
      </c>
      <c r="G329" s="111">
        <v>325.39999999999998</v>
      </c>
      <c r="H329" s="113"/>
      <c r="I329" s="111">
        <v>353.23</v>
      </c>
      <c r="J329" s="111">
        <v>7801.77</v>
      </c>
      <c r="K329" s="111">
        <v>109.4</v>
      </c>
      <c r="L329" s="111">
        <v>46.16</v>
      </c>
      <c r="M329" s="111">
        <v>31.96</v>
      </c>
      <c r="N329" s="111">
        <v>24118.53</v>
      </c>
    </row>
    <row r="330" spans="1:14">
      <c r="A330" s="64" t="s">
        <v>255</v>
      </c>
      <c r="B330" s="107">
        <f t="shared" ref="B330:M330" si="65">SUM(B324:B329)</f>
        <v>118462.45000000001</v>
      </c>
      <c r="C330" s="107">
        <f t="shared" si="65"/>
        <v>128702.90999999999</v>
      </c>
      <c r="D330" s="107">
        <f t="shared" si="65"/>
        <v>121184.20999999999</v>
      </c>
      <c r="E330" s="107">
        <f t="shared" si="65"/>
        <v>121235.48999999999</v>
      </c>
      <c r="F330" s="107">
        <f t="shared" si="65"/>
        <v>128591.47</v>
      </c>
      <c r="G330" s="107">
        <f t="shared" si="65"/>
        <v>121347.97999999998</v>
      </c>
      <c r="H330" s="107">
        <f t="shared" si="65"/>
        <v>121022.57999999999</v>
      </c>
      <c r="I330" s="107">
        <f t="shared" si="65"/>
        <v>121383.74999999999</v>
      </c>
      <c r="J330" s="107">
        <f t="shared" si="65"/>
        <v>128875.73999999999</v>
      </c>
      <c r="K330" s="107">
        <f t="shared" si="65"/>
        <v>121183.36999999998</v>
      </c>
      <c r="L330" s="107">
        <f t="shared" si="65"/>
        <v>121130.26</v>
      </c>
      <c r="M330" s="107">
        <f t="shared" si="65"/>
        <v>133151.41</v>
      </c>
      <c r="N330" s="107">
        <v>1486271.62</v>
      </c>
    </row>
    <row r="331" spans="1:14">
      <c r="A331" s="64"/>
      <c r="B331" s="22"/>
      <c r="C331" s="22"/>
      <c r="D331" s="22"/>
      <c r="E331" s="22"/>
      <c r="F331" s="22"/>
      <c r="G331" s="22"/>
      <c r="H331" s="22"/>
      <c r="I331" s="22"/>
      <c r="J331" s="22"/>
      <c r="K331" s="22"/>
      <c r="L331" s="22"/>
      <c r="M331" s="22"/>
      <c r="N331" s="22"/>
    </row>
    <row r="332" spans="1:14">
      <c r="A332" s="64" t="s">
        <v>256</v>
      </c>
      <c r="B332" s="22"/>
      <c r="C332" s="22"/>
      <c r="D332" s="22"/>
      <c r="E332" s="22"/>
      <c r="F332" s="22"/>
      <c r="G332" s="22"/>
      <c r="H332" s="22"/>
      <c r="I332" s="22"/>
      <c r="J332" s="22"/>
      <c r="K332" s="22"/>
      <c r="L332" s="22"/>
      <c r="M332" s="22"/>
      <c r="N332" s="22"/>
    </row>
    <row r="333" spans="1:14">
      <c r="A333" s="64" t="s">
        <v>257</v>
      </c>
      <c r="B333" s="113"/>
      <c r="C333" s="113"/>
      <c r="D333" s="113"/>
      <c r="E333" s="111">
        <v>270.63</v>
      </c>
      <c r="F333" s="111">
        <v>-16601.72</v>
      </c>
      <c r="G333" s="113"/>
      <c r="H333" s="111"/>
      <c r="I333" s="113"/>
      <c r="J333" s="113"/>
      <c r="K333" s="113"/>
      <c r="L333" s="113"/>
      <c r="M333" s="113"/>
      <c r="N333" s="111">
        <v>-16331.09</v>
      </c>
    </row>
    <row r="334" spans="1:14">
      <c r="A334" s="64" t="s">
        <v>258</v>
      </c>
      <c r="B334" s="107"/>
      <c r="C334" s="107"/>
      <c r="D334" s="107"/>
      <c r="E334" s="107">
        <f>SUM(E331:E333)</f>
        <v>270.63</v>
      </c>
      <c r="F334" s="107">
        <f>SUM(F331:F333)</f>
        <v>-16601.72</v>
      </c>
      <c r="G334" s="107"/>
      <c r="H334" s="107"/>
      <c r="I334" s="107"/>
      <c r="J334" s="107"/>
      <c r="K334" s="107"/>
      <c r="L334" s="107"/>
      <c r="M334" s="107"/>
      <c r="N334" s="107">
        <v>-16331.09</v>
      </c>
    </row>
    <row r="335" spans="1:14">
      <c r="A335" s="64"/>
      <c r="B335" s="22"/>
      <c r="C335" s="22"/>
      <c r="D335" s="22"/>
      <c r="E335" s="22"/>
      <c r="F335" s="22"/>
      <c r="G335" s="22"/>
      <c r="H335" s="22"/>
      <c r="I335" s="22"/>
      <c r="J335" s="22"/>
      <c r="K335" s="22"/>
      <c r="L335" s="22"/>
      <c r="M335" s="22"/>
      <c r="N335" s="22"/>
    </row>
    <row r="336" spans="1:14" ht="15.75" thickBot="1">
      <c r="A336" s="64" t="s">
        <v>62</v>
      </c>
      <c r="B336" s="112">
        <f t="shared" ref="B336:M336" si="66">SUM(B191:B335)-B210-B217-B228-B244-B269-B286-B295-B302-B307-B315-B323-B330-B334</f>
        <v>803008.59000000032</v>
      </c>
      <c r="C336" s="112">
        <f t="shared" si="66"/>
        <v>799567.02999999968</v>
      </c>
      <c r="D336" s="112">
        <f t="shared" si="66"/>
        <v>844511.87999999989</v>
      </c>
      <c r="E336" s="112">
        <f t="shared" si="66"/>
        <v>798464.21999999962</v>
      </c>
      <c r="F336" s="112">
        <f t="shared" si="66"/>
        <v>522314.52999999968</v>
      </c>
      <c r="G336" s="112">
        <f t="shared" si="66"/>
        <v>775668.54000000015</v>
      </c>
      <c r="H336" s="112">
        <f t="shared" si="66"/>
        <v>809401.88000000035</v>
      </c>
      <c r="I336" s="112">
        <f t="shared" si="66"/>
        <v>848252.35000000102</v>
      </c>
      <c r="J336" s="112">
        <f t="shared" si="66"/>
        <v>850702.20000000007</v>
      </c>
      <c r="K336" s="112">
        <f t="shared" si="66"/>
        <v>798044.57999999984</v>
      </c>
      <c r="L336" s="112">
        <f t="shared" si="66"/>
        <v>777272.3600000001</v>
      </c>
      <c r="M336" s="112">
        <f t="shared" si="66"/>
        <v>827756.17999999982</v>
      </c>
      <c r="N336" s="112">
        <v>9454964.3399999999</v>
      </c>
    </row>
    <row r="337" spans="1:14" ht="15.75" thickTop="1">
      <c r="A337" s="64"/>
      <c r="B337" s="22"/>
      <c r="C337" s="22"/>
      <c r="D337" s="22"/>
      <c r="E337" s="22"/>
      <c r="F337" s="22"/>
      <c r="G337" s="22"/>
      <c r="H337" s="22"/>
      <c r="I337" s="22"/>
      <c r="J337" s="22"/>
      <c r="K337" s="22"/>
      <c r="L337" s="22"/>
      <c r="M337" s="22"/>
      <c r="N337" s="22"/>
    </row>
    <row r="338" spans="1:14" ht="15.75" thickBot="1">
      <c r="A338" s="64" t="s">
        <v>259</v>
      </c>
      <c r="B338" s="112">
        <f t="shared" ref="B338:M338" si="67">+B188-B336</f>
        <v>21363.349999999278</v>
      </c>
      <c r="C338" s="112">
        <f t="shared" si="67"/>
        <v>-32658.679999999003</v>
      </c>
      <c r="D338" s="112">
        <f t="shared" si="67"/>
        <v>50287.590000001364</v>
      </c>
      <c r="E338" s="112">
        <f t="shared" si="67"/>
        <v>31023.920000000275</v>
      </c>
      <c r="F338" s="112">
        <f t="shared" si="67"/>
        <v>211264.09999999928</v>
      </c>
      <c r="G338" s="112">
        <f t="shared" si="67"/>
        <v>81423.360000000917</v>
      </c>
      <c r="H338" s="112">
        <f t="shared" si="67"/>
        <v>-28391.899999998743</v>
      </c>
      <c r="I338" s="112">
        <f t="shared" si="67"/>
        <v>131031.63999999955</v>
      </c>
      <c r="J338" s="112">
        <f t="shared" si="67"/>
        <v>73521.280000000959</v>
      </c>
      <c r="K338" s="112">
        <f t="shared" si="67"/>
        <v>65405.689999999828</v>
      </c>
      <c r="L338" s="112">
        <f t="shared" si="67"/>
        <v>11613.689999999478</v>
      </c>
      <c r="M338" s="112">
        <f t="shared" si="67"/>
        <v>19809.19000000041</v>
      </c>
      <c r="N338" s="112">
        <v>635693.23</v>
      </c>
    </row>
    <row r="339" spans="1:14" ht="15.75" thickTop="1">
      <c r="A339" s="64"/>
      <c r="B339" s="22"/>
      <c r="C339" s="22"/>
      <c r="D339" s="22"/>
      <c r="E339" s="22"/>
      <c r="F339" s="22"/>
      <c r="G339" s="22"/>
      <c r="H339" s="22"/>
      <c r="I339" s="22"/>
      <c r="J339" s="22"/>
      <c r="K339" s="22"/>
      <c r="L339" s="22"/>
      <c r="M339" s="22"/>
      <c r="N339" s="22"/>
    </row>
    <row r="340" spans="1:14">
      <c r="A340" s="64" t="s">
        <v>351</v>
      </c>
      <c r="B340" s="111">
        <v>8353.2000000000007</v>
      </c>
      <c r="C340" s="111">
        <v>4854.45</v>
      </c>
      <c r="D340" s="111">
        <v>4782.3599999999997</v>
      </c>
      <c r="E340" s="111">
        <v>4614.99</v>
      </c>
      <c r="F340" s="111">
        <v>68140.19</v>
      </c>
      <c r="G340" s="111">
        <v>3151.86</v>
      </c>
      <c r="H340" s="111">
        <v>2669.02</v>
      </c>
      <c r="I340" s="111">
        <v>2198.6799999999998</v>
      </c>
      <c r="J340" s="111">
        <v>3748.61</v>
      </c>
      <c r="K340" s="111">
        <v>5303.31</v>
      </c>
      <c r="L340" s="111">
        <v>3696.06</v>
      </c>
      <c r="M340" s="111">
        <v>798.36</v>
      </c>
      <c r="N340" s="111">
        <v>112311.09</v>
      </c>
    </row>
    <row r="341" spans="1:14">
      <c r="A341" s="64" t="s">
        <v>64</v>
      </c>
      <c r="B341" s="107">
        <f t="shared" ref="B341:M341" si="68">SUM(B339:B340)</f>
        <v>8353.2000000000007</v>
      </c>
      <c r="C341" s="107">
        <f t="shared" si="68"/>
        <v>4854.45</v>
      </c>
      <c r="D341" s="107">
        <f t="shared" si="68"/>
        <v>4782.3599999999997</v>
      </c>
      <c r="E341" s="107">
        <f t="shared" si="68"/>
        <v>4614.99</v>
      </c>
      <c r="F341" s="107">
        <f t="shared" si="68"/>
        <v>68140.19</v>
      </c>
      <c r="G341" s="107">
        <f t="shared" si="68"/>
        <v>3151.86</v>
      </c>
      <c r="H341" s="107">
        <f t="shared" si="68"/>
        <v>2669.02</v>
      </c>
      <c r="I341" s="107">
        <f t="shared" si="68"/>
        <v>2198.6799999999998</v>
      </c>
      <c r="J341" s="107">
        <f t="shared" si="68"/>
        <v>3748.61</v>
      </c>
      <c r="K341" s="107">
        <f t="shared" si="68"/>
        <v>5303.31</v>
      </c>
      <c r="L341" s="107">
        <f t="shared" si="68"/>
        <v>3696.06</v>
      </c>
      <c r="M341" s="107">
        <f t="shared" si="68"/>
        <v>798.36</v>
      </c>
      <c r="N341" s="107">
        <v>112311.09</v>
      </c>
    </row>
    <row r="342" spans="1:14">
      <c r="A342" s="64"/>
      <c r="B342" s="22"/>
      <c r="C342" s="22"/>
      <c r="D342" s="22"/>
      <c r="E342" s="22"/>
      <c r="F342" s="22"/>
      <c r="G342" s="22"/>
      <c r="H342" s="22"/>
      <c r="I342" s="22"/>
      <c r="J342" s="22"/>
      <c r="K342" s="22"/>
      <c r="L342" s="22"/>
      <c r="M342" s="22"/>
      <c r="N342" s="22"/>
    </row>
    <row r="343" spans="1:14" ht="15.75" thickBot="1">
      <c r="A343" s="64" t="s">
        <v>22</v>
      </c>
      <c r="B343" s="112">
        <f t="shared" ref="B343:M343" si="69">+B338-B341</f>
        <v>13010.149999999277</v>
      </c>
      <c r="C343" s="112">
        <f t="shared" si="69"/>
        <v>-37513.129999999001</v>
      </c>
      <c r="D343" s="112">
        <f t="shared" si="69"/>
        <v>45505.230000001364</v>
      </c>
      <c r="E343" s="112">
        <f t="shared" si="69"/>
        <v>26408.930000000277</v>
      </c>
      <c r="F343" s="112">
        <f t="shared" si="69"/>
        <v>143123.90999999928</v>
      </c>
      <c r="G343" s="112">
        <f t="shared" si="69"/>
        <v>78271.500000000917</v>
      </c>
      <c r="H343" s="112">
        <f t="shared" si="69"/>
        <v>-31060.919999998743</v>
      </c>
      <c r="I343" s="112">
        <f t="shared" si="69"/>
        <v>128832.95999999956</v>
      </c>
      <c r="J343" s="112">
        <f t="shared" si="69"/>
        <v>69772.670000000959</v>
      </c>
      <c r="K343" s="112">
        <f t="shared" si="69"/>
        <v>60102.37999999983</v>
      </c>
      <c r="L343" s="112">
        <f t="shared" si="69"/>
        <v>7917.629999999479</v>
      </c>
      <c r="M343" s="112">
        <f t="shared" si="69"/>
        <v>19010.830000000409</v>
      </c>
      <c r="N343" s="112">
        <v>523382.14</v>
      </c>
    </row>
    <row r="344" spans="1:14" ht="15.75" thickTop="1">
      <c r="A344" s="64"/>
      <c r="B344" s="22"/>
      <c r="C344" s="22"/>
      <c r="D344" s="22"/>
      <c r="E344" s="22"/>
      <c r="F344" s="22"/>
      <c r="G344" s="22"/>
      <c r="H344" s="22"/>
      <c r="I344" s="22"/>
      <c r="J344" s="22"/>
      <c r="K344" s="22"/>
      <c r="L344" s="22"/>
      <c r="M344" s="22"/>
      <c r="N344" s="22"/>
    </row>
    <row r="345" spans="1:14">
      <c r="A345" s="64"/>
      <c r="B345" s="22"/>
      <c r="C345" s="22"/>
      <c r="D345" s="22"/>
      <c r="E345" s="22"/>
      <c r="F345" s="22"/>
      <c r="G345" s="22"/>
      <c r="H345" s="22"/>
      <c r="I345" s="22"/>
      <c r="J345" s="22"/>
      <c r="K345" s="22"/>
      <c r="L345" s="22"/>
      <c r="M345" s="22"/>
      <c r="N345" s="22"/>
    </row>
    <row r="346" spans="1:14">
      <c r="A346" s="64" t="s">
        <v>260</v>
      </c>
      <c r="B346" s="22"/>
      <c r="C346" s="22"/>
      <c r="D346" s="22"/>
      <c r="E346" s="22"/>
      <c r="F346" s="22"/>
      <c r="G346" s="22"/>
      <c r="H346" s="22"/>
      <c r="I346" s="22"/>
      <c r="J346" s="22"/>
      <c r="K346" s="22"/>
      <c r="L346" s="22"/>
      <c r="M346" s="22"/>
      <c r="N346" s="22"/>
    </row>
    <row r="347" spans="1:14">
      <c r="A347" s="64"/>
      <c r="B347" s="22"/>
      <c r="C347" s="22"/>
      <c r="D347" s="22"/>
      <c r="E347" s="22"/>
      <c r="F347" s="22"/>
      <c r="G347" s="22"/>
      <c r="H347" s="22"/>
      <c r="I347" s="22"/>
      <c r="J347" s="22"/>
      <c r="K347" s="22"/>
      <c r="L347" s="22"/>
      <c r="M347" s="22"/>
      <c r="N347" s="22"/>
    </row>
    <row r="348" spans="1:14">
      <c r="A348" s="64" t="s">
        <v>19</v>
      </c>
      <c r="B348" s="22"/>
      <c r="C348" s="22"/>
      <c r="D348" s="22"/>
      <c r="E348" s="22"/>
      <c r="F348" s="22"/>
      <c r="G348" s="22"/>
      <c r="H348" s="22"/>
      <c r="I348" s="22"/>
      <c r="J348" s="22"/>
      <c r="K348" s="22"/>
      <c r="L348" s="22"/>
      <c r="M348" s="22"/>
      <c r="N348" s="22"/>
    </row>
    <row r="349" spans="1:14">
      <c r="A349" s="64" t="s">
        <v>261</v>
      </c>
      <c r="B349" s="22"/>
      <c r="C349" s="22"/>
      <c r="D349" s="107">
        <v>48</v>
      </c>
      <c r="E349" s="107">
        <v>-36</v>
      </c>
      <c r="F349" s="107">
        <v>-31</v>
      </c>
      <c r="G349" s="107">
        <v>27</v>
      </c>
      <c r="H349" s="107">
        <v>-64</v>
      </c>
      <c r="I349" s="107">
        <v>-79</v>
      </c>
      <c r="J349" s="107">
        <v>79</v>
      </c>
      <c r="K349" s="107">
        <v>-32</v>
      </c>
      <c r="L349" s="22"/>
      <c r="M349" s="22"/>
      <c r="N349" s="107">
        <v>-88</v>
      </c>
    </row>
    <row r="350" spans="1:14">
      <c r="A350" s="64" t="s">
        <v>66</v>
      </c>
      <c r="B350" s="111">
        <v>1643</v>
      </c>
      <c r="C350" s="111">
        <v>1692</v>
      </c>
      <c r="D350" s="111">
        <v>1642</v>
      </c>
      <c r="E350" s="111">
        <v>1549</v>
      </c>
      <c r="F350" s="111">
        <v>1529</v>
      </c>
      <c r="G350" s="111">
        <v>1728</v>
      </c>
      <c r="H350" s="111">
        <v>1806</v>
      </c>
      <c r="I350" s="111">
        <v>2035</v>
      </c>
      <c r="J350" s="111">
        <v>1961</v>
      </c>
      <c r="K350" s="111">
        <v>1976</v>
      </c>
      <c r="L350" s="111">
        <v>1825</v>
      </c>
      <c r="M350" s="111">
        <v>1926</v>
      </c>
      <c r="N350" s="111">
        <v>21312</v>
      </c>
    </row>
    <row r="351" spans="1:14">
      <c r="A351" s="64" t="s">
        <v>85</v>
      </c>
      <c r="B351" s="107">
        <f t="shared" ref="B351:M351" si="70">SUM(B348:B350)</f>
        <v>1643</v>
      </c>
      <c r="C351" s="107">
        <f t="shared" si="70"/>
        <v>1692</v>
      </c>
      <c r="D351" s="107">
        <f t="shared" si="70"/>
        <v>1690</v>
      </c>
      <c r="E351" s="107">
        <f t="shared" si="70"/>
        <v>1513</v>
      </c>
      <c r="F351" s="107">
        <f t="shared" si="70"/>
        <v>1498</v>
      </c>
      <c r="G351" s="107">
        <f t="shared" si="70"/>
        <v>1755</v>
      </c>
      <c r="H351" s="107">
        <f t="shared" si="70"/>
        <v>1742</v>
      </c>
      <c r="I351" s="107">
        <f t="shared" si="70"/>
        <v>1956</v>
      </c>
      <c r="J351" s="107">
        <f t="shared" si="70"/>
        <v>2040</v>
      </c>
      <c r="K351" s="107">
        <f t="shared" si="70"/>
        <v>1944</v>
      </c>
      <c r="L351" s="107">
        <f t="shared" si="70"/>
        <v>1825</v>
      </c>
      <c r="M351" s="107">
        <f t="shared" si="70"/>
        <v>1926</v>
      </c>
      <c r="N351" s="107">
        <v>21224</v>
      </c>
    </row>
    <row r="352" spans="1:14">
      <c r="A352" s="64"/>
      <c r="B352" s="22"/>
      <c r="C352" s="22"/>
      <c r="D352" s="22"/>
      <c r="E352" s="22"/>
      <c r="F352" s="22"/>
      <c r="G352" s="22"/>
      <c r="H352" s="22"/>
      <c r="I352" s="22"/>
      <c r="J352" s="22"/>
      <c r="K352" s="22"/>
      <c r="L352" s="22"/>
      <c r="M352" s="22"/>
      <c r="N352" s="22"/>
    </row>
    <row r="353" spans="1:14">
      <c r="A353" s="64" t="s">
        <v>20</v>
      </c>
      <c r="B353" s="22"/>
      <c r="C353" s="22"/>
      <c r="D353" s="22"/>
      <c r="E353" s="22"/>
      <c r="F353" s="22"/>
      <c r="G353" s="22"/>
      <c r="H353" s="22"/>
      <c r="I353" s="22"/>
      <c r="J353" s="22"/>
      <c r="K353" s="22"/>
      <c r="L353" s="22"/>
      <c r="M353" s="22"/>
      <c r="N353" s="22"/>
    </row>
    <row r="354" spans="1:14">
      <c r="A354" s="64" t="s">
        <v>261</v>
      </c>
      <c r="B354" s="22"/>
      <c r="C354" s="22"/>
      <c r="D354" s="22"/>
      <c r="E354" s="22"/>
      <c r="F354" s="22"/>
      <c r="G354" s="22"/>
      <c r="H354" s="107">
        <v>-1</v>
      </c>
      <c r="I354" s="107">
        <v>132</v>
      </c>
      <c r="J354" s="22"/>
      <c r="K354" s="22"/>
      <c r="L354" s="22"/>
      <c r="M354" s="107">
        <v>-1</v>
      </c>
      <c r="N354" s="107">
        <v>130</v>
      </c>
    </row>
    <row r="355" spans="1:14">
      <c r="A355" s="64" t="s">
        <v>66</v>
      </c>
      <c r="B355" s="111">
        <v>32</v>
      </c>
      <c r="C355" s="111">
        <v>20</v>
      </c>
      <c r="D355" s="111">
        <v>10</v>
      </c>
      <c r="E355" s="111">
        <v>5</v>
      </c>
      <c r="F355" s="111">
        <v>44</v>
      </c>
      <c r="G355" s="111">
        <v>46</v>
      </c>
      <c r="H355" s="111">
        <v>19</v>
      </c>
      <c r="I355" s="111">
        <v>44</v>
      </c>
      <c r="J355" s="111">
        <v>38</v>
      </c>
      <c r="K355" s="111">
        <v>65</v>
      </c>
      <c r="L355" s="111">
        <v>80</v>
      </c>
      <c r="M355" s="111">
        <v>98</v>
      </c>
      <c r="N355" s="111">
        <v>501</v>
      </c>
    </row>
    <row r="356" spans="1:14">
      <c r="A356" s="64" t="s">
        <v>262</v>
      </c>
      <c r="B356" s="107">
        <f t="shared" ref="B356:M356" si="71">SUM(B352:B355)</f>
        <v>32</v>
      </c>
      <c r="C356" s="107">
        <f t="shared" si="71"/>
        <v>20</v>
      </c>
      <c r="D356" s="107">
        <f t="shared" si="71"/>
        <v>10</v>
      </c>
      <c r="E356" s="107">
        <f t="shared" si="71"/>
        <v>5</v>
      </c>
      <c r="F356" s="107">
        <f t="shared" si="71"/>
        <v>44</v>
      </c>
      <c r="G356" s="107">
        <f t="shared" si="71"/>
        <v>46</v>
      </c>
      <c r="H356" s="107">
        <f t="shared" si="71"/>
        <v>18</v>
      </c>
      <c r="I356" s="107">
        <f t="shared" si="71"/>
        <v>176</v>
      </c>
      <c r="J356" s="107">
        <f t="shared" si="71"/>
        <v>38</v>
      </c>
      <c r="K356" s="107">
        <f t="shared" si="71"/>
        <v>65</v>
      </c>
      <c r="L356" s="107">
        <f t="shared" si="71"/>
        <v>80</v>
      </c>
      <c r="M356" s="107">
        <f t="shared" si="71"/>
        <v>97</v>
      </c>
      <c r="N356" s="107">
        <v>631</v>
      </c>
    </row>
    <row r="357" spans="1:14">
      <c r="A357" s="64"/>
      <c r="B357" s="22"/>
      <c r="C357" s="22"/>
      <c r="D357" s="22"/>
      <c r="E357" s="22"/>
      <c r="F357" s="22"/>
      <c r="G357" s="22"/>
      <c r="H357" s="22"/>
      <c r="I357" s="22"/>
      <c r="J357" s="22"/>
      <c r="K357" s="22"/>
      <c r="L357" s="22"/>
      <c r="M357" s="22"/>
      <c r="N357" s="22"/>
    </row>
    <row r="358" spans="1:14">
      <c r="A358" s="64" t="s">
        <v>263</v>
      </c>
      <c r="B358" s="22"/>
      <c r="C358" s="22"/>
      <c r="D358" s="22"/>
      <c r="E358" s="22"/>
      <c r="F358" s="22"/>
      <c r="G358" s="22"/>
      <c r="H358" s="22"/>
      <c r="I358" s="22"/>
      <c r="J358" s="22"/>
      <c r="K358" s="22"/>
      <c r="L358" s="22"/>
      <c r="M358" s="22"/>
      <c r="N358" s="22"/>
    </row>
    <row r="359" spans="1:14">
      <c r="A359" s="64" t="s">
        <v>261</v>
      </c>
      <c r="B359" s="107">
        <v>-1</v>
      </c>
      <c r="C359" s="22"/>
      <c r="D359" s="107">
        <v>-48</v>
      </c>
      <c r="E359" s="107">
        <v>-63</v>
      </c>
      <c r="F359" s="22"/>
      <c r="G359" s="22"/>
      <c r="H359" s="107">
        <v>30</v>
      </c>
      <c r="I359" s="107">
        <v>38</v>
      </c>
      <c r="J359" s="107">
        <v>16</v>
      </c>
      <c r="K359" s="107">
        <v>-18</v>
      </c>
      <c r="L359" s="107">
        <v>-9</v>
      </c>
      <c r="M359" s="22"/>
      <c r="N359" s="107">
        <v>-55</v>
      </c>
    </row>
    <row r="360" spans="1:14">
      <c r="A360" s="64" t="s">
        <v>66</v>
      </c>
      <c r="B360" s="111">
        <v>211</v>
      </c>
      <c r="C360" s="111">
        <v>172</v>
      </c>
      <c r="D360" s="111">
        <v>308</v>
      </c>
      <c r="E360" s="111">
        <v>383</v>
      </c>
      <c r="F360" s="111">
        <v>303</v>
      </c>
      <c r="G360" s="111">
        <v>284</v>
      </c>
      <c r="H360" s="111">
        <v>264</v>
      </c>
      <c r="I360" s="111">
        <v>253</v>
      </c>
      <c r="J360" s="111">
        <v>371</v>
      </c>
      <c r="K360" s="111">
        <v>238</v>
      </c>
      <c r="L360" s="111">
        <v>254</v>
      </c>
      <c r="M360" s="111">
        <v>149</v>
      </c>
      <c r="N360" s="111">
        <v>3190</v>
      </c>
    </row>
    <row r="361" spans="1:14">
      <c r="A361" s="64" t="s">
        <v>264</v>
      </c>
      <c r="B361" s="107">
        <f t="shared" ref="B361:M361" si="72">SUM(B357:B360)</f>
        <v>210</v>
      </c>
      <c r="C361" s="107">
        <f t="shared" si="72"/>
        <v>172</v>
      </c>
      <c r="D361" s="107">
        <f t="shared" si="72"/>
        <v>260</v>
      </c>
      <c r="E361" s="107">
        <f t="shared" si="72"/>
        <v>320</v>
      </c>
      <c r="F361" s="107">
        <f t="shared" si="72"/>
        <v>303</v>
      </c>
      <c r="G361" s="107">
        <f t="shared" si="72"/>
        <v>284</v>
      </c>
      <c r="H361" s="107">
        <f t="shared" si="72"/>
        <v>294</v>
      </c>
      <c r="I361" s="107">
        <f t="shared" si="72"/>
        <v>291</v>
      </c>
      <c r="J361" s="107">
        <f t="shared" si="72"/>
        <v>387</v>
      </c>
      <c r="K361" s="107">
        <f t="shared" si="72"/>
        <v>220</v>
      </c>
      <c r="L361" s="107">
        <f t="shared" si="72"/>
        <v>245</v>
      </c>
      <c r="M361" s="107">
        <f t="shared" si="72"/>
        <v>149</v>
      </c>
      <c r="N361" s="107">
        <v>3135</v>
      </c>
    </row>
    <row r="362" spans="1:14">
      <c r="A362" s="64"/>
      <c r="B362" s="22"/>
      <c r="C362" s="22"/>
      <c r="D362" s="22"/>
      <c r="E362" s="22"/>
      <c r="F362" s="22"/>
      <c r="G362" s="22"/>
      <c r="H362" s="22"/>
      <c r="I362" s="22"/>
      <c r="J362" s="22"/>
      <c r="K362" s="22"/>
      <c r="L362" s="22"/>
      <c r="M362" s="22"/>
      <c r="N362" s="22"/>
    </row>
    <row r="363" spans="1:14">
      <c r="A363" s="64" t="s">
        <v>265</v>
      </c>
      <c r="B363" s="113"/>
      <c r="C363" s="113"/>
      <c r="D363" s="113"/>
      <c r="E363" s="113"/>
      <c r="F363" s="113"/>
      <c r="G363" s="113"/>
      <c r="H363" s="113"/>
      <c r="I363" s="113"/>
      <c r="J363" s="113"/>
      <c r="K363" s="113"/>
      <c r="L363" s="113"/>
      <c r="M363" s="113"/>
      <c r="N363" s="113"/>
    </row>
    <row r="364" spans="1:14">
      <c r="A364" s="64" t="s">
        <v>319</v>
      </c>
      <c r="B364" s="107"/>
      <c r="C364" s="107"/>
      <c r="D364" s="107"/>
      <c r="E364" s="107"/>
      <c r="F364" s="107"/>
      <c r="G364" s="107"/>
      <c r="H364" s="107"/>
      <c r="I364" s="107"/>
      <c r="J364" s="107"/>
      <c r="K364" s="107"/>
      <c r="L364" s="107"/>
      <c r="M364" s="107"/>
      <c r="N364" s="107"/>
    </row>
    <row r="365" spans="1:14">
      <c r="A365" s="64"/>
      <c r="B365" s="22"/>
      <c r="C365" s="22"/>
      <c r="D365" s="22"/>
      <c r="E365" s="22"/>
      <c r="F365" s="22"/>
      <c r="G365" s="22"/>
      <c r="H365" s="22"/>
      <c r="I365" s="22"/>
      <c r="J365" s="22"/>
      <c r="K365" s="22"/>
      <c r="L365" s="22"/>
      <c r="M365" s="22"/>
      <c r="N365" s="22"/>
    </row>
    <row r="366" spans="1:14">
      <c r="A366" s="64" t="s">
        <v>106</v>
      </c>
      <c r="B366" s="22"/>
      <c r="C366" s="22"/>
      <c r="D366" s="22"/>
      <c r="E366" s="22"/>
      <c r="F366" s="22"/>
      <c r="G366" s="22"/>
      <c r="H366" s="22"/>
      <c r="I366" s="22"/>
      <c r="J366" s="22"/>
      <c r="K366" s="22"/>
      <c r="L366" s="22"/>
      <c r="M366" s="22"/>
      <c r="N366" s="22"/>
    </row>
    <row r="367" spans="1:14">
      <c r="A367" s="64" t="s">
        <v>261</v>
      </c>
      <c r="B367" s="22"/>
      <c r="C367" s="22"/>
      <c r="D367" s="22"/>
      <c r="E367" s="107">
        <v>10</v>
      </c>
      <c r="F367" s="22"/>
      <c r="G367" s="22"/>
      <c r="H367" s="107">
        <v>-10</v>
      </c>
      <c r="I367" s="107">
        <v>-40</v>
      </c>
      <c r="J367" s="107">
        <v>-95</v>
      </c>
      <c r="K367" s="107">
        <v>11</v>
      </c>
      <c r="L367" s="107">
        <v>8</v>
      </c>
      <c r="M367" s="107">
        <v>-25</v>
      </c>
      <c r="N367" s="107">
        <v>-141</v>
      </c>
    </row>
    <row r="368" spans="1:14">
      <c r="A368" s="64" t="s">
        <v>66</v>
      </c>
      <c r="B368" s="111">
        <v>482</v>
      </c>
      <c r="C368" s="111">
        <v>426</v>
      </c>
      <c r="D368" s="111">
        <v>503</v>
      </c>
      <c r="E368" s="111">
        <v>408</v>
      </c>
      <c r="F368" s="111">
        <v>521</v>
      </c>
      <c r="G368" s="111">
        <v>494</v>
      </c>
      <c r="H368" s="111">
        <v>498</v>
      </c>
      <c r="I368" s="111">
        <v>629</v>
      </c>
      <c r="J368" s="111">
        <v>477</v>
      </c>
      <c r="K368" s="111">
        <v>493</v>
      </c>
      <c r="L368" s="111">
        <v>513</v>
      </c>
      <c r="M368" s="111">
        <v>613</v>
      </c>
      <c r="N368" s="111">
        <v>6057</v>
      </c>
    </row>
    <row r="369" spans="1:14">
      <c r="A369" s="64" t="s">
        <v>116</v>
      </c>
      <c r="B369" s="107">
        <f t="shared" ref="B369:M369" si="73">SUM(B365:B368)</f>
        <v>482</v>
      </c>
      <c r="C369" s="107">
        <f t="shared" si="73"/>
        <v>426</v>
      </c>
      <c r="D369" s="107">
        <f t="shared" si="73"/>
        <v>503</v>
      </c>
      <c r="E369" s="107">
        <f t="shared" si="73"/>
        <v>418</v>
      </c>
      <c r="F369" s="107">
        <f t="shared" si="73"/>
        <v>521</v>
      </c>
      <c r="G369" s="107">
        <f t="shared" si="73"/>
        <v>494</v>
      </c>
      <c r="H369" s="107">
        <f t="shared" si="73"/>
        <v>488</v>
      </c>
      <c r="I369" s="107">
        <f t="shared" si="73"/>
        <v>589</v>
      </c>
      <c r="J369" s="107">
        <f t="shared" si="73"/>
        <v>382</v>
      </c>
      <c r="K369" s="107">
        <f t="shared" si="73"/>
        <v>504</v>
      </c>
      <c r="L369" s="107">
        <f t="shared" si="73"/>
        <v>521</v>
      </c>
      <c r="M369" s="107">
        <f t="shared" si="73"/>
        <v>588</v>
      </c>
      <c r="N369" s="107">
        <v>5916</v>
      </c>
    </row>
    <row r="370" spans="1:14">
      <c r="A370" s="64"/>
      <c r="B370" s="22"/>
      <c r="C370" s="22"/>
      <c r="D370" s="22"/>
      <c r="E370" s="22"/>
      <c r="F370" s="22"/>
      <c r="G370" s="22"/>
      <c r="H370" s="22"/>
      <c r="I370" s="22"/>
      <c r="J370" s="22"/>
      <c r="K370" s="22"/>
      <c r="L370" s="22"/>
      <c r="M370" s="22"/>
      <c r="N370" s="22"/>
    </row>
    <row r="371" spans="1:14">
      <c r="A371" s="64" t="s">
        <v>117</v>
      </c>
      <c r="B371" s="22"/>
      <c r="C371" s="22"/>
      <c r="D371" s="22"/>
      <c r="E371" s="22"/>
      <c r="F371" s="22"/>
      <c r="G371" s="22"/>
      <c r="H371" s="22"/>
      <c r="I371" s="22"/>
      <c r="J371" s="22"/>
      <c r="K371" s="22"/>
      <c r="L371" s="22"/>
      <c r="M371" s="22"/>
      <c r="N371" s="22"/>
    </row>
    <row r="372" spans="1:14">
      <c r="A372" s="64" t="s">
        <v>261</v>
      </c>
      <c r="B372" s="107">
        <v>1</v>
      </c>
      <c r="C372" s="22"/>
      <c r="D372" s="22"/>
      <c r="E372" s="107">
        <v>89</v>
      </c>
      <c r="F372" s="107">
        <v>31</v>
      </c>
      <c r="G372" s="107">
        <v>-28</v>
      </c>
      <c r="H372" s="107">
        <v>43</v>
      </c>
      <c r="I372" s="107">
        <v>-54</v>
      </c>
      <c r="J372" s="22"/>
      <c r="K372" s="107">
        <v>37</v>
      </c>
      <c r="L372" s="22"/>
      <c r="M372" s="107">
        <v>25</v>
      </c>
      <c r="N372" s="107">
        <v>144</v>
      </c>
    </row>
    <row r="373" spans="1:14">
      <c r="A373" s="64" t="s">
        <v>66</v>
      </c>
      <c r="B373" s="111">
        <v>269</v>
      </c>
      <c r="C373" s="111">
        <v>246</v>
      </c>
      <c r="D373" s="111">
        <v>288</v>
      </c>
      <c r="E373" s="111">
        <v>223</v>
      </c>
      <c r="F373" s="111">
        <v>266</v>
      </c>
      <c r="G373" s="111">
        <v>281</v>
      </c>
      <c r="H373" s="111">
        <v>208</v>
      </c>
      <c r="I373" s="111">
        <v>281</v>
      </c>
      <c r="J373" s="111">
        <v>241</v>
      </c>
      <c r="K373" s="111">
        <v>247</v>
      </c>
      <c r="L373" s="111">
        <v>191</v>
      </c>
      <c r="M373" s="111">
        <v>178</v>
      </c>
      <c r="N373" s="111">
        <v>2919</v>
      </c>
    </row>
    <row r="374" spans="1:14">
      <c r="A374" s="64" t="s">
        <v>127</v>
      </c>
      <c r="B374" s="107">
        <f t="shared" ref="B374:M374" si="74">SUM(B370:B373)</f>
        <v>270</v>
      </c>
      <c r="C374" s="107">
        <f t="shared" si="74"/>
        <v>246</v>
      </c>
      <c r="D374" s="107">
        <f t="shared" si="74"/>
        <v>288</v>
      </c>
      <c r="E374" s="107">
        <f t="shared" si="74"/>
        <v>312</v>
      </c>
      <c r="F374" s="107">
        <f t="shared" si="74"/>
        <v>297</v>
      </c>
      <c r="G374" s="107">
        <f t="shared" si="74"/>
        <v>253</v>
      </c>
      <c r="H374" s="107">
        <f t="shared" si="74"/>
        <v>251</v>
      </c>
      <c r="I374" s="107">
        <f t="shared" si="74"/>
        <v>227</v>
      </c>
      <c r="J374" s="107">
        <f t="shared" si="74"/>
        <v>241</v>
      </c>
      <c r="K374" s="107">
        <f t="shared" si="74"/>
        <v>284</v>
      </c>
      <c r="L374" s="107">
        <f t="shared" si="74"/>
        <v>191</v>
      </c>
      <c r="M374" s="107">
        <f t="shared" si="74"/>
        <v>203</v>
      </c>
      <c r="N374" s="107">
        <v>3063</v>
      </c>
    </row>
    <row r="375" spans="1:14">
      <c r="A375" s="64"/>
      <c r="B375" s="22"/>
      <c r="C375" s="22"/>
      <c r="D375" s="22"/>
      <c r="E375" s="22"/>
      <c r="F375" s="22"/>
      <c r="G375" s="22"/>
      <c r="H375" s="22"/>
      <c r="I375" s="22"/>
      <c r="J375" s="22"/>
      <c r="K375" s="22"/>
      <c r="L375" s="22"/>
      <c r="M375" s="22"/>
      <c r="N375" s="22"/>
    </row>
    <row r="376" spans="1:14" ht="15.75" thickBot="1">
      <c r="A376" s="64" t="s">
        <v>266</v>
      </c>
      <c r="B376" s="112">
        <f t="shared" ref="B376:M376" si="75">SUM(B346:B375)-B351-B356-B361-B364-B369-B374</f>
        <v>2637</v>
      </c>
      <c r="C376" s="112">
        <f t="shared" si="75"/>
        <v>2556</v>
      </c>
      <c r="D376" s="112">
        <f t="shared" si="75"/>
        <v>2751</v>
      </c>
      <c r="E376" s="112">
        <f t="shared" si="75"/>
        <v>2568</v>
      </c>
      <c r="F376" s="112">
        <f t="shared" si="75"/>
        <v>2663</v>
      </c>
      <c r="G376" s="112">
        <f t="shared" si="75"/>
        <v>2832</v>
      </c>
      <c r="H376" s="112">
        <f t="shared" si="75"/>
        <v>2793</v>
      </c>
      <c r="I376" s="112">
        <f t="shared" si="75"/>
        <v>3239</v>
      </c>
      <c r="J376" s="112">
        <f t="shared" si="75"/>
        <v>3088</v>
      </c>
      <c r="K376" s="112">
        <f t="shared" si="75"/>
        <v>3017</v>
      </c>
      <c r="L376" s="112">
        <f t="shared" si="75"/>
        <v>2862</v>
      </c>
      <c r="M376" s="112">
        <f t="shared" si="75"/>
        <v>2963</v>
      </c>
      <c r="N376" s="112">
        <v>33969</v>
      </c>
    </row>
    <row r="377" spans="1:14" ht="15.75" thickTop="1">
      <c r="A377" s="64"/>
      <c r="B377" s="22"/>
      <c r="C377" s="22"/>
      <c r="D377" s="22"/>
      <c r="E377" s="22"/>
      <c r="F377" s="22"/>
      <c r="G377" s="22"/>
      <c r="H377" s="22"/>
      <c r="I377" s="22"/>
      <c r="J377" s="22"/>
      <c r="K377" s="22"/>
      <c r="L377" s="22"/>
      <c r="M377" s="22"/>
      <c r="N377" s="22"/>
    </row>
    <row r="378" spans="1:14" hidden="1">
      <c r="A378" s="64"/>
      <c r="B378" s="107">
        <v>-13010.15</v>
      </c>
      <c r="C378" s="107">
        <v>37513.129999999997</v>
      </c>
      <c r="D378" s="107">
        <v>-45505.23</v>
      </c>
      <c r="E378" s="107">
        <v>-26408.93</v>
      </c>
      <c r="F378" s="107">
        <v>-143123.91</v>
      </c>
      <c r="G378" s="107">
        <v>-78271.5</v>
      </c>
      <c r="H378" s="107">
        <v>31060.92</v>
      </c>
      <c r="I378" s="107">
        <v>-128832.96000000001</v>
      </c>
      <c r="J378" s="107">
        <v>-69772.67</v>
      </c>
      <c r="K378" s="107">
        <v>-60102.38</v>
      </c>
      <c r="L378" s="107">
        <v>-7917.63</v>
      </c>
      <c r="M378" s="107">
        <v>-19010.830000000002</v>
      </c>
      <c r="N378" s="107">
        <v>-523382.14</v>
      </c>
    </row>
    <row r="379" spans="1:14">
      <c r="A379" s="64"/>
      <c r="B379" s="22"/>
      <c r="C379" s="22"/>
      <c r="D379" s="22"/>
      <c r="E379" s="22"/>
      <c r="F379" s="22"/>
      <c r="G379" s="22"/>
      <c r="H379" s="22"/>
      <c r="I379" s="22"/>
      <c r="J379" s="22"/>
      <c r="K379" s="22"/>
      <c r="L379" s="22"/>
      <c r="M379" s="22"/>
      <c r="N379" s="22"/>
    </row>
    <row r="380" spans="1:14" hidden="1">
      <c r="A380" s="64" t="s">
        <v>267</v>
      </c>
      <c r="B380" s="107">
        <f t="shared" ref="B380:M380" si="76">B350+B355+B360+B368+B373</f>
        <v>2637</v>
      </c>
      <c r="C380" s="107">
        <f t="shared" si="76"/>
        <v>2556</v>
      </c>
      <c r="D380" s="107">
        <f t="shared" si="76"/>
        <v>2751</v>
      </c>
      <c r="E380" s="107">
        <f t="shared" si="76"/>
        <v>2568</v>
      </c>
      <c r="F380" s="107">
        <f t="shared" si="76"/>
        <v>2663</v>
      </c>
      <c r="G380" s="107">
        <f t="shared" si="76"/>
        <v>2833</v>
      </c>
      <c r="H380" s="107">
        <f t="shared" si="76"/>
        <v>2795</v>
      </c>
      <c r="I380" s="107">
        <f t="shared" si="76"/>
        <v>3242</v>
      </c>
      <c r="J380" s="107">
        <f t="shared" si="76"/>
        <v>3088</v>
      </c>
      <c r="K380" s="107">
        <f t="shared" si="76"/>
        <v>3019</v>
      </c>
      <c r="L380" s="107">
        <f t="shared" si="76"/>
        <v>2863</v>
      </c>
      <c r="M380" s="107">
        <f t="shared" si="76"/>
        <v>2964</v>
      </c>
      <c r="N380" s="107">
        <v>33979</v>
      </c>
    </row>
    <row r="381" spans="1:14">
      <c r="A381" s="64"/>
      <c r="B381" s="22"/>
      <c r="C381" s="22"/>
      <c r="D381" s="22"/>
      <c r="E381" s="22"/>
      <c r="F381" s="22"/>
      <c r="G381" s="22"/>
      <c r="H381" s="22"/>
      <c r="I381" s="22"/>
      <c r="J381" s="22"/>
      <c r="K381" s="22"/>
      <c r="L381" s="22"/>
      <c r="M381" s="22"/>
      <c r="N381" s="22"/>
    </row>
  </sheetData>
  <pageMargins left="0.75" right="0.75" top="0.75" bottom="0.75" header="0.03" footer="0.03"/>
  <pageSetup scale="46" fitToHeight="0" pageOrder="overThenDown" orientation="landscape" r:id="rId1"/>
  <headerFooter>
    <oddHeader>&amp;L&amp;C&amp;"Arial,Regular"&amp;9&amp;K000000Park Manor of CyFair-WINNIE 
Trailing 12 Months&amp;R</oddHeader>
  </headerFooter>
  <rowBreaks count="1" manualBreakCount="1">
    <brk id="62" max="16383" man="1"/>
  </rowBreaks>
  <customProperties>
    <customPr name="EpmWorksheetKeyString_GUID" r:id="rId2"/>
  </customProperties>
  <drawing r:id="rId3"/>
  <legacyDrawing r:id="rId4"/>
  <controls>
    <mc:AlternateContent xmlns:mc="http://schemas.openxmlformats.org/markup-compatibility/2006">
      <mc:Choice Requires="x14">
        <control shapeId="11265"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1265" r:id="rId5" name="FPMExcelClientSheetOptionstb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pageSetUpPr fitToPage="1"/>
  </sheetPr>
  <dimension ref="A1:N392"/>
  <sheetViews>
    <sheetView zoomScaleNormal="100"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B361</f>
        <v>1579</v>
      </c>
      <c r="C4" s="110">
        <f t="shared" si="0"/>
        <v>1527</v>
      </c>
      <c r="D4" s="110">
        <f t="shared" si="0"/>
        <v>1574</v>
      </c>
      <c r="E4" s="110">
        <f t="shared" si="0"/>
        <v>1564</v>
      </c>
      <c r="F4" s="110">
        <f t="shared" si="0"/>
        <v>1641</v>
      </c>
      <c r="G4" s="110">
        <f t="shared" si="0"/>
        <v>1539</v>
      </c>
      <c r="H4" s="110">
        <f t="shared" si="0"/>
        <v>1451</v>
      </c>
      <c r="I4" s="110">
        <f t="shared" si="0"/>
        <v>1631</v>
      </c>
      <c r="J4" s="110">
        <f t="shared" si="0"/>
        <v>1636</v>
      </c>
      <c r="K4" s="110">
        <f t="shared" si="0"/>
        <v>1637</v>
      </c>
      <c r="L4" s="110">
        <f t="shared" si="0"/>
        <v>1541</v>
      </c>
      <c r="M4" s="110">
        <f t="shared" si="0"/>
        <v>1567</v>
      </c>
      <c r="N4" s="110">
        <v>18887</v>
      </c>
    </row>
    <row r="5" spans="1:14">
      <c r="A5" s="64" t="s">
        <v>35</v>
      </c>
      <c r="B5" s="107">
        <f t="shared" ref="B5:M5" si="1">B366</f>
        <v>31</v>
      </c>
      <c r="C5" s="107">
        <f t="shared" si="1"/>
        <v>30</v>
      </c>
      <c r="D5" s="107">
        <f t="shared" si="1"/>
        <v>37</v>
      </c>
      <c r="E5" s="107">
        <f t="shared" si="1"/>
        <v>15</v>
      </c>
      <c r="F5" s="107">
        <f t="shared" si="1"/>
        <v>9</v>
      </c>
      <c r="G5" s="107">
        <f t="shared" si="1"/>
        <v>11</v>
      </c>
      <c r="H5" s="107">
        <f t="shared" si="1"/>
        <v>25</v>
      </c>
      <c r="I5" s="107">
        <f t="shared" si="1"/>
        <v>44</v>
      </c>
      <c r="J5" s="107">
        <f t="shared" si="1"/>
        <v>39</v>
      </c>
      <c r="K5" s="107">
        <f t="shared" si="1"/>
        <v>81</v>
      </c>
      <c r="L5" s="107">
        <f t="shared" si="1"/>
        <v>40</v>
      </c>
      <c r="M5" s="107">
        <f t="shared" si="1"/>
        <v>31</v>
      </c>
      <c r="N5" s="107">
        <v>393</v>
      </c>
    </row>
    <row r="6" spans="1:14">
      <c r="A6" s="64" t="s">
        <v>36</v>
      </c>
      <c r="B6" s="107">
        <f t="shared" ref="B6:M6" si="2">B371</f>
        <v>242</v>
      </c>
      <c r="C6" s="107">
        <f t="shared" si="2"/>
        <v>350</v>
      </c>
      <c r="D6" s="107">
        <f t="shared" si="2"/>
        <v>344</v>
      </c>
      <c r="E6" s="107">
        <f t="shared" si="2"/>
        <v>230</v>
      </c>
      <c r="F6" s="107">
        <f t="shared" si="2"/>
        <v>326</v>
      </c>
      <c r="G6" s="107">
        <f t="shared" si="2"/>
        <v>540</v>
      </c>
      <c r="H6" s="107">
        <f t="shared" si="2"/>
        <v>420</v>
      </c>
      <c r="I6" s="107">
        <f t="shared" si="2"/>
        <v>253</v>
      </c>
      <c r="J6" s="107">
        <f t="shared" si="2"/>
        <v>211</v>
      </c>
      <c r="K6" s="107">
        <f t="shared" si="2"/>
        <v>254</v>
      </c>
      <c r="L6" s="107">
        <f t="shared" si="2"/>
        <v>401</v>
      </c>
      <c r="M6" s="107">
        <f t="shared" si="2"/>
        <v>478</v>
      </c>
      <c r="N6" s="107">
        <v>4049</v>
      </c>
    </row>
    <row r="7" spans="1:14">
      <c r="A7" s="64" t="s">
        <v>37</v>
      </c>
      <c r="B7" s="107">
        <f t="shared" ref="B7:M7" si="3">B379</f>
        <v>543</v>
      </c>
      <c r="C7" s="107">
        <f t="shared" si="3"/>
        <v>615</v>
      </c>
      <c r="D7" s="107">
        <f t="shared" si="3"/>
        <v>638</v>
      </c>
      <c r="E7" s="107">
        <f t="shared" si="3"/>
        <v>655</v>
      </c>
      <c r="F7" s="107">
        <f t="shared" si="3"/>
        <v>627</v>
      </c>
      <c r="G7" s="107">
        <f t="shared" si="3"/>
        <v>640</v>
      </c>
      <c r="H7" s="107">
        <f t="shared" si="3"/>
        <v>737</v>
      </c>
      <c r="I7" s="107">
        <f t="shared" si="3"/>
        <v>700</v>
      </c>
      <c r="J7" s="107">
        <f t="shared" si="3"/>
        <v>647</v>
      </c>
      <c r="K7" s="107">
        <f t="shared" si="3"/>
        <v>831</v>
      </c>
      <c r="L7" s="107">
        <f t="shared" si="3"/>
        <v>779</v>
      </c>
      <c r="M7" s="107">
        <f t="shared" si="3"/>
        <v>705</v>
      </c>
      <c r="N7" s="107">
        <v>8117</v>
      </c>
    </row>
    <row r="8" spans="1:14">
      <c r="A8" s="64" t="s">
        <v>38</v>
      </c>
      <c r="B8" s="111">
        <f t="shared" ref="B8:M8" si="4">B384</f>
        <v>152</v>
      </c>
      <c r="C8" s="111">
        <f t="shared" si="4"/>
        <v>198</v>
      </c>
      <c r="D8" s="111">
        <f t="shared" si="4"/>
        <v>290</v>
      </c>
      <c r="E8" s="111">
        <f t="shared" si="4"/>
        <v>280</v>
      </c>
      <c r="F8" s="111">
        <f t="shared" si="4"/>
        <v>261</v>
      </c>
      <c r="G8" s="111">
        <f t="shared" si="4"/>
        <v>191</v>
      </c>
      <c r="H8" s="111">
        <f t="shared" si="4"/>
        <v>115</v>
      </c>
      <c r="I8" s="111">
        <f t="shared" si="4"/>
        <v>44</v>
      </c>
      <c r="J8" s="111">
        <f t="shared" si="4"/>
        <v>69</v>
      </c>
      <c r="K8" s="111">
        <f t="shared" si="4"/>
        <v>145</v>
      </c>
      <c r="L8" s="111">
        <f t="shared" si="4"/>
        <v>192</v>
      </c>
      <c r="M8" s="111">
        <f t="shared" si="4"/>
        <v>230</v>
      </c>
      <c r="N8" s="111">
        <v>2167</v>
      </c>
    </row>
    <row r="9" spans="1:14" ht="15.75" thickBot="1">
      <c r="A9" s="64" t="s">
        <v>39</v>
      </c>
      <c r="B9" s="112">
        <f t="shared" ref="B9:M9" si="5">B391</f>
        <v>2547</v>
      </c>
      <c r="C9" s="112">
        <f t="shared" si="5"/>
        <v>2720</v>
      </c>
      <c r="D9" s="112">
        <f t="shared" si="5"/>
        <v>2883</v>
      </c>
      <c r="E9" s="112">
        <f t="shared" si="5"/>
        <v>2744</v>
      </c>
      <c r="F9" s="112">
        <f t="shared" si="5"/>
        <v>2864</v>
      </c>
      <c r="G9" s="112">
        <f t="shared" si="5"/>
        <v>2921</v>
      </c>
      <c r="H9" s="112">
        <f t="shared" si="5"/>
        <v>2748</v>
      </c>
      <c r="I9" s="112">
        <f t="shared" si="5"/>
        <v>2672</v>
      </c>
      <c r="J9" s="112">
        <f t="shared" si="5"/>
        <v>2602</v>
      </c>
      <c r="K9" s="112">
        <f t="shared" si="5"/>
        <v>2948</v>
      </c>
      <c r="L9" s="112">
        <f t="shared" si="5"/>
        <v>2953</v>
      </c>
      <c r="M9" s="112">
        <f t="shared" si="5"/>
        <v>3011</v>
      </c>
      <c r="N9" s="112">
        <v>33613</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B69</f>
        <v>289352.67</v>
      </c>
      <c r="C14" s="107">
        <f t="shared" si="6"/>
        <v>280230.59000000003</v>
      </c>
      <c r="D14" s="107">
        <f t="shared" si="6"/>
        <v>285021.17</v>
      </c>
      <c r="E14" s="107">
        <f t="shared" si="6"/>
        <v>275002.09000000003</v>
      </c>
      <c r="F14" s="107">
        <f t="shared" si="6"/>
        <v>286324.65999999997</v>
      </c>
      <c r="G14" s="107">
        <f t="shared" si="6"/>
        <v>278858.12</v>
      </c>
      <c r="H14" s="107">
        <f t="shared" si="6"/>
        <v>272482.64</v>
      </c>
      <c r="I14" s="107">
        <f t="shared" si="6"/>
        <v>299373.05</v>
      </c>
      <c r="J14" s="107">
        <f t="shared" si="6"/>
        <v>304782.61</v>
      </c>
      <c r="K14" s="107">
        <f t="shared" si="6"/>
        <v>306327.8</v>
      </c>
      <c r="L14" s="107">
        <f t="shared" si="6"/>
        <v>288388.63</v>
      </c>
      <c r="M14" s="107">
        <f t="shared" si="6"/>
        <v>295127.40999999997</v>
      </c>
      <c r="N14" s="107">
        <v>3461271.44</v>
      </c>
    </row>
    <row r="15" spans="1:14">
      <c r="A15" s="64" t="s">
        <v>35</v>
      </c>
      <c r="B15" s="107">
        <f t="shared" ref="B15:M15" si="7">B73</f>
        <v>5950.45</v>
      </c>
      <c r="C15" s="107">
        <f t="shared" si="7"/>
        <v>5746.5</v>
      </c>
      <c r="D15" s="107">
        <f t="shared" si="7"/>
        <v>7090.59</v>
      </c>
      <c r="E15" s="107">
        <f t="shared" si="7"/>
        <v>2873.25</v>
      </c>
      <c r="F15" s="107">
        <f t="shared" si="7"/>
        <v>2733.5</v>
      </c>
      <c r="G15" s="107">
        <f t="shared" si="7"/>
        <v>1421.2</v>
      </c>
      <c r="H15" s="107">
        <f t="shared" si="7"/>
        <v>6094.16</v>
      </c>
      <c r="I15" s="107">
        <f t="shared" si="7"/>
        <v>11098.12</v>
      </c>
      <c r="J15" s="107">
        <f t="shared" si="7"/>
        <v>9202.2000000000007</v>
      </c>
      <c r="K15" s="107">
        <f t="shared" si="7"/>
        <v>18394.22</v>
      </c>
      <c r="L15" s="107">
        <f t="shared" si="7"/>
        <v>6385.27</v>
      </c>
      <c r="M15" s="107">
        <f t="shared" si="7"/>
        <v>4348.0600000000004</v>
      </c>
      <c r="N15" s="107">
        <v>81337.52</v>
      </c>
    </row>
    <row r="16" spans="1:14">
      <c r="A16" s="64" t="s">
        <v>36</v>
      </c>
      <c r="B16" s="107">
        <f t="shared" ref="B16:M16" si="8">B77</f>
        <v>172807.73</v>
      </c>
      <c r="C16" s="107">
        <f t="shared" si="8"/>
        <v>243672</v>
      </c>
      <c r="D16" s="107">
        <f t="shared" si="8"/>
        <v>236305.6</v>
      </c>
      <c r="E16" s="107">
        <f t="shared" si="8"/>
        <v>144530.44</v>
      </c>
      <c r="F16" s="107">
        <f t="shared" si="8"/>
        <v>216211.46</v>
      </c>
      <c r="G16" s="107">
        <f t="shared" si="8"/>
        <v>393036.97</v>
      </c>
      <c r="H16" s="107">
        <f t="shared" si="8"/>
        <v>280014.43</v>
      </c>
      <c r="I16" s="107">
        <f t="shared" si="8"/>
        <v>159753.79999999999</v>
      </c>
      <c r="J16" s="107">
        <f t="shared" si="8"/>
        <v>133407.4</v>
      </c>
      <c r="K16" s="107">
        <f t="shared" si="8"/>
        <v>161513.06</v>
      </c>
      <c r="L16" s="107">
        <f t="shared" si="8"/>
        <v>273442.95</v>
      </c>
      <c r="M16" s="107">
        <f t="shared" si="8"/>
        <v>327987.03000000003</v>
      </c>
      <c r="N16" s="107">
        <v>2742682.87</v>
      </c>
    </row>
    <row r="17" spans="1:14">
      <c r="A17" s="64" t="s">
        <v>37</v>
      </c>
      <c r="B17" s="107">
        <f t="shared" ref="B17:M17" si="9">B84</f>
        <v>213566.19</v>
      </c>
      <c r="C17" s="107">
        <f t="shared" si="9"/>
        <v>251013.02</v>
      </c>
      <c r="D17" s="107">
        <f t="shared" si="9"/>
        <v>255252.13</v>
      </c>
      <c r="E17" s="107">
        <f t="shared" si="9"/>
        <v>261529.47</v>
      </c>
      <c r="F17" s="107">
        <f t="shared" si="9"/>
        <v>239074.75</v>
      </c>
      <c r="G17" s="107">
        <f t="shared" si="9"/>
        <v>236852.2</v>
      </c>
      <c r="H17" s="107">
        <f t="shared" si="9"/>
        <v>268842.05</v>
      </c>
      <c r="I17" s="107">
        <f t="shared" si="9"/>
        <v>265181.71999999997</v>
      </c>
      <c r="J17" s="107">
        <f t="shared" si="9"/>
        <v>248747.73</v>
      </c>
      <c r="K17" s="107">
        <f t="shared" si="9"/>
        <v>341066.59</v>
      </c>
      <c r="L17" s="107">
        <f t="shared" si="9"/>
        <v>328017.14</v>
      </c>
      <c r="M17" s="107">
        <f t="shared" si="9"/>
        <v>276210.71000000002</v>
      </c>
      <c r="N17" s="107">
        <v>3185353.7</v>
      </c>
    </row>
    <row r="18" spans="1:14">
      <c r="A18" s="64" t="s">
        <v>38</v>
      </c>
      <c r="B18" s="111">
        <f t="shared" ref="B18:M18" si="10">B88</f>
        <v>27056</v>
      </c>
      <c r="C18" s="111">
        <f t="shared" si="10"/>
        <v>35468</v>
      </c>
      <c r="D18" s="111">
        <f t="shared" si="10"/>
        <v>51940</v>
      </c>
      <c r="E18" s="111">
        <f t="shared" si="10"/>
        <v>50160</v>
      </c>
      <c r="F18" s="111">
        <f t="shared" si="10"/>
        <v>46714</v>
      </c>
      <c r="G18" s="111">
        <f t="shared" si="10"/>
        <v>33998</v>
      </c>
      <c r="H18" s="111">
        <f t="shared" si="10"/>
        <v>20470</v>
      </c>
      <c r="I18" s="111">
        <f t="shared" si="10"/>
        <v>7832</v>
      </c>
      <c r="J18" s="111">
        <f t="shared" si="10"/>
        <v>12282</v>
      </c>
      <c r="K18" s="111">
        <f t="shared" si="10"/>
        <v>25810</v>
      </c>
      <c r="L18" s="111">
        <f t="shared" si="10"/>
        <v>34176</v>
      </c>
      <c r="M18" s="111">
        <f t="shared" si="10"/>
        <v>41132</v>
      </c>
      <c r="N18" s="111">
        <v>387038</v>
      </c>
    </row>
    <row r="19" spans="1:14">
      <c r="A19" s="64" t="s">
        <v>42</v>
      </c>
      <c r="B19" s="107">
        <f t="shared" ref="B19:M19" si="11">B90</f>
        <v>708733.04</v>
      </c>
      <c r="C19" s="107">
        <f t="shared" si="11"/>
        <v>816130.1100000001</v>
      </c>
      <c r="D19" s="107">
        <f t="shared" si="11"/>
        <v>835609.48999999987</v>
      </c>
      <c r="E19" s="107">
        <f t="shared" si="11"/>
        <v>734095.25</v>
      </c>
      <c r="F19" s="107">
        <f t="shared" si="11"/>
        <v>791058.36999999988</v>
      </c>
      <c r="G19" s="107">
        <f t="shared" si="11"/>
        <v>944166.49</v>
      </c>
      <c r="H19" s="107">
        <f t="shared" si="11"/>
        <v>847903.28</v>
      </c>
      <c r="I19" s="107">
        <f t="shared" si="11"/>
        <v>743238.68999999971</v>
      </c>
      <c r="J19" s="107">
        <f t="shared" si="11"/>
        <v>708421.94000000006</v>
      </c>
      <c r="K19" s="107">
        <f t="shared" si="11"/>
        <v>853111.66999999993</v>
      </c>
      <c r="L19" s="107">
        <f t="shared" si="11"/>
        <v>930409.99000000011</v>
      </c>
      <c r="M19" s="107">
        <f t="shared" si="11"/>
        <v>944805.21</v>
      </c>
      <c r="N19" s="107">
        <v>9857683.5299999993</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I22" si="12">B96</f>
        <v>-22605.67</v>
      </c>
      <c r="C22" s="107">
        <f t="shared" si="12"/>
        <v>1709.74</v>
      </c>
      <c r="D22" s="107">
        <f t="shared" si="12"/>
        <v>-1124.1300000000001</v>
      </c>
      <c r="E22" s="107">
        <f t="shared" si="12"/>
        <v>-5177.0200000000004</v>
      </c>
      <c r="F22" s="107">
        <f t="shared" si="12"/>
        <v>-1309.67</v>
      </c>
      <c r="G22" s="107">
        <f t="shared" si="12"/>
        <v>35224.01</v>
      </c>
      <c r="H22" s="107">
        <f t="shared" si="12"/>
        <v>-8818.84</v>
      </c>
      <c r="I22" s="107">
        <f t="shared" si="12"/>
        <v>3013.29</v>
      </c>
      <c r="J22" s="107"/>
      <c r="K22" s="107">
        <f>K96</f>
        <v>-38812.980000000003</v>
      </c>
      <c r="L22" s="107">
        <f>L96</f>
        <v>4650.6499999999996</v>
      </c>
      <c r="M22" s="107">
        <f>M96</f>
        <v>35043.78</v>
      </c>
      <c r="N22" s="107">
        <v>1793.16</v>
      </c>
    </row>
    <row r="23" spans="1:14">
      <c r="A23" s="64" t="s">
        <v>35</v>
      </c>
      <c r="B23" s="107"/>
      <c r="C23" s="107"/>
      <c r="D23" s="107"/>
      <c r="E23" s="107"/>
      <c r="F23" s="107"/>
      <c r="G23" s="107"/>
      <c r="H23" s="107"/>
      <c r="I23" s="107">
        <f>I100</f>
        <v>624.4</v>
      </c>
      <c r="J23" s="107"/>
      <c r="K23" s="107">
        <f>K100</f>
        <v>431.39</v>
      </c>
      <c r="L23" s="107">
        <f>L100</f>
        <v>-223.94</v>
      </c>
      <c r="M23" s="107">
        <f>M100</f>
        <v>221.1</v>
      </c>
      <c r="N23" s="107">
        <v>1052.95</v>
      </c>
    </row>
    <row r="24" spans="1:14">
      <c r="A24" s="64" t="s">
        <v>36</v>
      </c>
      <c r="B24" s="107">
        <f t="shared" ref="B24:I24" si="13">B104</f>
        <v>1571.4</v>
      </c>
      <c r="C24" s="107">
        <f t="shared" si="13"/>
        <v>-3189.75</v>
      </c>
      <c r="D24" s="107">
        <f t="shared" si="13"/>
        <v>18714.2</v>
      </c>
      <c r="E24" s="107">
        <f t="shared" si="13"/>
        <v>-1590.97</v>
      </c>
      <c r="F24" s="107">
        <f t="shared" si="13"/>
        <v>4432.55</v>
      </c>
      <c r="G24" s="107">
        <f t="shared" si="13"/>
        <v>473.71</v>
      </c>
      <c r="H24" s="107">
        <f t="shared" si="13"/>
        <v>4244.6400000000003</v>
      </c>
      <c r="I24" s="107">
        <f t="shared" si="13"/>
        <v>25944.06</v>
      </c>
      <c r="J24" s="107"/>
      <c r="K24" s="107">
        <f>K104</f>
        <v>767.15</v>
      </c>
      <c r="L24" s="107">
        <f>L104</f>
        <v>9970.41</v>
      </c>
      <c r="M24" s="107">
        <f>M104</f>
        <v>1970.64</v>
      </c>
      <c r="N24" s="107">
        <v>63308.04</v>
      </c>
    </row>
    <row r="25" spans="1:14">
      <c r="A25" s="64" t="s">
        <v>37</v>
      </c>
      <c r="B25" s="107">
        <f t="shared" ref="B25:I25" si="14">B111</f>
        <v>-1090.01</v>
      </c>
      <c r="C25" s="107">
        <f t="shared" si="14"/>
        <v>-2331.6</v>
      </c>
      <c r="D25" s="107">
        <f t="shared" si="14"/>
        <v>-6331</v>
      </c>
      <c r="E25" s="107">
        <f t="shared" si="14"/>
        <v>3976.41</v>
      </c>
      <c r="F25" s="107">
        <f t="shared" si="14"/>
        <v>-16438.259999999998</v>
      </c>
      <c r="G25" s="107">
        <f t="shared" si="14"/>
        <v>-2896.01</v>
      </c>
      <c r="H25" s="107">
        <f t="shared" si="14"/>
        <v>-7088.3</v>
      </c>
      <c r="I25" s="107">
        <f t="shared" si="14"/>
        <v>-13764.22</v>
      </c>
      <c r="J25" s="107"/>
      <c r="K25" s="107">
        <f>K111</f>
        <v>5705.15</v>
      </c>
      <c r="L25" s="107">
        <f>L111</f>
        <v>4951.03</v>
      </c>
      <c r="M25" s="107">
        <f>M111</f>
        <v>-5135.55</v>
      </c>
      <c r="N25" s="107">
        <v>-40442.36</v>
      </c>
    </row>
    <row r="26" spans="1:14">
      <c r="A26" s="64" t="s">
        <v>38</v>
      </c>
      <c r="B26" s="111">
        <f>B115</f>
        <v>22428</v>
      </c>
      <c r="C26" s="111"/>
      <c r="D26" s="111"/>
      <c r="E26" s="111"/>
      <c r="F26" s="111">
        <f>F115</f>
        <v>-890</v>
      </c>
      <c r="G26" s="111">
        <f>G115</f>
        <v>-38380</v>
      </c>
      <c r="H26" s="111"/>
      <c r="I26" s="111">
        <f>I115</f>
        <v>-10492.99</v>
      </c>
      <c r="J26" s="111"/>
      <c r="K26" s="111">
        <f>K115</f>
        <v>36134</v>
      </c>
      <c r="L26" s="111">
        <f>L115</f>
        <v>-5518</v>
      </c>
      <c r="M26" s="111">
        <f>M115</f>
        <v>-31830.5</v>
      </c>
      <c r="N26" s="111">
        <v>-28549.49</v>
      </c>
    </row>
    <row r="27" spans="1:14">
      <c r="A27" s="64" t="s">
        <v>44</v>
      </c>
      <c r="B27" s="107">
        <f t="shared" ref="B27:I27" si="15">B117</f>
        <v>303.71999999999753</v>
      </c>
      <c r="C27" s="107">
        <f t="shared" si="15"/>
        <v>-3811.6099999999992</v>
      </c>
      <c r="D27" s="107">
        <f t="shared" si="15"/>
        <v>11259.07</v>
      </c>
      <c r="E27" s="107">
        <f t="shared" si="15"/>
        <v>-2791.579999999999</v>
      </c>
      <c r="F27" s="107">
        <f t="shared" si="15"/>
        <v>-14205.379999999997</v>
      </c>
      <c r="G27" s="107">
        <f t="shared" si="15"/>
        <v>-5578.2899999999718</v>
      </c>
      <c r="H27" s="107">
        <f t="shared" si="15"/>
        <v>-11662.5</v>
      </c>
      <c r="I27" s="107">
        <f t="shared" si="15"/>
        <v>5324.5399999999972</v>
      </c>
      <c r="J27" s="107"/>
      <c r="K27" s="107">
        <f>K117</f>
        <v>4224.7099999999773</v>
      </c>
      <c r="L27" s="107">
        <f>L117</f>
        <v>13830.149999999994</v>
      </c>
      <c r="M27" s="107">
        <f>M117</f>
        <v>269.4700000000048</v>
      </c>
      <c r="N27" s="107">
        <v>-2837.7</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f t="shared" ref="B30:M30" si="16">B131</f>
        <v>13857.800000000001</v>
      </c>
      <c r="C30" s="107">
        <f t="shared" si="16"/>
        <v>12645.64</v>
      </c>
      <c r="D30" s="107">
        <f t="shared" si="16"/>
        <v>12265.32</v>
      </c>
      <c r="E30" s="107">
        <f t="shared" si="16"/>
        <v>11409.599999999999</v>
      </c>
      <c r="F30" s="107">
        <f t="shared" si="16"/>
        <v>-15783.279999999999</v>
      </c>
      <c r="G30" s="107">
        <f t="shared" si="16"/>
        <v>3803.2</v>
      </c>
      <c r="H30" s="107">
        <f t="shared" si="16"/>
        <v>11789.92</v>
      </c>
      <c r="I30" s="107">
        <f t="shared" si="16"/>
        <v>9888.32</v>
      </c>
      <c r="J30" s="107">
        <f t="shared" si="16"/>
        <v>10324.999999999998</v>
      </c>
      <c r="K30" s="107">
        <f t="shared" si="16"/>
        <v>6851.64</v>
      </c>
      <c r="L30" s="107">
        <f t="shared" si="16"/>
        <v>2293.6799999999985</v>
      </c>
      <c r="M30" s="107">
        <f t="shared" si="16"/>
        <v>855.71999999999935</v>
      </c>
      <c r="N30" s="107">
        <v>80202.559999999998</v>
      </c>
    </row>
    <row r="31" spans="1:14">
      <c r="A31" s="64" t="s">
        <v>46</v>
      </c>
      <c r="B31" s="107">
        <f t="shared" ref="B31:M31" si="17">B158</f>
        <v>18468.330000000002</v>
      </c>
      <c r="C31" s="107">
        <f t="shared" si="17"/>
        <v>8858.5400000000009</v>
      </c>
      <c r="D31" s="107">
        <f t="shared" si="17"/>
        <v>11482.87</v>
      </c>
      <c r="E31" s="107">
        <f t="shared" si="17"/>
        <v>26021.68</v>
      </c>
      <c r="F31" s="107">
        <f t="shared" si="17"/>
        <v>10139.080000000002</v>
      </c>
      <c r="G31" s="107">
        <f t="shared" si="17"/>
        <v>11308.749999999998</v>
      </c>
      <c r="H31" s="107">
        <f t="shared" si="17"/>
        <v>9078.93</v>
      </c>
      <c r="I31" s="107">
        <f t="shared" si="17"/>
        <v>13111.040000000003</v>
      </c>
      <c r="J31" s="107">
        <f t="shared" si="17"/>
        <v>15711.209999999995</v>
      </c>
      <c r="K31" s="107">
        <f t="shared" si="17"/>
        <v>6759.6</v>
      </c>
      <c r="L31" s="107">
        <f t="shared" si="17"/>
        <v>1840.37</v>
      </c>
      <c r="M31" s="107">
        <f t="shared" si="17"/>
        <v>8693.27</v>
      </c>
      <c r="N31" s="107">
        <v>141473.67000000001</v>
      </c>
    </row>
    <row r="32" spans="1:14">
      <c r="A32" s="64" t="s">
        <v>37</v>
      </c>
      <c r="B32" s="107">
        <f t="shared" ref="B32:M32" si="18">B173</f>
        <v>21262.819999999978</v>
      </c>
      <c r="C32" s="107">
        <f t="shared" si="18"/>
        <v>12283.779999999999</v>
      </c>
      <c r="D32" s="107">
        <f t="shared" si="18"/>
        <v>-4976.1800000000076</v>
      </c>
      <c r="E32" s="107">
        <f t="shared" si="18"/>
        <v>8315.7199999999721</v>
      </c>
      <c r="F32" s="107">
        <f t="shared" si="18"/>
        <v>14302.789999999979</v>
      </c>
      <c r="G32" s="107">
        <f t="shared" si="18"/>
        <v>8210.0599999999977</v>
      </c>
      <c r="H32" s="107">
        <f t="shared" si="18"/>
        <v>8421.5500000000175</v>
      </c>
      <c r="I32" s="107">
        <f t="shared" si="18"/>
        <v>12180.099999999977</v>
      </c>
      <c r="J32" s="107">
        <f t="shared" si="18"/>
        <v>314.7500000000291</v>
      </c>
      <c r="K32" s="107">
        <f t="shared" si="18"/>
        <v>12468.5</v>
      </c>
      <c r="L32" s="107">
        <f t="shared" si="18"/>
        <v>7138.8799999999756</v>
      </c>
      <c r="M32" s="107">
        <f t="shared" si="18"/>
        <v>6293.3999999999942</v>
      </c>
      <c r="N32" s="107">
        <v>106216.17</v>
      </c>
    </row>
    <row r="33" spans="1:14">
      <c r="A33" s="64" t="s">
        <v>38</v>
      </c>
      <c r="B33" s="111">
        <f>B182</f>
        <v>346</v>
      </c>
      <c r="C33" s="111">
        <f>C182</f>
        <v>88</v>
      </c>
      <c r="D33" s="111">
        <f>D182</f>
        <v>356</v>
      </c>
      <c r="E33" s="111">
        <f>E182</f>
        <v>60.5</v>
      </c>
      <c r="F33" s="111"/>
      <c r="G33" s="111">
        <f>G182</f>
        <v>344.13</v>
      </c>
      <c r="H33" s="111"/>
      <c r="I33" s="111"/>
      <c r="J33" s="111">
        <f>J182</f>
        <v>613.46</v>
      </c>
      <c r="K33" s="111">
        <f>K182</f>
        <v>184.76</v>
      </c>
      <c r="L33" s="111">
        <f>L182</f>
        <v>1058.2</v>
      </c>
      <c r="M33" s="111">
        <f>M182</f>
        <v>693</v>
      </c>
      <c r="N33" s="111">
        <v>3744.05</v>
      </c>
    </row>
    <row r="34" spans="1:14">
      <c r="A34" s="64" t="s">
        <v>47</v>
      </c>
      <c r="B34" s="107">
        <f t="shared" ref="B34:M34" si="19">B184</f>
        <v>53934.949999999983</v>
      </c>
      <c r="C34" s="107">
        <f t="shared" si="19"/>
        <v>33875.960000000014</v>
      </c>
      <c r="D34" s="107">
        <f t="shared" si="19"/>
        <v>19128.00999999998</v>
      </c>
      <c r="E34" s="107">
        <f t="shared" si="19"/>
        <v>45807.499999999964</v>
      </c>
      <c r="F34" s="107">
        <f t="shared" si="19"/>
        <v>8658.5900000000111</v>
      </c>
      <c r="G34" s="107">
        <f t="shared" si="19"/>
        <v>23666.139999999989</v>
      </c>
      <c r="H34" s="107">
        <f t="shared" si="19"/>
        <v>29290.400000000001</v>
      </c>
      <c r="I34" s="107">
        <f t="shared" si="19"/>
        <v>35179.459999999977</v>
      </c>
      <c r="J34" s="107">
        <f t="shared" si="19"/>
        <v>26964.420000000016</v>
      </c>
      <c r="K34" s="107">
        <f t="shared" si="19"/>
        <v>26264.499999999989</v>
      </c>
      <c r="L34" s="107">
        <f t="shared" si="19"/>
        <v>12331.129999999983</v>
      </c>
      <c r="M34" s="107">
        <f t="shared" si="19"/>
        <v>16535.390000000003</v>
      </c>
      <c r="N34" s="107">
        <v>331636.45</v>
      </c>
    </row>
    <row r="35" spans="1:14">
      <c r="A35" s="64"/>
      <c r="B35" s="22"/>
      <c r="C35" s="22"/>
      <c r="D35" s="22"/>
      <c r="E35" s="22"/>
      <c r="F35" s="22"/>
      <c r="G35" s="22"/>
      <c r="H35" s="22"/>
      <c r="I35" s="22"/>
      <c r="J35" s="22"/>
      <c r="K35" s="22"/>
      <c r="L35" s="22"/>
      <c r="M35" s="22"/>
      <c r="N35" s="22"/>
    </row>
    <row r="36" spans="1:14">
      <c r="A36" s="64" t="s">
        <v>48</v>
      </c>
      <c r="B36" s="107">
        <f t="shared" ref="B36:M36" si="20">B194</f>
        <v>54230.559999999998</v>
      </c>
      <c r="C36" s="107">
        <f t="shared" si="20"/>
        <v>111621.68999999999</v>
      </c>
      <c r="D36" s="107">
        <f t="shared" si="20"/>
        <v>101005</v>
      </c>
      <c r="E36" s="107">
        <f t="shared" si="20"/>
        <v>76264.739999999991</v>
      </c>
      <c r="F36" s="107">
        <f t="shared" si="20"/>
        <v>233044.65999999992</v>
      </c>
      <c r="G36" s="107">
        <f t="shared" si="20"/>
        <v>90552.09</v>
      </c>
      <c r="H36" s="107">
        <f t="shared" si="20"/>
        <v>85996.9</v>
      </c>
      <c r="I36" s="107">
        <f t="shared" si="20"/>
        <v>58435.460000000006</v>
      </c>
      <c r="J36" s="107">
        <f t="shared" si="20"/>
        <v>45154.17</v>
      </c>
      <c r="K36" s="107">
        <f t="shared" si="20"/>
        <v>47024.11</v>
      </c>
      <c r="L36" s="107">
        <f t="shared" si="20"/>
        <v>37710.629999999997</v>
      </c>
      <c r="M36" s="107">
        <f t="shared" si="20"/>
        <v>40071.589999999997</v>
      </c>
      <c r="N36" s="107">
        <v>981111.6</v>
      </c>
    </row>
    <row r="37" spans="1:14">
      <c r="A37" s="64"/>
      <c r="B37" s="22"/>
      <c r="C37" s="22"/>
      <c r="D37" s="22"/>
      <c r="E37" s="22"/>
      <c r="F37" s="22"/>
      <c r="G37" s="22"/>
      <c r="H37" s="22"/>
      <c r="I37" s="22"/>
      <c r="J37" s="22"/>
      <c r="K37" s="22"/>
      <c r="L37" s="22"/>
      <c r="M37" s="22"/>
      <c r="N37" s="22"/>
    </row>
    <row r="38" spans="1:14" ht="15.75" thickBot="1">
      <c r="A38" s="64" t="s">
        <v>13</v>
      </c>
      <c r="B38" s="112">
        <f t="shared" ref="B38:M38" si="21">B196</f>
        <v>817202.26999999955</v>
      </c>
      <c r="C38" s="112">
        <f t="shared" si="21"/>
        <v>957816.15000000107</v>
      </c>
      <c r="D38" s="112">
        <f t="shared" si="21"/>
        <v>967001.57000000053</v>
      </c>
      <c r="E38" s="112">
        <f t="shared" si="21"/>
        <v>853375.90999999945</v>
      </c>
      <c r="F38" s="112">
        <f t="shared" si="21"/>
        <v>1018556.2399999993</v>
      </c>
      <c r="G38" s="112">
        <f t="shared" si="21"/>
        <v>1052806.4299999992</v>
      </c>
      <c r="H38" s="112">
        <f t="shared" si="21"/>
        <v>951528.08000000007</v>
      </c>
      <c r="I38" s="112">
        <f t="shared" si="21"/>
        <v>842178.14999999863</v>
      </c>
      <c r="J38" s="112">
        <f t="shared" si="21"/>
        <v>780540.53000000061</v>
      </c>
      <c r="K38" s="112">
        <f t="shared" si="21"/>
        <v>930624.98999999964</v>
      </c>
      <c r="L38" s="112">
        <f t="shared" si="21"/>
        <v>994281.9</v>
      </c>
      <c r="M38" s="112">
        <f t="shared" si="21"/>
        <v>1001681.6599999999</v>
      </c>
      <c r="N38" s="112">
        <v>11167593.880000001</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M41" si="22">B218</f>
        <v>301080.2900000001</v>
      </c>
      <c r="C41" s="107">
        <f t="shared" si="22"/>
        <v>297587.61000000004</v>
      </c>
      <c r="D41" s="107">
        <f t="shared" si="22"/>
        <v>312236.47000000009</v>
      </c>
      <c r="E41" s="107">
        <f t="shared" si="22"/>
        <v>290702.34000000003</v>
      </c>
      <c r="F41" s="107">
        <f t="shared" si="22"/>
        <v>273247.18</v>
      </c>
      <c r="G41" s="107">
        <f t="shared" si="22"/>
        <v>249615.63999999998</v>
      </c>
      <c r="H41" s="107">
        <f t="shared" si="22"/>
        <v>256297.76000000004</v>
      </c>
      <c r="I41" s="107">
        <f t="shared" si="22"/>
        <v>287698.37</v>
      </c>
      <c r="J41" s="107">
        <f t="shared" si="22"/>
        <v>264114.50999999995</v>
      </c>
      <c r="K41" s="107">
        <f t="shared" si="22"/>
        <v>270984.90999999997</v>
      </c>
      <c r="L41" s="107">
        <f t="shared" si="22"/>
        <v>287191.21999999997</v>
      </c>
      <c r="M41" s="107">
        <f t="shared" si="22"/>
        <v>292448.64000000001</v>
      </c>
      <c r="N41" s="107">
        <v>3383204.94</v>
      </c>
    </row>
    <row r="42" spans="1:14">
      <c r="A42" s="64" t="s">
        <v>50</v>
      </c>
      <c r="B42" s="107">
        <f>B226</f>
        <v>18808.86</v>
      </c>
      <c r="C42" s="107">
        <f>C226</f>
        <v>26572.199999999997</v>
      </c>
      <c r="D42" s="107">
        <f>D226</f>
        <v>26587.48</v>
      </c>
      <c r="E42" s="107">
        <f>E226</f>
        <v>27157.82</v>
      </c>
      <c r="F42" s="107">
        <f>F226</f>
        <v>-136400.76</v>
      </c>
      <c r="G42" s="107"/>
      <c r="H42" s="107"/>
      <c r="I42" s="107"/>
      <c r="J42" s="107"/>
      <c r="K42" s="107"/>
      <c r="L42" s="107"/>
      <c r="M42" s="107"/>
      <c r="N42" s="107">
        <v>-37274.400000000001</v>
      </c>
    </row>
    <row r="43" spans="1:14">
      <c r="A43" s="64" t="s">
        <v>51</v>
      </c>
      <c r="B43" s="107">
        <f t="shared" ref="B43:M43" si="23">B237</f>
        <v>59916.859999999993</v>
      </c>
      <c r="C43" s="107">
        <f t="shared" si="23"/>
        <v>62707.380000000012</v>
      </c>
      <c r="D43" s="107">
        <f t="shared" si="23"/>
        <v>43101.31</v>
      </c>
      <c r="E43" s="107">
        <f t="shared" si="23"/>
        <v>43145.87</v>
      </c>
      <c r="F43" s="107">
        <f t="shared" si="23"/>
        <v>52992.390000000007</v>
      </c>
      <c r="G43" s="107">
        <f t="shared" si="23"/>
        <v>82186.149999999994</v>
      </c>
      <c r="H43" s="107">
        <f t="shared" si="23"/>
        <v>37401.519999999997</v>
      </c>
      <c r="I43" s="107">
        <f t="shared" si="23"/>
        <v>45854.66</v>
      </c>
      <c r="J43" s="107">
        <f t="shared" si="23"/>
        <v>33299.71</v>
      </c>
      <c r="K43" s="107">
        <f t="shared" si="23"/>
        <v>55493.970000000008</v>
      </c>
      <c r="L43" s="107">
        <f t="shared" si="23"/>
        <v>54657.39</v>
      </c>
      <c r="M43" s="107">
        <f t="shared" si="23"/>
        <v>67529.569999999992</v>
      </c>
      <c r="N43" s="107">
        <v>638286.78</v>
      </c>
    </row>
    <row r="44" spans="1:14">
      <c r="A44" s="64" t="s">
        <v>52</v>
      </c>
      <c r="B44" s="107">
        <f t="shared" ref="B44:M44" si="24">B253</f>
        <v>137355.08000000002</v>
      </c>
      <c r="C44" s="107">
        <f t="shared" si="24"/>
        <v>128304.41000000002</v>
      </c>
      <c r="D44" s="107">
        <f t="shared" si="24"/>
        <v>130682.37</v>
      </c>
      <c r="E44" s="107">
        <f t="shared" si="24"/>
        <v>131358.26</v>
      </c>
      <c r="F44" s="107">
        <f t="shared" si="24"/>
        <v>138674.86000000002</v>
      </c>
      <c r="G44" s="107">
        <f t="shared" si="24"/>
        <v>144863.38999999998</v>
      </c>
      <c r="H44" s="107">
        <f t="shared" si="24"/>
        <v>131687.15</v>
      </c>
      <c r="I44" s="107">
        <f t="shared" si="24"/>
        <v>132422.57999999999</v>
      </c>
      <c r="J44" s="107">
        <f t="shared" si="24"/>
        <v>116719.42</v>
      </c>
      <c r="K44" s="107">
        <f t="shared" si="24"/>
        <v>134059.56999999998</v>
      </c>
      <c r="L44" s="107">
        <f t="shared" si="24"/>
        <v>170136.40000000002</v>
      </c>
      <c r="M44" s="107">
        <f t="shared" si="24"/>
        <v>138328.38999999998</v>
      </c>
      <c r="N44" s="107">
        <v>1634591.88</v>
      </c>
    </row>
    <row r="45" spans="1:14">
      <c r="A45" s="64" t="s">
        <v>53</v>
      </c>
      <c r="B45" s="107">
        <f t="shared" ref="B45:M45" si="25">B279</f>
        <v>156506.26000000004</v>
      </c>
      <c r="C45" s="107">
        <f t="shared" si="25"/>
        <v>156901.08000000002</v>
      </c>
      <c r="D45" s="107">
        <f t="shared" si="25"/>
        <v>162452.38999999998</v>
      </c>
      <c r="E45" s="107">
        <f t="shared" si="25"/>
        <v>155898.23999999999</v>
      </c>
      <c r="F45" s="107">
        <f t="shared" si="25"/>
        <v>219703.55</v>
      </c>
      <c r="G45" s="107">
        <f t="shared" si="25"/>
        <v>174218.52</v>
      </c>
      <c r="H45" s="107">
        <f t="shared" si="25"/>
        <v>167481.03</v>
      </c>
      <c r="I45" s="107">
        <f t="shared" si="25"/>
        <v>160952.61000000002</v>
      </c>
      <c r="J45" s="107">
        <f t="shared" si="25"/>
        <v>158096.06</v>
      </c>
      <c r="K45" s="107">
        <f t="shared" si="25"/>
        <v>181218.55000000002</v>
      </c>
      <c r="L45" s="107">
        <f t="shared" si="25"/>
        <v>183268.72999999998</v>
      </c>
      <c r="M45" s="107">
        <f t="shared" si="25"/>
        <v>183564.46</v>
      </c>
      <c r="N45" s="107">
        <v>2060261.48</v>
      </c>
    </row>
    <row r="46" spans="1:14">
      <c r="A46" s="64" t="s">
        <v>54</v>
      </c>
      <c r="B46" s="107">
        <f t="shared" ref="B46:M46" si="26">B296</f>
        <v>13190.980000000003</v>
      </c>
      <c r="C46" s="107">
        <f t="shared" si="26"/>
        <v>14314.67</v>
      </c>
      <c r="D46" s="107">
        <f t="shared" si="26"/>
        <v>13050.63</v>
      </c>
      <c r="E46" s="107">
        <f t="shared" si="26"/>
        <v>13875.279999999999</v>
      </c>
      <c r="F46" s="107">
        <f t="shared" si="26"/>
        <v>17553.109999999997</v>
      </c>
      <c r="G46" s="107">
        <f t="shared" si="26"/>
        <v>10849.050000000001</v>
      </c>
      <c r="H46" s="107">
        <f t="shared" si="26"/>
        <v>13137.110000000002</v>
      </c>
      <c r="I46" s="107">
        <f t="shared" si="26"/>
        <v>13615.45</v>
      </c>
      <c r="J46" s="107">
        <f t="shared" si="26"/>
        <v>13859.220000000003</v>
      </c>
      <c r="K46" s="107">
        <f t="shared" si="26"/>
        <v>13837.839999999998</v>
      </c>
      <c r="L46" s="107">
        <f t="shared" si="26"/>
        <v>14069.01</v>
      </c>
      <c r="M46" s="107">
        <f t="shared" si="26"/>
        <v>15082.499999999996</v>
      </c>
      <c r="N46" s="107">
        <v>166434.85</v>
      </c>
    </row>
    <row r="47" spans="1:14">
      <c r="A47" s="64" t="s">
        <v>55</v>
      </c>
      <c r="B47" s="107">
        <f t="shared" ref="B47:M47" si="27">B305</f>
        <v>2069.52</v>
      </c>
      <c r="C47" s="107">
        <f t="shared" si="27"/>
        <v>6646.88</v>
      </c>
      <c r="D47" s="107">
        <f t="shared" si="27"/>
        <v>6677.93</v>
      </c>
      <c r="E47" s="107">
        <f t="shared" si="27"/>
        <v>2686.99</v>
      </c>
      <c r="F47" s="107">
        <f t="shared" si="27"/>
        <v>9245.3600000000024</v>
      </c>
      <c r="G47" s="107">
        <f t="shared" si="27"/>
        <v>6947.05</v>
      </c>
      <c r="H47" s="107">
        <f t="shared" si="27"/>
        <v>8099.1600000000008</v>
      </c>
      <c r="I47" s="107">
        <f t="shared" si="27"/>
        <v>6141.1900000000005</v>
      </c>
      <c r="J47" s="107">
        <f t="shared" si="27"/>
        <v>7875.05</v>
      </c>
      <c r="K47" s="107">
        <f t="shared" si="27"/>
        <v>-1066.3499999999999</v>
      </c>
      <c r="L47" s="107">
        <f t="shared" si="27"/>
        <v>1554.74</v>
      </c>
      <c r="M47" s="107">
        <f t="shared" si="27"/>
        <v>15856.06</v>
      </c>
      <c r="N47" s="107">
        <v>72733.58</v>
      </c>
    </row>
    <row r="48" spans="1:14">
      <c r="A48" s="64" t="s">
        <v>56</v>
      </c>
      <c r="B48" s="107">
        <f t="shared" ref="B48:M48" si="28">B314</f>
        <v>9840.57</v>
      </c>
      <c r="C48" s="107">
        <f t="shared" si="28"/>
        <v>8785.8799999999992</v>
      </c>
      <c r="D48" s="107">
        <f t="shared" si="28"/>
        <v>8785.8799999999992</v>
      </c>
      <c r="E48" s="107">
        <f t="shared" si="28"/>
        <v>8785.8799999999992</v>
      </c>
      <c r="F48" s="107">
        <f t="shared" si="28"/>
        <v>28663.51</v>
      </c>
      <c r="G48" s="107">
        <f t="shared" si="28"/>
        <v>10733.32</v>
      </c>
      <c r="H48" s="107">
        <f t="shared" si="28"/>
        <v>10916.65</v>
      </c>
      <c r="I48" s="107">
        <f t="shared" si="28"/>
        <v>10711.65</v>
      </c>
      <c r="J48" s="107">
        <f t="shared" si="28"/>
        <v>11166.65</v>
      </c>
      <c r="K48" s="107">
        <f t="shared" si="28"/>
        <v>10666.65</v>
      </c>
      <c r="L48" s="107">
        <f t="shared" si="28"/>
        <v>10666.65</v>
      </c>
      <c r="M48" s="107">
        <f t="shared" si="28"/>
        <v>10486.65</v>
      </c>
      <c r="N48" s="107">
        <v>140209.94</v>
      </c>
    </row>
    <row r="49" spans="1:14">
      <c r="A49" s="64" t="s">
        <v>57</v>
      </c>
      <c r="B49" s="107">
        <f t="shared" ref="B49:M49" si="29">B319</f>
        <v>27222</v>
      </c>
      <c r="C49" s="107">
        <f t="shared" si="29"/>
        <v>25630</v>
      </c>
      <c r="D49" s="107">
        <f t="shared" si="29"/>
        <v>27066</v>
      </c>
      <c r="E49" s="107">
        <f t="shared" si="29"/>
        <v>24728</v>
      </c>
      <c r="F49" s="107">
        <f t="shared" si="29"/>
        <v>37932</v>
      </c>
      <c r="G49" s="107">
        <f t="shared" si="29"/>
        <v>32614</v>
      </c>
      <c r="H49" s="107">
        <f t="shared" si="29"/>
        <v>48912.75</v>
      </c>
      <c r="I49" s="107">
        <f t="shared" si="29"/>
        <v>26766</v>
      </c>
      <c r="J49" s="107">
        <f t="shared" si="29"/>
        <v>25870</v>
      </c>
      <c r="K49" s="107">
        <f t="shared" si="29"/>
        <v>28935</v>
      </c>
      <c r="L49" s="107">
        <f t="shared" si="29"/>
        <v>29897</v>
      </c>
      <c r="M49" s="107">
        <f t="shared" si="29"/>
        <v>28920</v>
      </c>
      <c r="N49" s="107">
        <v>364492.75</v>
      </c>
    </row>
    <row r="50" spans="1:14">
      <c r="A50" s="64" t="s">
        <v>58</v>
      </c>
      <c r="B50" s="107">
        <f t="shared" ref="B50:M50" si="30">B326</f>
        <v>8239.93</v>
      </c>
      <c r="C50" s="107">
        <f t="shared" si="30"/>
        <v>8742.34</v>
      </c>
      <c r="D50" s="107">
        <f t="shared" si="30"/>
        <v>8742.34</v>
      </c>
      <c r="E50" s="107">
        <f t="shared" si="30"/>
        <v>8742.34</v>
      </c>
      <c r="F50" s="107">
        <f t="shared" si="30"/>
        <v>8742.34</v>
      </c>
      <c r="G50" s="107">
        <f t="shared" si="30"/>
        <v>9322</v>
      </c>
      <c r="H50" s="107">
        <f t="shared" si="30"/>
        <v>11020.08</v>
      </c>
      <c r="I50" s="107">
        <f t="shared" si="30"/>
        <v>9265.9599999999991</v>
      </c>
      <c r="J50" s="107">
        <f t="shared" si="30"/>
        <v>9004.15</v>
      </c>
      <c r="K50" s="107">
        <f t="shared" si="30"/>
        <v>9004.15</v>
      </c>
      <c r="L50" s="107">
        <f t="shared" si="30"/>
        <v>9004.15</v>
      </c>
      <c r="M50" s="107">
        <f t="shared" si="30"/>
        <v>9004.15</v>
      </c>
      <c r="N50" s="107">
        <v>108833.93</v>
      </c>
    </row>
    <row r="51" spans="1:14">
      <c r="A51" s="64" t="s">
        <v>59</v>
      </c>
      <c r="B51" s="107">
        <f t="shared" ref="B51:M51" si="31">B334</f>
        <v>5160.21</v>
      </c>
      <c r="C51" s="107">
        <f t="shared" si="31"/>
        <v>5252.8099999999986</v>
      </c>
      <c r="D51" s="107">
        <f t="shared" si="31"/>
        <v>5216.75</v>
      </c>
      <c r="E51" s="107">
        <f t="shared" si="31"/>
        <v>5304.0499999999984</v>
      </c>
      <c r="F51" s="107">
        <f t="shared" si="31"/>
        <v>5271.3699999999981</v>
      </c>
      <c r="G51" s="107">
        <f t="shared" si="31"/>
        <v>5271.369999999999</v>
      </c>
      <c r="H51" s="107">
        <f t="shared" si="31"/>
        <v>5484.3700000000008</v>
      </c>
      <c r="I51" s="107">
        <f t="shared" si="31"/>
        <v>5558.1399999999985</v>
      </c>
      <c r="J51" s="107">
        <f t="shared" si="31"/>
        <v>5683.7699999999986</v>
      </c>
      <c r="K51" s="107">
        <f t="shared" si="31"/>
        <v>5562.24</v>
      </c>
      <c r="L51" s="107">
        <f t="shared" si="31"/>
        <v>5473.2599999999984</v>
      </c>
      <c r="M51" s="107">
        <f t="shared" si="31"/>
        <v>5500.7199999999984</v>
      </c>
      <c r="N51" s="107">
        <v>64739.06</v>
      </c>
    </row>
    <row r="52" spans="1:14">
      <c r="A52" s="64" t="s">
        <v>60</v>
      </c>
      <c r="B52" s="107">
        <f t="shared" ref="B52:M52" si="32">B341</f>
        <v>118283.96</v>
      </c>
      <c r="C52" s="107">
        <f t="shared" si="32"/>
        <v>124603.9</v>
      </c>
      <c r="D52" s="107">
        <f t="shared" si="32"/>
        <v>121123.9</v>
      </c>
      <c r="E52" s="107">
        <f t="shared" si="32"/>
        <v>121183.9</v>
      </c>
      <c r="F52" s="107">
        <f t="shared" si="32"/>
        <v>121247.34</v>
      </c>
      <c r="G52" s="107">
        <f t="shared" si="32"/>
        <v>121110.77999999998</v>
      </c>
      <c r="H52" s="107">
        <f t="shared" si="32"/>
        <v>121059.95999999999</v>
      </c>
      <c r="I52" s="107">
        <f t="shared" si="32"/>
        <v>121057.57999999999</v>
      </c>
      <c r="J52" s="107">
        <f t="shared" si="32"/>
        <v>121157.48999999999</v>
      </c>
      <c r="K52" s="107">
        <f t="shared" si="32"/>
        <v>121122.84999999999</v>
      </c>
      <c r="L52" s="107">
        <f t="shared" si="32"/>
        <v>121264.96999999999</v>
      </c>
      <c r="M52" s="107">
        <f t="shared" si="32"/>
        <v>132799.62000000002</v>
      </c>
      <c r="N52" s="107">
        <v>1466016.25</v>
      </c>
    </row>
    <row r="53" spans="1:14">
      <c r="A53" s="64" t="s">
        <v>61</v>
      </c>
      <c r="B53" s="107"/>
      <c r="C53" s="107"/>
      <c r="D53" s="107"/>
      <c r="E53" s="107"/>
      <c r="F53" s="107">
        <f>F345</f>
        <v>-35468.019999999997</v>
      </c>
      <c r="G53" s="107"/>
      <c r="H53" s="107"/>
      <c r="I53" s="107"/>
      <c r="J53" s="107"/>
      <c r="K53" s="107"/>
      <c r="L53" s="107"/>
      <c r="M53" s="107"/>
      <c r="N53" s="107">
        <v>-35468.019999999997</v>
      </c>
    </row>
    <row r="54" spans="1:14">
      <c r="A54" s="64"/>
      <c r="B54" s="22"/>
      <c r="C54" s="22"/>
      <c r="D54" s="22"/>
      <c r="E54" s="22"/>
      <c r="F54" s="22"/>
      <c r="G54" s="22"/>
      <c r="H54" s="22"/>
      <c r="I54" s="22"/>
      <c r="J54" s="22"/>
      <c r="K54" s="22"/>
      <c r="L54" s="22"/>
      <c r="M54" s="22"/>
      <c r="N54" s="22"/>
    </row>
    <row r="55" spans="1:14" ht="15.75" thickBot="1">
      <c r="A55" s="64" t="s">
        <v>62</v>
      </c>
      <c r="B55" s="112">
        <f t="shared" ref="B55:M55" si="33">B347</f>
        <v>857674.52</v>
      </c>
      <c r="C55" s="112">
        <f t="shared" si="33"/>
        <v>866049.15999999957</v>
      </c>
      <c r="D55" s="112">
        <f t="shared" si="33"/>
        <v>865723.45000000007</v>
      </c>
      <c r="E55" s="112">
        <f t="shared" si="33"/>
        <v>833568.96999999939</v>
      </c>
      <c r="F55" s="112">
        <f t="shared" si="33"/>
        <v>741404.23000000056</v>
      </c>
      <c r="G55" s="112">
        <f t="shared" si="33"/>
        <v>847731.27000000048</v>
      </c>
      <c r="H55" s="112">
        <f t="shared" si="33"/>
        <v>811497.54000000015</v>
      </c>
      <c r="I55" s="112">
        <f t="shared" si="33"/>
        <v>820044.19</v>
      </c>
      <c r="J55" s="112">
        <f t="shared" si="33"/>
        <v>766846.03</v>
      </c>
      <c r="K55" s="112">
        <f t="shared" si="33"/>
        <v>829819.37999999931</v>
      </c>
      <c r="L55" s="112">
        <f t="shared" si="33"/>
        <v>887183.51999999944</v>
      </c>
      <c r="M55" s="112">
        <f t="shared" si="33"/>
        <v>899520.76000000047</v>
      </c>
      <c r="N55" s="112">
        <v>10027063.02</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M57" si="34">B349</f>
        <v>-40472.250000000466</v>
      </c>
      <c r="C57" s="112">
        <f t="shared" si="34"/>
        <v>91766.990000001504</v>
      </c>
      <c r="D57" s="112">
        <f t="shared" si="34"/>
        <v>101278.12000000046</v>
      </c>
      <c r="E57" s="112">
        <f t="shared" si="34"/>
        <v>19806.940000000061</v>
      </c>
      <c r="F57" s="112">
        <f t="shared" si="34"/>
        <v>277152.00999999873</v>
      </c>
      <c r="G57" s="112">
        <f t="shared" si="34"/>
        <v>205075.15999999875</v>
      </c>
      <c r="H57" s="112">
        <f t="shared" si="34"/>
        <v>140030.53999999992</v>
      </c>
      <c r="I57" s="112">
        <f t="shared" si="34"/>
        <v>22133.959999998682</v>
      </c>
      <c r="J57" s="112">
        <f t="shared" si="34"/>
        <v>13694.500000000582</v>
      </c>
      <c r="K57" s="112">
        <f t="shared" si="34"/>
        <v>100805.61000000034</v>
      </c>
      <c r="L57" s="112">
        <f t="shared" si="34"/>
        <v>107098.38000000059</v>
      </c>
      <c r="M57" s="112">
        <f t="shared" si="34"/>
        <v>102160.89999999944</v>
      </c>
      <c r="N57" s="112">
        <v>1140530.8600000001</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5">B352</f>
        <v>15829.24</v>
      </c>
      <c r="C59" s="112">
        <f t="shared" si="35"/>
        <v>35478.269999999997</v>
      </c>
      <c r="D59" s="112">
        <f t="shared" si="35"/>
        <v>22320.41</v>
      </c>
      <c r="E59" s="112">
        <f t="shared" si="35"/>
        <v>7142.39</v>
      </c>
      <c r="F59" s="112">
        <f t="shared" si="35"/>
        <v>147989.66</v>
      </c>
      <c r="G59" s="112">
        <f t="shared" si="35"/>
        <v>21096.71</v>
      </c>
      <c r="H59" s="112">
        <f t="shared" si="35"/>
        <v>57291.89</v>
      </c>
      <c r="I59" s="112">
        <f t="shared" si="35"/>
        <v>18714.88</v>
      </c>
      <c r="J59" s="112">
        <f t="shared" si="35"/>
        <v>6152.78</v>
      </c>
      <c r="K59" s="112">
        <f t="shared" si="35"/>
        <v>5173.42</v>
      </c>
      <c r="L59" s="112">
        <f t="shared" si="35"/>
        <v>7636.77</v>
      </c>
      <c r="M59" s="112">
        <f t="shared" si="35"/>
        <v>2696.88</v>
      </c>
      <c r="N59" s="112">
        <v>347523.3</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6">B354</f>
        <v>-56301.490000000464</v>
      </c>
      <c r="C61" s="112">
        <f t="shared" si="36"/>
        <v>56288.720000001507</v>
      </c>
      <c r="D61" s="112">
        <f t="shared" si="36"/>
        <v>78957.710000000458</v>
      </c>
      <c r="E61" s="112">
        <f t="shared" si="36"/>
        <v>12664.550000000061</v>
      </c>
      <c r="F61" s="112">
        <f t="shared" si="36"/>
        <v>129162.34999999873</v>
      </c>
      <c r="G61" s="112">
        <f t="shared" si="36"/>
        <v>183978.44999999876</v>
      </c>
      <c r="H61" s="112">
        <f t="shared" si="36"/>
        <v>82738.649999999921</v>
      </c>
      <c r="I61" s="112">
        <f t="shared" si="36"/>
        <v>3419.0799999986812</v>
      </c>
      <c r="J61" s="112">
        <f t="shared" si="36"/>
        <v>7541.7200000005823</v>
      </c>
      <c r="K61" s="112">
        <f t="shared" si="36"/>
        <v>95632.190000000337</v>
      </c>
      <c r="L61" s="112">
        <f t="shared" si="36"/>
        <v>99461.610000000583</v>
      </c>
      <c r="M61" s="112">
        <f t="shared" si="36"/>
        <v>99464.019999999437</v>
      </c>
      <c r="N61" s="112">
        <v>793007.56</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289352.67</v>
      </c>
      <c r="C68" s="111">
        <v>280230.59000000003</v>
      </c>
      <c r="D68" s="111">
        <v>285021.17</v>
      </c>
      <c r="E68" s="111">
        <v>275002.09000000003</v>
      </c>
      <c r="F68" s="111">
        <v>286324.65999999997</v>
      </c>
      <c r="G68" s="111">
        <v>278858.12</v>
      </c>
      <c r="H68" s="111">
        <v>272482.64</v>
      </c>
      <c r="I68" s="111">
        <v>299373.05</v>
      </c>
      <c r="J68" s="111">
        <v>304782.61</v>
      </c>
      <c r="K68" s="111">
        <v>306327.8</v>
      </c>
      <c r="L68" s="111">
        <v>288388.63</v>
      </c>
      <c r="M68" s="111">
        <v>295127.40999999997</v>
      </c>
      <c r="N68" s="111">
        <v>3461271.44</v>
      </c>
    </row>
    <row r="69" spans="1:14">
      <c r="A69" s="64" t="s">
        <v>67</v>
      </c>
      <c r="B69" s="107">
        <f t="shared" ref="B69:M69" si="37">SUM(B65:B68)</f>
        <v>289352.67</v>
      </c>
      <c r="C69" s="107">
        <f t="shared" si="37"/>
        <v>280230.59000000003</v>
      </c>
      <c r="D69" s="107">
        <f t="shared" si="37"/>
        <v>285021.17</v>
      </c>
      <c r="E69" s="107">
        <f t="shared" si="37"/>
        <v>275002.09000000003</v>
      </c>
      <c r="F69" s="107">
        <f t="shared" si="37"/>
        <v>286324.65999999997</v>
      </c>
      <c r="G69" s="107">
        <f t="shared" si="37"/>
        <v>278858.12</v>
      </c>
      <c r="H69" s="107">
        <f t="shared" si="37"/>
        <v>272482.64</v>
      </c>
      <c r="I69" s="107">
        <f t="shared" si="37"/>
        <v>299373.05</v>
      </c>
      <c r="J69" s="107">
        <f t="shared" si="37"/>
        <v>304782.61</v>
      </c>
      <c r="K69" s="107">
        <f t="shared" si="37"/>
        <v>306327.8</v>
      </c>
      <c r="L69" s="107">
        <f t="shared" si="37"/>
        <v>288388.63</v>
      </c>
      <c r="M69" s="107">
        <f t="shared" si="37"/>
        <v>295127.40999999997</v>
      </c>
      <c r="N69" s="107">
        <v>3461271.44</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5950.45</v>
      </c>
      <c r="C72" s="111">
        <v>5746.5</v>
      </c>
      <c r="D72" s="111">
        <v>7090.59</v>
      </c>
      <c r="E72" s="111">
        <v>2873.25</v>
      </c>
      <c r="F72" s="111">
        <v>2733.5</v>
      </c>
      <c r="G72" s="111">
        <v>1421.2</v>
      </c>
      <c r="H72" s="111">
        <v>6094.16</v>
      </c>
      <c r="I72" s="111">
        <v>11098.12</v>
      </c>
      <c r="J72" s="111">
        <v>9202.2000000000007</v>
      </c>
      <c r="K72" s="111">
        <v>18394.22</v>
      </c>
      <c r="L72" s="111">
        <v>6385.27</v>
      </c>
      <c r="M72" s="111">
        <v>4348.0600000000004</v>
      </c>
      <c r="N72" s="111">
        <v>81337.52</v>
      </c>
    </row>
    <row r="73" spans="1:14">
      <c r="A73" s="64" t="s">
        <v>69</v>
      </c>
      <c r="B73" s="107">
        <f t="shared" ref="B73:M73" si="38">SUM(B70:B72)</f>
        <v>5950.45</v>
      </c>
      <c r="C73" s="107">
        <f t="shared" si="38"/>
        <v>5746.5</v>
      </c>
      <c r="D73" s="107">
        <f t="shared" si="38"/>
        <v>7090.59</v>
      </c>
      <c r="E73" s="107">
        <f t="shared" si="38"/>
        <v>2873.25</v>
      </c>
      <c r="F73" s="107">
        <f t="shared" si="38"/>
        <v>2733.5</v>
      </c>
      <c r="G73" s="107">
        <f t="shared" si="38"/>
        <v>1421.2</v>
      </c>
      <c r="H73" s="107">
        <f t="shared" si="38"/>
        <v>6094.16</v>
      </c>
      <c r="I73" s="107">
        <f t="shared" si="38"/>
        <v>11098.12</v>
      </c>
      <c r="J73" s="107">
        <f t="shared" si="38"/>
        <v>9202.2000000000007</v>
      </c>
      <c r="K73" s="107">
        <f t="shared" si="38"/>
        <v>18394.22</v>
      </c>
      <c r="L73" s="107">
        <f t="shared" si="38"/>
        <v>6385.27</v>
      </c>
      <c r="M73" s="107">
        <f t="shared" si="38"/>
        <v>4348.0600000000004</v>
      </c>
      <c r="N73" s="107">
        <v>81337.52</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172807.73</v>
      </c>
      <c r="C76" s="111">
        <v>243672</v>
      </c>
      <c r="D76" s="111">
        <v>236305.6</v>
      </c>
      <c r="E76" s="111">
        <v>144530.44</v>
      </c>
      <c r="F76" s="111">
        <v>216211.46</v>
      </c>
      <c r="G76" s="111">
        <v>393036.97</v>
      </c>
      <c r="H76" s="111">
        <v>280014.43</v>
      </c>
      <c r="I76" s="111">
        <v>159753.79999999999</v>
      </c>
      <c r="J76" s="111">
        <v>133407.4</v>
      </c>
      <c r="K76" s="111">
        <v>161513.06</v>
      </c>
      <c r="L76" s="111">
        <v>273442.95</v>
      </c>
      <c r="M76" s="111">
        <v>327987.03000000003</v>
      </c>
      <c r="N76" s="111">
        <v>2742682.87</v>
      </c>
    </row>
    <row r="77" spans="1:14">
      <c r="A77" s="64" t="s">
        <v>71</v>
      </c>
      <c r="B77" s="107">
        <f t="shared" ref="B77:M77" si="39">SUM(B74:B76)</f>
        <v>172807.73</v>
      </c>
      <c r="C77" s="107">
        <f t="shared" si="39"/>
        <v>243672</v>
      </c>
      <c r="D77" s="107">
        <f t="shared" si="39"/>
        <v>236305.6</v>
      </c>
      <c r="E77" s="107">
        <f t="shared" si="39"/>
        <v>144530.44</v>
      </c>
      <c r="F77" s="107">
        <f t="shared" si="39"/>
        <v>216211.46</v>
      </c>
      <c r="G77" s="107">
        <f t="shared" si="39"/>
        <v>393036.97</v>
      </c>
      <c r="H77" s="107">
        <f t="shared" si="39"/>
        <v>280014.43</v>
      </c>
      <c r="I77" s="107">
        <f t="shared" si="39"/>
        <v>159753.79999999999</v>
      </c>
      <c r="J77" s="107">
        <f t="shared" si="39"/>
        <v>133407.4</v>
      </c>
      <c r="K77" s="107">
        <f t="shared" si="39"/>
        <v>161513.06</v>
      </c>
      <c r="L77" s="107">
        <f t="shared" si="39"/>
        <v>273442.95</v>
      </c>
      <c r="M77" s="107">
        <f t="shared" si="39"/>
        <v>327987.03000000003</v>
      </c>
      <c r="N77" s="107">
        <v>2742682.87</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213566.19</v>
      </c>
      <c r="C83" s="111">
        <v>251013.02</v>
      </c>
      <c r="D83" s="111">
        <v>255252.13</v>
      </c>
      <c r="E83" s="111">
        <v>261529.47</v>
      </c>
      <c r="F83" s="111">
        <v>239074.75</v>
      </c>
      <c r="G83" s="111">
        <v>236852.2</v>
      </c>
      <c r="H83" s="111">
        <v>268842.05</v>
      </c>
      <c r="I83" s="111">
        <v>265181.71999999997</v>
      </c>
      <c r="J83" s="111">
        <v>248747.73</v>
      </c>
      <c r="K83" s="111">
        <v>341066.59</v>
      </c>
      <c r="L83" s="111">
        <v>328017.14</v>
      </c>
      <c r="M83" s="111">
        <v>276210.71000000002</v>
      </c>
      <c r="N83" s="111">
        <v>3185353.7</v>
      </c>
    </row>
    <row r="84" spans="1:14">
      <c r="A84" s="64" t="s">
        <v>74</v>
      </c>
      <c r="B84" s="107">
        <f t="shared" ref="B84:M84" si="40">SUM(B81:B83)</f>
        <v>213566.19</v>
      </c>
      <c r="C84" s="107">
        <f t="shared" si="40"/>
        <v>251013.02</v>
      </c>
      <c r="D84" s="107">
        <f t="shared" si="40"/>
        <v>255252.13</v>
      </c>
      <c r="E84" s="107">
        <f t="shared" si="40"/>
        <v>261529.47</v>
      </c>
      <c r="F84" s="107">
        <f t="shared" si="40"/>
        <v>239074.75</v>
      </c>
      <c r="G84" s="107">
        <f t="shared" si="40"/>
        <v>236852.2</v>
      </c>
      <c r="H84" s="107">
        <f t="shared" si="40"/>
        <v>268842.05</v>
      </c>
      <c r="I84" s="107">
        <f t="shared" si="40"/>
        <v>265181.71999999997</v>
      </c>
      <c r="J84" s="107">
        <f t="shared" si="40"/>
        <v>248747.73</v>
      </c>
      <c r="K84" s="107">
        <f t="shared" si="40"/>
        <v>341066.59</v>
      </c>
      <c r="L84" s="107">
        <f t="shared" si="40"/>
        <v>328017.14</v>
      </c>
      <c r="M84" s="107">
        <f t="shared" si="40"/>
        <v>276210.71000000002</v>
      </c>
      <c r="N84" s="107">
        <v>3185353.7</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27056</v>
      </c>
      <c r="C87" s="111">
        <v>35468</v>
      </c>
      <c r="D87" s="111">
        <v>51940</v>
      </c>
      <c r="E87" s="111">
        <v>50160</v>
      </c>
      <c r="F87" s="111">
        <v>46714</v>
      </c>
      <c r="G87" s="111">
        <v>33998</v>
      </c>
      <c r="H87" s="111">
        <v>20470</v>
      </c>
      <c r="I87" s="111">
        <v>7832</v>
      </c>
      <c r="J87" s="111">
        <v>12282</v>
      </c>
      <c r="K87" s="111">
        <v>25810</v>
      </c>
      <c r="L87" s="111">
        <v>34176</v>
      </c>
      <c r="M87" s="111">
        <v>41132</v>
      </c>
      <c r="N87" s="111">
        <v>387038</v>
      </c>
    </row>
    <row r="88" spans="1:14">
      <c r="A88" s="64" t="s">
        <v>76</v>
      </c>
      <c r="B88" s="107">
        <f t="shared" ref="B88:M88" si="41">SUM(B85:B87)</f>
        <v>27056</v>
      </c>
      <c r="C88" s="107">
        <f t="shared" si="41"/>
        <v>35468</v>
      </c>
      <c r="D88" s="107">
        <f t="shared" si="41"/>
        <v>51940</v>
      </c>
      <c r="E88" s="107">
        <f t="shared" si="41"/>
        <v>50160</v>
      </c>
      <c r="F88" s="107">
        <f t="shared" si="41"/>
        <v>46714</v>
      </c>
      <c r="G88" s="107">
        <f t="shared" si="41"/>
        <v>33998</v>
      </c>
      <c r="H88" s="107">
        <f t="shared" si="41"/>
        <v>20470</v>
      </c>
      <c r="I88" s="107">
        <f t="shared" si="41"/>
        <v>7832</v>
      </c>
      <c r="J88" s="107">
        <f t="shared" si="41"/>
        <v>12282</v>
      </c>
      <c r="K88" s="107">
        <f t="shared" si="41"/>
        <v>25810</v>
      </c>
      <c r="L88" s="107">
        <f t="shared" si="41"/>
        <v>34176</v>
      </c>
      <c r="M88" s="107">
        <f t="shared" si="41"/>
        <v>41132</v>
      </c>
      <c r="N88" s="107">
        <v>387038</v>
      </c>
    </row>
    <row r="89" spans="1:14">
      <c r="A89" s="64"/>
      <c r="B89" s="113"/>
      <c r="C89" s="113"/>
      <c r="D89" s="113"/>
      <c r="E89" s="113"/>
      <c r="F89" s="113"/>
      <c r="G89" s="113"/>
      <c r="H89" s="113"/>
      <c r="I89" s="113"/>
      <c r="J89" s="113"/>
      <c r="K89" s="113"/>
      <c r="L89" s="113"/>
      <c r="M89" s="113"/>
      <c r="N89" s="113"/>
    </row>
    <row r="90" spans="1:14">
      <c r="A90" s="64" t="s">
        <v>42</v>
      </c>
      <c r="B90" s="107">
        <f t="shared" ref="B90:M90" si="42">SUM(B67:B89)-B69-B73-B77-B80-B84-B88</f>
        <v>708733.04</v>
      </c>
      <c r="C90" s="107">
        <f t="shared" si="42"/>
        <v>816130.1100000001</v>
      </c>
      <c r="D90" s="107">
        <f t="shared" si="42"/>
        <v>835609.48999999987</v>
      </c>
      <c r="E90" s="107">
        <f t="shared" si="42"/>
        <v>734095.25</v>
      </c>
      <c r="F90" s="107">
        <f t="shared" si="42"/>
        <v>791058.36999999988</v>
      </c>
      <c r="G90" s="107">
        <f t="shared" si="42"/>
        <v>944166.49</v>
      </c>
      <c r="H90" s="107">
        <f t="shared" si="42"/>
        <v>847903.28</v>
      </c>
      <c r="I90" s="107">
        <f t="shared" si="42"/>
        <v>743238.68999999971</v>
      </c>
      <c r="J90" s="107">
        <f t="shared" si="42"/>
        <v>708421.94000000006</v>
      </c>
      <c r="K90" s="107">
        <f t="shared" si="42"/>
        <v>853111.66999999993</v>
      </c>
      <c r="L90" s="107">
        <f t="shared" si="42"/>
        <v>930409.99000000011</v>
      </c>
      <c r="M90" s="107">
        <f t="shared" si="42"/>
        <v>944805.21</v>
      </c>
      <c r="N90" s="107">
        <v>9857683.5299999993</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-22605.67</v>
      </c>
      <c r="C95" s="111">
        <v>1709.74</v>
      </c>
      <c r="D95" s="111">
        <v>-1124.1300000000001</v>
      </c>
      <c r="E95" s="111">
        <v>-5177.0200000000004</v>
      </c>
      <c r="F95" s="111">
        <v>-1309.67</v>
      </c>
      <c r="G95" s="111">
        <v>35224.01</v>
      </c>
      <c r="H95" s="111">
        <v>-8818.84</v>
      </c>
      <c r="I95" s="111">
        <v>3013.29</v>
      </c>
      <c r="J95" s="111"/>
      <c r="K95" s="111">
        <v>-38812.980000000003</v>
      </c>
      <c r="L95" s="111">
        <v>4650.6499999999996</v>
      </c>
      <c r="M95" s="111">
        <v>35043.78</v>
      </c>
      <c r="N95" s="111">
        <v>1793.16</v>
      </c>
    </row>
    <row r="96" spans="1:14">
      <c r="A96" s="64" t="s">
        <v>67</v>
      </c>
      <c r="B96" s="107">
        <f t="shared" ref="B96:I96" si="43">SUM(B94:B95)</f>
        <v>-22605.67</v>
      </c>
      <c r="C96" s="107">
        <f t="shared" si="43"/>
        <v>1709.74</v>
      </c>
      <c r="D96" s="107">
        <f t="shared" si="43"/>
        <v>-1124.1300000000001</v>
      </c>
      <c r="E96" s="107">
        <f t="shared" si="43"/>
        <v>-5177.0200000000004</v>
      </c>
      <c r="F96" s="107">
        <f t="shared" si="43"/>
        <v>-1309.67</v>
      </c>
      <c r="G96" s="107">
        <f t="shared" si="43"/>
        <v>35224.01</v>
      </c>
      <c r="H96" s="107">
        <f t="shared" si="43"/>
        <v>-8818.84</v>
      </c>
      <c r="I96" s="107">
        <f t="shared" si="43"/>
        <v>3013.29</v>
      </c>
      <c r="J96" s="107"/>
      <c r="K96" s="107">
        <f>SUM(K94:K95)</f>
        <v>-38812.980000000003</v>
      </c>
      <c r="L96" s="107">
        <f>SUM(L94:L95)</f>
        <v>4650.6499999999996</v>
      </c>
      <c r="M96" s="107">
        <f>SUM(M94:M95)</f>
        <v>35043.78</v>
      </c>
      <c r="N96" s="107">
        <v>1793.16</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3"/>
      <c r="C99" s="113"/>
      <c r="D99" s="113"/>
      <c r="E99" s="113"/>
      <c r="F99" s="113"/>
      <c r="G99" s="113"/>
      <c r="H99" s="113"/>
      <c r="I99" s="111">
        <v>624.4</v>
      </c>
      <c r="J99" s="111"/>
      <c r="K99" s="111">
        <v>431.39</v>
      </c>
      <c r="L99" s="111">
        <v>-223.94</v>
      </c>
      <c r="M99" s="111">
        <v>221.1</v>
      </c>
      <c r="N99" s="111">
        <v>1052.95</v>
      </c>
    </row>
    <row r="100" spans="1:14">
      <c r="A100" s="64" t="s">
        <v>69</v>
      </c>
      <c r="B100" s="107"/>
      <c r="C100" s="107"/>
      <c r="D100" s="107"/>
      <c r="E100" s="107"/>
      <c r="F100" s="107"/>
      <c r="G100" s="107"/>
      <c r="H100" s="107"/>
      <c r="I100" s="107">
        <f>SUM(I97:I99)</f>
        <v>624.4</v>
      </c>
      <c r="J100" s="107"/>
      <c r="K100" s="107">
        <f>SUM(K97:K99)</f>
        <v>431.39</v>
      </c>
      <c r="L100" s="107">
        <f>SUM(L97:L99)</f>
        <v>-223.94</v>
      </c>
      <c r="M100" s="107">
        <f>SUM(M97:M99)</f>
        <v>221.1</v>
      </c>
      <c r="N100" s="107">
        <v>1052.95</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1571.4</v>
      </c>
      <c r="C103" s="111">
        <v>-3189.75</v>
      </c>
      <c r="D103" s="111">
        <v>18714.2</v>
      </c>
      <c r="E103" s="111">
        <v>-1590.97</v>
      </c>
      <c r="F103" s="111">
        <v>4432.55</v>
      </c>
      <c r="G103" s="111">
        <v>473.71</v>
      </c>
      <c r="H103" s="111">
        <v>4244.6400000000003</v>
      </c>
      <c r="I103" s="111">
        <v>25944.06</v>
      </c>
      <c r="J103" s="111"/>
      <c r="K103" s="111">
        <v>767.15</v>
      </c>
      <c r="L103" s="111">
        <v>9970.41</v>
      </c>
      <c r="M103" s="111">
        <v>1970.64</v>
      </c>
      <c r="N103" s="111">
        <v>63308.04</v>
      </c>
    </row>
    <row r="104" spans="1:14">
      <c r="A104" s="64" t="s">
        <v>71</v>
      </c>
      <c r="B104" s="107">
        <f t="shared" ref="B104:I104" si="44">SUM(B101:B103)</f>
        <v>1571.4</v>
      </c>
      <c r="C104" s="107">
        <f t="shared" si="44"/>
        <v>-3189.75</v>
      </c>
      <c r="D104" s="107">
        <f t="shared" si="44"/>
        <v>18714.2</v>
      </c>
      <c r="E104" s="107">
        <f t="shared" si="44"/>
        <v>-1590.97</v>
      </c>
      <c r="F104" s="107">
        <f t="shared" si="44"/>
        <v>4432.55</v>
      </c>
      <c r="G104" s="107">
        <f t="shared" si="44"/>
        <v>473.71</v>
      </c>
      <c r="H104" s="107">
        <f t="shared" si="44"/>
        <v>4244.6400000000003</v>
      </c>
      <c r="I104" s="107">
        <f t="shared" si="44"/>
        <v>25944.06</v>
      </c>
      <c r="J104" s="107"/>
      <c r="K104" s="107">
        <f>SUM(K101:K103)</f>
        <v>767.15</v>
      </c>
      <c r="L104" s="107">
        <f>SUM(L101:L103)</f>
        <v>9970.41</v>
      </c>
      <c r="M104" s="107">
        <f>SUM(M101:M103)</f>
        <v>1970.64</v>
      </c>
      <c r="N104" s="107">
        <v>63308.04</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-1090.01</v>
      </c>
      <c r="C110" s="111">
        <v>-2331.6</v>
      </c>
      <c r="D110" s="111">
        <v>-6331</v>
      </c>
      <c r="E110" s="111">
        <v>3976.41</v>
      </c>
      <c r="F110" s="111">
        <v>-16438.259999999998</v>
      </c>
      <c r="G110" s="111">
        <v>-2896.01</v>
      </c>
      <c r="H110" s="111">
        <v>-7088.3</v>
      </c>
      <c r="I110" s="111">
        <v>-13764.22</v>
      </c>
      <c r="J110" s="111"/>
      <c r="K110" s="111">
        <v>5705.15</v>
      </c>
      <c r="L110" s="111">
        <v>4951.03</v>
      </c>
      <c r="M110" s="111">
        <v>-5135.55</v>
      </c>
      <c r="N110" s="111">
        <v>-40442.36</v>
      </c>
    </row>
    <row r="111" spans="1:14">
      <c r="A111" s="64" t="s">
        <v>74</v>
      </c>
      <c r="B111" s="107">
        <f t="shared" ref="B111:I111" si="45">SUM(B108:B110)</f>
        <v>-1090.01</v>
      </c>
      <c r="C111" s="107">
        <f t="shared" si="45"/>
        <v>-2331.6</v>
      </c>
      <c r="D111" s="107">
        <f t="shared" si="45"/>
        <v>-6331</v>
      </c>
      <c r="E111" s="107">
        <f t="shared" si="45"/>
        <v>3976.41</v>
      </c>
      <c r="F111" s="107">
        <f t="shared" si="45"/>
        <v>-16438.259999999998</v>
      </c>
      <c r="G111" s="107">
        <f t="shared" si="45"/>
        <v>-2896.01</v>
      </c>
      <c r="H111" s="107">
        <f t="shared" si="45"/>
        <v>-7088.3</v>
      </c>
      <c r="I111" s="107">
        <f t="shared" si="45"/>
        <v>-13764.22</v>
      </c>
      <c r="J111" s="107"/>
      <c r="K111" s="107">
        <f>SUM(K108:K110)</f>
        <v>5705.15</v>
      </c>
      <c r="L111" s="107">
        <f>SUM(L108:L110)</f>
        <v>4951.03</v>
      </c>
      <c r="M111" s="107">
        <f>SUM(M108:M110)</f>
        <v>-5135.55</v>
      </c>
      <c r="N111" s="107">
        <v>-40442.36</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1">
        <v>22428</v>
      </c>
      <c r="C114" s="113"/>
      <c r="D114" s="113"/>
      <c r="E114" s="113"/>
      <c r="F114" s="111">
        <v>-890</v>
      </c>
      <c r="G114" s="111">
        <v>-38380</v>
      </c>
      <c r="H114" s="113"/>
      <c r="I114" s="111">
        <v>-10492.99</v>
      </c>
      <c r="J114" s="111"/>
      <c r="K114" s="111">
        <v>36134</v>
      </c>
      <c r="L114" s="111">
        <v>-5518</v>
      </c>
      <c r="M114" s="111">
        <v>-31830.5</v>
      </c>
      <c r="N114" s="111">
        <v>-28549.49</v>
      </c>
    </row>
    <row r="115" spans="1:14">
      <c r="A115" s="64" t="s">
        <v>76</v>
      </c>
      <c r="B115" s="107">
        <f>SUM(B112:B114)</f>
        <v>22428</v>
      </c>
      <c r="C115" s="107"/>
      <c r="D115" s="107"/>
      <c r="E115" s="107"/>
      <c r="F115" s="107">
        <f>SUM(F112:F114)</f>
        <v>-890</v>
      </c>
      <c r="G115" s="107">
        <f>SUM(G112:G114)</f>
        <v>-38380</v>
      </c>
      <c r="H115" s="107"/>
      <c r="I115" s="107">
        <f>SUM(I112:I114)</f>
        <v>-10492.99</v>
      </c>
      <c r="J115" s="107"/>
      <c r="K115" s="107">
        <f>SUM(K112:K114)</f>
        <v>36134</v>
      </c>
      <c r="L115" s="107">
        <f>SUM(L112:L114)</f>
        <v>-5518</v>
      </c>
      <c r="M115" s="107">
        <f>SUM(M112:M114)</f>
        <v>-31830.5</v>
      </c>
      <c r="N115" s="107">
        <v>-28549.49</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I117" si="46">SUM(B92:B116)-B96-B100-B104-B107-B111-B115</f>
        <v>303.71999999999753</v>
      </c>
      <c r="C117" s="107">
        <f t="shared" si="46"/>
        <v>-3811.6099999999992</v>
      </c>
      <c r="D117" s="107">
        <f t="shared" si="46"/>
        <v>11259.07</v>
      </c>
      <c r="E117" s="107">
        <f t="shared" si="46"/>
        <v>-2791.579999999999</v>
      </c>
      <c r="F117" s="107">
        <f t="shared" si="46"/>
        <v>-14205.379999999997</v>
      </c>
      <c r="G117" s="107">
        <f t="shared" si="46"/>
        <v>-5578.2899999999718</v>
      </c>
      <c r="H117" s="107">
        <f t="shared" si="46"/>
        <v>-11662.5</v>
      </c>
      <c r="I117" s="107">
        <f t="shared" si="46"/>
        <v>5324.5399999999972</v>
      </c>
      <c r="J117" s="107"/>
      <c r="K117" s="107">
        <f>SUM(K92:K116)-K96-K100-K104-K107-K111-K115</f>
        <v>4224.7099999999773</v>
      </c>
      <c r="L117" s="107">
        <f>SUM(L92:L116)-L96-L100-L104-L107-L111-L115</f>
        <v>13830.149999999994</v>
      </c>
      <c r="M117" s="107">
        <f>SUM(M92:M116)-M96-M100-M104-M107-M111-M115</f>
        <v>269.4700000000048</v>
      </c>
      <c r="N117" s="107">
        <v>-2837.7</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22"/>
      <c r="C122" s="22"/>
      <c r="D122" s="22"/>
      <c r="E122" s="22"/>
      <c r="F122" s="22"/>
      <c r="G122" s="22"/>
      <c r="H122" s="22"/>
      <c r="I122" s="107">
        <v>802.53</v>
      </c>
      <c r="J122" s="107">
        <v>581.24</v>
      </c>
      <c r="K122" s="107">
        <v>2720.63</v>
      </c>
      <c r="L122" s="107">
        <v>8979.9599999999991</v>
      </c>
      <c r="M122" s="107">
        <v>2993.41</v>
      </c>
      <c r="N122" s="107">
        <v>16077.77</v>
      </c>
    </row>
    <row r="123" spans="1:14">
      <c r="A123" s="64" t="s">
        <v>78</v>
      </c>
      <c r="B123" s="107">
        <v>6300</v>
      </c>
      <c r="C123" s="107">
        <v>5175</v>
      </c>
      <c r="D123" s="107">
        <v>4950</v>
      </c>
      <c r="E123" s="107">
        <v>4275</v>
      </c>
      <c r="F123" s="107">
        <v>2115</v>
      </c>
      <c r="G123" s="107">
        <v>810</v>
      </c>
      <c r="H123" s="107">
        <v>3870</v>
      </c>
      <c r="I123" s="107">
        <v>5040</v>
      </c>
      <c r="J123" s="107">
        <v>6345</v>
      </c>
      <c r="K123" s="107">
        <v>2655</v>
      </c>
      <c r="L123" s="107">
        <v>1020</v>
      </c>
      <c r="M123" s="107">
        <v>2295</v>
      </c>
      <c r="N123" s="107">
        <v>44850</v>
      </c>
    </row>
    <row r="124" spans="1:14">
      <c r="A124" s="64" t="s">
        <v>315</v>
      </c>
      <c r="B124" s="107">
        <v>5175</v>
      </c>
      <c r="C124" s="107">
        <v>4410</v>
      </c>
      <c r="D124" s="107">
        <v>4035</v>
      </c>
      <c r="E124" s="107">
        <v>4140</v>
      </c>
      <c r="F124" s="107">
        <v>3210</v>
      </c>
      <c r="G124" s="107">
        <v>1890</v>
      </c>
      <c r="H124" s="107">
        <v>5130</v>
      </c>
      <c r="I124" s="107">
        <v>2550</v>
      </c>
      <c r="J124" s="107">
        <v>6705</v>
      </c>
      <c r="K124" s="107">
        <v>2970</v>
      </c>
      <c r="L124" s="107">
        <v>2070</v>
      </c>
      <c r="M124" s="107">
        <v>555</v>
      </c>
      <c r="N124" s="107">
        <v>42840</v>
      </c>
    </row>
    <row r="125" spans="1:14">
      <c r="A125" s="64" t="s">
        <v>316</v>
      </c>
      <c r="B125" s="107">
        <v>2670</v>
      </c>
      <c r="C125" s="107">
        <v>4135</v>
      </c>
      <c r="D125" s="107">
        <v>3690</v>
      </c>
      <c r="E125" s="107">
        <v>4155</v>
      </c>
      <c r="F125" s="107">
        <v>-5510</v>
      </c>
      <c r="G125" s="107">
        <v>2240</v>
      </c>
      <c r="H125" s="107">
        <v>4750</v>
      </c>
      <c r="I125" s="107">
        <v>3945</v>
      </c>
      <c r="J125" s="107">
        <v>3185</v>
      </c>
      <c r="K125" s="107">
        <v>2290</v>
      </c>
      <c r="L125" s="107">
        <v>435</v>
      </c>
      <c r="M125" s="107">
        <v>135</v>
      </c>
      <c r="N125" s="107">
        <v>26120</v>
      </c>
    </row>
    <row r="126" spans="1:14">
      <c r="A126" s="64" t="s">
        <v>80</v>
      </c>
      <c r="B126" s="107">
        <v>1116.3800000000001</v>
      </c>
      <c r="C126" s="107">
        <v>99.72</v>
      </c>
      <c r="D126" s="107">
        <v>40.47</v>
      </c>
      <c r="E126" s="107">
        <v>491.05</v>
      </c>
      <c r="F126" s="107">
        <v>505.87</v>
      </c>
      <c r="G126" s="107">
        <v>226.29</v>
      </c>
      <c r="H126" s="107">
        <v>839.77</v>
      </c>
      <c r="I126" s="22"/>
      <c r="J126" s="22"/>
      <c r="K126" s="107">
        <v>-37.11</v>
      </c>
      <c r="L126" s="107">
        <v>81</v>
      </c>
      <c r="M126" s="107">
        <v>315.82</v>
      </c>
      <c r="N126" s="107">
        <v>3679.26</v>
      </c>
    </row>
    <row r="127" spans="1:14">
      <c r="A127" s="64" t="s">
        <v>81</v>
      </c>
      <c r="B127" s="22"/>
      <c r="C127" s="22"/>
      <c r="D127" s="22"/>
      <c r="E127" s="22"/>
      <c r="F127" s="22"/>
      <c r="G127" s="22"/>
      <c r="H127" s="22"/>
      <c r="I127" s="22"/>
      <c r="J127" s="107">
        <v>-10</v>
      </c>
      <c r="K127" s="22"/>
      <c r="L127" s="22"/>
      <c r="M127" s="22"/>
      <c r="N127" s="107">
        <v>-10</v>
      </c>
    </row>
    <row r="128" spans="1:14">
      <c r="A128" s="64" t="s">
        <v>82</v>
      </c>
      <c r="B128" s="107">
        <v>5</v>
      </c>
      <c r="C128" s="107">
        <v>5</v>
      </c>
      <c r="D128" s="107">
        <v>5</v>
      </c>
      <c r="E128" s="107">
        <v>5</v>
      </c>
      <c r="F128" s="107">
        <v>5</v>
      </c>
      <c r="G128" s="107">
        <v>60</v>
      </c>
      <c r="H128" s="107">
        <v>5</v>
      </c>
      <c r="I128" s="107">
        <v>5</v>
      </c>
      <c r="J128" s="107">
        <v>5</v>
      </c>
      <c r="K128" s="107">
        <v>5</v>
      </c>
      <c r="L128" s="107">
        <v>5</v>
      </c>
      <c r="M128" s="107">
        <v>5</v>
      </c>
      <c r="N128" s="107">
        <v>115</v>
      </c>
    </row>
    <row r="129" spans="1:14">
      <c r="A129" s="64" t="s">
        <v>354</v>
      </c>
      <c r="B129" s="22"/>
      <c r="C129" s="22"/>
      <c r="D129" s="22"/>
      <c r="E129" s="22"/>
      <c r="F129" s="22"/>
      <c r="G129" s="22"/>
      <c r="H129" s="22"/>
      <c r="I129" s="22"/>
      <c r="J129" s="22"/>
      <c r="K129" s="22"/>
      <c r="L129" s="22"/>
      <c r="M129" s="22"/>
      <c r="N129" s="22"/>
    </row>
    <row r="130" spans="1:14">
      <c r="A130" s="64" t="s">
        <v>84</v>
      </c>
      <c r="B130" s="111">
        <v>-1408.58</v>
      </c>
      <c r="C130" s="111">
        <v>-1179.08</v>
      </c>
      <c r="D130" s="111">
        <v>-455.15</v>
      </c>
      <c r="E130" s="111">
        <v>-1656.45</v>
      </c>
      <c r="F130" s="111">
        <v>-16109.15</v>
      </c>
      <c r="G130" s="111">
        <v>-1423.09</v>
      </c>
      <c r="H130" s="111">
        <v>-2804.85</v>
      </c>
      <c r="I130" s="111">
        <v>-2454.21</v>
      </c>
      <c r="J130" s="111">
        <v>-6486.24</v>
      </c>
      <c r="K130" s="111">
        <v>-3751.88</v>
      </c>
      <c r="L130" s="111">
        <v>-10297.280000000001</v>
      </c>
      <c r="M130" s="111">
        <v>-5443.51</v>
      </c>
      <c r="N130" s="111">
        <v>-53469.47</v>
      </c>
    </row>
    <row r="131" spans="1:14">
      <c r="A131" s="64" t="s">
        <v>85</v>
      </c>
      <c r="B131" s="107">
        <f t="shared" ref="B131:M131" si="47">SUM(B121:B130)</f>
        <v>13857.800000000001</v>
      </c>
      <c r="C131" s="107">
        <f t="shared" si="47"/>
        <v>12645.64</v>
      </c>
      <c r="D131" s="107">
        <f t="shared" si="47"/>
        <v>12265.32</v>
      </c>
      <c r="E131" s="107">
        <f t="shared" si="47"/>
        <v>11409.599999999999</v>
      </c>
      <c r="F131" s="107">
        <f t="shared" si="47"/>
        <v>-15783.279999999999</v>
      </c>
      <c r="G131" s="107">
        <f t="shared" si="47"/>
        <v>3803.2</v>
      </c>
      <c r="H131" s="107">
        <f t="shared" si="47"/>
        <v>11789.92</v>
      </c>
      <c r="I131" s="107">
        <f t="shared" si="47"/>
        <v>9888.32</v>
      </c>
      <c r="J131" s="107">
        <f t="shared" si="47"/>
        <v>10324.999999999998</v>
      </c>
      <c r="K131" s="107">
        <f t="shared" si="47"/>
        <v>6851.64</v>
      </c>
      <c r="L131" s="107">
        <f t="shared" si="47"/>
        <v>2293.6799999999985</v>
      </c>
      <c r="M131" s="107">
        <f t="shared" si="47"/>
        <v>855.71999999999935</v>
      </c>
      <c r="N131" s="107">
        <v>80202.559999999998</v>
      </c>
    </row>
    <row r="132" spans="1:14">
      <c r="A132" s="64"/>
      <c r="B132" s="22"/>
      <c r="C132" s="22"/>
      <c r="D132" s="22"/>
      <c r="E132" s="22"/>
      <c r="F132" s="22"/>
      <c r="G132" s="22"/>
      <c r="H132" s="22"/>
      <c r="I132" s="22"/>
      <c r="J132" s="22"/>
      <c r="K132" s="22"/>
      <c r="L132" s="22"/>
      <c r="M132" s="22"/>
      <c r="N132" s="22"/>
    </row>
    <row r="133" spans="1:14">
      <c r="A133" s="64" t="s">
        <v>20</v>
      </c>
      <c r="B133" s="22"/>
      <c r="C133" s="22"/>
      <c r="D133" s="22"/>
      <c r="E133" s="22"/>
      <c r="F133" s="22"/>
      <c r="G133" s="22"/>
      <c r="H133" s="22"/>
      <c r="I133" s="22"/>
      <c r="J133" s="22"/>
      <c r="K133" s="22"/>
      <c r="L133" s="22"/>
      <c r="M133" s="22"/>
      <c r="N133" s="22"/>
    </row>
    <row r="134" spans="1:14">
      <c r="A134" s="64" t="s">
        <v>317</v>
      </c>
      <c r="B134" s="22"/>
      <c r="C134" s="22"/>
      <c r="D134" s="22"/>
      <c r="E134" s="22"/>
      <c r="F134" s="22"/>
      <c r="G134" s="22"/>
      <c r="H134" s="22"/>
      <c r="I134" s="107">
        <v>153.66</v>
      </c>
      <c r="J134" s="22"/>
      <c r="K134" s="22"/>
      <c r="L134" s="107">
        <v>13.79</v>
      </c>
      <c r="M134" s="22"/>
      <c r="N134" s="107">
        <v>167.45</v>
      </c>
    </row>
    <row r="135" spans="1:14">
      <c r="A135" s="64" t="s">
        <v>353</v>
      </c>
      <c r="B135" s="22"/>
      <c r="C135" s="22"/>
      <c r="D135" s="22"/>
      <c r="E135" s="22"/>
      <c r="F135" s="22"/>
      <c r="G135" s="107">
        <v>900</v>
      </c>
      <c r="H135" s="22"/>
      <c r="I135" s="22"/>
      <c r="J135" s="22"/>
      <c r="K135" s="22"/>
      <c r="L135" s="22"/>
      <c r="M135" s="22"/>
      <c r="N135" s="107">
        <v>900</v>
      </c>
    </row>
    <row r="136" spans="1:14">
      <c r="A136" s="64" t="s">
        <v>320</v>
      </c>
      <c r="B136" s="22"/>
      <c r="C136" s="22"/>
      <c r="D136" s="22"/>
      <c r="E136" s="22"/>
      <c r="F136" s="22"/>
      <c r="G136" s="22"/>
      <c r="H136" s="107">
        <v>46.21</v>
      </c>
      <c r="I136" s="22"/>
      <c r="J136" s="22"/>
      <c r="K136" s="22"/>
      <c r="L136" s="22"/>
      <c r="M136" s="22"/>
      <c r="N136" s="107">
        <v>46.21</v>
      </c>
    </row>
    <row r="137" spans="1:14">
      <c r="A137" s="64" t="s">
        <v>86</v>
      </c>
      <c r="B137" s="22"/>
      <c r="C137" s="22"/>
      <c r="D137" s="22"/>
      <c r="E137" s="22"/>
      <c r="F137" s="22"/>
      <c r="G137" s="22"/>
      <c r="H137" s="22"/>
      <c r="I137" s="22"/>
      <c r="J137" s="107">
        <v>10</v>
      </c>
      <c r="K137" s="22"/>
      <c r="L137" s="22"/>
      <c r="M137" s="22"/>
      <c r="N137" s="107">
        <v>10</v>
      </c>
    </row>
    <row r="138" spans="1:14">
      <c r="A138" s="64" t="s">
        <v>87</v>
      </c>
      <c r="B138" s="113"/>
      <c r="C138" s="113"/>
      <c r="D138" s="113"/>
      <c r="E138" s="113"/>
      <c r="F138" s="113"/>
      <c r="G138" s="111">
        <v>-900</v>
      </c>
      <c r="H138" s="111">
        <v>-46.21</v>
      </c>
      <c r="I138" s="111">
        <v>-153.66</v>
      </c>
      <c r="J138" s="111">
        <v>-10</v>
      </c>
      <c r="K138" s="113"/>
      <c r="L138" s="111">
        <v>-13.79</v>
      </c>
      <c r="M138" s="113"/>
      <c r="N138" s="111">
        <v>-1123.6600000000001</v>
      </c>
    </row>
    <row r="139" spans="1:14">
      <c r="A139" s="64"/>
      <c r="B139" s="22"/>
      <c r="C139" s="22"/>
      <c r="D139" s="22"/>
      <c r="E139" s="22"/>
      <c r="F139" s="22"/>
      <c r="G139" s="22"/>
      <c r="H139" s="22"/>
      <c r="I139" s="22"/>
      <c r="J139" s="22"/>
      <c r="K139" s="22"/>
      <c r="L139" s="22"/>
      <c r="M139" s="22"/>
      <c r="N139" s="22"/>
    </row>
    <row r="140" spans="1:14">
      <c r="A140" s="64" t="s">
        <v>88</v>
      </c>
      <c r="B140" s="22"/>
      <c r="C140" s="22"/>
      <c r="D140" s="22"/>
      <c r="E140" s="22"/>
      <c r="F140" s="22"/>
      <c r="G140" s="22"/>
      <c r="H140" s="22"/>
      <c r="I140" s="22"/>
      <c r="J140" s="22"/>
      <c r="K140" s="22"/>
      <c r="L140" s="22"/>
      <c r="M140" s="22"/>
      <c r="N140" s="22"/>
    </row>
    <row r="141" spans="1:14">
      <c r="A141" s="64" t="s">
        <v>89</v>
      </c>
      <c r="B141" s="107">
        <v>1899.28</v>
      </c>
      <c r="C141" s="107">
        <v>1856.02</v>
      </c>
      <c r="D141" s="107">
        <v>1144.5899999999999</v>
      </c>
      <c r="E141" s="107">
        <v>1585.47</v>
      </c>
      <c r="F141" s="107">
        <v>1677.13</v>
      </c>
      <c r="G141" s="107">
        <v>27625.5</v>
      </c>
      <c r="H141" s="107">
        <v>15946.27</v>
      </c>
      <c r="I141" s="107">
        <v>15902.32</v>
      </c>
      <c r="J141" s="107">
        <v>9861.42</v>
      </c>
      <c r="K141" s="107">
        <v>33048.31</v>
      </c>
      <c r="L141" s="107">
        <v>33521.339999999997</v>
      </c>
      <c r="M141" s="107">
        <v>20427.62</v>
      </c>
      <c r="N141" s="107">
        <v>164495.26999999999</v>
      </c>
    </row>
    <row r="142" spans="1:14">
      <c r="A142" s="64" t="s">
        <v>90</v>
      </c>
      <c r="B142" s="107">
        <v>22410</v>
      </c>
      <c r="C142" s="107">
        <v>36285</v>
      </c>
      <c r="D142" s="107">
        <v>33315</v>
      </c>
      <c r="E142" s="107">
        <v>20880</v>
      </c>
      <c r="F142" s="107">
        <v>26415</v>
      </c>
      <c r="G142" s="107">
        <v>39780</v>
      </c>
      <c r="H142" s="107">
        <v>34920</v>
      </c>
      <c r="I142" s="107">
        <v>26910</v>
      </c>
      <c r="J142" s="107">
        <v>20475</v>
      </c>
      <c r="K142" s="107">
        <v>28170</v>
      </c>
      <c r="L142" s="107">
        <v>43755</v>
      </c>
      <c r="M142" s="107">
        <v>41895</v>
      </c>
      <c r="N142" s="107">
        <v>375210</v>
      </c>
    </row>
    <row r="143" spans="1:14">
      <c r="A143" s="64" t="s">
        <v>91</v>
      </c>
      <c r="B143" s="107">
        <v>20865</v>
      </c>
      <c r="C143" s="107">
        <v>33165</v>
      </c>
      <c r="D143" s="107">
        <v>31875</v>
      </c>
      <c r="E143" s="107">
        <v>22215</v>
      </c>
      <c r="F143" s="107">
        <v>24360</v>
      </c>
      <c r="G143" s="107">
        <v>37455</v>
      </c>
      <c r="H143" s="107">
        <v>28050</v>
      </c>
      <c r="I143" s="107">
        <v>22470</v>
      </c>
      <c r="J143" s="107">
        <v>19470</v>
      </c>
      <c r="K143" s="107">
        <v>24660</v>
      </c>
      <c r="L143" s="107">
        <v>42855</v>
      </c>
      <c r="M143" s="107">
        <v>47940</v>
      </c>
      <c r="N143" s="107">
        <v>355380</v>
      </c>
    </row>
    <row r="144" spans="1:14">
      <c r="A144" s="64" t="s">
        <v>92</v>
      </c>
      <c r="B144" s="107">
        <v>2935</v>
      </c>
      <c r="C144" s="107">
        <v>8325</v>
      </c>
      <c r="D144" s="107">
        <v>5675</v>
      </c>
      <c r="E144" s="107">
        <v>1890</v>
      </c>
      <c r="F144" s="107">
        <v>2515</v>
      </c>
      <c r="G144" s="107">
        <v>6070</v>
      </c>
      <c r="H144" s="107">
        <v>5145</v>
      </c>
      <c r="I144" s="107">
        <v>7950</v>
      </c>
      <c r="J144" s="107">
        <v>5145</v>
      </c>
      <c r="K144" s="107">
        <v>10840</v>
      </c>
      <c r="L144" s="107">
        <v>12660</v>
      </c>
      <c r="M144" s="107">
        <v>9470</v>
      </c>
      <c r="N144" s="107">
        <v>78620</v>
      </c>
    </row>
    <row r="145" spans="1:14">
      <c r="A145" s="64" t="s">
        <v>94</v>
      </c>
      <c r="B145" s="107">
        <v>3600</v>
      </c>
      <c r="C145" s="107">
        <v>4950</v>
      </c>
      <c r="D145" s="107">
        <v>3740</v>
      </c>
      <c r="E145" s="107">
        <v>1350</v>
      </c>
      <c r="F145" s="107">
        <v>3600</v>
      </c>
      <c r="G145" s="107">
        <v>9450</v>
      </c>
      <c r="H145" s="107">
        <v>2250</v>
      </c>
      <c r="I145" s="107">
        <v>1800</v>
      </c>
      <c r="J145" s="107">
        <v>2250</v>
      </c>
      <c r="K145" s="107">
        <v>2700</v>
      </c>
      <c r="L145" s="107">
        <v>7650</v>
      </c>
      <c r="M145" s="107">
        <v>3150</v>
      </c>
      <c r="N145" s="107">
        <v>46490</v>
      </c>
    </row>
    <row r="146" spans="1:14">
      <c r="A146" s="64" t="s">
        <v>95</v>
      </c>
      <c r="B146" s="107">
        <v>1545.61</v>
      </c>
      <c r="C146" s="107">
        <v>1308.3399999999999</v>
      </c>
      <c r="D146" s="107">
        <v>1399.6</v>
      </c>
      <c r="E146" s="107">
        <v>1431.69</v>
      </c>
      <c r="F146" s="107">
        <v>1790.16</v>
      </c>
      <c r="G146" s="107">
        <v>2295.5500000000002</v>
      </c>
      <c r="H146" s="107">
        <v>1548.83</v>
      </c>
      <c r="I146" s="107">
        <v>1773.44</v>
      </c>
      <c r="J146" s="107">
        <v>783.14</v>
      </c>
      <c r="K146" s="107">
        <v>1773.65</v>
      </c>
      <c r="L146" s="107">
        <v>2834.83</v>
      </c>
      <c r="M146" s="107">
        <v>2431.5</v>
      </c>
      <c r="N146" s="107">
        <v>20916.34</v>
      </c>
    </row>
    <row r="147" spans="1:14">
      <c r="A147" s="64" t="s">
        <v>96</v>
      </c>
      <c r="B147" s="22"/>
      <c r="C147" s="22"/>
      <c r="D147" s="22"/>
      <c r="E147" s="107">
        <v>-15.28</v>
      </c>
      <c r="F147" s="22"/>
      <c r="G147" s="22"/>
      <c r="H147" s="22"/>
      <c r="I147" s="22"/>
      <c r="J147" s="22"/>
      <c r="K147" s="22"/>
      <c r="L147" s="22"/>
      <c r="M147" s="22"/>
      <c r="N147" s="107">
        <v>-15.28</v>
      </c>
    </row>
    <row r="148" spans="1:14">
      <c r="A148" s="64" t="s">
        <v>97</v>
      </c>
      <c r="B148" s="22"/>
      <c r="C148" s="22"/>
      <c r="D148" s="22"/>
      <c r="E148" s="107">
        <v>-25</v>
      </c>
      <c r="F148" s="22"/>
      <c r="G148" s="22"/>
      <c r="H148" s="22"/>
      <c r="I148" s="22"/>
      <c r="J148" s="22"/>
      <c r="K148" s="22"/>
      <c r="L148" s="22"/>
      <c r="M148" s="22"/>
      <c r="N148" s="107">
        <v>-25</v>
      </c>
    </row>
    <row r="149" spans="1:14">
      <c r="A149" s="64" t="s">
        <v>98</v>
      </c>
      <c r="B149" s="111">
        <v>-53254.89</v>
      </c>
      <c r="C149" s="111">
        <v>-85889.36</v>
      </c>
      <c r="D149" s="111">
        <v>-77149.19</v>
      </c>
      <c r="E149" s="111">
        <v>-49311.88</v>
      </c>
      <c r="F149" s="111">
        <v>-60357.29</v>
      </c>
      <c r="G149" s="111">
        <v>-122676.05</v>
      </c>
      <c r="H149" s="111">
        <v>-87860.1</v>
      </c>
      <c r="I149" s="111">
        <v>-76805.759999999995</v>
      </c>
      <c r="J149" s="111">
        <v>-57984.56</v>
      </c>
      <c r="K149" s="111">
        <v>-101191.96</v>
      </c>
      <c r="L149" s="111">
        <v>-143276.17000000001</v>
      </c>
      <c r="M149" s="111">
        <v>-125314.12</v>
      </c>
      <c r="N149" s="111">
        <v>-1041071.33</v>
      </c>
    </row>
    <row r="150" spans="1:14">
      <c r="A150" s="64"/>
      <c r="B150" s="22"/>
      <c r="C150" s="22"/>
      <c r="D150" s="22"/>
      <c r="E150" s="22"/>
      <c r="F150" s="22"/>
      <c r="G150" s="22"/>
      <c r="H150" s="22"/>
      <c r="I150" s="22"/>
      <c r="J150" s="22"/>
      <c r="K150" s="22"/>
      <c r="L150" s="22"/>
      <c r="M150" s="22"/>
      <c r="N150" s="22"/>
    </row>
    <row r="151" spans="1:14">
      <c r="A151" s="64" t="s">
        <v>99</v>
      </c>
      <c r="B151" s="22"/>
      <c r="C151" s="22"/>
      <c r="D151" s="22"/>
      <c r="E151" s="22"/>
      <c r="F151" s="22"/>
      <c r="G151" s="22"/>
      <c r="H151" s="22"/>
      <c r="I151" s="22"/>
      <c r="J151" s="22"/>
      <c r="K151" s="22"/>
      <c r="L151" s="22"/>
      <c r="M151" s="22"/>
      <c r="N151" s="22"/>
    </row>
    <row r="152" spans="1:14">
      <c r="A152" s="64" t="s">
        <v>382</v>
      </c>
      <c r="B152" s="22"/>
      <c r="C152" s="22"/>
      <c r="D152" s="22"/>
      <c r="E152" s="107">
        <v>1137.72</v>
      </c>
      <c r="F152" s="107">
        <v>119.76</v>
      </c>
      <c r="G152" s="107">
        <v>-29.94</v>
      </c>
      <c r="H152" s="22"/>
      <c r="I152" s="107">
        <v>29.94</v>
      </c>
      <c r="J152" s="107">
        <v>-59.88</v>
      </c>
      <c r="K152" s="22"/>
      <c r="L152" s="22"/>
      <c r="M152" s="22"/>
      <c r="N152" s="107">
        <v>1197.5999999999999</v>
      </c>
    </row>
    <row r="153" spans="1:14">
      <c r="A153" s="64" t="s">
        <v>100</v>
      </c>
      <c r="B153" s="107">
        <v>15855</v>
      </c>
      <c r="C153" s="107">
        <v>7530</v>
      </c>
      <c r="D153" s="107">
        <v>9285</v>
      </c>
      <c r="E153" s="107">
        <v>13815</v>
      </c>
      <c r="F153" s="107">
        <v>8430</v>
      </c>
      <c r="G153" s="107">
        <v>12045</v>
      </c>
      <c r="H153" s="107">
        <v>11985</v>
      </c>
      <c r="I153" s="107">
        <v>11490</v>
      </c>
      <c r="J153" s="107">
        <v>17730</v>
      </c>
      <c r="K153" s="107">
        <v>7755</v>
      </c>
      <c r="L153" s="107">
        <v>2760</v>
      </c>
      <c r="M153" s="107">
        <v>2295</v>
      </c>
      <c r="N153" s="107">
        <v>120975</v>
      </c>
    </row>
    <row r="154" spans="1:14">
      <c r="A154" s="64" t="s">
        <v>101</v>
      </c>
      <c r="B154" s="107">
        <v>16095</v>
      </c>
      <c r="C154" s="107">
        <v>8400</v>
      </c>
      <c r="D154" s="107">
        <v>6450</v>
      </c>
      <c r="E154" s="107">
        <v>10395</v>
      </c>
      <c r="F154" s="107">
        <v>4710</v>
      </c>
      <c r="G154" s="107">
        <v>5715</v>
      </c>
      <c r="H154" s="107">
        <v>6120</v>
      </c>
      <c r="I154" s="107">
        <v>16530</v>
      </c>
      <c r="J154" s="107">
        <v>15165</v>
      </c>
      <c r="K154" s="107">
        <v>4560</v>
      </c>
      <c r="L154" s="107">
        <v>2415</v>
      </c>
      <c r="M154" s="107">
        <v>15060</v>
      </c>
      <c r="N154" s="107">
        <v>111615</v>
      </c>
    </row>
    <row r="155" spans="1:14">
      <c r="A155" s="64" t="s">
        <v>102</v>
      </c>
      <c r="B155" s="107">
        <v>1920</v>
      </c>
      <c r="C155" s="107">
        <v>3450</v>
      </c>
      <c r="D155" s="107">
        <v>5450</v>
      </c>
      <c r="E155" s="107">
        <v>5085</v>
      </c>
      <c r="F155" s="107">
        <v>6215</v>
      </c>
      <c r="G155" s="107">
        <v>2095</v>
      </c>
      <c r="H155" s="107">
        <v>-1105</v>
      </c>
      <c r="I155" s="107">
        <v>250</v>
      </c>
      <c r="J155" s="22"/>
      <c r="K155" s="107">
        <v>1035</v>
      </c>
      <c r="L155" s="22"/>
      <c r="M155" s="22"/>
      <c r="N155" s="107">
        <v>24395</v>
      </c>
    </row>
    <row r="156" spans="1:14">
      <c r="A156" s="64" t="s">
        <v>358</v>
      </c>
      <c r="B156" s="107">
        <v>280</v>
      </c>
      <c r="C156" s="107">
        <v>140</v>
      </c>
      <c r="D156" s="107">
        <v>315</v>
      </c>
      <c r="E156" s="22"/>
      <c r="F156" s="22"/>
      <c r="G156" s="22"/>
      <c r="H156" s="22"/>
      <c r="I156" s="22"/>
      <c r="J156" s="107">
        <v>-35</v>
      </c>
      <c r="K156" s="22"/>
      <c r="L156" s="22"/>
      <c r="M156" s="22"/>
      <c r="N156" s="107">
        <v>700</v>
      </c>
    </row>
    <row r="157" spans="1:14">
      <c r="A157" s="64" t="s">
        <v>103</v>
      </c>
      <c r="B157" s="111">
        <v>-15681.67</v>
      </c>
      <c r="C157" s="111">
        <v>-10661.46</v>
      </c>
      <c r="D157" s="111">
        <v>-10017.129999999999</v>
      </c>
      <c r="E157" s="111">
        <v>-4411.04</v>
      </c>
      <c r="F157" s="111">
        <v>-9335.68</v>
      </c>
      <c r="G157" s="111">
        <v>-8516.31</v>
      </c>
      <c r="H157" s="111">
        <v>-7921.07</v>
      </c>
      <c r="I157" s="111">
        <v>-15188.9</v>
      </c>
      <c r="J157" s="111">
        <v>-17088.91</v>
      </c>
      <c r="K157" s="111">
        <v>-6590.4</v>
      </c>
      <c r="L157" s="111">
        <v>-3334.63</v>
      </c>
      <c r="M157" s="111">
        <v>-8661.73</v>
      </c>
      <c r="N157" s="111">
        <v>-117408.93</v>
      </c>
    </row>
    <row r="158" spans="1:14">
      <c r="A158" s="64" t="s">
        <v>104</v>
      </c>
      <c r="B158" s="107">
        <f t="shared" ref="B158:M158" si="48">SUM(B151:B157)</f>
        <v>18468.330000000002</v>
      </c>
      <c r="C158" s="107">
        <f t="shared" si="48"/>
        <v>8858.5400000000009</v>
      </c>
      <c r="D158" s="107">
        <f t="shared" si="48"/>
        <v>11482.87</v>
      </c>
      <c r="E158" s="107">
        <f t="shared" si="48"/>
        <v>26021.68</v>
      </c>
      <c r="F158" s="107">
        <f t="shared" si="48"/>
        <v>10139.080000000002</v>
      </c>
      <c r="G158" s="107">
        <f t="shared" si="48"/>
        <v>11308.749999999998</v>
      </c>
      <c r="H158" s="107">
        <f t="shared" si="48"/>
        <v>9078.93</v>
      </c>
      <c r="I158" s="107">
        <f t="shared" si="48"/>
        <v>13111.040000000003</v>
      </c>
      <c r="J158" s="107">
        <f t="shared" si="48"/>
        <v>15711.209999999995</v>
      </c>
      <c r="K158" s="107">
        <f t="shared" si="48"/>
        <v>6759.6</v>
      </c>
      <c r="L158" s="107">
        <f t="shared" si="48"/>
        <v>1840.37</v>
      </c>
      <c r="M158" s="107">
        <f t="shared" si="48"/>
        <v>8693.27</v>
      </c>
      <c r="N158" s="107">
        <v>141473.67000000001</v>
      </c>
    </row>
    <row r="159" spans="1:14">
      <c r="A159" s="64"/>
      <c r="B159" s="22"/>
      <c r="C159" s="22"/>
      <c r="D159" s="22"/>
      <c r="E159" s="22"/>
      <c r="F159" s="22"/>
      <c r="G159" s="22"/>
      <c r="H159" s="22"/>
      <c r="I159" s="22"/>
      <c r="J159" s="22"/>
      <c r="K159" s="22"/>
      <c r="L159" s="22"/>
      <c r="M159" s="22"/>
      <c r="N159" s="22"/>
    </row>
    <row r="160" spans="1:14">
      <c r="A160" s="64" t="s">
        <v>105</v>
      </c>
      <c r="B160" s="113"/>
      <c r="C160" s="113"/>
      <c r="D160" s="113"/>
      <c r="E160" s="113"/>
      <c r="F160" s="113"/>
      <c r="G160" s="113"/>
      <c r="H160" s="113"/>
      <c r="I160" s="113"/>
      <c r="J160" s="113"/>
      <c r="K160" s="113"/>
      <c r="L160" s="113"/>
      <c r="M160" s="113"/>
      <c r="N160" s="113"/>
    </row>
    <row r="161" spans="1:14">
      <c r="A161" s="64"/>
      <c r="B161" s="22"/>
      <c r="C161" s="22"/>
      <c r="D161" s="22"/>
      <c r="E161" s="22"/>
      <c r="F161" s="22"/>
      <c r="G161" s="22"/>
      <c r="H161" s="22"/>
      <c r="I161" s="22"/>
      <c r="J161" s="22"/>
      <c r="K161" s="22"/>
      <c r="L161" s="22"/>
      <c r="M161" s="22"/>
      <c r="N161" s="22"/>
    </row>
    <row r="162" spans="1:14">
      <c r="A162" s="64" t="s">
        <v>106</v>
      </c>
      <c r="B162" s="22"/>
      <c r="C162" s="22"/>
      <c r="D162" s="22"/>
      <c r="E162" s="22"/>
      <c r="F162" s="22"/>
      <c r="G162" s="22"/>
      <c r="H162" s="22"/>
      <c r="I162" s="22"/>
      <c r="J162" s="22"/>
      <c r="K162" s="22"/>
      <c r="L162" s="22"/>
      <c r="M162" s="22"/>
      <c r="N162" s="22"/>
    </row>
    <row r="163" spans="1:14">
      <c r="A163" s="64" t="s">
        <v>107</v>
      </c>
      <c r="B163" s="107">
        <v>4191.6099999999997</v>
      </c>
      <c r="C163" s="107">
        <v>3225.49</v>
      </c>
      <c r="D163" s="107">
        <v>3793.27</v>
      </c>
      <c r="E163" s="107">
        <v>3710.19</v>
      </c>
      <c r="F163" s="107">
        <v>3500.92</v>
      </c>
      <c r="G163" s="107">
        <v>33245.129999999997</v>
      </c>
      <c r="H163" s="107">
        <v>47927.34</v>
      </c>
      <c r="I163" s="107">
        <v>47697.93</v>
      </c>
      <c r="J163" s="107">
        <v>30637.200000000001</v>
      </c>
      <c r="K163" s="107">
        <v>48990.06</v>
      </c>
      <c r="L163" s="107">
        <v>28396.9</v>
      </c>
      <c r="M163" s="107">
        <v>26642.3</v>
      </c>
      <c r="N163" s="107">
        <v>281958.34000000003</v>
      </c>
    </row>
    <row r="164" spans="1:14">
      <c r="A164" s="64" t="s">
        <v>383</v>
      </c>
      <c r="B164" s="22"/>
      <c r="C164" s="22"/>
      <c r="D164" s="22"/>
      <c r="E164" s="107">
        <v>1287.42</v>
      </c>
      <c r="F164" s="22"/>
      <c r="G164" s="22"/>
      <c r="H164" s="22"/>
      <c r="I164" s="107">
        <v>-29.94</v>
      </c>
      <c r="J164" s="107">
        <v>29.94</v>
      </c>
      <c r="K164" s="22"/>
      <c r="L164" s="22"/>
      <c r="M164" s="22"/>
      <c r="N164" s="107">
        <v>1287.42</v>
      </c>
    </row>
    <row r="165" spans="1:14">
      <c r="A165" s="64" t="s">
        <v>108</v>
      </c>
      <c r="B165" s="107">
        <v>74340</v>
      </c>
      <c r="C165" s="107">
        <v>66255</v>
      </c>
      <c r="D165" s="107">
        <v>61665</v>
      </c>
      <c r="E165" s="107">
        <v>68040</v>
      </c>
      <c r="F165" s="107">
        <v>61470</v>
      </c>
      <c r="G165" s="107">
        <v>63510</v>
      </c>
      <c r="H165" s="107">
        <v>75960</v>
      </c>
      <c r="I165" s="107">
        <v>78585</v>
      </c>
      <c r="J165" s="107">
        <v>64125</v>
      </c>
      <c r="K165" s="107">
        <v>73695</v>
      </c>
      <c r="L165" s="107">
        <v>61125</v>
      </c>
      <c r="M165" s="107">
        <v>55155</v>
      </c>
      <c r="N165" s="107">
        <v>803925</v>
      </c>
    </row>
    <row r="166" spans="1:14">
      <c r="A166" s="64" t="s">
        <v>109</v>
      </c>
      <c r="B166" s="107">
        <v>66480</v>
      </c>
      <c r="C166" s="107">
        <v>52395</v>
      </c>
      <c r="D166" s="107">
        <v>49650</v>
      </c>
      <c r="E166" s="107">
        <v>62805</v>
      </c>
      <c r="F166" s="107">
        <v>73335</v>
      </c>
      <c r="G166" s="107">
        <v>63555</v>
      </c>
      <c r="H166" s="107">
        <v>67080</v>
      </c>
      <c r="I166" s="107">
        <v>62610</v>
      </c>
      <c r="J166" s="107">
        <v>56760</v>
      </c>
      <c r="K166" s="107">
        <v>72090</v>
      </c>
      <c r="L166" s="107">
        <v>56745</v>
      </c>
      <c r="M166" s="107">
        <v>55395</v>
      </c>
      <c r="N166" s="107">
        <v>738900</v>
      </c>
    </row>
    <row r="167" spans="1:14">
      <c r="A167" s="64" t="s">
        <v>110</v>
      </c>
      <c r="B167" s="107">
        <v>8315</v>
      </c>
      <c r="C167" s="107">
        <v>5995</v>
      </c>
      <c r="D167" s="107">
        <v>7765</v>
      </c>
      <c r="E167" s="107">
        <v>10205</v>
      </c>
      <c r="F167" s="107">
        <v>15670</v>
      </c>
      <c r="G167" s="107">
        <v>11960</v>
      </c>
      <c r="H167" s="107">
        <v>15425</v>
      </c>
      <c r="I167" s="107">
        <v>19580</v>
      </c>
      <c r="J167" s="107">
        <v>13860</v>
      </c>
      <c r="K167" s="107">
        <v>11895</v>
      </c>
      <c r="L167" s="107">
        <v>14595</v>
      </c>
      <c r="M167" s="107">
        <v>14710</v>
      </c>
      <c r="N167" s="107">
        <v>149975</v>
      </c>
    </row>
    <row r="168" spans="1:14">
      <c r="A168" s="64" t="s">
        <v>111</v>
      </c>
      <c r="B168" s="107">
        <v>6300</v>
      </c>
      <c r="C168" s="107">
        <v>8100</v>
      </c>
      <c r="D168" s="107">
        <v>4950</v>
      </c>
      <c r="E168" s="107">
        <v>7200</v>
      </c>
      <c r="F168" s="107">
        <v>6750</v>
      </c>
      <c r="G168" s="107">
        <v>10350</v>
      </c>
      <c r="H168" s="107">
        <v>9900</v>
      </c>
      <c r="I168" s="107">
        <v>3600</v>
      </c>
      <c r="J168" s="107">
        <v>3150</v>
      </c>
      <c r="K168" s="107">
        <v>5850</v>
      </c>
      <c r="L168" s="107">
        <v>5400</v>
      </c>
      <c r="M168" s="107">
        <v>2700</v>
      </c>
      <c r="N168" s="107">
        <v>74250</v>
      </c>
    </row>
    <row r="169" spans="1:14">
      <c r="A169" s="64" t="s">
        <v>112</v>
      </c>
      <c r="B169" s="107">
        <v>2989.16</v>
      </c>
      <c r="C169" s="107">
        <v>3214.41</v>
      </c>
      <c r="D169" s="107">
        <v>1948.33</v>
      </c>
      <c r="E169" s="107">
        <v>4582.58</v>
      </c>
      <c r="F169" s="107">
        <v>3063.85</v>
      </c>
      <c r="G169" s="107">
        <v>2444.2800000000002</v>
      </c>
      <c r="H169" s="107">
        <v>4375.8900000000003</v>
      </c>
      <c r="I169" s="107">
        <v>3424.61</v>
      </c>
      <c r="J169" s="107">
        <v>4454.1400000000003</v>
      </c>
      <c r="K169" s="107">
        <v>3547.5</v>
      </c>
      <c r="L169" s="107">
        <v>3626.27</v>
      </c>
      <c r="M169" s="107">
        <v>4289.04</v>
      </c>
      <c r="N169" s="107">
        <v>41960.06</v>
      </c>
    </row>
    <row r="170" spans="1:14">
      <c r="A170" s="64" t="s">
        <v>113</v>
      </c>
      <c r="B170" s="22"/>
      <c r="C170" s="22"/>
      <c r="D170" s="22"/>
      <c r="E170" s="107">
        <v>40.28</v>
      </c>
      <c r="F170" s="22"/>
      <c r="G170" s="22"/>
      <c r="H170" s="22"/>
      <c r="I170" s="22"/>
      <c r="J170" s="22"/>
      <c r="K170" s="107">
        <v>32.78</v>
      </c>
      <c r="L170" s="22"/>
      <c r="M170" s="22"/>
      <c r="N170" s="107">
        <v>73.06</v>
      </c>
    </row>
    <row r="171" spans="1:14">
      <c r="A171" s="64" t="s">
        <v>359</v>
      </c>
      <c r="B171" s="107">
        <v>455</v>
      </c>
      <c r="C171" s="107">
        <v>385</v>
      </c>
      <c r="D171" s="107">
        <v>525</v>
      </c>
      <c r="E171" s="22"/>
      <c r="F171" s="22"/>
      <c r="G171" s="22"/>
      <c r="H171" s="22"/>
      <c r="I171" s="22"/>
      <c r="J171" s="22"/>
      <c r="K171" s="22"/>
      <c r="L171" s="22"/>
      <c r="M171" s="22"/>
      <c r="N171" s="107">
        <v>1365</v>
      </c>
    </row>
    <row r="172" spans="1:14">
      <c r="A172" s="64" t="s">
        <v>115</v>
      </c>
      <c r="B172" s="111">
        <v>-141807.95000000001</v>
      </c>
      <c r="C172" s="111">
        <v>-127286.12</v>
      </c>
      <c r="D172" s="111">
        <v>-135272.78</v>
      </c>
      <c r="E172" s="111">
        <v>-149554.75</v>
      </c>
      <c r="F172" s="111">
        <v>-149486.98000000001</v>
      </c>
      <c r="G172" s="111">
        <v>-176854.35</v>
      </c>
      <c r="H172" s="111">
        <v>-212246.68</v>
      </c>
      <c r="I172" s="111">
        <v>-203287.5</v>
      </c>
      <c r="J172" s="111">
        <v>-172701.53</v>
      </c>
      <c r="K172" s="111">
        <v>-203631.84</v>
      </c>
      <c r="L172" s="111">
        <v>-162749.29</v>
      </c>
      <c r="M172" s="111">
        <v>-152597.94</v>
      </c>
      <c r="N172" s="111">
        <v>-1987477.71</v>
      </c>
    </row>
    <row r="173" spans="1:14">
      <c r="A173" s="64" t="s">
        <v>116</v>
      </c>
      <c r="B173" s="107">
        <f t="shared" ref="B173:M173" si="49">SUM(B162:B172)</f>
        <v>21262.819999999978</v>
      </c>
      <c r="C173" s="107">
        <f t="shared" si="49"/>
        <v>12283.779999999999</v>
      </c>
      <c r="D173" s="107">
        <f t="shared" si="49"/>
        <v>-4976.1800000000076</v>
      </c>
      <c r="E173" s="107">
        <f t="shared" si="49"/>
        <v>8315.7199999999721</v>
      </c>
      <c r="F173" s="107">
        <f t="shared" si="49"/>
        <v>14302.789999999979</v>
      </c>
      <c r="G173" s="107">
        <f t="shared" si="49"/>
        <v>8210.0599999999977</v>
      </c>
      <c r="H173" s="107">
        <f t="shared" si="49"/>
        <v>8421.5500000000175</v>
      </c>
      <c r="I173" s="107">
        <f t="shared" si="49"/>
        <v>12180.099999999977</v>
      </c>
      <c r="J173" s="107">
        <f t="shared" si="49"/>
        <v>314.7500000000291</v>
      </c>
      <c r="K173" s="107">
        <f t="shared" si="49"/>
        <v>12468.5</v>
      </c>
      <c r="L173" s="107">
        <f t="shared" si="49"/>
        <v>7138.8799999999756</v>
      </c>
      <c r="M173" s="107">
        <f t="shared" si="49"/>
        <v>6293.3999999999942</v>
      </c>
      <c r="N173" s="107">
        <v>106216.17</v>
      </c>
    </row>
    <row r="174" spans="1:14">
      <c r="A174" s="64"/>
      <c r="B174" s="22"/>
      <c r="C174" s="22"/>
      <c r="D174" s="22"/>
      <c r="E174" s="22"/>
      <c r="F174" s="22"/>
      <c r="G174" s="22"/>
      <c r="H174" s="22"/>
      <c r="I174" s="22"/>
      <c r="J174" s="22"/>
      <c r="K174" s="22"/>
      <c r="L174" s="22"/>
      <c r="M174" s="22"/>
      <c r="N174" s="22"/>
    </row>
    <row r="175" spans="1:14">
      <c r="A175" s="64" t="s">
        <v>117</v>
      </c>
      <c r="B175" s="22"/>
      <c r="C175" s="22"/>
      <c r="D175" s="22"/>
      <c r="E175" s="22"/>
      <c r="F175" s="22"/>
      <c r="G175" s="22"/>
      <c r="H175" s="22"/>
      <c r="I175" s="22"/>
      <c r="J175" s="22"/>
      <c r="K175" s="22"/>
      <c r="L175" s="22"/>
      <c r="M175" s="22"/>
      <c r="N175" s="22"/>
    </row>
    <row r="176" spans="1:14">
      <c r="A176" s="64" t="s">
        <v>282</v>
      </c>
      <c r="B176" s="22"/>
      <c r="C176" s="22"/>
      <c r="D176" s="22"/>
      <c r="E176" s="22"/>
      <c r="F176" s="22"/>
      <c r="G176" s="22"/>
      <c r="H176" s="22"/>
      <c r="I176" s="22"/>
      <c r="J176" s="22"/>
      <c r="K176" s="22"/>
      <c r="L176" s="22"/>
      <c r="M176" s="22"/>
      <c r="N176" s="22"/>
    </row>
    <row r="177" spans="1:14">
      <c r="A177" s="64" t="s">
        <v>120</v>
      </c>
      <c r="B177" s="22"/>
      <c r="C177" s="22"/>
      <c r="D177" s="22"/>
      <c r="E177" s="22"/>
      <c r="F177" s="22"/>
      <c r="G177" s="22"/>
      <c r="H177" s="22"/>
      <c r="I177" s="22"/>
      <c r="J177" s="107">
        <v>120</v>
      </c>
      <c r="K177" s="22"/>
      <c r="L177" s="22"/>
      <c r="M177" s="22"/>
      <c r="N177" s="107">
        <v>120</v>
      </c>
    </row>
    <row r="178" spans="1:14">
      <c r="A178" s="64" t="s">
        <v>121</v>
      </c>
      <c r="B178" s="22"/>
      <c r="C178" s="22"/>
      <c r="D178" s="22"/>
      <c r="E178" s="22"/>
      <c r="F178" s="22"/>
      <c r="G178" s="22"/>
      <c r="H178" s="22"/>
      <c r="I178" s="22"/>
      <c r="J178" s="107">
        <v>135</v>
      </c>
      <c r="K178" s="22"/>
      <c r="L178" s="22"/>
      <c r="M178" s="22"/>
      <c r="N178" s="107">
        <v>135</v>
      </c>
    </row>
    <row r="179" spans="1:14">
      <c r="A179" s="64" t="s">
        <v>122</v>
      </c>
      <c r="B179" s="22"/>
      <c r="C179" s="22"/>
      <c r="D179" s="107">
        <v>43</v>
      </c>
      <c r="E179" s="22"/>
      <c r="F179" s="22"/>
      <c r="G179" s="107">
        <v>211.13</v>
      </c>
      <c r="H179" s="22"/>
      <c r="I179" s="22"/>
      <c r="J179" s="22"/>
      <c r="K179" s="22"/>
      <c r="L179" s="22"/>
      <c r="M179" s="22"/>
      <c r="N179" s="107">
        <v>254.13</v>
      </c>
    </row>
    <row r="180" spans="1:14">
      <c r="A180" s="64" t="s">
        <v>123</v>
      </c>
      <c r="B180" s="107">
        <v>60</v>
      </c>
      <c r="C180" s="22"/>
      <c r="D180" s="107">
        <v>93</v>
      </c>
      <c r="E180" s="22"/>
      <c r="F180" s="22"/>
      <c r="G180" s="107">
        <v>45</v>
      </c>
      <c r="H180" s="22"/>
      <c r="I180" s="22"/>
      <c r="J180" s="107">
        <v>171.46</v>
      </c>
      <c r="K180" s="107">
        <v>184.76</v>
      </c>
      <c r="L180" s="107">
        <v>268.2</v>
      </c>
      <c r="M180" s="22"/>
      <c r="N180" s="107">
        <v>822.42</v>
      </c>
    </row>
    <row r="181" spans="1:14">
      <c r="A181" s="64" t="s">
        <v>124</v>
      </c>
      <c r="B181" s="111">
        <v>286</v>
      </c>
      <c r="C181" s="111">
        <v>88</v>
      </c>
      <c r="D181" s="111">
        <v>220</v>
      </c>
      <c r="E181" s="111">
        <v>60.5</v>
      </c>
      <c r="F181" s="113"/>
      <c r="G181" s="111">
        <v>88</v>
      </c>
      <c r="H181" s="113"/>
      <c r="I181" s="113"/>
      <c r="J181" s="111">
        <v>187</v>
      </c>
      <c r="K181" s="113"/>
      <c r="L181" s="111">
        <v>790</v>
      </c>
      <c r="M181" s="111">
        <v>693</v>
      </c>
      <c r="N181" s="111">
        <v>2412.5</v>
      </c>
    </row>
    <row r="182" spans="1:14">
      <c r="A182" s="64" t="s">
        <v>127</v>
      </c>
      <c r="B182" s="107">
        <f>SUM(B175:B181)</f>
        <v>346</v>
      </c>
      <c r="C182" s="107">
        <f>SUM(C175:C181)</f>
        <v>88</v>
      </c>
      <c r="D182" s="107">
        <f>SUM(D175:D181)</f>
        <v>356</v>
      </c>
      <c r="E182" s="107">
        <f>SUM(E175:E181)</f>
        <v>60.5</v>
      </c>
      <c r="F182" s="107"/>
      <c r="G182" s="107">
        <f>SUM(G175:G181)</f>
        <v>344.13</v>
      </c>
      <c r="H182" s="107"/>
      <c r="I182" s="107"/>
      <c r="J182" s="107">
        <f>SUM(J175:J181)</f>
        <v>613.46</v>
      </c>
      <c r="K182" s="107">
        <f>SUM(K175:K181)</f>
        <v>184.76</v>
      </c>
      <c r="L182" s="107">
        <f>SUM(L175:L181)</f>
        <v>1058.2</v>
      </c>
      <c r="M182" s="107">
        <f>SUM(M175:M181)</f>
        <v>693</v>
      </c>
      <c r="N182" s="107">
        <v>3744.05</v>
      </c>
    </row>
    <row r="183" spans="1:14">
      <c r="A183" s="64"/>
      <c r="B183" s="22"/>
      <c r="C183" s="22"/>
      <c r="D183" s="22"/>
      <c r="E183" s="22"/>
      <c r="F183" s="22"/>
      <c r="G183" s="22"/>
      <c r="H183" s="22"/>
      <c r="I183" s="22"/>
      <c r="J183" s="22"/>
      <c r="K183" s="22"/>
      <c r="L183" s="22"/>
      <c r="M183" s="22"/>
      <c r="N183" s="22"/>
    </row>
    <row r="184" spans="1:14">
      <c r="A184" s="64" t="s">
        <v>47</v>
      </c>
      <c r="B184" s="107">
        <f t="shared" ref="B184:M184" si="50">SUM(B119:B183)-B131-0-0-B158-0-B173-B182</f>
        <v>53934.949999999983</v>
      </c>
      <c r="C184" s="107">
        <f t="shared" si="50"/>
        <v>33875.960000000014</v>
      </c>
      <c r="D184" s="107">
        <f t="shared" si="50"/>
        <v>19128.00999999998</v>
      </c>
      <c r="E184" s="107">
        <f t="shared" si="50"/>
        <v>45807.499999999964</v>
      </c>
      <c r="F184" s="107">
        <f t="shared" si="50"/>
        <v>8658.5900000000111</v>
      </c>
      <c r="G184" s="107">
        <f t="shared" si="50"/>
        <v>23666.139999999989</v>
      </c>
      <c r="H184" s="107">
        <f t="shared" si="50"/>
        <v>29290.400000000001</v>
      </c>
      <c r="I184" s="107">
        <f t="shared" si="50"/>
        <v>35179.459999999977</v>
      </c>
      <c r="J184" s="107">
        <f t="shared" si="50"/>
        <v>26964.420000000016</v>
      </c>
      <c r="K184" s="107">
        <f t="shared" si="50"/>
        <v>26264.499999999989</v>
      </c>
      <c r="L184" s="107">
        <f t="shared" si="50"/>
        <v>12331.129999999983</v>
      </c>
      <c r="M184" s="107">
        <f t="shared" si="50"/>
        <v>16535.390000000003</v>
      </c>
      <c r="N184" s="107">
        <v>331636.45</v>
      </c>
    </row>
    <row r="185" spans="1:14">
      <c r="A185" s="64"/>
      <c r="B185" s="22"/>
      <c r="C185" s="22"/>
      <c r="D185" s="22"/>
      <c r="E185" s="22"/>
      <c r="F185" s="22"/>
      <c r="G185" s="22"/>
      <c r="H185" s="22"/>
      <c r="I185" s="22"/>
      <c r="J185" s="22"/>
      <c r="K185" s="22"/>
      <c r="L185" s="22"/>
      <c r="M185" s="22"/>
      <c r="N185" s="22"/>
    </row>
    <row r="186" spans="1:14">
      <c r="A186" s="64" t="s">
        <v>48</v>
      </c>
      <c r="B186" s="22"/>
      <c r="C186" s="22"/>
      <c r="D186" s="22"/>
      <c r="E186" s="22"/>
      <c r="F186" s="22"/>
      <c r="G186" s="22"/>
      <c r="H186" s="22"/>
      <c r="I186" s="22"/>
      <c r="J186" s="22"/>
      <c r="K186" s="22"/>
      <c r="L186" s="22"/>
      <c r="M186" s="22"/>
      <c r="N186" s="22"/>
    </row>
    <row r="187" spans="1:14">
      <c r="A187" s="64" t="s">
        <v>130</v>
      </c>
      <c r="B187" s="107">
        <v>75</v>
      </c>
      <c r="C187" s="107">
        <v>75</v>
      </c>
      <c r="D187" s="107">
        <v>75</v>
      </c>
      <c r="E187" s="107">
        <v>75</v>
      </c>
      <c r="F187" s="107">
        <v>75</v>
      </c>
      <c r="G187" s="107">
        <v>75</v>
      </c>
      <c r="H187" s="107">
        <v>75</v>
      </c>
      <c r="I187" s="107">
        <v>75</v>
      </c>
      <c r="J187" s="107">
        <v>75</v>
      </c>
      <c r="K187" s="107">
        <v>75</v>
      </c>
      <c r="L187" s="107">
        <v>75</v>
      </c>
      <c r="M187" s="107">
        <v>75</v>
      </c>
      <c r="N187" s="107">
        <v>900</v>
      </c>
    </row>
    <row r="188" spans="1:14">
      <c r="A188" s="64" t="s">
        <v>132</v>
      </c>
      <c r="B188" s="22"/>
      <c r="C188" s="107">
        <v>8032.29</v>
      </c>
      <c r="D188" s="22"/>
      <c r="E188" s="107">
        <v>316.76</v>
      </c>
      <c r="F188" s="107">
        <v>38573.86</v>
      </c>
      <c r="G188" s="107">
        <v>278.08999999999997</v>
      </c>
      <c r="H188" s="107"/>
      <c r="I188" s="107">
        <v>1086.73</v>
      </c>
      <c r="J188" s="107">
        <v>286.74</v>
      </c>
      <c r="K188" s="22"/>
      <c r="L188" s="107">
        <v>999.84</v>
      </c>
      <c r="M188" s="107">
        <v>-73982.490000000005</v>
      </c>
      <c r="N188" s="107">
        <v>-24408.18</v>
      </c>
    </row>
    <row r="189" spans="1:14">
      <c r="A189" s="64" t="s">
        <v>133</v>
      </c>
      <c r="B189" s="107">
        <v>37343</v>
      </c>
      <c r="C189" s="107">
        <v>67985</v>
      </c>
      <c r="D189" s="107">
        <v>78630</v>
      </c>
      <c r="E189" s="107">
        <v>68860</v>
      </c>
      <c r="F189" s="107">
        <v>134413</v>
      </c>
      <c r="G189" s="107">
        <v>69082</v>
      </c>
      <c r="H189" s="107">
        <v>34316</v>
      </c>
      <c r="I189" s="107">
        <v>38573</v>
      </c>
      <c r="J189" s="107">
        <v>38691</v>
      </c>
      <c r="K189" s="107">
        <v>38715</v>
      </c>
      <c r="L189" s="107">
        <v>36445</v>
      </c>
      <c r="M189" s="107">
        <v>37060</v>
      </c>
      <c r="N189" s="107">
        <v>680113</v>
      </c>
    </row>
    <row r="190" spans="1:14">
      <c r="A190" s="64" t="s">
        <v>360</v>
      </c>
      <c r="B190" s="107">
        <v>16000</v>
      </c>
      <c r="C190" s="107">
        <v>35500</v>
      </c>
      <c r="D190" s="107">
        <v>22300</v>
      </c>
      <c r="E190" s="107">
        <v>7000</v>
      </c>
      <c r="F190" s="22"/>
      <c r="G190" s="107">
        <v>21100</v>
      </c>
      <c r="H190" s="107">
        <v>51600</v>
      </c>
      <c r="I190" s="107">
        <v>18700</v>
      </c>
      <c r="J190" s="107">
        <v>6100</v>
      </c>
      <c r="K190" s="107">
        <v>8227</v>
      </c>
      <c r="L190" s="107"/>
      <c r="M190" s="107">
        <v>76825.78</v>
      </c>
      <c r="N190" s="107">
        <v>263352.78000000003</v>
      </c>
    </row>
    <row r="191" spans="1:14">
      <c r="A191" s="64" t="s">
        <v>134</v>
      </c>
      <c r="B191" s="107">
        <v>812.56</v>
      </c>
      <c r="C191" s="107">
        <v>29.4</v>
      </c>
      <c r="D191" s="22"/>
      <c r="E191" s="107">
        <v>12.98</v>
      </c>
      <c r="F191" s="107">
        <v>6.8</v>
      </c>
      <c r="G191" s="107">
        <v>17</v>
      </c>
      <c r="H191" s="107">
        <v>5.9</v>
      </c>
      <c r="I191" s="107">
        <v>0.73</v>
      </c>
      <c r="J191" s="107">
        <v>1.43</v>
      </c>
      <c r="K191" s="107">
        <v>7.11</v>
      </c>
      <c r="L191" s="107">
        <v>190.79</v>
      </c>
      <c r="M191" s="107">
        <v>93.3</v>
      </c>
      <c r="N191" s="107">
        <v>1178</v>
      </c>
    </row>
    <row r="192" spans="1:14">
      <c r="A192" s="64" t="s">
        <v>396</v>
      </c>
      <c r="B192" s="22"/>
      <c r="C192" s="22"/>
      <c r="D192" s="22"/>
      <c r="E192" s="22"/>
      <c r="F192" s="107">
        <v>515162</v>
      </c>
      <c r="G192" s="22"/>
      <c r="H192" s="22"/>
      <c r="I192" s="22"/>
      <c r="J192" s="22"/>
      <c r="K192" s="22"/>
      <c r="L192" s="22"/>
      <c r="M192" s="22"/>
      <c r="N192" s="107">
        <v>515162</v>
      </c>
    </row>
    <row r="193" spans="1:14">
      <c r="A193" s="64" t="s">
        <v>397</v>
      </c>
      <c r="B193" s="113"/>
      <c r="C193" s="113"/>
      <c r="D193" s="113"/>
      <c r="E193" s="113"/>
      <c r="F193" s="111">
        <v>-455186</v>
      </c>
      <c r="G193" s="113"/>
      <c r="H193" s="113"/>
      <c r="I193" s="113"/>
      <c r="J193" s="113"/>
      <c r="K193" s="113"/>
      <c r="L193" s="113"/>
      <c r="M193" s="113"/>
      <c r="N193" s="111">
        <v>-455186</v>
      </c>
    </row>
    <row r="194" spans="1:14">
      <c r="A194" s="64" t="s">
        <v>135</v>
      </c>
      <c r="B194" s="107">
        <f t="shared" ref="B194:M194" si="51">SUM(B185:B193)</f>
        <v>54230.559999999998</v>
      </c>
      <c r="C194" s="107">
        <f t="shared" si="51"/>
        <v>111621.68999999999</v>
      </c>
      <c r="D194" s="107">
        <f t="shared" si="51"/>
        <v>101005</v>
      </c>
      <c r="E194" s="107">
        <f t="shared" si="51"/>
        <v>76264.739999999991</v>
      </c>
      <c r="F194" s="107">
        <f t="shared" si="51"/>
        <v>233044.65999999992</v>
      </c>
      <c r="G194" s="107">
        <f t="shared" si="51"/>
        <v>90552.09</v>
      </c>
      <c r="H194" s="107">
        <f t="shared" si="51"/>
        <v>85996.9</v>
      </c>
      <c r="I194" s="107">
        <f t="shared" si="51"/>
        <v>58435.460000000006</v>
      </c>
      <c r="J194" s="107">
        <f t="shared" si="51"/>
        <v>45154.17</v>
      </c>
      <c r="K194" s="107">
        <f t="shared" si="51"/>
        <v>47024.11</v>
      </c>
      <c r="L194" s="107">
        <f t="shared" si="51"/>
        <v>37710.629999999997</v>
      </c>
      <c r="M194" s="107">
        <f t="shared" si="51"/>
        <v>40071.589999999997</v>
      </c>
      <c r="N194" s="107">
        <v>981111.6</v>
      </c>
    </row>
    <row r="195" spans="1:14">
      <c r="A195" s="64"/>
      <c r="B195" s="22"/>
      <c r="C195" s="22"/>
      <c r="D195" s="22"/>
      <c r="E195" s="22"/>
      <c r="F195" s="22"/>
      <c r="G195" s="22"/>
      <c r="H195" s="22"/>
      <c r="I195" s="22"/>
      <c r="J195" s="22"/>
      <c r="K195" s="22"/>
      <c r="L195" s="22"/>
      <c r="M195" s="22"/>
      <c r="N195" s="22"/>
    </row>
    <row r="196" spans="1:14" ht="15.75" thickBot="1">
      <c r="A196" s="64" t="s">
        <v>13</v>
      </c>
      <c r="B196" s="112">
        <f t="shared" ref="B196:M196" si="52">SUM(B67:B195)-B69-B73-B77-B80-B84-B88-B90-B96-B100-B104-B107-B111-B115-B117-B131-0-0-B158-0-B173-B182-B184-B194</f>
        <v>817202.26999999955</v>
      </c>
      <c r="C196" s="112">
        <f t="shared" si="52"/>
        <v>957816.15000000107</v>
      </c>
      <c r="D196" s="112">
        <f t="shared" si="52"/>
        <v>967001.57000000053</v>
      </c>
      <c r="E196" s="112">
        <f t="shared" si="52"/>
        <v>853375.90999999945</v>
      </c>
      <c r="F196" s="112">
        <f t="shared" si="52"/>
        <v>1018556.2399999993</v>
      </c>
      <c r="G196" s="112">
        <f t="shared" si="52"/>
        <v>1052806.4299999992</v>
      </c>
      <c r="H196" s="112">
        <f t="shared" si="52"/>
        <v>951528.08000000007</v>
      </c>
      <c r="I196" s="112">
        <f t="shared" si="52"/>
        <v>842178.14999999863</v>
      </c>
      <c r="J196" s="112">
        <f t="shared" si="52"/>
        <v>780540.53000000061</v>
      </c>
      <c r="K196" s="112">
        <f t="shared" si="52"/>
        <v>930624.98999999964</v>
      </c>
      <c r="L196" s="112">
        <f t="shared" si="52"/>
        <v>994281.9</v>
      </c>
      <c r="M196" s="112">
        <f t="shared" si="52"/>
        <v>1001681.6599999999</v>
      </c>
      <c r="N196" s="112">
        <v>11167593.880000001</v>
      </c>
    </row>
    <row r="197" spans="1:14" ht="15.75" thickTop="1">
      <c r="A197" s="64"/>
      <c r="B197" s="22"/>
      <c r="C197" s="22"/>
      <c r="D197" s="22"/>
      <c r="E197" s="22"/>
      <c r="F197" s="22"/>
      <c r="G197" s="22"/>
      <c r="H197" s="22"/>
      <c r="I197" s="22"/>
      <c r="J197" s="22"/>
      <c r="K197" s="22"/>
      <c r="L197" s="22"/>
      <c r="M197" s="22"/>
      <c r="N197" s="22"/>
    </row>
    <row r="198" spans="1:14">
      <c r="A198" s="64"/>
      <c r="B198" s="22"/>
      <c r="C198" s="22"/>
      <c r="D198" s="22"/>
      <c r="E198" s="22"/>
      <c r="F198" s="22"/>
      <c r="G198" s="22"/>
      <c r="H198" s="22"/>
      <c r="I198" s="22"/>
      <c r="J198" s="22"/>
      <c r="K198" s="22"/>
      <c r="L198" s="22"/>
      <c r="M198" s="22"/>
      <c r="N198" s="22"/>
    </row>
    <row r="199" spans="1:14">
      <c r="A199" s="64" t="s">
        <v>14</v>
      </c>
      <c r="B199" s="22"/>
      <c r="C199" s="22"/>
      <c r="D199" s="22"/>
      <c r="E199" s="22"/>
      <c r="F199" s="22"/>
      <c r="G199" s="22"/>
      <c r="H199" s="22"/>
      <c r="I199" s="22"/>
      <c r="J199" s="22"/>
      <c r="K199" s="22"/>
      <c r="L199" s="22"/>
      <c r="M199" s="22"/>
      <c r="N199" s="22"/>
    </row>
    <row r="200" spans="1:14">
      <c r="A200" s="64"/>
      <c r="B200" s="22"/>
      <c r="C200" s="22"/>
      <c r="D200" s="22"/>
      <c r="E200" s="22"/>
      <c r="F200" s="22"/>
      <c r="G200" s="22"/>
      <c r="H200" s="22"/>
      <c r="I200" s="22"/>
      <c r="J200" s="22"/>
      <c r="K200" s="22"/>
      <c r="L200" s="22"/>
      <c r="M200" s="22"/>
      <c r="N200" s="22"/>
    </row>
    <row r="201" spans="1:14">
      <c r="A201" s="64" t="s">
        <v>136</v>
      </c>
      <c r="B201" s="22"/>
      <c r="C201" s="22"/>
      <c r="D201" s="22"/>
      <c r="E201" s="22"/>
      <c r="F201" s="22"/>
      <c r="G201" s="22"/>
      <c r="H201" s="22"/>
      <c r="I201" s="22"/>
      <c r="J201" s="22"/>
      <c r="K201" s="22"/>
      <c r="L201" s="22"/>
      <c r="M201" s="22"/>
      <c r="N201" s="22"/>
    </row>
    <row r="202" spans="1:14">
      <c r="A202" s="64" t="s">
        <v>137</v>
      </c>
      <c r="B202" s="107">
        <v>7912.09</v>
      </c>
      <c r="C202" s="107">
        <v>9903.98</v>
      </c>
      <c r="D202" s="107">
        <v>9258.2800000000007</v>
      </c>
      <c r="E202" s="107">
        <v>9428.41</v>
      </c>
      <c r="F202" s="107">
        <v>9758.27</v>
      </c>
      <c r="G202" s="107">
        <v>8769.09</v>
      </c>
      <c r="H202" s="107">
        <v>6512.31</v>
      </c>
      <c r="I202" s="107">
        <v>11634.49</v>
      </c>
      <c r="J202" s="107">
        <v>9109.0400000000009</v>
      </c>
      <c r="K202" s="107">
        <v>9283.6200000000008</v>
      </c>
      <c r="L202" s="107">
        <v>10003.5</v>
      </c>
      <c r="M202" s="107">
        <v>-4074.47</v>
      </c>
      <c r="N202" s="107">
        <v>97498.61</v>
      </c>
    </row>
    <row r="203" spans="1:14">
      <c r="A203" s="64" t="s">
        <v>138</v>
      </c>
      <c r="B203" s="107">
        <v>43871.94</v>
      </c>
      <c r="C203" s="107">
        <v>40150.879999999997</v>
      </c>
      <c r="D203" s="107">
        <v>42549.05</v>
      </c>
      <c r="E203" s="107">
        <v>20641.400000000001</v>
      </c>
      <c r="F203" s="107">
        <v>15930.83</v>
      </c>
      <c r="G203" s="107">
        <v>18559.03</v>
      </c>
      <c r="H203" s="107">
        <v>14684.74</v>
      </c>
      <c r="I203" s="107">
        <v>16407.189999999999</v>
      </c>
      <c r="J203" s="107">
        <v>16091.4</v>
      </c>
      <c r="K203" s="107">
        <v>12986.14</v>
      </c>
      <c r="L203" s="107">
        <v>20225.740000000002</v>
      </c>
      <c r="M203" s="107">
        <v>33521.879999999997</v>
      </c>
      <c r="N203" s="107">
        <v>295620.21999999997</v>
      </c>
    </row>
    <row r="204" spans="1:14">
      <c r="A204" s="64" t="s">
        <v>139</v>
      </c>
      <c r="B204" s="107">
        <v>106909.17</v>
      </c>
      <c r="C204" s="107">
        <v>105680.97</v>
      </c>
      <c r="D204" s="107">
        <v>102427.11</v>
      </c>
      <c r="E204" s="107">
        <v>102908.79</v>
      </c>
      <c r="F204" s="107">
        <v>95805.11</v>
      </c>
      <c r="G204" s="107">
        <v>98512.38</v>
      </c>
      <c r="H204" s="107">
        <v>92350.720000000001</v>
      </c>
      <c r="I204" s="107">
        <v>105897.86</v>
      </c>
      <c r="J204" s="107">
        <v>94595.88</v>
      </c>
      <c r="K204" s="107">
        <v>100983.37</v>
      </c>
      <c r="L204" s="107">
        <v>101301.54</v>
      </c>
      <c r="M204" s="107">
        <v>101776.62</v>
      </c>
      <c r="N204" s="107">
        <v>1209149.52</v>
      </c>
    </row>
    <row r="205" spans="1:14">
      <c r="A205" s="64" t="s">
        <v>140</v>
      </c>
      <c r="B205" s="107">
        <v>5160.9799999999996</v>
      </c>
      <c r="C205" s="107">
        <v>4849.2</v>
      </c>
      <c r="D205" s="107">
        <v>6735.79</v>
      </c>
      <c r="E205" s="107">
        <v>6447.31</v>
      </c>
      <c r="F205" s="107">
        <v>4726.3</v>
      </c>
      <c r="G205" s="107">
        <v>6058.3</v>
      </c>
      <c r="H205" s="107">
        <v>5339.42</v>
      </c>
      <c r="I205" s="107">
        <v>6742.37</v>
      </c>
      <c r="J205" s="107">
        <v>4812.7700000000004</v>
      </c>
      <c r="K205" s="107">
        <v>6354.16</v>
      </c>
      <c r="L205" s="107">
        <v>4192.2</v>
      </c>
      <c r="M205" s="107">
        <v>5197.29</v>
      </c>
      <c r="N205" s="107">
        <v>66616.09</v>
      </c>
    </row>
    <row r="206" spans="1:14">
      <c r="A206" s="64" t="s">
        <v>141</v>
      </c>
      <c r="B206" s="107">
        <v>11743.85</v>
      </c>
      <c r="C206" s="107">
        <v>10569.45</v>
      </c>
      <c r="D206" s="107">
        <v>11417.86</v>
      </c>
      <c r="E206" s="107">
        <v>13455.72</v>
      </c>
      <c r="F206" s="107">
        <v>13478.24</v>
      </c>
      <c r="G206" s="107">
        <v>13059.65</v>
      </c>
      <c r="H206" s="107">
        <v>10974.84</v>
      </c>
      <c r="I206" s="107">
        <v>12376.18</v>
      </c>
      <c r="J206" s="107">
        <v>10769.35</v>
      </c>
      <c r="K206" s="107">
        <v>12017.88</v>
      </c>
      <c r="L206" s="107">
        <v>10847.8</v>
      </c>
      <c r="M206" s="107">
        <v>14561.49</v>
      </c>
      <c r="N206" s="107">
        <v>145272.31</v>
      </c>
    </row>
    <row r="207" spans="1:14">
      <c r="A207" s="64" t="s">
        <v>142</v>
      </c>
      <c r="B207" s="107">
        <v>4958.5</v>
      </c>
      <c r="C207" s="107">
        <v>5252.32</v>
      </c>
      <c r="D207" s="107">
        <v>3474.5</v>
      </c>
      <c r="E207" s="107">
        <v>4456.34</v>
      </c>
      <c r="F207" s="107">
        <v>3355.54</v>
      </c>
      <c r="G207" s="107">
        <v>3934.63</v>
      </c>
      <c r="H207" s="107">
        <v>3941.48</v>
      </c>
      <c r="I207" s="107">
        <v>3916.8</v>
      </c>
      <c r="J207" s="107">
        <v>3209.99</v>
      </c>
      <c r="K207" s="107">
        <v>2753.04</v>
      </c>
      <c r="L207" s="107">
        <v>4950.17</v>
      </c>
      <c r="M207" s="107">
        <v>5031.72</v>
      </c>
      <c r="N207" s="107">
        <v>49235.03</v>
      </c>
    </row>
    <row r="208" spans="1:14">
      <c r="A208" s="64" t="s">
        <v>143</v>
      </c>
      <c r="B208" s="107">
        <v>65303.05</v>
      </c>
      <c r="C208" s="107">
        <v>68346.73</v>
      </c>
      <c r="D208" s="107">
        <v>77816.160000000003</v>
      </c>
      <c r="E208" s="107">
        <v>66085.48</v>
      </c>
      <c r="F208" s="107">
        <v>65313.120000000003</v>
      </c>
      <c r="G208" s="107">
        <v>54918.080000000002</v>
      </c>
      <c r="H208" s="107">
        <v>67076.320000000007</v>
      </c>
      <c r="I208" s="107">
        <v>69371.28</v>
      </c>
      <c r="J208" s="107">
        <v>71878.63</v>
      </c>
      <c r="K208" s="107">
        <v>71959.06</v>
      </c>
      <c r="L208" s="107">
        <v>73930.3</v>
      </c>
      <c r="M208" s="107">
        <v>78292.320000000007</v>
      </c>
      <c r="N208" s="107">
        <v>830290.53</v>
      </c>
    </row>
    <row r="209" spans="1:14">
      <c r="A209" s="64" t="s">
        <v>144</v>
      </c>
      <c r="B209" s="107">
        <v>5316.92</v>
      </c>
      <c r="C209" s="107">
        <v>4905.33</v>
      </c>
      <c r="D209" s="107">
        <v>4184.5</v>
      </c>
      <c r="E209" s="107">
        <v>4081.36</v>
      </c>
      <c r="F209" s="107">
        <v>5591.58</v>
      </c>
      <c r="G209" s="107">
        <v>4836.37</v>
      </c>
      <c r="H209" s="107">
        <v>4915.63</v>
      </c>
      <c r="I209" s="107">
        <v>4893.5600000000004</v>
      </c>
      <c r="J209" s="107">
        <v>5388.1</v>
      </c>
      <c r="K209" s="107">
        <v>5229.1099999999997</v>
      </c>
      <c r="L209" s="107">
        <v>5547.1</v>
      </c>
      <c r="M209" s="107">
        <v>4239.6400000000003</v>
      </c>
      <c r="N209" s="107">
        <v>59129.2</v>
      </c>
    </row>
    <row r="210" spans="1:14">
      <c r="A210" s="64" t="s">
        <v>324</v>
      </c>
      <c r="B210" s="107">
        <v>1391.7</v>
      </c>
      <c r="C210" s="107">
        <v>1607.82</v>
      </c>
      <c r="D210" s="107">
        <v>1828.12</v>
      </c>
      <c r="E210" s="107">
        <v>1443</v>
      </c>
      <c r="F210" s="107">
        <v>1726.22</v>
      </c>
      <c r="G210" s="107">
        <v>1684.89</v>
      </c>
      <c r="H210" s="107">
        <v>1702.07</v>
      </c>
      <c r="I210" s="107">
        <v>662.07</v>
      </c>
      <c r="J210" s="107">
        <v>-4.6399999999999997</v>
      </c>
      <c r="K210" s="107">
        <v>1328.57</v>
      </c>
      <c r="L210" s="107">
        <v>1491.43</v>
      </c>
      <c r="M210" s="107">
        <v>1712.82</v>
      </c>
      <c r="N210" s="107">
        <v>16574.07</v>
      </c>
    </row>
    <row r="211" spans="1:14">
      <c r="A211" s="64" t="s">
        <v>145</v>
      </c>
      <c r="B211" s="107">
        <v>1610.88</v>
      </c>
      <c r="C211" s="107">
        <v>4015.87</v>
      </c>
      <c r="D211" s="107">
        <v>4071.61</v>
      </c>
      <c r="E211" s="107">
        <v>4420.42</v>
      </c>
      <c r="F211" s="107">
        <v>3604.05</v>
      </c>
      <c r="G211" s="107">
        <v>4318.18</v>
      </c>
      <c r="H211" s="107">
        <v>4302.3100000000004</v>
      </c>
      <c r="I211" s="107">
        <v>3992.09</v>
      </c>
      <c r="J211" s="107">
        <v>3595.58</v>
      </c>
      <c r="K211" s="107">
        <v>3493.14</v>
      </c>
      <c r="L211" s="107">
        <v>4610.8500000000004</v>
      </c>
      <c r="M211" s="107">
        <v>4034.63</v>
      </c>
      <c r="N211" s="107">
        <v>46069.61</v>
      </c>
    </row>
    <row r="212" spans="1:14">
      <c r="A212" s="64" t="s">
        <v>146</v>
      </c>
      <c r="B212" s="107">
        <v>4282.83</v>
      </c>
      <c r="C212" s="107">
        <v>4381.25</v>
      </c>
      <c r="D212" s="107">
        <v>4699.0200000000004</v>
      </c>
      <c r="E212" s="107">
        <v>3927.51</v>
      </c>
      <c r="F212" s="107">
        <v>4384.76</v>
      </c>
      <c r="G212" s="107">
        <v>2558.14</v>
      </c>
      <c r="H212" s="107">
        <v>4547.09</v>
      </c>
      <c r="I212" s="107">
        <v>4403.8500000000004</v>
      </c>
      <c r="J212" s="107">
        <v>3691.36</v>
      </c>
      <c r="K212" s="107">
        <v>3665.93</v>
      </c>
      <c r="L212" s="107">
        <v>3916.28</v>
      </c>
      <c r="M212" s="107">
        <v>4314.3</v>
      </c>
      <c r="N212" s="107">
        <v>48772.32</v>
      </c>
    </row>
    <row r="213" spans="1:14">
      <c r="A213" s="64" t="s">
        <v>147</v>
      </c>
      <c r="B213" s="107">
        <v>2644.21</v>
      </c>
      <c r="C213" s="107">
        <v>2000.21</v>
      </c>
      <c r="D213" s="107">
        <v>2871.76</v>
      </c>
      <c r="E213" s="107">
        <v>2791.81</v>
      </c>
      <c r="F213" s="107">
        <v>2816.7</v>
      </c>
      <c r="G213" s="107">
        <v>2195.25</v>
      </c>
      <c r="H213" s="107">
        <v>2124.1</v>
      </c>
      <c r="I213" s="107">
        <v>2835.15</v>
      </c>
      <c r="J213" s="107">
        <v>1912.06</v>
      </c>
      <c r="K213" s="107">
        <v>2440.61</v>
      </c>
      <c r="L213" s="107">
        <v>2487.88</v>
      </c>
      <c r="M213" s="107">
        <v>2382.98</v>
      </c>
      <c r="N213" s="107">
        <v>29502.720000000001</v>
      </c>
    </row>
    <row r="214" spans="1:14">
      <c r="A214" s="64" t="s">
        <v>148</v>
      </c>
      <c r="B214" s="107">
        <v>3282.47</v>
      </c>
      <c r="C214" s="107">
        <v>2966.63</v>
      </c>
      <c r="D214" s="107">
        <v>3493.01</v>
      </c>
      <c r="E214" s="107">
        <v>2716.02</v>
      </c>
      <c r="F214" s="107">
        <v>2162.25</v>
      </c>
      <c r="G214" s="107">
        <v>2076.4899999999998</v>
      </c>
      <c r="H214" s="107">
        <v>3038.23</v>
      </c>
      <c r="I214" s="107">
        <v>2738.13</v>
      </c>
      <c r="J214" s="107">
        <v>2510.5700000000002</v>
      </c>
      <c r="K214" s="107">
        <v>2937.12</v>
      </c>
      <c r="L214" s="107">
        <v>2981.78</v>
      </c>
      <c r="M214" s="107">
        <v>2188.37</v>
      </c>
      <c r="N214" s="107">
        <v>33091.07</v>
      </c>
    </row>
    <row r="215" spans="1:14">
      <c r="A215" s="64" t="s">
        <v>153</v>
      </c>
      <c r="B215" s="107">
        <v>5307.78</v>
      </c>
      <c r="C215" s="107">
        <v>2972.03</v>
      </c>
      <c r="D215" s="107">
        <v>5589.17</v>
      </c>
      <c r="E215" s="107">
        <v>4566.42</v>
      </c>
      <c r="F215" s="107">
        <v>5302.22</v>
      </c>
      <c r="G215" s="107">
        <v>3574.97</v>
      </c>
      <c r="H215" s="107">
        <v>4627.46</v>
      </c>
      <c r="I215" s="107">
        <v>4739.5200000000004</v>
      </c>
      <c r="J215" s="107">
        <v>3532.25</v>
      </c>
      <c r="K215" s="107">
        <v>5153.26</v>
      </c>
      <c r="L215" s="107">
        <v>5022.5200000000004</v>
      </c>
      <c r="M215" s="107">
        <v>4389.05</v>
      </c>
      <c r="N215" s="107">
        <v>54776.65</v>
      </c>
    </row>
    <row r="216" spans="1:14">
      <c r="A216" s="64" t="s">
        <v>154</v>
      </c>
      <c r="B216" s="107">
        <v>10087.780000000001</v>
      </c>
      <c r="C216" s="107">
        <v>9306.76</v>
      </c>
      <c r="D216" s="107">
        <v>9587.7800000000007</v>
      </c>
      <c r="E216" s="107">
        <v>13794.45</v>
      </c>
      <c r="F216" s="107">
        <v>13584.03</v>
      </c>
      <c r="G216" s="107">
        <v>5763.96</v>
      </c>
      <c r="H216" s="107">
        <v>7021.98</v>
      </c>
      <c r="I216" s="107">
        <v>8376.39</v>
      </c>
      <c r="J216" s="107">
        <v>7829.68</v>
      </c>
      <c r="K216" s="107">
        <v>7725.27</v>
      </c>
      <c r="L216" s="107">
        <v>7098.99</v>
      </c>
      <c r="M216" s="107">
        <v>7725.31</v>
      </c>
      <c r="N216" s="107">
        <v>107902.38</v>
      </c>
    </row>
    <row r="217" spans="1:14">
      <c r="A217" s="64" t="s">
        <v>155</v>
      </c>
      <c r="B217" s="111">
        <v>21296.14</v>
      </c>
      <c r="C217" s="111">
        <v>20678.18</v>
      </c>
      <c r="D217" s="111">
        <v>22232.75</v>
      </c>
      <c r="E217" s="111">
        <v>29537.9</v>
      </c>
      <c r="F217" s="111">
        <v>25707.96</v>
      </c>
      <c r="G217" s="111">
        <v>18796.23</v>
      </c>
      <c r="H217" s="111">
        <v>23139.06</v>
      </c>
      <c r="I217" s="111">
        <v>28711.439999999999</v>
      </c>
      <c r="J217" s="111">
        <v>25192.49</v>
      </c>
      <c r="K217" s="111">
        <v>22674.63</v>
      </c>
      <c r="L217" s="111">
        <v>28583.14</v>
      </c>
      <c r="M217" s="111">
        <v>27154.69</v>
      </c>
      <c r="N217" s="111">
        <v>293704.61</v>
      </c>
    </row>
    <row r="218" spans="1:14">
      <c r="A218" s="64" t="s">
        <v>156</v>
      </c>
      <c r="B218" s="107">
        <f t="shared" ref="B218:M218" si="53">SUM(B197:B217)</f>
        <v>301080.2900000001</v>
      </c>
      <c r="C218" s="107">
        <f t="shared" si="53"/>
        <v>297587.61000000004</v>
      </c>
      <c r="D218" s="107">
        <f t="shared" si="53"/>
        <v>312236.47000000009</v>
      </c>
      <c r="E218" s="107">
        <f t="shared" si="53"/>
        <v>290702.34000000003</v>
      </c>
      <c r="F218" s="107">
        <f t="shared" si="53"/>
        <v>273247.18</v>
      </c>
      <c r="G218" s="107">
        <f t="shared" si="53"/>
        <v>249615.63999999998</v>
      </c>
      <c r="H218" s="107">
        <f t="shared" si="53"/>
        <v>256297.76000000004</v>
      </c>
      <c r="I218" s="107">
        <f t="shared" si="53"/>
        <v>287698.37</v>
      </c>
      <c r="J218" s="107">
        <f t="shared" si="53"/>
        <v>264114.50999999995</v>
      </c>
      <c r="K218" s="107">
        <f t="shared" si="53"/>
        <v>270984.90999999997</v>
      </c>
      <c r="L218" s="107">
        <f t="shared" si="53"/>
        <v>287191.21999999997</v>
      </c>
      <c r="M218" s="107">
        <f t="shared" si="53"/>
        <v>292448.64000000001</v>
      </c>
      <c r="N218" s="107">
        <v>3383204.94</v>
      </c>
    </row>
    <row r="219" spans="1:14">
      <c r="A219" s="64"/>
      <c r="B219" s="22"/>
      <c r="C219" s="22"/>
      <c r="D219" s="22"/>
      <c r="E219" s="22"/>
      <c r="F219" s="22"/>
      <c r="G219" s="22"/>
      <c r="H219" s="22"/>
      <c r="I219" s="22"/>
      <c r="J219" s="22"/>
      <c r="K219" s="22"/>
      <c r="L219" s="22"/>
      <c r="M219" s="22"/>
      <c r="N219" s="22"/>
    </row>
    <row r="220" spans="1:14">
      <c r="A220" s="64"/>
      <c r="B220" s="22"/>
      <c r="C220" s="22"/>
      <c r="D220" s="22"/>
      <c r="E220" s="22"/>
      <c r="F220" s="22"/>
      <c r="G220" s="22"/>
      <c r="H220" s="22"/>
      <c r="I220" s="22"/>
      <c r="J220" s="22"/>
      <c r="K220" s="22"/>
      <c r="L220" s="22"/>
      <c r="M220" s="22"/>
      <c r="N220" s="22"/>
    </row>
    <row r="221" spans="1:14">
      <c r="A221" s="64" t="s">
        <v>157</v>
      </c>
      <c r="B221" s="22"/>
      <c r="C221" s="22"/>
      <c r="D221" s="22"/>
      <c r="E221" s="22"/>
      <c r="F221" s="22"/>
      <c r="G221" s="22"/>
      <c r="H221" s="22"/>
      <c r="I221" s="22"/>
      <c r="J221" s="22"/>
      <c r="K221" s="22"/>
      <c r="L221" s="22"/>
      <c r="M221" s="22"/>
      <c r="N221" s="22"/>
    </row>
    <row r="222" spans="1:14">
      <c r="A222" s="64" t="s">
        <v>158</v>
      </c>
      <c r="B222" s="22"/>
      <c r="C222" s="22"/>
      <c r="D222" s="107">
        <v>1407.75</v>
      </c>
      <c r="E222" s="107">
        <v>711.75</v>
      </c>
      <c r="F222" s="107">
        <v>-2119.5</v>
      </c>
      <c r="G222" s="22"/>
      <c r="H222" s="22"/>
      <c r="I222" s="22"/>
      <c r="J222" s="22"/>
      <c r="K222" s="22"/>
      <c r="L222" s="22"/>
      <c r="M222" s="107"/>
      <c r="N222" s="107"/>
    </row>
    <row r="223" spans="1:14">
      <c r="A223" s="64" t="s">
        <v>159</v>
      </c>
      <c r="B223" s="107">
        <v>14924.41</v>
      </c>
      <c r="C223" s="107">
        <v>15625.8</v>
      </c>
      <c r="D223" s="107">
        <v>14927.75</v>
      </c>
      <c r="E223" s="107">
        <v>15815.58</v>
      </c>
      <c r="F223" s="107">
        <v>-93533.7</v>
      </c>
      <c r="G223" s="107"/>
      <c r="H223" s="107"/>
      <c r="I223" s="107"/>
      <c r="J223" s="107"/>
      <c r="K223" s="107"/>
      <c r="L223" s="107"/>
      <c r="M223" s="107"/>
      <c r="N223" s="107">
        <v>-32240.16</v>
      </c>
    </row>
    <row r="224" spans="1:14">
      <c r="A224" s="64" t="s">
        <v>160</v>
      </c>
      <c r="B224" s="107">
        <v>1725.73</v>
      </c>
      <c r="C224" s="107">
        <v>1503.75</v>
      </c>
      <c r="D224" s="107">
        <v>1323.55</v>
      </c>
      <c r="E224" s="107">
        <v>1899.77</v>
      </c>
      <c r="F224" s="107">
        <v>-6904.95</v>
      </c>
      <c r="G224" s="22"/>
      <c r="H224" s="107"/>
      <c r="I224" s="107"/>
      <c r="J224" s="22"/>
      <c r="K224" s="22"/>
      <c r="L224" s="22"/>
      <c r="M224" s="22"/>
      <c r="N224" s="107">
        <v>-452.15</v>
      </c>
    </row>
    <row r="225" spans="1:14">
      <c r="A225" s="64" t="s">
        <v>161</v>
      </c>
      <c r="B225" s="111">
        <v>2158.7199999999998</v>
      </c>
      <c r="C225" s="111">
        <v>9442.65</v>
      </c>
      <c r="D225" s="111">
        <v>8928.43</v>
      </c>
      <c r="E225" s="111">
        <v>8730.7199999999993</v>
      </c>
      <c r="F225" s="111">
        <v>-33842.61</v>
      </c>
      <c r="G225" s="111"/>
      <c r="H225" s="111"/>
      <c r="I225" s="111"/>
      <c r="J225" s="113"/>
      <c r="K225" s="113"/>
      <c r="L225" s="111"/>
      <c r="M225" s="113"/>
      <c r="N225" s="111">
        <v>-4582.09</v>
      </c>
    </row>
    <row r="226" spans="1:14">
      <c r="A226" s="64" t="s">
        <v>162</v>
      </c>
      <c r="B226" s="107">
        <f>SUM(B219:B225)</f>
        <v>18808.86</v>
      </c>
      <c r="C226" s="107">
        <f>SUM(C219:C225)</f>
        <v>26572.199999999997</v>
      </c>
      <c r="D226" s="107">
        <f>SUM(D219:D225)</f>
        <v>26587.48</v>
      </c>
      <c r="E226" s="107">
        <f>SUM(E219:E225)</f>
        <v>27157.82</v>
      </c>
      <c r="F226" s="107">
        <f>SUM(F219:F225)</f>
        <v>-136400.76</v>
      </c>
      <c r="G226" s="107"/>
      <c r="H226" s="107"/>
      <c r="I226" s="107"/>
      <c r="J226" s="107"/>
      <c r="K226" s="107"/>
      <c r="L226" s="107"/>
      <c r="M226" s="107"/>
      <c r="N226" s="107">
        <v>-37274.400000000001</v>
      </c>
    </row>
    <row r="227" spans="1:14">
      <c r="A227" s="64"/>
      <c r="B227" s="22"/>
      <c r="C227" s="22"/>
      <c r="D227" s="22"/>
      <c r="E227" s="22"/>
      <c r="F227" s="22"/>
      <c r="G227" s="22"/>
      <c r="H227" s="22"/>
      <c r="I227" s="22"/>
      <c r="J227" s="22"/>
      <c r="K227" s="22"/>
      <c r="L227" s="22"/>
      <c r="M227" s="22"/>
      <c r="N227" s="22"/>
    </row>
    <row r="228" spans="1:14">
      <c r="A228" s="64" t="s">
        <v>163</v>
      </c>
      <c r="B228" s="22"/>
      <c r="C228" s="22"/>
      <c r="D228" s="22"/>
      <c r="E228" s="22"/>
      <c r="F228" s="22"/>
      <c r="G228" s="22"/>
      <c r="H228" s="22"/>
      <c r="I228" s="22"/>
      <c r="J228" s="22"/>
      <c r="K228" s="22"/>
      <c r="L228" s="22"/>
      <c r="M228" s="22"/>
      <c r="N228" s="22"/>
    </row>
    <row r="229" spans="1:14">
      <c r="A229" s="64" t="s">
        <v>164</v>
      </c>
      <c r="B229" s="107">
        <v>25037.24</v>
      </c>
      <c r="C229" s="107">
        <v>25782.9</v>
      </c>
      <c r="D229" s="107">
        <v>26212.46</v>
      </c>
      <c r="E229" s="107">
        <v>22599.46</v>
      </c>
      <c r="F229" s="107">
        <v>22267.68</v>
      </c>
      <c r="G229" s="107">
        <v>24037.64</v>
      </c>
      <c r="H229" s="107">
        <v>21850.65</v>
      </c>
      <c r="I229" s="107">
        <v>23052.66</v>
      </c>
      <c r="J229" s="107">
        <v>20702.97</v>
      </c>
      <c r="K229" s="107">
        <v>22586.14</v>
      </c>
      <c r="L229" s="107">
        <v>24011.27</v>
      </c>
      <c r="M229" s="107">
        <v>24262.38</v>
      </c>
      <c r="N229" s="107">
        <v>282403.45</v>
      </c>
    </row>
    <row r="230" spans="1:14">
      <c r="A230" s="64" t="s">
        <v>165</v>
      </c>
      <c r="B230" s="107">
        <v>1148.8499999999999</v>
      </c>
      <c r="C230" s="107">
        <v>911.09</v>
      </c>
      <c r="D230" s="107">
        <v>775.45</v>
      </c>
      <c r="E230" s="107">
        <v>873.79</v>
      </c>
      <c r="F230" s="107">
        <v>420.56</v>
      </c>
      <c r="G230" s="107">
        <v>7783.63</v>
      </c>
      <c r="H230" s="107">
        <v>2403.91</v>
      </c>
      <c r="I230" s="107">
        <v>454.4</v>
      </c>
      <c r="J230" s="107">
        <v>-562.61</v>
      </c>
      <c r="K230" s="107">
        <v>613.47</v>
      </c>
      <c r="L230" s="107">
        <v>593.52</v>
      </c>
      <c r="M230" s="107">
        <v>1092.46</v>
      </c>
      <c r="N230" s="107">
        <v>16508.52</v>
      </c>
    </row>
    <row r="231" spans="1:14">
      <c r="A231" s="64" t="s">
        <v>166</v>
      </c>
      <c r="B231" s="107">
        <v>3261.37</v>
      </c>
      <c r="C231" s="107">
        <v>3584</v>
      </c>
      <c r="D231" s="107">
        <v>1317.5</v>
      </c>
      <c r="E231" s="107">
        <v>3118.04</v>
      </c>
      <c r="F231" s="107">
        <v>4086.68</v>
      </c>
      <c r="G231" s="107">
        <v>4412.55</v>
      </c>
      <c r="H231" s="107">
        <v>1895.74</v>
      </c>
      <c r="I231" s="107">
        <v>3403.89</v>
      </c>
      <c r="J231" s="107">
        <v>3390.67</v>
      </c>
      <c r="K231" s="107">
        <v>4754.0600000000004</v>
      </c>
      <c r="L231" s="107">
        <v>3404.97</v>
      </c>
      <c r="M231" s="107">
        <v>4651.1499999999996</v>
      </c>
      <c r="N231" s="107">
        <v>41280.620000000003</v>
      </c>
    </row>
    <row r="232" spans="1:14">
      <c r="A232" s="64" t="s">
        <v>167</v>
      </c>
      <c r="B232" s="107">
        <v>14240.56</v>
      </c>
      <c r="C232" s="107">
        <v>10039.77</v>
      </c>
      <c r="D232" s="107">
        <v>4441.7299999999996</v>
      </c>
      <c r="E232" s="107">
        <v>804.89</v>
      </c>
      <c r="F232" s="107">
        <v>4964.43</v>
      </c>
      <c r="G232" s="107">
        <v>6473.16</v>
      </c>
      <c r="H232" s="107">
        <v>6810.28</v>
      </c>
      <c r="I232" s="107">
        <v>7174.43</v>
      </c>
      <c r="J232" s="107">
        <v>2544.87</v>
      </c>
      <c r="K232" s="107">
        <v>10427.57</v>
      </c>
      <c r="L232" s="107">
        <v>17608.93</v>
      </c>
      <c r="M232" s="107">
        <v>16641.55</v>
      </c>
      <c r="N232" s="107">
        <v>102172.17</v>
      </c>
    </row>
    <row r="233" spans="1:14">
      <c r="A233" s="64" t="s">
        <v>168</v>
      </c>
      <c r="B233" s="22"/>
      <c r="C233" s="107">
        <v>10142.84</v>
      </c>
      <c r="D233" s="22"/>
      <c r="E233" s="107">
        <v>8773.08</v>
      </c>
      <c r="F233" s="107">
        <v>9728.77</v>
      </c>
      <c r="G233" s="107">
        <v>10042.4</v>
      </c>
      <c r="H233" s="22"/>
      <c r="I233" s="22"/>
      <c r="J233" s="22"/>
      <c r="K233" s="107">
        <v>12782.27</v>
      </c>
      <c r="L233" s="107">
        <v>-4556.8100000000004</v>
      </c>
      <c r="M233" s="107">
        <v>10189.23</v>
      </c>
      <c r="N233" s="107">
        <v>57101.78</v>
      </c>
    </row>
    <row r="234" spans="1:14">
      <c r="A234" s="64" t="s">
        <v>169</v>
      </c>
      <c r="B234" s="107">
        <v>2317.7399999999998</v>
      </c>
      <c r="C234" s="107">
        <v>1533.4</v>
      </c>
      <c r="D234" s="107">
        <v>3020.79</v>
      </c>
      <c r="E234" s="107">
        <v>1446.46</v>
      </c>
      <c r="F234" s="107">
        <v>5021.05</v>
      </c>
      <c r="G234" s="107">
        <v>14316.15</v>
      </c>
      <c r="H234" s="107">
        <v>1718.56</v>
      </c>
      <c r="I234" s="107">
        <v>2784.38</v>
      </c>
      <c r="J234" s="107">
        <v>3720.26</v>
      </c>
      <c r="K234" s="107">
        <v>3401.28</v>
      </c>
      <c r="L234" s="107">
        <v>3821.24</v>
      </c>
      <c r="M234" s="107">
        <v>9384.84</v>
      </c>
      <c r="N234" s="107">
        <v>52486.15</v>
      </c>
    </row>
    <row r="235" spans="1:14">
      <c r="A235" s="64" t="s">
        <v>318</v>
      </c>
      <c r="B235" s="107">
        <v>7800</v>
      </c>
      <c r="C235" s="107">
        <v>9179.7199999999993</v>
      </c>
      <c r="D235" s="107">
        <v>2340</v>
      </c>
      <c r="E235" s="107">
        <v>3690</v>
      </c>
      <c r="F235" s="107">
        <v>3420</v>
      </c>
      <c r="G235" s="107">
        <v>6113.11</v>
      </c>
      <c r="H235" s="22"/>
      <c r="I235" s="107">
        <v>660</v>
      </c>
      <c r="J235" s="107">
        <v>95</v>
      </c>
      <c r="K235" s="107">
        <v>180</v>
      </c>
      <c r="L235" s="22"/>
      <c r="M235" s="22"/>
      <c r="N235" s="107">
        <v>33477.83</v>
      </c>
    </row>
    <row r="236" spans="1:14">
      <c r="A236" s="64" t="s">
        <v>171</v>
      </c>
      <c r="B236" s="111">
        <v>6111.1</v>
      </c>
      <c r="C236" s="111">
        <v>1533.66</v>
      </c>
      <c r="D236" s="111">
        <v>4993.38</v>
      </c>
      <c r="E236" s="111">
        <v>1840.15</v>
      </c>
      <c r="F236" s="111">
        <v>3083.22</v>
      </c>
      <c r="G236" s="111">
        <v>9007.51</v>
      </c>
      <c r="H236" s="111">
        <v>2722.38</v>
      </c>
      <c r="I236" s="111">
        <v>8324.9</v>
      </c>
      <c r="J236" s="111">
        <v>3408.55</v>
      </c>
      <c r="K236" s="111">
        <v>749.18</v>
      </c>
      <c r="L236" s="111">
        <v>9774.27</v>
      </c>
      <c r="M236" s="111">
        <v>1307.96</v>
      </c>
      <c r="N236" s="111">
        <v>52856.26</v>
      </c>
    </row>
    <row r="237" spans="1:14">
      <c r="A237" s="64" t="s">
        <v>16</v>
      </c>
      <c r="B237" s="107">
        <f t="shared" ref="B237:M237" si="54">SUM(B227:B236)</f>
        <v>59916.859999999993</v>
      </c>
      <c r="C237" s="107">
        <f t="shared" si="54"/>
        <v>62707.380000000012</v>
      </c>
      <c r="D237" s="107">
        <f t="shared" si="54"/>
        <v>43101.31</v>
      </c>
      <c r="E237" s="107">
        <f t="shared" si="54"/>
        <v>43145.87</v>
      </c>
      <c r="F237" s="107">
        <f t="shared" si="54"/>
        <v>52992.390000000007</v>
      </c>
      <c r="G237" s="107">
        <f t="shared" si="54"/>
        <v>82186.149999999994</v>
      </c>
      <c r="H237" s="107">
        <f t="shared" si="54"/>
        <v>37401.519999999997</v>
      </c>
      <c r="I237" s="107">
        <f t="shared" si="54"/>
        <v>45854.66</v>
      </c>
      <c r="J237" s="107">
        <f t="shared" si="54"/>
        <v>33299.71</v>
      </c>
      <c r="K237" s="107">
        <f t="shared" si="54"/>
        <v>55493.970000000008</v>
      </c>
      <c r="L237" s="107">
        <f t="shared" si="54"/>
        <v>54657.39</v>
      </c>
      <c r="M237" s="107">
        <f t="shared" si="54"/>
        <v>67529.569999999992</v>
      </c>
      <c r="N237" s="107">
        <v>638286.78</v>
      </c>
    </row>
    <row r="238" spans="1:14">
      <c r="A238" s="64"/>
      <c r="B238" s="22"/>
      <c r="C238" s="22"/>
      <c r="D238" s="22"/>
      <c r="E238" s="22"/>
      <c r="F238" s="22"/>
      <c r="G238" s="22"/>
      <c r="H238" s="22"/>
      <c r="I238" s="22"/>
      <c r="J238" s="22"/>
      <c r="K238" s="22"/>
      <c r="L238" s="22"/>
      <c r="M238" s="22"/>
      <c r="N238" s="22"/>
    </row>
    <row r="239" spans="1:14">
      <c r="A239" s="64" t="s">
        <v>17</v>
      </c>
      <c r="B239" s="22"/>
      <c r="C239" s="22"/>
      <c r="D239" s="22"/>
      <c r="E239" s="22"/>
      <c r="F239" s="22"/>
      <c r="G239" s="22"/>
      <c r="H239" s="22"/>
      <c r="I239" s="22"/>
      <c r="J239" s="22"/>
      <c r="K239" s="22"/>
      <c r="L239" s="22"/>
      <c r="M239" s="22"/>
      <c r="N239" s="22"/>
    </row>
    <row r="240" spans="1:14">
      <c r="A240" s="64" t="s">
        <v>172</v>
      </c>
      <c r="B240" s="107">
        <v>36338</v>
      </c>
      <c r="C240" s="107">
        <v>33844.99</v>
      </c>
      <c r="D240" s="107">
        <v>39528.980000000003</v>
      </c>
      <c r="E240" s="107">
        <v>37931.39</v>
      </c>
      <c r="F240" s="107">
        <v>38130.33</v>
      </c>
      <c r="G240" s="107">
        <v>41084.589999999997</v>
      </c>
      <c r="H240" s="107">
        <v>40635.86</v>
      </c>
      <c r="I240" s="107">
        <v>30900</v>
      </c>
      <c r="J240" s="107">
        <v>24604.77</v>
      </c>
      <c r="K240" s="107">
        <v>31979.1</v>
      </c>
      <c r="L240" s="107">
        <v>64582.99</v>
      </c>
      <c r="M240" s="107">
        <v>27815.98</v>
      </c>
      <c r="N240" s="107">
        <v>447376.98</v>
      </c>
    </row>
    <row r="241" spans="1:14">
      <c r="A241" s="64" t="s">
        <v>173</v>
      </c>
      <c r="B241" s="107">
        <v>41926.14</v>
      </c>
      <c r="C241" s="107">
        <v>39860.51</v>
      </c>
      <c r="D241" s="107">
        <v>40210</v>
      </c>
      <c r="E241" s="107">
        <v>39021.269999999997</v>
      </c>
      <c r="F241" s="107">
        <v>36710.43</v>
      </c>
      <c r="G241" s="107">
        <v>47465.46</v>
      </c>
      <c r="H241" s="107">
        <v>36641.74</v>
      </c>
      <c r="I241" s="107">
        <v>43455.8</v>
      </c>
      <c r="J241" s="107">
        <v>39845.480000000003</v>
      </c>
      <c r="K241" s="107">
        <v>41890.639999999999</v>
      </c>
      <c r="L241" s="107">
        <v>43791.6</v>
      </c>
      <c r="M241" s="107">
        <v>41884.74</v>
      </c>
      <c r="N241" s="107">
        <v>492703.81</v>
      </c>
    </row>
    <row r="242" spans="1:14">
      <c r="A242" s="64" t="s">
        <v>174</v>
      </c>
      <c r="B242" s="107">
        <v>30907.5</v>
      </c>
      <c r="C242" s="107">
        <v>27000.65</v>
      </c>
      <c r="D242" s="107">
        <v>26918.76</v>
      </c>
      <c r="E242" s="107">
        <v>27691.360000000001</v>
      </c>
      <c r="F242" s="107">
        <v>30441.119999999999</v>
      </c>
      <c r="G242" s="107">
        <v>31002.95</v>
      </c>
      <c r="H242" s="107">
        <v>29137.93</v>
      </c>
      <c r="I242" s="107">
        <v>30400</v>
      </c>
      <c r="J242" s="107">
        <v>27339.49</v>
      </c>
      <c r="K242" s="107">
        <v>28989.9</v>
      </c>
      <c r="L242" s="107">
        <v>31440.19</v>
      </c>
      <c r="M242" s="107">
        <v>36074.730000000003</v>
      </c>
      <c r="N242" s="107">
        <v>357344.58</v>
      </c>
    </row>
    <row r="243" spans="1:14">
      <c r="A243" s="64" t="s">
        <v>175</v>
      </c>
      <c r="B243" s="107">
        <v>4884.76</v>
      </c>
      <c r="C243" s="107">
        <v>6291</v>
      </c>
      <c r="D243" s="107">
        <v>5975.76</v>
      </c>
      <c r="E243" s="107">
        <v>6133.81</v>
      </c>
      <c r="F243" s="107">
        <v>5857.3</v>
      </c>
      <c r="G243" s="107">
        <v>6271.71</v>
      </c>
      <c r="H243" s="107">
        <v>7676.73</v>
      </c>
      <c r="I243" s="107">
        <v>10300</v>
      </c>
      <c r="J243" s="107">
        <v>6856.03</v>
      </c>
      <c r="K243" s="107">
        <v>8253.51</v>
      </c>
      <c r="L243" s="107">
        <v>8263.18</v>
      </c>
      <c r="M243" s="107">
        <v>7369.43</v>
      </c>
      <c r="N243" s="107">
        <v>84133.22</v>
      </c>
    </row>
    <row r="244" spans="1:14">
      <c r="A244" s="64" t="s">
        <v>176</v>
      </c>
      <c r="B244" s="107">
        <v>430.84</v>
      </c>
      <c r="C244" s="22"/>
      <c r="D244" s="107">
        <v>226.47</v>
      </c>
      <c r="E244" s="22"/>
      <c r="F244" s="107">
        <v>277</v>
      </c>
      <c r="G244" s="107">
        <v>237.52</v>
      </c>
      <c r="H244" s="107">
        <v>237.52</v>
      </c>
      <c r="I244" s="107">
        <v>467.13</v>
      </c>
      <c r="J244" s="107">
        <v>274.8</v>
      </c>
      <c r="K244" s="107"/>
      <c r="L244" s="107">
        <v>215.42</v>
      </c>
      <c r="M244" s="107">
        <v>215.42</v>
      </c>
      <c r="N244" s="107">
        <v>2582.12</v>
      </c>
    </row>
    <row r="245" spans="1:14">
      <c r="A245" s="64" t="s">
        <v>177</v>
      </c>
      <c r="B245" s="107">
        <v>1113.82</v>
      </c>
      <c r="C245" s="107">
        <v>1009.7</v>
      </c>
      <c r="D245" s="107">
        <v>758.49</v>
      </c>
      <c r="E245" s="107">
        <v>973.95</v>
      </c>
      <c r="F245" s="107">
        <v>1319.38</v>
      </c>
      <c r="G245" s="107">
        <v>525.99</v>
      </c>
      <c r="H245" s="107">
        <v>674.9</v>
      </c>
      <c r="I245" s="107">
        <v>996.63</v>
      </c>
      <c r="J245" s="107">
        <v>683.62</v>
      </c>
      <c r="K245" s="107">
        <v>718.1</v>
      </c>
      <c r="L245" s="107">
        <v>748.94</v>
      </c>
      <c r="M245" s="107">
        <v>619.11</v>
      </c>
      <c r="N245" s="107">
        <v>10142.629999999999</v>
      </c>
    </row>
    <row r="246" spans="1:14">
      <c r="A246" s="64" t="s">
        <v>178</v>
      </c>
      <c r="B246" s="107">
        <v>2261.16</v>
      </c>
      <c r="C246" s="107">
        <v>2362.8200000000002</v>
      </c>
      <c r="D246" s="107">
        <v>1892.82</v>
      </c>
      <c r="E246" s="107">
        <v>1712.82</v>
      </c>
      <c r="F246" s="107">
        <v>2371.86</v>
      </c>
      <c r="G246" s="107">
        <v>3359.06</v>
      </c>
      <c r="H246" s="107">
        <v>1890</v>
      </c>
      <c r="I246" s="107">
        <v>1300</v>
      </c>
      <c r="J246" s="107">
        <v>952.82</v>
      </c>
      <c r="K246" s="107">
        <v>1672.82</v>
      </c>
      <c r="L246" s="107">
        <v>2921.15</v>
      </c>
      <c r="M246" s="107">
        <v>693.01</v>
      </c>
      <c r="N246" s="107">
        <v>23390.34</v>
      </c>
    </row>
    <row r="247" spans="1:14">
      <c r="A247" s="64" t="s">
        <v>179</v>
      </c>
      <c r="B247" s="107">
        <v>4251.8</v>
      </c>
      <c r="C247" s="107">
        <v>4137.3500000000004</v>
      </c>
      <c r="D247" s="107">
        <v>2729.09</v>
      </c>
      <c r="E247" s="107">
        <v>5253.33</v>
      </c>
      <c r="F247" s="107">
        <v>4982.38</v>
      </c>
      <c r="G247" s="107">
        <v>4109</v>
      </c>
      <c r="H247" s="107">
        <v>4743.42</v>
      </c>
      <c r="I247" s="107">
        <v>3964.91</v>
      </c>
      <c r="J247" s="107">
        <v>3881.24</v>
      </c>
      <c r="K247" s="107">
        <v>4589.99</v>
      </c>
      <c r="L247" s="107">
        <v>5308.1</v>
      </c>
      <c r="M247" s="107">
        <v>5705.79</v>
      </c>
      <c r="N247" s="107">
        <v>53656.4</v>
      </c>
    </row>
    <row r="248" spans="1:14">
      <c r="A248" s="64" t="s">
        <v>180</v>
      </c>
      <c r="B248" s="107">
        <v>1715.52</v>
      </c>
      <c r="C248" s="107">
        <v>2869.92</v>
      </c>
      <c r="D248" s="107">
        <v>1918.79</v>
      </c>
      <c r="E248" s="107">
        <v>904.32</v>
      </c>
      <c r="F248" s="107">
        <v>2418.2600000000002</v>
      </c>
      <c r="G248" s="107">
        <v>2753.78</v>
      </c>
      <c r="H248" s="107">
        <v>1064.53</v>
      </c>
      <c r="I248" s="107">
        <v>1466.84</v>
      </c>
      <c r="J248" s="107">
        <v>1902.4</v>
      </c>
      <c r="K248" s="107">
        <v>2076.73</v>
      </c>
      <c r="L248" s="107">
        <v>2100.6999999999998</v>
      </c>
      <c r="M248" s="107">
        <v>1806.68</v>
      </c>
      <c r="N248" s="107">
        <v>22998.47</v>
      </c>
    </row>
    <row r="249" spans="1:14">
      <c r="A249" s="64" t="s">
        <v>181</v>
      </c>
      <c r="B249" s="107">
        <v>4632.45</v>
      </c>
      <c r="C249" s="107">
        <v>4569.91</v>
      </c>
      <c r="D249" s="107">
        <v>4206.95</v>
      </c>
      <c r="E249" s="107">
        <v>4129.0600000000004</v>
      </c>
      <c r="F249" s="107">
        <v>7013.56</v>
      </c>
      <c r="G249" s="107">
        <v>3859.77</v>
      </c>
      <c r="H249" s="107">
        <v>4263.7299999999996</v>
      </c>
      <c r="I249" s="107">
        <v>3980.12</v>
      </c>
      <c r="J249" s="107">
        <v>3552.39</v>
      </c>
      <c r="K249" s="107">
        <v>4042.9</v>
      </c>
      <c r="L249" s="107">
        <v>4039.5</v>
      </c>
      <c r="M249" s="107">
        <v>4275.79</v>
      </c>
      <c r="N249" s="107">
        <v>52566.13</v>
      </c>
    </row>
    <row r="250" spans="1:14">
      <c r="A250" s="64" t="s">
        <v>182</v>
      </c>
      <c r="B250" s="107">
        <v>740.27</v>
      </c>
      <c r="C250" s="107">
        <v>554.27</v>
      </c>
      <c r="D250" s="107">
        <v>342.28</v>
      </c>
      <c r="E250" s="107">
        <v>313.86</v>
      </c>
      <c r="F250" s="107">
        <v>391.58</v>
      </c>
      <c r="G250" s="107">
        <v>94.25</v>
      </c>
      <c r="H250" s="107">
        <v>284.27</v>
      </c>
      <c r="I250" s="107">
        <v>342.18</v>
      </c>
      <c r="J250" s="107">
        <v>413.42</v>
      </c>
      <c r="K250" s="107">
        <v>529.73</v>
      </c>
      <c r="L250" s="107">
        <v>584.94000000000005</v>
      </c>
      <c r="M250" s="107">
        <v>370.18</v>
      </c>
      <c r="N250" s="107">
        <v>4961.2299999999996</v>
      </c>
    </row>
    <row r="251" spans="1:14">
      <c r="A251" s="64" t="s">
        <v>183</v>
      </c>
      <c r="B251" s="107">
        <v>651.98</v>
      </c>
      <c r="C251" s="107">
        <v>796.13</v>
      </c>
      <c r="D251" s="107">
        <v>514.62</v>
      </c>
      <c r="E251" s="107">
        <v>1032.8699999999999</v>
      </c>
      <c r="F251" s="107">
        <v>1631.46</v>
      </c>
      <c r="G251" s="107">
        <v>559.76</v>
      </c>
      <c r="H251" s="107">
        <v>515.07000000000005</v>
      </c>
      <c r="I251" s="107">
        <v>820.68</v>
      </c>
      <c r="J251" s="107">
        <v>857.59</v>
      </c>
      <c r="K251" s="107">
        <v>884.26</v>
      </c>
      <c r="L251" s="107">
        <v>556.98</v>
      </c>
      <c r="M251" s="107">
        <v>1396.77</v>
      </c>
      <c r="N251" s="107">
        <v>10218.17</v>
      </c>
    </row>
    <row r="252" spans="1:14">
      <c r="A252" s="64" t="s">
        <v>184</v>
      </c>
      <c r="B252" s="111">
        <v>7500.84</v>
      </c>
      <c r="C252" s="111">
        <v>5007.16</v>
      </c>
      <c r="D252" s="111">
        <v>5459.36</v>
      </c>
      <c r="E252" s="111">
        <v>6260.22</v>
      </c>
      <c r="F252" s="111">
        <v>7130.2</v>
      </c>
      <c r="G252" s="111">
        <v>3539.55</v>
      </c>
      <c r="H252" s="111">
        <v>3921.45</v>
      </c>
      <c r="I252" s="111">
        <v>4028.29</v>
      </c>
      <c r="J252" s="111">
        <v>5555.37</v>
      </c>
      <c r="K252" s="111">
        <v>8431.89</v>
      </c>
      <c r="L252" s="111">
        <v>5582.71</v>
      </c>
      <c r="M252" s="111">
        <v>10100.76</v>
      </c>
      <c r="N252" s="111">
        <v>72517.8</v>
      </c>
    </row>
    <row r="253" spans="1:14">
      <c r="A253" s="64" t="s">
        <v>185</v>
      </c>
      <c r="B253" s="107">
        <f t="shared" ref="B253:M253" si="55">SUM(B238:B252)</f>
        <v>137355.08000000002</v>
      </c>
      <c r="C253" s="107">
        <f t="shared" si="55"/>
        <v>128304.41000000002</v>
      </c>
      <c r="D253" s="107">
        <f t="shared" si="55"/>
        <v>130682.37</v>
      </c>
      <c r="E253" s="107">
        <f t="shared" si="55"/>
        <v>131358.26</v>
      </c>
      <c r="F253" s="107">
        <f t="shared" si="55"/>
        <v>138674.86000000002</v>
      </c>
      <c r="G253" s="107">
        <f t="shared" si="55"/>
        <v>144863.38999999998</v>
      </c>
      <c r="H253" s="107">
        <f t="shared" si="55"/>
        <v>131687.15</v>
      </c>
      <c r="I253" s="107">
        <f t="shared" si="55"/>
        <v>132422.57999999999</v>
      </c>
      <c r="J253" s="107">
        <f t="shared" si="55"/>
        <v>116719.42</v>
      </c>
      <c r="K253" s="107">
        <f t="shared" si="55"/>
        <v>134059.56999999998</v>
      </c>
      <c r="L253" s="107">
        <f t="shared" si="55"/>
        <v>170136.40000000002</v>
      </c>
      <c r="M253" s="107">
        <f t="shared" si="55"/>
        <v>138328.38999999998</v>
      </c>
      <c r="N253" s="107">
        <v>1634591.88</v>
      </c>
    </row>
    <row r="254" spans="1:14">
      <c r="A254" s="64"/>
      <c r="B254" s="22"/>
      <c r="C254" s="22"/>
      <c r="D254" s="22"/>
      <c r="E254" s="22"/>
      <c r="F254" s="22"/>
      <c r="G254" s="22"/>
      <c r="H254" s="22"/>
      <c r="I254" s="22"/>
      <c r="J254" s="22"/>
      <c r="K254" s="22"/>
      <c r="L254" s="22"/>
      <c r="M254" s="22"/>
      <c r="N254" s="22"/>
    </row>
    <row r="255" spans="1:14">
      <c r="A255" s="64" t="s">
        <v>186</v>
      </c>
      <c r="B255" s="22"/>
      <c r="C255" s="22"/>
      <c r="D255" s="22"/>
      <c r="E255" s="22"/>
      <c r="F255" s="22"/>
      <c r="G255" s="22"/>
      <c r="H255" s="22"/>
      <c r="I255" s="22"/>
      <c r="J255" s="22"/>
      <c r="K255" s="22"/>
      <c r="L255" s="22"/>
      <c r="M255" s="22"/>
      <c r="N255" s="22"/>
    </row>
    <row r="256" spans="1:14">
      <c r="A256" s="64" t="s">
        <v>187</v>
      </c>
      <c r="B256" s="107">
        <v>7500</v>
      </c>
      <c r="C256" s="107">
        <v>7500</v>
      </c>
      <c r="D256" s="107">
        <v>7500</v>
      </c>
      <c r="E256" s="107">
        <v>7500</v>
      </c>
      <c r="F256" s="107">
        <v>7500</v>
      </c>
      <c r="G256" s="107">
        <v>7500</v>
      </c>
      <c r="H256" s="107">
        <v>7500</v>
      </c>
      <c r="I256" s="107">
        <v>7500</v>
      </c>
      <c r="J256" s="107">
        <v>7500</v>
      </c>
      <c r="K256" s="107">
        <v>7500</v>
      </c>
      <c r="L256" s="107">
        <v>7500</v>
      </c>
      <c r="M256" s="107">
        <v>7500</v>
      </c>
      <c r="N256" s="107">
        <v>90000</v>
      </c>
    </row>
    <row r="257" spans="1:14">
      <c r="A257" s="64" t="s">
        <v>188</v>
      </c>
      <c r="B257" s="107">
        <v>1452.5</v>
      </c>
      <c r="C257" s="107">
        <v>1942.5</v>
      </c>
      <c r="D257" s="107">
        <v>1907.5</v>
      </c>
      <c r="E257" s="107">
        <v>2012.5</v>
      </c>
      <c r="F257" s="107">
        <v>2065</v>
      </c>
      <c r="G257" s="107">
        <v>1802.5</v>
      </c>
      <c r="H257" s="107">
        <v>1890</v>
      </c>
      <c r="I257" s="107">
        <v>1977.5</v>
      </c>
      <c r="J257" s="107">
        <v>1977.5</v>
      </c>
      <c r="K257" s="107">
        <v>1925</v>
      </c>
      <c r="L257" s="107">
        <v>1960</v>
      </c>
      <c r="M257" s="107">
        <v>2100</v>
      </c>
      <c r="N257" s="107">
        <v>23012.5</v>
      </c>
    </row>
    <row r="258" spans="1:14">
      <c r="A258" s="64" t="s">
        <v>189</v>
      </c>
      <c r="B258" s="22"/>
      <c r="C258" s="22"/>
      <c r="D258" s="22"/>
      <c r="E258" s="22"/>
      <c r="F258" s="22"/>
      <c r="G258" s="22"/>
      <c r="H258" s="22"/>
      <c r="I258" s="22"/>
      <c r="J258" s="107">
        <v>550</v>
      </c>
      <c r="K258" s="22"/>
      <c r="L258" s="22"/>
      <c r="M258" s="22"/>
      <c r="N258" s="107">
        <v>550</v>
      </c>
    </row>
    <row r="259" spans="1:14">
      <c r="A259" s="64" t="s">
        <v>190</v>
      </c>
      <c r="B259" s="107">
        <v>1960</v>
      </c>
      <c r="C259" s="107">
        <v>1575</v>
      </c>
      <c r="D259" s="107">
        <v>2135</v>
      </c>
      <c r="E259" s="107">
        <v>2075</v>
      </c>
      <c r="F259" s="107">
        <v>3528</v>
      </c>
      <c r="G259" s="107">
        <v>1747</v>
      </c>
      <c r="H259" s="107">
        <v>2870.49</v>
      </c>
      <c r="I259" s="107">
        <v>2150.4899999999998</v>
      </c>
      <c r="J259" s="107">
        <v>2500.4899999999998</v>
      </c>
      <c r="K259" s="107">
        <v>3065</v>
      </c>
      <c r="L259" s="107">
        <v>3015</v>
      </c>
      <c r="M259" s="107">
        <v>2305</v>
      </c>
      <c r="N259" s="107">
        <v>28926.47</v>
      </c>
    </row>
    <row r="260" spans="1:14">
      <c r="A260" s="64" t="s">
        <v>191</v>
      </c>
      <c r="B260" s="107">
        <v>14725.35</v>
      </c>
      <c r="C260" s="107">
        <v>13731.17</v>
      </c>
      <c r="D260" s="107">
        <v>12699.31</v>
      </c>
      <c r="E260" s="107">
        <v>11710.84</v>
      </c>
      <c r="F260" s="107">
        <v>13423.54</v>
      </c>
      <c r="G260" s="107">
        <v>12443.02</v>
      </c>
      <c r="H260" s="107">
        <v>15935.98</v>
      </c>
      <c r="I260" s="107">
        <v>13863.88</v>
      </c>
      <c r="J260" s="107">
        <v>9927.76</v>
      </c>
      <c r="K260" s="107">
        <v>14282.09</v>
      </c>
      <c r="L260" s="107">
        <v>14743.71</v>
      </c>
      <c r="M260" s="107"/>
      <c r="N260" s="107">
        <v>147486.65</v>
      </c>
    </row>
    <row r="261" spans="1:14">
      <c r="A261" s="64" t="s">
        <v>415</v>
      </c>
      <c r="B261" s="22"/>
      <c r="C261" s="22"/>
      <c r="D261" s="22"/>
      <c r="E261" s="22"/>
      <c r="F261" s="22"/>
      <c r="G261" s="22"/>
      <c r="H261" s="22"/>
      <c r="I261" s="22"/>
      <c r="J261" s="22"/>
      <c r="K261" s="22"/>
      <c r="L261" s="22"/>
      <c r="M261" s="107">
        <v>10726.5</v>
      </c>
      <c r="N261" s="107">
        <v>10726.5</v>
      </c>
    </row>
    <row r="262" spans="1:14">
      <c r="A262" s="64" t="s">
        <v>416</v>
      </c>
      <c r="B262" s="22"/>
      <c r="C262" s="22"/>
      <c r="D262" s="22"/>
      <c r="E262" s="22"/>
      <c r="F262" s="22"/>
      <c r="G262" s="22"/>
      <c r="H262" s="22"/>
      <c r="I262" s="22"/>
      <c r="J262" s="22"/>
      <c r="K262" s="22"/>
      <c r="L262" s="22"/>
      <c r="M262" s="107">
        <v>855.79</v>
      </c>
      <c r="N262" s="107">
        <v>855.79</v>
      </c>
    </row>
    <row r="263" spans="1:14">
      <c r="A263" s="64" t="s">
        <v>417</v>
      </c>
      <c r="B263" s="22"/>
      <c r="C263" s="22"/>
      <c r="D263" s="22"/>
      <c r="E263" s="22"/>
      <c r="F263" s="22"/>
      <c r="G263" s="22"/>
      <c r="H263" s="22"/>
      <c r="I263" s="22"/>
      <c r="J263" s="22"/>
      <c r="K263" s="22"/>
      <c r="L263" s="22"/>
      <c r="M263" s="107">
        <v>6000.54</v>
      </c>
      <c r="N263" s="107">
        <v>6000.54</v>
      </c>
    </row>
    <row r="264" spans="1:14">
      <c r="A264" s="64" t="s">
        <v>192</v>
      </c>
      <c r="B264" s="107">
        <v>988.15</v>
      </c>
      <c r="C264" s="107">
        <v>1030.43</v>
      </c>
      <c r="D264" s="107">
        <v>1030.43</v>
      </c>
      <c r="E264" s="107">
        <v>1030.43</v>
      </c>
      <c r="F264" s="107">
        <v>1030.43</v>
      </c>
      <c r="G264" s="107">
        <v>951.95</v>
      </c>
      <c r="H264" s="107">
        <v>1030.43</v>
      </c>
      <c r="I264" s="107">
        <v>951.95</v>
      </c>
      <c r="J264" s="107">
        <v>951.95</v>
      </c>
      <c r="K264" s="107">
        <v>951.95</v>
      </c>
      <c r="L264" s="107">
        <v>951.95</v>
      </c>
      <c r="M264" s="107">
        <v>951.95</v>
      </c>
      <c r="N264" s="107">
        <v>11852</v>
      </c>
    </row>
    <row r="265" spans="1:14">
      <c r="A265" s="64" t="s">
        <v>193</v>
      </c>
      <c r="B265" s="107">
        <v>1996.09</v>
      </c>
      <c r="C265" s="107">
        <v>2020.76</v>
      </c>
      <c r="D265" s="107">
        <v>1997.03</v>
      </c>
      <c r="E265" s="107">
        <v>1998.46</v>
      </c>
      <c r="F265" s="107">
        <v>1988.7</v>
      </c>
      <c r="G265" s="107">
        <v>1996.73</v>
      </c>
      <c r="H265" s="107">
        <v>1975.76</v>
      </c>
      <c r="I265" s="107">
        <v>1996.01</v>
      </c>
      <c r="J265" s="107">
        <v>1980.17</v>
      </c>
      <c r="K265" s="107">
        <v>2009.05</v>
      </c>
      <c r="L265" s="107">
        <v>2016.12</v>
      </c>
      <c r="M265" s="107">
        <v>2131.3000000000002</v>
      </c>
      <c r="N265" s="107">
        <v>24106.18</v>
      </c>
    </row>
    <row r="266" spans="1:14">
      <c r="A266" s="64" t="s">
        <v>194</v>
      </c>
      <c r="B266" s="107">
        <v>1557.91</v>
      </c>
      <c r="C266" s="107">
        <v>8281.0499999999993</v>
      </c>
      <c r="D266" s="107">
        <v>2826.76</v>
      </c>
      <c r="E266" s="107">
        <v>3480.26</v>
      </c>
      <c r="F266" s="107">
        <v>3212.32</v>
      </c>
      <c r="G266" s="107">
        <v>2958.16</v>
      </c>
      <c r="H266" s="107">
        <v>2776.12</v>
      </c>
      <c r="I266" s="107">
        <v>1216.22</v>
      </c>
      <c r="J266" s="107">
        <v>4439.59</v>
      </c>
      <c r="K266" s="107">
        <v>5030.76</v>
      </c>
      <c r="L266" s="107">
        <v>4121.71</v>
      </c>
      <c r="M266" s="107">
        <v>6209.75</v>
      </c>
      <c r="N266" s="107">
        <v>46110.61</v>
      </c>
    </row>
    <row r="267" spans="1:14">
      <c r="A267" s="64" t="s">
        <v>195</v>
      </c>
      <c r="B267" s="107">
        <v>17858.830000000002</v>
      </c>
      <c r="C267" s="107">
        <v>17858.830000000002</v>
      </c>
      <c r="D267" s="107">
        <v>18149.080000000002</v>
      </c>
      <c r="E267" s="107">
        <v>17858.82</v>
      </c>
      <c r="F267" s="107">
        <v>17858.830000000002</v>
      </c>
      <c r="G267" s="107">
        <v>17858.830000000002</v>
      </c>
      <c r="H267" s="107">
        <v>17858.830000000002</v>
      </c>
      <c r="I267" s="107">
        <v>17858.830000000002</v>
      </c>
      <c r="J267" s="107">
        <v>17858.830000000002</v>
      </c>
      <c r="K267" s="107">
        <v>18930.38</v>
      </c>
      <c r="L267" s="107">
        <v>18782.23</v>
      </c>
      <c r="M267" s="107">
        <v>18394.61</v>
      </c>
      <c r="N267" s="107">
        <v>217126.93</v>
      </c>
    </row>
    <row r="268" spans="1:14">
      <c r="A268" s="64" t="s">
        <v>196</v>
      </c>
      <c r="B268" s="107">
        <v>10643</v>
      </c>
      <c r="C268" s="107">
        <v>-1092.2</v>
      </c>
      <c r="D268" s="107">
        <v>8295.9699999999993</v>
      </c>
      <c r="E268" s="107">
        <v>8295.9599999999991</v>
      </c>
      <c r="F268" s="107">
        <v>8295.9599999999991</v>
      </c>
      <c r="G268" s="107">
        <v>8295.9599999999991</v>
      </c>
      <c r="H268" s="107">
        <v>8295.9599999999991</v>
      </c>
      <c r="I268" s="107">
        <v>8295.9599999999991</v>
      </c>
      <c r="J268" s="107">
        <v>8295.9599999999991</v>
      </c>
      <c r="K268" s="107">
        <v>8793.7199999999993</v>
      </c>
      <c r="L268" s="107">
        <v>8544.84</v>
      </c>
      <c r="M268" s="107">
        <v>8544.84</v>
      </c>
      <c r="N268" s="107">
        <v>93505.93</v>
      </c>
    </row>
    <row r="269" spans="1:14">
      <c r="A269" s="64" t="s">
        <v>197</v>
      </c>
      <c r="B269" s="107">
        <v>44237.15</v>
      </c>
      <c r="C269" s="107">
        <v>44382.87</v>
      </c>
      <c r="D269" s="107">
        <v>44348.82</v>
      </c>
      <c r="E269" s="107">
        <v>44329.53</v>
      </c>
      <c r="F269" s="107">
        <v>44875.29</v>
      </c>
      <c r="G269" s="107">
        <v>46556.98</v>
      </c>
      <c r="H269" s="107">
        <v>47125.4</v>
      </c>
      <c r="I269" s="107">
        <v>46486.58</v>
      </c>
      <c r="J269" s="107">
        <v>48900</v>
      </c>
      <c r="K269" s="107">
        <v>50698.22</v>
      </c>
      <c r="L269" s="107">
        <v>43823.47</v>
      </c>
      <c r="M269" s="107">
        <v>49857.88</v>
      </c>
      <c r="N269" s="107">
        <v>555622.18999999994</v>
      </c>
    </row>
    <row r="270" spans="1:14">
      <c r="A270" s="64" t="s">
        <v>198</v>
      </c>
      <c r="B270" s="107">
        <v>672.79</v>
      </c>
      <c r="C270" s="107">
        <v>683.9</v>
      </c>
      <c r="D270" s="107">
        <v>673.81</v>
      </c>
      <c r="E270" s="107">
        <v>681.17</v>
      </c>
      <c r="F270" s="107">
        <v>685.9</v>
      </c>
      <c r="G270" s="107">
        <v>732.92</v>
      </c>
      <c r="H270" s="107">
        <v>730.74</v>
      </c>
      <c r="I270" s="107">
        <v>743.66</v>
      </c>
      <c r="J270" s="107">
        <v>700</v>
      </c>
      <c r="K270" s="107">
        <v>1010.84</v>
      </c>
      <c r="L270" s="107">
        <v>801.06</v>
      </c>
      <c r="M270" s="107">
        <v>812.77</v>
      </c>
      <c r="N270" s="107">
        <v>8929.56</v>
      </c>
    </row>
    <row r="271" spans="1:14">
      <c r="A271" s="64" t="s">
        <v>199</v>
      </c>
      <c r="B271" s="107">
        <v>693.25</v>
      </c>
      <c r="C271" s="107">
        <v>1194.75</v>
      </c>
      <c r="D271" s="107">
        <v>137.66999999999999</v>
      </c>
      <c r="E271" s="107">
        <v>335.08</v>
      </c>
      <c r="F271" s="107">
        <v>720</v>
      </c>
      <c r="G271" s="107">
        <v>540</v>
      </c>
      <c r="H271" s="107">
        <v>495</v>
      </c>
      <c r="I271" s="107">
        <v>500</v>
      </c>
      <c r="J271" s="107">
        <v>224.5</v>
      </c>
      <c r="K271" s="107">
        <v>420.5</v>
      </c>
      <c r="L271" s="107">
        <v>162.25</v>
      </c>
      <c r="M271" s="107">
        <v>425.25</v>
      </c>
      <c r="N271" s="107">
        <v>5848.25</v>
      </c>
    </row>
    <row r="272" spans="1:14">
      <c r="A272" s="64" t="s">
        <v>200</v>
      </c>
      <c r="B272" s="107">
        <v>1600</v>
      </c>
      <c r="C272" s="107">
        <v>1600</v>
      </c>
      <c r="D272" s="107">
        <v>1600</v>
      </c>
      <c r="E272" s="107">
        <v>1600</v>
      </c>
      <c r="F272" s="107">
        <v>1600</v>
      </c>
      <c r="G272" s="107">
        <v>1600</v>
      </c>
      <c r="H272" s="107">
        <v>1600</v>
      </c>
      <c r="I272" s="107">
        <v>2200</v>
      </c>
      <c r="J272" s="107">
        <v>1600</v>
      </c>
      <c r="K272" s="107">
        <v>2235</v>
      </c>
      <c r="L272" s="107">
        <v>1600</v>
      </c>
      <c r="M272" s="107">
        <v>1600</v>
      </c>
      <c r="N272" s="107">
        <v>20435</v>
      </c>
    </row>
    <row r="273" spans="1:14">
      <c r="A273" s="64" t="s">
        <v>201</v>
      </c>
      <c r="B273" s="107">
        <v>306.24</v>
      </c>
      <c r="C273" s="107">
        <v>306.24</v>
      </c>
      <c r="D273" s="107">
        <v>306.24</v>
      </c>
      <c r="E273" s="107">
        <v>306.24</v>
      </c>
      <c r="F273" s="107">
        <v>282.89999999999998</v>
      </c>
      <c r="G273" s="107">
        <v>282.89999999999998</v>
      </c>
      <c r="H273" s="107">
        <v>282.89999999999998</v>
      </c>
      <c r="I273" s="107">
        <v>282.89999999999998</v>
      </c>
      <c r="J273" s="107">
        <v>332.9</v>
      </c>
      <c r="K273" s="107">
        <v>282.89999999999998</v>
      </c>
      <c r="L273" s="107">
        <v>282.89999999999998</v>
      </c>
      <c r="M273" s="107">
        <v>282.89999999999998</v>
      </c>
      <c r="N273" s="107">
        <v>3538.16</v>
      </c>
    </row>
    <row r="274" spans="1:14">
      <c r="A274" s="64" t="s">
        <v>202</v>
      </c>
      <c r="B274" s="107">
        <v>650.46</v>
      </c>
      <c r="C274" s="22"/>
      <c r="D274" s="22"/>
      <c r="E274" s="22"/>
      <c r="F274" s="22"/>
      <c r="G274" s="107">
        <v>4160</v>
      </c>
      <c r="H274" s="107">
        <v>75</v>
      </c>
      <c r="I274" s="107">
        <v>627.14</v>
      </c>
      <c r="J274" s="107">
        <v>827.5</v>
      </c>
      <c r="K274" s="107">
        <v>4680</v>
      </c>
      <c r="L274" s="107">
        <v>14195.65</v>
      </c>
      <c r="M274" s="107">
        <v>1020</v>
      </c>
      <c r="N274" s="107">
        <v>26235.75</v>
      </c>
    </row>
    <row r="275" spans="1:14">
      <c r="A275" s="64" t="s">
        <v>203</v>
      </c>
      <c r="B275" s="107">
        <v>9596.43</v>
      </c>
      <c r="C275" s="107">
        <v>11146.96</v>
      </c>
      <c r="D275" s="107">
        <v>11392.48</v>
      </c>
      <c r="E275" s="107">
        <v>9527.5400000000009</v>
      </c>
      <c r="F275" s="107">
        <v>10170.209999999999</v>
      </c>
      <c r="G275" s="107">
        <v>9314.82</v>
      </c>
      <c r="H275" s="107">
        <v>10050.61</v>
      </c>
      <c r="I275" s="107">
        <v>11773.48</v>
      </c>
      <c r="J275" s="107">
        <v>9331.48</v>
      </c>
      <c r="K275" s="107">
        <v>12140.53</v>
      </c>
      <c r="L275" s="107">
        <v>9799.64</v>
      </c>
      <c r="M275" s="107">
        <v>13896.83</v>
      </c>
      <c r="N275" s="107">
        <v>128141.01</v>
      </c>
    </row>
    <row r="276" spans="1:14">
      <c r="A276" s="64" t="s">
        <v>204</v>
      </c>
      <c r="B276" s="107">
        <v>38193</v>
      </c>
      <c r="C276" s="107">
        <v>42717</v>
      </c>
      <c r="D276" s="107">
        <v>45109</v>
      </c>
      <c r="E276" s="107">
        <v>41214</v>
      </c>
      <c r="F276" s="107">
        <v>100537</v>
      </c>
      <c r="G276" s="107">
        <v>54357</v>
      </c>
      <c r="H276" s="107">
        <v>45715</v>
      </c>
      <c r="I276" s="107">
        <v>40932</v>
      </c>
      <c r="J276" s="107">
        <v>38680</v>
      </c>
      <c r="K276" s="107">
        <v>46119</v>
      </c>
      <c r="L276" s="107">
        <v>49828</v>
      </c>
      <c r="M276" s="107">
        <v>48087</v>
      </c>
      <c r="N276" s="107">
        <v>591488</v>
      </c>
    </row>
    <row r="277" spans="1:14">
      <c r="A277" s="64" t="s">
        <v>205</v>
      </c>
      <c r="B277" s="107">
        <v>901.42</v>
      </c>
      <c r="C277" s="107">
        <v>1467.64</v>
      </c>
      <c r="D277" s="107">
        <v>900.94</v>
      </c>
      <c r="E277" s="107">
        <v>904.52</v>
      </c>
      <c r="F277" s="107">
        <v>651.14</v>
      </c>
      <c r="G277" s="107">
        <v>617.01</v>
      </c>
      <c r="H277" s="107">
        <v>625.75</v>
      </c>
      <c r="I277" s="107">
        <v>761.09</v>
      </c>
      <c r="J277" s="107">
        <v>626.55999999999995</v>
      </c>
      <c r="K277" s="107">
        <v>642.07000000000005</v>
      </c>
      <c r="L277" s="107">
        <v>502.22</v>
      </c>
      <c r="M277" s="107">
        <v>618.87</v>
      </c>
      <c r="N277" s="107">
        <v>9219.23</v>
      </c>
    </row>
    <row r="278" spans="1:14">
      <c r="A278" s="64" t="s">
        <v>206</v>
      </c>
      <c r="B278" s="111">
        <v>973.69</v>
      </c>
      <c r="C278" s="111">
        <v>554.17999999999995</v>
      </c>
      <c r="D278" s="111">
        <v>1442.35</v>
      </c>
      <c r="E278" s="111">
        <v>1037.8900000000001</v>
      </c>
      <c r="F278" s="111">
        <v>1278.33</v>
      </c>
      <c r="G278" s="111">
        <v>502.74</v>
      </c>
      <c r="H278" s="111">
        <v>647.05999999999995</v>
      </c>
      <c r="I278" s="111">
        <v>834.92</v>
      </c>
      <c r="J278" s="111">
        <v>890.87</v>
      </c>
      <c r="K278" s="111">
        <v>501.54</v>
      </c>
      <c r="L278" s="111">
        <v>637.98</v>
      </c>
      <c r="M278" s="111">
        <v>1242.68</v>
      </c>
      <c r="N278" s="111">
        <v>10544.23</v>
      </c>
    </row>
    <row r="279" spans="1:14">
      <c r="A279" s="64" t="s">
        <v>207</v>
      </c>
      <c r="B279" s="107">
        <f t="shared" ref="B279:M279" si="56">SUM(B254:B278)</f>
        <v>156506.26000000004</v>
      </c>
      <c r="C279" s="107">
        <f t="shared" si="56"/>
        <v>156901.08000000002</v>
      </c>
      <c r="D279" s="107">
        <f t="shared" si="56"/>
        <v>162452.38999999998</v>
      </c>
      <c r="E279" s="107">
        <f t="shared" si="56"/>
        <v>155898.23999999999</v>
      </c>
      <c r="F279" s="107">
        <f t="shared" si="56"/>
        <v>219703.55</v>
      </c>
      <c r="G279" s="107">
        <f t="shared" si="56"/>
        <v>174218.52</v>
      </c>
      <c r="H279" s="107">
        <f t="shared" si="56"/>
        <v>167481.03</v>
      </c>
      <c r="I279" s="107">
        <f t="shared" si="56"/>
        <v>160952.61000000002</v>
      </c>
      <c r="J279" s="107">
        <f t="shared" si="56"/>
        <v>158096.06</v>
      </c>
      <c r="K279" s="107">
        <f t="shared" si="56"/>
        <v>181218.55000000002</v>
      </c>
      <c r="L279" s="107">
        <f t="shared" si="56"/>
        <v>183268.72999999998</v>
      </c>
      <c r="M279" s="107">
        <f t="shared" si="56"/>
        <v>183564.46</v>
      </c>
      <c r="N279" s="107">
        <v>2060261.48</v>
      </c>
    </row>
    <row r="280" spans="1:14">
      <c r="A280" s="64"/>
      <c r="B280" s="22"/>
      <c r="C280" s="22"/>
      <c r="D280" s="22"/>
      <c r="E280" s="22"/>
      <c r="F280" s="22"/>
      <c r="G280" s="22"/>
      <c r="H280" s="22"/>
      <c r="I280" s="22"/>
      <c r="J280" s="22"/>
      <c r="K280" s="22"/>
      <c r="L280" s="22"/>
      <c r="M280" s="22"/>
      <c r="N280" s="22"/>
    </row>
    <row r="281" spans="1:14">
      <c r="A281" s="64" t="s">
        <v>15</v>
      </c>
      <c r="B281" s="22"/>
      <c r="C281" s="22"/>
      <c r="D281" s="22"/>
      <c r="E281" s="22"/>
      <c r="F281" s="22"/>
      <c r="G281" s="22"/>
      <c r="H281" s="22"/>
      <c r="I281" s="22"/>
      <c r="J281" s="22"/>
      <c r="K281" s="22"/>
      <c r="L281" s="22"/>
      <c r="M281" s="22"/>
      <c r="N281" s="22"/>
    </row>
    <row r="282" spans="1:14">
      <c r="A282" s="64" t="s">
        <v>208</v>
      </c>
      <c r="B282" s="107">
        <v>4301.37</v>
      </c>
      <c r="C282" s="107">
        <v>2848.93</v>
      </c>
      <c r="D282" s="107">
        <v>3423.07</v>
      </c>
      <c r="E282" s="107">
        <v>3516.6</v>
      </c>
      <c r="F282" s="107">
        <v>7110.06</v>
      </c>
      <c r="G282" s="107">
        <v>4229.96</v>
      </c>
      <c r="H282" s="107">
        <v>4124.07</v>
      </c>
      <c r="I282" s="107">
        <v>3548.2</v>
      </c>
      <c r="J282" s="107">
        <v>3537.83</v>
      </c>
      <c r="K282" s="107">
        <v>3936.19</v>
      </c>
      <c r="L282" s="107">
        <v>3985.92</v>
      </c>
      <c r="M282" s="107">
        <v>3294.57</v>
      </c>
      <c r="N282" s="107">
        <v>47856.77</v>
      </c>
    </row>
    <row r="283" spans="1:14">
      <c r="A283" s="64" t="s">
        <v>209</v>
      </c>
      <c r="B283" s="107">
        <v>881.25</v>
      </c>
      <c r="C283" s="107">
        <v>1307.8499999999999</v>
      </c>
      <c r="D283" s="107">
        <v>731.08</v>
      </c>
      <c r="E283" s="107">
        <v>1078.72</v>
      </c>
      <c r="F283" s="107">
        <v>1545.79</v>
      </c>
      <c r="G283" s="107">
        <v>1282.68</v>
      </c>
      <c r="H283" s="107">
        <v>1284.97</v>
      </c>
      <c r="I283" s="107">
        <v>1589.55</v>
      </c>
      <c r="J283" s="107">
        <v>2322.56</v>
      </c>
      <c r="K283" s="107">
        <v>840.14</v>
      </c>
      <c r="L283" s="107">
        <v>1741.19</v>
      </c>
      <c r="M283" s="107">
        <v>1643.59</v>
      </c>
      <c r="N283" s="107">
        <v>16249.37</v>
      </c>
    </row>
    <row r="284" spans="1:14">
      <c r="A284" s="64" t="s">
        <v>210</v>
      </c>
      <c r="B284" s="107">
        <v>394.33</v>
      </c>
      <c r="C284" s="107">
        <v>521.29999999999995</v>
      </c>
      <c r="D284" s="107">
        <v>662.07</v>
      </c>
      <c r="E284" s="107">
        <v>752.48</v>
      </c>
      <c r="F284" s="107">
        <v>1040.25</v>
      </c>
      <c r="G284" s="107">
        <v>288.54000000000002</v>
      </c>
      <c r="H284" s="107">
        <v>774.38</v>
      </c>
      <c r="I284" s="107">
        <v>1297.68</v>
      </c>
      <c r="J284" s="107">
        <v>608.91999999999996</v>
      </c>
      <c r="K284" s="107">
        <v>459.43</v>
      </c>
      <c r="L284" s="107">
        <v>415</v>
      </c>
      <c r="M284" s="107">
        <v>1199.8</v>
      </c>
      <c r="N284" s="107">
        <v>8414.18</v>
      </c>
    </row>
    <row r="285" spans="1:14">
      <c r="A285" s="64" t="s">
        <v>211</v>
      </c>
      <c r="B285" s="107">
        <v>315.31</v>
      </c>
      <c r="C285" s="107">
        <v>258.12</v>
      </c>
      <c r="D285" s="107">
        <v>289.63</v>
      </c>
      <c r="E285" s="107">
        <v>299.38</v>
      </c>
      <c r="F285" s="107">
        <v>481.9</v>
      </c>
      <c r="G285" s="107">
        <v>240.95</v>
      </c>
      <c r="H285" s="107">
        <v>241.95</v>
      </c>
      <c r="I285" s="107">
        <v>288.10000000000002</v>
      </c>
      <c r="J285" s="107">
        <v>403.35</v>
      </c>
      <c r="K285" s="107">
        <v>242.95</v>
      </c>
      <c r="L285" s="107">
        <v>421.07</v>
      </c>
      <c r="M285" s="107">
        <v>342.95</v>
      </c>
      <c r="N285" s="107">
        <v>3825.66</v>
      </c>
    </row>
    <row r="286" spans="1:14">
      <c r="A286" s="64" t="s">
        <v>195</v>
      </c>
      <c r="B286" s="107">
        <v>49.52</v>
      </c>
      <c r="C286" s="22"/>
      <c r="D286" s="107">
        <v>17.3</v>
      </c>
      <c r="E286" s="107">
        <v>43.98</v>
      </c>
      <c r="F286" s="107">
        <v>87.39</v>
      </c>
      <c r="G286" s="107">
        <v>26.25</v>
      </c>
      <c r="H286" s="107">
        <v>34.56</v>
      </c>
      <c r="I286" s="107">
        <v>19.45</v>
      </c>
      <c r="J286" s="22"/>
      <c r="K286" s="107">
        <v>16.13</v>
      </c>
      <c r="L286" s="22"/>
      <c r="M286" s="107">
        <v>57.58</v>
      </c>
      <c r="N286" s="107">
        <v>352.16</v>
      </c>
    </row>
    <row r="287" spans="1:14">
      <c r="A287" s="64" t="s">
        <v>212</v>
      </c>
      <c r="B287" s="107">
        <v>19.309999999999999</v>
      </c>
      <c r="C287" s="22"/>
      <c r="D287" s="107">
        <v>950</v>
      </c>
      <c r="E287" s="22"/>
      <c r="F287" s="22"/>
      <c r="G287" s="22"/>
      <c r="H287" s="22"/>
      <c r="I287" s="22"/>
      <c r="J287" s="22"/>
      <c r="K287" s="22"/>
      <c r="L287" s="22"/>
      <c r="M287" s="22"/>
      <c r="N287" s="107">
        <v>969.31</v>
      </c>
    </row>
    <row r="288" spans="1:14">
      <c r="A288" s="64" t="s">
        <v>213</v>
      </c>
      <c r="B288" s="22"/>
      <c r="C288" s="22"/>
      <c r="D288" s="22"/>
      <c r="E288" s="22"/>
      <c r="F288" s="107">
        <v>641</v>
      </c>
      <c r="G288" s="107"/>
      <c r="H288" s="22"/>
      <c r="I288" s="22"/>
      <c r="J288" s="22"/>
      <c r="K288" s="22"/>
      <c r="L288" s="22"/>
      <c r="M288" s="22"/>
      <c r="N288" s="107">
        <v>641</v>
      </c>
    </row>
    <row r="289" spans="1:14">
      <c r="A289" s="64" t="s">
        <v>214</v>
      </c>
      <c r="B289" s="107">
        <v>290.83999999999997</v>
      </c>
      <c r="C289" s="107">
        <v>332.94</v>
      </c>
      <c r="D289" s="107">
        <v>193</v>
      </c>
      <c r="E289" s="107">
        <v>486.51</v>
      </c>
      <c r="F289" s="107">
        <v>495.67</v>
      </c>
      <c r="G289" s="107">
        <v>386</v>
      </c>
      <c r="H289" s="107"/>
      <c r="I289" s="107">
        <v>740.13</v>
      </c>
      <c r="J289" s="107">
        <v>342.14</v>
      </c>
      <c r="K289" s="107">
        <v>416.55</v>
      </c>
      <c r="L289" s="107">
        <v>186.51</v>
      </c>
      <c r="M289" s="107">
        <v>407.48</v>
      </c>
      <c r="N289" s="107">
        <v>4277.7700000000004</v>
      </c>
    </row>
    <row r="290" spans="1:14">
      <c r="A290" s="64" t="s">
        <v>215</v>
      </c>
      <c r="B290" s="107"/>
      <c r="C290" s="107">
        <v>113.99</v>
      </c>
      <c r="D290" s="22"/>
      <c r="E290" s="107">
        <v>42.62</v>
      </c>
      <c r="F290" s="107">
        <v>126.51</v>
      </c>
      <c r="G290" s="107">
        <v>48.32</v>
      </c>
      <c r="H290" s="107">
        <v>537.19000000000005</v>
      </c>
      <c r="I290" s="22"/>
      <c r="J290" s="22"/>
      <c r="K290" s="107">
        <v>222.93</v>
      </c>
      <c r="L290" s="107">
        <v>149.57</v>
      </c>
      <c r="M290" s="107">
        <v>39.65</v>
      </c>
      <c r="N290" s="107">
        <v>1280.78</v>
      </c>
    </row>
    <row r="291" spans="1:14">
      <c r="A291" s="64" t="s">
        <v>216</v>
      </c>
      <c r="B291" s="107">
        <v>3459.63</v>
      </c>
      <c r="C291" s="107">
        <v>4216.7299999999996</v>
      </c>
      <c r="D291" s="107">
        <v>1442.85</v>
      </c>
      <c r="E291" s="107">
        <v>2630.62</v>
      </c>
      <c r="F291" s="107">
        <v>2527.4699999999998</v>
      </c>
      <c r="G291" s="107">
        <v>1236.31</v>
      </c>
      <c r="H291" s="107">
        <v>1675.45</v>
      </c>
      <c r="I291" s="107">
        <v>983.91</v>
      </c>
      <c r="J291" s="107">
        <v>2395.0100000000002</v>
      </c>
      <c r="K291" s="107">
        <v>3798.18</v>
      </c>
      <c r="L291" s="107">
        <v>2512.41</v>
      </c>
      <c r="M291" s="107">
        <v>2570.98</v>
      </c>
      <c r="N291" s="107">
        <v>29449.55</v>
      </c>
    </row>
    <row r="292" spans="1:14">
      <c r="A292" s="64" t="s">
        <v>217</v>
      </c>
      <c r="B292" s="107">
        <v>174.37</v>
      </c>
      <c r="C292" s="107">
        <v>1159.71</v>
      </c>
      <c r="D292" s="107">
        <v>512.96</v>
      </c>
      <c r="E292" s="107">
        <v>727.98</v>
      </c>
      <c r="F292" s="107"/>
      <c r="G292" s="107"/>
      <c r="H292" s="107">
        <v>1201.3499999999999</v>
      </c>
      <c r="I292" s="107">
        <v>1861.4</v>
      </c>
      <c r="J292" s="107">
        <v>343</v>
      </c>
      <c r="K292" s="107">
        <v>647.98</v>
      </c>
      <c r="L292" s="107">
        <v>1375.53</v>
      </c>
      <c r="M292" s="107">
        <v>1353.05</v>
      </c>
      <c r="N292" s="107">
        <v>9357.33</v>
      </c>
    </row>
    <row r="293" spans="1:14">
      <c r="A293" s="64" t="s">
        <v>218</v>
      </c>
      <c r="B293" s="107">
        <v>747.27</v>
      </c>
      <c r="C293" s="107">
        <v>592.37</v>
      </c>
      <c r="D293" s="107">
        <v>1111.3699999999999</v>
      </c>
      <c r="E293" s="107">
        <v>659.07</v>
      </c>
      <c r="F293" s="107">
        <v>544.74</v>
      </c>
      <c r="G293" s="107">
        <v>1124.69</v>
      </c>
      <c r="H293" s="107">
        <v>585.47</v>
      </c>
      <c r="I293" s="107">
        <v>861.86</v>
      </c>
      <c r="J293" s="107">
        <v>975.53</v>
      </c>
      <c r="K293" s="107">
        <v>446.74</v>
      </c>
      <c r="L293" s="107">
        <v>816.56</v>
      </c>
      <c r="M293" s="107">
        <v>1426.89</v>
      </c>
      <c r="N293" s="107">
        <v>9892.56</v>
      </c>
    </row>
    <row r="294" spans="1:14">
      <c r="A294" s="64" t="s">
        <v>219</v>
      </c>
      <c r="B294" s="107">
        <v>2408.5</v>
      </c>
      <c r="C294" s="107">
        <v>2415.9299999999998</v>
      </c>
      <c r="D294" s="107">
        <v>3686.43</v>
      </c>
      <c r="E294" s="107">
        <v>2875.52</v>
      </c>
      <c r="F294" s="107">
        <v>2588.5500000000002</v>
      </c>
      <c r="G294" s="107">
        <v>2051.9899999999998</v>
      </c>
      <c r="H294" s="107">
        <v>2606.6799999999998</v>
      </c>
      <c r="I294" s="107">
        <v>2212.27</v>
      </c>
      <c r="J294" s="107">
        <v>2808.6</v>
      </c>
      <c r="K294" s="107">
        <v>2136.13</v>
      </c>
      <c r="L294" s="107">
        <v>2254.85</v>
      </c>
      <c r="M294" s="107">
        <v>2578.89</v>
      </c>
      <c r="N294" s="107">
        <v>30624.34</v>
      </c>
    </row>
    <row r="295" spans="1:14">
      <c r="A295" s="64" t="s">
        <v>220</v>
      </c>
      <c r="B295" s="111">
        <v>149.28</v>
      </c>
      <c r="C295" s="111">
        <v>546.79999999999995</v>
      </c>
      <c r="D295" s="111">
        <v>30.87</v>
      </c>
      <c r="E295" s="111">
        <v>761.8</v>
      </c>
      <c r="F295" s="111">
        <v>363.78</v>
      </c>
      <c r="G295" s="111">
        <v>-66.64</v>
      </c>
      <c r="H295" s="111">
        <v>71.040000000000006</v>
      </c>
      <c r="I295" s="111">
        <v>212.9</v>
      </c>
      <c r="J295" s="111">
        <v>122.28</v>
      </c>
      <c r="K295" s="111">
        <v>674.49</v>
      </c>
      <c r="L295" s="111">
        <v>210.4</v>
      </c>
      <c r="M295" s="111">
        <v>167.07</v>
      </c>
      <c r="N295" s="111">
        <v>3244.07</v>
      </c>
    </row>
    <row r="296" spans="1:14">
      <c r="A296" s="64" t="s">
        <v>221</v>
      </c>
      <c r="B296" s="107">
        <f t="shared" ref="B296:M296" si="57">SUM(B280:B295)</f>
        <v>13190.980000000003</v>
      </c>
      <c r="C296" s="107">
        <f t="shared" si="57"/>
        <v>14314.67</v>
      </c>
      <c r="D296" s="107">
        <f t="shared" si="57"/>
        <v>13050.63</v>
      </c>
      <c r="E296" s="107">
        <f t="shared" si="57"/>
        <v>13875.279999999999</v>
      </c>
      <c r="F296" s="107">
        <f t="shared" si="57"/>
        <v>17553.109999999997</v>
      </c>
      <c r="G296" s="107">
        <f t="shared" si="57"/>
        <v>10849.050000000001</v>
      </c>
      <c r="H296" s="107">
        <f t="shared" si="57"/>
        <v>13137.110000000002</v>
      </c>
      <c r="I296" s="107">
        <f t="shared" si="57"/>
        <v>13615.45</v>
      </c>
      <c r="J296" s="107">
        <f t="shared" si="57"/>
        <v>13859.220000000003</v>
      </c>
      <c r="K296" s="107">
        <f t="shared" si="57"/>
        <v>13837.839999999998</v>
      </c>
      <c r="L296" s="107">
        <f t="shared" si="57"/>
        <v>14069.01</v>
      </c>
      <c r="M296" s="107">
        <f t="shared" si="57"/>
        <v>15082.499999999996</v>
      </c>
      <c r="N296" s="107">
        <v>166434.85</v>
      </c>
    </row>
    <row r="297" spans="1:14">
      <c r="A297" s="64"/>
      <c r="B297" s="22"/>
      <c r="C297" s="22"/>
      <c r="D297" s="22"/>
      <c r="E297" s="22"/>
      <c r="F297" s="22"/>
      <c r="G297" s="22"/>
      <c r="H297" s="22"/>
      <c r="I297" s="22"/>
      <c r="J297" s="22"/>
      <c r="K297" s="22"/>
      <c r="L297" s="22"/>
      <c r="M297" s="22"/>
      <c r="N297" s="22"/>
    </row>
    <row r="298" spans="1:14">
      <c r="A298" s="64" t="s">
        <v>222</v>
      </c>
      <c r="B298" s="22"/>
      <c r="C298" s="22"/>
      <c r="D298" s="22"/>
      <c r="E298" s="22"/>
      <c r="F298" s="22"/>
      <c r="G298" s="22"/>
      <c r="H298" s="22"/>
      <c r="I298" s="22"/>
      <c r="J298" s="22"/>
      <c r="K298" s="22"/>
      <c r="L298" s="22"/>
      <c r="M298" s="22"/>
      <c r="N298" s="22"/>
    </row>
    <row r="299" spans="1:14">
      <c r="A299" s="64" t="s">
        <v>386</v>
      </c>
      <c r="B299" s="22"/>
      <c r="C299" s="22"/>
      <c r="D299" s="22"/>
      <c r="E299" s="22"/>
      <c r="F299" s="107">
        <v>317.85000000000002</v>
      </c>
      <c r="G299" s="107"/>
      <c r="H299" s="22"/>
      <c r="I299" s="22"/>
      <c r="J299" s="22"/>
      <c r="K299" s="22"/>
      <c r="L299" s="22"/>
      <c r="M299" s="22"/>
      <c r="N299" s="107">
        <v>317.85000000000002</v>
      </c>
    </row>
    <row r="300" spans="1:14">
      <c r="A300" s="64" t="s">
        <v>223</v>
      </c>
      <c r="B300" s="22"/>
      <c r="C300" s="107">
        <v>1050</v>
      </c>
      <c r="D300" s="22"/>
      <c r="E300" s="107">
        <v>40</v>
      </c>
      <c r="F300" s="107">
        <v>865.62</v>
      </c>
      <c r="G300" s="22"/>
      <c r="H300" s="107">
        <v>2966.51</v>
      </c>
      <c r="I300" s="22"/>
      <c r="J300" s="107"/>
      <c r="K300" s="22"/>
      <c r="L300" s="107">
        <v>480.19</v>
      </c>
      <c r="M300" s="22"/>
      <c r="N300" s="107">
        <v>5402.32</v>
      </c>
    </row>
    <row r="301" spans="1:14">
      <c r="A301" s="64" t="s">
        <v>224</v>
      </c>
      <c r="B301" s="107">
        <v>872.42</v>
      </c>
      <c r="C301" s="107">
        <v>3214.28</v>
      </c>
      <c r="D301" s="107">
        <v>4649.8900000000003</v>
      </c>
      <c r="E301" s="107">
        <v>369.4</v>
      </c>
      <c r="F301" s="107">
        <v>4947.72</v>
      </c>
      <c r="G301" s="107">
        <v>6095.59</v>
      </c>
      <c r="H301" s="107">
        <v>3977.51</v>
      </c>
      <c r="I301" s="107">
        <v>3522.05</v>
      </c>
      <c r="J301" s="107">
        <v>4330.66</v>
      </c>
      <c r="K301" s="107">
        <v>-2087.89</v>
      </c>
      <c r="L301" s="107">
        <v>25.78</v>
      </c>
      <c r="M301" s="107">
        <v>14623.14</v>
      </c>
      <c r="N301" s="107">
        <v>44540.55</v>
      </c>
    </row>
    <row r="302" spans="1:14">
      <c r="A302" s="64" t="s">
        <v>225</v>
      </c>
      <c r="B302" s="107">
        <v>189.04</v>
      </c>
      <c r="C302" s="107">
        <v>565.15</v>
      </c>
      <c r="D302" s="107">
        <v>74.75</v>
      </c>
      <c r="E302" s="107">
        <v>236.9</v>
      </c>
      <c r="F302" s="107">
        <v>100</v>
      </c>
      <c r="G302" s="22"/>
      <c r="H302" s="107">
        <v>13.62</v>
      </c>
      <c r="I302" s="107">
        <v>766.99</v>
      </c>
      <c r="J302" s="107">
        <v>2256.5100000000002</v>
      </c>
      <c r="K302" s="22"/>
      <c r="L302" s="107">
        <v>50</v>
      </c>
      <c r="M302" s="107">
        <v>105.95</v>
      </c>
      <c r="N302" s="107">
        <v>4358.91</v>
      </c>
    </row>
    <row r="303" spans="1:14">
      <c r="A303" s="64" t="s">
        <v>226</v>
      </c>
      <c r="B303" s="107">
        <v>331.5</v>
      </c>
      <c r="C303" s="107">
        <v>797.25</v>
      </c>
      <c r="D303" s="107">
        <v>861.95</v>
      </c>
      <c r="E303" s="107">
        <v>1149.26</v>
      </c>
      <c r="F303" s="107">
        <v>2358.3000000000002</v>
      </c>
      <c r="G303" s="107">
        <v>384.42</v>
      </c>
      <c r="H303" s="107">
        <v>416.93</v>
      </c>
      <c r="I303" s="107">
        <v>899.67</v>
      </c>
      <c r="J303" s="107">
        <v>492.87</v>
      </c>
      <c r="K303" s="107">
        <v>628.29</v>
      </c>
      <c r="L303" s="107">
        <v>643.09</v>
      </c>
      <c r="M303" s="107">
        <v>198.72</v>
      </c>
      <c r="N303" s="107">
        <v>9162.25</v>
      </c>
    </row>
    <row r="304" spans="1:14">
      <c r="A304" s="64" t="s">
        <v>227</v>
      </c>
      <c r="B304" s="111">
        <v>676.56</v>
      </c>
      <c r="C304" s="111">
        <v>1020.2</v>
      </c>
      <c r="D304" s="111">
        <v>1091.3399999999999</v>
      </c>
      <c r="E304" s="111">
        <v>891.43</v>
      </c>
      <c r="F304" s="111">
        <v>655.87</v>
      </c>
      <c r="G304" s="111">
        <v>467.04</v>
      </c>
      <c r="H304" s="111">
        <v>724.59</v>
      </c>
      <c r="I304" s="111">
        <v>952.48</v>
      </c>
      <c r="J304" s="111">
        <v>795.01</v>
      </c>
      <c r="K304" s="111">
        <v>393.25</v>
      </c>
      <c r="L304" s="111">
        <v>355.68</v>
      </c>
      <c r="M304" s="111">
        <v>928.25</v>
      </c>
      <c r="N304" s="111">
        <v>8951.7000000000007</v>
      </c>
    </row>
    <row r="305" spans="1:14">
      <c r="A305" s="64" t="s">
        <v>229</v>
      </c>
      <c r="B305" s="107">
        <f t="shared" ref="B305:M305" si="58">SUM(B297:B304)</f>
        <v>2069.52</v>
      </c>
      <c r="C305" s="107">
        <f t="shared" si="58"/>
        <v>6646.88</v>
      </c>
      <c r="D305" s="107">
        <f t="shared" si="58"/>
        <v>6677.93</v>
      </c>
      <c r="E305" s="107">
        <f t="shared" si="58"/>
        <v>2686.99</v>
      </c>
      <c r="F305" s="107">
        <f t="shared" si="58"/>
        <v>9245.3600000000024</v>
      </c>
      <c r="G305" s="107">
        <f t="shared" si="58"/>
        <v>6947.05</v>
      </c>
      <c r="H305" s="107">
        <f t="shared" si="58"/>
        <v>8099.1600000000008</v>
      </c>
      <c r="I305" s="107">
        <f t="shared" si="58"/>
        <v>6141.1900000000005</v>
      </c>
      <c r="J305" s="107">
        <f t="shared" si="58"/>
        <v>7875.05</v>
      </c>
      <c r="K305" s="107">
        <f t="shared" si="58"/>
        <v>-1066.3499999999999</v>
      </c>
      <c r="L305" s="107">
        <f t="shared" si="58"/>
        <v>1554.74</v>
      </c>
      <c r="M305" s="107">
        <f t="shared" si="58"/>
        <v>15856.06</v>
      </c>
      <c r="N305" s="107">
        <v>72733.58</v>
      </c>
    </row>
    <row r="306" spans="1:14">
      <c r="A306" s="64"/>
      <c r="B306" s="22"/>
      <c r="C306" s="22"/>
      <c r="D306" s="22"/>
      <c r="E306" s="22"/>
      <c r="F306" s="22"/>
      <c r="G306" s="22"/>
      <c r="H306" s="22"/>
      <c r="I306" s="22"/>
      <c r="J306" s="22"/>
      <c r="K306" s="22"/>
      <c r="L306" s="22"/>
      <c r="M306" s="22"/>
      <c r="N306" s="22"/>
    </row>
    <row r="307" spans="1:14">
      <c r="A307" s="64" t="s">
        <v>230</v>
      </c>
      <c r="B307" s="22"/>
      <c r="C307" s="22"/>
      <c r="D307" s="22"/>
      <c r="E307" s="22"/>
      <c r="F307" s="22"/>
      <c r="G307" s="22"/>
      <c r="H307" s="22"/>
      <c r="I307" s="22"/>
      <c r="J307" s="22"/>
      <c r="K307" s="22"/>
      <c r="L307" s="22"/>
      <c r="M307" s="22"/>
      <c r="N307" s="22"/>
    </row>
    <row r="308" spans="1:14">
      <c r="A308" s="64" t="s">
        <v>231</v>
      </c>
      <c r="B308" s="107">
        <v>7961.96</v>
      </c>
      <c r="C308" s="107">
        <v>7961.96</v>
      </c>
      <c r="D308" s="107">
        <v>7961.96</v>
      </c>
      <c r="E308" s="107">
        <v>7961.96</v>
      </c>
      <c r="F308" s="107">
        <v>24483.15</v>
      </c>
      <c r="G308" s="107">
        <v>9261.9599999999991</v>
      </c>
      <c r="H308" s="107">
        <v>9261.9599999999991</v>
      </c>
      <c r="I308" s="107">
        <v>9261.9599999999991</v>
      </c>
      <c r="J308" s="107">
        <v>9261.9599999999991</v>
      </c>
      <c r="K308" s="107">
        <v>9261.9599999999991</v>
      </c>
      <c r="L308" s="107">
        <v>9261.9599999999991</v>
      </c>
      <c r="M308" s="107">
        <v>9261.9599999999991</v>
      </c>
      <c r="N308" s="107">
        <v>121164.71</v>
      </c>
    </row>
    <row r="309" spans="1:14">
      <c r="A309" s="64" t="s">
        <v>232</v>
      </c>
      <c r="B309" s="107">
        <v>333</v>
      </c>
      <c r="C309" s="107">
        <v>333</v>
      </c>
      <c r="D309" s="107">
        <v>333</v>
      </c>
      <c r="E309" s="107">
        <v>333</v>
      </c>
      <c r="F309" s="107">
        <v>2439.44</v>
      </c>
      <c r="G309" s="107">
        <v>530</v>
      </c>
      <c r="H309" s="107">
        <v>530</v>
      </c>
      <c r="I309" s="107">
        <v>530</v>
      </c>
      <c r="J309" s="107">
        <v>530</v>
      </c>
      <c r="K309" s="107">
        <v>530</v>
      </c>
      <c r="L309" s="107">
        <v>530</v>
      </c>
      <c r="M309" s="107">
        <v>530</v>
      </c>
      <c r="N309" s="107">
        <v>7481.44</v>
      </c>
    </row>
    <row r="310" spans="1:14">
      <c r="A310" s="64" t="s">
        <v>234</v>
      </c>
      <c r="B310" s="107">
        <v>180</v>
      </c>
      <c r="C310" s="22"/>
      <c r="D310" s="22"/>
      <c r="E310" s="22"/>
      <c r="F310" s="22"/>
      <c r="G310" s="107">
        <v>66.67</v>
      </c>
      <c r="H310" s="107">
        <v>250</v>
      </c>
      <c r="I310" s="22"/>
      <c r="J310" s="22"/>
      <c r="K310" s="22"/>
      <c r="L310" s="22"/>
      <c r="M310" s="107">
        <v>-180</v>
      </c>
      <c r="N310" s="107">
        <v>316.67</v>
      </c>
    </row>
    <row r="311" spans="1:14">
      <c r="A311" s="64" t="s">
        <v>352</v>
      </c>
      <c r="B311" s="107">
        <v>874.69</v>
      </c>
      <c r="C311" s="22"/>
      <c r="D311" s="22"/>
      <c r="E311" s="22"/>
      <c r="F311" s="107">
        <v>1250</v>
      </c>
      <c r="G311" s="107">
        <v>874.69</v>
      </c>
      <c r="H311" s="107">
        <v>874.69</v>
      </c>
      <c r="I311" s="107">
        <v>874.69</v>
      </c>
      <c r="J311" s="107">
        <v>874.69</v>
      </c>
      <c r="K311" s="107">
        <v>874.69</v>
      </c>
      <c r="L311" s="107">
        <v>874.69</v>
      </c>
      <c r="M311" s="107">
        <v>874.69</v>
      </c>
      <c r="N311" s="107">
        <v>8247.52</v>
      </c>
    </row>
    <row r="312" spans="1:14">
      <c r="A312" s="64" t="s">
        <v>235</v>
      </c>
      <c r="B312" s="107">
        <v>490.92</v>
      </c>
      <c r="C312" s="107">
        <v>490.92</v>
      </c>
      <c r="D312" s="107">
        <v>490.92</v>
      </c>
      <c r="E312" s="107">
        <v>490.92</v>
      </c>
      <c r="F312" s="107">
        <v>490.92</v>
      </c>
      <c r="G312" s="22"/>
      <c r="H312" s="107"/>
      <c r="I312" s="107">
        <v>45</v>
      </c>
      <c r="J312" s="22"/>
      <c r="K312" s="22"/>
      <c r="L312" s="22"/>
      <c r="M312" s="22"/>
      <c r="N312" s="107">
        <v>2499.6</v>
      </c>
    </row>
    <row r="313" spans="1:14">
      <c r="A313" s="64" t="s">
        <v>228</v>
      </c>
      <c r="B313" s="113"/>
      <c r="C313" s="113"/>
      <c r="D313" s="113"/>
      <c r="E313" s="113"/>
      <c r="F313" s="113"/>
      <c r="G313" s="113"/>
      <c r="H313" s="113"/>
      <c r="I313" s="113"/>
      <c r="J313" s="111">
        <v>500</v>
      </c>
      <c r="K313" s="113"/>
      <c r="L313" s="113"/>
      <c r="M313" s="113"/>
      <c r="N313" s="111">
        <v>500</v>
      </c>
    </row>
    <row r="314" spans="1:14">
      <c r="A314" s="64" t="s">
        <v>236</v>
      </c>
      <c r="B314" s="107">
        <f t="shared" ref="B314:M314" si="59">SUM(B306:B313)</f>
        <v>9840.57</v>
      </c>
      <c r="C314" s="107">
        <f t="shared" si="59"/>
        <v>8785.8799999999992</v>
      </c>
      <c r="D314" s="107">
        <f t="shared" si="59"/>
        <v>8785.8799999999992</v>
      </c>
      <c r="E314" s="107">
        <f t="shared" si="59"/>
        <v>8785.8799999999992</v>
      </c>
      <c r="F314" s="107">
        <f t="shared" si="59"/>
        <v>28663.51</v>
      </c>
      <c r="G314" s="107">
        <f t="shared" si="59"/>
        <v>10733.32</v>
      </c>
      <c r="H314" s="107">
        <f t="shared" si="59"/>
        <v>10916.65</v>
      </c>
      <c r="I314" s="107">
        <f t="shared" si="59"/>
        <v>10711.65</v>
      </c>
      <c r="J314" s="107">
        <f t="shared" si="59"/>
        <v>11166.65</v>
      </c>
      <c r="K314" s="107">
        <f t="shared" si="59"/>
        <v>10666.65</v>
      </c>
      <c r="L314" s="107">
        <f t="shared" si="59"/>
        <v>10666.65</v>
      </c>
      <c r="M314" s="107">
        <f t="shared" si="59"/>
        <v>10486.65</v>
      </c>
      <c r="N314" s="107">
        <v>140209.94</v>
      </c>
    </row>
    <row r="315" spans="1:14">
      <c r="A315" s="64"/>
      <c r="B315" s="22"/>
      <c r="C315" s="22"/>
      <c r="D315" s="22"/>
      <c r="E315" s="22"/>
      <c r="F315" s="22"/>
      <c r="G315" s="22"/>
      <c r="H315" s="22"/>
      <c r="I315" s="22"/>
      <c r="J315" s="22"/>
      <c r="K315" s="22"/>
      <c r="L315" s="22"/>
      <c r="M315" s="22"/>
      <c r="N315" s="22"/>
    </row>
    <row r="316" spans="1:14">
      <c r="A316" s="64" t="s">
        <v>237</v>
      </c>
      <c r="B316" s="22"/>
      <c r="C316" s="22"/>
      <c r="D316" s="22"/>
      <c r="E316" s="22"/>
      <c r="F316" s="22"/>
      <c r="G316" s="22"/>
      <c r="H316" s="22"/>
      <c r="I316" s="22"/>
      <c r="J316" s="22"/>
      <c r="K316" s="22"/>
      <c r="L316" s="22"/>
      <c r="M316" s="22"/>
      <c r="N316" s="22"/>
    </row>
    <row r="317" spans="1:14">
      <c r="A317" s="64" t="s">
        <v>375</v>
      </c>
      <c r="B317" s="107">
        <v>4306</v>
      </c>
      <c r="C317" s="22"/>
      <c r="D317" s="22"/>
      <c r="E317" s="22"/>
      <c r="F317" s="107">
        <v>12585</v>
      </c>
      <c r="G317" s="22"/>
      <c r="H317" s="107">
        <v>1623</v>
      </c>
      <c r="I317" s="107">
        <v>2207</v>
      </c>
      <c r="J317" s="107">
        <v>2662</v>
      </c>
      <c r="K317" s="107">
        <v>1264</v>
      </c>
      <c r="L317" s="22"/>
      <c r="M317" s="107">
        <v>68</v>
      </c>
      <c r="N317" s="107">
        <v>24715</v>
      </c>
    </row>
    <row r="318" spans="1:14">
      <c r="A318" s="64" t="s">
        <v>228</v>
      </c>
      <c r="B318" s="111">
        <v>22916</v>
      </c>
      <c r="C318" s="111">
        <v>25630</v>
      </c>
      <c r="D318" s="111">
        <v>27066</v>
      </c>
      <c r="E318" s="111">
        <v>24728</v>
      </c>
      <c r="F318" s="111">
        <v>25347</v>
      </c>
      <c r="G318" s="111">
        <v>32614</v>
      </c>
      <c r="H318" s="111">
        <v>47289.75</v>
      </c>
      <c r="I318" s="111">
        <v>24559</v>
      </c>
      <c r="J318" s="111">
        <v>23208</v>
      </c>
      <c r="K318" s="111">
        <v>27671</v>
      </c>
      <c r="L318" s="111">
        <v>29897</v>
      </c>
      <c r="M318" s="111">
        <v>28852</v>
      </c>
      <c r="N318" s="111">
        <v>339777.75</v>
      </c>
    </row>
    <row r="319" spans="1:14">
      <c r="A319" s="64" t="s">
        <v>238</v>
      </c>
      <c r="B319" s="107">
        <f t="shared" ref="B319:M319" si="60">SUM(B315:B318)</f>
        <v>27222</v>
      </c>
      <c r="C319" s="107">
        <f t="shared" si="60"/>
        <v>25630</v>
      </c>
      <c r="D319" s="107">
        <f t="shared" si="60"/>
        <v>27066</v>
      </c>
      <c r="E319" s="107">
        <f t="shared" si="60"/>
        <v>24728</v>
      </c>
      <c r="F319" s="107">
        <f t="shared" si="60"/>
        <v>37932</v>
      </c>
      <c r="G319" s="107">
        <f t="shared" si="60"/>
        <v>32614</v>
      </c>
      <c r="H319" s="107">
        <f t="shared" si="60"/>
        <v>48912.75</v>
      </c>
      <c r="I319" s="107">
        <f t="shared" si="60"/>
        <v>26766</v>
      </c>
      <c r="J319" s="107">
        <f t="shared" si="60"/>
        <v>25870</v>
      </c>
      <c r="K319" s="107">
        <f t="shared" si="60"/>
        <v>28935</v>
      </c>
      <c r="L319" s="107">
        <f t="shared" si="60"/>
        <v>29897</v>
      </c>
      <c r="M319" s="107">
        <f t="shared" si="60"/>
        <v>28920</v>
      </c>
      <c r="N319" s="107">
        <v>364492.75</v>
      </c>
    </row>
    <row r="320" spans="1:14">
      <c r="A320" s="64"/>
      <c r="B320" s="22"/>
      <c r="C320" s="22"/>
      <c r="D320" s="22"/>
      <c r="E320" s="22"/>
      <c r="F320" s="22"/>
      <c r="G320" s="22"/>
      <c r="H320" s="22"/>
      <c r="I320" s="22"/>
      <c r="J320" s="22"/>
      <c r="K320" s="22"/>
      <c r="L320" s="22"/>
      <c r="M320" s="22"/>
      <c r="N320" s="22"/>
    </row>
    <row r="321" spans="1:14">
      <c r="A321" s="64" t="s">
        <v>239</v>
      </c>
      <c r="B321" s="22"/>
      <c r="C321" s="22"/>
      <c r="D321" s="22"/>
      <c r="E321" s="22"/>
      <c r="F321" s="22"/>
      <c r="G321" s="22"/>
      <c r="H321" s="22"/>
      <c r="I321" s="22"/>
      <c r="J321" s="22"/>
      <c r="K321" s="22"/>
      <c r="L321" s="22"/>
      <c r="M321" s="22"/>
      <c r="N321" s="22"/>
    </row>
    <row r="322" spans="1:14">
      <c r="A322" s="64" t="s">
        <v>240</v>
      </c>
      <c r="B322" s="107">
        <v>2280.0100000000002</v>
      </c>
      <c r="C322" s="107">
        <v>2280.0100000000002</v>
      </c>
      <c r="D322" s="107">
        <v>2280.0100000000002</v>
      </c>
      <c r="E322" s="107">
        <v>2280.0100000000002</v>
      </c>
      <c r="F322" s="107">
        <v>2280.0100000000002</v>
      </c>
      <c r="G322" s="107">
        <v>2280.0100000000002</v>
      </c>
      <c r="H322" s="107">
        <v>4557.75</v>
      </c>
      <c r="I322" s="107">
        <v>3168.13</v>
      </c>
      <c r="J322" s="107">
        <v>2724.07</v>
      </c>
      <c r="K322" s="107">
        <v>2724.07</v>
      </c>
      <c r="L322" s="107">
        <v>2724.07</v>
      </c>
      <c r="M322" s="107">
        <v>2724.07</v>
      </c>
      <c r="N322" s="107">
        <v>32302.22</v>
      </c>
    </row>
    <row r="323" spans="1:14">
      <c r="A323" s="64" t="s">
        <v>241</v>
      </c>
      <c r="B323" s="107">
        <v>182.25</v>
      </c>
      <c r="C323" s="107">
        <v>182.25</v>
      </c>
      <c r="D323" s="107">
        <v>182.25</v>
      </c>
      <c r="E323" s="107">
        <v>182.25</v>
      </c>
      <c r="F323" s="107">
        <v>182.25</v>
      </c>
      <c r="G323" s="107">
        <v>182.25</v>
      </c>
      <c r="H323" s="107">
        <v>182.25</v>
      </c>
      <c r="I323" s="107">
        <v>-182.25</v>
      </c>
      <c r="J323" s="22"/>
      <c r="K323" s="22"/>
      <c r="L323" s="22"/>
      <c r="M323" s="22"/>
      <c r="N323" s="107">
        <v>1093.5</v>
      </c>
    </row>
    <row r="324" spans="1:14">
      <c r="A324" s="64" t="s">
        <v>242</v>
      </c>
      <c r="B324" s="107">
        <v>5777.67</v>
      </c>
      <c r="C324" s="107">
        <v>6280.08</v>
      </c>
      <c r="D324" s="107">
        <v>6280.08</v>
      </c>
      <c r="E324" s="107">
        <v>6280.08</v>
      </c>
      <c r="F324" s="107">
        <v>6280.08</v>
      </c>
      <c r="G324" s="107">
        <v>6859.74</v>
      </c>
      <c r="H324" s="107">
        <v>6280.08</v>
      </c>
      <c r="I324" s="107">
        <v>6280.08</v>
      </c>
      <c r="J324" s="107">
        <v>6280.08</v>
      </c>
      <c r="K324" s="107">
        <v>6280.08</v>
      </c>
      <c r="L324" s="107">
        <v>6280.08</v>
      </c>
      <c r="M324" s="107">
        <v>6280.08</v>
      </c>
      <c r="N324" s="107">
        <v>75438.210000000006</v>
      </c>
    </row>
    <row r="325" spans="1:14">
      <c r="A325" s="64" t="s">
        <v>387</v>
      </c>
      <c r="B325" s="113"/>
      <c r="C325" s="113"/>
      <c r="D325" s="113"/>
      <c r="E325" s="113"/>
      <c r="F325" s="113"/>
      <c r="G325" s="113"/>
      <c r="H325" s="113"/>
      <c r="I325" s="113"/>
      <c r="J325" s="113"/>
      <c r="K325" s="113"/>
      <c r="L325" s="113"/>
      <c r="M325" s="113"/>
      <c r="N325" s="113"/>
    </row>
    <row r="326" spans="1:14">
      <c r="A326" s="64" t="s">
        <v>244</v>
      </c>
      <c r="B326" s="107">
        <f t="shared" ref="B326:M326" si="61">SUM(B320:B325)</f>
        <v>8239.93</v>
      </c>
      <c r="C326" s="107">
        <f t="shared" si="61"/>
        <v>8742.34</v>
      </c>
      <c r="D326" s="107">
        <f t="shared" si="61"/>
        <v>8742.34</v>
      </c>
      <c r="E326" s="107">
        <f t="shared" si="61"/>
        <v>8742.34</v>
      </c>
      <c r="F326" s="107">
        <f t="shared" si="61"/>
        <v>8742.34</v>
      </c>
      <c r="G326" s="107">
        <f t="shared" si="61"/>
        <v>9322</v>
      </c>
      <c r="H326" s="107">
        <f t="shared" si="61"/>
        <v>11020.08</v>
      </c>
      <c r="I326" s="107">
        <f t="shared" si="61"/>
        <v>9265.9599999999991</v>
      </c>
      <c r="J326" s="107">
        <f t="shared" si="61"/>
        <v>9004.15</v>
      </c>
      <c r="K326" s="107">
        <f t="shared" si="61"/>
        <v>9004.15</v>
      </c>
      <c r="L326" s="107">
        <f t="shared" si="61"/>
        <v>9004.15</v>
      </c>
      <c r="M326" s="107">
        <f t="shared" si="61"/>
        <v>9004.15</v>
      </c>
      <c r="N326" s="107">
        <v>108833.93</v>
      </c>
    </row>
    <row r="327" spans="1:14">
      <c r="A327" s="64"/>
      <c r="B327" s="22"/>
      <c r="C327" s="22"/>
      <c r="D327" s="22"/>
      <c r="E327" s="22"/>
      <c r="F327" s="22"/>
      <c r="G327" s="22"/>
      <c r="H327" s="22"/>
      <c r="I327" s="22"/>
      <c r="J327" s="22"/>
      <c r="K327" s="22"/>
      <c r="L327" s="22"/>
      <c r="M327" s="22"/>
      <c r="N327" s="22"/>
    </row>
    <row r="328" spans="1:14">
      <c r="A328" s="64" t="s">
        <v>245</v>
      </c>
      <c r="B328" s="22"/>
      <c r="C328" s="22"/>
      <c r="D328" s="22"/>
      <c r="E328" s="22"/>
      <c r="F328" s="22"/>
      <c r="G328" s="22"/>
      <c r="H328" s="22"/>
      <c r="I328" s="22"/>
      <c r="J328" s="22"/>
      <c r="K328" s="22"/>
      <c r="L328" s="22"/>
      <c r="M328" s="22"/>
      <c r="N328" s="22"/>
    </row>
    <row r="329" spans="1:14">
      <c r="A329" s="64" t="s">
        <v>246</v>
      </c>
      <c r="B329" s="107">
        <v>4476.6000000000004</v>
      </c>
      <c r="C329" s="107">
        <v>4745.9799999999996</v>
      </c>
      <c r="D329" s="107">
        <v>4654.28</v>
      </c>
      <c r="E329" s="107">
        <v>4654.28</v>
      </c>
      <c r="F329" s="107">
        <v>4654.12</v>
      </c>
      <c r="G329" s="107">
        <v>2327.06</v>
      </c>
      <c r="H329" s="107">
        <v>7005.74</v>
      </c>
      <c r="I329" s="107">
        <v>4671.24</v>
      </c>
      <c r="J329" s="107">
        <v>4533.72</v>
      </c>
      <c r="K329" s="107">
        <v>4654.5</v>
      </c>
      <c r="L329" s="107">
        <v>4498.8599999999997</v>
      </c>
      <c r="M329" s="107">
        <v>4498.8599999999997</v>
      </c>
      <c r="N329" s="107">
        <v>55375.24</v>
      </c>
    </row>
    <row r="330" spans="1:14">
      <c r="A330" s="64" t="s">
        <v>247</v>
      </c>
      <c r="B330" s="107">
        <v>4089.86</v>
      </c>
      <c r="C330" s="107">
        <v>4005.68</v>
      </c>
      <c r="D330" s="107">
        <v>4025.26</v>
      </c>
      <c r="E330" s="107">
        <v>4199.8599999999997</v>
      </c>
      <c r="F330" s="107">
        <v>4134.66</v>
      </c>
      <c r="G330" s="107">
        <v>2067.33</v>
      </c>
      <c r="H330" s="107">
        <v>6603.43</v>
      </c>
      <c r="I330" s="107">
        <v>4691.08</v>
      </c>
      <c r="J330" s="107">
        <v>5079.8599999999997</v>
      </c>
      <c r="K330" s="107">
        <v>4716.0200000000004</v>
      </c>
      <c r="L330" s="107">
        <v>4693.7</v>
      </c>
      <c r="M330" s="107">
        <v>4748.62</v>
      </c>
      <c r="N330" s="107">
        <v>53055.360000000001</v>
      </c>
    </row>
    <row r="331" spans="1:14">
      <c r="A331" s="64" t="s">
        <v>248</v>
      </c>
      <c r="B331" s="107">
        <v>87.96</v>
      </c>
      <c r="C331" s="107">
        <v>87.96</v>
      </c>
      <c r="D331" s="107">
        <v>87.96</v>
      </c>
      <c r="E331" s="107">
        <v>87.96</v>
      </c>
      <c r="F331" s="107">
        <v>87.96</v>
      </c>
      <c r="G331" s="107">
        <v>43.98</v>
      </c>
      <c r="H331" s="107">
        <v>131.94</v>
      </c>
      <c r="I331" s="107">
        <v>87.96</v>
      </c>
      <c r="J331" s="107">
        <v>87.96</v>
      </c>
      <c r="K331" s="107">
        <v>87.96</v>
      </c>
      <c r="L331" s="107">
        <v>87.96</v>
      </c>
      <c r="M331" s="107">
        <v>87.96</v>
      </c>
      <c r="N331" s="107">
        <v>1055.52</v>
      </c>
    </row>
    <row r="332" spans="1:14">
      <c r="A332" s="64" t="s">
        <v>362</v>
      </c>
      <c r="B332" s="107">
        <v>833</v>
      </c>
      <c r="C332" s="107">
        <v>833</v>
      </c>
      <c r="D332" s="107">
        <v>833</v>
      </c>
      <c r="E332" s="107">
        <v>833</v>
      </c>
      <c r="F332" s="107">
        <v>833</v>
      </c>
      <c r="G332" s="107">
        <v>833</v>
      </c>
      <c r="H332" s="107">
        <v>833</v>
      </c>
      <c r="I332" s="107">
        <v>833</v>
      </c>
      <c r="J332" s="107">
        <v>833</v>
      </c>
      <c r="K332" s="107">
        <v>833</v>
      </c>
      <c r="L332" s="107">
        <v>833</v>
      </c>
      <c r="M332" s="107">
        <v>833</v>
      </c>
      <c r="N332" s="107">
        <v>9996</v>
      </c>
    </row>
    <row r="333" spans="1:14">
      <c r="A333" s="64" t="s">
        <v>363</v>
      </c>
      <c r="B333" s="111">
        <v>-4327.21</v>
      </c>
      <c r="C333" s="111">
        <v>-4419.8100000000004</v>
      </c>
      <c r="D333" s="111">
        <v>-4383.75</v>
      </c>
      <c r="E333" s="111">
        <v>-4471.05</v>
      </c>
      <c r="F333" s="111">
        <v>-4438.37</v>
      </c>
      <c r="G333" s="113"/>
      <c r="H333" s="111">
        <v>-9089.74</v>
      </c>
      <c r="I333" s="111">
        <v>-4725.1400000000003</v>
      </c>
      <c r="J333" s="111">
        <v>-4850.7700000000004</v>
      </c>
      <c r="K333" s="111">
        <v>-4729.24</v>
      </c>
      <c r="L333" s="111">
        <v>-4640.26</v>
      </c>
      <c r="M333" s="111">
        <v>-4667.72</v>
      </c>
      <c r="N333" s="111">
        <v>-54743.06</v>
      </c>
    </row>
    <row r="334" spans="1:14">
      <c r="A334" s="64" t="s">
        <v>250</v>
      </c>
      <c r="B334" s="107">
        <f t="shared" ref="B334:M334" si="62">SUM(B327:B333)</f>
        <v>5160.21</v>
      </c>
      <c r="C334" s="107">
        <f t="shared" si="62"/>
        <v>5252.8099999999986</v>
      </c>
      <c r="D334" s="107">
        <f t="shared" si="62"/>
        <v>5216.75</v>
      </c>
      <c r="E334" s="107">
        <f t="shared" si="62"/>
        <v>5304.0499999999984</v>
      </c>
      <c r="F334" s="107">
        <f t="shared" si="62"/>
        <v>5271.3699999999981</v>
      </c>
      <c r="G334" s="107">
        <f t="shared" si="62"/>
        <v>5271.369999999999</v>
      </c>
      <c r="H334" s="107">
        <f t="shared" si="62"/>
        <v>5484.3700000000008</v>
      </c>
      <c r="I334" s="107">
        <f t="shared" si="62"/>
        <v>5558.1399999999985</v>
      </c>
      <c r="J334" s="107">
        <f t="shared" si="62"/>
        <v>5683.7699999999986</v>
      </c>
      <c r="K334" s="107">
        <f t="shared" si="62"/>
        <v>5562.24</v>
      </c>
      <c r="L334" s="107">
        <f t="shared" si="62"/>
        <v>5473.2599999999984</v>
      </c>
      <c r="M334" s="107">
        <f t="shared" si="62"/>
        <v>5500.7199999999984</v>
      </c>
      <c r="N334" s="107">
        <v>64739.06</v>
      </c>
    </row>
    <row r="335" spans="1:14">
      <c r="A335" s="64"/>
      <c r="B335" s="22"/>
      <c r="C335" s="22"/>
      <c r="D335" s="22"/>
      <c r="E335" s="22"/>
      <c r="F335" s="22"/>
      <c r="G335" s="22"/>
      <c r="H335" s="22"/>
      <c r="I335" s="22"/>
      <c r="J335" s="22"/>
      <c r="K335" s="22"/>
      <c r="L335" s="22"/>
      <c r="M335" s="22"/>
      <c r="N335" s="22"/>
    </row>
    <row r="336" spans="1:14">
      <c r="A336" s="64" t="s">
        <v>251</v>
      </c>
      <c r="B336" s="22"/>
      <c r="C336" s="22"/>
      <c r="D336" s="22"/>
      <c r="E336" s="22"/>
      <c r="F336" s="22"/>
      <c r="G336" s="22"/>
      <c r="H336" s="22"/>
      <c r="I336" s="22"/>
      <c r="J336" s="22"/>
      <c r="K336" s="22"/>
      <c r="L336" s="22"/>
      <c r="M336" s="22"/>
      <c r="N336" s="22"/>
    </row>
    <row r="337" spans="1:14">
      <c r="A337" s="64" t="s">
        <v>252</v>
      </c>
      <c r="B337" s="107">
        <v>134129</v>
      </c>
      <c r="C337" s="107">
        <v>137022.57999999999</v>
      </c>
      <c r="D337" s="107">
        <v>137022.57999999999</v>
      </c>
      <c r="E337" s="107">
        <v>137022.57999999999</v>
      </c>
      <c r="F337" s="107">
        <v>137022.57999999999</v>
      </c>
      <c r="G337" s="107">
        <v>137022.57999999999</v>
      </c>
      <c r="H337" s="107">
        <v>137022.57999999999</v>
      </c>
      <c r="I337" s="107">
        <v>137022.57999999999</v>
      </c>
      <c r="J337" s="107">
        <v>137022.57999999999</v>
      </c>
      <c r="K337" s="107">
        <v>137022.57999999999</v>
      </c>
      <c r="L337" s="107">
        <v>137022.57999999999</v>
      </c>
      <c r="M337" s="107">
        <v>148695.94</v>
      </c>
      <c r="N337" s="107">
        <v>1653050.74</v>
      </c>
    </row>
    <row r="338" spans="1:14">
      <c r="A338" s="64" t="s">
        <v>388</v>
      </c>
      <c r="B338" s="107">
        <v>-16000</v>
      </c>
      <c r="C338" s="107">
        <v>-16000</v>
      </c>
      <c r="D338" s="107">
        <v>-16000</v>
      </c>
      <c r="E338" s="107">
        <v>-16000</v>
      </c>
      <c r="F338" s="107">
        <v>-16000</v>
      </c>
      <c r="G338" s="107">
        <v>-16000</v>
      </c>
      <c r="H338" s="107">
        <v>-16000</v>
      </c>
      <c r="I338" s="107">
        <v>-16000</v>
      </c>
      <c r="J338" s="107">
        <v>-16000</v>
      </c>
      <c r="K338" s="107">
        <v>-16000</v>
      </c>
      <c r="L338" s="107">
        <v>-16000</v>
      </c>
      <c r="M338" s="107">
        <v>-16000</v>
      </c>
      <c r="N338" s="107">
        <v>-192000</v>
      </c>
    </row>
    <row r="339" spans="1:14">
      <c r="A339" s="64" t="s">
        <v>253</v>
      </c>
      <c r="B339" s="107">
        <v>101.32</v>
      </c>
      <c r="C339" s="107">
        <v>101.32</v>
      </c>
      <c r="D339" s="107">
        <v>101.32</v>
      </c>
      <c r="E339" s="107">
        <v>101.32</v>
      </c>
      <c r="F339" s="107">
        <v>101.32</v>
      </c>
      <c r="G339" s="22"/>
      <c r="H339" s="22"/>
      <c r="I339" s="22"/>
      <c r="J339" s="107">
        <v>51.39</v>
      </c>
      <c r="K339" s="107">
        <v>51.39</v>
      </c>
      <c r="L339" s="107">
        <v>51.39</v>
      </c>
      <c r="M339" s="107">
        <v>51.39</v>
      </c>
      <c r="N339" s="107">
        <v>712.16</v>
      </c>
    </row>
    <row r="340" spans="1:14">
      <c r="A340" s="64" t="s">
        <v>254</v>
      </c>
      <c r="B340" s="111">
        <v>53.64</v>
      </c>
      <c r="C340" s="111">
        <v>3480</v>
      </c>
      <c r="D340" s="113"/>
      <c r="E340" s="111">
        <v>60</v>
      </c>
      <c r="F340" s="111">
        <v>123.44</v>
      </c>
      <c r="G340" s="111">
        <v>88.2</v>
      </c>
      <c r="H340" s="111">
        <v>37.380000000000003</v>
      </c>
      <c r="I340" s="111">
        <v>35</v>
      </c>
      <c r="J340" s="111">
        <v>83.52</v>
      </c>
      <c r="K340" s="111">
        <v>48.88</v>
      </c>
      <c r="L340" s="111">
        <v>191</v>
      </c>
      <c r="M340" s="111">
        <v>52.29</v>
      </c>
      <c r="N340" s="111">
        <v>4253.3500000000004</v>
      </c>
    </row>
    <row r="341" spans="1:14">
      <c r="A341" s="64" t="s">
        <v>255</v>
      </c>
      <c r="B341" s="107">
        <f t="shared" ref="B341:M341" si="63">SUM(B335:B340)</f>
        <v>118283.96</v>
      </c>
      <c r="C341" s="107">
        <f t="shared" si="63"/>
        <v>124603.9</v>
      </c>
      <c r="D341" s="107">
        <f t="shared" si="63"/>
        <v>121123.9</v>
      </c>
      <c r="E341" s="107">
        <f t="shared" si="63"/>
        <v>121183.9</v>
      </c>
      <c r="F341" s="107">
        <f t="shared" si="63"/>
        <v>121247.34</v>
      </c>
      <c r="G341" s="107">
        <f t="shared" si="63"/>
        <v>121110.77999999998</v>
      </c>
      <c r="H341" s="107">
        <f t="shared" si="63"/>
        <v>121059.95999999999</v>
      </c>
      <c r="I341" s="107">
        <f t="shared" si="63"/>
        <v>121057.57999999999</v>
      </c>
      <c r="J341" s="107">
        <f t="shared" si="63"/>
        <v>121157.48999999999</v>
      </c>
      <c r="K341" s="107">
        <f t="shared" si="63"/>
        <v>121122.84999999999</v>
      </c>
      <c r="L341" s="107">
        <f t="shared" si="63"/>
        <v>121264.96999999999</v>
      </c>
      <c r="M341" s="107">
        <f t="shared" si="63"/>
        <v>132799.62000000002</v>
      </c>
      <c r="N341" s="107">
        <v>1466016.25</v>
      </c>
    </row>
    <row r="342" spans="1:14">
      <c r="A342" s="64"/>
      <c r="B342" s="22"/>
      <c r="C342" s="22"/>
      <c r="D342" s="22"/>
      <c r="E342" s="22"/>
      <c r="F342" s="22"/>
      <c r="G342" s="22"/>
      <c r="H342" s="22"/>
      <c r="I342" s="22"/>
      <c r="J342" s="22"/>
      <c r="K342" s="22"/>
      <c r="L342" s="22"/>
      <c r="M342" s="22"/>
      <c r="N342" s="22"/>
    </row>
    <row r="343" spans="1:14">
      <c r="A343" s="64" t="s">
        <v>256</v>
      </c>
      <c r="B343" s="22"/>
      <c r="C343" s="22"/>
      <c r="D343" s="22"/>
      <c r="E343" s="22"/>
      <c r="F343" s="22"/>
      <c r="G343" s="22"/>
      <c r="H343" s="22"/>
      <c r="I343" s="22"/>
      <c r="J343" s="22"/>
      <c r="K343" s="22"/>
      <c r="L343" s="22"/>
      <c r="M343" s="22"/>
      <c r="N343" s="22"/>
    </row>
    <row r="344" spans="1:14">
      <c r="A344" s="64" t="s">
        <v>257</v>
      </c>
      <c r="B344" s="113"/>
      <c r="C344" s="113"/>
      <c r="D344" s="113"/>
      <c r="E344" s="113"/>
      <c r="F344" s="111">
        <v>-35468.019999999997</v>
      </c>
      <c r="G344" s="111"/>
      <c r="H344" s="113"/>
      <c r="I344" s="113"/>
      <c r="J344" s="113"/>
      <c r="K344" s="113"/>
      <c r="L344" s="113"/>
      <c r="M344" s="113"/>
      <c r="N344" s="111">
        <v>-35468.019999999997</v>
      </c>
    </row>
    <row r="345" spans="1:14">
      <c r="A345" s="64" t="s">
        <v>258</v>
      </c>
      <c r="B345" s="107"/>
      <c r="C345" s="107"/>
      <c r="D345" s="107"/>
      <c r="E345" s="107"/>
      <c r="F345" s="107">
        <f>SUM(F342:F344)</f>
        <v>-35468.019999999997</v>
      </c>
      <c r="G345" s="107"/>
      <c r="H345" s="107"/>
      <c r="I345" s="107"/>
      <c r="J345" s="107"/>
      <c r="K345" s="107"/>
      <c r="L345" s="107"/>
      <c r="M345" s="107"/>
      <c r="N345" s="107">
        <v>-35468.019999999997</v>
      </c>
    </row>
    <row r="346" spans="1:14">
      <c r="A346" s="64"/>
      <c r="B346" s="22"/>
      <c r="C346" s="22"/>
      <c r="D346" s="22"/>
      <c r="E346" s="22"/>
      <c r="F346" s="22"/>
      <c r="G346" s="22"/>
      <c r="H346" s="22"/>
      <c r="I346" s="22"/>
      <c r="J346" s="22"/>
      <c r="K346" s="22"/>
      <c r="L346" s="22"/>
      <c r="M346" s="22"/>
      <c r="N346" s="22"/>
    </row>
    <row r="347" spans="1:14" ht="15.75" thickBot="1">
      <c r="A347" s="64" t="s">
        <v>62</v>
      </c>
      <c r="B347" s="112">
        <f t="shared" ref="B347:M347" si="64">SUM(B199:B346)-B218-B226-B237-B253-B279-B296-B305-B314-B319-B326-B334-B341-B345</f>
        <v>857674.52</v>
      </c>
      <c r="C347" s="112">
        <f t="shared" si="64"/>
        <v>866049.15999999957</v>
      </c>
      <c r="D347" s="112">
        <f t="shared" si="64"/>
        <v>865723.45000000007</v>
      </c>
      <c r="E347" s="112">
        <f t="shared" si="64"/>
        <v>833568.96999999939</v>
      </c>
      <c r="F347" s="112">
        <f t="shared" si="64"/>
        <v>741404.23000000056</v>
      </c>
      <c r="G347" s="112">
        <f t="shared" si="64"/>
        <v>847731.27000000048</v>
      </c>
      <c r="H347" s="112">
        <f t="shared" si="64"/>
        <v>811497.54000000015</v>
      </c>
      <c r="I347" s="112">
        <f t="shared" si="64"/>
        <v>820044.19</v>
      </c>
      <c r="J347" s="112">
        <f t="shared" si="64"/>
        <v>766846.03</v>
      </c>
      <c r="K347" s="112">
        <f t="shared" si="64"/>
        <v>829819.37999999931</v>
      </c>
      <c r="L347" s="112">
        <f t="shared" si="64"/>
        <v>887183.51999999944</v>
      </c>
      <c r="M347" s="112">
        <f t="shared" si="64"/>
        <v>899520.76000000047</v>
      </c>
      <c r="N347" s="112">
        <v>10027063.02</v>
      </c>
    </row>
    <row r="348" spans="1:14" ht="15.75" thickTop="1">
      <c r="A348" s="64"/>
      <c r="B348" s="22"/>
      <c r="C348" s="22"/>
      <c r="D348" s="22"/>
      <c r="E348" s="22"/>
      <c r="F348" s="22"/>
      <c r="G348" s="22"/>
      <c r="H348" s="22"/>
      <c r="I348" s="22"/>
      <c r="J348" s="22"/>
      <c r="K348" s="22"/>
      <c r="L348" s="22"/>
      <c r="M348" s="22"/>
      <c r="N348" s="22"/>
    </row>
    <row r="349" spans="1:14" ht="15.75" thickBot="1">
      <c r="A349" s="64" t="s">
        <v>259</v>
      </c>
      <c r="B349" s="112">
        <f t="shared" ref="B349:M349" si="65">+B196-B347</f>
        <v>-40472.250000000466</v>
      </c>
      <c r="C349" s="112">
        <f t="shared" si="65"/>
        <v>91766.990000001504</v>
      </c>
      <c r="D349" s="112">
        <f t="shared" si="65"/>
        <v>101278.12000000046</v>
      </c>
      <c r="E349" s="112">
        <f t="shared" si="65"/>
        <v>19806.940000000061</v>
      </c>
      <c r="F349" s="112">
        <f t="shared" si="65"/>
        <v>277152.00999999873</v>
      </c>
      <c r="G349" s="112">
        <f t="shared" si="65"/>
        <v>205075.15999999875</v>
      </c>
      <c r="H349" s="112">
        <f t="shared" si="65"/>
        <v>140030.53999999992</v>
      </c>
      <c r="I349" s="112">
        <f t="shared" si="65"/>
        <v>22133.959999998682</v>
      </c>
      <c r="J349" s="112">
        <f t="shared" si="65"/>
        <v>13694.500000000582</v>
      </c>
      <c r="K349" s="112">
        <f t="shared" si="65"/>
        <v>100805.61000000034</v>
      </c>
      <c r="L349" s="112">
        <f t="shared" si="65"/>
        <v>107098.38000000059</v>
      </c>
      <c r="M349" s="112">
        <f t="shared" si="65"/>
        <v>102160.89999999944</v>
      </c>
      <c r="N349" s="112">
        <v>1140530.8600000001</v>
      </c>
    </row>
    <row r="350" spans="1:14" ht="15.75" thickTop="1">
      <c r="A350" s="64"/>
      <c r="B350" s="22"/>
      <c r="C350" s="22"/>
      <c r="D350" s="22"/>
      <c r="E350" s="22"/>
      <c r="F350" s="22"/>
      <c r="G350" s="22"/>
      <c r="H350" s="22"/>
      <c r="I350" s="22"/>
      <c r="J350" s="22"/>
      <c r="K350" s="22"/>
      <c r="L350" s="22"/>
      <c r="M350" s="22"/>
      <c r="N350" s="22"/>
    </row>
    <row r="351" spans="1:14">
      <c r="A351" s="64" t="s">
        <v>351</v>
      </c>
      <c r="B351" s="111">
        <v>15829.24</v>
      </c>
      <c r="C351" s="111">
        <v>35478.269999999997</v>
      </c>
      <c r="D351" s="111">
        <v>22320.41</v>
      </c>
      <c r="E351" s="111">
        <v>7142.39</v>
      </c>
      <c r="F351" s="111">
        <v>147989.66</v>
      </c>
      <c r="G351" s="111">
        <v>21096.71</v>
      </c>
      <c r="H351" s="111">
        <v>57291.89</v>
      </c>
      <c r="I351" s="111">
        <v>18714.88</v>
      </c>
      <c r="J351" s="111">
        <v>6152.78</v>
      </c>
      <c r="K351" s="111">
        <v>5173.42</v>
      </c>
      <c r="L351" s="111">
        <v>7636.77</v>
      </c>
      <c r="M351" s="111">
        <v>2696.88</v>
      </c>
      <c r="N351" s="111">
        <v>347523.3</v>
      </c>
    </row>
    <row r="352" spans="1:14">
      <c r="A352" s="64" t="s">
        <v>64</v>
      </c>
      <c r="B352" s="107">
        <f t="shared" ref="B352:M352" si="66">SUM(B350:B351)</f>
        <v>15829.24</v>
      </c>
      <c r="C352" s="107">
        <f t="shared" si="66"/>
        <v>35478.269999999997</v>
      </c>
      <c r="D352" s="107">
        <f t="shared" si="66"/>
        <v>22320.41</v>
      </c>
      <c r="E352" s="107">
        <f t="shared" si="66"/>
        <v>7142.39</v>
      </c>
      <c r="F352" s="107">
        <f t="shared" si="66"/>
        <v>147989.66</v>
      </c>
      <c r="G352" s="107">
        <f t="shared" si="66"/>
        <v>21096.71</v>
      </c>
      <c r="H352" s="107">
        <f t="shared" si="66"/>
        <v>57291.89</v>
      </c>
      <c r="I352" s="107">
        <f t="shared" si="66"/>
        <v>18714.88</v>
      </c>
      <c r="J352" s="107">
        <f t="shared" si="66"/>
        <v>6152.78</v>
      </c>
      <c r="K352" s="107">
        <f t="shared" si="66"/>
        <v>5173.42</v>
      </c>
      <c r="L352" s="107">
        <f t="shared" si="66"/>
        <v>7636.77</v>
      </c>
      <c r="M352" s="107">
        <f t="shared" si="66"/>
        <v>2696.88</v>
      </c>
      <c r="N352" s="107">
        <v>347523.3</v>
      </c>
    </row>
    <row r="353" spans="1:14">
      <c r="A353" s="64"/>
      <c r="B353" s="22"/>
      <c r="C353" s="22"/>
      <c r="D353" s="22"/>
      <c r="E353" s="22"/>
      <c r="F353" s="22"/>
      <c r="G353" s="22"/>
      <c r="H353" s="22"/>
      <c r="I353" s="22"/>
      <c r="J353" s="22"/>
      <c r="K353" s="22"/>
      <c r="L353" s="22"/>
      <c r="M353" s="22"/>
      <c r="N353" s="22"/>
    </row>
    <row r="354" spans="1:14" ht="15.75" thickBot="1">
      <c r="A354" s="64" t="s">
        <v>22</v>
      </c>
      <c r="B354" s="112">
        <f t="shared" ref="B354:M354" si="67">+B349-B352</f>
        <v>-56301.490000000464</v>
      </c>
      <c r="C354" s="112">
        <f t="shared" si="67"/>
        <v>56288.720000001507</v>
      </c>
      <c r="D354" s="112">
        <f t="shared" si="67"/>
        <v>78957.710000000458</v>
      </c>
      <c r="E354" s="112">
        <f t="shared" si="67"/>
        <v>12664.550000000061</v>
      </c>
      <c r="F354" s="112">
        <f t="shared" si="67"/>
        <v>129162.34999999873</v>
      </c>
      <c r="G354" s="112">
        <f t="shared" si="67"/>
        <v>183978.44999999876</v>
      </c>
      <c r="H354" s="112">
        <f t="shared" si="67"/>
        <v>82738.649999999921</v>
      </c>
      <c r="I354" s="112">
        <f t="shared" si="67"/>
        <v>3419.0799999986812</v>
      </c>
      <c r="J354" s="112">
        <f t="shared" si="67"/>
        <v>7541.7200000005823</v>
      </c>
      <c r="K354" s="112">
        <f t="shared" si="67"/>
        <v>95632.190000000337</v>
      </c>
      <c r="L354" s="112">
        <f t="shared" si="67"/>
        <v>99461.610000000583</v>
      </c>
      <c r="M354" s="112">
        <f t="shared" si="67"/>
        <v>99464.019999999437</v>
      </c>
      <c r="N354" s="112">
        <v>793007.56</v>
      </c>
    </row>
    <row r="355" spans="1:14" ht="15.75" thickTop="1">
      <c r="A355" s="64"/>
      <c r="B355" s="22"/>
      <c r="C355" s="22"/>
      <c r="D355" s="22"/>
      <c r="E355" s="22"/>
      <c r="F355" s="22"/>
      <c r="G355" s="22"/>
      <c r="H355" s="22"/>
      <c r="I355" s="22"/>
      <c r="J355" s="22"/>
      <c r="K355" s="22"/>
      <c r="L355" s="22"/>
      <c r="M355" s="22"/>
      <c r="N355" s="22"/>
    </row>
    <row r="356" spans="1:14">
      <c r="A356" s="64"/>
      <c r="B356" s="22"/>
      <c r="C356" s="22"/>
      <c r="D356" s="22"/>
      <c r="E356" s="22"/>
      <c r="F356" s="22"/>
      <c r="G356" s="22"/>
      <c r="H356" s="22"/>
      <c r="I356" s="22"/>
      <c r="J356" s="22"/>
      <c r="K356" s="22"/>
      <c r="L356" s="22"/>
      <c r="M356" s="22"/>
      <c r="N356" s="22"/>
    </row>
    <row r="357" spans="1:14">
      <c r="A357" s="64" t="s">
        <v>260</v>
      </c>
      <c r="B357" s="22"/>
      <c r="C357" s="22"/>
      <c r="D357" s="22"/>
      <c r="E357" s="22"/>
      <c r="F357" s="22"/>
      <c r="G357" s="22"/>
      <c r="H357" s="22"/>
      <c r="I357" s="22"/>
      <c r="J357" s="22"/>
      <c r="K357" s="22"/>
      <c r="L357" s="22"/>
      <c r="M357" s="22"/>
      <c r="N357" s="22"/>
    </row>
    <row r="358" spans="1:14">
      <c r="A358" s="64"/>
      <c r="B358" s="22"/>
      <c r="C358" s="22"/>
      <c r="D358" s="22"/>
      <c r="E358" s="22"/>
      <c r="F358" s="22"/>
      <c r="G358" s="22"/>
      <c r="H358" s="22"/>
      <c r="I358" s="22"/>
      <c r="J358" s="22"/>
      <c r="K358" s="22"/>
      <c r="L358" s="22"/>
      <c r="M358" s="22"/>
      <c r="N358" s="22"/>
    </row>
    <row r="359" spans="1:14">
      <c r="A359" s="64" t="s">
        <v>19</v>
      </c>
      <c r="B359" s="22"/>
      <c r="C359" s="22"/>
      <c r="D359" s="22"/>
      <c r="E359" s="22"/>
      <c r="F359" s="22"/>
      <c r="G359" s="22"/>
      <c r="H359" s="22"/>
      <c r="I359" s="22"/>
      <c r="J359" s="22"/>
      <c r="K359" s="22"/>
      <c r="L359" s="22"/>
      <c r="M359" s="22"/>
      <c r="N359" s="22"/>
    </row>
    <row r="360" spans="1:14">
      <c r="A360" s="64" t="s">
        <v>261</v>
      </c>
      <c r="B360" s="107">
        <v>-126</v>
      </c>
      <c r="C360" s="22"/>
      <c r="D360" s="22"/>
      <c r="E360" s="22"/>
      <c r="F360" s="107">
        <v>4</v>
      </c>
      <c r="G360" s="107">
        <v>155</v>
      </c>
      <c r="H360" s="107">
        <v>6</v>
      </c>
      <c r="I360" s="107">
        <v>59</v>
      </c>
      <c r="J360" s="107">
        <v>187</v>
      </c>
      <c r="K360" s="107">
        <v>-203</v>
      </c>
      <c r="L360" s="107">
        <v>28</v>
      </c>
      <c r="M360" s="107">
        <v>179</v>
      </c>
      <c r="N360" s="107">
        <v>289</v>
      </c>
    </row>
    <row r="361" spans="1:14">
      <c r="A361" s="64" t="s">
        <v>66</v>
      </c>
      <c r="B361" s="111">
        <v>1579</v>
      </c>
      <c r="C361" s="111">
        <v>1527</v>
      </c>
      <c r="D361" s="111">
        <v>1574</v>
      </c>
      <c r="E361" s="111">
        <v>1564</v>
      </c>
      <c r="F361" s="111">
        <v>1641</v>
      </c>
      <c r="G361" s="111">
        <v>1539</v>
      </c>
      <c r="H361" s="111">
        <v>1451</v>
      </c>
      <c r="I361" s="111">
        <v>1631</v>
      </c>
      <c r="J361" s="111">
        <v>1636</v>
      </c>
      <c r="K361" s="111">
        <v>1637</v>
      </c>
      <c r="L361" s="111">
        <v>1541</v>
      </c>
      <c r="M361" s="111">
        <v>1567</v>
      </c>
      <c r="N361" s="111">
        <v>18887</v>
      </c>
    </row>
    <row r="362" spans="1:14">
      <c r="A362" s="64" t="s">
        <v>85</v>
      </c>
      <c r="B362" s="107">
        <f t="shared" ref="B362:M362" si="68">SUM(B359:B361)</f>
        <v>1453</v>
      </c>
      <c r="C362" s="107">
        <f t="shared" si="68"/>
        <v>1527</v>
      </c>
      <c r="D362" s="107">
        <f t="shared" si="68"/>
        <v>1574</v>
      </c>
      <c r="E362" s="107">
        <f t="shared" si="68"/>
        <v>1564</v>
      </c>
      <c r="F362" s="107">
        <f t="shared" si="68"/>
        <v>1645</v>
      </c>
      <c r="G362" s="107">
        <f t="shared" si="68"/>
        <v>1694</v>
      </c>
      <c r="H362" s="107">
        <f t="shared" si="68"/>
        <v>1457</v>
      </c>
      <c r="I362" s="107">
        <f t="shared" si="68"/>
        <v>1690</v>
      </c>
      <c r="J362" s="107">
        <f t="shared" si="68"/>
        <v>1823</v>
      </c>
      <c r="K362" s="107">
        <f t="shared" si="68"/>
        <v>1434</v>
      </c>
      <c r="L362" s="107">
        <f t="shared" si="68"/>
        <v>1569</v>
      </c>
      <c r="M362" s="107">
        <f t="shared" si="68"/>
        <v>1746</v>
      </c>
      <c r="N362" s="107">
        <v>19176</v>
      </c>
    </row>
    <row r="363" spans="1:14">
      <c r="A363" s="64"/>
      <c r="B363" s="22"/>
      <c r="C363" s="22"/>
      <c r="D363" s="22"/>
      <c r="E363" s="22"/>
      <c r="F363" s="22"/>
      <c r="G363" s="22"/>
      <c r="H363" s="22"/>
      <c r="I363" s="22"/>
      <c r="J363" s="22"/>
      <c r="K363" s="22"/>
      <c r="L363" s="22"/>
      <c r="M363" s="22"/>
      <c r="N363" s="22"/>
    </row>
    <row r="364" spans="1:14">
      <c r="A364" s="64" t="s">
        <v>20</v>
      </c>
      <c r="B364" s="22"/>
      <c r="C364" s="22"/>
      <c r="D364" s="22"/>
      <c r="E364" s="22"/>
      <c r="F364" s="22"/>
      <c r="G364" s="22"/>
      <c r="H364" s="22"/>
      <c r="I364" s="22"/>
      <c r="J364" s="22"/>
      <c r="K364" s="22"/>
      <c r="L364" s="22"/>
      <c r="M364" s="22"/>
      <c r="N364" s="22"/>
    </row>
    <row r="365" spans="1:14">
      <c r="A365" s="64" t="s">
        <v>261</v>
      </c>
      <c r="B365" s="22"/>
      <c r="C365" s="22"/>
      <c r="D365" s="22"/>
      <c r="E365" s="22"/>
      <c r="F365" s="22"/>
      <c r="G365" s="22"/>
      <c r="H365" s="22"/>
      <c r="I365" s="22"/>
      <c r="J365" s="107">
        <v>3</v>
      </c>
      <c r="K365" s="107">
        <v>1</v>
      </c>
      <c r="L365" s="22"/>
      <c r="M365" s="22"/>
      <c r="N365" s="107">
        <v>4</v>
      </c>
    </row>
    <row r="366" spans="1:14">
      <c r="A366" s="64" t="s">
        <v>66</v>
      </c>
      <c r="B366" s="111">
        <v>31</v>
      </c>
      <c r="C366" s="111">
        <v>30</v>
      </c>
      <c r="D366" s="111">
        <v>37</v>
      </c>
      <c r="E366" s="111">
        <v>15</v>
      </c>
      <c r="F366" s="111">
        <v>9</v>
      </c>
      <c r="G366" s="111">
        <v>11</v>
      </c>
      <c r="H366" s="111">
        <v>25</v>
      </c>
      <c r="I366" s="111">
        <v>44</v>
      </c>
      <c r="J366" s="111">
        <v>39</v>
      </c>
      <c r="K366" s="111">
        <v>81</v>
      </c>
      <c r="L366" s="111">
        <v>40</v>
      </c>
      <c r="M366" s="111">
        <v>31</v>
      </c>
      <c r="N366" s="111">
        <v>393</v>
      </c>
    </row>
    <row r="367" spans="1:14">
      <c r="A367" s="64" t="s">
        <v>262</v>
      </c>
      <c r="B367" s="107">
        <f t="shared" ref="B367:M367" si="69">SUM(B363:B366)</f>
        <v>31</v>
      </c>
      <c r="C367" s="107">
        <f t="shared" si="69"/>
        <v>30</v>
      </c>
      <c r="D367" s="107">
        <f t="shared" si="69"/>
        <v>37</v>
      </c>
      <c r="E367" s="107">
        <f t="shared" si="69"/>
        <v>15</v>
      </c>
      <c r="F367" s="107">
        <f t="shared" si="69"/>
        <v>9</v>
      </c>
      <c r="G367" s="107">
        <f t="shared" si="69"/>
        <v>11</v>
      </c>
      <c r="H367" s="107">
        <f t="shared" si="69"/>
        <v>25</v>
      </c>
      <c r="I367" s="107">
        <f t="shared" si="69"/>
        <v>44</v>
      </c>
      <c r="J367" s="107">
        <f t="shared" si="69"/>
        <v>42</v>
      </c>
      <c r="K367" s="107">
        <f t="shared" si="69"/>
        <v>82</v>
      </c>
      <c r="L367" s="107">
        <f t="shared" si="69"/>
        <v>40</v>
      </c>
      <c r="M367" s="107">
        <f t="shared" si="69"/>
        <v>31</v>
      </c>
      <c r="N367" s="107">
        <v>397</v>
      </c>
    </row>
    <row r="368" spans="1:14">
      <c r="A368" s="64"/>
      <c r="B368" s="22"/>
      <c r="C368" s="22"/>
      <c r="D368" s="22"/>
      <c r="E368" s="22"/>
      <c r="F368" s="22"/>
      <c r="G368" s="22"/>
      <c r="H368" s="22"/>
      <c r="I368" s="22"/>
      <c r="J368" s="22"/>
      <c r="K368" s="22"/>
      <c r="L368" s="22"/>
      <c r="M368" s="22"/>
      <c r="N368" s="22"/>
    </row>
    <row r="369" spans="1:14">
      <c r="A369" s="64" t="s">
        <v>263</v>
      </c>
      <c r="B369" s="22"/>
      <c r="C369" s="22"/>
      <c r="D369" s="22"/>
      <c r="E369" s="22"/>
      <c r="F369" s="22"/>
      <c r="G369" s="22"/>
      <c r="H369" s="22"/>
      <c r="I369" s="22"/>
      <c r="J369" s="22"/>
      <c r="K369" s="22"/>
      <c r="L369" s="22"/>
      <c r="M369" s="22"/>
      <c r="N369" s="22"/>
    </row>
    <row r="370" spans="1:14">
      <c r="A370" s="64" t="s">
        <v>261</v>
      </c>
      <c r="B370" s="22"/>
      <c r="C370" s="107">
        <v>1</v>
      </c>
      <c r="D370" s="107">
        <v>18</v>
      </c>
      <c r="E370" s="107">
        <v>-4</v>
      </c>
      <c r="F370" s="22"/>
      <c r="G370" s="22"/>
      <c r="H370" s="107">
        <v>8</v>
      </c>
      <c r="I370" s="107">
        <v>23</v>
      </c>
      <c r="J370" s="107">
        <v>-17</v>
      </c>
      <c r="K370" s="107">
        <v>1</v>
      </c>
      <c r="L370" s="107">
        <v>16</v>
      </c>
      <c r="M370" s="107">
        <v>-1</v>
      </c>
      <c r="N370" s="107">
        <v>45</v>
      </c>
    </row>
    <row r="371" spans="1:14">
      <c r="A371" s="64" t="s">
        <v>66</v>
      </c>
      <c r="B371" s="111">
        <v>242</v>
      </c>
      <c r="C371" s="111">
        <v>350</v>
      </c>
      <c r="D371" s="111">
        <v>344</v>
      </c>
      <c r="E371" s="111">
        <v>230</v>
      </c>
      <c r="F371" s="111">
        <v>326</v>
      </c>
      <c r="G371" s="111">
        <v>540</v>
      </c>
      <c r="H371" s="111">
        <v>420</v>
      </c>
      <c r="I371" s="111">
        <v>253</v>
      </c>
      <c r="J371" s="111">
        <v>211</v>
      </c>
      <c r="K371" s="111">
        <v>254</v>
      </c>
      <c r="L371" s="111">
        <v>401</v>
      </c>
      <c r="M371" s="111">
        <v>478</v>
      </c>
      <c r="N371" s="111">
        <v>4049</v>
      </c>
    </row>
    <row r="372" spans="1:14">
      <c r="A372" s="64" t="s">
        <v>264</v>
      </c>
      <c r="B372" s="107">
        <f t="shared" ref="B372:M372" si="70">SUM(B368:B371)</f>
        <v>242</v>
      </c>
      <c r="C372" s="107">
        <f t="shared" si="70"/>
        <v>351</v>
      </c>
      <c r="D372" s="107">
        <f t="shared" si="70"/>
        <v>362</v>
      </c>
      <c r="E372" s="107">
        <f t="shared" si="70"/>
        <v>226</v>
      </c>
      <c r="F372" s="107">
        <f t="shared" si="70"/>
        <v>326</v>
      </c>
      <c r="G372" s="107">
        <f t="shared" si="70"/>
        <v>540</v>
      </c>
      <c r="H372" s="107">
        <f t="shared" si="70"/>
        <v>428</v>
      </c>
      <c r="I372" s="107">
        <f t="shared" si="70"/>
        <v>276</v>
      </c>
      <c r="J372" s="107">
        <f t="shared" si="70"/>
        <v>194</v>
      </c>
      <c r="K372" s="107">
        <f t="shared" si="70"/>
        <v>255</v>
      </c>
      <c r="L372" s="107">
        <f t="shared" si="70"/>
        <v>417</v>
      </c>
      <c r="M372" s="107">
        <f t="shared" si="70"/>
        <v>477</v>
      </c>
      <c r="N372" s="107">
        <v>4094</v>
      </c>
    </row>
    <row r="373" spans="1:14">
      <c r="A373" s="64"/>
      <c r="B373" s="22"/>
      <c r="C373" s="22"/>
      <c r="D373" s="22"/>
      <c r="E373" s="22"/>
      <c r="F373" s="22"/>
      <c r="G373" s="22"/>
      <c r="H373" s="22"/>
      <c r="I373" s="22"/>
      <c r="J373" s="22"/>
      <c r="K373" s="22"/>
      <c r="L373" s="22"/>
      <c r="M373" s="22"/>
      <c r="N373" s="22"/>
    </row>
    <row r="374" spans="1:14">
      <c r="A374" s="64" t="s">
        <v>265</v>
      </c>
      <c r="B374" s="113"/>
      <c r="C374" s="113"/>
      <c r="D374" s="113"/>
      <c r="E374" s="113"/>
      <c r="F374" s="113"/>
      <c r="G374" s="113"/>
      <c r="H374" s="113"/>
      <c r="I374" s="113"/>
      <c r="J374" s="113"/>
      <c r="K374" s="113"/>
      <c r="L374" s="113"/>
      <c r="M374" s="113"/>
      <c r="N374" s="113"/>
    </row>
    <row r="375" spans="1:14">
      <c r="A375" s="64" t="s">
        <v>319</v>
      </c>
      <c r="B375" s="107"/>
      <c r="C375" s="107"/>
      <c r="D375" s="107"/>
      <c r="E375" s="107"/>
      <c r="F375" s="107"/>
      <c r="G375" s="107"/>
      <c r="H375" s="107"/>
      <c r="I375" s="107"/>
      <c r="J375" s="107"/>
      <c r="K375" s="107"/>
      <c r="L375" s="107"/>
      <c r="M375" s="107"/>
      <c r="N375" s="107"/>
    </row>
    <row r="376" spans="1:14">
      <c r="A376" s="64"/>
      <c r="B376" s="22"/>
      <c r="C376" s="22"/>
      <c r="D376" s="22"/>
      <c r="E376" s="22"/>
      <c r="F376" s="22"/>
      <c r="G376" s="22"/>
      <c r="H376" s="22"/>
      <c r="I376" s="22"/>
      <c r="J376" s="22"/>
      <c r="K376" s="22"/>
      <c r="L376" s="22"/>
      <c r="M376" s="22"/>
      <c r="N376" s="22"/>
    </row>
    <row r="377" spans="1:14">
      <c r="A377" s="64" t="s">
        <v>106</v>
      </c>
      <c r="B377" s="22"/>
      <c r="C377" s="22"/>
      <c r="D377" s="22"/>
      <c r="E377" s="22"/>
      <c r="F377" s="22"/>
      <c r="G377" s="22"/>
      <c r="H377" s="22"/>
      <c r="I377" s="22"/>
      <c r="J377" s="22"/>
      <c r="K377" s="22"/>
      <c r="L377" s="22"/>
      <c r="M377" s="22"/>
      <c r="N377" s="22"/>
    </row>
    <row r="378" spans="1:14">
      <c r="A378" s="64" t="s">
        <v>261</v>
      </c>
      <c r="B378" s="22"/>
      <c r="C378" s="107">
        <v>-1</v>
      </c>
      <c r="D378" s="107">
        <v>-18</v>
      </c>
      <c r="E378" s="107">
        <v>4</v>
      </c>
      <c r="F378" s="22"/>
      <c r="G378" s="22"/>
      <c r="H378" s="107">
        <v>-14</v>
      </c>
      <c r="I378" s="107">
        <v>-23</v>
      </c>
      <c r="J378" s="107">
        <v>15</v>
      </c>
      <c r="K378" s="107">
        <v>-1</v>
      </c>
      <c r="L378" s="107">
        <v>-15</v>
      </c>
      <c r="M378" s="107">
        <v>-1</v>
      </c>
      <c r="N378" s="107">
        <v>-54</v>
      </c>
    </row>
    <row r="379" spans="1:14">
      <c r="A379" s="64" t="s">
        <v>66</v>
      </c>
      <c r="B379" s="111">
        <v>543</v>
      </c>
      <c r="C379" s="111">
        <v>615</v>
      </c>
      <c r="D379" s="111">
        <v>638</v>
      </c>
      <c r="E379" s="111">
        <v>655</v>
      </c>
      <c r="F379" s="111">
        <v>627</v>
      </c>
      <c r="G379" s="111">
        <v>640</v>
      </c>
      <c r="H379" s="111">
        <v>737</v>
      </c>
      <c r="I379" s="111">
        <v>700</v>
      </c>
      <c r="J379" s="111">
        <v>647</v>
      </c>
      <c r="K379" s="111">
        <v>831</v>
      </c>
      <c r="L379" s="111">
        <v>779</v>
      </c>
      <c r="M379" s="111">
        <v>705</v>
      </c>
      <c r="N379" s="111">
        <v>8117</v>
      </c>
    </row>
    <row r="380" spans="1:14">
      <c r="A380" s="64" t="s">
        <v>116</v>
      </c>
      <c r="B380" s="107">
        <f t="shared" ref="B380:M380" si="71">SUM(B376:B379)</f>
        <v>543</v>
      </c>
      <c r="C380" s="107">
        <f t="shared" si="71"/>
        <v>614</v>
      </c>
      <c r="D380" s="107">
        <f t="shared" si="71"/>
        <v>620</v>
      </c>
      <c r="E380" s="107">
        <f t="shared" si="71"/>
        <v>659</v>
      </c>
      <c r="F380" s="107">
        <f t="shared" si="71"/>
        <v>627</v>
      </c>
      <c r="G380" s="107">
        <f t="shared" si="71"/>
        <v>640</v>
      </c>
      <c r="H380" s="107">
        <f t="shared" si="71"/>
        <v>723</v>
      </c>
      <c r="I380" s="107">
        <f t="shared" si="71"/>
        <v>677</v>
      </c>
      <c r="J380" s="107">
        <f t="shared" si="71"/>
        <v>662</v>
      </c>
      <c r="K380" s="107">
        <f t="shared" si="71"/>
        <v>830</v>
      </c>
      <c r="L380" s="107">
        <f t="shared" si="71"/>
        <v>764</v>
      </c>
      <c r="M380" s="107">
        <f t="shared" si="71"/>
        <v>704</v>
      </c>
      <c r="N380" s="107">
        <v>8063</v>
      </c>
    </row>
    <row r="381" spans="1:14">
      <c r="A381" s="64"/>
      <c r="B381" s="22"/>
      <c r="C381" s="22"/>
      <c r="D381" s="22"/>
      <c r="E381" s="22"/>
      <c r="F381" s="22"/>
      <c r="G381" s="22"/>
      <c r="H381" s="22"/>
      <c r="I381" s="22"/>
      <c r="J381" s="22"/>
      <c r="K381" s="22"/>
      <c r="L381" s="22"/>
      <c r="M381" s="22"/>
      <c r="N381" s="22"/>
    </row>
    <row r="382" spans="1:14">
      <c r="A382" s="64" t="s">
        <v>117</v>
      </c>
      <c r="B382" s="22"/>
      <c r="C382" s="22"/>
      <c r="D382" s="22"/>
      <c r="E382" s="22"/>
      <c r="F382" s="22"/>
      <c r="G382" s="22"/>
      <c r="H382" s="22"/>
      <c r="I382" s="22"/>
      <c r="J382" s="22"/>
      <c r="K382" s="22"/>
      <c r="L382" s="22"/>
      <c r="M382" s="22"/>
      <c r="N382" s="22"/>
    </row>
    <row r="383" spans="1:14">
      <c r="A383" s="64" t="s">
        <v>261</v>
      </c>
      <c r="B383" s="107">
        <v>126</v>
      </c>
      <c r="C383" s="22"/>
      <c r="D383" s="22"/>
      <c r="E383" s="22"/>
      <c r="F383" s="107">
        <v>-5</v>
      </c>
      <c r="G383" s="107">
        <v>-214</v>
      </c>
      <c r="H383" s="22"/>
      <c r="I383" s="107">
        <v>-59</v>
      </c>
      <c r="J383" s="107">
        <v>-188</v>
      </c>
      <c r="K383" s="107">
        <v>203</v>
      </c>
      <c r="L383" s="107">
        <v>-31</v>
      </c>
      <c r="M383" s="107">
        <v>-178</v>
      </c>
      <c r="N383" s="107">
        <v>-346</v>
      </c>
    </row>
    <row r="384" spans="1:14">
      <c r="A384" s="64" t="s">
        <v>66</v>
      </c>
      <c r="B384" s="111">
        <v>152</v>
      </c>
      <c r="C384" s="111">
        <v>198</v>
      </c>
      <c r="D384" s="111">
        <v>290</v>
      </c>
      <c r="E384" s="111">
        <v>280</v>
      </c>
      <c r="F384" s="111">
        <v>261</v>
      </c>
      <c r="G384" s="111">
        <v>191</v>
      </c>
      <c r="H384" s="111">
        <v>115</v>
      </c>
      <c r="I384" s="111">
        <v>44</v>
      </c>
      <c r="J384" s="111">
        <v>69</v>
      </c>
      <c r="K384" s="111">
        <v>145</v>
      </c>
      <c r="L384" s="111">
        <v>192</v>
      </c>
      <c r="M384" s="111">
        <v>230</v>
      </c>
      <c r="N384" s="111">
        <v>2167</v>
      </c>
    </row>
    <row r="385" spans="1:14">
      <c r="A385" s="64" t="s">
        <v>127</v>
      </c>
      <c r="B385" s="107">
        <f t="shared" ref="B385:M385" si="72">SUM(B381:B384)</f>
        <v>278</v>
      </c>
      <c r="C385" s="107">
        <f t="shared" si="72"/>
        <v>198</v>
      </c>
      <c r="D385" s="107">
        <f t="shared" si="72"/>
        <v>290</v>
      </c>
      <c r="E385" s="107">
        <f t="shared" si="72"/>
        <v>280</v>
      </c>
      <c r="F385" s="107">
        <f t="shared" si="72"/>
        <v>256</v>
      </c>
      <c r="G385" s="107">
        <f t="shared" si="72"/>
        <v>-23</v>
      </c>
      <c r="H385" s="107">
        <f t="shared" si="72"/>
        <v>115</v>
      </c>
      <c r="I385" s="107">
        <f t="shared" si="72"/>
        <v>-15</v>
      </c>
      <c r="J385" s="107">
        <f t="shared" si="72"/>
        <v>-119</v>
      </c>
      <c r="K385" s="107">
        <f t="shared" si="72"/>
        <v>348</v>
      </c>
      <c r="L385" s="107">
        <f t="shared" si="72"/>
        <v>161</v>
      </c>
      <c r="M385" s="107">
        <f t="shared" si="72"/>
        <v>52</v>
      </c>
      <c r="N385" s="107">
        <v>1821</v>
      </c>
    </row>
    <row r="386" spans="1:14">
      <c r="A386" s="64"/>
      <c r="B386" s="22"/>
      <c r="C386" s="22"/>
      <c r="D386" s="22"/>
      <c r="E386" s="22"/>
      <c r="F386" s="22"/>
      <c r="G386" s="22"/>
      <c r="H386" s="22"/>
      <c r="I386" s="22"/>
      <c r="J386" s="22"/>
      <c r="K386" s="22"/>
      <c r="L386" s="22"/>
      <c r="M386" s="22"/>
      <c r="N386" s="22"/>
    </row>
    <row r="387" spans="1:14" ht="15.75" thickBot="1">
      <c r="A387" s="64" t="s">
        <v>266</v>
      </c>
      <c r="B387" s="112">
        <f t="shared" ref="B387:M387" si="73">SUM(B357:B386)-B362-B367-B372-B375-B380-B385</f>
        <v>2547</v>
      </c>
      <c r="C387" s="112">
        <f t="shared" si="73"/>
        <v>2720</v>
      </c>
      <c r="D387" s="112">
        <f t="shared" si="73"/>
        <v>2883</v>
      </c>
      <c r="E387" s="112">
        <f t="shared" si="73"/>
        <v>2744</v>
      </c>
      <c r="F387" s="112">
        <f t="shared" si="73"/>
        <v>2863</v>
      </c>
      <c r="G387" s="112">
        <f t="shared" si="73"/>
        <v>2862</v>
      </c>
      <c r="H387" s="112">
        <f t="shared" si="73"/>
        <v>2748</v>
      </c>
      <c r="I387" s="112">
        <f t="shared" si="73"/>
        <v>2672</v>
      </c>
      <c r="J387" s="112">
        <f t="shared" si="73"/>
        <v>2602</v>
      </c>
      <c r="K387" s="112">
        <f t="shared" si="73"/>
        <v>2949</v>
      </c>
      <c r="L387" s="112">
        <f t="shared" si="73"/>
        <v>2951</v>
      </c>
      <c r="M387" s="112">
        <f t="shared" si="73"/>
        <v>3010</v>
      </c>
      <c r="N387" s="112">
        <v>33551</v>
      </c>
    </row>
    <row r="388" spans="1:14" ht="15.75" thickTop="1">
      <c r="A388" s="64"/>
      <c r="B388" s="22"/>
      <c r="C388" s="22"/>
      <c r="D388" s="22"/>
      <c r="E388" s="22"/>
      <c r="F388" s="22"/>
      <c r="G388" s="22"/>
      <c r="H388" s="22"/>
      <c r="I388" s="22"/>
      <c r="J388" s="22"/>
      <c r="K388" s="22"/>
      <c r="L388" s="22"/>
      <c r="M388" s="22"/>
      <c r="N388" s="22"/>
    </row>
    <row r="389" spans="1:14" hidden="1">
      <c r="A389" s="64"/>
      <c r="B389" s="107">
        <v>56301.49</v>
      </c>
      <c r="C389" s="107">
        <v>-56288.72</v>
      </c>
      <c r="D389" s="107">
        <v>-78957.710000000006</v>
      </c>
      <c r="E389" s="107">
        <v>-12664.55</v>
      </c>
      <c r="F389" s="107">
        <v>-129162.35</v>
      </c>
      <c r="G389" s="107">
        <v>-183978.45</v>
      </c>
      <c r="H389" s="107">
        <v>-82738.649999999994</v>
      </c>
      <c r="I389" s="107">
        <v>-3419.08</v>
      </c>
      <c r="J389" s="107">
        <v>-7541.72</v>
      </c>
      <c r="K389" s="107">
        <v>-95632.19</v>
      </c>
      <c r="L389" s="107">
        <v>-99461.61</v>
      </c>
      <c r="M389" s="107">
        <v>-99464.02</v>
      </c>
      <c r="N389" s="107">
        <v>-793007.56</v>
      </c>
    </row>
    <row r="390" spans="1:14">
      <c r="A390" s="64"/>
      <c r="B390" s="22"/>
      <c r="C390" s="22"/>
      <c r="D390" s="22"/>
      <c r="E390" s="22"/>
      <c r="F390" s="22"/>
      <c r="G390" s="22"/>
      <c r="H390" s="22"/>
      <c r="I390" s="22"/>
      <c r="J390" s="22"/>
      <c r="K390" s="22"/>
      <c r="L390" s="22"/>
      <c r="M390" s="22"/>
      <c r="N390" s="22"/>
    </row>
    <row r="391" spans="1:14" hidden="1">
      <c r="A391" s="64" t="s">
        <v>267</v>
      </c>
      <c r="B391" s="107">
        <f t="shared" ref="B391:M391" si="74">B361+B366+B371+B379+B384</f>
        <v>2547</v>
      </c>
      <c r="C391" s="107">
        <f t="shared" si="74"/>
        <v>2720</v>
      </c>
      <c r="D391" s="107">
        <f t="shared" si="74"/>
        <v>2883</v>
      </c>
      <c r="E391" s="107">
        <f t="shared" si="74"/>
        <v>2744</v>
      </c>
      <c r="F391" s="107">
        <f t="shared" si="74"/>
        <v>2864</v>
      </c>
      <c r="G391" s="107">
        <f t="shared" si="74"/>
        <v>2921</v>
      </c>
      <c r="H391" s="107">
        <f t="shared" si="74"/>
        <v>2748</v>
      </c>
      <c r="I391" s="107">
        <f t="shared" si="74"/>
        <v>2672</v>
      </c>
      <c r="J391" s="107">
        <f t="shared" si="74"/>
        <v>2602</v>
      </c>
      <c r="K391" s="107">
        <f t="shared" si="74"/>
        <v>2948</v>
      </c>
      <c r="L391" s="107">
        <f t="shared" si="74"/>
        <v>2953</v>
      </c>
      <c r="M391" s="107">
        <f t="shared" si="74"/>
        <v>3011</v>
      </c>
      <c r="N391" s="107">
        <v>33613</v>
      </c>
    </row>
    <row r="392" spans="1:14">
      <c r="A392" s="64"/>
      <c r="B392" s="22"/>
      <c r="C392" s="22"/>
      <c r="D392" s="22"/>
      <c r="E392" s="22"/>
      <c r="F392" s="22"/>
      <c r="G392" s="22"/>
      <c r="H392" s="22"/>
      <c r="I392" s="22"/>
      <c r="J392" s="22"/>
      <c r="K392" s="22"/>
      <c r="L392" s="22"/>
      <c r="M392" s="22"/>
      <c r="N392" s="22"/>
    </row>
  </sheetData>
  <pageMargins left="0.75" right="0.75" top="0.75" bottom="0.75" header="0.03" footer="0.03"/>
  <pageSetup scale="46" fitToHeight="0" pageOrder="overThenDown" orientation="landscape" r:id="rId1"/>
  <headerFooter>
    <oddHeader>&amp;L&amp;C&amp;"Arial,Regular"&amp;9&amp;K000000Park Manor of Conroe-WINNIE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5121"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5121" r:id="rId5" name="FPMExcelClientSheetOptionstb1"/>
      </mc:Fallback>
    </mc:AlternateContent>
  </contro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pageSetUpPr fitToPage="1"/>
  </sheetPr>
  <dimension ref="A1:N381"/>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B350</f>
        <v>1424</v>
      </c>
      <c r="C4" s="110">
        <f t="shared" si="0"/>
        <v>1468</v>
      </c>
      <c r="D4" s="110">
        <f t="shared" si="0"/>
        <v>1516</v>
      </c>
      <c r="E4" s="110">
        <f t="shared" si="0"/>
        <v>1440</v>
      </c>
      <c r="F4" s="110">
        <f t="shared" si="0"/>
        <v>1428</v>
      </c>
      <c r="G4" s="110">
        <f t="shared" si="0"/>
        <v>1318</v>
      </c>
      <c r="H4" s="110">
        <f t="shared" si="0"/>
        <v>1284</v>
      </c>
      <c r="I4" s="110">
        <f t="shared" si="0"/>
        <v>1305</v>
      </c>
      <c r="J4" s="110">
        <f t="shared" si="0"/>
        <v>1305</v>
      </c>
      <c r="K4" s="110">
        <f t="shared" si="0"/>
        <v>1370</v>
      </c>
      <c r="L4" s="110">
        <f t="shared" si="0"/>
        <v>1408</v>
      </c>
      <c r="M4" s="110">
        <f t="shared" si="0"/>
        <v>1436</v>
      </c>
      <c r="N4" s="110">
        <v>16702</v>
      </c>
    </row>
    <row r="5" spans="1:14">
      <c r="A5" s="64" t="s">
        <v>35</v>
      </c>
      <c r="B5" s="107">
        <f t="shared" ref="B5:M5" si="1">B355</f>
        <v>132</v>
      </c>
      <c r="C5" s="107">
        <f t="shared" si="1"/>
        <v>141</v>
      </c>
      <c r="D5" s="107">
        <f t="shared" si="1"/>
        <v>186</v>
      </c>
      <c r="E5" s="107">
        <f t="shared" si="1"/>
        <v>152</v>
      </c>
      <c r="F5" s="107">
        <f t="shared" si="1"/>
        <v>171</v>
      </c>
      <c r="G5" s="107">
        <f t="shared" si="1"/>
        <v>182</v>
      </c>
      <c r="H5" s="107">
        <f t="shared" si="1"/>
        <v>137</v>
      </c>
      <c r="I5" s="107">
        <f t="shared" si="1"/>
        <v>178</v>
      </c>
      <c r="J5" s="107">
        <f t="shared" si="1"/>
        <v>180</v>
      </c>
      <c r="K5" s="107">
        <f t="shared" si="1"/>
        <v>164</v>
      </c>
      <c r="L5" s="107">
        <f t="shared" si="1"/>
        <v>129</v>
      </c>
      <c r="M5" s="107">
        <f t="shared" si="1"/>
        <v>155</v>
      </c>
      <c r="N5" s="107">
        <v>1907</v>
      </c>
    </row>
    <row r="6" spans="1:14">
      <c r="A6" s="64" t="s">
        <v>36</v>
      </c>
      <c r="B6" s="107">
        <f t="shared" ref="B6:M6" si="2">B360</f>
        <v>338</v>
      </c>
      <c r="C6" s="107">
        <f t="shared" si="2"/>
        <v>254</v>
      </c>
      <c r="D6" s="107">
        <f t="shared" si="2"/>
        <v>178</v>
      </c>
      <c r="E6" s="107">
        <f t="shared" si="2"/>
        <v>143</v>
      </c>
      <c r="F6" s="107">
        <f t="shared" si="2"/>
        <v>366</v>
      </c>
      <c r="G6" s="107">
        <f t="shared" si="2"/>
        <v>328</v>
      </c>
      <c r="H6" s="107">
        <f t="shared" si="2"/>
        <v>148</v>
      </c>
      <c r="I6" s="107">
        <f t="shared" si="2"/>
        <v>225</v>
      </c>
      <c r="J6" s="107">
        <f t="shared" si="2"/>
        <v>107</v>
      </c>
      <c r="K6" s="107">
        <f t="shared" si="2"/>
        <v>97</v>
      </c>
      <c r="L6" s="107">
        <f t="shared" si="2"/>
        <v>154</v>
      </c>
      <c r="M6" s="107">
        <f t="shared" si="2"/>
        <v>279</v>
      </c>
      <c r="N6" s="107">
        <v>2617</v>
      </c>
    </row>
    <row r="7" spans="1:14">
      <c r="A7" s="64" t="s">
        <v>37</v>
      </c>
      <c r="B7" s="107">
        <f t="shared" ref="B7:M7" si="3">B368</f>
        <v>515</v>
      </c>
      <c r="C7" s="107">
        <f t="shared" si="3"/>
        <v>432</v>
      </c>
      <c r="D7" s="107">
        <f t="shared" si="3"/>
        <v>343</v>
      </c>
      <c r="E7" s="107">
        <f t="shared" si="3"/>
        <v>417</v>
      </c>
      <c r="F7" s="107">
        <f t="shared" si="3"/>
        <v>308</v>
      </c>
      <c r="G7" s="107">
        <f t="shared" si="3"/>
        <v>705</v>
      </c>
      <c r="H7" s="107">
        <f t="shared" si="3"/>
        <v>513</v>
      </c>
      <c r="I7" s="107">
        <f t="shared" si="3"/>
        <v>225</v>
      </c>
      <c r="J7" s="107">
        <f t="shared" si="3"/>
        <v>352</v>
      </c>
      <c r="K7" s="107">
        <f t="shared" si="3"/>
        <v>278</v>
      </c>
      <c r="L7" s="107">
        <f t="shared" si="3"/>
        <v>424</v>
      </c>
      <c r="M7" s="107">
        <f t="shared" si="3"/>
        <v>556</v>
      </c>
      <c r="N7" s="107">
        <v>5068</v>
      </c>
    </row>
    <row r="8" spans="1:14">
      <c r="A8" s="64" t="s">
        <v>38</v>
      </c>
      <c r="B8" s="111">
        <f t="shared" ref="B8:M8" si="4">B373</f>
        <v>120</v>
      </c>
      <c r="C8" s="111">
        <f t="shared" si="4"/>
        <v>121</v>
      </c>
      <c r="D8" s="111">
        <f t="shared" si="4"/>
        <v>195</v>
      </c>
      <c r="E8" s="111">
        <f t="shared" si="4"/>
        <v>167</v>
      </c>
      <c r="F8" s="111">
        <f t="shared" si="4"/>
        <v>185</v>
      </c>
      <c r="G8" s="111">
        <f t="shared" si="4"/>
        <v>133</v>
      </c>
      <c r="H8" s="111">
        <f t="shared" si="4"/>
        <v>149</v>
      </c>
      <c r="I8" s="111">
        <f t="shared" si="4"/>
        <v>259</v>
      </c>
      <c r="J8" s="111">
        <f t="shared" si="4"/>
        <v>172</v>
      </c>
      <c r="K8" s="111">
        <f t="shared" si="4"/>
        <v>181</v>
      </c>
      <c r="L8" s="111">
        <f t="shared" si="4"/>
        <v>89</v>
      </c>
      <c r="M8" s="111">
        <f t="shared" si="4"/>
        <v>183</v>
      </c>
      <c r="N8" s="111">
        <v>1954</v>
      </c>
    </row>
    <row r="9" spans="1:14" ht="15.75" thickBot="1">
      <c r="A9" s="64" t="s">
        <v>39</v>
      </c>
      <c r="B9" s="112">
        <f t="shared" ref="B9:M9" si="5">B380</f>
        <v>2529</v>
      </c>
      <c r="C9" s="112">
        <f t="shared" si="5"/>
        <v>2416</v>
      </c>
      <c r="D9" s="112">
        <f t="shared" si="5"/>
        <v>2418</v>
      </c>
      <c r="E9" s="112">
        <f t="shared" si="5"/>
        <v>2319</v>
      </c>
      <c r="F9" s="112">
        <f t="shared" si="5"/>
        <v>2458</v>
      </c>
      <c r="G9" s="112">
        <f t="shared" si="5"/>
        <v>2666</v>
      </c>
      <c r="H9" s="112">
        <f t="shared" si="5"/>
        <v>2231</v>
      </c>
      <c r="I9" s="112">
        <f t="shared" si="5"/>
        <v>2192</v>
      </c>
      <c r="J9" s="112">
        <f t="shared" si="5"/>
        <v>2116</v>
      </c>
      <c r="K9" s="112">
        <f t="shared" si="5"/>
        <v>2090</v>
      </c>
      <c r="L9" s="112">
        <f t="shared" si="5"/>
        <v>2204</v>
      </c>
      <c r="M9" s="112">
        <f t="shared" si="5"/>
        <v>2609</v>
      </c>
      <c r="N9" s="112">
        <v>28248</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B68</f>
        <v>240005.28</v>
      </c>
      <c r="C14" s="107">
        <f t="shared" si="6"/>
        <v>256109.97</v>
      </c>
      <c r="D14" s="107">
        <f t="shared" si="6"/>
        <v>269762.87</v>
      </c>
      <c r="E14" s="107">
        <f t="shared" si="6"/>
        <v>262202.68</v>
      </c>
      <c r="F14" s="107">
        <f t="shared" si="6"/>
        <v>246826.11</v>
      </c>
      <c r="G14" s="107">
        <f t="shared" si="6"/>
        <v>219364.28</v>
      </c>
      <c r="H14" s="107">
        <f t="shared" si="6"/>
        <v>217664.95</v>
      </c>
      <c r="I14" s="107">
        <f t="shared" si="6"/>
        <v>224454.12</v>
      </c>
      <c r="J14" s="107">
        <f t="shared" si="6"/>
        <v>229961.60000000001</v>
      </c>
      <c r="K14" s="107">
        <f t="shared" si="6"/>
        <v>246300.36</v>
      </c>
      <c r="L14" s="107">
        <f t="shared" si="6"/>
        <v>252282.79</v>
      </c>
      <c r="M14" s="107">
        <f t="shared" si="6"/>
        <v>256030.46</v>
      </c>
      <c r="N14" s="107">
        <v>2920965.47</v>
      </c>
    </row>
    <row r="15" spans="1:14">
      <c r="A15" s="64" t="s">
        <v>35</v>
      </c>
      <c r="B15" s="107">
        <f t="shared" ref="B15:M15" si="7">B72</f>
        <v>21170.35</v>
      </c>
      <c r="C15" s="107">
        <f t="shared" si="7"/>
        <v>22059.27</v>
      </c>
      <c r="D15" s="107">
        <f t="shared" si="7"/>
        <v>29902.21</v>
      </c>
      <c r="E15" s="107">
        <f t="shared" si="7"/>
        <v>22013.35</v>
      </c>
      <c r="F15" s="107">
        <f t="shared" si="7"/>
        <v>25731.61</v>
      </c>
      <c r="G15" s="107">
        <f t="shared" si="7"/>
        <v>30007.49</v>
      </c>
      <c r="H15" s="107">
        <f t="shared" si="7"/>
        <v>21043.88</v>
      </c>
      <c r="I15" s="107">
        <f t="shared" si="7"/>
        <v>25462.71</v>
      </c>
      <c r="J15" s="107">
        <f t="shared" si="7"/>
        <v>28394.400000000001</v>
      </c>
      <c r="K15" s="107">
        <f t="shared" si="7"/>
        <v>26439.11</v>
      </c>
      <c r="L15" s="107">
        <f t="shared" si="7"/>
        <v>20095.05</v>
      </c>
      <c r="M15" s="107">
        <f t="shared" si="7"/>
        <v>25169.93</v>
      </c>
      <c r="N15" s="107">
        <v>297489.36</v>
      </c>
    </row>
    <row r="16" spans="1:14">
      <c r="A16" s="64" t="s">
        <v>36</v>
      </c>
      <c r="B16" s="107">
        <f t="shared" ref="B16:M16" si="8">B76</f>
        <v>245857.98</v>
      </c>
      <c r="C16" s="107">
        <f t="shared" si="8"/>
        <v>172524.17</v>
      </c>
      <c r="D16" s="107">
        <f t="shared" si="8"/>
        <v>121691.98</v>
      </c>
      <c r="E16" s="107">
        <f t="shared" si="8"/>
        <v>96922.2</v>
      </c>
      <c r="F16" s="107">
        <f t="shared" si="8"/>
        <v>262899.26</v>
      </c>
      <c r="G16" s="107">
        <f t="shared" si="8"/>
        <v>235838.92</v>
      </c>
      <c r="H16" s="107">
        <f t="shared" si="8"/>
        <v>98487.35</v>
      </c>
      <c r="I16" s="107">
        <f t="shared" si="8"/>
        <v>140979.87</v>
      </c>
      <c r="J16" s="107">
        <f t="shared" si="8"/>
        <v>69884.58</v>
      </c>
      <c r="K16" s="107">
        <f t="shared" si="8"/>
        <v>66140.960000000006</v>
      </c>
      <c r="L16" s="107">
        <f t="shared" si="8"/>
        <v>106400.97</v>
      </c>
      <c r="M16" s="107">
        <f t="shared" si="8"/>
        <v>185358.38</v>
      </c>
      <c r="N16" s="107">
        <v>1802986.62</v>
      </c>
    </row>
    <row r="17" spans="1:14">
      <c r="A17" s="64" t="s">
        <v>37</v>
      </c>
      <c r="B17" s="107">
        <f t="shared" ref="B17:M17" si="9">B83</f>
        <v>213000.4</v>
      </c>
      <c r="C17" s="107">
        <f t="shared" si="9"/>
        <v>181570.87</v>
      </c>
      <c r="D17" s="107">
        <f t="shared" si="9"/>
        <v>156712.15</v>
      </c>
      <c r="E17" s="107">
        <f t="shared" si="9"/>
        <v>168446.84</v>
      </c>
      <c r="F17" s="107">
        <f t="shared" si="9"/>
        <v>168073.29</v>
      </c>
      <c r="G17" s="107">
        <f t="shared" si="9"/>
        <v>269270.11</v>
      </c>
      <c r="H17" s="107">
        <f t="shared" si="9"/>
        <v>204319.02</v>
      </c>
      <c r="I17" s="107">
        <f t="shared" si="9"/>
        <v>90115.02</v>
      </c>
      <c r="J17" s="107">
        <f t="shared" si="9"/>
        <v>140201.76</v>
      </c>
      <c r="K17" s="107">
        <f t="shared" si="9"/>
        <v>128606.73</v>
      </c>
      <c r="L17" s="107">
        <f t="shared" si="9"/>
        <v>181081.98</v>
      </c>
      <c r="M17" s="107">
        <f t="shared" si="9"/>
        <v>240730.27</v>
      </c>
      <c r="N17" s="107">
        <v>2142128.44</v>
      </c>
    </row>
    <row r="18" spans="1:14">
      <c r="A18" s="64" t="s">
        <v>38</v>
      </c>
      <c r="B18" s="111">
        <f t="shared" ref="B18:M18" si="10">B87</f>
        <v>20160</v>
      </c>
      <c r="C18" s="111">
        <f t="shared" si="10"/>
        <v>20328</v>
      </c>
      <c r="D18" s="111">
        <f t="shared" si="10"/>
        <v>32760</v>
      </c>
      <c r="E18" s="111">
        <f t="shared" si="10"/>
        <v>28056</v>
      </c>
      <c r="F18" s="111">
        <f t="shared" si="10"/>
        <v>30961.37</v>
      </c>
      <c r="G18" s="111">
        <f t="shared" si="10"/>
        <v>22344</v>
      </c>
      <c r="H18" s="111">
        <f t="shared" si="10"/>
        <v>25032</v>
      </c>
      <c r="I18" s="111">
        <f t="shared" si="10"/>
        <v>43357.7</v>
      </c>
      <c r="J18" s="111">
        <f t="shared" si="10"/>
        <v>28896</v>
      </c>
      <c r="K18" s="111">
        <f t="shared" si="10"/>
        <v>30408</v>
      </c>
      <c r="L18" s="111">
        <f t="shared" si="10"/>
        <v>14952</v>
      </c>
      <c r="M18" s="111">
        <f t="shared" si="10"/>
        <v>30744</v>
      </c>
      <c r="N18" s="111">
        <v>327999.07</v>
      </c>
    </row>
    <row r="19" spans="1:14">
      <c r="A19" s="64" t="s">
        <v>42</v>
      </c>
      <c r="B19" s="107">
        <f t="shared" ref="B19:M19" si="11">B89</f>
        <v>740194.00999999966</v>
      </c>
      <c r="C19" s="107">
        <f t="shared" si="11"/>
        <v>652592.28</v>
      </c>
      <c r="D19" s="107">
        <f t="shared" si="11"/>
        <v>610829.21</v>
      </c>
      <c r="E19" s="107">
        <f t="shared" si="11"/>
        <v>577641.07000000007</v>
      </c>
      <c r="F19" s="107">
        <f t="shared" si="11"/>
        <v>734491.64000000025</v>
      </c>
      <c r="G19" s="107">
        <f t="shared" si="11"/>
        <v>776824.80000000016</v>
      </c>
      <c r="H19" s="107">
        <f t="shared" si="11"/>
        <v>566547.19999999995</v>
      </c>
      <c r="I19" s="107">
        <f t="shared" si="11"/>
        <v>524369.42000000016</v>
      </c>
      <c r="J19" s="107">
        <f t="shared" si="11"/>
        <v>497338.34000000008</v>
      </c>
      <c r="K19" s="107">
        <f t="shared" si="11"/>
        <v>497895.15999999992</v>
      </c>
      <c r="L19" s="107">
        <f t="shared" si="11"/>
        <v>574812.79</v>
      </c>
      <c r="M19" s="107">
        <f t="shared" si="11"/>
        <v>738033.04000000015</v>
      </c>
      <c r="N19" s="107">
        <v>7491568.96</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J22" si="12">B95</f>
        <v>669.55</v>
      </c>
      <c r="C22" s="107">
        <f t="shared" si="12"/>
        <v>5183.51</v>
      </c>
      <c r="D22" s="107">
        <f t="shared" si="12"/>
        <v>1144.08</v>
      </c>
      <c r="E22" s="107">
        <f t="shared" si="12"/>
        <v>1472.92</v>
      </c>
      <c r="F22" s="107">
        <f t="shared" si="12"/>
        <v>10559.37</v>
      </c>
      <c r="G22" s="107">
        <f t="shared" si="12"/>
        <v>2726.43</v>
      </c>
      <c r="H22" s="107">
        <f t="shared" si="12"/>
        <v>1019.02</v>
      </c>
      <c r="I22" s="107">
        <f t="shared" si="12"/>
        <v>-39.83</v>
      </c>
      <c r="J22" s="107">
        <f t="shared" si="12"/>
        <v>4272.33</v>
      </c>
      <c r="K22" s="107"/>
      <c r="L22" s="107">
        <f>L95</f>
        <v>43296.63</v>
      </c>
      <c r="M22" s="107">
        <f>M95</f>
        <v>11760.06</v>
      </c>
      <c r="N22" s="107">
        <v>82064.070000000007</v>
      </c>
    </row>
    <row r="23" spans="1:14">
      <c r="A23" s="64" t="s">
        <v>35</v>
      </c>
      <c r="B23" s="107"/>
      <c r="C23" s="107">
        <f>C99</f>
        <v>-1550.4</v>
      </c>
      <c r="D23" s="107">
        <f>D99</f>
        <v>6531.06</v>
      </c>
      <c r="E23" s="107">
        <f>E99</f>
        <v>-2733.27</v>
      </c>
      <c r="F23" s="107"/>
      <c r="G23" s="107"/>
      <c r="H23" s="107">
        <f>H99</f>
        <v>-775.35</v>
      </c>
      <c r="I23" s="107"/>
      <c r="J23" s="107">
        <f>J99</f>
        <v>271.86</v>
      </c>
      <c r="K23" s="107"/>
      <c r="L23" s="107"/>
      <c r="M23" s="107"/>
      <c r="N23" s="107">
        <v>1743.9</v>
      </c>
    </row>
    <row r="24" spans="1:14">
      <c r="A24" s="64" t="s">
        <v>36</v>
      </c>
      <c r="B24" s="107">
        <f>B103</f>
        <v>-408.73</v>
      </c>
      <c r="C24" s="107">
        <f>C103</f>
        <v>-2084.7600000000002</v>
      </c>
      <c r="D24" s="107"/>
      <c r="E24" s="107">
        <f t="shared" ref="E24:M24" si="13">E103</f>
        <v>98.53</v>
      </c>
      <c r="F24" s="107">
        <f t="shared" si="13"/>
        <v>11452.99</v>
      </c>
      <c r="G24" s="107">
        <f t="shared" si="13"/>
        <v>-3237.76</v>
      </c>
      <c r="H24" s="107">
        <f t="shared" si="13"/>
        <v>2239.31</v>
      </c>
      <c r="I24" s="107">
        <f t="shared" si="13"/>
        <v>70330.8</v>
      </c>
      <c r="J24" s="107">
        <f t="shared" si="13"/>
        <v>1126.49</v>
      </c>
      <c r="K24" s="107">
        <f t="shared" si="13"/>
        <v>-107370.85</v>
      </c>
      <c r="L24" s="107">
        <f t="shared" si="13"/>
        <v>869.5</v>
      </c>
      <c r="M24" s="107">
        <f t="shared" si="13"/>
        <v>-16452.23</v>
      </c>
      <c r="N24" s="107">
        <v>-43436.71</v>
      </c>
    </row>
    <row r="25" spans="1:14">
      <c r="A25" s="64" t="s">
        <v>37</v>
      </c>
      <c r="B25" s="107">
        <f t="shared" ref="B25:K25" si="14">B110</f>
        <v>-11839.4</v>
      </c>
      <c r="C25" s="107">
        <f t="shared" si="14"/>
        <v>2511.56</v>
      </c>
      <c r="D25" s="107">
        <f t="shared" si="14"/>
        <v>-11470.48</v>
      </c>
      <c r="E25" s="107">
        <f t="shared" si="14"/>
        <v>-3473</v>
      </c>
      <c r="F25" s="107">
        <f t="shared" si="14"/>
        <v>-14427.1</v>
      </c>
      <c r="G25" s="107">
        <f t="shared" si="14"/>
        <v>1341.67</v>
      </c>
      <c r="H25" s="107">
        <f t="shared" si="14"/>
        <v>-3810.96</v>
      </c>
      <c r="I25" s="107">
        <f t="shared" si="14"/>
        <v>-43904.800000000003</v>
      </c>
      <c r="J25" s="107">
        <f t="shared" si="14"/>
        <v>-6.6</v>
      </c>
      <c r="K25" s="107">
        <f t="shared" si="14"/>
        <v>116775.86</v>
      </c>
      <c r="L25" s="107"/>
      <c r="M25" s="107">
        <f>M110</f>
        <v>-831.55</v>
      </c>
      <c r="N25" s="107">
        <v>30865.200000000001</v>
      </c>
    </row>
    <row r="26" spans="1:14">
      <c r="A26" s="64" t="s">
        <v>38</v>
      </c>
      <c r="B26" s="111">
        <f>B114</f>
        <v>-246.86</v>
      </c>
      <c r="C26" s="111">
        <f>C114</f>
        <v>-168</v>
      </c>
      <c r="D26" s="111"/>
      <c r="E26" s="111"/>
      <c r="F26" s="111"/>
      <c r="G26" s="111">
        <f>G114</f>
        <v>-2520</v>
      </c>
      <c r="H26" s="111">
        <f>H114</f>
        <v>1008</v>
      </c>
      <c r="I26" s="111">
        <f>I114</f>
        <v>1848</v>
      </c>
      <c r="J26" s="111"/>
      <c r="K26" s="111"/>
      <c r="L26" s="111">
        <f>L114</f>
        <v>-50400</v>
      </c>
      <c r="M26" s="111"/>
      <c r="N26" s="111">
        <v>-50478.86</v>
      </c>
    </row>
    <row r="27" spans="1:14">
      <c r="A27" s="64" t="s">
        <v>44</v>
      </c>
      <c r="B27" s="107">
        <f t="shared" ref="B27:M27" si="15">B116</f>
        <v>-11825.44</v>
      </c>
      <c r="C27" s="107">
        <f t="shared" si="15"/>
        <v>3891.9099999999994</v>
      </c>
      <c r="D27" s="107">
        <f t="shared" si="15"/>
        <v>-3795.3399999999965</v>
      </c>
      <c r="E27" s="107">
        <f t="shared" si="15"/>
        <v>-4634.8199999999988</v>
      </c>
      <c r="F27" s="107">
        <f t="shared" si="15"/>
        <v>7585.260000000002</v>
      </c>
      <c r="G27" s="107">
        <f t="shared" si="15"/>
        <v>-1689.6599999999999</v>
      </c>
      <c r="H27" s="107">
        <f t="shared" si="15"/>
        <v>-319.98</v>
      </c>
      <c r="I27" s="107">
        <f t="shared" si="15"/>
        <v>28234.17</v>
      </c>
      <c r="J27" s="107">
        <f t="shared" si="15"/>
        <v>5664.0800000000008</v>
      </c>
      <c r="K27" s="107">
        <f t="shared" si="15"/>
        <v>9405.0099999999948</v>
      </c>
      <c r="L27" s="107">
        <f t="shared" si="15"/>
        <v>-6233.8700000000026</v>
      </c>
      <c r="M27" s="107">
        <f t="shared" si="15"/>
        <v>-5523.72</v>
      </c>
      <c r="N27" s="107">
        <v>20757.599999999999</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46</v>
      </c>
      <c r="B30" s="107">
        <f t="shared" ref="B30:M30" si="16">B154</f>
        <v>5352.18</v>
      </c>
      <c r="C30" s="107">
        <f t="shared" si="16"/>
        <v>12069.93</v>
      </c>
      <c r="D30" s="107">
        <f t="shared" si="16"/>
        <v>7206.21</v>
      </c>
      <c r="E30" s="107">
        <f t="shared" si="16"/>
        <v>7263.9</v>
      </c>
      <c r="F30" s="107">
        <f t="shared" si="16"/>
        <v>9013.09</v>
      </c>
      <c r="G30" s="107">
        <f t="shared" si="16"/>
        <v>160.85000000000002</v>
      </c>
      <c r="H30" s="107">
        <f t="shared" si="16"/>
        <v>7009.68</v>
      </c>
      <c r="I30" s="107">
        <f t="shared" si="16"/>
        <v>20463.46</v>
      </c>
      <c r="J30" s="107">
        <f t="shared" si="16"/>
        <v>11744.21</v>
      </c>
      <c r="K30" s="107">
        <f t="shared" si="16"/>
        <v>7418.41</v>
      </c>
      <c r="L30" s="107">
        <f t="shared" si="16"/>
        <v>3761.05</v>
      </c>
      <c r="M30" s="107">
        <f t="shared" si="16"/>
        <v>4114.3</v>
      </c>
      <c r="N30" s="107">
        <v>95577.27</v>
      </c>
    </row>
    <row r="31" spans="1:14">
      <c r="A31" s="64" t="s">
        <v>37</v>
      </c>
      <c r="B31" s="107">
        <f t="shared" ref="B31:M31" si="17">B169</f>
        <v>4836.289999999979</v>
      </c>
      <c r="C31" s="107">
        <f t="shared" si="17"/>
        <v>8195.0100000000239</v>
      </c>
      <c r="D31" s="107">
        <f t="shared" si="17"/>
        <v>2238.2900000000081</v>
      </c>
      <c r="E31" s="107">
        <f t="shared" si="17"/>
        <v>9427.2200000000012</v>
      </c>
      <c r="F31" s="107">
        <f t="shared" si="17"/>
        <v>10954.580000000002</v>
      </c>
      <c r="G31" s="107">
        <f t="shared" si="17"/>
        <v>8373.5199999999895</v>
      </c>
      <c r="H31" s="107">
        <f t="shared" si="17"/>
        <v>3580.2799999999697</v>
      </c>
      <c r="I31" s="107">
        <f t="shared" si="17"/>
        <v>10977.349999999991</v>
      </c>
      <c r="J31" s="107">
        <f t="shared" si="17"/>
        <v>8696.8100000000268</v>
      </c>
      <c r="K31" s="107">
        <f t="shared" si="17"/>
        <v>32584.259999999995</v>
      </c>
      <c r="L31" s="107">
        <f t="shared" si="17"/>
        <v>14250</v>
      </c>
      <c r="M31" s="107">
        <f t="shared" si="17"/>
        <v>-4579.1000000000058</v>
      </c>
      <c r="N31" s="107">
        <v>109534.51</v>
      </c>
    </row>
    <row r="32" spans="1:14">
      <c r="A32" s="64" t="s">
        <v>38</v>
      </c>
      <c r="B32" s="111"/>
      <c r="C32" s="111">
        <f>C175</f>
        <v>446.52</v>
      </c>
      <c r="D32" s="111"/>
      <c r="E32" s="111"/>
      <c r="F32" s="111"/>
      <c r="G32" s="111"/>
      <c r="H32" s="111"/>
      <c r="I32" s="111"/>
      <c r="J32" s="111"/>
      <c r="K32" s="111"/>
      <c r="L32" s="111"/>
      <c r="M32" s="111">
        <f>M175</f>
        <v>644.79999999999995</v>
      </c>
      <c r="N32" s="111">
        <v>1091.32</v>
      </c>
    </row>
    <row r="33" spans="1:14">
      <c r="A33" s="64" t="s">
        <v>47</v>
      </c>
      <c r="B33" s="107">
        <f t="shared" ref="B33:M33" si="18">B177</f>
        <v>10188.469999999994</v>
      </c>
      <c r="C33" s="107">
        <f t="shared" si="18"/>
        <v>20711.46000000001</v>
      </c>
      <c r="D33" s="107">
        <f t="shared" si="18"/>
        <v>9444.5000000000073</v>
      </c>
      <c r="E33" s="107">
        <f t="shared" si="18"/>
        <v>16691.120000000003</v>
      </c>
      <c r="F33" s="107">
        <f t="shared" si="18"/>
        <v>19967.669999999966</v>
      </c>
      <c r="G33" s="107">
        <f t="shared" si="18"/>
        <v>8534.3700000000026</v>
      </c>
      <c r="H33" s="107">
        <f t="shared" si="18"/>
        <v>10589.959999999985</v>
      </c>
      <c r="I33" s="107">
        <f t="shared" si="18"/>
        <v>31440.810000000005</v>
      </c>
      <c r="J33" s="107">
        <f t="shared" si="18"/>
        <v>20441.019999999997</v>
      </c>
      <c r="K33" s="107">
        <f t="shared" si="18"/>
        <v>40002.67</v>
      </c>
      <c r="L33" s="107">
        <f t="shared" si="18"/>
        <v>18011.050000000036</v>
      </c>
      <c r="M33" s="107">
        <f t="shared" si="18"/>
        <v>179.99999999999977</v>
      </c>
      <c r="N33" s="107">
        <v>206203.1</v>
      </c>
    </row>
    <row r="34" spans="1:14">
      <c r="A34" s="64"/>
      <c r="B34" s="22"/>
      <c r="C34" s="22"/>
      <c r="D34" s="22"/>
      <c r="E34" s="22"/>
      <c r="F34" s="22"/>
      <c r="G34" s="22"/>
      <c r="H34" s="22"/>
      <c r="I34" s="22"/>
      <c r="J34" s="22"/>
      <c r="K34" s="22"/>
      <c r="L34" s="22"/>
      <c r="M34" s="22"/>
      <c r="N34" s="22"/>
    </row>
    <row r="35" spans="1:14">
      <c r="A35" s="64" t="s">
        <v>48</v>
      </c>
      <c r="B35" s="107">
        <f t="shared" ref="B35:M35" si="19">B187</f>
        <v>63857.64</v>
      </c>
      <c r="C35" s="107">
        <f t="shared" si="19"/>
        <v>79232.2</v>
      </c>
      <c r="D35" s="107">
        <f t="shared" si="19"/>
        <v>82542.899999999994</v>
      </c>
      <c r="E35" s="107">
        <f t="shared" si="19"/>
        <v>78089.42</v>
      </c>
      <c r="F35" s="107">
        <f t="shared" si="19"/>
        <v>-429414.31000000006</v>
      </c>
      <c r="G35" s="107">
        <f t="shared" si="19"/>
        <v>71990.61</v>
      </c>
      <c r="H35" s="107">
        <f t="shared" si="19"/>
        <v>62451.8</v>
      </c>
      <c r="I35" s="107">
        <f t="shared" si="19"/>
        <v>36202.550000000003</v>
      </c>
      <c r="J35" s="107">
        <f t="shared" si="19"/>
        <v>42731.670000000006</v>
      </c>
      <c r="K35" s="107">
        <f t="shared" si="19"/>
        <v>39782.019999999997</v>
      </c>
      <c r="L35" s="107">
        <f t="shared" si="19"/>
        <v>91070.650000000009</v>
      </c>
      <c r="M35" s="107">
        <f t="shared" si="19"/>
        <v>38079.560000000005</v>
      </c>
      <c r="N35" s="107">
        <v>256616.71</v>
      </c>
    </row>
    <row r="36" spans="1:14">
      <c r="A36" s="64"/>
      <c r="B36" s="22"/>
      <c r="C36" s="22"/>
      <c r="D36" s="22"/>
      <c r="E36" s="22"/>
      <c r="F36" s="22"/>
      <c r="G36" s="22"/>
      <c r="H36" s="22"/>
      <c r="I36" s="22"/>
      <c r="J36" s="22"/>
      <c r="K36" s="22"/>
      <c r="L36" s="22"/>
      <c r="M36" s="22"/>
      <c r="N36" s="22"/>
    </row>
    <row r="37" spans="1:14" ht="15.75" thickBot="1">
      <c r="A37" s="64" t="s">
        <v>13</v>
      </c>
      <c r="B37" s="112">
        <f t="shared" ref="B37:M37" si="20">B189</f>
        <v>802414.68000000122</v>
      </c>
      <c r="C37" s="112">
        <f t="shared" si="20"/>
        <v>756427.85000000068</v>
      </c>
      <c r="D37" s="112">
        <f t="shared" si="20"/>
        <v>699021.26999999967</v>
      </c>
      <c r="E37" s="112">
        <f t="shared" si="20"/>
        <v>667786.78999999946</v>
      </c>
      <c r="F37" s="112">
        <f t="shared" si="20"/>
        <v>332630.26000000059</v>
      </c>
      <c r="G37" s="112">
        <f t="shared" si="20"/>
        <v>855660.12000000093</v>
      </c>
      <c r="H37" s="112">
        <f t="shared" si="20"/>
        <v>639268.97999999952</v>
      </c>
      <c r="I37" s="112">
        <f t="shared" si="20"/>
        <v>620246.94999999984</v>
      </c>
      <c r="J37" s="112">
        <f t="shared" si="20"/>
        <v>566175.11000000022</v>
      </c>
      <c r="K37" s="112">
        <f t="shared" si="20"/>
        <v>587084.85999999917</v>
      </c>
      <c r="L37" s="112">
        <f t="shared" si="20"/>
        <v>677660.61999999953</v>
      </c>
      <c r="M37" s="112">
        <f t="shared" si="20"/>
        <v>770768.87999999966</v>
      </c>
      <c r="N37" s="112">
        <v>7975146.3700000001</v>
      </c>
    </row>
    <row r="38" spans="1:14" ht="15.75" thickTop="1">
      <c r="A38" s="64"/>
      <c r="B38" s="22"/>
      <c r="C38" s="22"/>
      <c r="D38" s="22"/>
      <c r="E38" s="22"/>
      <c r="F38" s="22"/>
      <c r="G38" s="22"/>
      <c r="H38" s="22"/>
      <c r="I38" s="22"/>
      <c r="J38" s="22"/>
      <c r="K38" s="22"/>
      <c r="L38" s="22"/>
      <c r="M38" s="22"/>
      <c r="N38" s="22"/>
    </row>
    <row r="39" spans="1:14">
      <c r="A39" s="64" t="s">
        <v>14</v>
      </c>
      <c r="B39" s="22"/>
      <c r="C39" s="22"/>
      <c r="D39" s="22"/>
      <c r="E39" s="22"/>
      <c r="F39" s="22"/>
      <c r="G39" s="22"/>
      <c r="H39" s="22"/>
      <c r="I39" s="22"/>
      <c r="J39" s="22"/>
      <c r="K39" s="22"/>
      <c r="L39" s="22"/>
      <c r="M39" s="22"/>
      <c r="N39" s="22"/>
    </row>
    <row r="40" spans="1:14">
      <c r="A40" s="64" t="s">
        <v>49</v>
      </c>
      <c r="B40" s="107">
        <f t="shared" ref="B40:M40" si="21">B211</f>
        <v>280537.08000000007</v>
      </c>
      <c r="C40" s="107">
        <f t="shared" si="21"/>
        <v>273447.87</v>
      </c>
      <c r="D40" s="107">
        <f t="shared" si="21"/>
        <v>279808.52999999997</v>
      </c>
      <c r="E40" s="107">
        <f t="shared" si="21"/>
        <v>259548.47</v>
      </c>
      <c r="F40" s="107">
        <f t="shared" si="21"/>
        <v>279835.52999999997</v>
      </c>
      <c r="G40" s="107">
        <f t="shared" si="21"/>
        <v>247238.13000000006</v>
      </c>
      <c r="H40" s="107">
        <f t="shared" si="21"/>
        <v>245142.22000000003</v>
      </c>
      <c r="I40" s="107">
        <f t="shared" si="21"/>
        <v>233596.34999999998</v>
      </c>
      <c r="J40" s="107">
        <f t="shared" si="21"/>
        <v>236581.66</v>
      </c>
      <c r="K40" s="107">
        <f t="shared" si="21"/>
        <v>226075.72</v>
      </c>
      <c r="L40" s="107">
        <f t="shared" si="21"/>
        <v>247081.88000000003</v>
      </c>
      <c r="M40" s="107">
        <f t="shared" si="21"/>
        <v>252547.58999999997</v>
      </c>
      <c r="N40" s="107">
        <v>3061441.03</v>
      </c>
    </row>
    <row r="41" spans="1:14">
      <c r="A41" s="64" t="s">
        <v>50</v>
      </c>
      <c r="B41" s="107"/>
      <c r="C41" s="107">
        <f>C217</f>
        <v>214.21</v>
      </c>
      <c r="D41" s="107"/>
      <c r="E41" s="107"/>
      <c r="F41" s="107">
        <f>F217</f>
        <v>-2226.0099999999998</v>
      </c>
      <c r="G41" s="107"/>
      <c r="H41" s="107"/>
      <c r="I41" s="107"/>
      <c r="J41" s="107"/>
      <c r="K41" s="107"/>
      <c r="L41" s="107"/>
      <c r="M41" s="107"/>
      <c r="N41" s="107">
        <v>-2011.8</v>
      </c>
    </row>
    <row r="42" spans="1:14">
      <c r="A42" s="64" t="s">
        <v>51</v>
      </c>
      <c r="B42" s="107">
        <f t="shared" ref="B42:M42" si="22">B227</f>
        <v>51471.240000000005</v>
      </c>
      <c r="C42" s="107">
        <f t="shared" si="22"/>
        <v>37881.950000000004</v>
      </c>
      <c r="D42" s="107">
        <f t="shared" si="22"/>
        <v>34049.06</v>
      </c>
      <c r="E42" s="107">
        <f t="shared" si="22"/>
        <v>35239.01</v>
      </c>
      <c r="F42" s="107">
        <f t="shared" si="22"/>
        <v>47327.319999999992</v>
      </c>
      <c r="G42" s="107">
        <f t="shared" si="22"/>
        <v>47959.299999999996</v>
      </c>
      <c r="H42" s="107">
        <f t="shared" si="22"/>
        <v>32562.210000000006</v>
      </c>
      <c r="I42" s="107">
        <f t="shared" si="22"/>
        <v>45246.94</v>
      </c>
      <c r="J42" s="107">
        <f t="shared" si="22"/>
        <v>22201.57</v>
      </c>
      <c r="K42" s="107">
        <f t="shared" si="22"/>
        <v>35390.9</v>
      </c>
      <c r="L42" s="107">
        <f t="shared" si="22"/>
        <v>19159.980000000003</v>
      </c>
      <c r="M42" s="107">
        <f t="shared" si="22"/>
        <v>43469.11</v>
      </c>
      <c r="N42" s="107">
        <v>451958.59</v>
      </c>
    </row>
    <row r="43" spans="1:14">
      <c r="A43" s="64" t="s">
        <v>52</v>
      </c>
      <c r="B43" s="107">
        <f t="shared" ref="B43:M43" si="23">B243</f>
        <v>71686.459999999992</v>
      </c>
      <c r="C43" s="107">
        <f t="shared" si="23"/>
        <v>92799.050000000017</v>
      </c>
      <c r="D43" s="107">
        <f t="shared" si="23"/>
        <v>79602.11</v>
      </c>
      <c r="E43" s="107">
        <f t="shared" si="23"/>
        <v>84874.770000000019</v>
      </c>
      <c r="F43" s="107">
        <f t="shared" si="23"/>
        <v>96161.05</v>
      </c>
      <c r="G43" s="107">
        <f t="shared" si="23"/>
        <v>112804.54999999999</v>
      </c>
      <c r="H43" s="107">
        <f t="shared" si="23"/>
        <v>81252.509999999995</v>
      </c>
      <c r="I43" s="107">
        <f t="shared" si="23"/>
        <v>85250.82</v>
      </c>
      <c r="J43" s="107">
        <f t="shared" si="23"/>
        <v>81969.030000000013</v>
      </c>
      <c r="K43" s="107">
        <f t="shared" si="23"/>
        <v>108513.15000000001</v>
      </c>
      <c r="L43" s="107">
        <f t="shared" si="23"/>
        <v>81394.279999999984</v>
      </c>
      <c r="M43" s="107">
        <f t="shared" si="23"/>
        <v>103845.83000000003</v>
      </c>
      <c r="N43" s="107">
        <v>1080153.6100000001</v>
      </c>
    </row>
    <row r="44" spans="1:14">
      <c r="A44" s="64" t="s">
        <v>53</v>
      </c>
      <c r="B44" s="107">
        <f t="shared" ref="B44:M44" si="24">B269</f>
        <v>138356.87</v>
      </c>
      <c r="C44" s="107">
        <f t="shared" si="24"/>
        <v>150563.09999999998</v>
      </c>
      <c r="D44" s="107">
        <f t="shared" si="24"/>
        <v>143281.15999999997</v>
      </c>
      <c r="E44" s="107">
        <f t="shared" si="24"/>
        <v>144979.70999999996</v>
      </c>
      <c r="F44" s="107">
        <f t="shared" si="24"/>
        <v>-480705.17000000004</v>
      </c>
      <c r="G44" s="107">
        <f t="shared" si="24"/>
        <v>140987.47</v>
      </c>
      <c r="H44" s="107">
        <f t="shared" si="24"/>
        <v>132905.71</v>
      </c>
      <c r="I44" s="107">
        <f t="shared" si="24"/>
        <v>132607.75</v>
      </c>
      <c r="J44" s="107">
        <f t="shared" si="24"/>
        <v>132854.38999999998</v>
      </c>
      <c r="K44" s="107">
        <f t="shared" si="24"/>
        <v>137503.88000000003</v>
      </c>
      <c r="L44" s="107">
        <f t="shared" si="24"/>
        <v>140948.11999999997</v>
      </c>
      <c r="M44" s="107">
        <f t="shared" si="24"/>
        <v>149172.54999999999</v>
      </c>
      <c r="N44" s="107">
        <v>1063455.54</v>
      </c>
    </row>
    <row r="45" spans="1:14">
      <c r="A45" s="64" t="s">
        <v>54</v>
      </c>
      <c r="B45" s="107">
        <f t="shared" ref="B45:M45" si="25">B285</f>
        <v>8341.25</v>
      </c>
      <c r="C45" s="107">
        <f t="shared" si="25"/>
        <v>9823.3800000000028</v>
      </c>
      <c r="D45" s="107">
        <f t="shared" si="25"/>
        <v>14510.420000000002</v>
      </c>
      <c r="E45" s="107">
        <f t="shared" si="25"/>
        <v>8898.2899999999991</v>
      </c>
      <c r="F45" s="107">
        <f t="shared" si="25"/>
        <v>10031.41</v>
      </c>
      <c r="G45" s="107">
        <f t="shared" si="25"/>
        <v>5617.26</v>
      </c>
      <c r="H45" s="107">
        <f t="shared" si="25"/>
        <v>9262.739999999998</v>
      </c>
      <c r="I45" s="107">
        <f t="shared" si="25"/>
        <v>8112.86</v>
      </c>
      <c r="J45" s="107">
        <f t="shared" si="25"/>
        <v>7148.28</v>
      </c>
      <c r="K45" s="107">
        <f t="shared" si="25"/>
        <v>9251</v>
      </c>
      <c r="L45" s="107">
        <f t="shared" si="25"/>
        <v>8662.619999999999</v>
      </c>
      <c r="M45" s="107">
        <f t="shared" si="25"/>
        <v>8523.85</v>
      </c>
      <c r="N45" s="107">
        <v>108183.36</v>
      </c>
    </row>
    <row r="46" spans="1:14">
      <c r="A46" s="64" t="s">
        <v>55</v>
      </c>
      <c r="B46" s="107">
        <f t="shared" ref="B46:M46" si="26">B293</f>
        <v>17060.93</v>
      </c>
      <c r="C46" s="107">
        <f t="shared" si="26"/>
        <v>3334.8700000000003</v>
      </c>
      <c r="D46" s="107">
        <f t="shared" si="26"/>
        <v>3479.67</v>
      </c>
      <c r="E46" s="107">
        <f t="shared" si="26"/>
        <v>2036.08</v>
      </c>
      <c r="F46" s="107">
        <f t="shared" si="26"/>
        <v>14970.2</v>
      </c>
      <c r="G46" s="107">
        <f t="shared" si="26"/>
        <v>87.06</v>
      </c>
      <c r="H46" s="107">
        <f t="shared" si="26"/>
        <v>8372.67</v>
      </c>
      <c r="I46" s="107">
        <f t="shared" si="26"/>
        <v>6331.63</v>
      </c>
      <c r="J46" s="107">
        <f t="shared" si="26"/>
        <v>12131.939999999999</v>
      </c>
      <c r="K46" s="107">
        <f t="shared" si="26"/>
        <v>1554.76</v>
      </c>
      <c r="L46" s="107">
        <f t="shared" si="26"/>
        <v>3217.0699999999997</v>
      </c>
      <c r="M46" s="107">
        <f t="shared" si="26"/>
        <v>9402.65</v>
      </c>
      <c r="N46" s="107">
        <v>81979.53</v>
      </c>
    </row>
    <row r="47" spans="1:14">
      <c r="A47" s="64" t="s">
        <v>56</v>
      </c>
      <c r="B47" s="107">
        <f t="shared" ref="B47:M47" si="27">B301</f>
        <v>12832.77</v>
      </c>
      <c r="C47" s="107">
        <f t="shared" si="27"/>
        <v>13533.320000000002</v>
      </c>
      <c r="D47" s="107">
        <f t="shared" si="27"/>
        <v>12120.7</v>
      </c>
      <c r="E47" s="107">
        <f t="shared" si="27"/>
        <v>11958.08</v>
      </c>
      <c r="F47" s="107">
        <f t="shared" si="27"/>
        <v>-4226.07</v>
      </c>
      <c r="G47" s="107">
        <f t="shared" si="27"/>
        <v>10279.44</v>
      </c>
      <c r="H47" s="107">
        <f t="shared" si="27"/>
        <v>10375.890000000001</v>
      </c>
      <c r="I47" s="107">
        <f t="shared" si="27"/>
        <v>10597.260000000002</v>
      </c>
      <c r="J47" s="107">
        <f t="shared" si="27"/>
        <v>10260.260000000002</v>
      </c>
      <c r="K47" s="107">
        <f t="shared" si="27"/>
        <v>10260.260000000002</v>
      </c>
      <c r="L47" s="107">
        <f t="shared" si="27"/>
        <v>10265.160000000002</v>
      </c>
      <c r="M47" s="107">
        <f t="shared" si="27"/>
        <v>10097.140000000001</v>
      </c>
      <c r="N47" s="107">
        <v>118354.21</v>
      </c>
    </row>
    <row r="48" spans="1:14">
      <c r="A48" s="64" t="s">
        <v>57</v>
      </c>
      <c r="B48" s="107">
        <f t="shared" ref="B48:M48" si="28">B306</f>
        <v>22833</v>
      </c>
      <c r="C48" s="107">
        <f t="shared" si="28"/>
        <v>21339</v>
      </c>
      <c r="D48" s="107">
        <f t="shared" si="28"/>
        <v>19538</v>
      </c>
      <c r="E48" s="107">
        <f t="shared" si="28"/>
        <v>19044</v>
      </c>
      <c r="F48" s="107">
        <f t="shared" si="28"/>
        <v>19256</v>
      </c>
      <c r="G48" s="107">
        <f t="shared" si="28"/>
        <v>31471</v>
      </c>
      <c r="H48" s="107">
        <f t="shared" si="28"/>
        <v>68981.460000000006</v>
      </c>
      <c r="I48" s="107">
        <f t="shared" si="28"/>
        <v>23108</v>
      </c>
      <c r="J48" s="107">
        <f t="shared" si="28"/>
        <v>18445</v>
      </c>
      <c r="K48" s="107">
        <f t="shared" si="28"/>
        <v>18516</v>
      </c>
      <c r="L48" s="107">
        <f t="shared" si="28"/>
        <v>37836</v>
      </c>
      <c r="M48" s="107">
        <f t="shared" si="28"/>
        <v>35956</v>
      </c>
      <c r="N48" s="107">
        <v>336323.46</v>
      </c>
    </row>
    <row r="49" spans="1:14">
      <c r="A49" s="64" t="s">
        <v>58</v>
      </c>
      <c r="B49" s="107">
        <f t="shared" ref="B49:M49" si="29">B315</f>
        <v>8418.1</v>
      </c>
      <c r="C49" s="107">
        <f t="shared" si="29"/>
        <v>8920.51</v>
      </c>
      <c r="D49" s="107">
        <f t="shared" si="29"/>
        <v>8920.51</v>
      </c>
      <c r="E49" s="107">
        <f t="shared" si="29"/>
        <v>9045.51</v>
      </c>
      <c r="F49" s="107">
        <f t="shared" si="29"/>
        <v>15919.51</v>
      </c>
      <c r="G49" s="107">
        <f t="shared" si="29"/>
        <v>9500.17</v>
      </c>
      <c r="H49" s="107">
        <f t="shared" si="29"/>
        <v>11198.27</v>
      </c>
      <c r="I49" s="107">
        <f t="shared" si="29"/>
        <v>9087.7900000000009</v>
      </c>
      <c r="J49" s="107">
        <f t="shared" si="29"/>
        <v>36053.15</v>
      </c>
      <c r="K49" s="107">
        <f t="shared" si="29"/>
        <v>13760.759999999998</v>
      </c>
      <c r="L49" s="107">
        <f t="shared" si="29"/>
        <v>9004.15</v>
      </c>
      <c r="M49" s="107">
        <f t="shared" si="29"/>
        <v>9004.15</v>
      </c>
      <c r="N49" s="107">
        <v>148832.57999999999</v>
      </c>
    </row>
    <row r="50" spans="1:14">
      <c r="A50" s="64" t="s">
        <v>59</v>
      </c>
      <c r="B50" s="107">
        <f t="shared" ref="B50:M50" si="30">B323</f>
        <v>7945.96</v>
      </c>
      <c r="C50" s="107">
        <f t="shared" si="30"/>
        <v>7892.5</v>
      </c>
      <c r="D50" s="107">
        <f t="shared" si="30"/>
        <v>7890.2800000000016</v>
      </c>
      <c r="E50" s="107">
        <f t="shared" si="30"/>
        <v>7978.62</v>
      </c>
      <c r="F50" s="107">
        <f t="shared" si="30"/>
        <v>7978.93</v>
      </c>
      <c r="G50" s="107">
        <f t="shared" si="30"/>
        <v>7887.91</v>
      </c>
      <c r="H50" s="107">
        <f t="shared" si="30"/>
        <v>7953.9600000000009</v>
      </c>
      <c r="I50" s="107">
        <f t="shared" si="30"/>
        <v>7894.31</v>
      </c>
      <c r="J50" s="107">
        <f t="shared" si="30"/>
        <v>8091.72</v>
      </c>
      <c r="K50" s="107">
        <f t="shared" si="30"/>
        <v>8091.64</v>
      </c>
      <c r="L50" s="107">
        <f t="shared" si="30"/>
        <v>8364.9000000000015</v>
      </c>
      <c r="M50" s="107">
        <f t="shared" si="30"/>
        <v>8237.880000000001</v>
      </c>
      <c r="N50" s="107">
        <v>96208.61</v>
      </c>
    </row>
    <row r="51" spans="1:14">
      <c r="A51" s="64" t="s">
        <v>60</v>
      </c>
      <c r="B51" s="107">
        <f t="shared" ref="B51:M51" si="31">B330</f>
        <v>114230.32</v>
      </c>
      <c r="C51" s="107">
        <f t="shared" si="31"/>
        <v>117123.9</v>
      </c>
      <c r="D51" s="107">
        <f t="shared" si="31"/>
        <v>117128.81999999999</v>
      </c>
      <c r="E51" s="107">
        <f t="shared" si="31"/>
        <v>117189.68</v>
      </c>
      <c r="F51" s="107">
        <f t="shared" si="31"/>
        <v>117201.51</v>
      </c>
      <c r="G51" s="107">
        <f t="shared" si="31"/>
        <v>117082.90999999999</v>
      </c>
      <c r="H51" s="107">
        <f t="shared" si="31"/>
        <v>117042.57999999999</v>
      </c>
      <c r="I51" s="107">
        <f t="shared" si="31"/>
        <v>117074.57999999999</v>
      </c>
      <c r="J51" s="107">
        <f t="shared" si="31"/>
        <v>117126.65999999999</v>
      </c>
      <c r="K51" s="107">
        <f t="shared" si="31"/>
        <v>117073.96999999999</v>
      </c>
      <c r="L51" s="107">
        <f t="shared" si="31"/>
        <v>117086.66999999998</v>
      </c>
      <c r="M51" s="107">
        <f t="shared" si="31"/>
        <v>129252.56</v>
      </c>
      <c r="N51" s="107">
        <v>1414614.16</v>
      </c>
    </row>
    <row r="52" spans="1:14">
      <c r="A52" s="64" t="s">
        <v>61</v>
      </c>
      <c r="B52" s="107">
        <f>B334</f>
        <v>492.1</v>
      </c>
      <c r="C52" s="107">
        <f>C334</f>
        <v>-432.13</v>
      </c>
      <c r="D52" s="107"/>
      <c r="E52" s="107"/>
      <c r="F52" s="107">
        <f>F334</f>
        <v>-16316.79</v>
      </c>
      <c r="G52" s="107"/>
      <c r="H52" s="107"/>
      <c r="I52" s="107"/>
      <c r="J52" s="107"/>
      <c r="K52" s="107"/>
      <c r="L52" s="107"/>
      <c r="M52" s="107"/>
      <c r="N52" s="107">
        <v>-16256.82</v>
      </c>
    </row>
    <row r="53" spans="1:14">
      <c r="A53" s="64"/>
      <c r="B53" s="22"/>
      <c r="C53" s="22"/>
      <c r="D53" s="22"/>
      <c r="E53" s="22"/>
      <c r="F53" s="22"/>
      <c r="G53" s="22"/>
      <c r="H53" s="22"/>
      <c r="I53" s="22"/>
      <c r="J53" s="22"/>
      <c r="K53" s="22"/>
      <c r="L53" s="22"/>
      <c r="M53" s="22"/>
      <c r="N53" s="22"/>
    </row>
    <row r="54" spans="1:14" ht="15.75" thickBot="1">
      <c r="A54" s="64" t="s">
        <v>62</v>
      </c>
      <c r="B54" s="112">
        <f t="shared" ref="B54:M54" si="32">B336</f>
        <v>734206.07999999973</v>
      </c>
      <c r="C54" s="112">
        <f t="shared" si="32"/>
        <v>736441.53000000049</v>
      </c>
      <c r="D54" s="112">
        <f t="shared" si="32"/>
        <v>720329.25999999966</v>
      </c>
      <c r="E54" s="112">
        <f t="shared" si="32"/>
        <v>700792.2200000002</v>
      </c>
      <c r="F54" s="112">
        <f t="shared" si="32"/>
        <v>105207.41999999987</v>
      </c>
      <c r="G54" s="112">
        <f t="shared" si="32"/>
        <v>730915.19999999914</v>
      </c>
      <c r="H54" s="112">
        <f t="shared" si="32"/>
        <v>725050.22000000009</v>
      </c>
      <c r="I54" s="112">
        <f t="shared" si="32"/>
        <v>678908.28999999946</v>
      </c>
      <c r="J54" s="112">
        <f t="shared" si="32"/>
        <v>682863.6599999998</v>
      </c>
      <c r="K54" s="112">
        <f t="shared" si="32"/>
        <v>685992.04000000015</v>
      </c>
      <c r="L54" s="112">
        <f t="shared" si="32"/>
        <v>683020.82999999984</v>
      </c>
      <c r="M54" s="112">
        <f t="shared" si="32"/>
        <v>759509.30999999959</v>
      </c>
      <c r="N54" s="112">
        <v>7943236.0599999996</v>
      </c>
    </row>
    <row r="55" spans="1:14" ht="15.75" thickTop="1">
      <c r="A55" s="64"/>
      <c r="B55" s="22"/>
      <c r="C55" s="22"/>
      <c r="D55" s="22"/>
      <c r="E55" s="22"/>
      <c r="F55" s="22"/>
      <c r="G55" s="22"/>
      <c r="H55" s="22"/>
      <c r="I55" s="22"/>
      <c r="J55" s="22"/>
      <c r="K55" s="22"/>
      <c r="L55" s="22"/>
      <c r="M55" s="22"/>
      <c r="N55" s="22"/>
    </row>
    <row r="56" spans="1:14" ht="15.75" thickBot="1">
      <c r="A56" s="64" t="s">
        <v>63</v>
      </c>
      <c r="B56" s="112">
        <f t="shared" ref="B56:M56" si="33">B338</f>
        <v>68208.60000000149</v>
      </c>
      <c r="C56" s="112">
        <f t="shared" si="33"/>
        <v>19986.320000000182</v>
      </c>
      <c r="D56" s="112">
        <f t="shared" si="33"/>
        <v>-21307.989999999991</v>
      </c>
      <c r="E56" s="112">
        <f t="shared" si="33"/>
        <v>-33005.43000000075</v>
      </c>
      <c r="F56" s="112">
        <f t="shared" si="33"/>
        <v>227422.84000000072</v>
      </c>
      <c r="G56" s="112">
        <f t="shared" si="33"/>
        <v>124744.92000000179</v>
      </c>
      <c r="H56" s="112">
        <f t="shared" si="33"/>
        <v>-85781.240000000573</v>
      </c>
      <c r="I56" s="112">
        <f t="shared" si="33"/>
        <v>-58661.339999999618</v>
      </c>
      <c r="J56" s="112">
        <f t="shared" si="33"/>
        <v>-116688.54999999958</v>
      </c>
      <c r="K56" s="112">
        <f t="shared" si="33"/>
        <v>-98907.180000000983</v>
      </c>
      <c r="L56" s="112">
        <f t="shared" si="33"/>
        <v>-5360.210000000312</v>
      </c>
      <c r="M56" s="112">
        <f t="shared" si="33"/>
        <v>11259.570000000065</v>
      </c>
      <c r="N56" s="112">
        <v>31910.31</v>
      </c>
    </row>
    <row r="57" spans="1:14" ht="15.75" thickTop="1">
      <c r="A57" s="64"/>
      <c r="B57" s="22"/>
      <c r="C57" s="22"/>
      <c r="D57" s="22"/>
      <c r="E57" s="22"/>
      <c r="F57" s="22"/>
      <c r="G57" s="22"/>
      <c r="H57" s="22"/>
      <c r="I57" s="22"/>
      <c r="J57" s="22"/>
      <c r="K57" s="22"/>
      <c r="L57" s="22"/>
      <c r="M57" s="22"/>
      <c r="N57" s="22"/>
    </row>
    <row r="58" spans="1:14" ht="15.75" thickBot="1">
      <c r="A58" s="64" t="s">
        <v>64</v>
      </c>
      <c r="B58" s="112">
        <f t="shared" ref="B58:M58" si="34">B341</f>
        <v>29932.51</v>
      </c>
      <c r="C58" s="112">
        <f t="shared" si="34"/>
        <v>22705.759999999998</v>
      </c>
      <c r="D58" s="112">
        <f t="shared" si="34"/>
        <v>19012.939999999999</v>
      </c>
      <c r="E58" s="112">
        <f t="shared" si="34"/>
        <v>21957.06</v>
      </c>
      <c r="F58" s="112">
        <f t="shared" si="34"/>
        <v>33930.559999999998</v>
      </c>
      <c r="G58" s="112">
        <f t="shared" si="34"/>
        <v>40511.32</v>
      </c>
      <c r="H58" s="112">
        <f t="shared" si="34"/>
        <v>32072.05</v>
      </c>
      <c r="I58" s="112">
        <f t="shared" si="34"/>
        <v>5749.28</v>
      </c>
      <c r="J58" s="112">
        <f t="shared" si="34"/>
        <v>7500.15</v>
      </c>
      <c r="K58" s="112">
        <f t="shared" si="34"/>
        <v>7327.62</v>
      </c>
      <c r="L58" s="112">
        <f t="shared" si="34"/>
        <v>6426.74</v>
      </c>
      <c r="M58" s="112">
        <f t="shared" si="34"/>
        <v>3935.81</v>
      </c>
      <c r="N58" s="112">
        <v>231061.8</v>
      </c>
    </row>
    <row r="59" spans="1:14" ht="15.75" thickTop="1">
      <c r="A59" s="64"/>
      <c r="B59" s="22"/>
      <c r="C59" s="22"/>
      <c r="D59" s="22"/>
      <c r="E59" s="22"/>
      <c r="F59" s="22"/>
      <c r="G59" s="22"/>
      <c r="H59" s="22"/>
      <c r="I59" s="22"/>
      <c r="J59" s="22"/>
      <c r="K59" s="22"/>
      <c r="L59" s="22"/>
      <c r="M59" s="22"/>
      <c r="N59" s="22"/>
    </row>
    <row r="60" spans="1:14" ht="15.75" thickBot="1">
      <c r="A60" s="64" t="s">
        <v>22</v>
      </c>
      <c r="B60" s="112">
        <f t="shared" ref="B60:M60" si="35">B343</f>
        <v>38276.090000001495</v>
      </c>
      <c r="C60" s="112">
        <f t="shared" si="35"/>
        <v>-2719.4399999998168</v>
      </c>
      <c r="D60" s="112">
        <f t="shared" si="35"/>
        <v>-40320.929999999993</v>
      </c>
      <c r="E60" s="112">
        <f t="shared" si="35"/>
        <v>-54962.490000000747</v>
      </c>
      <c r="F60" s="112">
        <f t="shared" si="35"/>
        <v>193492.28000000073</v>
      </c>
      <c r="G60" s="112">
        <f t="shared" si="35"/>
        <v>84233.600000001781</v>
      </c>
      <c r="H60" s="112">
        <f t="shared" si="35"/>
        <v>-117853.29000000058</v>
      </c>
      <c r="I60" s="112">
        <f t="shared" si="35"/>
        <v>-64410.619999999617</v>
      </c>
      <c r="J60" s="112">
        <f t="shared" si="35"/>
        <v>-124188.69999999958</v>
      </c>
      <c r="K60" s="112">
        <f t="shared" si="35"/>
        <v>-106234.80000000098</v>
      </c>
      <c r="L60" s="112">
        <f t="shared" si="35"/>
        <v>-11786.950000000312</v>
      </c>
      <c r="M60" s="112">
        <f t="shared" si="35"/>
        <v>7323.7600000000657</v>
      </c>
      <c r="N60" s="112">
        <v>-199151.49</v>
      </c>
    </row>
    <row r="61" spans="1:14" ht="15.75" thickTop="1">
      <c r="A61" s="64"/>
      <c r="B61" s="22"/>
      <c r="C61" s="22"/>
      <c r="D61" s="22"/>
      <c r="E61" s="22"/>
      <c r="F61" s="22"/>
      <c r="G61" s="22"/>
      <c r="H61" s="22"/>
      <c r="I61" s="22"/>
      <c r="J61" s="22"/>
      <c r="K61" s="22"/>
      <c r="L61" s="22"/>
      <c r="M61" s="22"/>
      <c r="N61" s="22"/>
    </row>
    <row r="62" spans="1:14">
      <c r="A62" s="64" t="s">
        <v>40</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41</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65</v>
      </c>
      <c r="B66" s="22"/>
      <c r="C66" s="22"/>
      <c r="D66" s="22"/>
      <c r="E66" s="22"/>
      <c r="F66" s="22"/>
      <c r="G66" s="22"/>
      <c r="H66" s="22"/>
      <c r="I66" s="22"/>
      <c r="J66" s="22"/>
      <c r="K66" s="22"/>
      <c r="L66" s="22"/>
      <c r="M66" s="22"/>
      <c r="N66" s="22"/>
    </row>
    <row r="67" spans="1:14">
      <c r="A67" s="64" t="s">
        <v>66</v>
      </c>
      <c r="B67" s="111">
        <v>240005.28</v>
      </c>
      <c r="C67" s="111">
        <v>256109.97</v>
      </c>
      <c r="D67" s="111">
        <v>269762.87</v>
      </c>
      <c r="E67" s="111">
        <v>262202.68</v>
      </c>
      <c r="F67" s="111">
        <v>246826.11</v>
      </c>
      <c r="G67" s="111">
        <v>219364.28</v>
      </c>
      <c r="H67" s="111">
        <v>217664.95</v>
      </c>
      <c r="I67" s="111">
        <v>224454.12</v>
      </c>
      <c r="J67" s="111">
        <v>229961.60000000001</v>
      </c>
      <c r="K67" s="111">
        <v>246300.36</v>
      </c>
      <c r="L67" s="111">
        <v>252282.79</v>
      </c>
      <c r="M67" s="111">
        <v>256030.46</v>
      </c>
      <c r="N67" s="111">
        <v>2920965.47</v>
      </c>
    </row>
    <row r="68" spans="1:14">
      <c r="A68" s="64" t="s">
        <v>67</v>
      </c>
      <c r="B68" s="107">
        <f t="shared" ref="B68:M68" si="36">SUM(B64:B67)</f>
        <v>240005.28</v>
      </c>
      <c r="C68" s="107">
        <f t="shared" si="36"/>
        <v>256109.97</v>
      </c>
      <c r="D68" s="107">
        <f t="shared" si="36"/>
        <v>269762.87</v>
      </c>
      <c r="E68" s="107">
        <f t="shared" si="36"/>
        <v>262202.68</v>
      </c>
      <c r="F68" s="107">
        <f t="shared" si="36"/>
        <v>246826.11</v>
      </c>
      <c r="G68" s="107">
        <f t="shared" si="36"/>
        <v>219364.28</v>
      </c>
      <c r="H68" s="107">
        <f t="shared" si="36"/>
        <v>217664.95</v>
      </c>
      <c r="I68" s="107">
        <f t="shared" si="36"/>
        <v>224454.12</v>
      </c>
      <c r="J68" s="107">
        <f t="shared" si="36"/>
        <v>229961.60000000001</v>
      </c>
      <c r="K68" s="107">
        <f t="shared" si="36"/>
        <v>246300.36</v>
      </c>
      <c r="L68" s="107">
        <f t="shared" si="36"/>
        <v>252282.79</v>
      </c>
      <c r="M68" s="107">
        <f t="shared" si="36"/>
        <v>256030.46</v>
      </c>
      <c r="N68" s="107">
        <v>2920965.47</v>
      </c>
    </row>
    <row r="69" spans="1:14">
      <c r="A69" s="64"/>
      <c r="B69" s="22"/>
      <c r="C69" s="22"/>
      <c r="D69" s="22"/>
      <c r="E69" s="22"/>
      <c r="F69" s="22"/>
      <c r="G69" s="22"/>
      <c r="H69" s="22"/>
      <c r="I69" s="22"/>
      <c r="J69" s="22"/>
      <c r="K69" s="22"/>
      <c r="L69" s="22"/>
      <c r="M69" s="22"/>
      <c r="N69" s="22"/>
    </row>
    <row r="70" spans="1:14">
      <c r="A70" s="64" t="s">
        <v>68</v>
      </c>
      <c r="B70" s="22"/>
      <c r="C70" s="22"/>
      <c r="D70" s="22"/>
      <c r="E70" s="22"/>
      <c r="F70" s="22"/>
      <c r="G70" s="22"/>
      <c r="H70" s="22"/>
      <c r="I70" s="22"/>
      <c r="J70" s="22"/>
      <c r="K70" s="22"/>
      <c r="L70" s="22"/>
      <c r="M70" s="22"/>
      <c r="N70" s="22"/>
    </row>
    <row r="71" spans="1:14">
      <c r="A71" s="64" t="s">
        <v>66</v>
      </c>
      <c r="B71" s="111">
        <v>21170.35</v>
      </c>
      <c r="C71" s="111">
        <v>22059.27</v>
      </c>
      <c r="D71" s="111">
        <v>29902.21</v>
      </c>
      <c r="E71" s="111">
        <v>22013.35</v>
      </c>
      <c r="F71" s="111">
        <v>25731.61</v>
      </c>
      <c r="G71" s="111">
        <v>30007.49</v>
      </c>
      <c r="H71" s="111">
        <v>21043.88</v>
      </c>
      <c r="I71" s="111">
        <v>25462.71</v>
      </c>
      <c r="J71" s="111">
        <v>28394.400000000001</v>
      </c>
      <c r="K71" s="111">
        <v>26439.11</v>
      </c>
      <c r="L71" s="111">
        <v>20095.05</v>
      </c>
      <c r="M71" s="111">
        <v>25169.93</v>
      </c>
      <c r="N71" s="111">
        <v>297489.36</v>
      </c>
    </row>
    <row r="72" spans="1:14">
      <c r="A72" s="64" t="s">
        <v>69</v>
      </c>
      <c r="B72" s="107">
        <f t="shared" ref="B72:M72" si="37">SUM(B69:B71)</f>
        <v>21170.35</v>
      </c>
      <c r="C72" s="107">
        <f t="shared" si="37"/>
        <v>22059.27</v>
      </c>
      <c r="D72" s="107">
        <f t="shared" si="37"/>
        <v>29902.21</v>
      </c>
      <c r="E72" s="107">
        <f t="shared" si="37"/>
        <v>22013.35</v>
      </c>
      <c r="F72" s="107">
        <f t="shared" si="37"/>
        <v>25731.61</v>
      </c>
      <c r="G72" s="107">
        <f t="shared" si="37"/>
        <v>30007.49</v>
      </c>
      <c r="H72" s="107">
        <f t="shared" si="37"/>
        <v>21043.88</v>
      </c>
      <c r="I72" s="107">
        <f t="shared" si="37"/>
        <v>25462.71</v>
      </c>
      <c r="J72" s="107">
        <f t="shared" si="37"/>
        <v>28394.400000000001</v>
      </c>
      <c r="K72" s="107">
        <f t="shared" si="37"/>
        <v>26439.11</v>
      </c>
      <c r="L72" s="107">
        <f t="shared" si="37"/>
        <v>20095.05</v>
      </c>
      <c r="M72" s="107">
        <f t="shared" si="37"/>
        <v>25169.93</v>
      </c>
      <c r="N72" s="107">
        <v>297489.36</v>
      </c>
    </row>
    <row r="73" spans="1:14">
      <c r="A73" s="64"/>
      <c r="B73" s="22"/>
      <c r="C73" s="22"/>
      <c r="D73" s="22"/>
      <c r="E73" s="22"/>
      <c r="F73" s="22"/>
      <c r="G73" s="22"/>
      <c r="H73" s="22"/>
      <c r="I73" s="22"/>
      <c r="J73" s="22"/>
      <c r="K73" s="22"/>
      <c r="L73" s="22"/>
      <c r="M73" s="22"/>
      <c r="N73" s="22"/>
    </row>
    <row r="74" spans="1:14">
      <c r="A74" s="64" t="s">
        <v>70</v>
      </c>
      <c r="B74" s="22"/>
      <c r="C74" s="22"/>
      <c r="D74" s="22"/>
      <c r="E74" s="22"/>
      <c r="F74" s="22"/>
      <c r="G74" s="22"/>
      <c r="H74" s="22"/>
      <c r="I74" s="22"/>
      <c r="J74" s="22"/>
      <c r="K74" s="22"/>
      <c r="L74" s="22"/>
      <c r="M74" s="22"/>
      <c r="N74" s="22"/>
    </row>
    <row r="75" spans="1:14">
      <c r="A75" s="64" t="s">
        <v>66</v>
      </c>
      <c r="B75" s="111">
        <v>245857.98</v>
      </c>
      <c r="C75" s="111">
        <v>172524.17</v>
      </c>
      <c r="D75" s="111">
        <v>121691.98</v>
      </c>
      <c r="E75" s="111">
        <v>96922.2</v>
      </c>
      <c r="F75" s="111">
        <v>262899.26</v>
      </c>
      <c r="G75" s="111">
        <v>235838.92</v>
      </c>
      <c r="H75" s="111">
        <v>98487.35</v>
      </c>
      <c r="I75" s="111">
        <v>140979.87</v>
      </c>
      <c r="J75" s="111">
        <v>69884.58</v>
      </c>
      <c r="K75" s="111">
        <v>66140.960000000006</v>
      </c>
      <c r="L75" s="111">
        <v>106400.97</v>
      </c>
      <c r="M75" s="111">
        <v>185358.38</v>
      </c>
      <c r="N75" s="111">
        <v>1802986.62</v>
      </c>
    </row>
    <row r="76" spans="1:14">
      <c r="A76" s="64" t="s">
        <v>71</v>
      </c>
      <c r="B76" s="107">
        <f t="shared" ref="B76:M76" si="38">SUM(B73:B75)</f>
        <v>245857.98</v>
      </c>
      <c r="C76" s="107">
        <f t="shared" si="38"/>
        <v>172524.17</v>
      </c>
      <c r="D76" s="107">
        <f t="shared" si="38"/>
        <v>121691.98</v>
      </c>
      <c r="E76" s="107">
        <f t="shared" si="38"/>
        <v>96922.2</v>
      </c>
      <c r="F76" s="107">
        <f t="shared" si="38"/>
        <v>262899.26</v>
      </c>
      <c r="G76" s="107">
        <f t="shared" si="38"/>
        <v>235838.92</v>
      </c>
      <c r="H76" s="107">
        <f t="shared" si="38"/>
        <v>98487.35</v>
      </c>
      <c r="I76" s="107">
        <f t="shared" si="38"/>
        <v>140979.87</v>
      </c>
      <c r="J76" s="107">
        <f t="shared" si="38"/>
        <v>69884.58</v>
      </c>
      <c r="K76" s="107">
        <f t="shared" si="38"/>
        <v>66140.960000000006</v>
      </c>
      <c r="L76" s="107">
        <f t="shared" si="38"/>
        <v>106400.97</v>
      </c>
      <c r="M76" s="107">
        <f t="shared" si="38"/>
        <v>185358.38</v>
      </c>
      <c r="N76" s="107">
        <v>1802986.62</v>
      </c>
    </row>
    <row r="77" spans="1:14">
      <c r="A77" s="64"/>
      <c r="B77" s="22"/>
      <c r="C77" s="22"/>
      <c r="D77" s="22"/>
      <c r="E77" s="22"/>
      <c r="F77" s="22"/>
      <c r="G77" s="22"/>
      <c r="H77" s="22"/>
      <c r="I77" s="22"/>
      <c r="J77" s="22"/>
      <c r="K77" s="22"/>
      <c r="L77" s="22"/>
      <c r="M77" s="22"/>
      <c r="N77" s="22"/>
    </row>
    <row r="78" spans="1:14">
      <c r="A78" s="64" t="s">
        <v>72</v>
      </c>
      <c r="B78" s="113"/>
      <c r="C78" s="113"/>
      <c r="D78" s="113"/>
      <c r="E78" s="113"/>
      <c r="F78" s="113"/>
      <c r="G78" s="113"/>
      <c r="H78" s="113"/>
      <c r="I78" s="113"/>
      <c r="J78" s="113"/>
      <c r="K78" s="113"/>
      <c r="L78" s="113"/>
      <c r="M78" s="113"/>
      <c r="N78" s="113"/>
    </row>
    <row r="79" spans="1:14">
      <c r="A79" s="64" t="s">
        <v>314</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73</v>
      </c>
      <c r="B81" s="22"/>
      <c r="C81" s="22"/>
      <c r="D81" s="22"/>
      <c r="E81" s="22"/>
      <c r="F81" s="22"/>
      <c r="G81" s="22"/>
      <c r="H81" s="22"/>
      <c r="I81" s="22"/>
      <c r="J81" s="22"/>
      <c r="K81" s="22"/>
      <c r="L81" s="22"/>
      <c r="M81" s="22"/>
      <c r="N81" s="22"/>
    </row>
    <row r="82" spans="1:14">
      <c r="A82" s="64" t="s">
        <v>66</v>
      </c>
      <c r="B82" s="111">
        <v>213000.4</v>
      </c>
      <c r="C82" s="111">
        <v>181570.87</v>
      </c>
      <c r="D82" s="111">
        <v>156712.15</v>
      </c>
      <c r="E82" s="111">
        <v>168446.84</v>
      </c>
      <c r="F82" s="111">
        <v>168073.29</v>
      </c>
      <c r="G82" s="111">
        <v>269270.11</v>
      </c>
      <c r="H82" s="111">
        <v>204319.02</v>
      </c>
      <c r="I82" s="111">
        <v>90115.02</v>
      </c>
      <c r="J82" s="111">
        <v>140201.76</v>
      </c>
      <c r="K82" s="111">
        <v>128606.73</v>
      </c>
      <c r="L82" s="111">
        <v>181081.98</v>
      </c>
      <c r="M82" s="111">
        <v>240730.27</v>
      </c>
      <c r="N82" s="111">
        <v>2142128.44</v>
      </c>
    </row>
    <row r="83" spans="1:14">
      <c r="A83" s="64" t="s">
        <v>74</v>
      </c>
      <c r="B83" s="107">
        <f t="shared" ref="B83:M83" si="39">SUM(B80:B82)</f>
        <v>213000.4</v>
      </c>
      <c r="C83" s="107">
        <f t="shared" si="39"/>
        <v>181570.87</v>
      </c>
      <c r="D83" s="107">
        <f t="shared" si="39"/>
        <v>156712.15</v>
      </c>
      <c r="E83" s="107">
        <f t="shared" si="39"/>
        <v>168446.84</v>
      </c>
      <c r="F83" s="107">
        <f t="shared" si="39"/>
        <v>168073.29</v>
      </c>
      <c r="G83" s="107">
        <f t="shared" si="39"/>
        <v>269270.11</v>
      </c>
      <c r="H83" s="107">
        <f t="shared" si="39"/>
        <v>204319.02</v>
      </c>
      <c r="I83" s="107">
        <f t="shared" si="39"/>
        <v>90115.02</v>
      </c>
      <c r="J83" s="107">
        <f t="shared" si="39"/>
        <v>140201.76</v>
      </c>
      <c r="K83" s="107">
        <f t="shared" si="39"/>
        <v>128606.73</v>
      </c>
      <c r="L83" s="107">
        <f t="shared" si="39"/>
        <v>181081.98</v>
      </c>
      <c r="M83" s="107">
        <f t="shared" si="39"/>
        <v>240730.27</v>
      </c>
      <c r="N83" s="107">
        <v>2142128.44</v>
      </c>
    </row>
    <row r="84" spans="1:14">
      <c r="A84" s="64"/>
      <c r="B84" s="22"/>
      <c r="C84" s="22"/>
      <c r="D84" s="22"/>
      <c r="E84" s="22"/>
      <c r="F84" s="22"/>
      <c r="G84" s="22"/>
      <c r="H84" s="22"/>
      <c r="I84" s="22"/>
      <c r="J84" s="22"/>
      <c r="K84" s="22"/>
      <c r="L84" s="22"/>
      <c r="M84" s="22"/>
      <c r="N84" s="22"/>
    </row>
    <row r="85" spans="1:14">
      <c r="A85" s="64" t="s">
        <v>75</v>
      </c>
      <c r="B85" s="22"/>
      <c r="C85" s="22"/>
      <c r="D85" s="22"/>
      <c r="E85" s="22"/>
      <c r="F85" s="22"/>
      <c r="G85" s="22"/>
      <c r="H85" s="22"/>
      <c r="I85" s="22"/>
      <c r="J85" s="22"/>
      <c r="K85" s="22"/>
      <c r="L85" s="22"/>
      <c r="M85" s="22"/>
      <c r="N85" s="22"/>
    </row>
    <row r="86" spans="1:14">
      <c r="A86" s="64" t="s">
        <v>66</v>
      </c>
      <c r="B86" s="111">
        <v>20160</v>
      </c>
      <c r="C86" s="111">
        <v>20328</v>
      </c>
      <c r="D86" s="111">
        <v>32760</v>
      </c>
      <c r="E86" s="111">
        <v>28056</v>
      </c>
      <c r="F86" s="111">
        <v>30961.37</v>
      </c>
      <c r="G86" s="111">
        <v>22344</v>
      </c>
      <c r="H86" s="111">
        <v>25032</v>
      </c>
      <c r="I86" s="111">
        <v>43357.7</v>
      </c>
      <c r="J86" s="111">
        <v>28896</v>
      </c>
      <c r="K86" s="111">
        <v>30408</v>
      </c>
      <c r="L86" s="111">
        <v>14952</v>
      </c>
      <c r="M86" s="111">
        <v>30744</v>
      </c>
      <c r="N86" s="111">
        <v>327999.07</v>
      </c>
    </row>
    <row r="87" spans="1:14">
      <c r="A87" s="64" t="s">
        <v>76</v>
      </c>
      <c r="B87" s="107">
        <f t="shared" ref="B87:M87" si="40">SUM(B84:B86)</f>
        <v>20160</v>
      </c>
      <c r="C87" s="107">
        <f t="shared" si="40"/>
        <v>20328</v>
      </c>
      <c r="D87" s="107">
        <f t="shared" si="40"/>
        <v>32760</v>
      </c>
      <c r="E87" s="107">
        <f t="shared" si="40"/>
        <v>28056</v>
      </c>
      <c r="F87" s="107">
        <f t="shared" si="40"/>
        <v>30961.37</v>
      </c>
      <c r="G87" s="107">
        <f t="shared" si="40"/>
        <v>22344</v>
      </c>
      <c r="H87" s="107">
        <f t="shared" si="40"/>
        <v>25032</v>
      </c>
      <c r="I87" s="107">
        <f t="shared" si="40"/>
        <v>43357.7</v>
      </c>
      <c r="J87" s="107">
        <f t="shared" si="40"/>
        <v>28896</v>
      </c>
      <c r="K87" s="107">
        <f t="shared" si="40"/>
        <v>30408</v>
      </c>
      <c r="L87" s="107">
        <f t="shared" si="40"/>
        <v>14952</v>
      </c>
      <c r="M87" s="107">
        <f t="shared" si="40"/>
        <v>30744</v>
      </c>
      <c r="N87" s="107">
        <v>327999.07</v>
      </c>
    </row>
    <row r="88" spans="1:14">
      <c r="A88" s="64"/>
      <c r="B88" s="113"/>
      <c r="C88" s="113"/>
      <c r="D88" s="113"/>
      <c r="E88" s="113"/>
      <c r="F88" s="113"/>
      <c r="G88" s="113"/>
      <c r="H88" s="113"/>
      <c r="I88" s="113"/>
      <c r="J88" s="113"/>
      <c r="K88" s="113"/>
      <c r="L88" s="113"/>
      <c r="M88" s="113"/>
      <c r="N88" s="113"/>
    </row>
    <row r="89" spans="1:14">
      <c r="A89" s="64" t="s">
        <v>42</v>
      </c>
      <c r="B89" s="107">
        <f t="shared" ref="B89:M89" si="41">SUM(B66:B88)-B68-B72-B76-B79-B83-B87</f>
        <v>740194.00999999966</v>
      </c>
      <c r="C89" s="107">
        <f t="shared" si="41"/>
        <v>652592.28</v>
      </c>
      <c r="D89" s="107">
        <f t="shared" si="41"/>
        <v>610829.21</v>
      </c>
      <c r="E89" s="107">
        <f t="shared" si="41"/>
        <v>577641.07000000007</v>
      </c>
      <c r="F89" s="107">
        <f t="shared" si="41"/>
        <v>734491.64000000025</v>
      </c>
      <c r="G89" s="107">
        <f t="shared" si="41"/>
        <v>776824.80000000016</v>
      </c>
      <c r="H89" s="107">
        <f t="shared" si="41"/>
        <v>566547.19999999995</v>
      </c>
      <c r="I89" s="107">
        <f t="shared" si="41"/>
        <v>524369.42000000016</v>
      </c>
      <c r="J89" s="107">
        <f t="shared" si="41"/>
        <v>497338.34000000008</v>
      </c>
      <c r="K89" s="107">
        <f t="shared" si="41"/>
        <v>497895.15999999992</v>
      </c>
      <c r="L89" s="107">
        <f t="shared" si="41"/>
        <v>574812.79</v>
      </c>
      <c r="M89" s="107">
        <f t="shared" si="41"/>
        <v>738033.04000000015</v>
      </c>
      <c r="N89" s="107">
        <v>7491568.96</v>
      </c>
    </row>
    <row r="90" spans="1:14">
      <c r="A90" s="64"/>
      <c r="B90" s="22"/>
      <c r="C90" s="22"/>
      <c r="D90" s="22"/>
      <c r="E90" s="22"/>
      <c r="F90" s="22"/>
      <c r="G90" s="22"/>
      <c r="H90" s="22"/>
      <c r="I90" s="22"/>
      <c r="J90" s="22"/>
      <c r="K90" s="22"/>
      <c r="L90" s="22"/>
      <c r="M90" s="22"/>
      <c r="N90" s="22"/>
    </row>
    <row r="91" spans="1:14">
      <c r="A91" s="64" t="s">
        <v>43</v>
      </c>
      <c r="B91" s="22"/>
      <c r="C91" s="22"/>
      <c r="D91" s="22"/>
      <c r="E91" s="22"/>
      <c r="F91" s="22"/>
      <c r="G91" s="22"/>
      <c r="H91" s="22"/>
      <c r="I91" s="22"/>
      <c r="J91" s="22"/>
      <c r="K91" s="22"/>
      <c r="L91" s="22"/>
      <c r="M91" s="22"/>
      <c r="N91" s="22"/>
    </row>
    <row r="92" spans="1:14">
      <c r="A92" s="64"/>
      <c r="B92" s="22"/>
      <c r="C92" s="22"/>
      <c r="D92" s="22"/>
      <c r="E92" s="22"/>
      <c r="F92" s="22"/>
      <c r="G92" s="22"/>
      <c r="H92" s="22"/>
      <c r="I92" s="22"/>
      <c r="J92" s="22"/>
      <c r="K92" s="22"/>
      <c r="L92" s="22"/>
      <c r="M92" s="22"/>
      <c r="N92" s="22"/>
    </row>
    <row r="93" spans="1:14">
      <c r="A93" s="64" t="s">
        <v>65</v>
      </c>
      <c r="B93" s="22"/>
      <c r="C93" s="22"/>
      <c r="D93" s="22"/>
      <c r="E93" s="22"/>
      <c r="F93" s="22"/>
      <c r="G93" s="22"/>
      <c r="H93" s="22"/>
      <c r="I93" s="22"/>
      <c r="J93" s="22"/>
      <c r="K93" s="22"/>
      <c r="L93" s="22"/>
      <c r="M93" s="22"/>
      <c r="N93" s="22"/>
    </row>
    <row r="94" spans="1:14">
      <c r="A94" s="64" t="s">
        <v>66</v>
      </c>
      <c r="B94" s="111">
        <v>669.55</v>
      </c>
      <c r="C94" s="111">
        <v>5183.51</v>
      </c>
      <c r="D94" s="111">
        <v>1144.08</v>
      </c>
      <c r="E94" s="111">
        <v>1472.92</v>
      </c>
      <c r="F94" s="111">
        <v>10559.37</v>
      </c>
      <c r="G94" s="111">
        <v>2726.43</v>
      </c>
      <c r="H94" s="111">
        <v>1019.02</v>
      </c>
      <c r="I94" s="111">
        <v>-39.83</v>
      </c>
      <c r="J94" s="111">
        <v>4272.33</v>
      </c>
      <c r="K94" s="113"/>
      <c r="L94" s="111">
        <v>43296.63</v>
      </c>
      <c r="M94" s="111">
        <v>11760.06</v>
      </c>
      <c r="N94" s="111">
        <v>82064.070000000007</v>
      </c>
    </row>
    <row r="95" spans="1:14">
      <c r="A95" s="64" t="s">
        <v>67</v>
      </c>
      <c r="B95" s="107">
        <f t="shared" ref="B95:J95" si="42">SUM(B93:B94)</f>
        <v>669.55</v>
      </c>
      <c r="C95" s="107">
        <f t="shared" si="42"/>
        <v>5183.51</v>
      </c>
      <c r="D95" s="107">
        <f t="shared" si="42"/>
        <v>1144.08</v>
      </c>
      <c r="E95" s="107">
        <f t="shared" si="42"/>
        <v>1472.92</v>
      </c>
      <c r="F95" s="107">
        <f t="shared" si="42"/>
        <v>10559.37</v>
      </c>
      <c r="G95" s="107">
        <f t="shared" si="42"/>
        <v>2726.43</v>
      </c>
      <c r="H95" s="107">
        <f t="shared" si="42"/>
        <v>1019.02</v>
      </c>
      <c r="I95" s="107">
        <f t="shared" si="42"/>
        <v>-39.83</v>
      </c>
      <c r="J95" s="107">
        <f t="shared" si="42"/>
        <v>4272.33</v>
      </c>
      <c r="K95" s="107"/>
      <c r="L95" s="107">
        <f>SUM(L93:L94)</f>
        <v>43296.63</v>
      </c>
      <c r="M95" s="107">
        <f>SUM(M93:M94)</f>
        <v>11760.06</v>
      </c>
      <c r="N95" s="107">
        <v>82064.070000000007</v>
      </c>
    </row>
    <row r="96" spans="1:14">
      <c r="A96" s="64"/>
      <c r="B96" s="22"/>
      <c r="C96" s="22"/>
      <c r="D96" s="22"/>
      <c r="E96" s="22"/>
      <c r="F96" s="22"/>
      <c r="G96" s="22"/>
      <c r="H96" s="22"/>
      <c r="I96" s="22"/>
      <c r="J96" s="22"/>
      <c r="K96" s="22"/>
      <c r="L96" s="22"/>
      <c r="M96" s="22"/>
      <c r="N96" s="22"/>
    </row>
    <row r="97" spans="1:14">
      <c r="A97" s="64" t="s">
        <v>68</v>
      </c>
      <c r="B97" s="22"/>
      <c r="C97" s="22"/>
      <c r="D97" s="22"/>
      <c r="E97" s="22"/>
      <c r="F97" s="22"/>
      <c r="G97" s="22"/>
      <c r="H97" s="22"/>
      <c r="I97" s="22"/>
      <c r="J97" s="22"/>
      <c r="K97" s="22"/>
      <c r="L97" s="22"/>
      <c r="M97" s="22"/>
      <c r="N97" s="22"/>
    </row>
    <row r="98" spans="1:14">
      <c r="A98" s="64" t="s">
        <v>66</v>
      </c>
      <c r="B98" s="113"/>
      <c r="C98" s="111">
        <v>-1550.4</v>
      </c>
      <c r="D98" s="111">
        <v>6531.06</v>
      </c>
      <c r="E98" s="111">
        <v>-2733.27</v>
      </c>
      <c r="F98" s="113"/>
      <c r="G98" s="113"/>
      <c r="H98" s="111">
        <v>-775.35</v>
      </c>
      <c r="I98" s="113"/>
      <c r="J98" s="111">
        <v>271.86</v>
      </c>
      <c r="K98" s="113"/>
      <c r="L98" s="113"/>
      <c r="M98" s="113"/>
      <c r="N98" s="111">
        <v>1743.9</v>
      </c>
    </row>
    <row r="99" spans="1:14">
      <c r="A99" s="64" t="s">
        <v>69</v>
      </c>
      <c r="B99" s="107"/>
      <c r="C99" s="107">
        <f>SUM(C96:C98)</f>
        <v>-1550.4</v>
      </c>
      <c r="D99" s="107">
        <f>SUM(D96:D98)</f>
        <v>6531.06</v>
      </c>
      <c r="E99" s="107">
        <f>SUM(E96:E98)</f>
        <v>-2733.27</v>
      </c>
      <c r="F99" s="107"/>
      <c r="G99" s="107"/>
      <c r="H99" s="107">
        <f>SUM(H96:H98)</f>
        <v>-775.35</v>
      </c>
      <c r="I99" s="107"/>
      <c r="J99" s="107">
        <f>SUM(J96:J98)</f>
        <v>271.86</v>
      </c>
      <c r="K99" s="107"/>
      <c r="L99" s="107"/>
      <c r="M99" s="107"/>
      <c r="N99" s="107">
        <v>1743.9</v>
      </c>
    </row>
    <row r="100" spans="1:14">
      <c r="A100" s="64"/>
      <c r="B100" s="22"/>
      <c r="C100" s="22"/>
      <c r="D100" s="22"/>
      <c r="E100" s="22"/>
      <c r="F100" s="22"/>
      <c r="G100" s="22"/>
      <c r="H100" s="22"/>
      <c r="I100" s="22"/>
      <c r="J100" s="22"/>
      <c r="K100" s="22"/>
      <c r="L100" s="22"/>
      <c r="M100" s="22"/>
      <c r="N100" s="22"/>
    </row>
    <row r="101" spans="1:14">
      <c r="A101" s="64" t="s">
        <v>70</v>
      </c>
      <c r="B101" s="22"/>
      <c r="C101" s="22"/>
      <c r="D101" s="22"/>
      <c r="E101" s="22"/>
      <c r="F101" s="22"/>
      <c r="G101" s="22"/>
      <c r="H101" s="22"/>
      <c r="I101" s="22"/>
      <c r="J101" s="22"/>
      <c r="K101" s="22"/>
      <c r="L101" s="22"/>
      <c r="M101" s="22"/>
      <c r="N101" s="22"/>
    </row>
    <row r="102" spans="1:14">
      <c r="A102" s="64" t="s">
        <v>66</v>
      </c>
      <c r="B102" s="111">
        <v>-408.73</v>
      </c>
      <c r="C102" s="111">
        <v>-2084.7600000000002</v>
      </c>
      <c r="D102" s="113"/>
      <c r="E102" s="111">
        <v>98.53</v>
      </c>
      <c r="F102" s="111">
        <v>11452.99</v>
      </c>
      <c r="G102" s="111">
        <v>-3237.76</v>
      </c>
      <c r="H102" s="111">
        <v>2239.31</v>
      </c>
      <c r="I102" s="111">
        <v>70330.8</v>
      </c>
      <c r="J102" s="111">
        <v>1126.49</v>
      </c>
      <c r="K102" s="111">
        <v>-107370.85</v>
      </c>
      <c r="L102" s="111">
        <v>869.5</v>
      </c>
      <c r="M102" s="111">
        <v>-16452.23</v>
      </c>
      <c r="N102" s="111">
        <v>-43436.71</v>
      </c>
    </row>
    <row r="103" spans="1:14">
      <c r="A103" s="64" t="s">
        <v>71</v>
      </c>
      <c r="B103" s="107">
        <f>SUM(B100:B102)</f>
        <v>-408.73</v>
      </c>
      <c r="C103" s="107">
        <f>SUM(C100:C102)</f>
        <v>-2084.7600000000002</v>
      </c>
      <c r="D103" s="107"/>
      <c r="E103" s="107">
        <f t="shared" ref="E103:M103" si="43">SUM(E100:E102)</f>
        <v>98.53</v>
      </c>
      <c r="F103" s="107">
        <f t="shared" si="43"/>
        <v>11452.99</v>
      </c>
      <c r="G103" s="107">
        <f t="shared" si="43"/>
        <v>-3237.76</v>
      </c>
      <c r="H103" s="107">
        <f t="shared" si="43"/>
        <v>2239.31</v>
      </c>
      <c r="I103" s="107">
        <f t="shared" si="43"/>
        <v>70330.8</v>
      </c>
      <c r="J103" s="107">
        <f t="shared" si="43"/>
        <v>1126.49</v>
      </c>
      <c r="K103" s="107">
        <f t="shared" si="43"/>
        <v>-107370.85</v>
      </c>
      <c r="L103" s="107">
        <f t="shared" si="43"/>
        <v>869.5</v>
      </c>
      <c r="M103" s="107">
        <f t="shared" si="43"/>
        <v>-16452.23</v>
      </c>
      <c r="N103" s="107">
        <v>-43436.71</v>
      </c>
    </row>
    <row r="104" spans="1:14">
      <c r="A104" s="64"/>
      <c r="B104" s="22"/>
      <c r="C104" s="22"/>
      <c r="D104" s="22"/>
      <c r="E104" s="22"/>
      <c r="F104" s="22"/>
      <c r="G104" s="22"/>
      <c r="H104" s="22"/>
      <c r="I104" s="22"/>
      <c r="J104" s="22"/>
      <c r="K104" s="22"/>
      <c r="L104" s="22"/>
      <c r="M104" s="22"/>
      <c r="N104" s="22"/>
    </row>
    <row r="105" spans="1:14">
      <c r="A105" s="64" t="s">
        <v>72</v>
      </c>
      <c r="B105" s="113"/>
      <c r="C105" s="113"/>
      <c r="D105" s="113"/>
      <c r="E105" s="113"/>
      <c r="F105" s="113"/>
      <c r="G105" s="113"/>
      <c r="H105" s="113"/>
      <c r="I105" s="113"/>
      <c r="J105" s="113"/>
      <c r="K105" s="113"/>
      <c r="L105" s="113"/>
      <c r="M105" s="113"/>
      <c r="N105" s="113"/>
    </row>
    <row r="106" spans="1:14">
      <c r="A106" s="64" t="s">
        <v>314</v>
      </c>
      <c r="B106" s="107"/>
      <c r="C106" s="107"/>
      <c r="D106" s="107"/>
      <c r="E106" s="107"/>
      <c r="F106" s="107"/>
      <c r="G106" s="107"/>
      <c r="H106" s="107"/>
      <c r="I106" s="107"/>
      <c r="J106" s="107"/>
      <c r="K106" s="107"/>
      <c r="L106" s="107"/>
      <c r="M106" s="107"/>
      <c r="N106" s="107"/>
    </row>
    <row r="107" spans="1:14">
      <c r="A107" s="64"/>
      <c r="B107" s="22"/>
      <c r="C107" s="22"/>
      <c r="D107" s="22"/>
      <c r="E107" s="22"/>
      <c r="F107" s="22"/>
      <c r="G107" s="22"/>
      <c r="H107" s="22"/>
      <c r="I107" s="22"/>
      <c r="J107" s="22"/>
      <c r="K107" s="22"/>
      <c r="L107" s="22"/>
      <c r="M107" s="22"/>
      <c r="N107" s="22"/>
    </row>
    <row r="108" spans="1:14">
      <c r="A108" s="64" t="s">
        <v>73</v>
      </c>
      <c r="B108" s="22"/>
      <c r="C108" s="22"/>
      <c r="D108" s="22"/>
      <c r="E108" s="22"/>
      <c r="F108" s="22"/>
      <c r="G108" s="22"/>
      <c r="H108" s="22"/>
      <c r="I108" s="22"/>
      <c r="J108" s="22"/>
      <c r="K108" s="22"/>
      <c r="L108" s="22"/>
      <c r="M108" s="22"/>
      <c r="N108" s="22"/>
    </row>
    <row r="109" spans="1:14">
      <c r="A109" s="64" t="s">
        <v>66</v>
      </c>
      <c r="B109" s="111">
        <v>-11839.4</v>
      </c>
      <c r="C109" s="111">
        <v>2511.56</v>
      </c>
      <c r="D109" s="111">
        <v>-11470.48</v>
      </c>
      <c r="E109" s="111">
        <v>-3473</v>
      </c>
      <c r="F109" s="111">
        <v>-14427.1</v>
      </c>
      <c r="G109" s="111">
        <v>1341.67</v>
      </c>
      <c r="H109" s="111">
        <v>-3810.96</v>
      </c>
      <c r="I109" s="111">
        <v>-43904.800000000003</v>
      </c>
      <c r="J109" s="111">
        <v>-6.6</v>
      </c>
      <c r="K109" s="111">
        <v>116775.86</v>
      </c>
      <c r="L109" s="111"/>
      <c r="M109" s="111">
        <v>-831.55</v>
      </c>
      <c r="N109" s="111">
        <v>30865.200000000001</v>
      </c>
    </row>
    <row r="110" spans="1:14">
      <c r="A110" s="64" t="s">
        <v>74</v>
      </c>
      <c r="B110" s="107">
        <f t="shared" ref="B110:K110" si="44">SUM(B107:B109)</f>
        <v>-11839.4</v>
      </c>
      <c r="C110" s="107">
        <f t="shared" si="44"/>
        <v>2511.56</v>
      </c>
      <c r="D110" s="107">
        <f t="shared" si="44"/>
        <v>-11470.48</v>
      </c>
      <c r="E110" s="107">
        <f t="shared" si="44"/>
        <v>-3473</v>
      </c>
      <c r="F110" s="107">
        <f t="shared" si="44"/>
        <v>-14427.1</v>
      </c>
      <c r="G110" s="107">
        <f t="shared" si="44"/>
        <v>1341.67</v>
      </c>
      <c r="H110" s="107">
        <f t="shared" si="44"/>
        <v>-3810.96</v>
      </c>
      <c r="I110" s="107">
        <f t="shared" si="44"/>
        <v>-43904.800000000003</v>
      </c>
      <c r="J110" s="107">
        <f t="shared" si="44"/>
        <v>-6.6</v>
      </c>
      <c r="K110" s="107">
        <f t="shared" si="44"/>
        <v>116775.86</v>
      </c>
      <c r="L110" s="107"/>
      <c r="M110" s="107">
        <f>SUM(M107:M109)</f>
        <v>-831.55</v>
      </c>
      <c r="N110" s="107">
        <v>30865.200000000001</v>
      </c>
    </row>
    <row r="111" spans="1:14">
      <c r="A111" s="64"/>
      <c r="B111" s="22"/>
      <c r="C111" s="22"/>
      <c r="D111" s="22"/>
      <c r="E111" s="22"/>
      <c r="F111" s="22"/>
      <c r="G111" s="22"/>
      <c r="H111" s="22"/>
      <c r="I111" s="22"/>
      <c r="J111" s="22"/>
      <c r="K111" s="22"/>
      <c r="L111" s="22"/>
      <c r="M111" s="22"/>
      <c r="N111" s="22"/>
    </row>
    <row r="112" spans="1:14">
      <c r="A112" s="64" t="s">
        <v>75</v>
      </c>
      <c r="B112" s="22"/>
      <c r="C112" s="22"/>
      <c r="D112" s="22"/>
      <c r="E112" s="22"/>
      <c r="F112" s="22"/>
      <c r="G112" s="22"/>
      <c r="H112" s="22"/>
      <c r="I112" s="22"/>
      <c r="J112" s="22"/>
      <c r="K112" s="22"/>
      <c r="L112" s="22"/>
      <c r="M112" s="22"/>
      <c r="N112" s="22"/>
    </row>
    <row r="113" spans="1:14">
      <c r="A113" s="64" t="s">
        <v>66</v>
      </c>
      <c r="B113" s="111">
        <v>-246.86</v>
      </c>
      <c r="C113" s="111">
        <v>-168</v>
      </c>
      <c r="D113" s="113"/>
      <c r="E113" s="113"/>
      <c r="F113" s="113"/>
      <c r="G113" s="111">
        <v>-2520</v>
      </c>
      <c r="H113" s="111">
        <v>1008</v>
      </c>
      <c r="I113" s="111">
        <v>1848</v>
      </c>
      <c r="J113" s="113"/>
      <c r="K113" s="113"/>
      <c r="L113" s="111">
        <v>-50400</v>
      </c>
      <c r="M113" s="113"/>
      <c r="N113" s="111">
        <v>-50478.86</v>
      </c>
    </row>
    <row r="114" spans="1:14">
      <c r="A114" s="64" t="s">
        <v>76</v>
      </c>
      <c r="B114" s="107">
        <f>SUM(B111:B113)</f>
        <v>-246.86</v>
      </c>
      <c r="C114" s="107">
        <f>SUM(C111:C113)</f>
        <v>-168</v>
      </c>
      <c r="D114" s="107"/>
      <c r="E114" s="107"/>
      <c r="F114" s="107"/>
      <c r="G114" s="107">
        <f>SUM(G111:G113)</f>
        <v>-2520</v>
      </c>
      <c r="H114" s="107">
        <f>SUM(H111:H113)</f>
        <v>1008</v>
      </c>
      <c r="I114" s="107">
        <f>SUM(I111:I113)</f>
        <v>1848</v>
      </c>
      <c r="J114" s="107"/>
      <c r="K114" s="107"/>
      <c r="L114" s="107">
        <f>SUM(L111:L113)</f>
        <v>-50400</v>
      </c>
      <c r="M114" s="107"/>
      <c r="N114" s="107">
        <v>-50478.86</v>
      </c>
    </row>
    <row r="115" spans="1:14">
      <c r="A115" s="64"/>
      <c r="B115" s="113"/>
      <c r="C115" s="113"/>
      <c r="D115" s="113"/>
      <c r="E115" s="113"/>
      <c r="F115" s="113"/>
      <c r="G115" s="113"/>
      <c r="H115" s="113"/>
      <c r="I115" s="113"/>
      <c r="J115" s="113"/>
      <c r="K115" s="113"/>
      <c r="L115" s="113"/>
      <c r="M115" s="113"/>
      <c r="N115" s="113"/>
    </row>
    <row r="116" spans="1:14">
      <c r="A116" s="64" t="s">
        <v>44</v>
      </c>
      <c r="B116" s="107">
        <f t="shared" ref="B116:M116" si="45">SUM(B91:B115)-B95-B99-B103-B106-B110-B114</f>
        <v>-11825.44</v>
      </c>
      <c r="C116" s="107">
        <f t="shared" si="45"/>
        <v>3891.9099999999994</v>
      </c>
      <c r="D116" s="107">
        <f t="shared" si="45"/>
        <v>-3795.3399999999965</v>
      </c>
      <c r="E116" s="107">
        <f t="shared" si="45"/>
        <v>-4634.8199999999988</v>
      </c>
      <c r="F116" s="107">
        <f t="shared" si="45"/>
        <v>7585.260000000002</v>
      </c>
      <c r="G116" s="107">
        <f t="shared" si="45"/>
        <v>-1689.6599999999999</v>
      </c>
      <c r="H116" s="107">
        <f t="shared" si="45"/>
        <v>-319.98</v>
      </c>
      <c r="I116" s="107">
        <f t="shared" si="45"/>
        <v>28234.17</v>
      </c>
      <c r="J116" s="107">
        <f t="shared" si="45"/>
        <v>5664.0800000000008</v>
      </c>
      <c r="K116" s="107">
        <f t="shared" si="45"/>
        <v>9405.0099999999948</v>
      </c>
      <c r="L116" s="107">
        <f t="shared" si="45"/>
        <v>-6233.8700000000026</v>
      </c>
      <c r="M116" s="107">
        <f t="shared" si="45"/>
        <v>-5523.72</v>
      </c>
      <c r="N116" s="107">
        <v>20757.599999999999</v>
      </c>
    </row>
    <row r="117" spans="1:14">
      <c r="A117" s="64"/>
      <c r="B117" s="22"/>
      <c r="C117" s="22"/>
      <c r="D117" s="22"/>
      <c r="E117" s="22"/>
      <c r="F117" s="22"/>
      <c r="G117" s="22"/>
      <c r="H117" s="22"/>
      <c r="I117" s="22"/>
      <c r="J117" s="22"/>
      <c r="K117" s="22"/>
      <c r="L117" s="22"/>
      <c r="M117" s="22"/>
      <c r="N117" s="22"/>
    </row>
    <row r="118" spans="1:14">
      <c r="A118" s="64" t="s">
        <v>45</v>
      </c>
      <c r="B118" s="22"/>
      <c r="C118" s="22"/>
      <c r="D118" s="22"/>
      <c r="E118" s="22"/>
      <c r="F118" s="22"/>
      <c r="G118" s="22"/>
      <c r="H118" s="22"/>
      <c r="I118" s="22"/>
      <c r="J118" s="22"/>
      <c r="K118" s="22"/>
      <c r="L118" s="22"/>
      <c r="M118" s="22"/>
      <c r="N118" s="22"/>
    </row>
    <row r="119" spans="1:14">
      <c r="A119" s="64"/>
      <c r="B119" s="22"/>
      <c r="C119" s="22"/>
      <c r="D119" s="22"/>
      <c r="E119" s="22"/>
      <c r="F119" s="22"/>
      <c r="G119" s="22"/>
      <c r="H119" s="22"/>
      <c r="I119" s="22"/>
      <c r="J119" s="22"/>
      <c r="K119" s="22"/>
      <c r="L119" s="22"/>
      <c r="M119" s="22"/>
      <c r="N119" s="22"/>
    </row>
    <row r="120" spans="1:14">
      <c r="A120" s="64" t="s">
        <v>19</v>
      </c>
      <c r="B120" s="22"/>
      <c r="C120" s="22"/>
      <c r="D120" s="22"/>
      <c r="E120" s="22"/>
      <c r="F120" s="22"/>
      <c r="G120" s="22"/>
      <c r="H120" s="22"/>
      <c r="I120" s="22"/>
      <c r="J120" s="22"/>
      <c r="K120" s="22"/>
      <c r="L120" s="22"/>
      <c r="M120" s="22"/>
      <c r="N120" s="22"/>
    </row>
    <row r="121" spans="1:14">
      <c r="A121" s="64" t="s">
        <v>77</v>
      </c>
      <c r="B121" s="22"/>
      <c r="C121" s="22"/>
      <c r="D121" s="22"/>
      <c r="E121" s="22"/>
      <c r="F121" s="22"/>
      <c r="G121" s="22"/>
      <c r="H121" s="22"/>
      <c r="I121" s="22"/>
      <c r="J121" s="22"/>
      <c r="K121" s="22"/>
      <c r="L121" s="22"/>
      <c r="M121" s="107">
        <v>621.27</v>
      </c>
      <c r="N121" s="107">
        <v>621.27</v>
      </c>
    </row>
    <row r="122" spans="1:14">
      <c r="A122" s="64" t="s">
        <v>78</v>
      </c>
      <c r="B122" s="22"/>
      <c r="C122" s="22"/>
      <c r="D122" s="22"/>
      <c r="E122" s="22"/>
      <c r="F122" s="22"/>
      <c r="G122" s="107">
        <v>2820</v>
      </c>
      <c r="H122" s="107">
        <v>1110</v>
      </c>
      <c r="I122" s="107">
        <v>-2820</v>
      </c>
      <c r="J122" s="107">
        <v>885</v>
      </c>
      <c r="K122" s="107">
        <v>570</v>
      </c>
      <c r="L122" s="22"/>
      <c r="M122" s="107">
        <v>2055</v>
      </c>
      <c r="N122" s="107">
        <v>4620</v>
      </c>
    </row>
    <row r="123" spans="1:14">
      <c r="A123" s="64" t="s">
        <v>315</v>
      </c>
      <c r="B123" s="22"/>
      <c r="C123" s="22"/>
      <c r="D123" s="107">
        <v>750</v>
      </c>
      <c r="E123" s="107">
        <v>135</v>
      </c>
      <c r="F123" s="22"/>
      <c r="G123" s="107">
        <v>6675</v>
      </c>
      <c r="H123" s="22"/>
      <c r="I123" s="107">
        <v>-3000</v>
      </c>
      <c r="J123" s="107">
        <v>960</v>
      </c>
      <c r="K123" s="107">
        <v>1095</v>
      </c>
      <c r="L123" s="107">
        <v>2115</v>
      </c>
      <c r="M123" s="107">
        <v>2670</v>
      </c>
      <c r="N123" s="107">
        <v>11400</v>
      </c>
    </row>
    <row r="124" spans="1:14">
      <c r="A124" s="64" t="s">
        <v>316</v>
      </c>
      <c r="B124" s="22"/>
      <c r="C124" s="22"/>
      <c r="D124" s="22"/>
      <c r="E124" s="22"/>
      <c r="F124" s="22"/>
      <c r="G124" s="107">
        <v>3275</v>
      </c>
      <c r="H124" s="22"/>
      <c r="I124" s="107">
        <v>-1950</v>
      </c>
      <c r="J124" s="107">
        <v>2235</v>
      </c>
      <c r="K124" s="107">
        <v>845</v>
      </c>
      <c r="L124" s="22"/>
      <c r="M124" s="107">
        <v>850</v>
      </c>
      <c r="N124" s="107">
        <v>5255</v>
      </c>
    </row>
    <row r="125" spans="1:14">
      <c r="A125" s="64" t="s">
        <v>79</v>
      </c>
      <c r="B125" s="107">
        <v>450</v>
      </c>
      <c r="C125" s="107">
        <v>450</v>
      </c>
      <c r="D125" s="107">
        <v>450</v>
      </c>
      <c r="E125" s="22"/>
      <c r="F125" s="22"/>
      <c r="G125" s="22"/>
      <c r="H125" s="107">
        <v>900</v>
      </c>
      <c r="I125" s="22"/>
      <c r="J125" s="22"/>
      <c r="K125" s="22"/>
      <c r="L125" s="22"/>
      <c r="M125" s="107">
        <v>900</v>
      </c>
      <c r="N125" s="107">
        <v>3150</v>
      </c>
    </row>
    <row r="126" spans="1:14">
      <c r="A126" s="64" t="s">
        <v>80</v>
      </c>
      <c r="B126" s="107">
        <v>386.58</v>
      </c>
      <c r="C126" s="107">
        <v>2990.82</v>
      </c>
      <c r="D126" s="107">
        <v>198.13</v>
      </c>
      <c r="E126" s="107">
        <v>58.67</v>
      </c>
      <c r="F126" s="107">
        <v>3044.63</v>
      </c>
      <c r="G126" s="107">
        <v>2306.09</v>
      </c>
      <c r="H126" s="107">
        <v>2977.51</v>
      </c>
      <c r="I126" s="107">
        <v>76.5</v>
      </c>
      <c r="J126" s="22"/>
      <c r="K126" s="22"/>
      <c r="L126" s="107">
        <v>440.8</v>
      </c>
      <c r="M126" s="107">
        <v>195.39</v>
      </c>
      <c r="N126" s="107">
        <v>12675.12</v>
      </c>
    </row>
    <row r="127" spans="1:14">
      <c r="A127" s="64" t="s">
        <v>81</v>
      </c>
      <c r="B127" s="107">
        <v>6938.75</v>
      </c>
      <c r="C127" s="107">
        <v>7513.04</v>
      </c>
      <c r="D127" s="107">
        <v>7360.95</v>
      </c>
      <c r="E127" s="107">
        <v>7142.52</v>
      </c>
      <c r="F127" s="107">
        <v>6967.12</v>
      </c>
      <c r="G127" s="107">
        <v>5924.97</v>
      </c>
      <c r="H127" s="107">
        <v>5884.53</v>
      </c>
      <c r="I127" s="107">
        <v>6020.31</v>
      </c>
      <c r="J127" s="107">
        <v>5691.44</v>
      </c>
      <c r="K127" s="107">
        <v>8056.56</v>
      </c>
      <c r="L127" s="107">
        <v>7948.76</v>
      </c>
      <c r="M127" s="107">
        <v>8243.58</v>
      </c>
      <c r="N127" s="107">
        <v>83692.53</v>
      </c>
    </row>
    <row r="128" spans="1:14">
      <c r="A128" s="64" t="s">
        <v>83</v>
      </c>
      <c r="B128" s="107">
        <v>2867.49</v>
      </c>
      <c r="C128" s="107">
        <v>2679.07</v>
      </c>
      <c r="D128" s="107">
        <v>2081.0700000000002</v>
      </c>
      <c r="E128" s="107">
        <v>2046.11</v>
      </c>
      <c r="F128" s="107">
        <v>2756.41</v>
      </c>
      <c r="G128" s="107">
        <v>1337.43</v>
      </c>
      <c r="H128" s="107">
        <v>1018.17</v>
      </c>
      <c r="I128" s="107">
        <v>1381.45</v>
      </c>
      <c r="J128" s="107">
        <v>2474.6799999999998</v>
      </c>
      <c r="K128" s="107">
        <v>2632.05</v>
      </c>
      <c r="L128" s="107">
        <v>2271.6999999999998</v>
      </c>
      <c r="M128" s="107">
        <v>3136.25</v>
      </c>
      <c r="N128" s="107">
        <v>26681.88</v>
      </c>
    </row>
    <row r="129" spans="1:14">
      <c r="A129" s="64" t="s">
        <v>354</v>
      </c>
      <c r="B129" s="22"/>
      <c r="C129" s="22"/>
      <c r="D129" s="22"/>
      <c r="E129" s="22"/>
      <c r="F129" s="22"/>
      <c r="G129" s="22"/>
      <c r="H129" s="22"/>
      <c r="I129" s="22"/>
      <c r="J129" s="22"/>
      <c r="K129" s="22"/>
      <c r="L129" s="22"/>
      <c r="M129" s="22"/>
      <c r="N129" s="22"/>
    </row>
    <row r="130" spans="1:14">
      <c r="A130" s="64" t="s">
        <v>84</v>
      </c>
      <c r="B130" s="111">
        <v>-10642.82</v>
      </c>
      <c r="C130" s="111">
        <v>-13632.93</v>
      </c>
      <c r="D130" s="111">
        <v>-10840.15</v>
      </c>
      <c r="E130" s="111">
        <v>-9382.2999999999993</v>
      </c>
      <c r="F130" s="111">
        <v>-12768.16</v>
      </c>
      <c r="G130" s="111">
        <v>-22338.49</v>
      </c>
      <c r="H130" s="111">
        <v>-11890.21</v>
      </c>
      <c r="I130" s="111">
        <v>291.74</v>
      </c>
      <c r="J130" s="111">
        <v>-12246.12</v>
      </c>
      <c r="K130" s="111">
        <v>-13198.61</v>
      </c>
      <c r="L130" s="111">
        <v>-12776.26</v>
      </c>
      <c r="M130" s="111">
        <v>-18671.490000000002</v>
      </c>
      <c r="N130" s="111">
        <v>-148095.79999999999</v>
      </c>
    </row>
    <row r="131" spans="1:14">
      <c r="A131" s="64"/>
      <c r="B131" s="22"/>
      <c r="C131" s="22"/>
      <c r="D131" s="22"/>
      <c r="E131" s="22"/>
      <c r="F131" s="22"/>
      <c r="G131" s="22"/>
      <c r="H131" s="22"/>
      <c r="I131" s="22"/>
      <c r="J131" s="22"/>
      <c r="K131" s="22"/>
      <c r="L131" s="22"/>
      <c r="M131" s="22"/>
      <c r="N131" s="22"/>
    </row>
    <row r="132" spans="1:14">
      <c r="A132" s="64" t="s">
        <v>20</v>
      </c>
      <c r="B132" s="22"/>
      <c r="C132" s="22"/>
      <c r="D132" s="22"/>
      <c r="E132" s="22"/>
      <c r="F132" s="22"/>
      <c r="G132" s="22"/>
      <c r="H132" s="22"/>
      <c r="I132" s="22"/>
      <c r="J132" s="22"/>
      <c r="K132" s="22"/>
      <c r="L132" s="22"/>
      <c r="M132" s="22"/>
      <c r="N132" s="22"/>
    </row>
    <row r="133" spans="1:14">
      <c r="A133" s="64" t="s">
        <v>353</v>
      </c>
      <c r="B133" s="22"/>
      <c r="C133" s="107">
        <v>-450</v>
      </c>
      <c r="D133" s="22"/>
      <c r="E133" s="22"/>
      <c r="F133" s="22"/>
      <c r="G133" s="22"/>
      <c r="H133" s="22"/>
      <c r="I133" s="22"/>
      <c r="J133" s="22"/>
      <c r="K133" s="22"/>
      <c r="L133" s="22"/>
      <c r="M133" s="22"/>
      <c r="N133" s="107">
        <v>-450</v>
      </c>
    </row>
    <row r="134" spans="1:14">
      <c r="A134" s="64" t="s">
        <v>320</v>
      </c>
      <c r="B134" s="22"/>
      <c r="C134" s="107">
        <v>-61.33</v>
      </c>
      <c r="D134" s="22"/>
      <c r="E134" s="22"/>
      <c r="F134" s="107">
        <v>94.69</v>
      </c>
      <c r="G134" s="107">
        <v>85.13</v>
      </c>
      <c r="H134" s="22"/>
      <c r="I134" s="22"/>
      <c r="J134" s="22"/>
      <c r="K134" s="22"/>
      <c r="L134" s="22"/>
      <c r="M134" s="22"/>
      <c r="N134" s="107">
        <v>118.49</v>
      </c>
    </row>
    <row r="135" spans="1:14">
      <c r="A135" s="64" t="s">
        <v>87</v>
      </c>
      <c r="B135" s="113"/>
      <c r="C135" s="111">
        <v>511.33</v>
      </c>
      <c r="D135" s="113"/>
      <c r="E135" s="113"/>
      <c r="F135" s="111">
        <v>-94.69</v>
      </c>
      <c r="G135" s="111">
        <v>-85.13</v>
      </c>
      <c r="H135" s="113"/>
      <c r="I135" s="113"/>
      <c r="J135" s="113"/>
      <c r="K135" s="113"/>
      <c r="L135" s="113"/>
      <c r="M135" s="113"/>
      <c r="N135" s="111">
        <v>331.51</v>
      </c>
    </row>
    <row r="136" spans="1:14">
      <c r="A136" s="64"/>
      <c r="B136" s="22"/>
      <c r="C136" s="22"/>
      <c r="D136" s="22"/>
      <c r="E136" s="22"/>
      <c r="F136" s="22"/>
      <c r="G136" s="22"/>
      <c r="H136" s="22"/>
      <c r="I136" s="22"/>
      <c r="J136" s="22"/>
      <c r="K136" s="22"/>
      <c r="L136" s="22"/>
      <c r="M136" s="22"/>
      <c r="N136" s="22"/>
    </row>
    <row r="137" spans="1:14">
      <c r="A137" s="64" t="s">
        <v>88</v>
      </c>
      <c r="B137" s="22"/>
      <c r="C137" s="22"/>
      <c r="D137" s="22"/>
      <c r="E137" s="22"/>
      <c r="F137" s="22"/>
      <c r="G137" s="22"/>
      <c r="H137" s="22"/>
      <c r="I137" s="22"/>
      <c r="J137" s="22"/>
      <c r="K137" s="22"/>
      <c r="L137" s="22"/>
      <c r="M137" s="22"/>
      <c r="N137" s="22"/>
    </row>
    <row r="138" spans="1:14">
      <c r="A138" s="64" t="s">
        <v>89</v>
      </c>
      <c r="B138" s="107">
        <v>12667.29</v>
      </c>
      <c r="C138" s="107">
        <v>9797.6</v>
      </c>
      <c r="D138" s="107">
        <v>7727.88</v>
      </c>
      <c r="E138" s="107">
        <v>3454.2</v>
      </c>
      <c r="F138" s="107">
        <v>13317.3</v>
      </c>
      <c r="G138" s="107">
        <v>8052.93</v>
      </c>
      <c r="H138" s="107">
        <v>3249.47</v>
      </c>
      <c r="I138" s="107">
        <v>13085.1</v>
      </c>
      <c r="J138" s="107">
        <v>6562.86</v>
      </c>
      <c r="K138" s="107">
        <v>4457.68</v>
      </c>
      <c r="L138" s="107">
        <v>9958.9599999999991</v>
      </c>
      <c r="M138" s="107">
        <v>10599.25</v>
      </c>
      <c r="N138" s="107">
        <v>102930.52</v>
      </c>
    </row>
    <row r="139" spans="1:14">
      <c r="A139" s="64" t="s">
        <v>90</v>
      </c>
      <c r="B139" s="107">
        <v>21750</v>
      </c>
      <c r="C139" s="107">
        <v>20460</v>
      </c>
      <c r="D139" s="107">
        <v>15360</v>
      </c>
      <c r="E139" s="107">
        <v>10770</v>
      </c>
      <c r="F139" s="107">
        <v>26940</v>
      </c>
      <c r="G139" s="107">
        <v>27135</v>
      </c>
      <c r="H139" s="107">
        <v>12420</v>
      </c>
      <c r="I139" s="107">
        <v>27090</v>
      </c>
      <c r="J139" s="107">
        <v>8310</v>
      </c>
      <c r="K139" s="107">
        <v>15330</v>
      </c>
      <c r="L139" s="107">
        <v>13380</v>
      </c>
      <c r="M139" s="107">
        <v>19785</v>
      </c>
      <c r="N139" s="107">
        <v>218730</v>
      </c>
    </row>
    <row r="140" spans="1:14">
      <c r="A140" s="64" t="s">
        <v>91</v>
      </c>
      <c r="B140" s="107">
        <v>23040</v>
      </c>
      <c r="C140" s="107">
        <v>18930</v>
      </c>
      <c r="D140" s="107">
        <v>14700</v>
      </c>
      <c r="E140" s="107">
        <v>10350</v>
      </c>
      <c r="F140" s="107">
        <v>32400</v>
      </c>
      <c r="G140" s="107">
        <v>28905</v>
      </c>
      <c r="H140" s="107">
        <v>13590</v>
      </c>
      <c r="I140" s="107">
        <v>25635</v>
      </c>
      <c r="J140" s="107">
        <v>6555</v>
      </c>
      <c r="K140" s="107">
        <v>14070</v>
      </c>
      <c r="L140" s="107">
        <v>14925</v>
      </c>
      <c r="M140" s="107">
        <v>22275</v>
      </c>
      <c r="N140" s="107">
        <v>225375</v>
      </c>
    </row>
    <row r="141" spans="1:14">
      <c r="A141" s="64" t="s">
        <v>92</v>
      </c>
      <c r="B141" s="107">
        <v>7710</v>
      </c>
      <c r="C141" s="107">
        <v>4120</v>
      </c>
      <c r="D141" s="107">
        <v>1695</v>
      </c>
      <c r="E141" s="107">
        <v>3985</v>
      </c>
      <c r="F141" s="107">
        <v>8100</v>
      </c>
      <c r="G141" s="107">
        <v>5145</v>
      </c>
      <c r="H141" s="107">
        <v>4605</v>
      </c>
      <c r="I141" s="107">
        <v>10395</v>
      </c>
      <c r="J141" s="107">
        <v>3535</v>
      </c>
      <c r="K141" s="107">
        <v>7495</v>
      </c>
      <c r="L141" s="107">
        <v>6105</v>
      </c>
      <c r="M141" s="107">
        <v>7970</v>
      </c>
      <c r="N141" s="107">
        <v>70860</v>
      </c>
    </row>
    <row r="142" spans="1:14">
      <c r="A142" s="64" t="s">
        <v>94</v>
      </c>
      <c r="B142" s="107">
        <v>4500</v>
      </c>
      <c r="C142" s="107">
        <v>450</v>
      </c>
      <c r="D142" s="107">
        <v>450</v>
      </c>
      <c r="E142" s="107">
        <v>1800</v>
      </c>
      <c r="F142" s="107">
        <v>5850</v>
      </c>
      <c r="G142" s="107">
        <v>2250</v>
      </c>
      <c r="H142" s="107">
        <v>2250</v>
      </c>
      <c r="I142" s="107">
        <v>1350</v>
      </c>
      <c r="J142" s="22"/>
      <c r="K142" s="107">
        <v>2250</v>
      </c>
      <c r="L142" s="107">
        <v>900</v>
      </c>
      <c r="M142" s="107">
        <v>1350</v>
      </c>
      <c r="N142" s="107">
        <v>23400</v>
      </c>
    </row>
    <row r="143" spans="1:14">
      <c r="A143" s="64" t="s">
        <v>95</v>
      </c>
      <c r="B143" s="107">
        <v>3649.52</v>
      </c>
      <c r="C143" s="107">
        <v>1640.41</v>
      </c>
      <c r="D143" s="107">
        <v>1009.39</v>
      </c>
      <c r="E143" s="107">
        <v>1204.83</v>
      </c>
      <c r="F143" s="107">
        <v>1869.18</v>
      </c>
      <c r="G143" s="107">
        <v>1962.36</v>
      </c>
      <c r="H143" s="107">
        <v>813.79</v>
      </c>
      <c r="I143" s="107">
        <v>1770.65</v>
      </c>
      <c r="J143" s="107">
        <v>818.8</v>
      </c>
      <c r="K143" s="107">
        <v>1204.9100000000001</v>
      </c>
      <c r="L143" s="107">
        <v>1543.26</v>
      </c>
      <c r="M143" s="107">
        <v>1526.61</v>
      </c>
      <c r="N143" s="107">
        <v>19013.71</v>
      </c>
    </row>
    <row r="144" spans="1:14">
      <c r="A144" s="64" t="s">
        <v>96</v>
      </c>
      <c r="B144" s="107">
        <v>3369.84</v>
      </c>
      <c r="C144" s="107">
        <v>2691.97</v>
      </c>
      <c r="D144" s="107">
        <v>2253.4899999999998</v>
      </c>
      <c r="E144" s="107">
        <v>1668.5</v>
      </c>
      <c r="F144" s="107">
        <v>3778.51</v>
      </c>
      <c r="G144" s="107">
        <v>2677.96</v>
      </c>
      <c r="H144" s="107">
        <v>1217.1600000000001</v>
      </c>
      <c r="I144" s="107">
        <v>3682.71</v>
      </c>
      <c r="J144" s="107">
        <v>1677.11</v>
      </c>
      <c r="K144" s="107">
        <v>742.15</v>
      </c>
      <c r="L144" s="107">
        <v>1895.33</v>
      </c>
      <c r="M144" s="107">
        <v>2729.74</v>
      </c>
      <c r="N144" s="107">
        <v>28384.47</v>
      </c>
    </row>
    <row r="145" spans="1:14">
      <c r="A145" s="64" t="s">
        <v>97</v>
      </c>
      <c r="B145" s="107">
        <v>992.25</v>
      </c>
      <c r="C145" s="107">
        <v>1123.57</v>
      </c>
      <c r="D145" s="107">
        <v>1760.11</v>
      </c>
      <c r="E145" s="107">
        <v>747.16</v>
      </c>
      <c r="F145" s="107">
        <v>461.89</v>
      </c>
      <c r="G145" s="107">
        <v>281.05</v>
      </c>
      <c r="H145" s="107">
        <v>1081.6500000000001</v>
      </c>
      <c r="I145" s="107">
        <v>3135.56</v>
      </c>
      <c r="J145" s="107">
        <v>1252.3499999999999</v>
      </c>
      <c r="K145" s="107">
        <v>194.09</v>
      </c>
      <c r="L145" s="107">
        <v>55.94</v>
      </c>
      <c r="M145" s="107">
        <v>104.33</v>
      </c>
      <c r="N145" s="107">
        <v>11189.95</v>
      </c>
    </row>
    <row r="146" spans="1:14">
      <c r="A146" s="64" t="s">
        <v>98</v>
      </c>
      <c r="B146" s="111">
        <v>-77678.899999999994</v>
      </c>
      <c r="C146" s="111">
        <v>-59213.55</v>
      </c>
      <c r="D146" s="111">
        <v>-44955.87</v>
      </c>
      <c r="E146" s="111">
        <v>-33979.69</v>
      </c>
      <c r="F146" s="111">
        <v>-92716.88</v>
      </c>
      <c r="G146" s="111">
        <v>-76409.3</v>
      </c>
      <c r="H146" s="111">
        <v>-39227.07</v>
      </c>
      <c r="I146" s="111">
        <v>-86144.02</v>
      </c>
      <c r="J146" s="111">
        <v>-28711.119999999999</v>
      </c>
      <c r="K146" s="111">
        <v>-45743.83</v>
      </c>
      <c r="L146" s="111">
        <v>-48763.49</v>
      </c>
      <c r="M146" s="111">
        <v>-66339.929999999993</v>
      </c>
      <c r="N146" s="111">
        <v>-699883.65</v>
      </c>
    </row>
    <row r="147" spans="1:14">
      <c r="A147" s="64"/>
      <c r="B147" s="22"/>
      <c r="C147" s="22"/>
      <c r="D147" s="22"/>
      <c r="E147" s="22"/>
      <c r="F147" s="22"/>
      <c r="G147" s="22"/>
      <c r="H147" s="22"/>
      <c r="I147" s="22"/>
      <c r="J147" s="22"/>
      <c r="K147" s="22"/>
      <c r="L147" s="22"/>
      <c r="M147" s="22"/>
      <c r="N147" s="22"/>
    </row>
    <row r="148" spans="1:14">
      <c r="A148" s="64" t="s">
        <v>99</v>
      </c>
      <c r="B148" s="22"/>
      <c r="C148" s="22"/>
      <c r="D148" s="22"/>
      <c r="E148" s="22"/>
      <c r="F148" s="22"/>
      <c r="G148" s="22"/>
      <c r="H148" s="22"/>
      <c r="I148" s="22"/>
      <c r="J148" s="22"/>
      <c r="K148" s="22"/>
      <c r="L148" s="22"/>
      <c r="M148" s="22"/>
      <c r="N148" s="22"/>
    </row>
    <row r="149" spans="1:14">
      <c r="A149" s="64" t="s">
        <v>382</v>
      </c>
      <c r="B149" s="22"/>
      <c r="C149" s="22"/>
      <c r="D149" s="22"/>
      <c r="E149" s="107">
        <v>99.55</v>
      </c>
      <c r="F149" s="107">
        <v>19.91</v>
      </c>
      <c r="G149" s="22"/>
      <c r="H149" s="22"/>
      <c r="I149" s="22"/>
      <c r="J149" s="22"/>
      <c r="K149" s="22"/>
      <c r="L149" s="22"/>
      <c r="M149" s="22"/>
      <c r="N149" s="107">
        <v>119.46</v>
      </c>
    </row>
    <row r="150" spans="1:14">
      <c r="A150" s="64" t="s">
        <v>100</v>
      </c>
      <c r="B150" s="107">
        <v>4410</v>
      </c>
      <c r="C150" s="107">
        <v>9390</v>
      </c>
      <c r="D150" s="107">
        <v>3840</v>
      </c>
      <c r="E150" s="107">
        <v>6315</v>
      </c>
      <c r="F150" s="107">
        <v>4335</v>
      </c>
      <c r="G150" s="107">
        <v>6300</v>
      </c>
      <c r="H150" s="107">
        <v>5340</v>
      </c>
      <c r="I150" s="107">
        <v>17610</v>
      </c>
      <c r="J150" s="107">
        <v>10110</v>
      </c>
      <c r="K150" s="107">
        <v>8130</v>
      </c>
      <c r="L150" s="107">
        <v>2880</v>
      </c>
      <c r="M150" s="107">
        <v>5565</v>
      </c>
      <c r="N150" s="107">
        <v>84225</v>
      </c>
    </row>
    <row r="151" spans="1:14">
      <c r="A151" s="64" t="s">
        <v>101</v>
      </c>
      <c r="B151" s="107">
        <v>5340</v>
      </c>
      <c r="C151" s="107">
        <v>11130</v>
      </c>
      <c r="D151" s="107">
        <v>4470</v>
      </c>
      <c r="E151" s="107">
        <v>4635</v>
      </c>
      <c r="F151" s="107">
        <v>9975</v>
      </c>
      <c r="G151" s="107">
        <v>-3240</v>
      </c>
      <c r="H151" s="107">
        <v>5265</v>
      </c>
      <c r="I151" s="107">
        <v>14940</v>
      </c>
      <c r="J151" s="107">
        <v>7500</v>
      </c>
      <c r="K151" s="107">
        <v>6900</v>
      </c>
      <c r="L151" s="107">
        <v>5145</v>
      </c>
      <c r="M151" s="107">
        <v>2325</v>
      </c>
      <c r="N151" s="107">
        <v>74385</v>
      </c>
    </row>
    <row r="152" spans="1:14">
      <c r="A152" s="64" t="s">
        <v>102</v>
      </c>
      <c r="B152" s="107">
        <v>85</v>
      </c>
      <c r="C152" s="107">
        <v>1060</v>
      </c>
      <c r="D152" s="107">
        <v>3265</v>
      </c>
      <c r="E152" s="107">
        <v>2380</v>
      </c>
      <c r="F152" s="107">
        <v>1410</v>
      </c>
      <c r="G152" s="107">
        <v>-3275</v>
      </c>
      <c r="H152" s="107">
        <v>2220</v>
      </c>
      <c r="I152" s="107">
        <v>5255</v>
      </c>
      <c r="J152" s="107">
        <v>4165</v>
      </c>
      <c r="K152" s="107">
        <v>170</v>
      </c>
      <c r="L152" s="22"/>
      <c r="M152" s="107">
        <v>335</v>
      </c>
      <c r="N152" s="107">
        <v>17070</v>
      </c>
    </row>
    <row r="153" spans="1:14">
      <c r="A153" s="64" t="s">
        <v>103</v>
      </c>
      <c r="B153" s="111">
        <v>-4482.82</v>
      </c>
      <c r="C153" s="111">
        <v>-9510.07</v>
      </c>
      <c r="D153" s="111">
        <v>-4368.79</v>
      </c>
      <c r="E153" s="111">
        <v>-6165.65</v>
      </c>
      <c r="F153" s="111">
        <v>-6726.82</v>
      </c>
      <c r="G153" s="111">
        <v>375.85</v>
      </c>
      <c r="H153" s="111">
        <v>-5815.32</v>
      </c>
      <c r="I153" s="111">
        <v>-17341.54</v>
      </c>
      <c r="J153" s="111">
        <v>-10030.790000000001</v>
      </c>
      <c r="K153" s="111">
        <v>-7781.59</v>
      </c>
      <c r="L153" s="111">
        <v>-4263.95</v>
      </c>
      <c r="M153" s="111">
        <v>-4110.7</v>
      </c>
      <c r="N153" s="111">
        <v>-80222.19</v>
      </c>
    </row>
    <row r="154" spans="1:14">
      <c r="A154" s="64" t="s">
        <v>104</v>
      </c>
      <c r="B154" s="107">
        <f t="shared" ref="B154:M154" si="46">SUM(B148:B153)</f>
        <v>5352.18</v>
      </c>
      <c r="C154" s="107">
        <f t="shared" si="46"/>
        <v>12069.93</v>
      </c>
      <c r="D154" s="107">
        <f t="shared" si="46"/>
        <v>7206.21</v>
      </c>
      <c r="E154" s="107">
        <f t="shared" si="46"/>
        <v>7263.9</v>
      </c>
      <c r="F154" s="107">
        <f t="shared" si="46"/>
        <v>9013.09</v>
      </c>
      <c r="G154" s="107">
        <f t="shared" si="46"/>
        <v>160.85000000000002</v>
      </c>
      <c r="H154" s="107">
        <f t="shared" si="46"/>
        <v>7009.68</v>
      </c>
      <c r="I154" s="107">
        <f t="shared" si="46"/>
        <v>20463.46</v>
      </c>
      <c r="J154" s="107">
        <f t="shared" si="46"/>
        <v>11744.21</v>
      </c>
      <c r="K154" s="107">
        <f t="shared" si="46"/>
        <v>7418.41</v>
      </c>
      <c r="L154" s="107">
        <f t="shared" si="46"/>
        <v>3761.05</v>
      </c>
      <c r="M154" s="107">
        <f t="shared" si="46"/>
        <v>4114.3</v>
      </c>
      <c r="N154" s="107">
        <v>95577.27</v>
      </c>
    </row>
    <row r="155" spans="1:14">
      <c r="A155" s="64"/>
      <c r="B155" s="22"/>
      <c r="C155" s="22"/>
      <c r="D155" s="22"/>
      <c r="E155" s="22"/>
      <c r="F155" s="22"/>
      <c r="G155" s="22"/>
      <c r="H155" s="22"/>
      <c r="I155" s="22"/>
      <c r="J155" s="22"/>
      <c r="K155" s="22"/>
      <c r="L155" s="22"/>
      <c r="M155" s="22"/>
      <c r="N155" s="22"/>
    </row>
    <row r="156" spans="1:14">
      <c r="A156" s="64" t="s">
        <v>105</v>
      </c>
      <c r="B156" s="113"/>
      <c r="C156" s="113"/>
      <c r="D156" s="113"/>
      <c r="E156" s="113"/>
      <c r="F156" s="113"/>
      <c r="G156" s="113"/>
      <c r="H156" s="113"/>
      <c r="I156" s="113"/>
      <c r="J156" s="113"/>
      <c r="K156" s="113"/>
      <c r="L156" s="113"/>
      <c r="M156" s="113"/>
      <c r="N156" s="113"/>
    </row>
    <row r="157" spans="1:14">
      <c r="A157" s="64"/>
      <c r="B157" s="22"/>
      <c r="C157" s="22"/>
      <c r="D157" s="22"/>
      <c r="E157" s="22"/>
      <c r="F157" s="22"/>
      <c r="G157" s="22"/>
      <c r="H157" s="22"/>
      <c r="I157" s="22"/>
      <c r="J157" s="22"/>
      <c r="K157" s="22"/>
      <c r="L157" s="22"/>
      <c r="M157" s="22"/>
      <c r="N157" s="22"/>
    </row>
    <row r="158" spans="1:14">
      <c r="A158" s="64" t="s">
        <v>106</v>
      </c>
      <c r="B158" s="22"/>
      <c r="C158" s="22"/>
      <c r="D158" s="22"/>
      <c r="E158" s="22"/>
      <c r="F158" s="22"/>
      <c r="G158" s="22"/>
      <c r="H158" s="22"/>
      <c r="I158" s="22"/>
      <c r="J158" s="22"/>
      <c r="K158" s="22"/>
      <c r="L158" s="22"/>
      <c r="M158" s="22"/>
      <c r="N158" s="22"/>
    </row>
    <row r="159" spans="1:14">
      <c r="A159" s="64" t="s">
        <v>107</v>
      </c>
      <c r="B159" s="107">
        <v>15852.56</v>
      </c>
      <c r="C159" s="107">
        <v>15457.1</v>
      </c>
      <c r="D159" s="107">
        <v>15301.33</v>
      </c>
      <c r="E159" s="107">
        <v>13626.93</v>
      </c>
      <c r="F159" s="107">
        <v>11904.02</v>
      </c>
      <c r="G159" s="107">
        <v>30749.98</v>
      </c>
      <c r="H159" s="107">
        <v>10448.209999999999</v>
      </c>
      <c r="I159" s="107">
        <v>14735.46</v>
      </c>
      <c r="J159" s="107">
        <v>20436.32</v>
      </c>
      <c r="K159" s="107">
        <v>6709.23</v>
      </c>
      <c r="L159" s="107">
        <v>20974.92</v>
      </c>
      <c r="M159" s="107">
        <v>26498.959999999999</v>
      </c>
      <c r="N159" s="107">
        <v>202695.02</v>
      </c>
    </row>
    <row r="160" spans="1:14">
      <c r="A160" s="64" t="s">
        <v>383</v>
      </c>
      <c r="B160" s="22"/>
      <c r="C160" s="22"/>
      <c r="D160" s="22"/>
      <c r="E160" s="107">
        <v>278.74</v>
      </c>
      <c r="F160" s="107">
        <v>-19.91</v>
      </c>
      <c r="G160" s="22"/>
      <c r="H160" s="22"/>
      <c r="I160" s="22"/>
      <c r="J160" s="22"/>
      <c r="K160" s="22"/>
      <c r="L160" s="22"/>
      <c r="M160" s="22"/>
      <c r="N160" s="107">
        <v>258.83</v>
      </c>
    </row>
    <row r="161" spans="1:14">
      <c r="A161" s="64" t="s">
        <v>108</v>
      </c>
      <c r="B161" s="107">
        <v>48915</v>
      </c>
      <c r="C161" s="107">
        <v>48510</v>
      </c>
      <c r="D161" s="107">
        <v>47625</v>
      </c>
      <c r="E161" s="107">
        <v>45945</v>
      </c>
      <c r="F161" s="107">
        <v>41490</v>
      </c>
      <c r="G161" s="107">
        <v>64860</v>
      </c>
      <c r="H161" s="107">
        <v>51225</v>
      </c>
      <c r="I161" s="107">
        <v>26310</v>
      </c>
      <c r="J161" s="107">
        <v>41940</v>
      </c>
      <c r="K161" s="107">
        <v>38520</v>
      </c>
      <c r="L161" s="107">
        <v>39825</v>
      </c>
      <c r="M161" s="107">
        <v>36870</v>
      </c>
      <c r="N161" s="107">
        <v>532035</v>
      </c>
    </row>
    <row r="162" spans="1:14">
      <c r="A162" s="64" t="s">
        <v>109</v>
      </c>
      <c r="B162" s="107">
        <v>46260</v>
      </c>
      <c r="C162" s="107">
        <v>42000</v>
      </c>
      <c r="D162" s="107">
        <v>31875</v>
      </c>
      <c r="E162" s="107">
        <v>44865</v>
      </c>
      <c r="F162" s="107">
        <v>41610</v>
      </c>
      <c r="G162" s="107">
        <v>68055</v>
      </c>
      <c r="H162" s="107">
        <v>52845</v>
      </c>
      <c r="I162" s="107">
        <v>24255</v>
      </c>
      <c r="J162" s="107">
        <v>45195</v>
      </c>
      <c r="K162" s="107">
        <v>40590</v>
      </c>
      <c r="L162" s="107">
        <v>45960</v>
      </c>
      <c r="M162" s="107">
        <v>40260</v>
      </c>
      <c r="N162" s="107">
        <v>523770</v>
      </c>
    </row>
    <row r="163" spans="1:14">
      <c r="A163" s="64" t="s">
        <v>110</v>
      </c>
      <c r="B163" s="107">
        <v>11295</v>
      </c>
      <c r="C163" s="107">
        <v>12465</v>
      </c>
      <c r="D163" s="107">
        <v>9630</v>
      </c>
      <c r="E163" s="107">
        <v>10970</v>
      </c>
      <c r="F163" s="107">
        <v>7670</v>
      </c>
      <c r="G163" s="107">
        <v>12800</v>
      </c>
      <c r="H163" s="107">
        <v>15130</v>
      </c>
      <c r="I163" s="107">
        <v>7915</v>
      </c>
      <c r="J163" s="107">
        <v>11585</v>
      </c>
      <c r="K163" s="107">
        <v>12185</v>
      </c>
      <c r="L163" s="107">
        <v>16840</v>
      </c>
      <c r="M163" s="107">
        <v>10860</v>
      </c>
      <c r="N163" s="107">
        <v>139345</v>
      </c>
    </row>
    <row r="164" spans="1:14">
      <c r="A164" s="64" t="s">
        <v>111</v>
      </c>
      <c r="B164" s="107">
        <v>5850</v>
      </c>
      <c r="C164" s="107">
        <v>5400</v>
      </c>
      <c r="D164" s="107">
        <v>900</v>
      </c>
      <c r="E164" s="107">
        <v>5400</v>
      </c>
      <c r="F164" s="107">
        <v>3600</v>
      </c>
      <c r="G164" s="107">
        <v>8550</v>
      </c>
      <c r="H164" s="107">
        <v>3150</v>
      </c>
      <c r="I164" s="107">
        <v>900</v>
      </c>
      <c r="J164" s="107">
        <v>3150</v>
      </c>
      <c r="K164" s="107">
        <v>1800</v>
      </c>
      <c r="L164" s="107">
        <v>1800</v>
      </c>
      <c r="M164" s="107">
        <v>7200</v>
      </c>
      <c r="N164" s="107">
        <v>47700</v>
      </c>
    </row>
    <row r="165" spans="1:14">
      <c r="A165" s="64" t="s">
        <v>112</v>
      </c>
      <c r="B165" s="107">
        <v>3775.33</v>
      </c>
      <c r="C165" s="107">
        <v>3237.35</v>
      </c>
      <c r="D165" s="107">
        <v>1536.33</v>
      </c>
      <c r="E165" s="107">
        <v>2976.15</v>
      </c>
      <c r="F165" s="107">
        <v>2659.25</v>
      </c>
      <c r="G165" s="107">
        <v>4588.75</v>
      </c>
      <c r="H165" s="107">
        <v>2114.08</v>
      </c>
      <c r="I165" s="107">
        <v>1651.77</v>
      </c>
      <c r="J165" s="107">
        <v>2769.35</v>
      </c>
      <c r="K165" s="107">
        <v>1914.58</v>
      </c>
      <c r="L165" s="107">
        <v>2335.29</v>
      </c>
      <c r="M165" s="107">
        <v>3778.32</v>
      </c>
      <c r="N165" s="107">
        <v>33336.550000000003</v>
      </c>
    </row>
    <row r="166" spans="1:14">
      <c r="A166" s="64" t="s">
        <v>113</v>
      </c>
      <c r="B166" s="107">
        <v>5332.1</v>
      </c>
      <c r="C166" s="107">
        <v>5467.01</v>
      </c>
      <c r="D166" s="107">
        <v>6391.92</v>
      </c>
      <c r="E166" s="107">
        <v>4963.91</v>
      </c>
      <c r="F166" s="107">
        <v>4288.33</v>
      </c>
      <c r="G166" s="107">
        <v>6778.16</v>
      </c>
      <c r="H166" s="107">
        <v>5609.33</v>
      </c>
      <c r="I166" s="107">
        <v>1451.78</v>
      </c>
      <c r="J166" s="107">
        <v>4609.8</v>
      </c>
      <c r="K166" s="107">
        <v>2100.69</v>
      </c>
      <c r="L166" s="107">
        <v>5128.6899999999996</v>
      </c>
      <c r="M166" s="107">
        <v>6584.85</v>
      </c>
      <c r="N166" s="107">
        <v>58706.57</v>
      </c>
    </row>
    <row r="167" spans="1:14">
      <c r="A167" s="64" t="s">
        <v>114</v>
      </c>
      <c r="B167" s="107">
        <v>465.9</v>
      </c>
      <c r="C167" s="107">
        <v>679.53</v>
      </c>
      <c r="D167" s="107">
        <v>247.83</v>
      </c>
      <c r="E167" s="22"/>
      <c r="F167" s="107">
        <v>39</v>
      </c>
      <c r="G167" s="107">
        <v>451.53</v>
      </c>
      <c r="H167" s="107">
        <v>794.64</v>
      </c>
      <c r="I167" s="107">
        <v>481.81</v>
      </c>
      <c r="J167" s="107">
        <v>1187.0999999999999</v>
      </c>
      <c r="K167" s="107">
        <v>793.18</v>
      </c>
      <c r="L167" s="107">
        <v>453</v>
      </c>
      <c r="M167" s="107">
        <v>1157.97</v>
      </c>
      <c r="N167" s="107">
        <v>6751.49</v>
      </c>
    </row>
    <row r="168" spans="1:14">
      <c r="A168" s="64" t="s">
        <v>115</v>
      </c>
      <c r="B168" s="111">
        <v>-132909.6</v>
      </c>
      <c r="C168" s="111">
        <v>-125020.98</v>
      </c>
      <c r="D168" s="111">
        <v>-111269.12</v>
      </c>
      <c r="E168" s="111">
        <v>-119598.51</v>
      </c>
      <c r="F168" s="111">
        <v>-102286.11</v>
      </c>
      <c r="G168" s="111">
        <v>-188459.9</v>
      </c>
      <c r="H168" s="111">
        <v>-137735.98000000001</v>
      </c>
      <c r="I168" s="111">
        <v>-66723.47</v>
      </c>
      <c r="J168" s="111">
        <v>-122175.76</v>
      </c>
      <c r="K168" s="111">
        <v>-72028.42</v>
      </c>
      <c r="L168" s="111">
        <v>-119066.9</v>
      </c>
      <c r="M168" s="111">
        <v>-137789.20000000001</v>
      </c>
      <c r="N168" s="111">
        <v>-1435063.95</v>
      </c>
    </row>
    <row r="169" spans="1:14">
      <c r="A169" s="64" t="s">
        <v>116</v>
      </c>
      <c r="B169" s="107">
        <f t="shared" ref="B169:M169" si="47">SUM(B158:B168)</f>
        <v>4836.289999999979</v>
      </c>
      <c r="C169" s="107">
        <f t="shared" si="47"/>
        <v>8195.0100000000239</v>
      </c>
      <c r="D169" s="107">
        <f t="shared" si="47"/>
        <v>2238.2900000000081</v>
      </c>
      <c r="E169" s="107">
        <f t="shared" si="47"/>
        <v>9427.2200000000012</v>
      </c>
      <c r="F169" s="107">
        <f t="shared" si="47"/>
        <v>10954.580000000002</v>
      </c>
      <c r="G169" s="107">
        <f t="shared" si="47"/>
        <v>8373.5199999999895</v>
      </c>
      <c r="H169" s="107">
        <f t="shared" si="47"/>
        <v>3580.2799999999697</v>
      </c>
      <c r="I169" s="107">
        <f t="shared" si="47"/>
        <v>10977.349999999991</v>
      </c>
      <c r="J169" s="107">
        <f t="shared" si="47"/>
        <v>8696.8100000000268</v>
      </c>
      <c r="K169" s="107">
        <f t="shared" si="47"/>
        <v>32584.259999999995</v>
      </c>
      <c r="L169" s="107">
        <f t="shared" si="47"/>
        <v>14250</v>
      </c>
      <c r="M169" s="107">
        <f t="shared" si="47"/>
        <v>-4579.1000000000058</v>
      </c>
      <c r="N169" s="107">
        <v>109534.51</v>
      </c>
    </row>
    <row r="170" spans="1:14">
      <c r="A170" s="64"/>
      <c r="B170" s="22"/>
      <c r="C170" s="22"/>
      <c r="D170" s="22"/>
      <c r="E170" s="22"/>
      <c r="F170" s="22"/>
      <c r="G170" s="22"/>
      <c r="H170" s="22"/>
      <c r="I170" s="22"/>
      <c r="J170" s="22"/>
      <c r="K170" s="22"/>
      <c r="L170" s="22"/>
      <c r="M170" s="22"/>
      <c r="N170" s="22"/>
    </row>
    <row r="171" spans="1:14">
      <c r="A171" s="64" t="s">
        <v>117</v>
      </c>
      <c r="B171" s="22"/>
      <c r="C171" s="22"/>
      <c r="D171" s="22"/>
      <c r="E171" s="22"/>
      <c r="F171" s="22"/>
      <c r="G171" s="22"/>
      <c r="H171" s="22"/>
      <c r="I171" s="22"/>
      <c r="J171" s="22"/>
      <c r="K171" s="22"/>
      <c r="L171" s="22"/>
      <c r="M171" s="22"/>
      <c r="N171" s="22"/>
    </row>
    <row r="172" spans="1:14">
      <c r="A172" s="64" t="s">
        <v>282</v>
      </c>
      <c r="B172" s="22"/>
      <c r="C172" s="22"/>
      <c r="D172" s="22"/>
      <c r="E172" s="22"/>
      <c r="F172" s="22"/>
      <c r="G172" s="22"/>
      <c r="H172" s="22"/>
      <c r="I172" s="22"/>
      <c r="J172" s="22"/>
      <c r="K172" s="22"/>
      <c r="L172" s="22"/>
      <c r="M172" s="22"/>
      <c r="N172" s="22"/>
    </row>
    <row r="173" spans="1:14">
      <c r="A173" s="64" t="s">
        <v>123</v>
      </c>
      <c r="B173" s="22"/>
      <c r="C173" s="107">
        <v>249.29</v>
      </c>
      <c r="D173" s="22"/>
      <c r="E173" s="22"/>
      <c r="F173" s="22"/>
      <c r="G173" s="22"/>
      <c r="H173" s="22"/>
      <c r="I173" s="22"/>
      <c r="J173" s="22"/>
      <c r="K173" s="22"/>
      <c r="L173" s="22"/>
      <c r="M173" s="107">
        <v>181.97</v>
      </c>
      <c r="N173" s="107">
        <v>431.26</v>
      </c>
    </row>
    <row r="174" spans="1:14">
      <c r="A174" s="64" t="s">
        <v>125</v>
      </c>
      <c r="B174" s="113"/>
      <c r="C174" s="111">
        <v>197.23</v>
      </c>
      <c r="D174" s="113"/>
      <c r="E174" s="113"/>
      <c r="F174" s="113"/>
      <c r="G174" s="113"/>
      <c r="H174" s="113"/>
      <c r="I174" s="113"/>
      <c r="J174" s="113"/>
      <c r="K174" s="113"/>
      <c r="L174" s="113"/>
      <c r="M174" s="111">
        <v>462.83</v>
      </c>
      <c r="N174" s="111">
        <v>660.06</v>
      </c>
    </row>
    <row r="175" spans="1:14">
      <c r="A175" s="64" t="s">
        <v>127</v>
      </c>
      <c r="B175" s="107"/>
      <c r="C175" s="107">
        <f>SUM(C171:C174)</f>
        <v>446.52</v>
      </c>
      <c r="D175" s="107"/>
      <c r="E175" s="107"/>
      <c r="F175" s="107"/>
      <c r="G175" s="107"/>
      <c r="H175" s="107"/>
      <c r="I175" s="107"/>
      <c r="J175" s="107"/>
      <c r="K175" s="107"/>
      <c r="L175" s="107"/>
      <c r="M175" s="107">
        <f>SUM(M171:M174)</f>
        <v>644.79999999999995</v>
      </c>
      <c r="N175" s="107">
        <v>1091.32</v>
      </c>
    </row>
    <row r="176" spans="1:14">
      <c r="A176" s="64"/>
      <c r="B176" s="22"/>
      <c r="C176" s="22"/>
      <c r="D176" s="22"/>
      <c r="E176" s="22"/>
      <c r="F176" s="22"/>
      <c r="G176" s="22"/>
      <c r="H176" s="22"/>
      <c r="I176" s="22"/>
      <c r="J176" s="22"/>
      <c r="K176" s="22"/>
      <c r="L176" s="22"/>
      <c r="M176" s="22"/>
      <c r="N176" s="22"/>
    </row>
    <row r="177" spans="1:14">
      <c r="A177" s="64" t="s">
        <v>47</v>
      </c>
      <c r="B177" s="107">
        <f t="shared" ref="B177:M177" si="48">SUM(B118:B176)-0-0-0-B154-0-B169-B175</f>
        <v>10188.469999999994</v>
      </c>
      <c r="C177" s="107">
        <f t="shared" si="48"/>
        <v>20711.46000000001</v>
      </c>
      <c r="D177" s="107">
        <f t="shared" si="48"/>
        <v>9444.5000000000073</v>
      </c>
      <c r="E177" s="107">
        <f t="shared" si="48"/>
        <v>16691.120000000003</v>
      </c>
      <c r="F177" s="107">
        <f t="shared" si="48"/>
        <v>19967.669999999966</v>
      </c>
      <c r="G177" s="107">
        <f t="shared" si="48"/>
        <v>8534.3700000000026</v>
      </c>
      <c r="H177" s="107">
        <f t="shared" si="48"/>
        <v>10589.959999999985</v>
      </c>
      <c r="I177" s="107">
        <f t="shared" si="48"/>
        <v>31440.810000000005</v>
      </c>
      <c r="J177" s="107">
        <f t="shared" si="48"/>
        <v>20441.019999999997</v>
      </c>
      <c r="K177" s="107">
        <f t="shared" si="48"/>
        <v>40002.67</v>
      </c>
      <c r="L177" s="107">
        <f t="shared" si="48"/>
        <v>18011.050000000036</v>
      </c>
      <c r="M177" s="107">
        <f t="shared" si="48"/>
        <v>179.99999999999977</v>
      </c>
      <c r="N177" s="107">
        <v>206203.1</v>
      </c>
    </row>
    <row r="178" spans="1:14">
      <c r="A178" s="64"/>
      <c r="B178" s="22"/>
      <c r="C178" s="22"/>
      <c r="D178" s="22"/>
      <c r="E178" s="22"/>
      <c r="F178" s="22"/>
      <c r="G178" s="22"/>
      <c r="H178" s="22"/>
      <c r="I178" s="22"/>
      <c r="J178" s="22"/>
      <c r="K178" s="22"/>
      <c r="L178" s="22"/>
      <c r="M178" s="22"/>
      <c r="N178" s="22"/>
    </row>
    <row r="179" spans="1:14">
      <c r="A179" s="64" t="s">
        <v>48</v>
      </c>
      <c r="B179" s="22"/>
      <c r="C179" s="22"/>
      <c r="D179" s="22"/>
      <c r="E179" s="22"/>
      <c r="F179" s="22"/>
      <c r="G179" s="22"/>
      <c r="H179" s="22"/>
      <c r="I179" s="22"/>
      <c r="J179" s="22"/>
      <c r="K179" s="22"/>
      <c r="L179" s="22"/>
      <c r="M179" s="22"/>
      <c r="N179" s="22"/>
    </row>
    <row r="180" spans="1:14">
      <c r="A180" s="64" t="s">
        <v>130</v>
      </c>
      <c r="B180" s="107">
        <v>75</v>
      </c>
      <c r="C180" s="107">
        <v>75</v>
      </c>
      <c r="D180" s="107">
        <v>75</v>
      </c>
      <c r="E180" s="107">
        <v>75</v>
      </c>
      <c r="F180" s="107">
        <v>75</v>
      </c>
      <c r="G180" s="107">
        <v>75</v>
      </c>
      <c r="H180" s="107">
        <v>75</v>
      </c>
      <c r="I180" s="107">
        <v>75</v>
      </c>
      <c r="J180" s="107">
        <v>75</v>
      </c>
      <c r="K180" s="107">
        <v>75</v>
      </c>
      <c r="L180" s="107">
        <v>75</v>
      </c>
      <c r="M180" s="107">
        <v>75</v>
      </c>
      <c r="N180" s="107">
        <v>900</v>
      </c>
    </row>
    <row r="181" spans="1:14">
      <c r="A181" s="64" t="s">
        <v>132</v>
      </c>
      <c r="B181" s="107">
        <v>94.2</v>
      </c>
      <c r="C181" s="107">
        <v>345.96</v>
      </c>
      <c r="D181" s="107">
        <v>-30</v>
      </c>
      <c r="E181" s="107">
        <v>660.3</v>
      </c>
      <c r="F181" s="107">
        <v>83690.539999999994</v>
      </c>
      <c r="G181" s="107">
        <v>231.1</v>
      </c>
      <c r="H181" s="107"/>
      <c r="I181" s="107">
        <v>-435.45</v>
      </c>
      <c r="J181" s="107">
        <v>544.41</v>
      </c>
      <c r="K181" s="22"/>
      <c r="L181" s="107">
        <v>930.01</v>
      </c>
      <c r="M181" s="107">
        <v>143.41</v>
      </c>
      <c r="N181" s="107">
        <v>86174.48</v>
      </c>
    </row>
    <row r="182" spans="1:14">
      <c r="A182" s="64" t="s">
        <v>133</v>
      </c>
      <c r="B182" s="107">
        <v>33678</v>
      </c>
      <c r="C182" s="107">
        <v>56110</v>
      </c>
      <c r="D182" s="107">
        <v>66428</v>
      </c>
      <c r="E182" s="107">
        <v>55448</v>
      </c>
      <c r="F182" s="107">
        <v>92368</v>
      </c>
      <c r="G182" s="107">
        <v>31171</v>
      </c>
      <c r="H182" s="107">
        <v>30367</v>
      </c>
      <c r="I182" s="107">
        <v>30863</v>
      </c>
      <c r="J182" s="107">
        <v>30863</v>
      </c>
      <c r="K182" s="107">
        <v>32401</v>
      </c>
      <c r="L182" s="107">
        <v>33299</v>
      </c>
      <c r="M182" s="107">
        <v>33961</v>
      </c>
      <c r="N182" s="107">
        <v>526957</v>
      </c>
    </row>
    <row r="183" spans="1:14">
      <c r="A183" s="64" t="s">
        <v>360</v>
      </c>
      <c r="B183" s="107">
        <v>30000</v>
      </c>
      <c r="C183" s="107">
        <v>22700</v>
      </c>
      <c r="D183" s="107">
        <v>16069.9</v>
      </c>
      <c r="E183" s="107">
        <v>21900</v>
      </c>
      <c r="F183" s="107">
        <v>21500</v>
      </c>
      <c r="G183" s="107">
        <v>40511.32</v>
      </c>
      <c r="H183" s="107">
        <v>32000</v>
      </c>
      <c r="I183" s="107">
        <v>5700</v>
      </c>
      <c r="J183" s="107">
        <v>7500</v>
      </c>
      <c r="K183" s="107">
        <v>7300</v>
      </c>
      <c r="L183" s="107">
        <v>56400</v>
      </c>
      <c r="M183" s="107">
        <v>3900</v>
      </c>
      <c r="N183" s="107">
        <v>265481.21999999997</v>
      </c>
    </row>
    <row r="184" spans="1:14">
      <c r="A184" s="64" t="s">
        <v>134</v>
      </c>
      <c r="B184" s="107">
        <v>10.44</v>
      </c>
      <c r="C184" s="107">
        <v>1.24</v>
      </c>
      <c r="D184" s="22"/>
      <c r="E184" s="107">
        <v>6.12</v>
      </c>
      <c r="F184" s="107">
        <v>7.15</v>
      </c>
      <c r="G184" s="107">
        <v>2.19</v>
      </c>
      <c r="H184" s="107">
        <v>9.8000000000000007</v>
      </c>
      <c r="I184" s="22"/>
      <c r="J184" s="107">
        <v>3749.26</v>
      </c>
      <c r="K184" s="107">
        <v>6.02</v>
      </c>
      <c r="L184" s="107">
        <v>366.64</v>
      </c>
      <c r="M184" s="107">
        <v>0.15</v>
      </c>
      <c r="N184" s="107">
        <v>4159.01</v>
      </c>
    </row>
    <row r="185" spans="1:14">
      <c r="A185" s="64" t="s">
        <v>396</v>
      </c>
      <c r="B185" s="22"/>
      <c r="C185" s="22"/>
      <c r="D185" s="22"/>
      <c r="E185" s="22"/>
      <c r="F185" s="107">
        <v>408473</v>
      </c>
      <c r="G185" s="22"/>
      <c r="H185" s="22"/>
      <c r="I185" s="22"/>
      <c r="J185" s="22"/>
      <c r="K185" s="22"/>
      <c r="L185" s="22"/>
      <c r="M185" s="22"/>
      <c r="N185" s="107">
        <v>408473</v>
      </c>
    </row>
    <row r="186" spans="1:14">
      <c r="A186" s="64" t="s">
        <v>397</v>
      </c>
      <c r="B186" s="113"/>
      <c r="C186" s="113"/>
      <c r="D186" s="113"/>
      <c r="E186" s="113"/>
      <c r="F186" s="111">
        <v>-1035528</v>
      </c>
      <c r="G186" s="113"/>
      <c r="H186" s="113"/>
      <c r="I186" s="113"/>
      <c r="J186" s="113"/>
      <c r="K186" s="113"/>
      <c r="L186" s="113"/>
      <c r="M186" s="113"/>
      <c r="N186" s="111">
        <v>-1035528</v>
      </c>
    </row>
    <row r="187" spans="1:14">
      <c r="A187" s="64" t="s">
        <v>135</v>
      </c>
      <c r="B187" s="107">
        <f t="shared" ref="B187:M187" si="49">SUM(B178:B186)</f>
        <v>63857.64</v>
      </c>
      <c r="C187" s="107">
        <f t="shared" si="49"/>
        <v>79232.2</v>
      </c>
      <c r="D187" s="107">
        <f t="shared" si="49"/>
        <v>82542.899999999994</v>
      </c>
      <c r="E187" s="107">
        <f t="shared" si="49"/>
        <v>78089.42</v>
      </c>
      <c r="F187" s="107">
        <f t="shared" si="49"/>
        <v>-429414.31000000006</v>
      </c>
      <c r="G187" s="107">
        <f t="shared" si="49"/>
        <v>71990.61</v>
      </c>
      <c r="H187" s="107">
        <f t="shared" si="49"/>
        <v>62451.8</v>
      </c>
      <c r="I187" s="107">
        <f t="shared" si="49"/>
        <v>36202.550000000003</v>
      </c>
      <c r="J187" s="107">
        <f t="shared" si="49"/>
        <v>42731.670000000006</v>
      </c>
      <c r="K187" s="107">
        <f t="shared" si="49"/>
        <v>39782.019999999997</v>
      </c>
      <c r="L187" s="107">
        <f t="shared" si="49"/>
        <v>91070.650000000009</v>
      </c>
      <c r="M187" s="107">
        <f t="shared" si="49"/>
        <v>38079.560000000005</v>
      </c>
      <c r="N187" s="107">
        <v>256616.71</v>
      </c>
    </row>
    <row r="188" spans="1:14">
      <c r="A188" s="64"/>
      <c r="B188" s="22"/>
      <c r="C188" s="22"/>
      <c r="D188" s="22"/>
      <c r="E188" s="22"/>
      <c r="F188" s="22"/>
      <c r="G188" s="22"/>
      <c r="H188" s="22"/>
      <c r="I188" s="22"/>
      <c r="J188" s="22"/>
      <c r="K188" s="22"/>
      <c r="L188" s="22"/>
      <c r="M188" s="22"/>
      <c r="N188" s="22"/>
    </row>
    <row r="189" spans="1:14" ht="15.75" thickBot="1">
      <c r="A189" s="64" t="s">
        <v>13</v>
      </c>
      <c r="B189" s="112">
        <f t="shared" ref="B189:M189" si="50">SUM(B66:B188)-B68-B72-B76-B79-B83-B87-B89-B95-B99-B103-B106-B110-B114-B116-0-0-0-B154-0-B169-B175-B177-B187</f>
        <v>802414.68000000122</v>
      </c>
      <c r="C189" s="112">
        <f t="shared" si="50"/>
        <v>756427.85000000068</v>
      </c>
      <c r="D189" s="112">
        <f t="shared" si="50"/>
        <v>699021.26999999967</v>
      </c>
      <c r="E189" s="112">
        <f t="shared" si="50"/>
        <v>667786.78999999946</v>
      </c>
      <c r="F189" s="112">
        <f t="shared" si="50"/>
        <v>332630.26000000059</v>
      </c>
      <c r="G189" s="112">
        <f t="shared" si="50"/>
        <v>855660.12000000093</v>
      </c>
      <c r="H189" s="112">
        <f t="shared" si="50"/>
        <v>639268.97999999952</v>
      </c>
      <c r="I189" s="112">
        <f t="shared" si="50"/>
        <v>620246.94999999984</v>
      </c>
      <c r="J189" s="112">
        <f t="shared" si="50"/>
        <v>566175.11000000022</v>
      </c>
      <c r="K189" s="112">
        <f t="shared" si="50"/>
        <v>587084.85999999917</v>
      </c>
      <c r="L189" s="112">
        <f t="shared" si="50"/>
        <v>677660.61999999953</v>
      </c>
      <c r="M189" s="112">
        <f t="shared" si="50"/>
        <v>770768.87999999966</v>
      </c>
      <c r="N189" s="112">
        <v>7975146.3700000001</v>
      </c>
    </row>
    <row r="190" spans="1:14" ht="15.75" thickTop="1">
      <c r="A190" s="64"/>
      <c r="B190" s="22"/>
      <c r="C190" s="22"/>
      <c r="D190" s="22"/>
      <c r="E190" s="22"/>
      <c r="F190" s="22"/>
      <c r="G190" s="22"/>
      <c r="H190" s="22"/>
      <c r="I190" s="22"/>
      <c r="J190" s="22"/>
      <c r="K190" s="22"/>
      <c r="L190" s="22"/>
      <c r="M190" s="22"/>
      <c r="N190" s="22"/>
    </row>
    <row r="191" spans="1:14">
      <c r="A191" s="64"/>
      <c r="B191" s="22"/>
      <c r="C191" s="22"/>
      <c r="D191" s="22"/>
      <c r="E191" s="22"/>
      <c r="F191" s="22"/>
      <c r="G191" s="22"/>
      <c r="H191" s="22"/>
      <c r="I191" s="22"/>
      <c r="J191" s="22"/>
      <c r="K191" s="22"/>
      <c r="L191" s="22"/>
      <c r="M191" s="22"/>
      <c r="N191" s="22"/>
    </row>
    <row r="192" spans="1:14">
      <c r="A192" s="64" t="s">
        <v>14</v>
      </c>
      <c r="B192" s="22"/>
      <c r="C192" s="22"/>
      <c r="D192" s="22"/>
      <c r="E192" s="22"/>
      <c r="F192" s="22"/>
      <c r="G192" s="22"/>
      <c r="H192" s="22"/>
      <c r="I192" s="22"/>
      <c r="J192" s="22"/>
      <c r="K192" s="22"/>
      <c r="L192" s="22"/>
      <c r="M192" s="22"/>
      <c r="N192" s="22"/>
    </row>
    <row r="193" spans="1:14">
      <c r="A193" s="64"/>
      <c r="B193" s="22"/>
      <c r="C193" s="22"/>
      <c r="D193" s="22"/>
      <c r="E193" s="22"/>
      <c r="F193" s="22"/>
      <c r="G193" s="22"/>
      <c r="H193" s="22"/>
      <c r="I193" s="22"/>
      <c r="J193" s="22"/>
      <c r="K193" s="22"/>
      <c r="L193" s="22"/>
      <c r="M193" s="22"/>
      <c r="N193" s="22"/>
    </row>
    <row r="194" spans="1:14">
      <c r="A194" s="64" t="s">
        <v>136</v>
      </c>
      <c r="B194" s="22"/>
      <c r="C194" s="22"/>
      <c r="D194" s="22"/>
      <c r="E194" s="22"/>
      <c r="F194" s="22"/>
      <c r="G194" s="22"/>
      <c r="H194" s="22"/>
      <c r="I194" s="22"/>
      <c r="J194" s="22"/>
      <c r="K194" s="22"/>
      <c r="L194" s="22"/>
      <c r="M194" s="22"/>
      <c r="N194" s="22"/>
    </row>
    <row r="195" spans="1:14">
      <c r="A195" s="64" t="s">
        <v>137</v>
      </c>
      <c r="B195" s="107">
        <v>9793.9599999999991</v>
      </c>
      <c r="C195" s="107">
        <v>9035.7199999999993</v>
      </c>
      <c r="D195" s="107">
        <v>9793.9599999999991</v>
      </c>
      <c r="E195" s="107">
        <v>9478.0300000000007</v>
      </c>
      <c r="F195" s="107">
        <v>9351.66</v>
      </c>
      <c r="G195" s="107">
        <v>9379.9699999999993</v>
      </c>
      <c r="H195" s="107">
        <v>9072.16</v>
      </c>
      <c r="I195" s="107">
        <v>6996.71</v>
      </c>
      <c r="J195" s="107">
        <v>10576.43</v>
      </c>
      <c r="K195" s="107">
        <v>9632.69</v>
      </c>
      <c r="L195" s="107">
        <v>10218.450000000001</v>
      </c>
      <c r="M195" s="107">
        <v>9782.69</v>
      </c>
      <c r="N195" s="107">
        <v>113112.43</v>
      </c>
    </row>
    <row r="196" spans="1:14">
      <c r="A196" s="64" t="s">
        <v>138</v>
      </c>
      <c r="B196" s="107">
        <v>39836.19</v>
      </c>
      <c r="C196" s="107">
        <v>33729.99</v>
      </c>
      <c r="D196" s="107">
        <v>36764.85</v>
      </c>
      <c r="E196" s="107">
        <v>31607.13</v>
      </c>
      <c r="F196" s="107">
        <v>39199.81</v>
      </c>
      <c r="G196" s="107">
        <v>28256.34</v>
      </c>
      <c r="H196" s="107">
        <v>24812.14</v>
      </c>
      <c r="I196" s="107">
        <v>7205.08</v>
      </c>
      <c r="J196" s="107">
        <v>12101.27</v>
      </c>
      <c r="K196" s="107">
        <v>9101.73</v>
      </c>
      <c r="L196" s="107">
        <v>11774.97</v>
      </c>
      <c r="M196" s="107">
        <v>7826.52</v>
      </c>
      <c r="N196" s="107">
        <v>282216.02</v>
      </c>
    </row>
    <row r="197" spans="1:14">
      <c r="A197" s="64" t="s">
        <v>139</v>
      </c>
      <c r="B197" s="107">
        <v>97613.04</v>
      </c>
      <c r="C197" s="107">
        <v>99110.26</v>
      </c>
      <c r="D197" s="107">
        <v>99891.25</v>
      </c>
      <c r="E197" s="107">
        <v>93763.47</v>
      </c>
      <c r="F197" s="107">
        <v>93084.78</v>
      </c>
      <c r="G197" s="107">
        <v>94730.95</v>
      </c>
      <c r="H197" s="107">
        <v>90438.09</v>
      </c>
      <c r="I197" s="107">
        <v>92966.56</v>
      </c>
      <c r="J197" s="107">
        <v>83318.17</v>
      </c>
      <c r="K197" s="107">
        <v>79501.14</v>
      </c>
      <c r="L197" s="107">
        <v>86327.46</v>
      </c>
      <c r="M197" s="107">
        <v>87952.1</v>
      </c>
      <c r="N197" s="107">
        <v>1098697.27</v>
      </c>
    </row>
    <row r="198" spans="1:14">
      <c r="A198" s="64" t="s">
        <v>140</v>
      </c>
      <c r="B198" s="107">
        <v>633.82000000000005</v>
      </c>
      <c r="C198" s="107">
        <v>201.88</v>
      </c>
      <c r="D198" s="107">
        <v>930.86</v>
      </c>
      <c r="E198" s="107">
        <v>5147.37</v>
      </c>
      <c r="F198" s="107">
        <v>8866.99</v>
      </c>
      <c r="G198" s="107">
        <v>8239.73</v>
      </c>
      <c r="H198" s="107">
        <v>7014.33</v>
      </c>
      <c r="I198" s="107">
        <v>7763.56</v>
      </c>
      <c r="J198" s="107">
        <v>6553.91</v>
      </c>
      <c r="K198" s="107">
        <v>7688.93</v>
      </c>
      <c r="L198" s="107">
        <v>7746.23</v>
      </c>
      <c r="M198" s="107">
        <v>9579.94</v>
      </c>
      <c r="N198" s="107">
        <v>70367.55</v>
      </c>
    </row>
    <row r="199" spans="1:14">
      <c r="A199" s="64" t="s">
        <v>141</v>
      </c>
      <c r="B199" s="107">
        <v>15201.96</v>
      </c>
      <c r="C199" s="107">
        <v>15761.34</v>
      </c>
      <c r="D199" s="107">
        <v>15824.92</v>
      </c>
      <c r="E199" s="107">
        <v>13876.19</v>
      </c>
      <c r="F199" s="107">
        <v>12551.58</v>
      </c>
      <c r="G199" s="107">
        <v>7470.5</v>
      </c>
      <c r="H199" s="107">
        <v>9295.48</v>
      </c>
      <c r="I199" s="107">
        <v>8781.67</v>
      </c>
      <c r="J199" s="107">
        <v>16008.99</v>
      </c>
      <c r="K199" s="107">
        <v>15349.79</v>
      </c>
      <c r="L199" s="107">
        <v>16602.79</v>
      </c>
      <c r="M199" s="107">
        <v>18229.03</v>
      </c>
      <c r="N199" s="107">
        <v>164954.23999999999</v>
      </c>
    </row>
    <row r="200" spans="1:14">
      <c r="A200" s="64" t="s">
        <v>142</v>
      </c>
      <c r="B200" s="107">
        <v>3543.2</v>
      </c>
      <c r="C200" s="107">
        <v>3714.42</v>
      </c>
      <c r="D200" s="107">
        <v>3284.01</v>
      </c>
      <c r="E200" s="107">
        <v>3625.15</v>
      </c>
      <c r="F200" s="107">
        <v>2517.58</v>
      </c>
      <c r="G200" s="107">
        <v>2914.79</v>
      </c>
      <c r="H200" s="107">
        <v>3535.07</v>
      </c>
      <c r="I200" s="107">
        <v>3497.47</v>
      </c>
      <c r="J200" s="107">
        <v>3266.71</v>
      </c>
      <c r="K200" s="107">
        <v>2452.17</v>
      </c>
      <c r="L200" s="107">
        <v>3834.04</v>
      </c>
      <c r="M200" s="107">
        <v>3324.9</v>
      </c>
      <c r="N200" s="107">
        <v>39509.51</v>
      </c>
    </row>
    <row r="201" spans="1:14">
      <c r="A201" s="64" t="s">
        <v>143</v>
      </c>
      <c r="B201" s="107">
        <v>55700.54</v>
      </c>
      <c r="C201" s="107">
        <v>58880.71</v>
      </c>
      <c r="D201" s="107">
        <v>60794.53</v>
      </c>
      <c r="E201" s="107">
        <v>45677.97</v>
      </c>
      <c r="F201" s="107">
        <v>57549.45</v>
      </c>
      <c r="G201" s="107">
        <v>46852.05</v>
      </c>
      <c r="H201" s="107">
        <v>52168.4</v>
      </c>
      <c r="I201" s="107">
        <v>51311.75</v>
      </c>
      <c r="J201" s="107">
        <v>49758.559999999998</v>
      </c>
      <c r="K201" s="107">
        <v>46178.49</v>
      </c>
      <c r="L201" s="107">
        <v>52203.88</v>
      </c>
      <c r="M201" s="107">
        <v>61656.94</v>
      </c>
      <c r="N201" s="107">
        <v>638733.27</v>
      </c>
    </row>
    <row r="202" spans="1:14">
      <c r="A202" s="64" t="s">
        <v>144</v>
      </c>
      <c r="B202" s="107">
        <v>5737.66</v>
      </c>
      <c r="C202" s="107">
        <v>5468.6</v>
      </c>
      <c r="D202" s="107">
        <v>5909.49</v>
      </c>
      <c r="E202" s="107">
        <v>5718.86</v>
      </c>
      <c r="F202" s="107">
        <v>5375.72</v>
      </c>
      <c r="G202" s="107">
        <v>5375.73</v>
      </c>
      <c r="H202" s="107">
        <v>3812.57</v>
      </c>
      <c r="I202" s="107">
        <v>6100.11</v>
      </c>
      <c r="J202" s="107">
        <v>5718.86</v>
      </c>
      <c r="K202" s="107">
        <v>5642.61</v>
      </c>
      <c r="L202" s="107">
        <v>5985.73</v>
      </c>
      <c r="M202" s="107">
        <v>5642.61</v>
      </c>
      <c r="N202" s="107">
        <v>66488.55</v>
      </c>
    </row>
    <row r="203" spans="1:14">
      <c r="A203" s="64" t="s">
        <v>145</v>
      </c>
      <c r="B203" s="107">
        <v>4006.73</v>
      </c>
      <c r="C203" s="107">
        <v>4575.51</v>
      </c>
      <c r="D203" s="107">
        <v>4353.6499999999996</v>
      </c>
      <c r="E203" s="107">
        <v>5067.5</v>
      </c>
      <c r="F203" s="107">
        <v>5032.95</v>
      </c>
      <c r="G203" s="107">
        <v>5045.54</v>
      </c>
      <c r="H203" s="107">
        <v>4849.72</v>
      </c>
      <c r="I203" s="107">
        <v>4258.25</v>
      </c>
      <c r="J203" s="107">
        <v>4676.57</v>
      </c>
      <c r="K203" s="107">
        <v>5087.78</v>
      </c>
      <c r="L203" s="107">
        <v>4539.68</v>
      </c>
      <c r="M203" s="107">
        <v>5833.74</v>
      </c>
      <c r="N203" s="107">
        <v>57327.62</v>
      </c>
    </row>
    <row r="204" spans="1:14">
      <c r="A204" s="64" t="s">
        <v>146</v>
      </c>
      <c r="B204" s="107">
        <v>5663.45</v>
      </c>
      <c r="C204" s="107">
        <v>3660.9</v>
      </c>
      <c r="D204" s="107">
        <v>2213.77</v>
      </c>
      <c r="E204" s="107">
        <v>4323.2</v>
      </c>
      <c r="F204" s="107">
        <v>2145.27</v>
      </c>
      <c r="G204" s="107">
        <v>1556.51</v>
      </c>
      <c r="H204" s="107">
        <v>1960.75</v>
      </c>
      <c r="I204" s="107">
        <v>2314.29</v>
      </c>
      <c r="J204" s="107">
        <v>3326.69</v>
      </c>
      <c r="K204" s="107">
        <v>3611.43</v>
      </c>
      <c r="L204" s="107">
        <v>2144.54</v>
      </c>
      <c r="M204" s="107">
        <v>1545.74</v>
      </c>
      <c r="N204" s="107">
        <v>34466.54</v>
      </c>
    </row>
    <row r="205" spans="1:14">
      <c r="A205" s="64" t="s">
        <v>147</v>
      </c>
      <c r="B205" s="107">
        <v>2514.0700000000002</v>
      </c>
      <c r="C205" s="107">
        <v>2283.6799999999998</v>
      </c>
      <c r="D205" s="107">
        <v>2682.7</v>
      </c>
      <c r="E205" s="107">
        <v>2306.84</v>
      </c>
      <c r="F205" s="107">
        <v>2844.1</v>
      </c>
      <c r="G205" s="107">
        <v>1975.6</v>
      </c>
      <c r="H205" s="107">
        <v>2446.0500000000002</v>
      </c>
      <c r="I205" s="107">
        <v>2766.29</v>
      </c>
      <c r="J205" s="107">
        <v>2559.1799999999998</v>
      </c>
      <c r="K205" s="107">
        <v>2373.4499999999998</v>
      </c>
      <c r="L205" s="107">
        <v>2463.27</v>
      </c>
      <c r="M205" s="107">
        <v>2679.81</v>
      </c>
      <c r="N205" s="107">
        <v>29895.040000000001</v>
      </c>
    </row>
    <row r="206" spans="1:14">
      <c r="A206" s="64" t="s">
        <v>148</v>
      </c>
      <c r="B206" s="107">
        <v>3609.31</v>
      </c>
      <c r="C206" s="107">
        <v>3095.62</v>
      </c>
      <c r="D206" s="107">
        <v>3431.49</v>
      </c>
      <c r="E206" s="107">
        <v>3389.87</v>
      </c>
      <c r="F206" s="107">
        <v>3913.71</v>
      </c>
      <c r="G206" s="107">
        <v>2228.94</v>
      </c>
      <c r="H206" s="107">
        <v>2734.52</v>
      </c>
      <c r="I206" s="107">
        <v>3140.4</v>
      </c>
      <c r="J206" s="107">
        <v>3345.72</v>
      </c>
      <c r="K206" s="107">
        <v>3384.48</v>
      </c>
      <c r="L206" s="107">
        <v>3128.57</v>
      </c>
      <c r="M206" s="107">
        <v>3674.57</v>
      </c>
      <c r="N206" s="107">
        <v>39077.199999999997</v>
      </c>
    </row>
    <row r="207" spans="1:14">
      <c r="A207" s="64" t="s">
        <v>283</v>
      </c>
      <c r="B207" s="107">
        <v>981.94</v>
      </c>
      <c r="C207" s="107">
        <v>676.98</v>
      </c>
      <c r="D207" s="107">
        <v>535.95000000000005</v>
      </c>
      <c r="E207" s="107">
        <v>1063.79</v>
      </c>
      <c r="F207" s="107">
        <v>845.47</v>
      </c>
      <c r="G207" s="107">
        <v>-241.59</v>
      </c>
      <c r="H207" s="107">
        <v>537.26</v>
      </c>
      <c r="I207" s="107">
        <v>885.33</v>
      </c>
      <c r="J207" s="107">
        <v>2271.94</v>
      </c>
      <c r="K207" s="107">
        <v>1359.23</v>
      </c>
      <c r="L207" s="107">
        <v>4184.1000000000004</v>
      </c>
      <c r="M207" s="107">
        <v>3466.83</v>
      </c>
      <c r="N207" s="107">
        <v>16567.23</v>
      </c>
    </row>
    <row r="208" spans="1:14">
      <c r="A208" s="64" t="s">
        <v>153</v>
      </c>
      <c r="B208" s="107">
        <v>5726.13</v>
      </c>
      <c r="C208" s="107">
        <v>4734.1099999999997</v>
      </c>
      <c r="D208" s="107">
        <v>4284.6899999999996</v>
      </c>
      <c r="E208" s="107">
        <v>4685.6400000000003</v>
      </c>
      <c r="F208" s="107">
        <v>6361.34</v>
      </c>
      <c r="G208" s="107">
        <v>4562.6899999999996</v>
      </c>
      <c r="H208" s="107">
        <v>4885.9799999999996</v>
      </c>
      <c r="I208" s="107">
        <v>4651.0200000000004</v>
      </c>
      <c r="J208" s="107">
        <v>5015.5200000000004</v>
      </c>
      <c r="K208" s="107">
        <v>3802.84</v>
      </c>
      <c r="L208" s="107">
        <v>4306.3999999999996</v>
      </c>
      <c r="M208" s="107">
        <v>5613</v>
      </c>
      <c r="N208" s="107">
        <v>58629.36</v>
      </c>
    </row>
    <row r="209" spans="1:14">
      <c r="A209" s="64" t="s">
        <v>154</v>
      </c>
      <c r="B209" s="107">
        <v>9793.9599999999991</v>
      </c>
      <c r="C209" s="107">
        <v>9035.7199999999993</v>
      </c>
      <c r="D209" s="107">
        <v>9793.9599999999991</v>
      </c>
      <c r="E209" s="107">
        <v>9478.0300000000007</v>
      </c>
      <c r="F209" s="107">
        <v>9351.66</v>
      </c>
      <c r="G209" s="107">
        <v>9379.9699999999993</v>
      </c>
      <c r="H209" s="107">
        <v>9072.16</v>
      </c>
      <c r="I209" s="107">
        <v>10088.280000000001</v>
      </c>
      <c r="J209" s="107">
        <v>9762.86</v>
      </c>
      <c r="K209" s="107">
        <v>9632.69</v>
      </c>
      <c r="L209" s="107">
        <v>10218.450000000001</v>
      </c>
      <c r="M209" s="107">
        <v>4751.26</v>
      </c>
      <c r="N209" s="107">
        <v>110359</v>
      </c>
    </row>
    <row r="210" spans="1:14">
      <c r="A210" s="64" t="s">
        <v>155</v>
      </c>
      <c r="B210" s="111">
        <v>20181.12</v>
      </c>
      <c r="C210" s="111">
        <v>19482.43</v>
      </c>
      <c r="D210" s="111">
        <v>19318.45</v>
      </c>
      <c r="E210" s="111">
        <v>20339.43</v>
      </c>
      <c r="F210" s="111">
        <v>20843.46</v>
      </c>
      <c r="G210" s="111">
        <v>19510.41</v>
      </c>
      <c r="H210" s="111">
        <v>18507.54</v>
      </c>
      <c r="I210" s="111">
        <v>20869.580000000002</v>
      </c>
      <c r="J210" s="111">
        <v>18320.28</v>
      </c>
      <c r="K210" s="111">
        <v>21276.27</v>
      </c>
      <c r="L210" s="111">
        <v>21403.32</v>
      </c>
      <c r="M210" s="111">
        <v>20987.91</v>
      </c>
      <c r="N210" s="111">
        <v>241040.2</v>
      </c>
    </row>
    <row r="211" spans="1:14">
      <c r="A211" s="64" t="s">
        <v>156</v>
      </c>
      <c r="B211" s="107">
        <f t="shared" ref="B211:M211" si="51">SUM(B190:B210)</f>
        <v>280537.08000000007</v>
      </c>
      <c r="C211" s="107">
        <f t="shared" si="51"/>
        <v>273447.87</v>
      </c>
      <c r="D211" s="107">
        <f t="shared" si="51"/>
        <v>279808.52999999997</v>
      </c>
      <c r="E211" s="107">
        <f t="shared" si="51"/>
        <v>259548.47</v>
      </c>
      <c r="F211" s="107">
        <f t="shared" si="51"/>
        <v>279835.52999999997</v>
      </c>
      <c r="G211" s="107">
        <f t="shared" si="51"/>
        <v>247238.13000000006</v>
      </c>
      <c r="H211" s="107">
        <f t="shared" si="51"/>
        <v>245142.22000000003</v>
      </c>
      <c r="I211" s="107">
        <f t="shared" si="51"/>
        <v>233596.34999999998</v>
      </c>
      <c r="J211" s="107">
        <f t="shared" si="51"/>
        <v>236581.66</v>
      </c>
      <c r="K211" s="107">
        <f t="shared" si="51"/>
        <v>226075.72</v>
      </c>
      <c r="L211" s="107">
        <f t="shared" si="51"/>
        <v>247081.88000000003</v>
      </c>
      <c r="M211" s="107">
        <f t="shared" si="51"/>
        <v>252547.58999999997</v>
      </c>
      <c r="N211" s="107">
        <v>3061441.03</v>
      </c>
    </row>
    <row r="212" spans="1:14">
      <c r="A212" s="64"/>
      <c r="B212" s="22"/>
      <c r="C212" s="22"/>
      <c r="D212" s="22"/>
      <c r="E212" s="22"/>
      <c r="F212" s="22"/>
      <c r="G212" s="22"/>
      <c r="H212" s="22"/>
      <c r="I212" s="22"/>
      <c r="J212" s="22"/>
      <c r="K212" s="22"/>
      <c r="L212" s="22"/>
      <c r="M212" s="22"/>
      <c r="N212" s="22"/>
    </row>
    <row r="213" spans="1:14">
      <c r="A213" s="64"/>
      <c r="B213" s="22"/>
      <c r="C213" s="22"/>
      <c r="D213" s="22"/>
      <c r="E213" s="22"/>
      <c r="F213" s="22"/>
      <c r="G213" s="22"/>
      <c r="H213" s="22"/>
      <c r="I213" s="22"/>
      <c r="J213" s="22"/>
      <c r="K213" s="22"/>
      <c r="L213" s="22"/>
      <c r="M213" s="22"/>
      <c r="N213" s="22"/>
    </row>
    <row r="214" spans="1:14">
      <c r="A214" s="64" t="s">
        <v>157</v>
      </c>
      <c r="B214" s="22"/>
      <c r="C214" s="22"/>
      <c r="D214" s="22"/>
      <c r="E214" s="22"/>
      <c r="F214" s="22"/>
      <c r="G214" s="22"/>
      <c r="H214" s="22"/>
      <c r="I214" s="22"/>
      <c r="J214" s="22"/>
      <c r="K214" s="22"/>
      <c r="L214" s="22"/>
      <c r="M214" s="22"/>
      <c r="N214" s="22"/>
    </row>
    <row r="215" spans="1:14">
      <c r="A215" s="64" t="s">
        <v>159</v>
      </c>
      <c r="B215" s="107"/>
      <c r="C215" s="22"/>
      <c r="D215" s="22"/>
      <c r="E215" s="22"/>
      <c r="F215" s="107">
        <v>-2011.8</v>
      </c>
      <c r="G215" s="22"/>
      <c r="H215" s="22"/>
      <c r="I215" s="22"/>
      <c r="J215" s="22"/>
      <c r="K215" s="22"/>
      <c r="L215" s="22"/>
      <c r="M215" s="22"/>
      <c r="N215" s="107">
        <v>-2011.8</v>
      </c>
    </row>
    <row r="216" spans="1:14">
      <c r="A216" s="64" t="s">
        <v>161</v>
      </c>
      <c r="B216" s="113"/>
      <c r="C216" s="111">
        <v>214.21</v>
      </c>
      <c r="D216" s="113"/>
      <c r="E216" s="113"/>
      <c r="F216" s="111">
        <v>-214.21</v>
      </c>
      <c r="G216" s="113"/>
      <c r="H216" s="113"/>
      <c r="I216" s="113"/>
      <c r="J216" s="113"/>
      <c r="K216" s="113"/>
      <c r="L216" s="113"/>
      <c r="M216" s="113"/>
      <c r="N216" s="111"/>
    </row>
    <row r="217" spans="1:14">
      <c r="A217" s="64" t="s">
        <v>162</v>
      </c>
      <c r="B217" s="107"/>
      <c r="C217" s="107">
        <f>SUM(C212:C216)</f>
        <v>214.21</v>
      </c>
      <c r="D217" s="107"/>
      <c r="E217" s="107"/>
      <c r="F217" s="107">
        <f>SUM(F212:F216)</f>
        <v>-2226.0099999999998</v>
      </c>
      <c r="G217" s="107"/>
      <c r="H217" s="107"/>
      <c r="I217" s="107"/>
      <c r="J217" s="107"/>
      <c r="K217" s="107"/>
      <c r="L217" s="107"/>
      <c r="M217" s="107"/>
      <c r="N217" s="107">
        <v>-2011.8</v>
      </c>
    </row>
    <row r="218" spans="1:14">
      <c r="A218" s="64"/>
      <c r="B218" s="22"/>
      <c r="C218" s="22"/>
      <c r="D218" s="22"/>
      <c r="E218" s="22"/>
      <c r="F218" s="22"/>
      <c r="G218" s="22"/>
      <c r="H218" s="22"/>
      <c r="I218" s="22"/>
      <c r="J218" s="22"/>
      <c r="K218" s="22"/>
      <c r="L218" s="22"/>
      <c r="M218" s="22"/>
      <c r="N218" s="22"/>
    </row>
    <row r="219" spans="1:14">
      <c r="A219" s="64" t="s">
        <v>163</v>
      </c>
      <c r="B219" s="22"/>
      <c r="C219" s="22"/>
      <c r="D219" s="22"/>
      <c r="E219" s="22"/>
      <c r="F219" s="22"/>
      <c r="G219" s="22"/>
      <c r="H219" s="22"/>
      <c r="I219" s="22"/>
      <c r="J219" s="22"/>
      <c r="K219" s="22"/>
      <c r="L219" s="22"/>
      <c r="M219" s="22"/>
      <c r="N219" s="22"/>
    </row>
    <row r="220" spans="1:14">
      <c r="A220" s="64" t="s">
        <v>164</v>
      </c>
      <c r="B220" s="107">
        <v>25039.61</v>
      </c>
      <c r="C220" s="107">
        <v>23182.28</v>
      </c>
      <c r="D220" s="107">
        <v>22937.39</v>
      </c>
      <c r="E220" s="107">
        <v>20944.59</v>
      </c>
      <c r="F220" s="107">
        <v>23843.5</v>
      </c>
      <c r="G220" s="107">
        <v>23453.98</v>
      </c>
      <c r="H220" s="107">
        <v>20680.97</v>
      </c>
      <c r="I220" s="107">
        <v>19306.57</v>
      </c>
      <c r="J220" s="107">
        <v>18176.57</v>
      </c>
      <c r="K220" s="107">
        <v>18389.46</v>
      </c>
      <c r="L220" s="107">
        <v>18673.740000000002</v>
      </c>
      <c r="M220" s="107">
        <v>20464.5</v>
      </c>
      <c r="N220" s="107">
        <v>255093.16</v>
      </c>
    </row>
    <row r="221" spans="1:14">
      <c r="A221" s="64" t="s">
        <v>165</v>
      </c>
      <c r="B221" s="107">
        <v>1196.28</v>
      </c>
      <c r="C221" s="107">
        <v>1186.32</v>
      </c>
      <c r="D221" s="107">
        <v>1030.1600000000001</v>
      </c>
      <c r="E221" s="107">
        <v>571.1</v>
      </c>
      <c r="F221" s="107">
        <v>571.5</v>
      </c>
      <c r="G221" s="107">
        <v>6528.72</v>
      </c>
      <c r="H221" s="107">
        <v>2343.81</v>
      </c>
      <c r="I221" s="107">
        <v>4520.93</v>
      </c>
      <c r="J221" s="107">
        <v>-748.86</v>
      </c>
      <c r="K221" s="107">
        <v>812.51</v>
      </c>
      <c r="L221" s="107">
        <v>1055.5899999999999</v>
      </c>
      <c r="M221" s="107">
        <v>1136.17</v>
      </c>
      <c r="N221" s="107">
        <v>20204.23</v>
      </c>
    </row>
    <row r="222" spans="1:14">
      <c r="A222" s="64" t="s">
        <v>166</v>
      </c>
      <c r="B222" s="107">
        <v>3015.61</v>
      </c>
      <c r="C222" s="107">
        <v>3918.01</v>
      </c>
      <c r="D222" s="107">
        <v>3384.6</v>
      </c>
      <c r="E222" s="107">
        <v>2897.11</v>
      </c>
      <c r="F222" s="107">
        <v>2804.74</v>
      </c>
      <c r="G222" s="107">
        <v>2306.48</v>
      </c>
      <c r="H222" s="107">
        <v>2253.7399999999998</v>
      </c>
      <c r="I222" s="107">
        <v>2876.91</v>
      </c>
      <c r="J222" s="107">
        <v>2592.9499999999998</v>
      </c>
      <c r="K222" s="107">
        <v>3209.63</v>
      </c>
      <c r="L222" s="107">
        <v>2003.71</v>
      </c>
      <c r="M222" s="107">
        <v>4163.29</v>
      </c>
      <c r="N222" s="107">
        <v>35426.78</v>
      </c>
    </row>
    <row r="223" spans="1:14">
      <c r="A223" s="64" t="s">
        <v>167</v>
      </c>
      <c r="B223" s="107">
        <v>4106.1899999999996</v>
      </c>
      <c r="C223" s="107">
        <v>472.61</v>
      </c>
      <c r="D223" s="107">
        <v>3949.42</v>
      </c>
      <c r="E223" s="107">
        <v>93.17</v>
      </c>
      <c r="F223" s="107">
        <v>4334.3999999999996</v>
      </c>
      <c r="G223" s="107">
        <v>846.64</v>
      </c>
      <c r="H223" s="107">
        <v>2955.11</v>
      </c>
      <c r="I223" s="107">
        <v>7569.73</v>
      </c>
      <c r="J223" s="107">
        <v>114.56</v>
      </c>
      <c r="K223" s="107">
        <v>1898.46</v>
      </c>
      <c r="L223" s="107">
        <v>1403.49</v>
      </c>
      <c r="M223" s="107">
        <v>6022.53</v>
      </c>
      <c r="N223" s="107">
        <v>33766.31</v>
      </c>
    </row>
    <row r="224" spans="1:14">
      <c r="A224" s="64" t="s">
        <v>168</v>
      </c>
      <c r="B224" s="22"/>
      <c r="C224" s="107">
        <v>8206.52</v>
      </c>
      <c r="D224" s="22"/>
      <c r="E224" s="107">
        <v>7044.22</v>
      </c>
      <c r="F224" s="107">
        <v>8841.23</v>
      </c>
      <c r="G224" s="107">
        <v>7929.77</v>
      </c>
      <c r="H224" s="22"/>
      <c r="I224" s="22"/>
      <c r="J224" s="22"/>
      <c r="K224" s="107">
        <v>10745.26</v>
      </c>
      <c r="L224" s="107">
        <v>-6218.11</v>
      </c>
      <c r="M224" s="107">
        <v>7356.2</v>
      </c>
      <c r="N224" s="107">
        <v>43905.09</v>
      </c>
    </row>
    <row r="225" spans="1:14">
      <c r="A225" s="64" t="s">
        <v>169</v>
      </c>
      <c r="B225" s="107">
        <v>1704.85</v>
      </c>
      <c r="C225" s="107">
        <v>471.09</v>
      </c>
      <c r="D225" s="107">
        <v>1287.8399999999999</v>
      </c>
      <c r="E225" s="107">
        <v>2506.21</v>
      </c>
      <c r="F225" s="107">
        <v>3115.43</v>
      </c>
      <c r="G225" s="107">
        <v>-173.66</v>
      </c>
      <c r="H225" s="22"/>
      <c r="I225" s="107">
        <v>546</v>
      </c>
      <c r="J225" s="107">
        <v>710.1</v>
      </c>
      <c r="K225" s="107">
        <v>5.3</v>
      </c>
      <c r="L225" s="107">
        <v>1455.17</v>
      </c>
      <c r="M225" s="107">
        <v>914.73</v>
      </c>
      <c r="N225" s="107">
        <v>12543.06</v>
      </c>
    </row>
    <row r="226" spans="1:14">
      <c r="A226" s="64" t="s">
        <v>171</v>
      </c>
      <c r="B226" s="111">
        <v>16408.7</v>
      </c>
      <c r="C226" s="111">
        <v>445.12</v>
      </c>
      <c r="D226" s="111">
        <v>1459.65</v>
      </c>
      <c r="E226" s="111">
        <v>1182.6099999999999</v>
      </c>
      <c r="F226" s="111">
        <v>3816.52</v>
      </c>
      <c r="G226" s="111">
        <v>7067.37</v>
      </c>
      <c r="H226" s="111">
        <v>4328.58</v>
      </c>
      <c r="I226" s="111">
        <v>10426.799999999999</v>
      </c>
      <c r="J226" s="111">
        <v>1356.25</v>
      </c>
      <c r="K226" s="111">
        <v>330.28</v>
      </c>
      <c r="L226" s="111">
        <v>786.39</v>
      </c>
      <c r="M226" s="111">
        <v>3411.69</v>
      </c>
      <c r="N226" s="111">
        <v>51019.96</v>
      </c>
    </row>
    <row r="227" spans="1:14">
      <c r="A227" s="64" t="s">
        <v>16</v>
      </c>
      <c r="B227" s="107">
        <f t="shared" ref="B227:M227" si="52">SUM(B218:B226)</f>
        <v>51471.240000000005</v>
      </c>
      <c r="C227" s="107">
        <f t="shared" si="52"/>
        <v>37881.950000000004</v>
      </c>
      <c r="D227" s="107">
        <f t="shared" si="52"/>
        <v>34049.06</v>
      </c>
      <c r="E227" s="107">
        <f t="shared" si="52"/>
        <v>35239.01</v>
      </c>
      <c r="F227" s="107">
        <f t="shared" si="52"/>
        <v>47327.319999999992</v>
      </c>
      <c r="G227" s="107">
        <f t="shared" si="52"/>
        <v>47959.299999999996</v>
      </c>
      <c r="H227" s="107">
        <f t="shared" si="52"/>
        <v>32562.210000000006</v>
      </c>
      <c r="I227" s="107">
        <f t="shared" si="52"/>
        <v>45246.94</v>
      </c>
      <c r="J227" s="107">
        <f t="shared" si="52"/>
        <v>22201.57</v>
      </c>
      <c r="K227" s="107">
        <f t="shared" si="52"/>
        <v>35390.9</v>
      </c>
      <c r="L227" s="107">
        <f t="shared" si="52"/>
        <v>19159.980000000003</v>
      </c>
      <c r="M227" s="107">
        <f t="shared" si="52"/>
        <v>43469.11</v>
      </c>
      <c r="N227" s="107">
        <v>451958.59</v>
      </c>
    </row>
    <row r="228" spans="1:14">
      <c r="A228" s="64"/>
      <c r="B228" s="22"/>
      <c r="C228" s="22"/>
      <c r="D228" s="22"/>
      <c r="E228" s="22"/>
      <c r="F228" s="22"/>
      <c r="G228" s="22"/>
      <c r="H228" s="22"/>
      <c r="I228" s="22"/>
      <c r="J228" s="22"/>
      <c r="K228" s="22"/>
      <c r="L228" s="22"/>
      <c r="M228" s="22"/>
      <c r="N228" s="22"/>
    </row>
    <row r="229" spans="1:14">
      <c r="A229" s="64" t="s">
        <v>17</v>
      </c>
      <c r="B229" s="22"/>
      <c r="C229" s="22"/>
      <c r="D229" s="22"/>
      <c r="E229" s="22"/>
      <c r="F229" s="22"/>
      <c r="G229" s="22"/>
      <c r="H229" s="22"/>
      <c r="I229" s="22"/>
      <c r="J229" s="22"/>
      <c r="K229" s="22"/>
      <c r="L229" s="22"/>
      <c r="M229" s="22"/>
      <c r="N229" s="22"/>
    </row>
    <row r="230" spans="1:14">
      <c r="A230" s="64" t="s">
        <v>172</v>
      </c>
      <c r="B230" s="107">
        <v>7673.07</v>
      </c>
      <c r="C230" s="107">
        <v>12644.71</v>
      </c>
      <c r="D230" s="107">
        <v>18006.38</v>
      </c>
      <c r="E230" s="107">
        <v>20991.29</v>
      </c>
      <c r="F230" s="107">
        <v>22194.98</v>
      </c>
      <c r="G230" s="107">
        <v>22757.06</v>
      </c>
      <c r="H230" s="107">
        <v>9312.68</v>
      </c>
      <c r="I230" s="107">
        <v>16057.11</v>
      </c>
      <c r="J230" s="107">
        <v>16060.61</v>
      </c>
      <c r="K230" s="107">
        <v>38766.65</v>
      </c>
      <c r="L230" s="107">
        <v>17900</v>
      </c>
      <c r="M230" s="107">
        <v>35624.879999999997</v>
      </c>
      <c r="N230" s="107">
        <v>237989.42</v>
      </c>
    </row>
    <row r="231" spans="1:14">
      <c r="A231" s="64" t="s">
        <v>173</v>
      </c>
      <c r="B231" s="107">
        <v>21542.23</v>
      </c>
      <c r="C231" s="107">
        <v>32086.63</v>
      </c>
      <c r="D231" s="107">
        <v>23799.34</v>
      </c>
      <c r="E231" s="107">
        <v>21774.959999999999</v>
      </c>
      <c r="F231" s="107">
        <v>25311.13</v>
      </c>
      <c r="G231" s="107">
        <v>34556.589999999997</v>
      </c>
      <c r="H231" s="107">
        <v>24767.18</v>
      </c>
      <c r="I231" s="107">
        <v>25065.81</v>
      </c>
      <c r="J231" s="107">
        <v>22873.52</v>
      </c>
      <c r="K231" s="107">
        <v>24290.52</v>
      </c>
      <c r="L231" s="107">
        <v>17949.599999999999</v>
      </c>
      <c r="M231" s="107">
        <v>25030</v>
      </c>
      <c r="N231" s="107">
        <v>299047.51</v>
      </c>
    </row>
    <row r="232" spans="1:14">
      <c r="A232" s="64" t="s">
        <v>174</v>
      </c>
      <c r="B232" s="107">
        <v>20475.7</v>
      </c>
      <c r="C232" s="107">
        <v>26411.48</v>
      </c>
      <c r="D232" s="107">
        <v>17887.11</v>
      </c>
      <c r="E232" s="107">
        <v>19545.080000000002</v>
      </c>
      <c r="F232" s="107">
        <v>26191.919999999998</v>
      </c>
      <c r="G232" s="107">
        <v>30533.51</v>
      </c>
      <c r="H232" s="107">
        <v>24262.28</v>
      </c>
      <c r="I232" s="107">
        <v>20900</v>
      </c>
      <c r="J232" s="107">
        <v>20060.919999999998</v>
      </c>
      <c r="K232" s="107">
        <v>21715.52</v>
      </c>
      <c r="L232" s="107">
        <v>21013.88</v>
      </c>
      <c r="M232" s="107">
        <v>19802.73</v>
      </c>
      <c r="N232" s="107">
        <v>268800.13</v>
      </c>
    </row>
    <row r="233" spans="1:14">
      <c r="A233" s="64" t="s">
        <v>175</v>
      </c>
      <c r="B233" s="107">
        <v>8373.4</v>
      </c>
      <c r="C233" s="107">
        <v>8967.75</v>
      </c>
      <c r="D233" s="107">
        <v>7168.24</v>
      </c>
      <c r="E233" s="107">
        <v>7796.46</v>
      </c>
      <c r="F233" s="107">
        <v>7396.16</v>
      </c>
      <c r="G233" s="107">
        <v>7982.84</v>
      </c>
      <c r="H233" s="107">
        <v>9087.86</v>
      </c>
      <c r="I233" s="107">
        <v>9200</v>
      </c>
      <c r="J233" s="107">
        <v>9279.6</v>
      </c>
      <c r="K233" s="107">
        <v>9190.5300000000007</v>
      </c>
      <c r="L233" s="107">
        <v>10339.48</v>
      </c>
      <c r="M233" s="107">
        <v>8670.93</v>
      </c>
      <c r="N233" s="107">
        <v>103453.25</v>
      </c>
    </row>
    <row r="234" spans="1:14">
      <c r="A234" s="64" t="s">
        <v>176</v>
      </c>
      <c r="B234" s="22"/>
      <c r="C234" s="107">
        <v>107.71</v>
      </c>
      <c r="D234" s="107">
        <v>215.42</v>
      </c>
      <c r="E234" s="107">
        <v>107.71</v>
      </c>
      <c r="F234" s="107">
        <v>107.71</v>
      </c>
      <c r="G234" s="22"/>
      <c r="H234" s="107">
        <v>273.02</v>
      </c>
      <c r="I234" s="107">
        <v>107.71</v>
      </c>
      <c r="J234" s="107">
        <v>107.71</v>
      </c>
      <c r="K234" s="107">
        <v>107.71</v>
      </c>
      <c r="L234" s="107">
        <v>215.42</v>
      </c>
      <c r="M234" s="107">
        <v>113.1</v>
      </c>
      <c r="N234" s="107">
        <v>1463.22</v>
      </c>
    </row>
    <row r="235" spans="1:14">
      <c r="A235" s="64" t="s">
        <v>177</v>
      </c>
      <c r="B235" s="107">
        <v>490.59</v>
      </c>
      <c r="C235" s="107">
        <v>2581.46</v>
      </c>
      <c r="D235" s="107">
        <v>2923.44</v>
      </c>
      <c r="E235" s="107">
        <v>3554.16</v>
      </c>
      <c r="F235" s="107">
        <v>1823.33</v>
      </c>
      <c r="G235" s="107">
        <v>3797.51</v>
      </c>
      <c r="H235" s="107">
        <v>905.98</v>
      </c>
      <c r="I235" s="107">
        <v>3721.15</v>
      </c>
      <c r="J235" s="107">
        <v>3715.66</v>
      </c>
      <c r="K235" s="107">
        <v>5888.96</v>
      </c>
      <c r="L235" s="107">
        <v>5272.4</v>
      </c>
      <c r="M235" s="107">
        <v>1349.91</v>
      </c>
      <c r="N235" s="107">
        <v>36024.550000000003</v>
      </c>
    </row>
    <row r="236" spans="1:14">
      <c r="A236" s="64" t="s">
        <v>178</v>
      </c>
      <c r="B236" s="107">
        <v>1882.82</v>
      </c>
      <c r="C236" s="107">
        <v>739.06</v>
      </c>
      <c r="D236" s="107">
        <v>280</v>
      </c>
      <c r="E236" s="107">
        <v>2827.88</v>
      </c>
      <c r="F236" s="22"/>
      <c r="G236" s="107">
        <v>1470</v>
      </c>
      <c r="H236" s="107">
        <v>3451.12</v>
      </c>
      <c r="I236" s="107">
        <v>1000</v>
      </c>
      <c r="J236" s="107">
        <v>483.04</v>
      </c>
      <c r="K236" s="107">
        <v>890</v>
      </c>
      <c r="L236" s="107">
        <v>415.64</v>
      </c>
      <c r="M236" s="107">
        <v>2023.19</v>
      </c>
      <c r="N236" s="107">
        <v>15462.75</v>
      </c>
    </row>
    <row r="237" spans="1:14">
      <c r="A237" s="64" t="s">
        <v>179</v>
      </c>
      <c r="B237" s="107">
        <v>5856.36</v>
      </c>
      <c r="C237" s="107">
        <v>2677.22</v>
      </c>
      <c r="D237" s="107">
        <v>2937.47</v>
      </c>
      <c r="E237" s="107">
        <v>3565.24</v>
      </c>
      <c r="F237" s="107">
        <v>6723.04</v>
      </c>
      <c r="G237" s="107">
        <v>6316.25</v>
      </c>
      <c r="H237" s="107">
        <v>4456.68</v>
      </c>
      <c r="I237" s="107">
        <v>2842.1</v>
      </c>
      <c r="J237" s="107">
        <v>3112.09</v>
      </c>
      <c r="K237" s="107">
        <v>2457.65</v>
      </c>
      <c r="L237" s="107">
        <v>3333.89</v>
      </c>
      <c r="M237" s="107">
        <v>5184.8599999999997</v>
      </c>
      <c r="N237" s="107">
        <v>49462.85</v>
      </c>
    </row>
    <row r="238" spans="1:14">
      <c r="A238" s="64" t="s">
        <v>180</v>
      </c>
      <c r="B238" s="107">
        <v>2463.29</v>
      </c>
      <c r="C238" s="107">
        <v>2470.39</v>
      </c>
      <c r="D238" s="107">
        <v>1405.09</v>
      </c>
      <c r="E238" s="107">
        <v>1108.03</v>
      </c>
      <c r="F238" s="107">
        <v>1731.21</v>
      </c>
      <c r="G238" s="107">
        <v>1147.97</v>
      </c>
      <c r="H238" s="107">
        <v>1508.35</v>
      </c>
      <c r="I238" s="107">
        <v>1406.44</v>
      </c>
      <c r="J238" s="107">
        <v>1112.6400000000001</v>
      </c>
      <c r="K238" s="107">
        <v>967.29</v>
      </c>
      <c r="L238" s="107">
        <v>1674.54</v>
      </c>
      <c r="M238" s="107">
        <v>1722.96</v>
      </c>
      <c r="N238" s="107">
        <v>18718.2</v>
      </c>
    </row>
    <row r="239" spans="1:14">
      <c r="A239" s="64" t="s">
        <v>181</v>
      </c>
      <c r="B239" s="107">
        <v>2398.52</v>
      </c>
      <c r="C239" s="107">
        <v>1673.32</v>
      </c>
      <c r="D239" s="107">
        <v>2339.23</v>
      </c>
      <c r="E239" s="107">
        <v>1378.73</v>
      </c>
      <c r="F239" s="107">
        <v>2901.29</v>
      </c>
      <c r="G239" s="107">
        <v>2718.47</v>
      </c>
      <c r="H239" s="107">
        <v>2079.9499999999998</v>
      </c>
      <c r="I239" s="107">
        <v>1940.01</v>
      </c>
      <c r="J239" s="107">
        <v>1580.12</v>
      </c>
      <c r="K239" s="107">
        <v>1725.27</v>
      </c>
      <c r="L239" s="107">
        <v>2237.84</v>
      </c>
      <c r="M239" s="107">
        <v>2373.1799999999998</v>
      </c>
      <c r="N239" s="107">
        <v>25345.93</v>
      </c>
    </row>
    <row r="240" spans="1:14">
      <c r="A240" s="64" t="s">
        <v>182</v>
      </c>
      <c r="B240" s="107">
        <v>96.14</v>
      </c>
      <c r="C240" s="107">
        <v>742.69</v>
      </c>
      <c r="D240" s="107">
        <v>660.83</v>
      </c>
      <c r="E240" s="107">
        <v>286.44</v>
      </c>
      <c r="F240" s="107">
        <v>898.93</v>
      </c>
      <c r="G240" s="107">
        <v>374.64</v>
      </c>
      <c r="H240" s="107">
        <v>387.22</v>
      </c>
      <c r="I240" s="107">
        <v>453.71</v>
      </c>
      <c r="J240" s="107">
        <v>334.1</v>
      </c>
      <c r="K240" s="107">
        <v>895.75</v>
      </c>
      <c r="L240" s="107">
        <v>798.88</v>
      </c>
      <c r="M240" s="107">
        <v>985.21</v>
      </c>
      <c r="N240" s="107">
        <v>6914.54</v>
      </c>
    </row>
    <row r="241" spans="1:14">
      <c r="A241" s="64" t="s">
        <v>183</v>
      </c>
      <c r="B241" s="107">
        <v>363.98</v>
      </c>
      <c r="C241" s="107">
        <v>597.89</v>
      </c>
      <c r="D241" s="107">
        <v>737.39</v>
      </c>
      <c r="E241" s="107">
        <v>269.79000000000002</v>
      </c>
      <c r="F241" s="107">
        <v>881.35</v>
      </c>
      <c r="G241" s="107">
        <v>391.96</v>
      </c>
      <c r="H241" s="107">
        <v>494.98</v>
      </c>
      <c r="I241" s="107">
        <v>469.95</v>
      </c>
      <c r="J241" s="107">
        <v>1063.94</v>
      </c>
      <c r="K241" s="107">
        <v>454.46</v>
      </c>
      <c r="L241" s="107">
        <v>563.88</v>
      </c>
      <c r="M241" s="107">
        <v>346.77</v>
      </c>
      <c r="N241" s="107">
        <v>6636.34</v>
      </c>
    </row>
    <row r="242" spans="1:14">
      <c r="A242" s="64" t="s">
        <v>184</v>
      </c>
      <c r="B242" s="111">
        <v>70.36</v>
      </c>
      <c r="C242" s="111">
        <v>1098.74</v>
      </c>
      <c r="D242" s="111">
        <v>1242.17</v>
      </c>
      <c r="E242" s="111">
        <v>1669</v>
      </c>
      <c r="F242" s="111"/>
      <c r="G242" s="111">
        <v>757.75</v>
      </c>
      <c r="H242" s="111">
        <v>265.20999999999998</v>
      </c>
      <c r="I242" s="111">
        <v>2086.83</v>
      </c>
      <c r="J242" s="111">
        <v>2185.08</v>
      </c>
      <c r="K242" s="111">
        <v>1162.8399999999999</v>
      </c>
      <c r="L242" s="111">
        <v>-321.17</v>
      </c>
      <c r="M242" s="111">
        <v>618.11</v>
      </c>
      <c r="N242" s="111">
        <v>10834.92</v>
      </c>
    </row>
    <row r="243" spans="1:14">
      <c r="A243" s="64" t="s">
        <v>185</v>
      </c>
      <c r="B243" s="107">
        <f t="shared" ref="B243:M243" si="53">SUM(B228:B242)</f>
        <v>71686.459999999992</v>
      </c>
      <c r="C243" s="107">
        <f t="shared" si="53"/>
        <v>92799.050000000017</v>
      </c>
      <c r="D243" s="107">
        <f t="shared" si="53"/>
        <v>79602.11</v>
      </c>
      <c r="E243" s="107">
        <f t="shared" si="53"/>
        <v>84874.770000000019</v>
      </c>
      <c r="F243" s="107">
        <f t="shared" si="53"/>
        <v>96161.05</v>
      </c>
      <c r="G243" s="107">
        <f t="shared" si="53"/>
        <v>112804.54999999999</v>
      </c>
      <c r="H243" s="107">
        <f t="shared" si="53"/>
        <v>81252.509999999995</v>
      </c>
      <c r="I243" s="107">
        <f t="shared" si="53"/>
        <v>85250.82</v>
      </c>
      <c r="J243" s="107">
        <f t="shared" si="53"/>
        <v>81969.030000000013</v>
      </c>
      <c r="K243" s="107">
        <f t="shared" si="53"/>
        <v>108513.15000000001</v>
      </c>
      <c r="L243" s="107">
        <f t="shared" si="53"/>
        <v>81394.279999999984</v>
      </c>
      <c r="M243" s="107">
        <f t="shared" si="53"/>
        <v>103845.83000000003</v>
      </c>
      <c r="N243" s="107">
        <v>1080153.6100000001</v>
      </c>
    </row>
    <row r="244" spans="1:14">
      <c r="A244" s="64"/>
      <c r="B244" s="22"/>
      <c r="C244" s="22"/>
      <c r="D244" s="22"/>
      <c r="E244" s="22"/>
      <c r="F244" s="22"/>
      <c r="G244" s="22"/>
      <c r="H244" s="22"/>
      <c r="I244" s="22"/>
      <c r="J244" s="22"/>
      <c r="K244" s="22"/>
      <c r="L244" s="22"/>
      <c r="M244" s="22"/>
      <c r="N244" s="22"/>
    </row>
    <row r="245" spans="1:14">
      <c r="A245" s="64" t="s">
        <v>186</v>
      </c>
      <c r="B245" s="22"/>
      <c r="C245" s="22"/>
      <c r="D245" s="22"/>
      <c r="E245" s="22"/>
      <c r="F245" s="22"/>
      <c r="G245" s="22"/>
      <c r="H245" s="22"/>
      <c r="I245" s="22"/>
      <c r="J245" s="22"/>
      <c r="K245" s="22"/>
      <c r="L245" s="22"/>
      <c r="M245" s="22"/>
      <c r="N245" s="22"/>
    </row>
    <row r="246" spans="1:14">
      <c r="A246" s="64" t="s">
        <v>187</v>
      </c>
      <c r="B246" s="107">
        <v>4500</v>
      </c>
      <c r="C246" s="107">
        <v>7000</v>
      </c>
      <c r="D246" s="107">
        <v>4500</v>
      </c>
      <c r="E246" s="107">
        <v>4500</v>
      </c>
      <c r="F246" s="107">
        <v>2000</v>
      </c>
      <c r="G246" s="107">
        <v>4500</v>
      </c>
      <c r="H246" s="107">
        <v>4500</v>
      </c>
      <c r="I246" s="107">
        <v>4500</v>
      </c>
      <c r="J246" s="107">
        <v>4500</v>
      </c>
      <c r="K246" s="107">
        <v>4500</v>
      </c>
      <c r="L246" s="107">
        <v>12000</v>
      </c>
      <c r="M246" s="107">
        <v>7000</v>
      </c>
      <c r="N246" s="107">
        <v>64000</v>
      </c>
    </row>
    <row r="247" spans="1:14">
      <c r="A247" s="64" t="s">
        <v>188</v>
      </c>
      <c r="B247" s="107">
        <v>1575</v>
      </c>
      <c r="C247" s="107">
        <v>1639.17</v>
      </c>
      <c r="D247" s="107">
        <v>2012.5</v>
      </c>
      <c r="E247" s="107">
        <v>1470</v>
      </c>
      <c r="F247" s="107">
        <v>2333.33</v>
      </c>
      <c r="G247" s="107">
        <v>1820</v>
      </c>
      <c r="H247" s="107">
        <v>2240</v>
      </c>
      <c r="I247" s="107">
        <v>1417.5</v>
      </c>
      <c r="J247" s="107">
        <v>1800</v>
      </c>
      <c r="K247" s="107">
        <v>1210</v>
      </c>
      <c r="L247" s="107">
        <v>1592.5</v>
      </c>
      <c r="M247" s="107">
        <v>1715</v>
      </c>
      <c r="N247" s="107">
        <v>20825</v>
      </c>
    </row>
    <row r="248" spans="1:14">
      <c r="A248" s="64" t="s">
        <v>189</v>
      </c>
      <c r="B248" s="22"/>
      <c r="C248" s="22"/>
      <c r="D248" s="22"/>
      <c r="E248" s="22"/>
      <c r="F248" s="22"/>
      <c r="G248" s="22"/>
      <c r="H248" s="22"/>
      <c r="I248" s="22"/>
      <c r="J248" s="107">
        <v>550</v>
      </c>
      <c r="K248" s="22"/>
      <c r="L248" s="22"/>
      <c r="M248" s="22"/>
      <c r="N248" s="107">
        <v>550</v>
      </c>
    </row>
    <row r="249" spans="1:14">
      <c r="A249" s="64" t="s">
        <v>190</v>
      </c>
      <c r="B249" s="107">
        <v>2375</v>
      </c>
      <c r="C249" s="107">
        <v>3535</v>
      </c>
      <c r="D249" s="107">
        <v>2800</v>
      </c>
      <c r="E249" s="107">
        <v>8075</v>
      </c>
      <c r="F249" s="107">
        <v>3775</v>
      </c>
      <c r="G249" s="107">
        <v>2330</v>
      </c>
      <c r="H249" s="107">
        <v>3850</v>
      </c>
      <c r="I249" s="107">
        <v>2475</v>
      </c>
      <c r="J249" s="107">
        <v>2600</v>
      </c>
      <c r="K249" s="107">
        <v>3511.24</v>
      </c>
      <c r="L249" s="107">
        <v>1596.24</v>
      </c>
      <c r="M249" s="107">
        <v>1680</v>
      </c>
      <c r="N249" s="107">
        <v>38602.480000000003</v>
      </c>
    </row>
    <row r="250" spans="1:14">
      <c r="A250" s="64" t="s">
        <v>191</v>
      </c>
      <c r="B250" s="107">
        <v>13514.91</v>
      </c>
      <c r="C250" s="107">
        <v>13953.09</v>
      </c>
      <c r="D250" s="107">
        <v>11768.71</v>
      </c>
      <c r="E250" s="107">
        <v>12706.45</v>
      </c>
      <c r="F250" s="107">
        <v>8909.09</v>
      </c>
      <c r="G250" s="107">
        <v>5598.2</v>
      </c>
      <c r="H250" s="107">
        <v>5642.69</v>
      </c>
      <c r="I250" s="107">
        <v>5540.09</v>
      </c>
      <c r="J250" s="107">
        <v>6098.66</v>
      </c>
      <c r="K250" s="107">
        <v>7187.29</v>
      </c>
      <c r="L250" s="107">
        <v>6781.94</v>
      </c>
      <c r="M250" s="107"/>
      <c r="N250" s="107">
        <v>97701.119999999995</v>
      </c>
    </row>
    <row r="251" spans="1:14">
      <c r="A251" s="64" t="s">
        <v>415</v>
      </c>
      <c r="B251" s="22"/>
      <c r="C251" s="22"/>
      <c r="D251" s="22"/>
      <c r="E251" s="22"/>
      <c r="F251" s="22"/>
      <c r="G251" s="22"/>
      <c r="H251" s="22"/>
      <c r="I251" s="22"/>
      <c r="J251" s="22"/>
      <c r="K251" s="22"/>
      <c r="L251" s="22"/>
      <c r="M251" s="107">
        <v>6506.96</v>
      </c>
      <c r="N251" s="107">
        <v>6506.96</v>
      </c>
    </row>
    <row r="252" spans="1:14">
      <c r="A252" s="64" t="s">
        <v>416</v>
      </c>
      <c r="B252" s="22"/>
      <c r="C252" s="22"/>
      <c r="D252" s="22"/>
      <c r="E252" s="22"/>
      <c r="F252" s="22"/>
      <c r="G252" s="22"/>
      <c r="H252" s="22"/>
      <c r="I252" s="22"/>
      <c r="J252" s="22"/>
      <c r="K252" s="22"/>
      <c r="L252" s="22"/>
      <c r="M252" s="107">
        <v>1180.18</v>
      </c>
      <c r="N252" s="107">
        <v>1180.18</v>
      </c>
    </row>
    <row r="253" spans="1:14">
      <c r="A253" s="64" t="s">
        <v>417</v>
      </c>
      <c r="B253" s="22"/>
      <c r="C253" s="22"/>
      <c r="D253" s="22"/>
      <c r="E253" s="22"/>
      <c r="F253" s="22"/>
      <c r="G253" s="22"/>
      <c r="H253" s="22"/>
      <c r="I253" s="22"/>
      <c r="J253" s="22"/>
      <c r="K253" s="22"/>
      <c r="L253" s="22"/>
      <c r="M253" s="107">
        <v>1809.35</v>
      </c>
      <c r="N253" s="107">
        <v>1809.35</v>
      </c>
    </row>
    <row r="254" spans="1:14">
      <c r="A254" s="64" t="s">
        <v>192</v>
      </c>
      <c r="B254" s="107">
        <v>956.8</v>
      </c>
      <c r="C254" s="107">
        <v>997.74</v>
      </c>
      <c r="D254" s="107">
        <v>997.74</v>
      </c>
      <c r="E254" s="107">
        <v>997.74</v>
      </c>
      <c r="F254" s="107">
        <v>997.74</v>
      </c>
      <c r="G254" s="107">
        <v>921.75</v>
      </c>
      <c r="H254" s="107">
        <v>921.75</v>
      </c>
      <c r="I254" s="107">
        <v>921.75</v>
      </c>
      <c r="J254" s="107">
        <v>921.75</v>
      </c>
      <c r="K254" s="107">
        <v>921.75</v>
      </c>
      <c r="L254" s="107">
        <v>921.75</v>
      </c>
      <c r="M254" s="107">
        <v>921.75</v>
      </c>
      <c r="N254" s="107">
        <v>11400.01</v>
      </c>
    </row>
    <row r="255" spans="1:14">
      <c r="A255" s="64" t="s">
        <v>193</v>
      </c>
      <c r="B255" s="107">
        <v>2137.7199999999998</v>
      </c>
      <c r="C255" s="107">
        <v>2129</v>
      </c>
      <c r="D255" s="107">
        <v>2100.48</v>
      </c>
      <c r="E255" s="107">
        <v>2120.13</v>
      </c>
      <c r="F255" s="107">
        <v>1677.44</v>
      </c>
      <c r="G255" s="107">
        <v>2170.77</v>
      </c>
      <c r="H255" s="107">
        <v>2621.08</v>
      </c>
      <c r="I255" s="107">
        <v>2205.5700000000002</v>
      </c>
      <c r="J255" s="107">
        <v>2177.38</v>
      </c>
      <c r="K255" s="107">
        <v>2354.4899999999998</v>
      </c>
      <c r="L255" s="107">
        <v>2207.69</v>
      </c>
      <c r="M255" s="107">
        <v>1943.71</v>
      </c>
      <c r="N255" s="107">
        <v>25845.46</v>
      </c>
    </row>
    <row r="256" spans="1:14">
      <c r="A256" s="64" t="s">
        <v>194</v>
      </c>
      <c r="B256" s="107">
        <v>2457.7800000000002</v>
      </c>
      <c r="C256" s="107">
        <v>1586.74</v>
      </c>
      <c r="D256" s="107">
        <v>3126.51</v>
      </c>
      <c r="E256" s="107">
        <v>3000.58</v>
      </c>
      <c r="F256" s="107">
        <v>-178.85</v>
      </c>
      <c r="G256" s="107">
        <v>1280.95</v>
      </c>
      <c r="H256" s="107">
        <v>3661.75</v>
      </c>
      <c r="I256" s="107">
        <v>2807.26</v>
      </c>
      <c r="J256" s="107">
        <v>3125.99</v>
      </c>
      <c r="K256" s="107">
        <v>1525</v>
      </c>
      <c r="L256" s="107">
        <v>5194.8900000000003</v>
      </c>
      <c r="M256" s="107">
        <v>7092.52</v>
      </c>
      <c r="N256" s="107">
        <v>34681.120000000003</v>
      </c>
    </row>
    <row r="257" spans="1:14">
      <c r="A257" s="64" t="s">
        <v>195</v>
      </c>
      <c r="B257" s="107">
        <v>14027.46</v>
      </c>
      <c r="C257" s="107">
        <v>16466.3</v>
      </c>
      <c r="D257" s="107">
        <v>14979.62</v>
      </c>
      <c r="E257" s="107">
        <v>14122.6</v>
      </c>
      <c r="F257" s="107">
        <v>14122.6</v>
      </c>
      <c r="G257" s="107">
        <v>14122.6</v>
      </c>
      <c r="H257" s="107">
        <v>14122.6</v>
      </c>
      <c r="I257" s="107">
        <v>14122.6</v>
      </c>
      <c r="J257" s="107">
        <v>14122.6</v>
      </c>
      <c r="K257" s="107">
        <v>14969.98</v>
      </c>
      <c r="L257" s="107">
        <v>14546.3</v>
      </c>
      <c r="M257" s="107">
        <v>14546.3</v>
      </c>
      <c r="N257" s="107">
        <v>174271.56</v>
      </c>
    </row>
    <row r="258" spans="1:14">
      <c r="A258" s="64" t="s">
        <v>196</v>
      </c>
      <c r="B258" s="107">
        <v>6818.31</v>
      </c>
      <c r="C258" s="107">
        <v>6818.31</v>
      </c>
      <c r="D258" s="107">
        <v>6818.31</v>
      </c>
      <c r="E258" s="107">
        <v>6818.31</v>
      </c>
      <c r="F258" s="107">
        <v>6818.31</v>
      </c>
      <c r="G258" s="107">
        <v>6818.31</v>
      </c>
      <c r="H258" s="107">
        <v>6818.31</v>
      </c>
      <c r="I258" s="107">
        <v>6818.31</v>
      </c>
      <c r="J258" s="107">
        <v>6818.31</v>
      </c>
      <c r="K258" s="107">
        <v>7227.41</v>
      </c>
      <c r="L258" s="107">
        <v>7022.86</v>
      </c>
      <c r="M258" s="107">
        <v>7022.86</v>
      </c>
      <c r="N258" s="107">
        <v>82637.919999999998</v>
      </c>
    </row>
    <row r="259" spans="1:14">
      <c r="A259" s="64" t="s">
        <v>197</v>
      </c>
      <c r="B259" s="107">
        <v>42049.41</v>
      </c>
      <c r="C259" s="107">
        <v>42401.53</v>
      </c>
      <c r="D259" s="107">
        <v>41730.21</v>
      </c>
      <c r="E259" s="107">
        <v>41657.39</v>
      </c>
      <c r="F259" s="107">
        <v>42027.64</v>
      </c>
      <c r="G259" s="107">
        <v>41983.9</v>
      </c>
      <c r="H259" s="107">
        <v>43249.68</v>
      </c>
      <c r="I259" s="107">
        <v>42218.33</v>
      </c>
      <c r="J259" s="107">
        <v>44787.199999999997</v>
      </c>
      <c r="K259" s="107">
        <v>46771.68</v>
      </c>
      <c r="L259" s="107">
        <v>40501.730000000003</v>
      </c>
      <c r="M259" s="107">
        <v>43062.32</v>
      </c>
      <c r="N259" s="107">
        <v>512441.02</v>
      </c>
    </row>
    <row r="260" spans="1:14">
      <c r="A260" s="64" t="s">
        <v>198</v>
      </c>
      <c r="B260" s="107">
        <v>677.17</v>
      </c>
      <c r="C260" s="107">
        <v>678.17</v>
      </c>
      <c r="D260" s="107">
        <v>688.34</v>
      </c>
      <c r="E260" s="107">
        <v>685.51</v>
      </c>
      <c r="F260" s="107">
        <v>690.22</v>
      </c>
      <c r="G260" s="107">
        <v>735.88</v>
      </c>
      <c r="H260" s="107">
        <v>733.71</v>
      </c>
      <c r="I260" s="107">
        <v>746.58</v>
      </c>
      <c r="J260" s="107">
        <v>790.48</v>
      </c>
      <c r="K260" s="107">
        <v>828.32</v>
      </c>
      <c r="L260" s="107">
        <v>763.69</v>
      </c>
      <c r="M260" s="107">
        <v>815.36</v>
      </c>
      <c r="N260" s="107">
        <v>8833.43</v>
      </c>
    </row>
    <row r="261" spans="1:14">
      <c r="A261" s="64" t="s">
        <v>199</v>
      </c>
      <c r="B261" s="107">
        <v>600</v>
      </c>
      <c r="C261" s="107">
        <v>3903.5</v>
      </c>
      <c r="D261" s="107">
        <v>3028.67</v>
      </c>
      <c r="E261" s="107">
        <v>496.83</v>
      </c>
      <c r="F261" s="107">
        <v>1365</v>
      </c>
      <c r="G261" s="107">
        <v>1890</v>
      </c>
      <c r="H261" s="107">
        <v>1515</v>
      </c>
      <c r="I261" s="107">
        <v>400</v>
      </c>
      <c r="J261" s="107">
        <v>198.5</v>
      </c>
      <c r="K261" s="107">
        <v>200</v>
      </c>
      <c r="L261" s="107">
        <v>571.75</v>
      </c>
      <c r="M261" s="107">
        <v>582.75</v>
      </c>
      <c r="N261" s="107">
        <v>14752</v>
      </c>
    </row>
    <row r="262" spans="1:14">
      <c r="A262" s="64" t="s">
        <v>200</v>
      </c>
      <c r="B262" s="107">
        <v>1600</v>
      </c>
      <c r="C262" s="107">
        <v>1600</v>
      </c>
      <c r="D262" s="107">
        <v>1600</v>
      </c>
      <c r="E262" s="107">
        <v>1600</v>
      </c>
      <c r="F262" s="107">
        <v>1600</v>
      </c>
      <c r="G262" s="107">
        <v>1600</v>
      </c>
      <c r="H262" s="107">
        <v>1600</v>
      </c>
      <c r="I262" s="107">
        <v>1600</v>
      </c>
      <c r="J262" s="107">
        <v>1600</v>
      </c>
      <c r="K262" s="107">
        <v>2000</v>
      </c>
      <c r="L262" s="107">
        <v>1600</v>
      </c>
      <c r="M262" s="107">
        <v>1600</v>
      </c>
      <c r="N262" s="107">
        <v>19600</v>
      </c>
    </row>
    <row r="263" spans="1:14">
      <c r="A263" s="64" t="s">
        <v>201</v>
      </c>
      <c r="B263" s="107">
        <v>300</v>
      </c>
      <c r="C263" s="107">
        <v>629.61</v>
      </c>
      <c r="D263" s="107">
        <v>309.87</v>
      </c>
      <c r="E263" s="107">
        <v>309.87</v>
      </c>
      <c r="F263" s="107">
        <v>596.12</v>
      </c>
      <c r="G263" s="107">
        <v>401.25</v>
      </c>
      <c r="H263" s="107">
        <v>771.12</v>
      </c>
      <c r="I263" s="107">
        <v>286.25</v>
      </c>
      <c r="J263" s="107">
        <v>286.25</v>
      </c>
      <c r="K263" s="107">
        <v>286.25</v>
      </c>
      <c r="L263" s="107">
        <v>286.25</v>
      </c>
      <c r="M263" s="107">
        <v>286.25</v>
      </c>
      <c r="N263" s="107">
        <v>4749.09</v>
      </c>
    </row>
    <row r="264" spans="1:14">
      <c r="A264" s="64" t="s">
        <v>202</v>
      </c>
      <c r="B264" s="107">
        <v>105</v>
      </c>
      <c r="C264" s="107">
        <v>210</v>
      </c>
      <c r="D264" s="107">
        <v>90</v>
      </c>
      <c r="E264" s="107">
        <v>180</v>
      </c>
      <c r="F264" s="22"/>
      <c r="G264" s="107">
        <v>60</v>
      </c>
      <c r="H264" s="107">
        <v>4160</v>
      </c>
      <c r="I264" s="107">
        <v>1312.19</v>
      </c>
      <c r="J264" s="107">
        <v>90</v>
      </c>
      <c r="K264" s="22"/>
      <c r="L264" s="107">
        <v>165</v>
      </c>
      <c r="M264" s="107">
        <v>906.9</v>
      </c>
      <c r="N264" s="107">
        <v>7279.09</v>
      </c>
    </row>
    <row r="265" spans="1:14">
      <c r="A265" s="64" t="s">
        <v>203</v>
      </c>
      <c r="B265" s="107">
        <v>6465.87</v>
      </c>
      <c r="C265" s="107">
        <v>9230.8700000000008</v>
      </c>
      <c r="D265" s="107">
        <v>11343.9</v>
      </c>
      <c r="E265" s="107">
        <v>8588.5</v>
      </c>
      <c r="F265" s="107">
        <v>13481.44</v>
      </c>
      <c r="G265" s="107">
        <v>9465.26</v>
      </c>
      <c r="H265" s="107">
        <v>7011.74</v>
      </c>
      <c r="I265" s="107">
        <v>11234.31</v>
      </c>
      <c r="J265" s="107">
        <v>11617.88</v>
      </c>
      <c r="K265" s="107">
        <v>13734.92</v>
      </c>
      <c r="L265" s="107">
        <v>10561.26</v>
      </c>
      <c r="M265" s="107">
        <v>10843.97</v>
      </c>
      <c r="N265" s="107">
        <v>123579.92</v>
      </c>
    </row>
    <row r="266" spans="1:14">
      <c r="A266" s="64" t="s">
        <v>204</v>
      </c>
      <c r="B266" s="107">
        <v>36937</v>
      </c>
      <c r="C266" s="107">
        <v>35565</v>
      </c>
      <c r="D266" s="107">
        <v>32564</v>
      </c>
      <c r="E266" s="107">
        <v>31741</v>
      </c>
      <c r="F266" s="107">
        <v>-587206</v>
      </c>
      <c r="G266" s="107">
        <v>44084</v>
      </c>
      <c r="H266" s="107">
        <v>27788</v>
      </c>
      <c r="I266" s="107">
        <v>30737</v>
      </c>
      <c r="J266" s="107">
        <v>27929</v>
      </c>
      <c r="K266" s="107">
        <v>28912</v>
      </c>
      <c r="L266" s="107">
        <v>31018</v>
      </c>
      <c r="M266" s="107">
        <v>36637</v>
      </c>
      <c r="N266" s="107">
        <v>-223294</v>
      </c>
    </row>
    <row r="267" spans="1:14">
      <c r="A267" s="64" t="s">
        <v>205</v>
      </c>
      <c r="B267" s="107">
        <v>901.42</v>
      </c>
      <c r="C267" s="107">
        <v>913.96</v>
      </c>
      <c r="D267" s="107">
        <v>900.94</v>
      </c>
      <c r="E267" s="107">
        <v>904.52</v>
      </c>
      <c r="F267" s="107">
        <v>651.14</v>
      </c>
      <c r="G267" s="107">
        <v>617.01</v>
      </c>
      <c r="H267" s="107">
        <v>625.75</v>
      </c>
      <c r="I267" s="107">
        <v>761.09</v>
      </c>
      <c r="J267" s="107">
        <v>626.55999999999995</v>
      </c>
      <c r="K267" s="107">
        <v>642.07000000000005</v>
      </c>
      <c r="L267" s="107">
        <v>502.22</v>
      </c>
      <c r="M267" s="107">
        <v>618.87</v>
      </c>
      <c r="N267" s="107">
        <v>8665.5499999999993</v>
      </c>
    </row>
    <row r="268" spans="1:14">
      <c r="A268" s="64" t="s">
        <v>206</v>
      </c>
      <c r="B268" s="111">
        <v>358.02</v>
      </c>
      <c r="C268" s="111">
        <v>1305.1099999999999</v>
      </c>
      <c r="D268" s="111">
        <v>1921.36</v>
      </c>
      <c r="E268" s="111">
        <v>5005.28</v>
      </c>
      <c r="F268" s="111">
        <v>5634.61</v>
      </c>
      <c r="G268" s="111">
        <v>587.59</v>
      </c>
      <c r="H268" s="111">
        <v>1072.53</v>
      </c>
      <c r="I268" s="111">
        <v>2503.92</v>
      </c>
      <c r="J268" s="111">
        <v>2213.83</v>
      </c>
      <c r="K268" s="111">
        <v>721.48</v>
      </c>
      <c r="L268" s="111">
        <v>3114.05</v>
      </c>
      <c r="M268" s="111">
        <v>2400.5</v>
      </c>
      <c r="N268" s="111">
        <v>26838.28</v>
      </c>
    </row>
    <row r="269" spans="1:14">
      <c r="A269" s="64" t="s">
        <v>207</v>
      </c>
      <c r="B269" s="107">
        <f t="shared" ref="B269:M269" si="54">SUM(B244:B268)</f>
        <v>138356.87</v>
      </c>
      <c r="C269" s="107">
        <f t="shared" si="54"/>
        <v>150563.09999999998</v>
      </c>
      <c r="D269" s="107">
        <f t="shared" si="54"/>
        <v>143281.15999999997</v>
      </c>
      <c r="E269" s="107">
        <f t="shared" si="54"/>
        <v>144979.70999999996</v>
      </c>
      <c r="F269" s="107">
        <f t="shared" si="54"/>
        <v>-480705.17000000004</v>
      </c>
      <c r="G269" s="107">
        <f t="shared" si="54"/>
        <v>140987.47</v>
      </c>
      <c r="H269" s="107">
        <f t="shared" si="54"/>
        <v>132905.71</v>
      </c>
      <c r="I269" s="107">
        <f t="shared" si="54"/>
        <v>132607.75</v>
      </c>
      <c r="J269" s="107">
        <f t="shared" si="54"/>
        <v>132854.38999999998</v>
      </c>
      <c r="K269" s="107">
        <f t="shared" si="54"/>
        <v>137503.88000000003</v>
      </c>
      <c r="L269" s="107">
        <f t="shared" si="54"/>
        <v>140948.11999999997</v>
      </c>
      <c r="M269" s="107">
        <f t="shared" si="54"/>
        <v>149172.54999999999</v>
      </c>
      <c r="N269" s="107">
        <v>1063455.54</v>
      </c>
    </row>
    <row r="270" spans="1:14">
      <c r="A270" s="64"/>
      <c r="B270" s="22"/>
      <c r="C270" s="22"/>
      <c r="D270" s="22"/>
      <c r="E270" s="22"/>
      <c r="F270" s="22"/>
      <c r="G270" s="22"/>
      <c r="H270" s="22"/>
      <c r="I270" s="22"/>
      <c r="J270" s="22"/>
      <c r="K270" s="22"/>
      <c r="L270" s="22"/>
      <c r="M270" s="22"/>
      <c r="N270" s="22"/>
    </row>
    <row r="271" spans="1:14">
      <c r="A271" s="64" t="s">
        <v>15</v>
      </c>
      <c r="B271" s="22"/>
      <c r="C271" s="22"/>
      <c r="D271" s="22"/>
      <c r="E271" s="22"/>
      <c r="F271" s="22"/>
      <c r="G271" s="22"/>
      <c r="H271" s="22"/>
      <c r="I271" s="22"/>
      <c r="J271" s="22"/>
      <c r="K271" s="22"/>
      <c r="L271" s="22"/>
      <c r="M271" s="22"/>
      <c r="N271" s="22"/>
    </row>
    <row r="272" spans="1:14">
      <c r="A272" s="64" t="s">
        <v>208</v>
      </c>
      <c r="B272" s="107">
        <v>3377.75</v>
      </c>
      <c r="C272" s="107">
        <v>3047.78</v>
      </c>
      <c r="D272" s="107">
        <v>3767.72</v>
      </c>
      <c r="E272" s="107">
        <v>1015.22</v>
      </c>
      <c r="F272" s="107">
        <v>2649.57</v>
      </c>
      <c r="G272" s="107">
        <v>1638.86</v>
      </c>
      <c r="H272" s="107">
        <v>2860.71</v>
      </c>
      <c r="I272" s="107">
        <v>1729.24</v>
      </c>
      <c r="J272" s="107">
        <v>1205.31</v>
      </c>
      <c r="K272" s="107">
        <v>2322.61</v>
      </c>
      <c r="L272" s="107">
        <v>2397.27</v>
      </c>
      <c r="M272" s="107">
        <v>2189.7800000000002</v>
      </c>
      <c r="N272" s="107">
        <v>28201.82</v>
      </c>
    </row>
    <row r="273" spans="1:14">
      <c r="A273" s="64" t="s">
        <v>209</v>
      </c>
      <c r="B273" s="107">
        <v>428.84</v>
      </c>
      <c r="C273" s="107">
        <v>248.75</v>
      </c>
      <c r="D273" s="107">
        <v>440.87</v>
      </c>
      <c r="E273" s="107">
        <v>221.44</v>
      </c>
      <c r="F273" s="107">
        <v>361.26</v>
      </c>
      <c r="G273" s="107">
        <v>507.33</v>
      </c>
      <c r="H273" s="107">
        <v>932.98</v>
      </c>
      <c r="I273" s="107">
        <v>1046.02</v>
      </c>
      <c r="J273" s="107">
        <v>1293.18</v>
      </c>
      <c r="K273" s="107">
        <v>625.46</v>
      </c>
      <c r="L273" s="107">
        <v>318.91000000000003</v>
      </c>
      <c r="M273" s="107">
        <v>1148.18</v>
      </c>
      <c r="N273" s="107">
        <v>7573.22</v>
      </c>
    </row>
    <row r="274" spans="1:14">
      <c r="A274" s="64" t="s">
        <v>210</v>
      </c>
      <c r="B274" s="22"/>
      <c r="C274" s="107">
        <v>709.47</v>
      </c>
      <c r="D274" s="107">
        <v>990.43</v>
      </c>
      <c r="E274" s="107">
        <v>815.08</v>
      </c>
      <c r="F274" s="107">
        <v>1148.77</v>
      </c>
      <c r="G274" s="107">
        <v>165</v>
      </c>
      <c r="H274" s="107">
        <v>214.87</v>
      </c>
      <c r="I274" s="107">
        <v>752.57</v>
      </c>
      <c r="J274" s="107">
        <v>469.11</v>
      </c>
      <c r="K274" s="107">
        <v>402.62</v>
      </c>
      <c r="L274" s="107">
        <v>730</v>
      </c>
      <c r="M274" s="107">
        <v>584.72</v>
      </c>
      <c r="N274" s="107">
        <v>6982.64</v>
      </c>
    </row>
    <row r="275" spans="1:14">
      <c r="A275" s="64" t="s">
        <v>211</v>
      </c>
      <c r="B275" s="107">
        <v>113.95</v>
      </c>
      <c r="C275" s="107">
        <v>238.13</v>
      </c>
      <c r="D275" s="107">
        <v>113.95</v>
      </c>
      <c r="E275" s="107">
        <v>138.94999999999999</v>
      </c>
      <c r="F275" s="107">
        <v>264.63</v>
      </c>
      <c r="G275" s="107">
        <v>115.95</v>
      </c>
      <c r="H275" s="107">
        <v>115.95</v>
      </c>
      <c r="I275" s="107">
        <v>115.95</v>
      </c>
      <c r="J275" s="107">
        <v>711.68</v>
      </c>
      <c r="K275" s="107">
        <v>115.95</v>
      </c>
      <c r="L275" s="107">
        <v>115.95</v>
      </c>
      <c r="M275" s="107">
        <v>115.95</v>
      </c>
      <c r="N275" s="107">
        <v>2276.9899999999998</v>
      </c>
    </row>
    <row r="276" spans="1:14">
      <c r="A276" s="64" t="s">
        <v>195</v>
      </c>
      <c r="B276" s="107">
        <v>40.64</v>
      </c>
      <c r="C276" s="107">
        <v>100.76</v>
      </c>
      <c r="D276" s="107">
        <v>104.94</v>
      </c>
      <c r="E276" s="107">
        <v>299.12</v>
      </c>
      <c r="F276" s="107">
        <v>84.79</v>
      </c>
      <c r="G276" s="107"/>
      <c r="H276" s="107">
        <v>16.239999999999998</v>
      </c>
      <c r="I276" s="107">
        <v>18.940000000000001</v>
      </c>
      <c r="J276" s="107">
        <v>12.18</v>
      </c>
      <c r="K276" s="107">
        <v>42.13</v>
      </c>
      <c r="L276" s="107">
        <v>61.89</v>
      </c>
      <c r="M276" s="107">
        <v>24.36</v>
      </c>
      <c r="N276" s="107">
        <v>805.99</v>
      </c>
    </row>
    <row r="277" spans="1:14">
      <c r="A277" s="64" t="s">
        <v>213</v>
      </c>
      <c r="B277" s="22"/>
      <c r="C277" s="22"/>
      <c r="D277" s="107">
        <v>17.23</v>
      </c>
      <c r="E277" s="22"/>
      <c r="F277" s="107">
        <v>122.63</v>
      </c>
      <c r="G277" s="22"/>
      <c r="H277" s="22"/>
      <c r="I277" s="22"/>
      <c r="J277" s="22"/>
      <c r="K277" s="22"/>
      <c r="L277" s="22"/>
      <c r="M277" s="22"/>
      <c r="N277" s="107">
        <v>139.86000000000001</v>
      </c>
    </row>
    <row r="278" spans="1:14">
      <c r="A278" s="64" t="s">
        <v>214</v>
      </c>
      <c r="B278" s="107">
        <v>33.93</v>
      </c>
      <c r="C278" s="107">
        <v>78.84</v>
      </c>
      <c r="D278" s="107">
        <v>680.2</v>
      </c>
      <c r="E278" s="107">
        <v>269.32</v>
      </c>
      <c r="F278" s="107">
        <v>83.94</v>
      </c>
      <c r="G278" s="107">
        <v>184.56</v>
      </c>
      <c r="H278" s="107"/>
      <c r="I278" s="22"/>
      <c r="J278" s="107">
        <v>46.14</v>
      </c>
      <c r="K278" s="22"/>
      <c r="L278" s="22"/>
      <c r="M278" s="22"/>
      <c r="N278" s="107">
        <v>1376.93</v>
      </c>
    </row>
    <row r="279" spans="1:14">
      <c r="A279" s="64" t="s">
        <v>215</v>
      </c>
      <c r="B279" s="107">
        <v>62.36</v>
      </c>
      <c r="C279" s="107">
        <v>18.02</v>
      </c>
      <c r="D279" s="107">
        <v>2333.87</v>
      </c>
      <c r="E279" s="107">
        <v>327.64</v>
      </c>
      <c r="F279" s="107">
        <v>8.67</v>
      </c>
      <c r="G279" s="22"/>
      <c r="H279" s="22"/>
      <c r="I279" s="107">
        <v>125.98</v>
      </c>
      <c r="J279" s="107">
        <v>266.45</v>
      </c>
      <c r="K279" s="107"/>
      <c r="L279" s="22"/>
      <c r="M279" s="107">
        <v>8.67</v>
      </c>
      <c r="N279" s="107">
        <v>3151.66</v>
      </c>
    </row>
    <row r="280" spans="1:14">
      <c r="A280" s="64" t="s">
        <v>216</v>
      </c>
      <c r="B280" s="107">
        <v>1935.57</v>
      </c>
      <c r="C280" s="107">
        <v>2561.58</v>
      </c>
      <c r="D280" s="107">
        <v>1726.45</v>
      </c>
      <c r="E280" s="107">
        <v>2057.9</v>
      </c>
      <c r="F280" s="107">
        <v>1356.34</v>
      </c>
      <c r="G280" s="107">
        <v>1688.22</v>
      </c>
      <c r="H280" s="107">
        <v>2092.9</v>
      </c>
      <c r="I280" s="107">
        <v>916.81</v>
      </c>
      <c r="J280" s="107">
        <v>871.37</v>
      </c>
      <c r="K280" s="107">
        <v>3790.04</v>
      </c>
      <c r="L280" s="107">
        <v>1376.42</v>
      </c>
      <c r="M280" s="107">
        <v>2026.61</v>
      </c>
      <c r="N280" s="107">
        <v>22400.21</v>
      </c>
    </row>
    <row r="281" spans="1:14">
      <c r="A281" s="64" t="s">
        <v>217</v>
      </c>
      <c r="B281" s="107">
        <v>92.98</v>
      </c>
      <c r="C281" s="107">
        <v>196.43</v>
      </c>
      <c r="D281" s="107">
        <v>447.06</v>
      </c>
      <c r="E281" s="107">
        <v>245.49</v>
      </c>
      <c r="F281" s="107">
        <v>699.03</v>
      </c>
      <c r="G281" s="107">
        <v>-80.83</v>
      </c>
      <c r="H281" s="22"/>
      <c r="I281" s="107">
        <v>76.83</v>
      </c>
      <c r="J281" s="107">
        <v>481.98</v>
      </c>
      <c r="K281" s="22"/>
      <c r="L281" s="107">
        <v>1112.02</v>
      </c>
      <c r="M281" s="107"/>
      <c r="N281" s="107">
        <v>3270.99</v>
      </c>
    </row>
    <row r="282" spans="1:14">
      <c r="A282" s="64" t="s">
        <v>218</v>
      </c>
      <c r="B282" s="107">
        <v>911.21</v>
      </c>
      <c r="C282" s="107">
        <v>945.47</v>
      </c>
      <c r="D282" s="107">
        <v>901.21</v>
      </c>
      <c r="E282" s="107">
        <v>1298.82</v>
      </c>
      <c r="F282" s="107">
        <v>978.51</v>
      </c>
      <c r="G282" s="107">
        <v>913.9</v>
      </c>
      <c r="H282" s="107">
        <v>1357.11</v>
      </c>
      <c r="I282" s="107">
        <v>1262.33</v>
      </c>
      <c r="J282" s="107">
        <v>792.6</v>
      </c>
      <c r="K282" s="107">
        <v>831.08</v>
      </c>
      <c r="L282" s="107">
        <v>446.92</v>
      </c>
      <c r="M282" s="107">
        <v>1081.69</v>
      </c>
      <c r="N282" s="107">
        <v>11720.85</v>
      </c>
    </row>
    <row r="283" spans="1:14">
      <c r="A283" s="64" t="s">
        <v>219</v>
      </c>
      <c r="B283" s="107">
        <v>1285.6300000000001</v>
      </c>
      <c r="C283" s="107">
        <v>1440.2</v>
      </c>
      <c r="D283" s="107">
        <v>2806.38</v>
      </c>
      <c r="E283" s="107">
        <v>1917.98</v>
      </c>
      <c r="F283" s="107">
        <v>1919.11</v>
      </c>
      <c r="G283" s="107">
        <v>432.76</v>
      </c>
      <c r="H283" s="107">
        <v>1375.59</v>
      </c>
      <c r="I283" s="107">
        <v>1942.36</v>
      </c>
      <c r="J283" s="107">
        <v>737.46</v>
      </c>
      <c r="K283" s="107">
        <v>936</v>
      </c>
      <c r="L283" s="107">
        <v>1720.22</v>
      </c>
      <c r="M283" s="107">
        <v>1204.54</v>
      </c>
      <c r="N283" s="107">
        <v>17718.23</v>
      </c>
    </row>
    <row r="284" spans="1:14">
      <c r="A284" s="64" t="s">
        <v>220</v>
      </c>
      <c r="B284" s="111">
        <v>58.39</v>
      </c>
      <c r="C284" s="111">
        <v>237.95</v>
      </c>
      <c r="D284" s="111">
        <v>180.11</v>
      </c>
      <c r="E284" s="111">
        <v>291.33</v>
      </c>
      <c r="F284" s="111">
        <v>354.16</v>
      </c>
      <c r="G284" s="111">
        <v>51.51</v>
      </c>
      <c r="H284" s="111">
        <v>296.39</v>
      </c>
      <c r="I284" s="111">
        <v>125.83</v>
      </c>
      <c r="J284" s="111">
        <v>260.82</v>
      </c>
      <c r="K284" s="111">
        <v>185.11</v>
      </c>
      <c r="L284" s="111">
        <v>383.02</v>
      </c>
      <c r="M284" s="111">
        <v>139.35</v>
      </c>
      <c r="N284" s="111">
        <v>2563.9699999999998</v>
      </c>
    </row>
    <row r="285" spans="1:14">
      <c r="A285" s="64" t="s">
        <v>221</v>
      </c>
      <c r="B285" s="107">
        <f t="shared" ref="B285:M285" si="55">SUM(B270:B284)</f>
        <v>8341.25</v>
      </c>
      <c r="C285" s="107">
        <f t="shared" si="55"/>
        <v>9823.3800000000028</v>
      </c>
      <c r="D285" s="107">
        <f t="shared" si="55"/>
        <v>14510.420000000002</v>
      </c>
      <c r="E285" s="107">
        <f t="shared" si="55"/>
        <v>8898.2899999999991</v>
      </c>
      <c r="F285" s="107">
        <f t="shared" si="55"/>
        <v>10031.41</v>
      </c>
      <c r="G285" s="107">
        <f t="shared" si="55"/>
        <v>5617.26</v>
      </c>
      <c r="H285" s="107">
        <f t="shared" si="55"/>
        <v>9262.739999999998</v>
      </c>
      <c r="I285" s="107">
        <f t="shared" si="55"/>
        <v>8112.86</v>
      </c>
      <c r="J285" s="107">
        <f t="shared" si="55"/>
        <v>7148.28</v>
      </c>
      <c r="K285" s="107">
        <f t="shared" si="55"/>
        <v>9251</v>
      </c>
      <c r="L285" s="107">
        <f t="shared" si="55"/>
        <v>8662.619999999999</v>
      </c>
      <c r="M285" s="107">
        <f t="shared" si="55"/>
        <v>8523.85</v>
      </c>
      <c r="N285" s="107">
        <v>108183.36</v>
      </c>
    </row>
    <row r="286" spans="1:14">
      <c r="A286" s="64"/>
      <c r="B286" s="22"/>
      <c r="C286" s="22"/>
      <c r="D286" s="22"/>
      <c r="E286" s="22"/>
      <c r="F286" s="22"/>
      <c r="G286" s="22"/>
      <c r="H286" s="22"/>
      <c r="I286" s="22"/>
      <c r="J286" s="22"/>
      <c r="K286" s="22"/>
      <c r="L286" s="22"/>
      <c r="M286" s="22"/>
      <c r="N286" s="22"/>
    </row>
    <row r="287" spans="1:14">
      <c r="A287" s="64" t="s">
        <v>222</v>
      </c>
      <c r="B287" s="22"/>
      <c r="C287" s="22"/>
      <c r="D287" s="22"/>
      <c r="E287" s="22"/>
      <c r="F287" s="22"/>
      <c r="G287" s="22"/>
      <c r="H287" s="22"/>
      <c r="I287" s="22"/>
      <c r="J287" s="22"/>
      <c r="K287" s="22"/>
      <c r="L287" s="22"/>
      <c r="M287" s="22"/>
      <c r="N287" s="22"/>
    </row>
    <row r="288" spans="1:14">
      <c r="A288" s="64" t="s">
        <v>223</v>
      </c>
      <c r="B288" s="22"/>
      <c r="C288" s="107">
        <v>1050</v>
      </c>
      <c r="D288" s="107">
        <v>222.8</v>
      </c>
      <c r="E288" s="107">
        <v>307</v>
      </c>
      <c r="F288" s="107">
        <v>3314.83</v>
      </c>
      <c r="G288" s="22"/>
      <c r="H288" s="107">
        <v>2966.51</v>
      </c>
      <c r="I288" s="22"/>
      <c r="J288" s="22"/>
      <c r="K288" s="22"/>
      <c r="L288" s="107">
        <v>182.5</v>
      </c>
      <c r="M288" s="107">
        <v>125</v>
      </c>
      <c r="N288" s="107">
        <v>8168.64</v>
      </c>
    </row>
    <row r="289" spans="1:14">
      <c r="A289" s="64" t="s">
        <v>224</v>
      </c>
      <c r="B289" s="107">
        <v>15468.29</v>
      </c>
      <c r="C289" s="107">
        <v>2198.7800000000002</v>
      </c>
      <c r="D289" s="107">
        <v>2377</v>
      </c>
      <c r="E289" s="107">
        <v>1206</v>
      </c>
      <c r="F289" s="107">
        <v>8614.27</v>
      </c>
      <c r="G289" s="107"/>
      <c r="H289" s="107">
        <v>5376.16</v>
      </c>
      <c r="I289" s="107">
        <v>6248.75</v>
      </c>
      <c r="J289" s="107">
        <v>11302</v>
      </c>
      <c r="K289" s="107">
        <v>1534.76</v>
      </c>
      <c r="L289" s="107">
        <v>2279.14</v>
      </c>
      <c r="M289" s="107">
        <v>6624.09</v>
      </c>
      <c r="N289" s="107">
        <v>63229.24</v>
      </c>
    </row>
    <row r="290" spans="1:14">
      <c r="A290" s="64" t="s">
        <v>225</v>
      </c>
      <c r="B290" s="107">
        <v>1592.64</v>
      </c>
      <c r="C290" s="107">
        <v>60</v>
      </c>
      <c r="D290" s="107">
        <v>105</v>
      </c>
      <c r="E290" s="107">
        <v>149</v>
      </c>
      <c r="F290" s="107">
        <v>183.12</v>
      </c>
      <c r="G290" s="107"/>
      <c r="H290" s="107">
        <v>30</v>
      </c>
      <c r="I290" s="107">
        <v>69</v>
      </c>
      <c r="J290" s="107">
        <v>130</v>
      </c>
      <c r="K290" s="107">
        <v>20</v>
      </c>
      <c r="L290" s="107">
        <v>752.97</v>
      </c>
      <c r="M290" s="107">
        <v>1222.4000000000001</v>
      </c>
      <c r="N290" s="107">
        <v>4314.13</v>
      </c>
    </row>
    <row r="291" spans="1:14">
      <c r="A291" s="64" t="s">
        <v>226</v>
      </c>
      <c r="B291" s="22"/>
      <c r="C291" s="107">
        <v>26.09</v>
      </c>
      <c r="D291" s="107">
        <v>580.83000000000004</v>
      </c>
      <c r="E291" s="107">
        <v>374.08</v>
      </c>
      <c r="F291" s="107">
        <v>2662.98</v>
      </c>
      <c r="G291" s="107">
        <v>87.06</v>
      </c>
      <c r="H291" s="22"/>
      <c r="I291" s="107">
        <v>13.88</v>
      </c>
      <c r="J291" s="107">
        <v>617.72</v>
      </c>
      <c r="K291" s="22"/>
      <c r="L291" s="107">
        <v>2.46</v>
      </c>
      <c r="M291" s="107">
        <v>1394.26</v>
      </c>
      <c r="N291" s="107">
        <v>5759.36</v>
      </c>
    </row>
    <row r="292" spans="1:14">
      <c r="A292" s="64" t="s">
        <v>227</v>
      </c>
      <c r="B292" s="113"/>
      <c r="C292" s="113"/>
      <c r="D292" s="111">
        <v>194.04</v>
      </c>
      <c r="E292" s="113"/>
      <c r="F292" s="111">
        <v>195</v>
      </c>
      <c r="G292" s="113"/>
      <c r="H292" s="113"/>
      <c r="I292" s="113"/>
      <c r="J292" s="111">
        <v>82.22</v>
      </c>
      <c r="K292" s="113"/>
      <c r="L292" s="113"/>
      <c r="M292" s="111">
        <v>36.9</v>
      </c>
      <c r="N292" s="111">
        <v>508.16</v>
      </c>
    </row>
    <row r="293" spans="1:14">
      <c r="A293" s="64" t="s">
        <v>229</v>
      </c>
      <c r="B293" s="107">
        <f t="shared" ref="B293:M293" si="56">SUM(B286:B292)</f>
        <v>17060.93</v>
      </c>
      <c r="C293" s="107">
        <f t="shared" si="56"/>
        <v>3334.8700000000003</v>
      </c>
      <c r="D293" s="107">
        <f t="shared" si="56"/>
        <v>3479.67</v>
      </c>
      <c r="E293" s="107">
        <f t="shared" si="56"/>
        <v>2036.08</v>
      </c>
      <c r="F293" s="107">
        <f t="shared" si="56"/>
        <v>14970.2</v>
      </c>
      <c r="G293" s="107">
        <f t="shared" si="56"/>
        <v>87.06</v>
      </c>
      <c r="H293" s="107">
        <f t="shared" si="56"/>
        <v>8372.67</v>
      </c>
      <c r="I293" s="107">
        <f t="shared" si="56"/>
        <v>6331.63</v>
      </c>
      <c r="J293" s="107">
        <f t="shared" si="56"/>
        <v>12131.939999999999</v>
      </c>
      <c r="K293" s="107">
        <f t="shared" si="56"/>
        <v>1554.76</v>
      </c>
      <c r="L293" s="107">
        <f t="shared" si="56"/>
        <v>3217.0699999999997</v>
      </c>
      <c r="M293" s="107">
        <f t="shared" si="56"/>
        <v>9402.65</v>
      </c>
      <c r="N293" s="107">
        <v>81979.53</v>
      </c>
    </row>
    <row r="294" spans="1:14">
      <c r="A294" s="64"/>
      <c r="B294" s="22"/>
      <c r="C294" s="22"/>
      <c r="D294" s="22"/>
      <c r="E294" s="22"/>
      <c r="F294" s="22"/>
      <c r="G294" s="22"/>
      <c r="H294" s="22"/>
      <c r="I294" s="22"/>
      <c r="J294" s="22"/>
      <c r="K294" s="22"/>
      <c r="L294" s="22"/>
      <c r="M294" s="22"/>
      <c r="N294" s="22"/>
    </row>
    <row r="295" spans="1:14">
      <c r="A295" s="64" t="s">
        <v>230</v>
      </c>
      <c r="B295" s="22"/>
      <c r="C295" s="22"/>
      <c r="D295" s="22"/>
      <c r="E295" s="22"/>
      <c r="F295" s="22"/>
      <c r="G295" s="22"/>
      <c r="H295" s="22"/>
      <c r="I295" s="22"/>
      <c r="J295" s="22"/>
      <c r="K295" s="22"/>
      <c r="L295" s="22"/>
      <c r="M295" s="22"/>
      <c r="N295" s="22"/>
    </row>
    <row r="296" spans="1:14">
      <c r="A296" s="64" t="s">
        <v>231</v>
      </c>
      <c r="B296" s="107">
        <v>11407.45</v>
      </c>
      <c r="C296" s="107">
        <v>11407.45</v>
      </c>
      <c r="D296" s="107">
        <v>11407.45</v>
      </c>
      <c r="E296" s="107">
        <v>11407.45</v>
      </c>
      <c r="F296" s="107">
        <v>-3860.99</v>
      </c>
      <c r="G296" s="107">
        <v>8907.4500000000007</v>
      </c>
      <c r="H296" s="107">
        <v>8907.4500000000007</v>
      </c>
      <c r="I296" s="107">
        <v>8907.4500000000007</v>
      </c>
      <c r="J296" s="107">
        <v>8907.4500000000007</v>
      </c>
      <c r="K296" s="107">
        <v>8907.4500000000007</v>
      </c>
      <c r="L296" s="107">
        <v>8907.4500000000007</v>
      </c>
      <c r="M296" s="107">
        <v>8907.4500000000007</v>
      </c>
      <c r="N296" s="107">
        <v>104120.96000000001</v>
      </c>
    </row>
    <row r="297" spans="1:14">
      <c r="A297" s="64" t="s">
        <v>232</v>
      </c>
      <c r="B297" s="107">
        <v>435</v>
      </c>
      <c r="C297" s="107">
        <v>435</v>
      </c>
      <c r="D297" s="107">
        <v>435</v>
      </c>
      <c r="E297" s="107">
        <v>435</v>
      </c>
      <c r="F297" s="107">
        <v>-1018.33</v>
      </c>
      <c r="G297" s="107">
        <v>315</v>
      </c>
      <c r="H297" s="107">
        <v>315</v>
      </c>
      <c r="I297" s="107">
        <v>315</v>
      </c>
      <c r="J297" s="107">
        <v>315</v>
      </c>
      <c r="K297" s="107">
        <v>315</v>
      </c>
      <c r="L297" s="107">
        <v>315</v>
      </c>
      <c r="M297" s="107">
        <v>315</v>
      </c>
      <c r="N297" s="107">
        <v>2926.67</v>
      </c>
    </row>
    <row r="298" spans="1:14">
      <c r="A298" s="64" t="s">
        <v>234</v>
      </c>
      <c r="B298" s="22"/>
      <c r="C298" s="22"/>
      <c r="D298" s="22"/>
      <c r="E298" s="107"/>
      <c r="F298" s="22"/>
      <c r="G298" s="107">
        <v>66.67</v>
      </c>
      <c r="H298" s="22"/>
      <c r="I298" s="107">
        <v>337</v>
      </c>
      <c r="J298" s="22"/>
      <c r="K298" s="22"/>
      <c r="L298" s="22"/>
      <c r="M298" s="22"/>
      <c r="N298" s="107">
        <v>403.67</v>
      </c>
    </row>
    <row r="299" spans="1:14">
      <c r="A299" s="64" t="s">
        <v>352</v>
      </c>
      <c r="B299" s="107">
        <v>874.69</v>
      </c>
      <c r="C299" s="107">
        <v>1250</v>
      </c>
      <c r="D299" s="22"/>
      <c r="E299" s="22"/>
      <c r="F299" s="22"/>
      <c r="G299" s="107">
        <v>874.69</v>
      </c>
      <c r="H299" s="107">
        <v>874.69</v>
      </c>
      <c r="I299" s="107">
        <v>874.69</v>
      </c>
      <c r="J299" s="107">
        <v>874.69</v>
      </c>
      <c r="K299" s="107">
        <v>874.69</v>
      </c>
      <c r="L299" s="107">
        <v>874.69</v>
      </c>
      <c r="M299" s="107">
        <v>874.69</v>
      </c>
      <c r="N299" s="107">
        <v>8247.52</v>
      </c>
    </row>
    <row r="300" spans="1:14">
      <c r="A300" s="64" t="s">
        <v>235</v>
      </c>
      <c r="B300" s="111">
        <v>115.63</v>
      </c>
      <c r="C300" s="111">
        <v>440.87</v>
      </c>
      <c r="D300" s="111">
        <v>278.25</v>
      </c>
      <c r="E300" s="111">
        <v>115.63</v>
      </c>
      <c r="F300" s="111">
        <v>653.25</v>
      </c>
      <c r="G300" s="111">
        <v>115.63</v>
      </c>
      <c r="H300" s="111">
        <v>278.75</v>
      </c>
      <c r="I300" s="111">
        <v>163.12</v>
      </c>
      <c r="J300" s="111">
        <v>163.12</v>
      </c>
      <c r="K300" s="111">
        <v>163.12</v>
      </c>
      <c r="L300" s="111">
        <v>168.02</v>
      </c>
      <c r="M300" s="111"/>
      <c r="N300" s="111">
        <v>2655.39</v>
      </c>
    </row>
    <row r="301" spans="1:14">
      <c r="A301" s="64" t="s">
        <v>236</v>
      </c>
      <c r="B301" s="107">
        <f t="shared" ref="B301:M301" si="57">SUM(B294:B300)</f>
        <v>12832.77</v>
      </c>
      <c r="C301" s="107">
        <f t="shared" si="57"/>
        <v>13533.320000000002</v>
      </c>
      <c r="D301" s="107">
        <f t="shared" si="57"/>
        <v>12120.7</v>
      </c>
      <c r="E301" s="107">
        <f t="shared" si="57"/>
        <v>11958.08</v>
      </c>
      <c r="F301" s="107">
        <f t="shared" si="57"/>
        <v>-4226.07</v>
      </c>
      <c r="G301" s="107">
        <f t="shared" si="57"/>
        <v>10279.44</v>
      </c>
      <c r="H301" s="107">
        <f t="shared" si="57"/>
        <v>10375.890000000001</v>
      </c>
      <c r="I301" s="107">
        <f t="shared" si="57"/>
        <v>10597.260000000002</v>
      </c>
      <c r="J301" s="107">
        <f t="shared" si="57"/>
        <v>10260.260000000002</v>
      </c>
      <c r="K301" s="107">
        <f t="shared" si="57"/>
        <v>10260.260000000002</v>
      </c>
      <c r="L301" s="107">
        <f t="shared" si="57"/>
        <v>10265.160000000002</v>
      </c>
      <c r="M301" s="107">
        <f t="shared" si="57"/>
        <v>10097.140000000001</v>
      </c>
      <c r="N301" s="107">
        <v>118354.21</v>
      </c>
    </row>
    <row r="302" spans="1:14">
      <c r="A302" s="64"/>
      <c r="B302" s="22"/>
      <c r="C302" s="22"/>
      <c r="D302" s="22"/>
      <c r="E302" s="22"/>
      <c r="F302" s="22"/>
      <c r="G302" s="22"/>
      <c r="H302" s="22"/>
      <c r="I302" s="22"/>
      <c r="J302" s="22"/>
      <c r="K302" s="22"/>
      <c r="L302" s="22"/>
      <c r="M302" s="22"/>
      <c r="N302" s="22"/>
    </row>
    <row r="303" spans="1:14">
      <c r="A303" s="64" t="s">
        <v>237</v>
      </c>
      <c r="B303" s="22"/>
      <c r="C303" s="22"/>
      <c r="D303" s="22"/>
      <c r="E303" s="22"/>
      <c r="F303" s="22"/>
      <c r="G303" s="22"/>
      <c r="H303" s="22"/>
      <c r="I303" s="22"/>
      <c r="J303" s="22"/>
      <c r="K303" s="22"/>
      <c r="L303" s="22"/>
      <c r="M303" s="22"/>
      <c r="N303" s="22"/>
    </row>
    <row r="304" spans="1:14">
      <c r="A304" s="64" t="s">
        <v>375</v>
      </c>
      <c r="B304" s="107">
        <v>671</v>
      </c>
      <c r="C304" s="22"/>
      <c r="D304" s="22"/>
      <c r="E304" s="22"/>
      <c r="F304" s="22"/>
      <c r="G304" s="107">
        <v>5020</v>
      </c>
      <c r="H304" s="22"/>
      <c r="I304" s="107">
        <v>4666</v>
      </c>
      <c r="J304" s="107">
        <v>1688</v>
      </c>
      <c r="K304" s="107">
        <v>1169</v>
      </c>
      <c r="L304" s="107">
        <v>1225</v>
      </c>
      <c r="M304" s="107">
        <v>1974</v>
      </c>
      <c r="N304" s="107">
        <v>16413</v>
      </c>
    </row>
    <row r="305" spans="1:14">
      <c r="A305" s="64" t="s">
        <v>228</v>
      </c>
      <c r="B305" s="111">
        <v>22162</v>
      </c>
      <c r="C305" s="111">
        <v>21339</v>
      </c>
      <c r="D305" s="111">
        <v>19538</v>
      </c>
      <c r="E305" s="111">
        <v>19044</v>
      </c>
      <c r="F305" s="111">
        <v>19256</v>
      </c>
      <c r="G305" s="111">
        <v>26451</v>
      </c>
      <c r="H305" s="111">
        <v>68981.460000000006</v>
      </c>
      <c r="I305" s="111">
        <v>18442</v>
      </c>
      <c r="J305" s="111">
        <v>16757</v>
      </c>
      <c r="K305" s="111">
        <v>17347</v>
      </c>
      <c r="L305" s="111">
        <v>36611</v>
      </c>
      <c r="M305" s="111">
        <v>33982</v>
      </c>
      <c r="N305" s="111">
        <v>319910.46000000002</v>
      </c>
    </row>
    <row r="306" spans="1:14">
      <c r="A306" s="64" t="s">
        <v>238</v>
      </c>
      <c r="B306" s="107">
        <f t="shared" ref="B306:M306" si="58">SUM(B302:B305)</f>
        <v>22833</v>
      </c>
      <c r="C306" s="107">
        <f t="shared" si="58"/>
        <v>21339</v>
      </c>
      <c r="D306" s="107">
        <f t="shared" si="58"/>
        <v>19538</v>
      </c>
      <c r="E306" s="107">
        <f t="shared" si="58"/>
        <v>19044</v>
      </c>
      <c r="F306" s="107">
        <f t="shared" si="58"/>
        <v>19256</v>
      </c>
      <c r="G306" s="107">
        <f t="shared" si="58"/>
        <v>31471</v>
      </c>
      <c r="H306" s="107">
        <f t="shared" si="58"/>
        <v>68981.460000000006</v>
      </c>
      <c r="I306" s="107">
        <f t="shared" si="58"/>
        <v>23108</v>
      </c>
      <c r="J306" s="107">
        <f t="shared" si="58"/>
        <v>18445</v>
      </c>
      <c r="K306" s="107">
        <f t="shared" si="58"/>
        <v>18516</v>
      </c>
      <c r="L306" s="107">
        <f t="shared" si="58"/>
        <v>37836</v>
      </c>
      <c r="M306" s="107">
        <f t="shared" si="58"/>
        <v>35956</v>
      </c>
      <c r="N306" s="107">
        <v>336323.46</v>
      </c>
    </row>
    <row r="307" spans="1:14">
      <c r="A307" s="64"/>
      <c r="B307" s="22"/>
      <c r="C307" s="22"/>
      <c r="D307" s="22"/>
      <c r="E307" s="22"/>
      <c r="F307" s="22"/>
      <c r="G307" s="22"/>
      <c r="H307" s="22"/>
      <c r="I307" s="22"/>
      <c r="J307" s="22"/>
      <c r="K307" s="22"/>
      <c r="L307" s="22"/>
      <c r="M307" s="22"/>
      <c r="N307" s="22"/>
    </row>
    <row r="308" spans="1:14">
      <c r="A308" s="64" t="s">
        <v>239</v>
      </c>
      <c r="B308" s="22"/>
      <c r="C308" s="22"/>
      <c r="D308" s="22"/>
      <c r="E308" s="22"/>
      <c r="F308" s="22"/>
      <c r="G308" s="22"/>
      <c r="H308" s="22"/>
      <c r="I308" s="22"/>
      <c r="J308" s="22"/>
      <c r="K308" s="22"/>
      <c r="L308" s="22"/>
      <c r="M308" s="22"/>
      <c r="N308" s="22"/>
    </row>
    <row r="309" spans="1:14">
      <c r="A309" s="64" t="s">
        <v>240</v>
      </c>
      <c r="B309" s="107">
        <v>2280.0100000000002</v>
      </c>
      <c r="C309" s="107">
        <v>2280.0100000000002</v>
      </c>
      <c r="D309" s="107">
        <v>2280.0100000000002</v>
      </c>
      <c r="E309" s="107">
        <v>2280.0100000000002</v>
      </c>
      <c r="F309" s="107">
        <v>2280.0100000000002</v>
      </c>
      <c r="G309" s="107">
        <v>2280.0100000000002</v>
      </c>
      <c r="H309" s="107">
        <v>2280.0100000000002</v>
      </c>
      <c r="I309" s="107">
        <v>3168.13</v>
      </c>
      <c r="J309" s="107">
        <v>2724.07</v>
      </c>
      <c r="K309" s="107">
        <v>2724.07</v>
      </c>
      <c r="L309" s="107">
        <v>2724.07</v>
      </c>
      <c r="M309" s="107">
        <v>2724.07</v>
      </c>
      <c r="N309" s="107">
        <v>30024.48</v>
      </c>
    </row>
    <row r="310" spans="1:14">
      <c r="A310" s="64" t="s">
        <v>241</v>
      </c>
      <c r="B310" s="107">
        <v>360.42</v>
      </c>
      <c r="C310" s="107">
        <v>360.42</v>
      </c>
      <c r="D310" s="107">
        <v>360.42</v>
      </c>
      <c r="E310" s="107">
        <v>360.42</v>
      </c>
      <c r="F310" s="107">
        <v>360.42</v>
      </c>
      <c r="G310" s="107">
        <v>360.42</v>
      </c>
      <c r="H310" s="107">
        <v>2638.18</v>
      </c>
      <c r="I310" s="107">
        <v>-360.42</v>
      </c>
      <c r="J310" s="22"/>
      <c r="K310" s="22"/>
      <c r="L310" s="22"/>
      <c r="M310" s="22"/>
      <c r="N310" s="107">
        <v>4440.28</v>
      </c>
    </row>
    <row r="311" spans="1:14">
      <c r="A311" s="64" t="s">
        <v>242</v>
      </c>
      <c r="B311" s="107">
        <v>5777.67</v>
      </c>
      <c r="C311" s="107">
        <v>6280.08</v>
      </c>
      <c r="D311" s="107">
        <v>6280.08</v>
      </c>
      <c r="E311" s="107">
        <v>6280.08</v>
      </c>
      <c r="F311" s="107">
        <v>6280.08</v>
      </c>
      <c r="G311" s="107">
        <v>6859.74</v>
      </c>
      <c r="H311" s="107">
        <v>6280.08</v>
      </c>
      <c r="I311" s="107">
        <v>6280.08</v>
      </c>
      <c r="J311" s="107">
        <v>6280.08</v>
      </c>
      <c r="K311" s="107">
        <v>6280.08</v>
      </c>
      <c r="L311" s="107">
        <v>6280.08</v>
      </c>
      <c r="M311" s="107">
        <v>6280.08</v>
      </c>
      <c r="N311" s="107">
        <v>75438.210000000006</v>
      </c>
    </row>
    <row r="312" spans="1:14">
      <c r="A312" s="64" t="s">
        <v>284</v>
      </c>
      <c r="B312" s="22"/>
      <c r="C312" s="22"/>
      <c r="D312" s="22"/>
      <c r="E312" s="107">
        <v>125</v>
      </c>
      <c r="F312" s="107">
        <v>6999</v>
      </c>
      <c r="G312" s="22"/>
      <c r="H312" s="22"/>
      <c r="I312" s="107"/>
      <c r="J312" s="107">
        <v>27049</v>
      </c>
      <c r="K312" s="22"/>
      <c r="L312" s="22"/>
      <c r="M312" s="22"/>
      <c r="N312" s="107">
        <v>34173</v>
      </c>
    </row>
    <row r="313" spans="1:14">
      <c r="A313" s="64" t="s">
        <v>243</v>
      </c>
      <c r="B313" s="22"/>
      <c r="C313" s="22"/>
      <c r="D313" s="22"/>
      <c r="E313" s="22"/>
      <c r="F313" s="22"/>
      <c r="G313" s="22"/>
      <c r="H313" s="22"/>
      <c r="I313" s="22"/>
      <c r="J313" s="22"/>
      <c r="K313" s="107">
        <v>4756.6099999999997</v>
      </c>
      <c r="L313" s="22"/>
      <c r="M313" s="22"/>
      <c r="N313" s="107">
        <v>4756.6099999999997</v>
      </c>
    </row>
    <row r="314" spans="1:14">
      <c r="A314" s="64" t="s">
        <v>387</v>
      </c>
      <c r="B314" s="113"/>
      <c r="C314" s="113"/>
      <c r="D314" s="113"/>
      <c r="E314" s="113"/>
      <c r="F314" s="113"/>
      <c r="G314" s="113"/>
      <c r="H314" s="113"/>
      <c r="I314" s="113"/>
      <c r="J314" s="113"/>
      <c r="K314" s="113"/>
      <c r="L314" s="113"/>
      <c r="M314" s="113"/>
      <c r="N314" s="113"/>
    </row>
    <row r="315" spans="1:14">
      <c r="A315" s="64" t="s">
        <v>244</v>
      </c>
      <c r="B315" s="107">
        <f t="shared" ref="B315:M315" si="59">SUM(B307:B314)</f>
        <v>8418.1</v>
      </c>
      <c r="C315" s="107">
        <f t="shared" si="59"/>
        <v>8920.51</v>
      </c>
      <c r="D315" s="107">
        <f t="shared" si="59"/>
        <v>8920.51</v>
      </c>
      <c r="E315" s="107">
        <f t="shared" si="59"/>
        <v>9045.51</v>
      </c>
      <c r="F315" s="107">
        <f t="shared" si="59"/>
        <v>15919.51</v>
      </c>
      <c r="G315" s="107">
        <f t="shared" si="59"/>
        <v>9500.17</v>
      </c>
      <c r="H315" s="107">
        <f t="shared" si="59"/>
        <v>11198.27</v>
      </c>
      <c r="I315" s="107">
        <f t="shared" si="59"/>
        <v>9087.7900000000009</v>
      </c>
      <c r="J315" s="107">
        <f t="shared" si="59"/>
        <v>36053.15</v>
      </c>
      <c r="K315" s="107">
        <f t="shared" si="59"/>
        <v>13760.759999999998</v>
      </c>
      <c r="L315" s="107">
        <f t="shared" si="59"/>
        <v>9004.15</v>
      </c>
      <c r="M315" s="107">
        <f t="shared" si="59"/>
        <v>9004.15</v>
      </c>
      <c r="N315" s="107">
        <v>148832.57999999999</v>
      </c>
    </row>
    <row r="316" spans="1:14">
      <c r="A316" s="64"/>
      <c r="B316" s="22"/>
      <c r="C316" s="22"/>
      <c r="D316" s="22"/>
      <c r="E316" s="22"/>
      <c r="F316" s="22"/>
      <c r="G316" s="22"/>
      <c r="H316" s="22"/>
      <c r="I316" s="22"/>
      <c r="J316" s="22"/>
      <c r="K316" s="22"/>
      <c r="L316" s="22"/>
      <c r="M316" s="22"/>
      <c r="N316" s="22"/>
    </row>
    <row r="317" spans="1:14">
      <c r="A317" s="64" t="s">
        <v>245</v>
      </c>
      <c r="B317" s="22"/>
      <c r="C317" s="22"/>
      <c r="D317" s="22"/>
      <c r="E317" s="22"/>
      <c r="F317" s="22"/>
      <c r="G317" s="22"/>
      <c r="H317" s="22"/>
      <c r="I317" s="22"/>
      <c r="J317" s="22"/>
      <c r="K317" s="22"/>
      <c r="L317" s="22"/>
      <c r="M317" s="22"/>
      <c r="N317" s="22"/>
    </row>
    <row r="318" spans="1:14">
      <c r="A318" s="64" t="s">
        <v>246</v>
      </c>
      <c r="B318" s="107">
        <v>7619.46</v>
      </c>
      <c r="C318" s="107">
        <v>7590.38</v>
      </c>
      <c r="D318" s="107">
        <v>7678.56</v>
      </c>
      <c r="E318" s="107">
        <v>7658.9</v>
      </c>
      <c r="F318" s="107">
        <v>7744.98</v>
      </c>
      <c r="G318" s="107">
        <v>3872.49</v>
      </c>
      <c r="H318" s="107">
        <v>11573.37</v>
      </c>
      <c r="I318" s="107">
        <v>7768.1</v>
      </c>
      <c r="J318" s="107">
        <v>7720.6</v>
      </c>
      <c r="K318" s="107">
        <v>7857.7</v>
      </c>
      <c r="L318" s="107">
        <v>7750.96</v>
      </c>
      <c r="M318" s="107">
        <v>7726.54</v>
      </c>
      <c r="N318" s="107">
        <v>92562.04</v>
      </c>
    </row>
    <row r="319" spans="1:14">
      <c r="A319" s="64" t="s">
        <v>247</v>
      </c>
      <c r="B319" s="107">
        <v>6772.46</v>
      </c>
      <c r="C319" s="107">
        <v>6694.62</v>
      </c>
      <c r="D319" s="107">
        <v>6602</v>
      </c>
      <c r="E319" s="107">
        <v>6798.34</v>
      </c>
      <c r="F319" s="107">
        <v>6530.84</v>
      </c>
      <c r="G319" s="107">
        <v>3265.42</v>
      </c>
      <c r="H319" s="107">
        <v>9608.26</v>
      </c>
      <c r="I319" s="107">
        <v>6338.42</v>
      </c>
      <c r="J319" s="107">
        <v>6780.74</v>
      </c>
      <c r="K319" s="107">
        <v>6643.48</v>
      </c>
      <c r="L319" s="107">
        <v>7296.74</v>
      </c>
      <c r="M319" s="107">
        <v>7067.12</v>
      </c>
      <c r="N319" s="107">
        <v>80398.44</v>
      </c>
    </row>
    <row r="320" spans="1:14">
      <c r="A320" s="64" t="s">
        <v>248</v>
      </c>
      <c r="B320" s="22"/>
      <c r="C320" s="22"/>
      <c r="D320" s="22"/>
      <c r="E320" s="22"/>
      <c r="F320" s="107">
        <v>91.02</v>
      </c>
      <c r="G320" s="22"/>
      <c r="H320" s="107">
        <v>364.2</v>
      </c>
      <c r="I320" s="107">
        <v>182.1</v>
      </c>
      <c r="J320" s="107">
        <v>182.1</v>
      </c>
      <c r="K320" s="107">
        <v>182.1</v>
      </c>
      <c r="L320" s="107">
        <v>182.1</v>
      </c>
      <c r="M320" s="107">
        <v>182.1</v>
      </c>
      <c r="N320" s="107">
        <v>1365.72</v>
      </c>
    </row>
    <row r="321" spans="1:14">
      <c r="A321" s="64" t="s">
        <v>362</v>
      </c>
      <c r="B321" s="107">
        <v>750</v>
      </c>
      <c r="C321" s="107">
        <v>750</v>
      </c>
      <c r="D321" s="107">
        <v>750</v>
      </c>
      <c r="E321" s="107">
        <v>750</v>
      </c>
      <c r="F321" s="107">
        <v>750</v>
      </c>
      <c r="G321" s="107">
        <v>750</v>
      </c>
      <c r="H321" s="107">
        <v>750</v>
      </c>
      <c r="I321" s="107">
        <v>750</v>
      </c>
      <c r="J321" s="107">
        <v>750</v>
      </c>
      <c r="K321" s="107">
        <v>750</v>
      </c>
      <c r="L321" s="107">
        <v>750</v>
      </c>
      <c r="M321" s="107">
        <v>750</v>
      </c>
      <c r="N321" s="107">
        <v>9000</v>
      </c>
    </row>
    <row r="322" spans="1:14">
      <c r="A322" s="64" t="s">
        <v>363</v>
      </c>
      <c r="B322" s="111">
        <v>-7195.96</v>
      </c>
      <c r="C322" s="111">
        <v>-7142.5</v>
      </c>
      <c r="D322" s="111">
        <v>-7140.28</v>
      </c>
      <c r="E322" s="111">
        <v>-7228.62</v>
      </c>
      <c r="F322" s="111">
        <v>-7137.91</v>
      </c>
      <c r="G322" s="113"/>
      <c r="H322" s="111">
        <v>-14341.87</v>
      </c>
      <c r="I322" s="111">
        <v>-7144.31</v>
      </c>
      <c r="J322" s="111">
        <v>-7341.72</v>
      </c>
      <c r="K322" s="111">
        <v>-7341.64</v>
      </c>
      <c r="L322" s="111">
        <v>-7614.9</v>
      </c>
      <c r="M322" s="111">
        <v>-7487.88</v>
      </c>
      <c r="N322" s="111">
        <v>-87117.59</v>
      </c>
    </row>
    <row r="323" spans="1:14">
      <c r="A323" s="64" t="s">
        <v>250</v>
      </c>
      <c r="B323" s="107">
        <f t="shared" ref="B323:M323" si="60">SUM(B316:B322)</f>
        <v>7945.96</v>
      </c>
      <c r="C323" s="107">
        <f t="shared" si="60"/>
        <v>7892.5</v>
      </c>
      <c r="D323" s="107">
        <f t="shared" si="60"/>
        <v>7890.2800000000016</v>
      </c>
      <c r="E323" s="107">
        <f t="shared" si="60"/>
        <v>7978.62</v>
      </c>
      <c r="F323" s="107">
        <f t="shared" si="60"/>
        <v>7978.93</v>
      </c>
      <c r="G323" s="107">
        <f t="shared" si="60"/>
        <v>7887.91</v>
      </c>
      <c r="H323" s="107">
        <f t="shared" si="60"/>
        <v>7953.9600000000009</v>
      </c>
      <c r="I323" s="107">
        <f t="shared" si="60"/>
        <v>7894.31</v>
      </c>
      <c r="J323" s="107">
        <f t="shared" si="60"/>
        <v>8091.72</v>
      </c>
      <c r="K323" s="107">
        <f t="shared" si="60"/>
        <v>8091.64</v>
      </c>
      <c r="L323" s="107">
        <f t="shared" si="60"/>
        <v>8364.9000000000015</v>
      </c>
      <c r="M323" s="107">
        <f t="shared" si="60"/>
        <v>8237.880000000001</v>
      </c>
      <c r="N323" s="107">
        <v>96208.61</v>
      </c>
    </row>
    <row r="324" spans="1:14">
      <c r="A324" s="64"/>
      <c r="B324" s="22"/>
      <c r="C324" s="22"/>
      <c r="D324" s="22"/>
      <c r="E324" s="22"/>
      <c r="F324" s="22"/>
      <c r="G324" s="22"/>
      <c r="H324" s="22"/>
      <c r="I324" s="22"/>
      <c r="J324" s="22"/>
      <c r="K324" s="22"/>
      <c r="L324" s="22"/>
      <c r="M324" s="22"/>
      <c r="N324" s="22"/>
    </row>
    <row r="325" spans="1:14">
      <c r="A325" s="64" t="s">
        <v>251</v>
      </c>
      <c r="B325" s="22"/>
      <c r="C325" s="22"/>
      <c r="D325" s="22"/>
      <c r="E325" s="22"/>
      <c r="F325" s="22"/>
      <c r="G325" s="22"/>
      <c r="H325" s="22"/>
      <c r="I325" s="22"/>
      <c r="J325" s="22"/>
      <c r="K325" s="22"/>
      <c r="L325" s="22"/>
      <c r="M325" s="22"/>
      <c r="N325" s="22"/>
    </row>
    <row r="326" spans="1:14">
      <c r="A326" s="64" t="s">
        <v>252</v>
      </c>
      <c r="B326" s="107">
        <v>134129</v>
      </c>
      <c r="C326" s="107">
        <v>137022.57999999999</v>
      </c>
      <c r="D326" s="107">
        <v>137022.57999999999</v>
      </c>
      <c r="E326" s="107">
        <v>137022.57999999999</v>
      </c>
      <c r="F326" s="107">
        <v>137022.57999999999</v>
      </c>
      <c r="G326" s="107">
        <v>137022.57999999999</v>
      </c>
      <c r="H326" s="107">
        <v>137022.57999999999</v>
      </c>
      <c r="I326" s="107">
        <v>137022.57999999999</v>
      </c>
      <c r="J326" s="107">
        <v>137022.57999999999</v>
      </c>
      <c r="K326" s="107">
        <v>137022.57999999999</v>
      </c>
      <c r="L326" s="107">
        <v>137022.57999999999</v>
      </c>
      <c r="M326" s="107">
        <v>148973.44</v>
      </c>
      <c r="N326" s="107">
        <v>1653328.24</v>
      </c>
    </row>
    <row r="327" spans="1:14">
      <c r="A327" s="64" t="s">
        <v>388</v>
      </c>
      <c r="B327" s="107">
        <v>-20000</v>
      </c>
      <c r="C327" s="107">
        <v>-20000</v>
      </c>
      <c r="D327" s="107">
        <v>-20000</v>
      </c>
      <c r="E327" s="107">
        <v>-20000</v>
      </c>
      <c r="F327" s="107">
        <v>-20000</v>
      </c>
      <c r="G327" s="107">
        <v>-20000</v>
      </c>
      <c r="H327" s="107">
        <v>-20000</v>
      </c>
      <c r="I327" s="107">
        <v>-20000</v>
      </c>
      <c r="J327" s="107">
        <v>-20000</v>
      </c>
      <c r="K327" s="107">
        <v>-20000</v>
      </c>
      <c r="L327" s="107">
        <v>-20000</v>
      </c>
      <c r="M327" s="107">
        <v>-20000</v>
      </c>
      <c r="N327" s="107">
        <v>-240000</v>
      </c>
    </row>
    <row r="328" spans="1:14">
      <c r="A328" s="64" t="s">
        <v>253</v>
      </c>
      <c r="B328" s="107">
        <v>101.32</v>
      </c>
      <c r="C328" s="107">
        <v>101.32</v>
      </c>
      <c r="D328" s="107">
        <v>101.32</v>
      </c>
      <c r="E328" s="107">
        <v>101.32</v>
      </c>
      <c r="F328" s="107">
        <v>101.32</v>
      </c>
      <c r="G328" s="22"/>
      <c r="H328" s="22"/>
      <c r="I328" s="22"/>
      <c r="J328" s="107">
        <v>51.39</v>
      </c>
      <c r="K328" s="107">
        <v>51.39</v>
      </c>
      <c r="L328" s="107">
        <v>51.39</v>
      </c>
      <c r="M328" s="107">
        <v>51.39</v>
      </c>
      <c r="N328" s="107">
        <v>712.16</v>
      </c>
    </row>
    <row r="329" spans="1:14">
      <c r="A329" s="64" t="s">
        <v>254</v>
      </c>
      <c r="B329" s="113"/>
      <c r="C329" s="113"/>
      <c r="D329" s="111">
        <v>4.92</v>
      </c>
      <c r="E329" s="111">
        <v>65.78</v>
      </c>
      <c r="F329" s="111">
        <v>77.61</v>
      </c>
      <c r="G329" s="111">
        <v>60.33</v>
      </c>
      <c r="H329" s="111">
        <v>20</v>
      </c>
      <c r="I329" s="111">
        <v>52</v>
      </c>
      <c r="J329" s="111">
        <v>52.69</v>
      </c>
      <c r="K329" s="113"/>
      <c r="L329" s="111">
        <v>12.7</v>
      </c>
      <c r="M329" s="111">
        <v>227.73</v>
      </c>
      <c r="N329" s="111">
        <v>573.76</v>
      </c>
    </row>
    <row r="330" spans="1:14">
      <c r="A330" s="64" t="s">
        <v>255</v>
      </c>
      <c r="B330" s="107">
        <f t="shared" ref="B330:M330" si="61">SUM(B324:B329)</f>
        <v>114230.32</v>
      </c>
      <c r="C330" s="107">
        <f t="shared" si="61"/>
        <v>117123.9</v>
      </c>
      <c r="D330" s="107">
        <f t="shared" si="61"/>
        <v>117128.81999999999</v>
      </c>
      <c r="E330" s="107">
        <f t="shared" si="61"/>
        <v>117189.68</v>
      </c>
      <c r="F330" s="107">
        <f t="shared" si="61"/>
        <v>117201.51</v>
      </c>
      <c r="G330" s="107">
        <f t="shared" si="61"/>
        <v>117082.90999999999</v>
      </c>
      <c r="H330" s="107">
        <f t="shared" si="61"/>
        <v>117042.57999999999</v>
      </c>
      <c r="I330" s="107">
        <f t="shared" si="61"/>
        <v>117074.57999999999</v>
      </c>
      <c r="J330" s="107">
        <f t="shared" si="61"/>
        <v>117126.65999999999</v>
      </c>
      <c r="K330" s="107">
        <f t="shared" si="61"/>
        <v>117073.96999999999</v>
      </c>
      <c r="L330" s="107">
        <f t="shared" si="61"/>
        <v>117086.66999999998</v>
      </c>
      <c r="M330" s="107">
        <f t="shared" si="61"/>
        <v>129252.56</v>
      </c>
      <c r="N330" s="107">
        <v>1414614.16</v>
      </c>
    </row>
    <row r="331" spans="1:14">
      <c r="A331" s="64"/>
      <c r="B331" s="22"/>
      <c r="C331" s="22"/>
      <c r="D331" s="22"/>
      <c r="E331" s="22"/>
      <c r="F331" s="22"/>
      <c r="G331" s="22"/>
      <c r="H331" s="22"/>
      <c r="I331" s="22"/>
      <c r="J331" s="22"/>
      <c r="K331" s="22"/>
      <c r="L331" s="22"/>
      <c r="M331" s="22"/>
      <c r="N331" s="22"/>
    </row>
    <row r="332" spans="1:14">
      <c r="A332" s="64" t="s">
        <v>256</v>
      </c>
      <c r="B332" s="22"/>
      <c r="C332" s="22"/>
      <c r="D332" s="22"/>
      <c r="E332" s="22"/>
      <c r="F332" s="22"/>
      <c r="G332" s="22"/>
      <c r="H332" s="22"/>
      <c r="I332" s="22"/>
      <c r="J332" s="22"/>
      <c r="K332" s="22"/>
      <c r="L332" s="22"/>
      <c r="M332" s="22"/>
      <c r="N332" s="22"/>
    </row>
    <row r="333" spans="1:14">
      <c r="A333" s="64" t="s">
        <v>257</v>
      </c>
      <c r="B333" s="111">
        <v>492.1</v>
      </c>
      <c r="C333" s="111">
        <v>-432.13</v>
      </c>
      <c r="D333" s="113"/>
      <c r="E333" s="113"/>
      <c r="F333" s="111">
        <v>-16316.79</v>
      </c>
      <c r="G333" s="113"/>
      <c r="H333" s="111"/>
      <c r="I333" s="113"/>
      <c r="J333" s="113"/>
      <c r="K333" s="113"/>
      <c r="L333" s="113"/>
      <c r="M333" s="113"/>
      <c r="N333" s="111">
        <v>-16256.82</v>
      </c>
    </row>
    <row r="334" spans="1:14">
      <c r="A334" s="64" t="s">
        <v>258</v>
      </c>
      <c r="B334" s="107">
        <f>SUM(B331:B333)</f>
        <v>492.1</v>
      </c>
      <c r="C334" s="107">
        <f>SUM(C331:C333)</f>
        <v>-432.13</v>
      </c>
      <c r="D334" s="107"/>
      <c r="E334" s="107"/>
      <c r="F334" s="107">
        <f>SUM(F331:F333)</f>
        <v>-16316.79</v>
      </c>
      <c r="G334" s="107"/>
      <c r="H334" s="107"/>
      <c r="I334" s="107"/>
      <c r="J334" s="107"/>
      <c r="K334" s="107"/>
      <c r="L334" s="107"/>
      <c r="M334" s="107"/>
      <c r="N334" s="107">
        <v>-16256.82</v>
      </c>
    </row>
    <row r="335" spans="1:14">
      <c r="A335" s="64"/>
      <c r="B335" s="22"/>
      <c r="C335" s="22"/>
      <c r="D335" s="22"/>
      <c r="E335" s="22"/>
      <c r="F335" s="22"/>
      <c r="G335" s="22"/>
      <c r="H335" s="22"/>
      <c r="I335" s="22"/>
      <c r="J335" s="22"/>
      <c r="K335" s="22"/>
      <c r="L335" s="22"/>
      <c r="M335" s="22"/>
      <c r="N335" s="22"/>
    </row>
    <row r="336" spans="1:14" ht="15.75" thickBot="1">
      <c r="A336" s="64" t="s">
        <v>62</v>
      </c>
      <c r="B336" s="112">
        <f t="shared" ref="B336:M336" si="62">SUM(B192:B335)-B211-B217-B227-B243-B269-B285-B293-B301-B306-B315-B323-B330-B334</f>
        <v>734206.07999999973</v>
      </c>
      <c r="C336" s="112">
        <f t="shared" si="62"/>
        <v>736441.53000000049</v>
      </c>
      <c r="D336" s="112">
        <f t="shared" si="62"/>
        <v>720329.25999999966</v>
      </c>
      <c r="E336" s="112">
        <f t="shared" si="62"/>
        <v>700792.2200000002</v>
      </c>
      <c r="F336" s="112">
        <f t="shared" si="62"/>
        <v>105207.41999999987</v>
      </c>
      <c r="G336" s="112">
        <f t="shared" si="62"/>
        <v>730915.19999999914</v>
      </c>
      <c r="H336" s="112">
        <f t="shared" si="62"/>
        <v>725050.22000000009</v>
      </c>
      <c r="I336" s="112">
        <f t="shared" si="62"/>
        <v>678908.28999999946</v>
      </c>
      <c r="J336" s="112">
        <f t="shared" si="62"/>
        <v>682863.6599999998</v>
      </c>
      <c r="K336" s="112">
        <f t="shared" si="62"/>
        <v>685992.04000000015</v>
      </c>
      <c r="L336" s="112">
        <f t="shared" si="62"/>
        <v>683020.82999999984</v>
      </c>
      <c r="M336" s="112">
        <f t="shared" si="62"/>
        <v>759509.30999999959</v>
      </c>
      <c r="N336" s="112">
        <v>7943236.0599999996</v>
      </c>
    </row>
    <row r="337" spans="1:14" ht="15.75" thickTop="1">
      <c r="A337" s="64"/>
      <c r="B337" s="22"/>
      <c r="C337" s="22"/>
      <c r="D337" s="22"/>
      <c r="E337" s="22"/>
      <c r="F337" s="22"/>
      <c r="G337" s="22"/>
      <c r="H337" s="22"/>
      <c r="I337" s="22"/>
      <c r="J337" s="22"/>
      <c r="K337" s="22"/>
      <c r="L337" s="22"/>
      <c r="M337" s="22"/>
      <c r="N337" s="22"/>
    </row>
    <row r="338" spans="1:14" ht="15.75" thickBot="1">
      <c r="A338" s="64" t="s">
        <v>259</v>
      </c>
      <c r="B338" s="112">
        <f t="shared" ref="B338:M338" si="63">+B189-B336</f>
        <v>68208.60000000149</v>
      </c>
      <c r="C338" s="112">
        <f t="shared" si="63"/>
        <v>19986.320000000182</v>
      </c>
      <c r="D338" s="112">
        <f t="shared" si="63"/>
        <v>-21307.989999999991</v>
      </c>
      <c r="E338" s="112">
        <f t="shared" si="63"/>
        <v>-33005.43000000075</v>
      </c>
      <c r="F338" s="112">
        <f t="shared" si="63"/>
        <v>227422.84000000072</v>
      </c>
      <c r="G338" s="112">
        <f t="shared" si="63"/>
        <v>124744.92000000179</v>
      </c>
      <c r="H338" s="112">
        <f t="shared" si="63"/>
        <v>-85781.240000000573</v>
      </c>
      <c r="I338" s="112">
        <f t="shared" si="63"/>
        <v>-58661.339999999618</v>
      </c>
      <c r="J338" s="112">
        <f t="shared" si="63"/>
        <v>-116688.54999999958</v>
      </c>
      <c r="K338" s="112">
        <f t="shared" si="63"/>
        <v>-98907.180000000983</v>
      </c>
      <c r="L338" s="112">
        <f t="shared" si="63"/>
        <v>-5360.210000000312</v>
      </c>
      <c r="M338" s="112">
        <f t="shared" si="63"/>
        <v>11259.570000000065</v>
      </c>
      <c r="N338" s="112">
        <v>31910.31</v>
      </c>
    </row>
    <row r="339" spans="1:14" ht="15.75" thickTop="1">
      <c r="A339" s="64"/>
      <c r="B339" s="22"/>
      <c r="C339" s="22"/>
      <c r="D339" s="22"/>
      <c r="E339" s="22"/>
      <c r="F339" s="22"/>
      <c r="G339" s="22"/>
      <c r="H339" s="22"/>
      <c r="I339" s="22"/>
      <c r="J339" s="22"/>
      <c r="K339" s="22"/>
      <c r="L339" s="22"/>
      <c r="M339" s="22"/>
      <c r="N339" s="22"/>
    </row>
    <row r="340" spans="1:14">
      <c r="A340" s="64" t="s">
        <v>351</v>
      </c>
      <c r="B340" s="111">
        <v>29932.51</v>
      </c>
      <c r="C340" s="111">
        <v>22705.759999999998</v>
      </c>
      <c r="D340" s="111">
        <v>19012.939999999999</v>
      </c>
      <c r="E340" s="111">
        <v>21957.06</v>
      </c>
      <c r="F340" s="111">
        <v>33930.559999999998</v>
      </c>
      <c r="G340" s="111">
        <v>40511.32</v>
      </c>
      <c r="H340" s="111">
        <v>32072.05</v>
      </c>
      <c r="I340" s="111">
        <v>5749.28</v>
      </c>
      <c r="J340" s="111">
        <v>7500.15</v>
      </c>
      <c r="K340" s="111">
        <v>7327.62</v>
      </c>
      <c r="L340" s="111">
        <v>6426.74</v>
      </c>
      <c r="M340" s="111">
        <v>3935.81</v>
      </c>
      <c r="N340" s="111">
        <v>231061.8</v>
      </c>
    </row>
    <row r="341" spans="1:14">
      <c r="A341" s="64" t="s">
        <v>64</v>
      </c>
      <c r="B341" s="107">
        <f t="shared" ref="B341:M341" si="64">SUM(B339:B340)</f>
        <v>29932.51</v>
      </c>
      <c r="C341" s="107">
        <f t="shared" si="64"/>
        <v>22705.759999999998</v>
      </c>
      <c r="D341" s="107">
        <f t="shared" si="64"/>
        <v>19012.939999999999</v>
      </c>
      <c r="E341" s="107">
        <f t="shared" si="64"/>
        <v>21957.06</v>
      </c>
      <c r="F341" s="107">
        <f t="shared" si="64"/>
        <v>33930.559999999998</v>
      </c>
      <c r="G341" s="107">
        <f t="shared" si="64"/>
        <v>40511.32</v>
      </c>
      <c r="H341" s="107">
        <f t="shared" si="64"/>
        <v>32072.05</v>
      </c>
      <c r="I341" s="107">
        <f t="shared" si="64"/>
        <v>5749.28</v>
      </c>
      <c r="J341" s="107">
        <f t="shared" si="64"/>
        <v>7500.15</v>
      </c>
      <c r="K341" s="107">
        <f t="shared" si="64"/>
        <v>7327.62</v>
      </c>
      <c r="L341" s="107">
        <f t="shared" si="64"/>
        <v>6426.74</v>
      </c>
      <c r="M341" s="107">
        <f t="shared" si="64"/>
        <v>3935.81</v>
      </c>
      <c r="N341" s="107">
        <v>231061.8</v>
      </c>
    </row>
    <row r="342" spans="1:14">
      <c r="A342" s="64"/>
      <c r="B342" s="22"/>
      <c r="C342" s="22"/>
      <c r="D342" s="22"/>
      <c r="E342" s="22"/>
      <c r="F342" s="22"/>
      <c r="G342" s="22"/>
      <c r="H342" s="22"/>
      <c r="I342" s="22"/>
      <c r="J342" s="22"/>
      <c r="K342" s="22"/>
      <c r="L342" s="22"/>
      <c r="M342" s="22"/>
      <c r="N342" s="22"/>
    </row>
    <row r="343" spans="1:14" ht="15.75" thickBot="1">
      <c r="A343" s="64" t="s">
        <v>22</v>
      </c>
      <c r="B343" s="112">
        <f t="shared" ref="B343:M343" si="65">+B338-B341</f>
        <v>38276.090000001495</v>
      </c>
      <c r="C343" s="112">
        <f t="shared" si="65"/>
        <v>-2719.4399999998168</v>
      </c>
      <c r="D343" s="112">
        <f t="shared" si="65"/>
        <v>-40320.929999999993</v>
      </c>
      <c r="E343" s="112">
        <f t="shared" si="65"/>
        <v>-54962.490000000747</v>
      </c>
      <c r="F343" s="112">
        <f t="shared" si="65"/>
        <v>193492.28000000073</v>
      </c>
      <c r="G343" s="112">
        <f t="shared" si="65"/>
        <v>84233.600000001781</v>
      </c>
      <c r="H343" s="112">
        <f t="shared" si="65"/>
        <v>-117853.29000000058</v>
      </c>
      <c r="I343" s="112">
        <f t="shared" si="65"/>
        <v>-64410.619999999617</v>
      </c>
      <c r="J343" s="112">
        <f t="shared" si="65"/>
        <v>-124188.69999999958</v>
      </c>
      <c r="K343" s="112">
        <f t="shared" si="65"/>
        <v>-106234.80000000098</v>
      </c>
      <c r="L343" s="112">
        <f t="shared" si="65"/>
        <v>-11786.950000000312</v>
      </c>
      <c r="M343" s="112">
        <f t="shared" si="65"/>
        <v>7323.7600000000657</v>
      </c>
      <c r="N343" s="112">
        <v>-199151.49</v>
      </c>
    </row>
    <row r="344" spans="1:14" ht="15.75" thickTop="1">
      <c r="A344" s="64"/>
      <c r="B344" s="22"/>
      <c r="C344" s="22"/>
      <c r="D344" s="22"/>
      <c r="E344" s="22"/>
      <c r="F344" s="22"/>
      <c r="G344" s="22"/>
      <c r="H344" s="22"/>
      <c r="I344" s="22"/>
      <c r="J344" s="22"/>
      <c r="K344" s="22"/>
      <c r="L344" s="22"/>
      <c r="M344" s="22"/>
      <c r="N344" s="22"/>
    </row>
    <row r="345" spans="1:14">
      <c r="A345" s="64"/>
      <c r="B345" s="22"/>
      <c r="C345" s="22"/>
      <c r="D345" s="22"/>
      <c r="E345" s="22"/>
      <c r="F345" s="22"/>
      <c r="G345" s="22"/>
      <c r="H345" s="22"/>
      <c r="I345" s="22"/>
      <c r="J345" s="22"/>
      <c r="K345" s="22"/>
      <c r="L345" s="22"/>
      <c r="M345" s="22"/>
      <c r="N345" s="22"/>
    </row>
    <row r="346" spans="1:14">
      <c r="A346" s="64" t="s">
        <v>260</v>
      </c>
      <c r="B346" s="22"/>
      <c r="C346" s="22"/>
      <c r="D346" s="22"/>
      <c r="E346" s="22"/>
      <c r="F346" s="22"/>
      <c r="G346" s="22"/>
      <c r="H346" s="22"/>
      <c r="I346" s="22"/>
      <c r="J346" s="22"/>
      <c r="K346" s="22"/>
      <c r="L346" s="22"/>
      <c r="M346" s="22"/>
      <c r="N346" s="22"/>
    </row>
    <row r="347" spans="1:14">
      <c r="A347" s="64"/>
      <c r="B347" s="22"/>
      <c r="C347" s="22"/>
      <c r="D347" s="22"/>
      <c r="E347" s="22"/>
      <c r="F347" s="22"/>
      <c r="G347" s="22"/>
      <c r="H347" s="22"/>
      <c r="I347" s="22"/>
      <c r="J347" s="22"/>
      <c r="K347" s="22"/>
      <c r="L347" s="22"/>
      <c r="M347" s="22"/>
      <c r="N347" s="22"/>
    </row>
    <row r="348" spans="1:14">
      <c r="A348" s="64" t="s">
        <v>19</v>
      </c>
      <c r="B348" s="22"/>
      <c r="C348" s="22"/>
      <c r="D348" s="22"/>
      <c r="E348" s="22"/>
      <c r="F348" s="22"/>
      <c r="G348" s="22"/>
      <c r="H348" s="22"/>
      <c r="I348" s="22"/>
      <c r="J348" s="22"/>
      <c r="K348" s="22"/>
      <c r="L348" s="22"/>
      <c r="M348" s="22"/>
      <c r="N348" s="22"/>
    </row>
    <row r="349" spans="1:14">
      <c r="A349" s="64" t="s">
        <v>261</v>
      </c>
      <c r="B349" s="22"/>
      <c r="C349" s="107">
        <v>12</v>
      </c>
      <c r="D349" s="107">
        <v>-34</v>
      </c>
      <c r="E349" s="22"/>
      <c r="F349" s="107">
        <v>18</v>
      </c>
      <c r="G349" s="107">
        <v>17</v>
      </c>
      <c r="H349" s="107">
        <v>3</v>
      </c>
      <c r="I349" s="22"/>
      <c r="J349" s="22"/>
      <c r="K349" s="22"/>
      <c r="L349" s="107">
        <v>300</v>
      </c>
      <c r="M349" s="107">
        <v>21</v>
      </c>
      <c r="N349" s="107">
        <v>337</v>
      </c>
    </row>
    <row r="350" spans="1:14">
      <c r="A350" s="64" t="s">
        <v>66</v>
      </c>
      <c r="B350" s="111">
        <v>1424</v>
      </c>
      <c r="C350" s="111">
        <v>1468</v>
      </c>
      <c r="D350" s="111">
        <v>1516</v>
      </c>
      <c r="E350" s="111">
        <v>1440</v>
      </c>
      <c r="F350" s="111">
        <v>1428</v>
      </c>
      <c r="G350" s="111">
        <v>1318</v>
      </c>
      <c r="H350" s="111">
        <v>1284</v>
      </c>
      <c r="I350" s="111">
        <v>1305</v>
      </c>
      <c r="J350" s="111">
        <v>1305</v>
      </c>
      <c r="K350" s="111">
        <v>1370</v>
      </c>
      <c r="L350" s="111">
        <v>1408</v>
      </c>
      <c r="M350" s="111">
        <v>1436</v>
      </c>
      <c r="N350" s="111">
        <v>16702</v>
      </c>
    </row>
    <row r="351" spans="1:14">
      <c r="A351" s="64" t="s">
        <v>85</v>
      </c>
      <c r="B351" s="107">
        <f t="shared" ref="B351:M351" si="66">SUM(B348:B350)</f>
        <v>1424</v>
      </c>
      <c r="C351" s="107">
        <f t="shared" si="66"/>
        <v>1480</v>
      </c>
      <c r="D351" s="107">
        <f t="shared" si="66"/>
        <v>1482</v>
      </c>
      <c r="E351" s="107">
        <f t="shared" si="66"/>
        <v>1440</v>
      </c>
      <c r="F351" s="107">
        <f t="shared" si="66"/>
        <v>1446</v>
      </c>
      <c r="G351" s="107">
        <f t="shared" si="66"/>
        <v>1335</v>
      </c>
      <c r="H351" s="107">
        <f t="shared" si="66"/>
        <v>1287</v>
      </c>
      <c r="I351" s="107">
        <f t="shared" si="66"/>
        <v>1305</v>
      </c>
      <c r="J351" s="107">
        <f t="shared" si="66"/>
        <v>1305</v>
      </c>
      <c r="K351" s="107">
        <f t="shared" si="66"/>
        <v>1370</v>
      </c>
      <c r="L351" s="107">
        <f t="shared" si="66"/>
        <v>1708</v>
      </c>
      <c r="M351" s="107">
        <f t="shared" si="66"/>
        <v>1457</v>
      </c>
      <c r="N351" s="107">
        <v>17039</v>
      </c>
    </row>
    <row r="352" spans="1:14">
      <c r="A352" s="64"/>
      <c r="B352" s="22"/>
      <c r="C352" s="22"/>
      <c r="D352" s="22"/>
      <c r="E352" s="22"/>
      <c r="F352" s="22"/>
      <c r="G352" s="22"/>
      <c r="H352" s="22"/>
      <c r="I352" s="22"/>
      <c r="J352" s="22"/>
      <c r="K352" s="22"/>
      <c r="L352" s="22"/>
      <c r="M352" s="22"/>
      <c r="N352" s="22"/>
    </row>
    <row r="353" spans="1:14">
      <c r="A353" s="64" t="s">
        <v>20</v>
      </c>
      <c r="B353" s="22"/>
      <c r="C353" s="22"/>
      <c r="D353" s="22"/>
      <c r="E353" s="22"/>
      <c r="F353" s="22"/>
      <c r="G353" s="22"/>
      <c r="H353" s="22"/>
      <c r="I353" s="22"/>
      <c r="J353" s="22"/>
      <c r="K353" s="22"/>
      <c r="L353" s="22"/>
      <c r="M353" s="22"/>
      <c r="N353" s="22"/>
    </row>
    <row r="354" spans="1:14">
      <c r="A354" s="64" t="s">
        <v>261</v>
      </c>
      <c r="B354" s="22"/>
      <c r="C354" s="107">
        <v>-12</v>
      </c>
      <c r="D354" s="107">
        <v>34</v>
      </c>
      <c r="E354" s="22"/>
      <c r="F354" s="22"/>
      <c r="G354" s="22"/>
      <c r="H354" s="22"/>
      <c r="I354" s="22"/>
      <c r="J354" s="22"/>
      <c r="K354" s="22"/>
      <c r="L354" s="22"/>
      <c r="M354" s="22"/>
      <c r="N354" s="107">
        <v>22</v>
      </c>
    </row>
    <row r="355" spans="1:14">
      <c r="A355" s="64" t="s">
        <v>66</v>
      </c>
      <c r="B355" s="111">
        <v>132</v>
      </c>
      <c r="C355" s="111">
        <v>141</v>
      </c>
      <c r="D355" s="111">
        <v>186</v>
      </c>
      <c r="E355" s="111">
        <v>152</v>
      </c>
      <c r="F355" s="111">
        <v>171</v>
      </c>
      <c r="G355" s="111">
        <v>182</v>
      </c>
      <c r="H355" s="111">
        <v>137</v>
      </c>
      <c r="I355" s="111">
        <v>178</v>
      </c>
      <c r="J355" s="111">
        <v>180</v>
      </c>
      <c r="K355" s="111">
        <v>164</v>
      </c>
      <c r="L355" s="111">
        <v>129</v>
      </c>
      <c r="M355" s="111">
        <v>155</v>
      </c>
      <c r="N355" s="111">
        <v>1907</v>
      </c>
    </row>
    <row r="356" spans="1:14">
      <c r="A356" s="64" t="s">
        <v>262</v>
      </c>
      <c r="B356" s="107">
        <f t="shared" ref="B356:M356" si="67">SUM(B352:B355)</f>
        <v>132</v>
      </c>
      <c r="C356" s="107">
        <f t="shared" si="67"/>
        <v>129</v>
      </c>
      <c r="D356" s="107">
        <f t="shared" si="67"/>
        <v>220</v>
      </c>
      <c r="E356" s="107">
        <f t="shared" si="67"/>
        <v>152</v>
      </c>
      <c r="F356" s="107">
        <f t="shared" si="67"/>
        <v>171</v>
      </c>
      <c r="G356" s="107">
        <f t="shared" si="67"/>
        <v>182</v>
      </c>
      <c r="H356" s="107">
        <f t="shared" si="67"/>
        <v>137</v>
      </c>
      <c r="I356" s="107">
        <f t="shared" si="67"/>
        <v>178</v>
      </c>
      <c r="J356" s="107">
        <f t="shared" si="67"/>
        <v>180</v>
      </c>
      <c r="K356" s="107">
        <f t="shared" si="67"/>
        <v>164</v>
      </c>
      <c r="L356" s="107">
        <f t="shared" si="67"/>
        <v>129</v>
      </c>
      <c r="M356" s="107">
        <f t="shared" si="67"/>
        <v>155</v>
      </c>
      <c r="N356" s="107">
        <v>1929</v>
      </c>
    </row>
    <row r="357" spans="1:14">
      <c r="A357" s="64"/>
      <c r="B357" s="22"/>
      <c r="C357" s="22"/>
      <c r="D357" s="22"/>
      <c r="E357" s="22"/>
      <c r="F357" s="22"/>
      <c r="G357" s="22"/>
      <c r="H357" s="22"/>
      <c r="I357" s="22"/>
      <c r="J357" s="22"/>
      <c r="K357" s="22"/>
      <c r="L357" s="22"/>
      <c r="M357" s="22"/>
      <c r="N357" s="22"/>
    </row>
    <row r="358" spans="1:14">
      <c r="A358" s="64" t="s">
        <v>263</v>
      </c>
      <c r="B358" s="22"/>
      <c r="C358" s="22"/>
      <c r="D358" s="22"/>
      <c r="E358" s="22"/>
      <c r="F358" s="22"/>
      <c r="G358" s="22"/>
      <c r="H358" s="22"/>
      <c r="I358" s="22"/>
      <c r="J358" s="22"/>
      <c r="K358" s="22"/>
      <c r="L358" s="22"/>
      <c r="M358" s="22"/>
      <c r="N358" s="22"/>
    </row>
    <row r="359" spans="1:14">
      <c r="A359" s="64" t="s">
        <v>261</v>
      </c>
      <c r="B359" s="22"/>
      <c r="C359" s="107">
        <v>-3</v>
      </c>
      <c r="D359" s="22"/>
      <c r="E359" s="22"/>
      <c r="F359" s="107">
        <v>17</v>
      </c>
      <c r="G359" s="107">
        <v>-8</v>
      </c>
      <c r="H359" s="22"/>
      <c r="I359" s="107">
        <v>97</v>
      </c>
      <c r="J359" s="22"/>
      <c r="K359" s="107">
        <v>-170</v>
      </c>
      <c r="L359" s="22"/>
      <c r="M359" s="107">
        <v>-21</v>
      </c>
      <c r="N359" s="107">
        <v>-88</v>
      </c>
    </row>
    <row r="360" spans="1:14">
      <c r="A360" s="64" t="s">
        <v>66</v>
      </c>
      <c r="B360" s="111">
        <v>338</v>
      </c>
      <c r="C360" s="111">
        <v>254</v>
      </c>
      <c r="D360" s="111">
        <v>178</v>
      </c>
      <c r="E360" s="111">
        <v>143</v>
      </c>
      <c r="F360" s="111">
        <v>366</v>
      </c>
      <c r="G360" s="111">
        <v>328</v>
      </c>
      <c r="H360" s="111">
        <v>148</v>
      </c>
      <c r="I360" s="111">
        <v>225</v>
      </c>
      <c r="J360" s="111">
        <v>107</v>
      </c>
      <c r="K360" s="111">
        <v>97</v>
      </c>
      <c r="L360" s="111">
        <v>154</v>
      </c>
      <c r="M360" s="111">
        <v>279</v>
      </c>
      <c r="N360" s="111">
        <v>2617</v>
      </c>
    </row>
    <row r="361" spans="1:14">
      <c r="A361" s="64" t="s">
        <v>264</v>
      </c>
      <c r="B361" s="107">
        <f t="shared" ref="B361:M361" si="68">SUM(B357:B360)</f>
        <v>338</v>
      </c>
      <c r="C361" s="107">
        <f t="shared" si="68"/>
        <v>251</v>
      </c>
      <c r="D361" s="107">
        <f t="shared" si="68"/>
        <v>178</v>
      </c>
      <c r="E361" s="107">
        <f t="shared" si="68"/>
        <v>143</v>
      </c>
      <c r="F361" s="107">
        <f t="shared" si="68"/>
        <v>383</v>
      </c>
      <c r="G361" s="107">
        <f t="shared" si="68"/>
        <v>320</v>
      </c>
      <c r="H361" s="107">
        <f t="shared" si="68"/>
        <v>148</v>
      </c>
      <c r="I361" s="107">
        <f t="shared" si="68"/>
        <v>322</v>
      </c>
      <c r="J361" s="107">
        <f t="shared" si="68"/>
        <v>107</v>
      </c>
      <c r="K361" s="107">
        <f t="shared" si="68"/>
        <v>-73</v>
      </c>
      <c r="L361" s="107">
        <f t="shared" si="68"/>
        <v>154</v>
      </c>
      <c r="M361" s="107">
        <f t="shared" si="68"/>
        <v>258</v>
      </c>
      <c r="N361" s="107">
        <v>2529</v>
      </c>
    </row>
    <row r="362" spans="1:14">
      <c r="A362" s="64"/>
      <c r="B362" s="22"/>
      <c r="C362" s="22"/>
      <c r="D362" s="22"/>
      <c r="E362" s="22"/>
      <c r="F362" s="22"/>
      <c r="G362" s="22"/>
      <c r="H362" s="22"/>
      <c r="I362" s="22"/>
      <c r="J362" s="22"/>
      <c r="K362" s="22"/>
      <c r="L362" s="22"/>
      <c r="M362" s="22"/>
      <c r="N362" s="22"/>
    </row>
    <row r="363" spans="1:14">
      <c r="A363" s="64" t="s">
        <v>265</v>
      </c>
      <c r="B363" s="113"/>
      <c r="C363" s="113"/>
      <c r="D363" s="113"/>
      <c r="E363" s="113"/>
      <c r="F363" s="113"/>
      <c r="G363" s="113"/>
      <c r="H363" s="113"/>
      <c r="I363" s="113"/>
      <c r="J363" s="113"/>
      <c r="K363" s="113"/>
      <c r="L363" s="113"/>
      <c r="M363" s="113"/>
      <c r="N363" s="113"/>
    </row>
    <row r="364" spans="1:14">
      <c r="A364" s="64" t="s">
        <v>319</v>
      </c>
      <c r="B364" s="107"/>
      <c r="C364" s="107"/>
      <c r="D364" s="107"/>
      <c r="E364" s="107"/>
      <c r="F364" s="107"/>
      <c r="G364" s="107"/>
      <c r="H364" s="107"/>
      <c r="I364" s="107"/>
      <c r="J364" s="107"/>
      <c r="K364" s="107"/>
      <c r="L364" s="107"/>
      <c r="M364" s="107"/>
      <c r="N364" s="107"/>
    </row>
    <row r="365" spans="1:14">
      <c r="A365" s="64"/>
      <c r="B365" s="22"/>
      <c r="C365" s="22"/>
      <c r="D365" s="22"/>
      <c r="E365" s="22"/>
      <c r="F365" s="22"/>
      <c r="G365" s="22"/>
      <c r="H365" s="22"/>
      <c r="I365" s="22"/>
      <c r="J365" s="22"/>
      <c r="K365" s="22"/>
      <c r="L365" s="22"/>
      <c r="M365" s="22"/>
      <c r="N365" s="22"/>
    </row>
    <row r="366" spans="1:14">
      <c r="A366" s="64" t="s">
        <v>106</v>
      </c>
      <c r="B366" s="22"/>
      <c r="C366" s="22"/>
      <c r="D366" s="22"/>
      <c r="E366" s="22"/>
      <c r="F366" s="22"/>
      <c r="G366" s="22"/>
      <c r="H366" s="22"/>
      <c r="I366" s="22"/>
      <c r="J366" s="22"/>
      <c r="K366" s="22"/>
      <c r="L366" s="22"/>
      <c r="M366" s="22"/>
      <c r="N366" s="22"/>
    </row>
    <row r="367" spans="1:14">
      <c r="A367" s="64" t="s">
        <v>261</v>
      </c>
      <c r="B367" s="107">
        <v>1</v>
      </c>
      <c r="C367" s="22"/>
      <c r="D367" s="107">
        <v>52</v>
      </c>
      <c r="E367" s="22"/>
      <c r="F367" s="107">
        <v>58</v>
      </c>
      <c r="G367" s="107">
        <v>5</v>
      </c>
      <c r="H367" s="107">
        <v>-9</v>
      </c>
      <c r="I367" s="107">
        <v>-108</v>
      </c>
      <c r="J367" s="22"/>
      <c r="K367" s="107">
        <v>170</v>
      </c>
      <c r="L367" s="22"/>
      <c r="M367" s="22"/>
      <c r="N367" s="107">
        <v>169</v>
      </c>
    </row>
    <row r="368" spans="1:14">
      <c r="A368" s="64" t="s">
        <v>66</v>
      </c>
      <c r="B368" s="111">
        <v>515</v>
      </c>
      <c r="C368" s="111">
        <v>432</v>
      </c>
      <c r="D368" s="111">
        <v>343</v>
      </c>
      <c r="E368" s="111">
        <v>417</v>
      </c>
      <c r="F368" s="111">
        <v>308</v>
      </c>
      <c r="G368" s="111">
        <v>705</v>
      </c>
      <c r="H368" s="111">
        <v>513</v>
      </c>
      <c r="I368" s="111">
        <v>225</v>
      </c>
      <c r="J368" s="111">
        <v>352</v>
      </c>
      <c r="K368" s="111">
        <v>278</v>
      </c>
      <c r="L368" s="111">
        <v>424</v>
      </c>
      <c r="M368" s="111">
        <v>556</v>
      </c>
      <c r="N368" s="111">
        <v>5068</v>
      </c>
    </row>
    <row r="369" spans="1:14">
      <c r="A369" s="64" t="s">
        <v>116</v>
      </c>
      <c r="B369" s="107">
        <f t="shared" ref="B369:M369" si="69">SUM(B365:B368)</f>
        <v>516</v>
      </c>
      <c r="C369" s="107">
        <f t="shared" si="69"/>
        <v>432</v>
      </c>
      <c r="D369" s="107">
        <f t="shared" si="69"/>
        <v>395</v>
      </c>
      <c r="E369" s="107">
        <f t="shared" si="69"/>
        <v>417</v>
      </c>
      <c r="F369" s="107">
        <f t="shared" si="69"/>
        <v>366</v>
      </c>
      <c r="G369" s="107">
        <f t="shared" si="69"/>
        <v>710</v>
      </c>
      <c r="H369" s="107">
        <f t="shared" si="69"/>
        <v>504</v>
      </c>
      <c r="I369" s="107">
        <f t="shared" si="69"/>
        <v>117</v>
      </c>
      <c r="J369" s="107">
        <f t="shared" si="69"/>
        <v>352</v>
      </c>
      <c r="K369" s="107">
        <f t="shared" si="69"/>
        <v>448</v>
      </c>
      <c r="L369" s="107">
        <f t="shared" si="69"/>
        <v>424</v>
      </c>
      <c r="M369" s="107">
        <f t="shared" si="69"/>
        <v>556</v>
      </c>
      <c r="N369" s="107">
        <v>5237</v>
      </c>
    </row>
    <row r="370" spans="1:14">
      <c r="A370" s="64"/>
      <c r="B370" s="22"/>
      <c r="C370" s="22"/>
      <c r="D370" s="22"/>
      <c r="E370" s="22"/>
      <c r="F370" s="22"/>
      <c r="G370" s="22"/>
      <c r="H370" s="22"/>
      <c r="I370" s="22"/>
      <c r="J370" s="22"/>
      <c r="K370" s="22"/>
      <c r="L370" s="22"/>
      <c r="M370" s="22"/>
      <c r="N370" s="22"/>
    </row>
    <row r="371" spans="1:14">
      <c r="A371" s="64" t="s">
        <v>117</v>
      </c>
      <c r="B371" s="22"/>
      <c r="C371" s="22"/>
      <c r="D371" s="22"/>
      <c r="E371" s="22"/>
      <c r="F371" s="22"/>
      <c r="G371" s="22"/>
      <c r="H371" s="22"/>
      <c r="I371" s="22"/>
      <c r="J371" s="22"/>
      <c r="K371" s="22"/>
      <c r="L371" s="22"/>
      <c r="M371" s="22"/>
      <c r="N371" s="22"/>
    </row>
    <row r="372" spans="1:14">
      <c r="A372" s="64" t="s">
        <v>261</v>
      </c>
      <c r="B372" s="107">
        <v>-1</v>
      </c>
      <c r="C372" s="107">
        <v>-1</v>
      </c>
      <c r="D372" s="22"/>
      <c r="E372" s="22"/>
      <c r="F372" s="22"/>
      <c r="G372" s="107">
        <v>-15</v>
      </c>
      <c r="H372" s="107">
        <v>6</v>
      </c>
      <c r="I372" s="107">
        <v>11</v>
      </c>
      <c r="J372" s="22"/>
      <c r="K372" s="22"/>
      <c r="L372" s="107">
        <v>-300</v>
      </c>
      <c r="M372" s="22"/>
      <c r="N372" s="107">
        <v>-300</v>
      </c>
    </row>
    <row r="373" spans="1:14">
      <c r="A373" s="64" t="s">
        <v>66</v>
      </c>
      <c r="B373" s="111">
        <v>120</v>
      </c>
      <c r="C373" s="111">
        <v>121</v>
      </c>
      <c r="D373" s="111">
        <v>195</v>
      </c>
      <c r="E373" s="111">
        <v>167</v>
      </c>
      <c r="F373" s="111">
        <v>185</v>
      </c>
      <c r="G373" s="111">
        <v>133</v>
      </c>
      <c r="H373" s="111">
        <v>149</v>
      </c>
      <c r="I373" s="111">
        <v>259</v>
      </c>
      <c r="J373" s="111">
        <v>172</v>
      </c>
      <c r="K373" s="111">
        <v>181</v>
      </c>
      <c r="L373" s="111">
        <v>89</v>
      </c>
      <c r="M373" s="111">
        <v>183</v>
      </c>
      <c r="N373" s="111">
        <v>1954</v>
      </c>
    </row>
    <row r="374" spans="1:14">
      <c r="A374" s="64" t="s">
        <v>127</v>
      </c>
      <c r="B374" s="107">
        <f t="shared" ref="B374:M374" si="70">SUM(B370:B373)</f>
        <v>119</v>
      </c>
      <c r="C374" s="107">
        <f t="shared" si="70"/>
        <v>120</v>
      </c>
      <c r="D374" s="107">
        <f t="shared" si="70"/>
        <v>195</v>
      </c>
      <c r="E374" s="107">
        <f t="shared" si="70"/>
        <v>167</v>
      </c>
      <c r="F374" s="107">
        <f t="shared" si="70"/>
        <v>185</v>
      </c>
      <c r="G374" s="107">
        <f t="shared" si="70"/>
        <v>118</v>
      </c>
      <c r="H374" s="107">
        <f t="shared" si="70"/>
        <v>155</v>
      </c>
      <c r="I374" s="107">
        <f t="shared" si="70"/>
        <v>270</v>
      </c>
      <c r="J374" s="107">
        <f t="shared" si="70"/>
        <v>172</v>
      </c>
      <c r="K374" s="107">
        <f t="shared" si="70"/>
        <v>181</v>
      </c>
      <c r="L374" s="107">
        <f t="shared" si="70"/>
        <v>-211</v>
      </c>
      <c r="M374" s="107">
        <f t="shared" si="70"/>
        <v>183</v>
      </c>
      <c r="N374" s="107">
        <v>1654</v>
      </c>
    </row>
    <row r="375" spans="1:14">
      <c r="A375" s="64"/>
      <c r="B375" s="22"/>
      <c r="C375" s="22"/>
      <c r="D375" s="22"/>
      <c r="E375" s="22"/>
      <c r="F375" s="22"/>
      <c r="G375" s="22"/>
      <c r="H375" s="22"/>
      <c r="I375" s="22"/>
      <c r="J375" s="22"/>
      <c r="K375" s="22"/>
      <c r="L375" s="22"/>
      <c r="M375" s="22"/>
      <c r="N375" s="22"/>
    </row>
    <row r="376" spans="1:14" ht="15.75" thickBot="1">
      <c r="A376" s="64" t="s">
        <v>266</v>
      </c>
      <c r="B376" s="112">
        <f t="shared" ref="B376:M376" si="71">SUM(B346:B375)-B351-B356-B361-B364-B369-B374</f>
        <v>2529</v>
      </c>
      <c r="C376" s="112">
        <f t="shared" si="71"/>
        <v>2412</v>
      </c>
      <c r="D376" s="112">
        <f t="shared" si="71"/>
        <v>2470</v>
      </c>
      <c r="E376" s="112">
        <f t="shared" si="71"/>
        <v>2319</v>
      </c>
      <c r="F376" s="112">
        <f t="shared" si="71"/>
        <v>2551</v>
      </c>
      <c r="G376" s="112">
        <f t="shared" si="71"/>
        <v>2665</v>
      </c>
      <c r="H376" s="112">
        <f t="shared" si="71"/>
        <v>2231</v>
      </c>
      <c r="I376" s="112">
        <f t="shared" si="71"/>
        <v>2192</v>
      </c>
      <c r="J376" s="112">
        <f t="shared" si="71"/>
        <v>2116</v>
      </c>
      <c r="K376" s="112">
        <f t="shared" si="71"/>
        <v>2090</v>
      </c>
      <c r="L376" s="112">
        <f t="shared" si="71"/>
        <v>2204</v>
      </c>
      <c r="M376" s="112">
        <f t="shared" si="71"/>
        <v>2609</v>
      </c>
      <c r="N376" s="112">
        <v>28388</v>
      </c>
    </row>
    <row r="377" spans="1:14" ht="15.75" thickTop="1">
      <c r="A377" s="64"/>
      <c r="B377" s="22"/>
      <c r="C377" s="22"/>
      <c r="D377" s="22"/>
      <c r="E377" s="22"/>
      <c r="F377" s="22"/>
      <c r="G377" s="22"/>
      <c r="H377" s="22"/>
      <c r="I377" s="22"/>
      <c r="J377" s="22"/>
      <c r="K377" s="22"/>
      <c r="L377" s="22"/>
      <c r="M377" s="22"/>
      <c r="N377" s="22"/>
    </row>
    <row r="378" spans="1:14" hidden="1">
      <c r="A378" s="64"/>
      <c r="B378" s="107">
        <v>-38276.089999999997</v>
      </c>
      <c r="C378" s="107">
        <v>2719.44</v>
      </c>
      <c r="D378" s="107">
        <v>40320.93</v>
      </c>
      <c r="E378" s="107">
        <v>54962.49</v>
      </c>
      <c r="F378" s="107">
        <v>-193492.28</v>
      </c>
      <c r="G378" s="107">
        <v>-84233.600000000006</v>
      </c>
      <c r="H378" s="107">
        <v>117853.29</v>
      </c>
      <c r="I378" s="107">
        <v>64410.62</v>
      </c>
      <c r="J378" s="107">
        <v>124188.7</v>
      </c>
      <c r="K378" s="107">
        <v>106234.8</v>
      </c>
      <c r="L378" s="107">
        <v>11786.95</v>
      </c>
      <c r="M378" s="107">
        <v>-7323.76</v>
      </c>
      <c r="N378" s="107">
        <v>199151.49</v>
      </c>
    </row>
    <row r="379" spans="1:14">
      <c r="A379" s="64"/>
      <c r="B379" s="22"/>
      <c r="C379" s="22"/>
      <c r="D379" s="22"/>
      <c r="E379" s="22"/>
      <c r="F379" s="22"/>
      <c r="G379" s="22"/>
      <c r="H379" s="22"/>
      <c r="I379" s="22"/>
      <c r="J379" s="22"/>
      <c r="K379" s="22"/>
      <c r="L379" s="22"/>
      <c r="M379" s="22"/>
      <c r="N379" s="22"/>
    </row>
    <row r="380" spans="1:14" hidden="1">
      <c r="A380" s="64" t="s">
        <v>267</v>
      </c>
      <c r="B380" s="107">
        <f t="shared" ref="B380:M380" si="72">B350+B355+B360+B368+B373</f>
        <v>2529</v>
      </c>
      <c r="C380" s="107">
        <f t="shared" si="72"/>
        <v>2416</v>
      </c>
      <c r="D380" s="107">
        <f t="shared" si="72"/>
        <v>2418</v>
      </c>
      <c r="E380" s="107">
        <f t="shared" si="72"/>
        <v>2319</v>
      </c>
      <c r="F380" s="107">
        <f t="shared" si="72"/>
        <v>2458</v>
      </c>
      <c r="G380" s="107">
        <f t="shared" si="72"/>
        <v>2666</v>
      </c>
      <c r="H380" s="107">
        <f t="shared" si="72"/>
        <v>2231</v>
      </c>
      <c r="I380" s="107">
        <f t="shared" si="72"/>
        <v>2192</v>
      </c>
      <c r="J380" s="107">
        <f t="shared" si="72"/>
        <v>2116</v>
      </c>
      <c r="K380" s="107">
        <f t="shared" si="72"/>
        <v>2090</v>
      </c>
      <c r="L380" s="107">
        <f t="shared" si="72"/>
        <v>2204</v>
      </c>
      <c r="M380" s="107">
        <f t="shared" si="72"/>
        <v>2609</v>
      </c>
      <c r="N380" s="107">
        <v>28248</v>
      </c>
    </row>
    <row r="381" spans="1:14">
      <c r="A381" s="64"/>
      <c r="B381" s="22"/>
      <c r="C381" s="22"/>
      <c r="D381" s="22"/>
      <c r="E381" s="22"/>
      <c r="F381" s="22"/>
      <c r="G381" s="22"/>
      <c r="H381" s="22"/>
      <c r="I381" s="22"/>
      <c r="J381" s="22"/>
      <c r="K381" s="22"/>
      <c r="L381" s="22"/>
      <c r="M381" s="22"/>
      <c r="N381" s="22"/>
    </row>
  </sheetData>
  <pageMargins left="0.75" right="0.75" top="0.75" bottom="0.75" header="0.03" footer="0.03"/>
  <pageSetup scale="46" fitToHeight="0" pageOrder="overThenDown" orientation="landscape" r:id="rId1"/>
  <headerFooter>
    <oddHeader>&amp;L&amp;C&amp;"Arial,Regular"&amp;9&amp;K000000Park Manor of Cypress Station-WINNIE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7169"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7169" r:id="rId5" name="FPMExcelClientSheetOptionstb1"/>
      </mc:Fallback>
    </mc:AlternateContent>
  </control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8">
    <pageSetUpPr fitToPage="1"/>
  </sheetPr>
  <dimension ref="A1:N375"/>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B344</f>
        <v>1243</v>
      </c>
      <c r="C4" s="110">
        <f t="shared" si="0"/>
        <v>1202</v>
      </c>
      <c r="D4" s="110">
        <f t="shared" si="0"/>
        <v>1303</v>
      </c>
      <c r="E4" s="110">
        <f t="shared" si="0"/>
        <v>1196</v>
      </c>
      <c r="F4" s="110">
        <f t="shared" si="0"/>
        <v>1220</v>
      </c>
      <c r="G4" s="110">
        <f t="shared" si="0"/>
        <v>1137</v>
      </c>
      <c r="H4" s="110">
        <f t="shared" si="0"/>
        <v>1178</v>
      </c>
      <c r="I4" s="110">
        <f t="shared" si="0"/>
        <v>1303</v>
      </c>
      <c r="J4" s="110">
        <f t="shared" si="0"/>
        <v>1150</v>
      </c>
      <c r="K4" s="110">
        <f t="shared" si="0"/>
        <v>1256</v>
      </c>
      <c r="L4" s="110">
        <f t="shared" si="0"/>
        <v>1269</v>
      </c>
      <c r="M4" s="110">
        <f t="shared" si="0"/>
        <v>1446</v>
      </c>
      <c r="N4" s="110">
        <v>14903</v>
      </c>
    </row>
    <row r="5" spans="1:14">
      <c r="A5" s="64" t="s">
        <v>35</v>
      </c>
      <c r="B5" s="107">
        <f t="shared" ref="B5:M5" si="1">B349</f>
        <v>93</v>
      </c>
      <c r="C5" s="107">
        <f t="shared" si="1"/>
        <v>83</v>
      </c>
      <c r="D5" s="107">
        <f t="shared" si="1"/>
        <v>62</v>
      </c>
      <c r="E5" s="107">
        <f t="shared" si="1"/>
        <v>65</v>
      </c>
      <c r="F5" s="107">
        <f t="shared" si="1"/>
        <v>62</v>
      </c>
      <c r="G5" s="107">
        <f t="shared" si="1"/>
        <v>61</v>
      </c>
      <c r="H5" s="107">
        <f t="shared" si="1"/>
        <v>63</v>
      </c>
      <c r="I5" s="107">
        <f t="shared" si="1"/>
        <v>65</v>
      </c>
      <c r="J5" s="107">
        <f t="shared" si="1"/>
        <v>67</v>
      </c>
      <c r="K5" s="107">
        <f t="shared" si="1"/>
        <v>62</v>
      </c>
      <c r="L5" s="107">
        <f t="shared" si="1"/>
        <v>60</v>
      </c>
      <c r="M5" s="107">
        <f t="shared" si="1"/>
        <v>49</v>
      </c>
      <c r="N5" s="107">
        <v>792</v>
      </c>
    </row>
    <row r="6" spans="1:14">
      <c r="A6" s="64" t="s">
        <v>36</v>
      </c>
      <c r="B6" s="107">
        <f t="shared" ref="B6:M6" si="2">B354</f>
        <v>232</v>
      </c>
      <c r="C6" s="107">
        <f t="shared" si="2"/>
        <v>248</v>
      </c>
      <c r="D6" s="107">
        <f t="shared" si="2"/>
        <v>282</v>
      </c>
      <c r="E6" s="107">
        <f t="shared" si="2"/>
        <v>152</v>
      </c>
      <c r="F6" s="107">
        <f t="shared" si="2"/>
        <v>281</v>
      </c>
      <c r="G6" s="107">
        <f t="shared" si="2"/>
        <v>145</v>
      </c>
      <c r="H6" s="107">
        <f t="shared" si="2"/>
        <v>133</v>
      </c>
      <c r="I6" s="107">
        <f t="shared" si="2"/>
        <v>163</v>
      </c>
      <c r="J6" s="107">
        <f t="shared" si="2"/>
        <v>200</v>
      </c>
      <c r="K6" s="107">
        <f t="shared" si="2"/>
        <v>178</v>
      </c>
      <c r="L6" s="107">
        <f t="shared" si="2"/>
        <v>262</v>
      </c>
      <c r="M6" s="107">
        <f t="shared" si="2"/>
        <v>255</v>
      </c>
      <c r="N6" s="107">
        <v>2531</v>
      </c>
    </row>
    <row r="7" spans="1:14">
      <c r="A7" s="64" t="s">
        <v>37</v>
      </c>
      <c r="B7" s="107">
        <f t="shared" ref="B7:M7" si="3">B362</f>
        <v>529</v>
      </c>
      <c r="C7" s="107">
        <f t="shared" si="3"/>
        <v>767</v>
      </c>
      <c r="D7" s="107">
        <f t="shared" si="3"/>
        <v>838</v>
      </c>
      <c r="E7" s="107">
        <f t="shared" si="3"/>
        <v>751</v>
      </c>
      <c r="F7" s="107">
        <f t="shared" si="3"/>
        <v>806</v>
      </c>
      <c r="G7" s="107">
        <f t="shared" si="3"/>
        <v>725</v>
      </c>
      <c r="H7" s="107">
        <f t="shared" si="3"/>
        <v>651</v>
      </c>
      <c r="I7" s="107">
        <f t="shared" si="3"/>
        <v>763</v>
      </c>
      <c r="J7" s="107">
        <f t="shared" si="3"/>
        <v>820</v>
      </c>
      <c r="K7" s="107">
        <f t="shared" si="3"/>
        <v>796</v>
      </c>
      <c r="L7" s="107">
        <f t="shared" si="3"/>
        <v>778</v>
      </c>
      <c r="M7" s="107">
        <f t="shared" si="3"/>
        <v>796</v>
      </c>
      <c r="N7" s="107">
        <v>9020</v>
      </c>
    </row>
    <row r="8" spans="1:14">
      <c r="A8" s="64" t="s">
        <v>38</v>
      </c>
      <c r="B8" s="111">
        <f t="shared" ref="B8:M8" si="4">B367</f>
        <v>85</v>
      </c>
      <c r="C8" s="111">
        <f t="shared" si="4"/>
        <v>87</v>
      </c>
      <c r="D8" s="111">
        <f t="shared" si="4"/>
        <v>112</v>
      </c>
      <c r="E8" s="111">
        <f t="shared" si="4"/>
        <v>131</v>
      </c>
      <c r="F8" s="111">
        <f t="shared" si="4"/>
        <v>144</v>
      </c>
      <c r="G8" s="111">
        <f t="shared" si="4"/>
        <v>126</v>
      </c>
      <c r="H8" s="111">
        <f t="shared" si="4"/>
        <v>121</v>
      </c>
      <c r="I8" s="111">
        <f t="shared" si="4"/>
        <v>111</v>
      </c>
      <c r="J8" s="111">
        <f t="shared" si="4"/>
        <v>111</v>
      </c>
      <c r="K8" s="111">
        <f t="shared" si="4"/>
        <v>58</v>
      </c>
      <c r="L8" s="111">
        <f t="shared" si="4"/>
        <v>81</v>
      </c>
      <c r="M8" s="111">
        <f t="shared" si="4"/>
        <v>118</v>
      </c>
      <c r="N8" s="111">
        <v>1285</v>
      </c>
    </row>
    <row r="9" spans="1:14" ht="15.75" thickBot="1">
      <c r="A9" s="64" t="s">
        <v>39</v>
      </c>
      <c r="B9" s="112">
        <f t="shared" ref="B9:M9" si="5">B374</f>
        <v>2182</v>
      </c>
      <c r="C9" s="112">
        <f t="shared" si="5"/>
        <v>2387</v>
      </c>
      <c r="D9" s="112">
        <f t="shared" si="5"/>
        <v>2597</v>
      </c>
      <c r="E9" s="112">
        <f t="shared" si="5"/>
        <v>2295</v>
      </c>
      <c r="F9" s="112">
        <f t="shared" si="5"/>
        <v>2513</v>
      </c>
      <c r="G9" s="112">
        <f t="shared" si="5"/>
        <v>2194</v>
      </c>
      <c r="H9" s="112">
        <f t="shared" si="5"/>
        <v>2146</v>
      </c>
      <c r="I9" s="112">
        <f t="shared" si="5"/>
        <v>2405</v>
      </c>
      <c r="J9" s="112">
        <f t="shared" si="5"/>
        <v>2348</v>
      </c>
      <c r="K9" s="112">
        <f t="shared" si="5"/>
        <v>2350</v>
      </c>
      <c r="L9" s="112">
        <f t="shared" si="5"/>
        <v>2450</v>
      </c>
      <c r="M9" s="112">
        <f t="shared" si="5"/>
        <v>2664</v>
      </c>
      <c r="N9" s="112">
        <v>28531</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B68</f>
        <v>225160.86</v>
      </c>
      <c r="C14" s="107">
        <f t="shared" si="6"/>
        <v>213108.31</v>
      </c>
      <c r="D14" s="107">
        <f t="shared" si="6"/>
        <v>233085.72</v>
      </c>
      <c r="E14" s="107">
        <f t="shared" si="6"/>
        <v>213914.1</v>
      </c>
      <c r="F14" s="107">
        <f t="shared" si="6"/>
        <v>216009.38</v>
      </c>
      <c r="G14" s="107">
        <f t="shared" si="6"/>
        <v>211190.07</v>
      </c>
      <c r="H14" s="107">
        <f t="shared" si="6"/>
        <v>219727.38</v>
      </c>
      <c r="I14" s="107">
        <f t="shared" si="6"/>
        <v>242084.4</v>
      </c>
      <c r="J14" s="107">
        <f t="shared" si="6"/>
        <v>209138.87</v>
      </c>
      <c r="K14" s="107">
        <f t="shared" si="6"/>
        <v>219676.73</v>
      </c>
      <c r="L14" s="107">
        <f t="shared" si="6"/>
        <v>225976.11</v>
      </c>
      <c r="M14" s="107">
        <f t="shared" si="6"/>
        <v>262281.73</v>
      </c>
      <c r="N14" s="107">
        <v>2691353.66</v>
      </c>
    </row>
    <row r="15" spans="1:14">
      <c r="A15" s="64" t="s">
        <v>35</v>
      </c>
      <c r="B15" s="107">
        <f t="shared" ref="B15:M15" si="7">B72</f>
        <v>14097.56</v>
      </c>
      <c r="C15" s="107">
        <f t="shared" si="7"/>
        <v>12652.58</v>
      </c>
      <c r="D15" s="107">
        <f t="shared" si="7"/>
        <v>9712.2999999999993</v>
      </c>
      <c r="E15" s="107">
        <f t="shared" si="7"/>
        <v>10051</v>
      </c>
      <c r="F15" s="107">
        <f t="shared" si="7"/>
        <v>9712.2999999999993</v>
      </c>
      <c r="G15" s="107">
        <f t="shared" si="7"/>
        <v>9982.58</v>
      </c>
      <c r="H15" s="107">
        <f t="shared" si="7"/>
        <v>9172.43</v>
      </c>
      <c r="I15" s="107">
        <f t="shared" si="7"/>
        <v>9338.64</v>
      </c>
      <c r="J15" s="107">
        <f t="shared" si="7"/>
        <v>12444.84</v>
      </c>
      <c r="K15" s="107">
        <f t="shared" si="7"/>
        <v>8900.16</v>
      </c>
      <c r="L15" s="107">
        <f t="shared" si="7"/>
        <v>9730.7999999999993</v>
      </c>
      <c r="M15" s="107">
        <f t="shared" si="7"/>
        <v>7713.3</v>
      </c>
      <c r="N15" s="107">
        <v>123508.49</v>
      </c>
    </row>
    <row r="16" spans="1:14">
      <c r="A16" s="64" t="s">
        <v>36</v>
      </c>
      <c r="B16" s="107">
        <f t="shared" ref="B16:M16" si="8">B76</f>
        <v>151360.93</v>
      </c>
      <c r="C16" s="107">
        <f t="shared" si="8"/>
        <v>157295.49</v>
      </c>
      <c r="D16" s="107">
        <f t="shared" si="8"/>
        <v>196559.9</v>
      </c>
      <c r="E16" s="107">
        <f t="shared" si="8"/>
        <v>105272.68</v>
      </c>
      <c r="F16" s="107">
        <f t="shared" si="8"/>
        <v>176604.95</v>
      </c>
      <c r="G16" s="107">
        <f t="shared" si="8"/>
        <v>95976.17</v>
      </c>
      <c r="H16" s="107">
        <f t="shared" si="8"/>
        <v>84365.15</v>
      </c>
      <c r="I16" s="107">
        <f t="shared" si="8"/>
        <v>115793.34</v>
      </c>
      <c r="J16" s="107">
        <f t="shared" si="8"/>
        <v>137333.18</v>
      </c>
      <c r="K16" s="107">
        <f t="shared" si="8"/>
        <v>123041.72</v>
      </c>
      <c r="L16" s="107">
        <f t="shared" si="8"/>
        <v>165637.84</v>
      </c>
      <c r="M16" s="107">
        <f t="shared" si="8"/>
        <v>151352.49</v>
      </c>
      <c r="N16" s="107">
        <v>1660593.84</v>
      </c>
    </row>
    <row r="17" spans="1:14">
      <c r="A17" s="64" t="s">
        <v>37</v>
      </c>
      <c r="B17" s="107">
        <f t="shared" ref="B17:M17" si="9">B83</f>
        <v>187089.89</v>
      </c>
      <c r="C17" s="107">
        <f t="shared" si="9"/>
        <v>282843.17</v>
      </c>
      <c r="D17" s="107">
        <f t="shared" si="9"/>
        <v>301586.33</v>
      </c>
      <c r="E17" s="107">
        <f t="shared" si="9"/>
        <v>269913.09000000003</v>
      </c>
      <c r="F17" s="107">
        <f t="shared" si="9"/>
        <v>296064.03999999998</v>
      </c>
      <c r="G17" s="107">
        <f t="shared" si="9"/>
        <v>285210.08</v>
      </c>
      <c r="H17" s="107">
        <f t="shared" si="9"/>
        <v>248819.95</v>
      </c>
      <c r="I17" s="107">
        <f t="shared" si="9"/>
        <v>306273.26</v>
      </c>
      <c r="J17" s="107">
        <f t="shared" si="9"/>
        <v>323135.19</v>
      </c>
      <c r="K17" s="107">
        <f t="shared" si="9"/>
        <v>335924.85</v>
      </c>
      <c r="L17" s="107">
        <f t="shared" si="9"/>
        <v>324381.24</v>
      </c>
      <c r="M17" s="107">
        <f t="shared" si="9"/>
        <v>331554.75</v>
      </c>
      <c r="N17" s="107">
        <v>3492795.84</v>
      </c>
    </row>
    <row r="18" spans="1:14">
      <c r="A18" s="64" t="s">
        <v>38</v>
      </c>
      <c r="B18" s="111">
        <f t="shared" ref="B18:M18" si="10">B87</f>
        <v>14025</v>
      </c>
      <c r="C18" s="111">
        <f t="shared" si="10"/>
        <v>14355</v>
      </c>
      <c r="D18" s="111">
        <f t="shared" si="10"/>
        <v>18480</v>
      </c>
      <c r="E18" s="111">
        <f t="shared" si="10"/>
        <v>21615</v>
      </c>
      <c r="F18" s="111">
        <f t="shared" si="10"/>
        <v>23760</v>
      </c>
      <c r="G18" s="111">
        <f t="shared" si="10"/>
        <v>21630</v>
      </c>
      <c r="H18" s="111">
        <f t="shared" si="10"/>
        <v>21085</v>
      </c>
      <c r="I18" s="111">
        <f t="shared" si="10"/>
        <v>19595</v>
      </c>
      <c r="J18" s="111">
        <f t="shared" si="10"/>
        <v>18795</v>
      </c>
      <c r="K18" s="111">
        <f t="shared" si="10"/>
        <v>9570</v>
      </c>
      <c r="L18" s="111">
        <f t="shared" si="10"/>
        <v>14085</v>
      </c>
      <c r="M18" s="111">
        <f t="shared" si="10"/>
        <v>19470</v>
      </c>
      <c r="N18" s="111">
        <v>216465</v>
      </c>
    </row>
    <row r="19" spans="1:14">
      <c r="A19" s="64" t="s">
        <v>42</v>
      </c>
      <c r="B19" s="107">
        <f t="shared" ref="B19:M19" si="11">B89</f>
        <v>591734.23999999987</v>
      </c>
      <c r="C19" s="107">
        <f t="shared" si="11"/>
        <v>680254.54999999981</v>
      </c>
      <c r="D19" s="107">
        <f t="shared" si="11"/>
        <v>759424.25</v>
      </c>
      <c r="E19" s="107">
        <f t="shared" si="11"/>
        <v>620765.87000000011</v>
      </c>
      <c r="F19" s="107">
        <f t="shared" si="11"/>
        <v>722150.66999999993</v>
      </c>
      <c r="G19" s="107">
        <f t="shared" si="11"/>
        <v>623988.90000000014</v>
      </c>
      <c r="H19" s="107">
        <f t="shared" si="11"/>
        <v>583169.90999999992</v>
      </c>
      <c r="I19" s="107">
        <f t="shared" si="11"/>
        <v>693084.64000000025</v>
      </c>
      <c r="J19" s="107">
        <f t="shared" si="11"/>
        <v>700847.08000000007</v>
      </c>
      <c r="K19" s="107">
        <f t="shared" si="11"/>
        <v>697113.46000000008</v>
      </c>
      <c r="L19" s="107">
        <f t="shared" si="11"/>
        <v>739810.98999999953</v>
      </c>
      <c r="M19" s="107">
        <f t="shared" si="11"/>
        <v>772372.27</v>
      </c>
      <c r="N19" s="107">
        <v>8184716.8300000001</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I22" si="12">B95</f>
        <v>176.58</v>
      </c>
      <c r="C22" s="107">
        <f t="shared" si="12"/>
        <v>-7133.24</v>
      </c>
      <c r="D22" s="107">
        <f t="shared" si="12"/>
        <v>-572.49</v>
      </c>
      <c r="E22" s="107">
        <f t="shared" si="12"/>
        <v>-8213.98</v>
      </c>
      <c r="F22" s="107">
        <f t="shared" si="12"/>
        <v>-12031.41</v>
      </c>
      <c r="G22" s="107">
        <f t="shared" si="12"/>
        <v>-5505.65</v>
      </c>
      <c r="H22" s="107">
        <f t="shared" si="12"/>
        <v>-2139.54</v>
      </c>
      <c r="I22" s="107">
        <f t="shared" si="12"/>
        <v>23064.76</v>
      </c>
      <c r="J22" s="107"/>
      <c r="K22" s="107">
        <f>K95</f>
        <v>124.96</v>
      </c>
      <c r="L22" s="107">
        <f>L95</f>
        <v>-2788.45</v>
      </c>
      <c r="M22" s="107">
        <f>M95</f>
        <v>-2405.85</v>
      </c>
      <c r="N22" s="107">
        <v>-17424.310000000001</v>
      </c>
    </row>
    <row r="23" spans="1:14">
      <c r="A23" s="64" t="s">
        <v>35</v>
      </c>
      <c r="B23" s="107"/>
      <c r="C23" s="107"/>
      <c r="D23" s="107"/>
      <c r="E23" s="107">
        <f>E99</f>
        <v>2851.8</v>
      </c>
      <c r="F23" s="107"/>
      <c r="G23" s="107">
        <f>G99</f>
        <v>9145</v>
      </c>
      <c r="H23" s="107"/>
      <c r="I23" s="107">
        <f>I99</f>
        <v>1067.05</v>
      </c>
      <c r="J23" s="107"/>
      <c r="K23" s="107"/>
      <c r="L23" s="107">
        <f>L99</f>
        <v>1155</v>
      </c>
      <c r="M23" s="107"/>
      <c r="N23" s="107">
        <v>14218.85</v>
      </c>
    </row>
    <row r="24" spans="1:14">
      <c r="A24" s="64" t="s">
        <v>36</v>
      </c>
      <c r="B24" s="107">
        <f>B103</f>
        <v>-179.91</v>
      </c>
      <c r="C24" s="107">
        <f>C103</f>
        <v>-337.61</v>
      </c>
      <c r="D24" s="107">
        <f>D103</f>
        <v>-1304.4100000000001</v>
      </c>
      <c r="E24" s="107"/>
      <c r="F24" s="107">
        <f>F103</f>
        <v>1921.25</v>
      </c>
      <c r="G24" s="107">
        <f>G103</f>
        <v>9090.48</v>
      </c>
      <c r="H24" s="107">
        <f>H103</f>
        <v>-16670.43</v>
      </c>
      <c r="I24" s="107">
        <f>I103</f>
        <v>26137.88</v>
      </c>
      <c r="J24" s="107"/>
      <c r="K24" s="107">
        <f>K103</f>
        <v>-36016.230000000003</v>
      </c>
      <c r="L24" s="107">
        <f>L103</f>
        <v>13117.48</v>
      </c>
      <c r="M24" s="107">
        <f>M103</f>
        <v>1152.1400000000001</v>
      </c>
      <c r="N24" s="107">
        <v>-3089.36</v>
      </c>
    </row>
    <row r="25" spans="1:14">
      <c r="A25" s="64" t="s">
        <v>37</v>
      </c>
      <c r="B25" s="107">
        <f t="shared" ref="B25:I25" si="13">B110</f>
        <v>-2936.08</v>
      </c>
      <c r="C25" s="107">
        <f t="shared" si="13"/>
        <v>218.88</v>
      </c>
      <c r="D25" s="107">
        <f t="shared" si="13"/>
        <v>-730</v>
      </c>
      <c r="E25" s="107">
        <f t="shared" si="13"/>
        <v>-10449.42</v>
      </c>
      <c r="F25" s="107">
        <f t="shared" si="13"/>
        <v>-798</v>
      </c>
      <c r="G25" s="107">
        <f t="shared" si="13"/>
        <v>-5874.72</v>
      </c>
      <c r="H25" s="107">
        <f t="shared" si="13"/>
        <v>7940</v>
      </c>
      <c r="I25" s="107">
        <f t="shared" si="13"/>
        <v>-20102.7</v>
      </c>
      <c r="J25" s="107"/>
      <c r="K25" s="107">
        <f>K110</f>
        <v>46215.79</v>
      </c>
      <c r="L25" s="107">
        <f>L110</f>
        <v>5682.98</v>
      </c>
      <c r="M25" s="107">
        <f>M110</f>
        <v>-647</v>
      </c>
      <c r="N25" s="107">
        <v>18519.73</v>
      </c>
    </row>
    <row r="26" spans="1:14">
      <c r="A26" s="64" t="s">
        <v>38</v>
      </c>
      <c r="B26" s="111">
        <f>B114</f>
        <v>165</v>
      </c>
      <c r="C26" s="111">
        <f>C114</f>
        <v>6105</v>
      </c>
      <c r="D26" s="111">
        <f>D114</f>
        <v>990</v>
      </c>
      <c r="E26" s="111">
        <f>E114</f>
        <v>15069.42</v>
      </c>
      <c r="F26" s="111">
        <f>F114</f>
        <v>10395</v>
      </c>
      <c r="G26" s="111"/>
      <c r="H26" s="111">
        <f>H114</f>
        <v>990</v>
      </c>
      <c r="I26" s="111">
        <f>I114</f>
        <v>-18315</v>
      </c>
      <c r="J26" s="111"/>
      <c r="K26" s="111"/>
      <c r="L26" s="111">
        <f>L114</f>
        <v>-2310</v>
      </c>
      <c r="M26" s="111"/>
      <c r="N26" s="111">
        <v>13089.42</v>
      </c>
    </row>
    <row r="27" spans="1:14">
      <c r="A27" s="64" t="s">
        <v>44</v>
      </c>
      <c r="B27" s="107">
        <f t="shared" ref="B27:I27" si="14">B116</f>
        <v>-2774.41</v>
      </c>
      <c r="C27" s="107">
        <f t="shared" si="14"/>
        <v>-1146.970000000003</v>
      </c>
      <c r="D27" s="107">
        <f t="shared" si="14"/>
        <v>-1616.9000000000003</v>
      </c>
      <c r="E27" s="107">
        <f t="shared" si="14"/>
        <v>-742.17999999999847</v>
      </c>
      <c r="F27" s="107">
        <f t="shared" si="14"/>
        <v>-513.15999999999985</v>
      </c>
      <c r="G27" s="107">
        <f t="shared" si="14"/>
        <v>6855.109999999996</v>
      </c>
      <c r="H27" s="107">
        <f t="shared" si="14"/>
        <v>-9879.9700000000012</v>
      </c>
      <c r="I27" s="107">
        <f t="shared" si="14"/>
        <v>11851.990000000013</v>
      </c>
      <c r="J27" s="107"/>
      <c r="K27" s="107">
        <f>K116</f>
        <v>10324.519999999997</v>
      </c>
      <c r="L27" s="107">
        <f>L116</f>
        <v>14857.009999999998</v>
      </c>
      <c r="M27" s="107">
        <f>M116</f>
        <v>-1900.7099999999991</v>
      </c>
      <c r="N27" s="107">
        <v>25314.33</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46</v>
      </c>
      <c r="B30" s="107">
        <f t="shared" ref="B30:M30" si="15">B151</f>
        <v>3008.9</v>
      </c>
      <c r="C30" s="107">
        <f t="shared" si="15"/>
        <v>9321.67</v>
      </c>
      <c r="D30" s="107">
        <f t="shared" si="15"/>
        <v>3925.2200000000003</v>
      </c>
      <c r="E30" s="107">
        <f t="shared" si="15"/>
        <v>6638.47</v>
      </c>
      <c r="F30" s="107">
        <f t="shared" si="15"/>
        <v>4654.99</v>
      </c>
      <c r="G30" s="107">
        <f t="shared" si="15"/>
        <v>8579.2300000000014</v>
      </c>
      <c r="H30" s="107">
        <f t="shared" si="15"/>
        <v>4316.71</v>
      </c>
      <c r="I30" s="107">
        <f t="shared" si="15"/>
        <v>69.219999999999914</v>
      </c>
      <c r="J30" s="107">
        <f t="shared" si="15"/>
        <v>5293.16</v>
      </c>
      <c r="K30" s="107">
        <f t="shared" si="15"/>
        <v>8021.73</v>
      </c>
      <c r="L30" s="107">
        <f t="shared" si="15"/>
        <v>6603.08</v>
      </c>
      <c r="M30" s="107">
        <f t="shared" si="15"/>
        <v>3804.48</v>
      </c>
      <c r="N30" s="107">
        <v>64236.86</v>
      </c>
    </row>
    <row r="31" spans="1:14">
      <c r="A31" s="64" t="s">
        <v>37</v>
      </c>
      <c r="B31" s="107">
        <f t="shared" ref="B31:M31" si="16">B164</f>
        <v>18912.689999999988</v>
      </c>
      <c r="C31" s="107">
        <f t="shared" si="16"/>
        <v>4854.5899999999965</v>
      </c>
      <c r="D31" s="107">
        <f t="shared" si="16"/>
        <v>1126.5499999999884</v>
      </c>
      <c r="E31" s="107">
        <f t="shared" si="16"/>
        <v>11315.950000000012</v>
      </c>
      <c r="F31" s="107">
        <f t="shared" si="16"/>
        <v>23740.359999999986</v>
      </c>
      <c r="G31" s="107">
        <f t="shared" si="16"/>
        <v>7315.890000000014</v>
      </c>
      <c r="H31" s="107">
        <f t="shared" si="16"/>
        <v>10804.429999999993</v>
      </c>
      <c r="I31" s="107">
        <f t="shared" si="16"/>
        <v>21848.25</v>
      </c>
      <c r="J31" s="107">
        <f t="shared" si="16"/>
        <v>20625.98000000001</v>
      </c>
      <c r="K31" s="107">
        <f t="shared" si="16"/>
        <v>5866.6199999999953</v>
      </c>
      <c r="L31" s="107">
        <f t="shared" si="16"/>
        <v>2239.8799999999756</v>
      </c>
      <c r="M31" s="107">
        <f t="shared" si="16"/>
        <v>7557.2300000000105</v>
      </c>
      <c r="N31" s="107">
        <v>136208.42000000001</v>
      </c>
    </row>
    <row r="32" spans="1:14">
      <c r="A32" s="64" t="s">
        <v>38</v>
      </c>
      <c r="B32" s="111">
        <f>B170</f>
        <v>476.35</v>
      </c>
      <c r="C32" s="111"/>
      <c r="D32" s="111"/>
      <c r="E32" s="111"/>
      <c r="F32" s="111">
        <f>F170</f>
        <v>693.18000000000006</v>
      </c>
      <c r="G32" s="111">
        <f>G170</f>
        <v>315.62</v>
      </c>
      <c r="H32" s="111"/>
      <c r="I32" s="111">
        <f>I170</f>
        <v>31.5</v>
      </c>
      <c r="J32" s="111">
        <f>J170</f>
        <v>-221.51</v>
      </c>
      <c r="K32" s="111"/>
      <c r="L32" s="111">
        <f>L170</f>
        <v>162</v>
      </c>
      <c r="M32" s="111">
        <f>M170</f>
        <v>1296.33</v>
      </c>
      <c r="N32" s="111">
        <v>2753.47</v>
      </c>
    </row>
    <row r="33" spans="1:14">
      <c r="A33" s="64" t="s">
        <v>47</v>
      </c>
      <c r="B33" s="107">
        <f t="shared" ref="B33:M33" si="17">B172</f>
        <v>22397.940000000002</v>
      </c>
      <c r="C33" s="107">
        <f t="shared" si="17"/>
        <v>14176.259999999995</v>
      </c>
      <c r="D33" s="107">
        <f t="shared" si="17"/>
        <v>5051.7699999999904</v>
      </c>
      <c r="E33" s="107">
        <f t="shared" si="17"/>
        <v>17954.420000000013</v>
      </c>
      <c r="F33" s="107">
        <f t="shared" si="17"/>
        <v>29088.52999999997</v>
      </c>
      <c r="G33" s="107">
        <f t="shared" si="17"/>
        <v>16210.740000000036</v>
      </c>
      <c r="H33" s="107">
        <f t="shared" si="17"/>
        <v>15121.139999999978</v>
      </c>
      <c r="I33" s="107">
        <f t="shared" si="17"/>
        <v>21948.97000000003</v>
      </c>
      <c r="J33" s="107">
        <f t="shared" si="17"/>
        <v>25697.629999999994</v>
      </c>
      <c r="K33" s="107">
        <f t="shared" si="17"/>
        <v>13888.350000000017</v>
      </c>
      <c r="L33" s="107">
        <f t="shared" si="17"/>
        <v>9004.9600000000082</v>
      </c>
      <c r="M33" s="107">
        <f t="shared" si="17"/>
        <v>12658.040000000006</v>
      </c>
      <c r="N33" s="107">
        <v>203198.75</v>
      </c>
    </row>
    <row r="34" spans="1:14">
      <c r="A34" s="64"/>
      <c r="B34" s="22"/>
      <c r="C34" s="22"/>
      <c r="D34" s="22"/>
      <c r="E34" s="22"/>
      <c r="F34" s="22"/>
      <c r="G34" s="22"/>
      <c r="H34" s="22"/>
      <c r="I34" s="22"/>
      <c r="J34" s="22"/>
      <c r="K34" s="22"/>
      <c r="L34" s="22"/>
      <c r="M34" s="22"/>
      <c r="N34" s="22"/>
    </row>
    <row r="35" spans="1:14">
      <c r="A35" s="64" t="s">
        <v>48</v>
      </c>
      <c r="B35" s="107">
        <f t="shared" ref="B35:M35" si="18">B182</f>
        <v>69189.040000000008</v>
      </c>
      <c r="C35" s="107">
        <f t="shared" si="18"/>
        <v>113422.78</v>
      </c>
      <c r="D35" s="107">
        <f t="shared" si="18"/>
        <v>111017.53</v>
      </c>
      <c r="E35" s="107">
        <f t="shared" si="18"/>
        <v>105897.04</v>
      </c>
      <c r="F35" s="107">
        <f t="shared" si="18"/>
        <v>-1101448.01</v>
      </c>
      <c r="G35" s="107">
        <f t="shared" si="18"/>
        <v>36361.310000000005</v>
      </c>
      <c r="H35" s="107">
        <f t="shared" si="18"/>
        <v>31776.74</v>
      </c>
      <c r="I35" s="107">
        <f t="shared" si="18"/>
        <v>35093.93</v>
      </c>
      <c r="J35" s="107">
        <f t="shared" si="18"/>
        <v>32761.93</v>
      </c>
      <c r="K35" s="107">
        <f t="shared" si="18"/>
        <v>35757.68</v>
      </c>
      <c r="L35" s="107">
        <f t="shared" si="18"/>
        <v>32576.48</v>
      </c>
      <c r="M35" s="107">
        <f t="shared" si="18"/>
        <v>84494.88</v>
      </c>
      <c r="N35" s="107">
        <v>-413098.67</v>
      </c>
    </row>
    <row r="36" spans="1:14">
      <c r="A36" s="64"/>
      <c r="B36" s="22"/>
      <c r="C36" s="22"/>
      <c r="D36" s="22"/>
      <c r="E36" s="22"/>
      <c r="F36" s="22"/>
      <c r="G36" s="22"/>
      <c r="H36" s="22"/>
      <c r="I36" s="22"/>
      <c r="J36" s="22"/>
      <c r="K36" s="22"/>
      <c r="L36" s="22"/>
      <c r="M36" s="22"/>
      <c r="N36" s="22"/>
    </row>
    <row r="37" spans="1:14" ht="15.75" thickBot="1">
      <c r="A37" s="64" t="s">
        <v>13</v>
      </c>
      <c r="B37" s="112">
        <f t="shared" ref="B37:M37" si="19">B184</f>
        <v>680546.81</v>
      </c>
      <c r="C37" s="112">
        <f t="shared" si="19"/>
        <v>806706.61999999825</v>
      </c>
      <c r="D37" s="112">
        <f t="shared" si="19"/>
        <v>873876.64999999944</v>
      </c>
      <c r="E37" s="112">
        <f t="shared" si="19"/>
        <v>743875.14999999979</v>
      </c>
      <c r="F37" s="112">
        <f t="shared" si="19"/>
        <v>-350721.96999999951</v>
      </c>
      <c r="G37" s="112">
        <f t="shared" si="19"/>
        <v>683416.06000000029</v>
      </c>
      <c r="H37" s="112">
        <f t="shared" si="19"/>
        <v>620187.82000000018</v>
      </c>
      <c r="I37" s="112">
        <f t="shared" si="19"/>
        <v>761979.53000000038</v>
      </c>
      <c r="J37" s="112">
        <f t="shared" si="19"/>
        <v>759306.64000000188</v>
      </c>
      <c r="K37" s="112">
        <f t="shared" si="19"/>
        <v>757084.01000000047</v>
      </c>
      <c r="L37" s="112">
        <f t="shared" si="19"/>
        <v>796249.43999999925</v>
      </c>
      <c r="M37" s="112">
        <f t="shared" si="19"/>
        <v>867624.47999999975</v>
      </c>
      <c r="N37" s="112">
        <v>8000131.2400000002</v>
      </c>
    </row>
    <row r="38" spans="1:14" ht="15.75" thickTop="1">
      <c r="A38" s="64"/>
      <c r="B38" s="22"/>
      <c r="C38" s="22"/>
      <c r="D38" s="22"/>
      <c r="E38" s="22"/>
      <c r="F38" s="22"/>
      <c r="G38" s="22"/>
      <c r="H38" s="22"/>
      <c r="I38" s="22"/>
      <c r="J38" s="22"/>
      <c r="K38" s="22"/>
      <c r="L38" s="22"/>
      <c r="M38" s="22"/>
      <c r="N38" s="22"/>
    </row>
    <row r="39" spans="1:14">
      <c r="A39" s="64" t="s">
        <v>14</v>
      </c>
      <c r="B39" s="22"/>
      <c r="C39" s="22"/>
      <c r="D39" s="22"/>
      <c r="E39" s="22"/>
      <c r="F39" s="22"/>
      <c r="G39" s="22"/>
      <c r="H39" s="22"/>
      <c r="I39" s="22"/>
      <c r="J39" s="22"/>
      <c r="K39" s="22"/>
      <c r="L39" s="22"/>
      <c r="M39" s="22"/>
      <c r="N39" s="22"/>
    </row>
    <row r="40" spans="1:14">
      <c r="A40" s="64" t="s">
        <v>49</v>
      </c>
      <c r="B40" s="107">
        <f t="shared" ref="B40:M40" si="20">B206</f>
        <v>258622.03999999995</v>
      </c>
      <c r="C40" s="107">
        <f t="shared" si="20"/>
        <v>279256.90999999997</v>
      </c>
      <c r="D40" s="107">
        <f t="shared" si="20"/>
        <v>287523.01</v>
      </c>
      <c r="E40" s="107">
        <f t="shared" si="20"/>
        <v>262742.38</v>
      </c>
      <c r="F40" s="107">
        <f t="shared" si="20"/>
        <v>251985.72000000003</v>
      </c>
      <c r="G40" s="107">
        <f t="shared" si="20"/>
        <v>257131.69000000003</v>
      </c>
      <c r="H40" s="107">
        <f t="shared" si="20"/>
        <v>236066.22</v>
      </c>
      <c r="I40" s="107">
        <f t="shared" si="20"/>
        <v>267936.81000000006</v>
      </c>
      <c r="J40" s="107">
        <f t="shared" si="20"/>
        <v>291497.01</v>
      </c>
      <c r="K40" s="107">
        <f t="shared" si="20"/>
        <v>243806.67</v>
      </c>
      <c r="L40" s="107">
        <f t="shared" si="20"/>
        <v>308328.76999999996</v>
      </c>
      <c r="M40" s="107">
        <f t="shared" si="20"/>
        <v>284588.67000000004</v>
      </c>
      <c r="N40" s="107">
        <v>3229485.9</v>
      </c>
    </row>
    <row r="41" spans="1:14">
      <c r="A41" s="64" t="s">
        <v>50</v>
      </c>
      <c r="B41" s="107">
        <f>B214</f>
        <v>87086.28</v>
      </c>
      <c r="C41" s="107">
        <f>C214</f>
        <v>29435.22</v>
      </c>
      <c r="D41" s="107">
        <f>D214</f>
        <v>-2924.08</v>
      </c>
      <c r="E41" s="107">
        <f>E214</f>
        <v>759.9</v>
      </c>
      <c r="F41" s="107">
        <f>F214</f>
        <v>-223113.02000000002</v>
      </c>
      <c r="G41" s="107"/>
      <c r="H41" s="107"/>
      <c r="I41" s="107"/>
      <c r="J41" s="107"/>
      <c r="K41" s="107"/>
      <c r="L41" s="107"/>
      <c r="M41" s="107"/>
      <c r="N41" s="107">
        <v>-108755.7</v>
      </c>
    </row>
    <row r="42" spans="1:14">
      <c r="A42" s="64" t="s">
        <v>51</v>
      </c>
      <c r="B42" s="107">
        <f t="shared" ref="B42:M42" si="21">B225</f>
        <v>39291.64</v>
      </c>
      <c r="C42" s="107">
        <f t="shared" si="21"/>
        <v>40630.769999999997</v>
      </c>
      <c r="D42" s="107">
        <f t="shared" si="21"/>
        <v>47171.64</v>
      </c>
      <c r="E42" s="107">
        <f t="shared" si="21"/>
        <v>32720.260000000002</v>
      </c>
      <c r="F42" s="107">
        <f t="shared" si="21"/>
        <v>48265.2</v>
      </c>
      <c r="G42" s="107">
        <f t="shared" si="21"/>
        <v>54846.749999999985</v>
      </c>
      <c r="H42" s="107">
        <f t="shared" si="21"/>
        <v>35156.329999999994</v>
      </c>
      <c r="I42" s="107">
        <f t="shared" si="21"/>
        <v>37257.53</v>
      </c>
      <c r="J42" s="107">
        <f t="shared" si="21"/>
        <v>32806.85</v>
      </c>
      <c r="K42" s="107">
        <f t="shared" si="21"/>
        <v>40313.299999999996</v>
      </c>
      <c r="L42" s="107">
        <f t="shared" si="21"/>
        <v>32546.740000000005</v>
      </c>
      <c r="M42" s="107">
        <f t="shared" si="21"/>
        <v>41020.639999999999</v>
      </c>
      <c r="N42" s="107">
        <v>482027.65</v>
      </c>
    </row>
    <row r="43" spans="1:14">
      <c r="A43" s="64" t="s">
        <v>52</v>
      </c>
      <c r="B43" s="107">
        <f t="shared" ref="B43:M43" si="22">B241</f>
        <v>97646.07</v>
      </c>
      <c r="C43" s="107">
        <f t="shared" si="22"/>
        <v>95849.22</v>
      </c>
      <c r="D43" s="107">
        <f t="shared" si="22"/>
        <v>112705.09</v>
      </c>
      <c r="E43" s="107">
        <f t="shared" si="22"/>
        <v>102594.40000000001</v>
      </c>
      <c r="F43" s="107">
        <f t="shared" si="22"/>
        <v>182544.88</v>
      </c>
      <c r="G43" s="107">
        <f t="shared" si="22"/>
        <v>91086.779999999984</v>
      </c>
      <c r="H43" s="107">
        <f t="shared" si="22"/>
        <v>91922.10000000002</v>
      </c>
      <c r="I43" s="107">
        <f t="shared" si="22"/>
        <v>115732.28000000001</v>
      </c>
      <c r="J43" s="107">
        <f t="shared" si="22"/>
        <v>130867.77000000003</v>
      </c>
      <c r="K43" s="107">
        <f t="shared" si="22"/>
        <v>135686.33000000002</v>
      </c>
      <c r="L43" s="107">
        <f t="shared" si="22"/>
        <v>128426.38</v>
      </c>
      <c r="M43" s="107">
        <f t="shared" si="22"/>
        <v>147200.36000000002</v>
      </c>
      <c r="N43" s="107">
        <v>1432261.66</v>
      </c>
    </row>
    <row r="44" spans="1:14">
      <c r="A44" s="64" t="s">
        <v>53</v>
      </c>
      <c r="B44" s="107">
        <f t="shared" ref="B44:M44" si="23">B266</f>
        <v>133943.09999999998</v>
      </c>
      <c r="C44" s="107">
        <f t="shared" si="23"/>
        <v>127671.65</v>
      </c>
      <c r="D44" s="107">
        <f t="shared" si="23"/>
        <v>139546.28999999998</v>
      </c>
      <c r="E44" s="107">
        <f t="shared" si="23"/>
        <v>132734.03</v>
      </c>
      <c r="F44" s="107">
        <f t="shared" si="23"/>
        <v>-1190812.08</v>
      </c>
      <c r="G44" s="107">
        <f t="shared" si="23"/>
        <v>142133.54999999999</v>
      </c>
      <c r="H44" s="107">
        <f t="shared" si="23"/>
        <v>161839.16999999998</v>
      </c>
      <c r="I44" s="107">
        <f t="shared" si="23"/>
        <v>148258.93000000002</v>
      </c>
      <c r="J44" s="107">
        <f t="shared" si="23"/>
        <v>153025.80000000005</v>
      </c>
      <c r="K44" s="107">
        <f t="shared" si="23"/>
        <v>153557.6</v>
      </c>
      <c r="L44" s="107">
        <f t="shared" si="23"/>
        <v>164324.93000000002</v>
      </c>
      <c r="M44" s="107">
        <f t="shared" si="23"/>
        <v>175394.08000000002</v>
      </c>
      <c r="N44" s="107">
        <v>441617.05</v>
      </c>
    </row>
    <row r="45" spans="1:14">
      <c r="A45" s="64" t="s">
        <v>54</v>
      </c>
      <c r="B45" s="107">
        <f t="shared" ref="B45:M45" si="24">B281</f>
        <v>6638.27</v>
      </c>
      <c r="C45" s="107">
        <f t="shared" si="24"/>
        <v>8632.2499999999982</v>
      </c>
      <c r="D45" s="107">
        <f t="shared" si="24"/>
        <v>9762.6</v>
      </c>
      <c r="E45" s="107">
        <f t="shared" si="24"/>
        <v>7381.2799999999988</v>
      </c>
      <c r="F45" s="107">
        <f t="shared" si="24"/>
        <v>13692.7</v>
      </c>
      <c r="G45" s="107">
        <f t="shared" si="24"/>
        <v>14031.800000000001</v>
      </c>
      <c r="H45" s="107">
        <f t="shared" si="24"/>
        <v>11708.969999999998</v>
      </c>
      <c r="I45" s="107">
        <f t="shared" si="24"/>
        <v>11239.430000000002</v>
      </c>
      <c r="J45" s="107">
        <f t="shared" si="24"/>
        <v>14778.390000000001</v>
      </c>
      <c r="K45" s="107">
        <f t="shared" si="24"/>
        <v>9675.6999999999989</v>
      </c>
      <c r="L45" s="107">
        <f t="shared" si="24"/>
        <v>15072.709999999997</v>
      </c>
      <c r="M45" s="107">
        <f t="shared" si="24"/>
        <v>17779.63</v>
      </c>
      <c r="N45" s="107">
        <v>140393.73000000001</v>
      </c>
    </row>
    <row r="46" spans="1:14">
      <c r="A46" s="64" t="s">
        <v>55</v>
      </c>
      <c r="B46" s="107">
        <f t="shared" ref="B46:M46" si="25">B289</f>
        <v>18174.63</v>
      </c>
      <c r="C46" s="107">
        <f t="shared" si="25"/>
        <v>6647.58</v>
      </c>
      <c r="D46" s="107">
        <f t="shared" si="25"/>
        <v>1679.73</v>
      </c>
      <c r="E46" s="107">
        <f t="shared" si="25"/>
        <v>3039</v>
      </c>
      <c r="F46" s="107">
        <f t="shared" si="25"/>
        <v>4505.96</v>
      </c>
      <c r="G46" s="107">
        <f t="shared" si="25"/>
        <v>546.79999999999995</v>
      </c>
      <c r="H46" s="107">
        <f t="shared" si="25"/>
        <v>6172.33</v>
      </c>
      <c r="I46" s="107">
        <f t="shared" si="25"/>
        <v>16639.100000000002</v>
      </c>
      <c r="J46" s="107">
        <f t="shared" si="25"/>
        <v>6851.71</v>
      </c>
      <c r="K46" s="107">
        <f t="shared" si="25"/>
        <v>6627.06</v>
      </c>
      <c r="L46" s="107">
        <f t="shared" si="25"/>
        <v>2043.38</v>
      </c>
      <c r="M46" s="107">
        <f t="shared" si="25"/>
        <v>1694.1799999999998</v>
      </c>
      <c r="N46" s="107">
        <v>74621.460000000006</v>
      </c>
    </row>
    <row r="47" spans="1:14">
      <c r="A47" s="64" t="s">
        <v>56</v>
      </c>
      <c r="B47" s="107">
        <f t="shared" ref="B47:M47" si="26">B296</f>
        <v>10459.960000000001</v>
      </c>
      <c r="C47" s="107">
        <f t="shared" si="26"/>
        <v>9585.27</v>
      </c>
      <c r="D47" s="107">
        <f t="shared" si="26"/>
        <v>9585.27</v>
      </c>
      <c r="E47" s="107">
        <f t="shared" si="26"/>
        <v>9585.27</v>
      </c>
      <c r="F47" s="107">
        <f t="shared" si="26"/>
        <v>20512.63</v>
      </c>
      <c r="G47" s="107">
        <f t="shared" si="26"/>
        <v>13826.630000000001</v>
      </c>
      <c r="H47" s="107">
        <f t="shared" si="26"/>
        <v>13459.960000000001</v>
      </c>
      <c r="I47" s="107">
        <f t="shared" si="26"/>
        <v>13459.960000000001</v>
      </c>
      <c r="J47" s="107">
        <f t="shared" si="26"/>
        <v>13459.960000000001</v>
      </c>
      <c r="K47" s="107">
        <f t="shared" si="26"/>
        <v>13459.960000000001</v>
      </c>
      <c r="L47" s="107">
        <f t="shared" si="26"/>
        <v>13459.960000000001</v>
      </c>
      <c r="M47" s="107">
        <f t="shared" si="26"/>
        <v>13459.95</v>
      </c>
      <c r="N47" s="107">
        <v>154314.78</v>
      </c>
    </row>
    <row r="48" spans="1:14">
      <c r="A48" s="64" t="s">
        <v>57</v>
      </c>
      <c r="B48" s="107">
        <f t="shared" ref="B48:M48" si="27">B301</f>
        <v>24196</v>
      </c>
      <c r="C48" s="107">
        <f t="shared" si="27"/>
        <v>21691</v>
      </c>
      <c r="D48" s="107">
        <f t="shared" si="27"/>
        <v>29962.83</v>
      </c>
      <c r="E48" s="107">
        <f t="shared" si="27"/>
        <v>19139</v>
      </c>
      <c r="F48" s="107">
        <f t="shared" si="27"/>
        <v>101194</v>
      </c>
      <c r="G48" s="107">
        <f t="shared" si="27"/>
        <v>57209</v>
      </c>
      <c r="H48" s="107">
        <f t="shared" si="27"/>
        <v>61459.48</v>
      </c>
      <c r="I48" s="107">
        <f t="shared" si="27"/>
        <v>28553</v>
      </c>
      <c r="J48" s="107">
        <f t="shared" si="27"/>
        <v>25652</v>
      </c>
      <c r="K48" s="107">
        <f t="shared" si="27"/>
        <v>24215</v>
      </c>
      <c r="L48" s="107">
        <f t="shared" si="27"/>
        <v>33753</v>
      </c>
      <c r="M48" s="107">
        <f t="shared" si="27"/>
        <v>53498</v>
      </c>
      <c r="N48" s="107">
        <v>480522.31</v>
      </c>
    </row>
    <row r="49" spans="1:14">
      <c r="A49" s="64" t="s">
        <v>58</v>
      </c>
      <c r="B49" s="107">
        <f t="shared" ref="B49:M49" si="28">B309</f>
        <v>8281.76</v>
      </c>
      <c r="C49" s="107">
        <f t="shared" si="28"/>
        <v>8784.17</v>
      </c>
      <c r="D49" s="107">
        <f t="shared" si="28"/>
        <v>8784.17</v>
      </c>
      <c r="E49" s="107">
        <f t="shared" si="28"/>
        <v>8784.17</v>
      </c>
      <c r="F49" s="107">
        <f t="shared" si="28"/>
        <v>47144.07</v>
      </c>
      <c r="G49" s="107">
        <f t="shared" si="28"/>
        <v>9363.83</v>
      </c>
      <c r="H49" s="107">
        <f t="shared" si="28"/>
        <v>11153.75</v>
      </c>
      <c r="I49" s="107">
        <f t="shared" si="28"/>
        <v>9224.130000000001</v>
      </c>
      <c r="J49" s="107">
        <f t="shared" si="28"/>
        <v>38188.15</v>
      </c>
      <c r="K49" s="107">
        <f t="shared" si="28"/>
        <v>9004.15</v>
      </c>
      <c r="L49" s="107">
        <f t="shared" si="28"/>
        <v>9004.15</v>
      </c>
      <c r="M49" s="107">
        <f t="shared" si="28"/>
        <v>9004.15</v>
      </c>
      <c r="N49" s="107">
        <v>176720.65</v>
      </c>
    </row>
    <row r="50" spans="1:14">
      <c r="A50" s="64" t="s">
        <v>59</v>
      </c>
      <c r="B50" s="107">
        <f t="shared" ref="B50:M50" si="29">B317</f>
        <v>9826.85</v>
      </c>
      <c r="C50" s="107">
        <f t="shared" si="29"/>
        <v>9582.06</v>
      </c>
      <c r="D50" s="107">
        <f t="shared" si="29"/>
        <v>9513.74</v>
      </c>
      <c r="E50" s="107">
        <f t="shared" si="29"/>
        <v>9552.6300000000028</v>
      </c>
      <c r="F50" s="107">
        <f t="shared" si="29"/>
        <v>9508.42</v>
      </c>
      <c r="G50" s="107">
        <f t="shared" si="29"/>
        <v>9508.42</v>
      </c>
      <c r="H50" s="107">
        <f t="shared" si="29"/>
        <v>9275.0699999999961</v>
      </c>
      <c r="I50" s="107">
        <f t="shared" si="29"/>
        <v>9609.2699999999968</v>
      </c>
      <c r="J50" s="107">
        <f t="shared" si="29"/>
        <v>9728.1300000000028</v>
      </c>
      <c r="K50" s="107">
        <f t="shared" si="29"/>
        <v>9798.4200000000037</v>
      </c>
      <c r="L50" s="107">
        <f t="shared" si="29"/>
        <v>9649.57</v>
      </c>
      <c r="M50" s="107">
        <f t="shared" si="29"/>
        <v>9793.350000000004</v>
      </c>
      <c r="N50" s="107">
        <v>115345.93</v>
      </c>
    </row>
    <row r="51" spans="1:14">
      <c r="A51" s="64" t="s">
        <v>60</v>
      </c>
      <c r="B51" s="107">
        <f t="shared" ref="B51:M51" si="30">B324</f>
        <v>119942.77</v>
      </c>
      <c r="C51" s="107">
        <f t="shared" si="30"/>
        <v>129868.97</v>
      </c>
      <c r="D51" s="107">
        <f t="shared" si="30"/>
        <v>122720.40000000001</v>
      </c>
      <c r="E51" s="107">
        <f t="shared" si="30"/>
        <v>122709.57</v>
      </c>
      <c r="F51" s="107">
        <f t="shared" si="30"/>
        <v>-5514.15</v>
      </c>
      <c r="G51" s="107">
        <f t="shared" si="30"/>
        <v>122784.8</v>
      </c>
      <c r="H51" s="107">
        <f t="shared" si="30"/>
        <v>122651.09</v>
      </c>
      <c r="I51" s="107">
        <f t="shared" si="30"/>
        <v>123325.64</v>
      </c>
      <c r="J51" s="107">
        <f t="shared" si="30"/>
        <v>130236.42</v>
      </c>
      <c r="K51" s="107">
        <f t="shared" si="30"/>
        <v>114640.03</v>
      </c>
      <c r="L51" s="107">
        <f t="shared" si="30"/>
        <v>114651.64</v>
      </c>
      <c r="M51" s="107">
        <f t="shared" si="30"/>
        <v>136485.35</v>
      </c>
      <c r="N51" s="107">
        <v>1354502.53</v>
      </c>
    </row>
    <row r="52" spans="1:14">
      <c r="A52" s="64" t="s">
        <v>61</v>
      </c>
      <c r="B52" s="107">
        <f>B328</f>
        <v>882.79</v>
      </c>
      <c r="C52" s="107">
        <f>C328</f>
        <v>1407.26</v>
      </c>
      <c r="D52" s="107"/>
      <c r="E52" s="107"/>
      <c r="F52" s="107">
        <f>F328</f>
        <v>-15688.24</v>
      </c>
      <c r="G52" s="107"/>
      <c r="H52" s="107"/>
      <c r="I52" s="107"/>
      <c r="J52" s="107"/>
      <c r="K52" s="107"/>
      <c r="L52" s="107"/>
      <c r="M52" s="107"/>
      <c r="N52" s="107">
        <v>-13398.19</v>
      </c>
    </row>
    <row r="53" spans="1:14">
      <c r="A53" s="64"/>
      <c r="B53" s="22"/>
      <c r="C53" s="22"/>
      <c r="D53" s="22"/>
      <c r="E53" s="22"/>
      <c r="F53" s="22"/>
      <c r="G53" s="22"/>
      <c r="H53" s="22"/>
      <c r="I53" s="22"/>
      <c r="J53" s="22"/>
      <c r="K53" s="22"/>
      <c r="L53" s="22"/>
      <c r="M53" s="22"/>
      <c r="N53" s="22"/>
    </row>
    <row r="54" spans="1:14" ht="15.75" thickBot="1">
      <c r="A54" s="64" t="s">
        <v>62</v>
      </c>
      <c r="B54" s="112">
        <f t="shared" ref="B54:M54" si="31">B330</f>
        <v>814992.16</v>
      </c>
      <c r="C54" s="112">
        <f t="shared" si="31"/>
        <v>769042.33</v>
      </c>
      <c r="D54" s="112">
        <f t="shared" si="31"/>
        <v>776030.69000000064</v>
      </c>
      <c r="E54" s="112">
        <f t="shared" si="31"/>
        <v>711741.8899999999</v>
      </c>
      <c r="F54" s="112">
        <f t="shared" si="31"/>
        <v>-755773.90999999992</v>
      </c>
      <c r="G54" s="112">
        <f t="shared" si="31"/>
        <v>772470.0499999997</v>
      </c>
      <c r="H54" s="112">
        <f t="shared" si="31"/>
        <v>760864.47000000009</v>
      </c>
      <c r="I54" s="112">
        <f t="shared" si="31"/>
        <v>781236.07999999926</v>
      </c>
      <c r="J54" s="112">
        <f t="shared" si="31"/>
        <v>847092.18999999983</v>
      </c>
      <c r="K54" s="112">
        <f t="shared" si="31"/>
        <v>760784.21999999962</v>
      </c>
      <c r="L54" s="112">
        <f t="shared" si="31"/>
        <v>831261.2299999994</v>
      </c>
      <c r="M54" s="112">
        <f t="shared" si="31"/>
        <v>889918.36</v>
      </c>
      <c r="N54" s="112">
        <v>7959659.7599999998</v>
      </c>
    </row>
    <row r="55" spans="1:14" ht="15.75" thickTop="1">
      <c r="A55" s="64"/>
      <c r="B55" s="22"/>
      <c r="C55" s="22"/>
      <c r="D55" s="22"/>
      <c r="E55" s="22"/>
      <c r="F55" s="22"/>
      <c r="G55" s="22"/>
      <c r="H55" s="22"/>
      <c r="I55" s="22"/>
      <c r="J55" s="22"/>
      <c r="K55" s="22"/>
      <c r="L55" s="22"/>
      <c r="M55" s="22"/>
      <c r="N55" s="22"/>
    </row>
    <row r="56" spans="1:14" ht="15.75" thickBot="1">
      <c r="A56" s="64" t="s">
        <v>63</v>
      </c>
      <c r="B56" s="112">
        <f t="shared" ref="B56:M56" si="32">B332</f>
        <v>-134445.34999999998</v>
      </c>
      <c r="C56" s="112">
        <f t="shared" si="32"/>
        <v>37664.289999998291</v>
      </c>
      <c r="D56" s="112">
        <f t="shared" si="32"/>
        <v>97845.959999998799</v>
      </c>
      <c r="E56" s="112">
        <f t="shared" si="32"/>
        <v>32133.259999999893</v>
      </c>
      <c r="F56" s="112">
        <f t="shared" si="32"/>
        <v>405051.94000000041</v>
      </c>
      <c r="G56" s="112">
        <f t="shared" si="32"/>
        <v>-89053.989999999409</v>
      </c>
      <c r="H56" s="112">
        <f t="shared" si="32"/>
        <v>-140676.64999999991</v>
      </c>
      <c r="I56" s="112">
        <f t="shared" si="32"/>
        <v>-19256.549999998882</v>
      </c>
      <c r="J56" s="112">
        <f t="shared" si="32"/>
        <v>-87785.549999997951</v>
      </c>
      <c r="K56" s="112">
        <f t="shared" si="32"/>
        <v>-3700.2099999991478</v>
      </c>
      <c r="L56" s="112">
        <f t="shared" si="32"/>
        <v>-35011.790000000154</v>
      </c>
      <c r="M56" s="112">
        <f t="shared" si="32"/>
        <v>-22293.880000000237</v>
      </c>
      <c r="N56" s="112">
        <v>40471.480000000003</v>
      </c>
    </row>
    <row r="57" spans="1:14" ht="15.75" thickTop="1">
      <c r="A57" s="64"/>
      <c r="B57" s="22"/>
      <c r="C57" s="22"/>
      <c r="D57" s="22"/>
      <c r="E57" s="22"/>
      <c r="F57" s="22"/>
      <c r="G57" s="22"/>
      <c r="H57" s="22"/>
      <c r="I57" s="22"/>
      <c r="J57" s="22"/>
      <c r="K57" s="22"/>
      <c r="L57" s="22"/>
      <c r="M57" s="22"/>
      <c r="N57" s="22"/>
    </row>
    <row r="58" spans="1:14" ht="15.75" thickBot="1">
      <c r="A58" s="64" t="s">
        <v>64</v>
      </c>
      <c r="B58" s="112">
        <f t="shared" ref="B58:L58" si="33">B335</f>
        <v>37225.089999999997</v>
      </c>
      <c r="C58" s="112">
        <f t="shared" si="33"/>
        <v>23139.14</v>
      </c>
      <c r="D58" s="112">
        <f t="shared" si="33"/>
        <v>10601.5</v>
      </c>
      <c r="E58" s="112">
        <f t="shared" si="33"/>
        <v>15933.54</v>
      </c>
      <c r="F58" s="112">
        <f t="shared" si="33"/>
        <v>243752.19</v>
      </c>
      <c r="G58" s="112">
        <f t="shared" si="33"/>
        <v>9196.8799999999992</v>
      </c>
      <c r="H58" s="112">
        <f t="shared" si="33"/>
        <v>4069.6</v>
      </c>
      <c r="I58" s="112">
        <f t="shared" si="33"/>
        <v>4223.43</v>
      </c>
      <c r="J58" s="112">
        <f t="shared" si="33"/>
        <v>5017.45</v>
      </c>
      <c r="K58" s="112">
        <f t="shared" si="33"/>
        <v>5739.19</v>
      </c>
      <c r="L58" s="112">
        <f t="shared" si="33"/>
        <v>1476.24</v>
      </c>
      <c r="M58" s="112"/>
      <c r="N58" s="112">
        <v>360374.25</v>
      </c>
    </row>
    <row r="59" spans="1:14" ht="15.75" thickTop="1">
      <c r="A59" s="64"/>
      <c r="B59" s="22"/>
      <c r="C59" s="22"/>
      <c r="D59" s="22"/>
      <c r="E59" s="22"/>
      <c r="F59" s="22"/>
      <c r="G59" s="22"/>
      <c r="H59" s="22"/>
      <c r="I59" s="22"/>
      <c r="J59" s="22"/>
      <c r="K59" s="22"/>
      <c r="L59" s="22"/>
      <c r="M59" s="22"/>
      <c r="N59" s="22"/>
    </row>
    <row r="60" spans="1:14" ht="15.75" thickBot="1">
      <c r="A60" s="64" t="s">
        <v>22</v>
      </c>
      <c r="B60" s="112">
        <f t="shared" ref="B60:M60" si="34">B337</f>
        <v>-171670.43999999997</v>
      </c>
      <c r="C60" s="112">
        <f t="shared" si="34"/>
        <v>14525.149999998292</v>
      </c>
      <c r="D60" s="112">
        <f t="shared" si="34"/>
        <v>87244.459999998799</v>
      </c>
      <c r="E60" s="112">
        <f t="shared" si="34"/>
        <v>16199.719999999892</v>
      </c>
      <c r="F60" s="112">
        <f t="shared" si="34"/>
        <v>161299.75000000041</v>
      </c>
      <c r="G60" s="112">
        <f t="shared" si="34"/>
        <v>-98250.869999999413</v>
      </c>
      <c r="H60" s="112">
        <f t="shared" si="34"/>
        <v>-144746.24999999991</v>
      </c>
      <c r="I60" s="112">
        <f t="shared" si="34"/>
        <v>-23479.979999998883</v>
      </c>
      <c r="J60" s="112">
        <f t="shared" si="34"/>
        <v>-92802.999999997948</v>
      </c>
      <c r="K60" s="112">
        <f t="shared" si="34"/>
        <v>-9439.3999999991465</v>
      </c>
      <c r="L60" s="112">
        <f t="shared" si="34"/>
        <v>-36488.030000000152</v>
      </c>
      <c r="M60" s="112">
        <f t="shared" si="34"/>
        <v>-22293.880000000237</v>
      </c>
      <c r="N60" s="112">
        <v>-319902.77</v>
      </c>
    </row>
    <row r="61" spans="1:14" ht="15.75" thickTop="1">
      <c r="A61" s="64"/>
      <c r="B61" s="22"/>
      <c r="C61" s="22"/>
      <c r="D61" s="22"/>
      <c r="E61" s="22"/>
      <c r="F61" s="22"/>
      <c r="G61" s="22"/>
      <c r="H61" s="22"/>
      <c r="I61" s="22"/>
      <c r="J61" s="22"/>
      <c r="K61" s="22"/>
      <c r="L61" s="22"/>
      <c r="M61" s="22"/>
      <c r="N61" s="22"/>
    </row>
    <row r="62" spans="1:14">
      <c r="A62" s="64" t="s">
        <v>40</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41</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65</v>
      </c>
      <c r="B66" s="22"/>
      <c r="C66" s="22"/>
      <c r="D66" s="22"/>
      <c r="E66" s="22"/>
      <c r="F66" s="22"/>
      <c r="G66" s="22"/>
      <c r="H66" s="22"/>
      <c r="I66" s="22"/>
      <c r="J66" s="22"/>
      <c r="K66" s="22"/>
      <c r="L66" s="22"/>
      <c r="M66" s="22"/>
      <c r="N66" s="22"/>
    </row>
    <row r="67" spans="1:14">
      <c r="A67" s="64" t="s">
        <v>66</v>
      </c>
      <c r="B67" s="111">
        <v>225160.86</v>
      </c>
      <c r="C67" s="111">
        <v>213108.31</v>
      </c>
      <c r="D67" s="111">
        <v>233085.72</v>
      </c>
      <c r="E67" s="111">
        <v>213914.1</v>
      </c>
      <c r="F67" s="111">
        <v>216009.38</v>
      </c>
      <c r="G67" s="111">
        <v>211190.07</v>
      </c>
      <c r="H67" s="111">
        <v>219727.38</v>
      </c>
      <c r="I67" s="111">
        <v>242084.4</v>
      </c>
      <c r="J67" s="111">
        <v>209138.87</v>
      </c>
      <c r="K67" s="111">
        <v>219676.73</v>
      </c>
      <c r="L67" s="111">
        <v>225976.11</v>
      </c>
      <c r="M67" s="111">
        <v>262281.73</v>
      </c>
      <c r="N67" s="111">
        <v>2691353.66</v>
      </c>
    </row>
    <row r="68" spans="1:14">
      <c r="A68" s="64" t="s">
        <v>67</v>
      </c>
      <c r="B68" s="107">
        <f t="shared" ref="B68:M68" si="35">SUM(B64:B67)</f>
        <v>225160.86</v>
      </c>
      <c r="C68" s="107">
        <f t="shared" si="35"/>
        <v>213108.31</v>
      </c>
      <c r="D68" s="107">
        <f t="shared" si="35"/>
        <v>233085.72</v>
      </c>
      <c r="E68" s="107">
        <f t="shared" si="35"/>
        <v>213914.1</v>
      </c>
      <c r="F68" s="107">
        <f t="shared" si="35"/>
        <v>216009.38</v>
      </c>
      <c r="G68" s="107">
        <f t="shared" si="35"/>
        <v>211190.07</v>
      </c>
      <c r="H68" s="107">
        <f t="shared" si="35"/>
        <v>219727.38</v>
      </c>
      <c r="I68" s="107">
        <f t="shared" si="35"/>
        <v>242084.4</v>
      </c>
      <c r="J68" s="107">
        <f t="shared" si="35"/>
        <v>209138.87</v>
      </c>
      <c r="K68" s="107">
        <f t="shared" si="35"/>
        <v>219676.73</v>
      </c>
      <c r="L68" s="107">
        <f t="shared" si="35"/>
        <v>225976.11</v>
      </c>
      <c r="M68" s="107">
        <f t="shared" si="35"/>
        <v>262281.73</v>
      </c>
      <c r="N68" s="107">
        <v>2691353.66</v>
      </c>
    </row>
    <row r="69" spans="1:14">
      <c r="A69" s="64"/>
      <c r="B69" s="22"/>
      <c r="C69" s="22"/>
      <c r="D69" s="22"/>
      <c r="E69" s="22"/>
      <c r="F69" s="22"/>
      <c r="G69" s="22"/>
      <c r="H69" s="22"/>
      <c r="I69" s="22"/>
      <c r="J69" s="22"/>
      <c r="K69" s="22"/>
      <c r="L69" s="22"/>
      <c r="M69" s="22"/>
      <c r="N69" s="22"/>
    </row>
    <row r="70" spans="1:14">
      <c r="A70" s="64" t="s">
        <v>68</v>
      </c>
      <c r="B70" s="22"/>
      <c r="C70" s="22"/>
      <c r="D70" s="22"/>
      <c r="E70" s="22"/>
      <c r="F70" s="22"/>
      <c r="G70" s="22"/>
      <c r="H70" s="22"/>
      <c r="I70" s="22"/>
      <c r="J70" s="22"/>
      <c r="K70" s="22"/>
      <c r="L70" s="22"/>
      <c r="M70" s="22"/>
      <c r="N70" s="22"/>
    </row>
    <row r="71" spans="1:14">
      <c r="A71" s="64" t="s">
        <v>66</v>
      </c>
      <c r="B71" s="111">
        <v>14097.56</v>
      </c>
      <c r="C71" s="111">
        <v>12652.58</v>
      </c>
      <c r="D71" s="111">
        <v>9712.2999999999993</v>
      </c>
      <c r="E71" s="111">
        <v>10051</v>
      </c>
      <c r="F71" s="111">
        <v>9712.2999999999993</v>
      </c>
      <c r="G71" s="111">
        <v>9982.58</v>
      </c>
      <c r="H71" s="111">
        <v>9172.43</v>
      </c>
      <c r="I71" s="111">
        <v>9338.64</v>
      </c>
      <c r="J71" s="111">
        <v>12444.84</v>
      </c>
      <c r="K71" s="111">
        <v>8900.16</v>
      </c>
      <c r="L71" s="111">
        <v>9730.7999999999993</v>
      </c>
      <c r="M71" s="111">
        <v>7713.3</v>
      </c>
      <c r="N71" s="111">
        <v>123508.49</v>
      </c>
    </row>
    <row r="72" spans="1:14">
      <c r="A72" s="64" t="s">
        <v>69</v>
      </c>
      <c r="B72" s="107">
        <f t="shared" ref="B72:M72" si="36">SUM(B69:B71)</f>
        <v>14097.56</v>
      </c>
      <c r="C72" s="107">
        <f t="shared" si="36"/>
        <v>12652.58</v>
      </c>
      <c r="D72" s="107">
        <f t="shared" si="36"/>
        <v>9712.2999999999993</v>
      </c>
      <c r="E72" s="107">
        <f t="shared" si="36"/>
        <v>10051</v>
      </c>
      <c r="F72" s="107">
        <f t="shared" si="36"/>
        <v>9712.2999999999993</v>
      </c>
      <c r="G72" s="107">
        <f t="shared" si="36"/>
        <v>9982.58</v>
      </c>
      <c r="H72" s="107">
        <f t="shared" si="36"/>
        <v>9172.43</v>
      </c>
      <c r="I72" s="107">
        <f t="shared" si="36"/>
        <v>9338.64</v>
      </c>
      <c r="J72" s="107">
        <f t="shared" si="36"/>
        <v>12444.84</v>
      </c>
      <c r="K72" s="107">
        <f t="shared" si="36"/>
        <v>8900.16</v>
      </c>
      <c r="L72" s="107">
        <f t="shared" si="36"/>
        <v>9730.7999999999993</v>
      </c>
      <c r="M72" s="107">
        <f t="shared" si="36"/>
        <v>7713.3</v>
      </c>
      <c r="N72" s="107">
        <v>123508.49</v>
      </c>
    </row>
    <row r="73" spans="1:14">
      <c r="A73" s="64"/>
      <c r="B73" s="22"/>
      <c r="C73" s="22"/>
      <c r="D73" s="22"/>
      <c r="E73" s="22"/>
      <c r="F73" s="22"/>
      <c r="G73" s="22"/>
      <c r="H73" s="22"/>
      <c r="I73" s="22"/>
      <c r="J73" s="22"/>
      <c r="K73" s="22"/>
      <c r="L73" s="22"/>
      <c r="M73" s="22"/>
      <c r="N73" s="22"/>
    </row>
    <row r="74" spans="1:14">
      <c r="A74" s="64" t="s">
        <v>70</v>
      </c>
      <c r="B74" s="22"/>
      <c r="C74" s="22"/>
      <c r="D74" s="22"/>
      <c r="E74" s="22"/>
      <c r="F74" s="22"/>
      <c r="G74" s="22"/>
      <c r="H74" s="22"/>
      <c r="I74" s="22"/>
      <c r="J74" s="22"/>
      <c r="K74" s="22"/>
      <c r="L74" s="22"/>
      <c r="M74" s="22"/>
      <c r="N74" s="22"/>
    </row>
    <row r="75" spans="1:14">
      <c r="A75" s="64" t="s">
        <v>66</v>
      </c>
      <c r="B75" s="111">
        <v>151360.93</v>
      </c>
      <c r="C75" s="111">
        <v>157295.49</v>
      </c>
      <c r="D75" s="111">
        <v>196559.9</v>
      </c>
      <c r="E75" s="111">
        <v>105272.68</v>
      </c>
      <c r="F75" s="111">
        <v>176604.95</v>
      </c>
      <c r="G75" s="111">
        <v>95976.17</v>
      </c>
      <c r="H75" s="111">
        <v>84365.15</v>
      </c>
      <c r="I75" s="111">
        <v>115793.34</v>
      </c>
      <c r="J75" s="111">
        <v>137333.18</v>
      </c>
      <c r="K75" s="111">
        <v>123041.72</v>
      </c>
      <c r="L75" s="111">
        <v>165637.84</v>
      </c>
      <c r="M75" s="111">
        <v>151352.49</v>
      </c>
      <c r="N75" s="111">
        <v>1660593.84</v>
      </c>
    </row>
    <row r="76" spans="1:14">
      <c r="A76" s="64" t="s">
        <v>71</v>
      </c>
      <c r="B76" s="107">
        <f t="shared" ref="B76:M76" si="37">SUM(B73:B75)</f>
        <v>151360.93</v>
      </c>
      <c r="C76" s="107">
        <f t="shared" si="37"/>
        <v>157295.49</v>
      </c>
      <c r="D76" s="107">
        <f t="shared" si="37"/>
        <v>196559.9</v>
      </c>
      <c r="E76" s="107">
        <f t="shared" si="37"/>
        <v>105272.68</v>
      </c>
      <c r="F76" s="107">
        <f t="shared" si="37"/>
        <v>176604.95</v>
      </c>
      <c r="G76" s="107">
        <f t="shared" si="37"/>
        <v>95976.17</v>
      </c>
      <c r="H76" s="107">
        <f t="shared" si="37"/>
        <v>84365.15</v>
      </c>
      <c r="I76" s="107">
        <f t="shared" si="37"/>
        <v>115793.34</v>
      </c>
      <c r="J76" s="107">
        <f t="shared" si="37"/>
        <v>137333.18</v>
      </c>
      <c r="K76" s="107">
        <f t="shared" si="37"/>
        <v>123041.72</v>
      </c>
      <c r="L76" s="107">
        <f t="shared" si="37"/>
        <v>165637.84</v>
      </c>
      <c r="M76" s="107">
        <f t="shared" si="37"/>
        <v>151352.49</v>
      </c>
      <c r="N76" s="107">
        <v>1660593.84</v>
      </c>
    </row>
    <row r="77" spans="1:14">
      <c r="A77" s="64"/>
      <c r="B77" s="22"/>
      <c r="C77" s="22"/>
      <c r="D77" s="22"/>
      <c r="E77" s="22"/>
      <c r="F77" s="22"/>
      <c r="G77" s="22"/>
      <c r="H77" s="22"/>
      <c r="I77" s="22"/>
      <c r="J77" s="22"/>
      <c r="K77" s="22"/>
      <c r="L77" s="22"/>
      <c r="M77" s="22"/>
      <c r="N77" s="22"/>
    </row>
    <row r="78" spans="1:14">
      <c r="A78" s="64" t="s">
        <v>72</v>
      </c>
      <c r="B78" s="113"/>
      <c r="C78" s="113"/>
      <c r="D78" s="113"/>
      <c r="E78" s="113"/>
      <c r="F78" s="113"/>
      <c r="G78" s="113"/>
      <c r="H78" s="113"/>
      <c r="I78" s="113"/>
      <c r="J78" s="113"/>
      <c r="K78" s="113"/>
      <c r="L78" s="113"/>
      <c r="M78" s="113"/>
      <c r="N78" s="113"/>
    </row>
    <row r="79" spans="1:14">
      <c r="A79" s="64" t="s">
        <v>314</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73</v>
      </c>
      <c r="B81" s="22"/>
      <c r="C81" s="22"/>
      <c r="D81" s="22"/>
      <c r="E81" s="22"/>
      <c r="F81" s="22"/>
      <c r="G81" s="22"/>
      <c r="H81" s="22"/>
      <c r="I81" s="22"/>
      <c r="J81" s="22"/>
      <c r="K81" s="22"/>
      <c r="L81" s="22"/>
      <c r="M81" s="22"/>
      <c r="N81" s="22"/>
    </row>
    <row r="82" spans="1:14">
      <c r="A82" s="64" t="s">
        <v>66</v>
      </c>
      <c r="B82" s="111">
        <v>187089.89</v>
      </c>
      <c r="C82" s="111">
        <v>282843.17</v>
      </c>
      <c r="D82" s="111">
        <v>301586.33</v>
      </c>
      <c r="E82" s="111">
        <v>269913.09000000003</v>
      </c>
      <c r="F82" s="111">
        <v>296064.03999999998</v>
      </c>
      <c r="G82" s="111">
        <v>285210.08</v>
      </c>
      <c r="H82" s="111">
        <v>248819.95</v>
      </c>
      <c r="I82" s="111">
        <v>306273.26</v>
      </c>
      <c r="J82" s="111">
        <v>323135.19</v>
      </c>
      <c r="K82" s="111">
        <v>335924.85</v>
      </c>
      <c r="L82" s="111">
        <v>324381.24</v>
      </c>
      <c r="M82" s="111">
        <v>331554.75</v>
      </c>
      <c r="N82" s="111">
        <v>3492795.84</v>
      </c>
    </row>
    <row r="83" spans="1:14">
      <c r="A83" s="64" t="s">
        <v>74</v>
      </c>
      <c r="B83" s="107">
        <f t="shared" ref="B83:M83" si="38">SUM(B80:B82)</f>
        <v>187089.89</v>
      </c>
      <c r="C83" s="107">
        <f t="shared" si="38"/>
        <v>282843.17</v>
      </c>
      <c r="D83" s="107">
        <f t="shared" si="38"/>
        <v>301586.33</v>
      </c>
      <c r="E83" s="107">
        <f t="shared" si="38"/>
        <v>269913.09000000003</v>
      </c>
      <c r="F83" s="107">
        <f t="shared" si="38"/>
        <v>296064.03999999998</v>
      </c>
      <c r="G83" s="107">
        <f t="shared" si="38"/>
        <v>285210.08</v>
      </c>
      <c r="H83" s="107">
        <f t="shared" si="38"/>
        <v>248819.95</v>
      </c>
      <c r="I83" s="107">
        <f t="shared" si="38"/>
        <v>306273.26</v>
      </c>
      <c r="J83" s="107">
        <f t="shared" si="38"/>
        <v>323135.19</v>
      </c>
      <c r="K83" s="107">
        <f t="shared" si="38"/>
        <v>335924.85</v>
      </c>
      <c r="L83" s="107">
        <f t="shared" si="38"/>
        <v>324381.24</v>
      </c>
      <c r="M83" s="107">
        <f t="shared" si="38"/>
        <v>331554.75</v>
      </c>
      <c r="N83" s="107">
        <v>3492795.84</v>
      </c>
    </row>
    <row r="84" spans="1:14">
      <c r="A84" s="64"/>
      <c r="B84" s="22"/>
      <c r="C84" s="22"/>
      <c r="D84" s="22"/>
      <c r="E84" s="22"/>
      <c r="F84" s="22"/>
      <c r="G84" s="22"/>
      <c r="H84" s="22"/>
      <c r="I84" s="22"/>
      <c r="J84" s="22"/>
      <c r="K84" s="22"/>
      <c r="L84" s="22"/>
      <c r="M84" s="22"/>
      <c r="N84" s="22"/>
    </row>
    <row r="85" spans="1:14">
      <c r="A85" s="64" t="s">
        <v>75</v>
      </c>
      <c r="B85" s="22"/>
      <c r="C85" s="22"/>
      <c r="D85" s="22"/>
      <c r="E85" s="22"/>
      <c r="F85" s="22"/>
      <c r="G85" s="22"/>
      <c r="H85" s="22"/>
      <c r="I85" s="22"/>
      <c r="J85" s="22"/>
      <c r="K85" s="22"/>
      <c r="L85" s="22"/>
      <c r="M85" s="22"/>
      <c r="N85" s="22"/>
    </row>
    <row r="86" spans="1:14">
      <c r="A86" s="64" t="s">
        <v>66</v>
      </c>
      <c r="B86" s="111">
        <v>14025</v>
      </c>
      <c r="C86" s="111">
        <v>14355</v>
      </c>
      <c r="D86" s="111">
        <v>18480</v>
      </c>
      <c r="E86" s="111">
        <v>21615</v>
      </c>
      <c r="F86" s="111">
        <v>23760</v>
      </c>
      <c r="G86" s="111">
        <v>21630</v>
      </c>
      <c r="H86" s="111">
        <v>21085</v>
      </c>
      <c r="I86" s="111">
        <v>19595</v>
      </c>
      <c r="J86" s="111">
        <v>18795</v>
      </c>
      <c r="K86" s="111">
        <v>9570</v>
      </c>
      <c r="L86" s="111">
        <v>14085</v>
      </c>
      <c r="M86" s="111">
        <v>19470</v>
      </c>
      <c r="N86" s="111">
        <v>216465</v>
      </c>
    </row>
    <row r="87" spans="1:14">
      <c r="A87" s="64" t="s">
        <v>76</v>
      </c>
      <c r="B87" s="107">
        <f t="shared" ref="B87:M87" si="39">SUM(B84:B86)</f>
        <v>14025</v>
      </c>
      <c r="C87" s="107">
        <f t="shared" si="39"/>
        <v>14355</v>
      </c>
      <c r="D87" s="107">
        <f t="shared" si="39"/>
        <v>18480</v>
      </c>
      <c r="E87" s="107">
        <f t="shared" si="39"/>
        <v>21615</v>
      </c>
      <c r="F87" s="107">
        <f t="shared" si="39"/>
        <v>23760</v>
      </c>
      <c r="G87" s="107">
        <f t="shared" si="39"/>
        <v>21630</v>
      </c>
      <c r="H87" s="107">
        <f t="shared" si="39"/>
        <v>21085</v>
      </c>
      <c r="I87" s="107">
        <f t="shared" si="39"/>
        <v>19595</v>
      </c>
      <c r="J87" s="107">
        <f t="shared" si="39"/>
        <v>18795</v>
      </c>
      <c r="K87" s="107">
        <f t="shared" si="39"/>
        <v>9570</v>
      </c>
      <c r="L87" s="107">
        <f t="shared" si="39"/>
        <v>14085</v>
      </c>
      <c r="M87" s="107">
        <f t="shared" si="39"/>
        <v>19470</v>
      </c>
      <c r="N87" s="107">
        <v>216465</v>
      </c>
    </row>
    <row r="88" spans="1:14">
      <c r="A88" s="64"/>
      <c r="B88" s="113"/>
      <c r="C88" s="113"/>
      <c r="D88" s="113"/>
      <c r="E88" s="113"/>
      <c r="F88" s="113"/>
      <c r="G88" s="113"/>
      <c r="H88" s="113"/>
      <c r="I88" s="113"/>
      <c r="J88" s="113"/>
      <c r="K88" s="113"/>
      <c r="L88" s="113"/>
      <c r="M88" s="113"/>
      <c r="N88" s="113"/>
    </row>
    <row r="89" spans="1:14">
      <c r="A89" s="64" t="s">
        <v>42</v>
      </c>
      <c r="B89" s="107">
        <f t="shared" ref="B89:M89" si="40">SUM(B66:B88)-B68-B72-B76-B79-B83-B87</f>
        <v>591734.23999999987</v>
      </c>
      <c r="C89" s="107">
        <f t="shared" si="40"/>
        <v>680254.54999999981</v>
      </c>
      <c r="D89" s="107">
        <f t="shared" si="40"/>
        <v>759424.25</v>
      </c>
      <c r="E89" s="107">
        <f t="shared" si="40"/>
        <v>620765.87000000011</v>
      </c>
      <c r="F89" s="107">
        <f t="shared" si="40"/>
        <v>722150.66999999993</v>
      </c>
      <c r="G89" s="107">
        <f t="shared" si="40"/>
        <v>623988.90000000014</v>
      </c>
      <c r="H89" s="107">
        <f t="shared" si="40"/>
        <v>583169.90999999992</v>
      </c>
      <c r="I89" s="107">
        <f t="shared" si="40"/>
        <v>693084.64000000025</v>
      </c>
      <c r="J89" s="107">
        <f t="shared" si="40"/>
        <v>700847.08000000007</v>
      </c>
      <c r="K89" s="107">
        <f t="shared" si="40"/>
        <v>697113.46000000008</v>
      </c>
      <c r="L89" s="107">
        <f t="shared" si="40"/>
        <v>739810.98999999953</v>
      </c>
      <c r="M89" s="107">
        <f t="shared" si="40"/>
        <v>772372.27</v>
      </c>
      <c r="N89" s="107">
        <v>8184716.8300000001</v>
      </c>
    </row>
    <row r="90" spans="1:14">
      <c r="A90" s="64"/>
      <c r="B90" s="22"/>
      <c r="C90" s="22"/>
      <c r="D90" s="22"/>
      <c r="E90" s="22"/>
      <c r="F90" s="22"/>
      <c r="G90" s="22"/>
      <c r="H90" s="22"/>
      <c r="I90" s="22"/>
      <c r="J90" s="22"/>
      <c r="K90" s="22"/>
      <c r="L90" s="22"/>
      <c r="M90" s="22"/>
      <c r="N90" s="22"/>
    </row>
    <row r="91" spans="1:14">
      <c r="A91" s="64" t="s">
        <v>43</v>
      </c>
      <c r="B91" s="22"/>
      <c r="C91" s="22"/>
      <c r="D91" s="22"/>
      <c r="E91" s="22"/>
      <c r="F91" s="22"/>
      <c r="G91" s="22"/>
      <c r="H91" s="22"/>
      <c r="I91" s="22"/>
      <c r="J91" s="22"/>
      <c r="K91" s="22"/>
      <c r="L91" s="22"/>
      <c r="M91" s="22"/>
      <c r="N91" s="22"/>
    </row>
    <row r="92" spans="1:14">
      <c r="A92" s="64"/>
      <c r="B92" s="22"/>
      <c r="C92" s="22"/>
      <c r="D92" s="22"/>
      <c r="E92" s="22"/>
      <c r="F92" s="22"/>
      <c r="G92" s="22"/>
      <c r="H92" s="22"/>
      <c r="I92" s="22"/>
      <c r="J92" s="22"/>
      <c r="K92" s="22"/>
      <c r="L92" s="22"/>
      <c r="M92" s="22"/>
      <c r="N92" s="22"/>
    </row>
    <row r="93" spans="1:14">
      <c r="A93" s="64" t="s">
        <v>65</v>
      </c>
      <c r="B93" s="22"/>
      <c r="C93" s="22"/>
      <c r="D93" s="22"/>
      <c r="E93" s="22"/>
      <c r="F93" s="22"/>
      <c r="G93" s="22"/>
      <c r="H93" s="22"/>
      <c r="I93" s="22"/>
      <c r="J93" s="22"/>
      <c r="K93" s="22"/>
      <c r="L93" s="22"/>
      <c r="M93" s="22"/>
      <c r="N93" s="22"/>
    </row>
    <row r="94" spans="1:14">
      <c r="A94" s="64" t="s">
        <v>66</v>
      </c>
      <c r="B94" s="111">
        <v>176.58</v>
      </c>
      <c r="C94" s="111">
        <v>-7133.24</v>
      </c>
      <c r="D94" s="111">
        <v>-572.49</v>
      </c>
      <c r="E94" s="111">
        <v>-8213.98</v>
      </c>
      <c r="F94" s="111">
        <v>-12031.41</v>
      </c>
      <c r="G94" s="111">
        <v>-5505.65</v>
      </c>
      <c r="H94" s="111">
        <v>-2139.54</v>
      </c>
      <c r="I94" s="111">
        <v>23064.76</v>
      </c>
      <c r="J94" s="111"/>
      <c r="K94" s="111">
        <v>124.96</v>
      </c>
      <c r="L94" s="111">
        <v>-2788.45</v>
      </c>
      <c r="M94" s="111">
        <v>-2405.85</v>
      </c>
      <c r="N94" s="111">
        <v>-17424.310000000001</v>
      </c>
    </row>
    <row r="95" spans="1:14">
      <c r="A95" s="64" t="s">
        <v>67</v>
      </c>
      <c r="B95" s="107">
        <f t="shared" ref="B95:I95" si="41">SUM(B93:B94)</f>
        <v>176.58</v>
      </c>
      <c r="C95" s="107">
        <f t="shared" si="41"/>
        <v>-7133.24</v>
      </c>
      <c r="D95" s="107">
        <f t="shared" si="41"/>
        <v>-572.49</v>
      </c>
      <c r="E95" s="107">
        <f t="shared" si="41"/>
        <v>-8213.98</v>
      </c>
      <c r="F95" s="107">
        <f t="shared" si="41"/>
        <v>-12031.41</v>
      </c>
      <c r="G95" s="107">
        <f t="shared" si="41"/>
        <v>-5505.65</v>
      </c>
      <c r="H95" s="107">
        <f t="shared" si="41"/>
        <v>-2139.54</v>
      </c>
      <c r="I95" s="107">
        <f t="shared" si="41"/>
        <v>23064.76</v>
      </c>
      <c r="J95" s="107"/>
      <c r="K95" s="107">
        <f>SUM(K93:K94)</f>
        <v>124.96</v>
      </c>
      <c r="L95" s="107">
        <f>SUM(L93:L94)</f>
        <v>-2788.45</v>
      </c>
      <c r="M95" s="107">
        <f>SUM(M93:M94)</f>
        <v>-2405.85</v>
      </c>
      <c r="N95" s="107">
        <v>-17424.310000000001</v>
      </c>
    </row>
    <row r="96" spans="1:14">
      <c r="A96" s="64"/>
      <c r="B96" s="22"/>
      <c r="C96" s="22"/>
      <c r="D96" s="22"/>
      <c r="E96" s="22"/>
      <c r="F96" s="22"/>
      <c r="G96" s="22"/>
      <c r="H96" s="22"/>
      <c r="I96" s="22"/>
      <c r="J96" s="22"/>
      <c r="K96" s="22"/>
      <c r="L96" s="22"/>
      <c r="M96" s="22"/>
      <c r="N96" s="22"/>
    </row>
    <row r="97" spans="1:14">
      <c r="A97" s="64" t="s">
        <v>68</v>
      </c>
      <c r="B97" s="22"/>
      <c r="C97" s="22"/>
      <c r="D97" s="22"/>
      <c r="E97" s="22"/>
      <c r="F97" s="22"/>
      <c r="G97" s="22"/>
      <c r="H97" s="22"/>
      <c r="I97" s="22"/>
      <c r="J97" s="22"/>
      <c r="K97" s="22"/>
      <c r="L97" s="22"/>
      <c r="M97" s="22"/>
      <c r="N97" s="22"/>
    </row>
    <row r="98" spans="1:14">
      <c r="A98" s="64" t="s">
        <v>66</v>
      </c>
      <c r="B98" s="113"/>
      <c r="C98" s="113"/>
      <c r="D98" s="113"/>
      <c r="E98" s="111">
        <v>2851.8</v>
      </c>
      <c r="F98" s="113"/>
      <c r="G98" s="111">
        <v>9145</v>
      </c>
      <c r="H98" s="113"/>
      <c r="I98" s="111">
        <v>1067.05</v>
      </c>
      <c r="J98" s="111"/>
      <c r="K98" s="113"/>
      <c r="L98" s="111">
        <v>1155</v>
      </c>
      <c r="M98" s="113"/>
      <c r="N98" s="111">
        <v>14218.85</v>
      </c>
    </row>
    <row r="99" spans="1:14">
      <c r="A99" s="64" t="s">
        <v>69</v>
      </c>
      <c r="B99" s="107"/>
      <c r="C99" s="107"/>
      <c r="D99" s="107"/>
      <c r="E99" s="107">
        <f>SUM(E96:E98)</f>
        <v>2851.8</v>
      </c>
      <c r="F99" s="107"/>
      <c r="G99" s="107">
        <f>SUM(G96:G98)</f>
        <v>9145</v>
      </c>
      <c r="H99" s="107"/>
      <c r="I99" s="107">
        <f>SUM(I96:I98)</f>
        <v>1067.05</v>
      </c>
      <c r="J99" s="107"/>
      <c r="K99" s="107"/>
      <c r="L99" s="107">
        <f>SUM(L96:L98)</f>
        <v>1155</v>
      </c>
      <c r="M99" s="107"/>
      <c r="N99" s="107">
        <v>14218.85</v>
      </c>
    </row>
    <row r="100" spans="1:14">
      <c r="A100" s="64"/>
      <c r="B100" s="22"/>
      <c r="C100" s="22"/>
      <c r="D100" s="22"/>
      <c r="E100" s="22"/>
      <c r="F100" s="22"/>
      <c r="G100" s="22"/>
      <c r="H100" s="22"/>
      <c r="I100" s="22"/>
      <c r="J100" s="22"/>
      <c r="K100" s="22"/>
      <c r="L100" s="22"/>
      <c r="M100" s="22"/>
      <c r="N100" s="22"/>
    </row>
    <row r="101" spans="1:14">
      <c r="A101" s="64" t="s">
        <v>70</v>
      </c>
      <c r="B101" s="22"/>
      <c r="C101" s="22"/>
      <c r="D101" s="22"/>
      <c r="E101" s="22"/>
      <c r="F101" s="22"/>
      <c r="G101" s="22"/>
      <c r="H101" s="22"/>
      <c r="I101" s="22"/>
      <c r="J101" s="22"/>
      <c r="K101" s="22"/>
      <c r="L101" s="22"/>
      <c r="M101" s="22"/>
      <c r="N101" s="22"/>
    </row>
    <row r="102" spans="1:14">
      <c r="A102" s="64" t="s">
        <v>66</v>
      </c>
      <c r="B102" s="111">
        <v>-179.91</v>
      </c>
      <c r="C102" s="111">
        <v>-337.61</v>
      </c>
      <c r="D102" s="111">
        <v>-1304.4100000000001</v>
      </c>
      <c r="E102" s="113"/>
      <c r="F102" s="111">
        <v>1921.25</v>
      </c>
      <c r="G102" s="111">
        <v>9090.48</v>
      </c>
      <c r="H102" s="111">
        <v>-16670.43</v>
      </c>
      <c r="I102" s="111">
        <v>26137.88</v>
      </c>
      <c r="J102" s="111"/>
      <c r="K102" s="111">
        <v>-36016.230000000003</v>
      </c>
      <c r="L102" s="111">
        <v>13117.48</v>
      </c>
      <c r="M102" s="111">
        <v>1152.1400000000001</v>
      </c>
      <c r="N102" s="111">
        <v>-3089.36</v>
      </c>
    </row>
    <row r="103" spans="1:14">
      <c r="A103" s="64" t="s">
        <v>71</v>
      </c>
      <c r="B103" s="107">
        <f>SUM(B100:B102)</f>
        <v>-179.91</v>
      </c>
      <c r="C103" s="107">
        <f>SUM(C100:C102)</f>
        <v>-337.61</v>
      </c>
      <c r="D103" s="107">
        <f>SUM(D100:D102)</f>
        <v>-1304.4100000000001</v>
      </c>
      <c r="E103" s="107"/>
      <c r="F103" s="107">
        <f>SUM(F100:F102)</f>
        <v>1921.25</v>
      </c>
      <c r="G103" s="107">
        <f>SUM(G100:G102)</f>
        <v>9090.48</v>
      </c>
      <c r="H103" s="107">
        <f>SUM(H100:H102)</f>
        <v>-16670.43</v>
      </c>
      <c r="I103" s="107">
        <f>SUM(I100:I102)</f>
        <v>26137.88</v>
      </c>
      <c r="J103" s="107"/>
      <c r="K103" s="107">
        <f>SUM(K100:K102)</f>
        <v>-36016.230000000003</v>
      </c>
      <c r="L103" s="107">
        <f>SUM(L100:L102)</f>
        <v>13117.48</v>
      </c>
      <c r="M103" s="107">
        <f>SUM(M100:M102)</f>
        <v>1152.1400000000001</v>
      </c>
      <c r="N103" s="107">
        <v>-3089.36</v>
      </c>
    </row>
    <row r="104" spans="1:14">
      <c r="A104" s="64"/>
      <c r="B104" s="22"/>
      <c r="C104" s="22"/>
      <c r="D104" s="22"/>
      <c r="E104" s="22"/>
      <c r="F104" s="22"/>
      <c r="G104" s="22"/>
      <c r="H104" s="22"/>
      <c r="I104" s="22"/>
      <c r="J104" s="22"/>
      <c r="K104" s="22"/>
      <c r="L104" s="22"/>
      <c r="M104" s="22"/>
      <c r="N104" s="22"/>
    </row>
    <row r="105" spans="1:14">
      <c r="A105" s="64" t="s">
        <v>72</v>
      </c>
      <c r="B105" s="113"/>
      <c r="C105" s="113"/>
      <c r="D105" s="113"/>
      <c r="E105" s="113"/>
      <c r="F105" s="113"/>
      <c r="G105" s="113"/>
      <c r="H105" s="113"/>
      <c r="I105" s="113"/>
      <c r="J105" s="113"/>
      <c r="K105" s="113"/>
      <c r="L105" s="113"/>
      <c r="M105" s="113"/>
      <c r="N105" s="113"/>
    </row>
    <row r="106" spans="1:14">
      <c r="A106" s="64" t="s">
        <v>314</v>
      </c>
      <c r="B106" s="107"/>
      <c r="C106" s="107"/>
      <c r="D106" s="107"/>
      <c r="E106" s="107"/>
      <c r="F106" s="107"/>
      <c r="G106" s="107"/>
      <c r="H106" s="107"/>
      <c r="I106" s="107"/>
      <c r="J106" s="107"/>
      <c r="K106" s="107"/>
      <c r="L106" s="107"/>
      <c r="M106" s="107"/>
      <c r="N106" s="107"/>
    </row>
    <row r="107" spans="1:14">
      <c r="A107" s="64"/>
      <c r="B107" s="22"/>
      <c r="C107" s="22"/>
      <c r="D107" s="22"/>
      <c r="E107" s="22"/>
      <c r="F107" s="22"/>
      <c r="G107" s="22"/>
      <c r="H107" s="22"/>
      <c r="I107" s="22"/>
      <c r="J107" s="22"/>
      <c r="K107" s="22"/>
      <c r="L107" s="22"/>
      <c r="M107" s="22"/>
      <c r="N107" s="22"/>
    </row>
    <row r="108" spans="1:14">
      <c r="A108" s="64" t="s">
        <v>73</v>
      </c>
      <c r="B108" s="22"/>
      <c r="C108" s="22"/>
      <c r="D108" s="22"/>
      <c r="E108" s="22"/>
      <c r="F108" s="22"/>
      <c r="G108" s="22"/>
      <c r="H108" s="22"/>
      <c r="I108" s="22"/>
      <c r="J108" s="22"/>
      <c r="K108" s="22"/>
      <c r="L108" s="22"/>
      <c r="M108" s="22"/>
      <c r="N108" s="22"/>
    </row>
    <row r="109" spans="1:14">
      <c r="A109" s="64" t="s">
        <v>66</v>
      </c>
      <c r="B109" s="111">
        <v>-2936.08</v>
      </c>
      <c r="C109" s="111">
        <v>218.88</v>
      </c>
      <c r="D109" s="111">
        <v>-730</v>
      </c>
      <c r="E109" s="111">
        <v>-10449.42</v>
      </c>
      <c r="F109" s="111">
        <v>-798</v>
      </c>
      <c r="G109" s="111">
        <v>-5874.72</v>
      </c>
      <c r="H109" s="111">
        <v>7940</v>
      </c>
      <c r="I109" s="111">
        <v>-20102.7</v>
      </c>
      <c r="J109" s="111"/>
      <c r="K109" s="111">
        <v>46215.79</v>
      </c>
      <c r="L109" s="111">
        <v>5682.98</v>
      </c>
      <c r="M109" s="111">
        <v>-647</v>
      </c>
      <c r="N109" s="111">
        <v>18519.73</v>
      </c>
    </row>
    <row r="110" spans="1:14">
      <c r="A110" s="64" t="s">
        <v>74</v>
      </c>
      <c r="B110" s="107">
        <f t="shared" ref="B110:I110" si="42">SUM(B107:B109)</f>
        <v>-2936.08</v>
      </c>
      <c r="C110" s="107">
        <f t="shared" si="42"/>
        <v>218.88</v>
      </c>
      <c r="D110" s="107">
        <f t="shared" si="42"/>
        <v>-730</v>
      </c>
      <c r="E110" s="107">
        <f t="shared" si="42"/>
        <v>-10449.42</v>
      </c>
      <c r="F110" s="107">
        <f t="shared" si="42"/>
        <v>-798</v>
      </c>
      <c r="G110" s="107">
        <f t="shared" si="42"/>
        <v>-5874.72</v>
      </c>
      <c r="H110" s="107">
        <f t="shared" si="42"/>
        <v>7940</v>
      </c>
      <c r="I110" s="107">
        <f t="shared" si="42"/>
        <v>-20102.7</v>
      </c>
      <c r="J110" s="107"/>
      <c r="K110" s="107">
        <f>SUM(K107:K109)</f>
        <v>46215.79</v>
      </c>
      <c r="L110" s="107">
        <f>SUM(L107:L109)</f>
        <v>5682.98</v>
      </c>
      <c r="M110" s="107">
        <f>SUM(M107:M109)</f>
        <v>-647</v>
      </c>
      <c r="N110" s="107">
        <v>18519.73</v>
      </c>
    </row>
    <row r="111" spans="1:14">
      <c r="A111" s="64"/>
      <c r="B111" s="22"/>
      <c r="C111" s="22"/>
      <c r="D111" s="22"/>
      <c r="E111" s="22"/>
      <c r="F111" s="22"/>
      <c r="G111" s="22"/>
      <c r="H111" s="22"/>
      <c r="I111" s="22"/>
      <c r="J111" s="22"/>
      <c r="K111" s="22"/>
      <c r="L111" s="22"/>
      <c r="M111" s="22"/>
      <c r="N111" s="22"/>
    </row>
    <row r="112" spans="1:14">
      <c r="A112" s="64" t="s">
        <v>75</v>
      </c>
      <c r="B112" s="22"/>
      <c r="C112" s="22"/>
      <c r="D112" s="22"/>
      <c r="E112" s="22"/>
      <c r="F112" s="22"/>
      <c r="G112" s="22"/>
      <c r="H112" s="22"/>
      <c r="I112" s="22"/>
      <c r="J112" s="22"/>
      <c r="K112" s="22"/>
      <c r="L112" s="22"/>
      <c r="M112" s="22"/>
      <c r="N112" s="22"/>
    </row>
    <row r="113" spans="1:14">
      <c r="A113" s="64" t="s">
        <v>66</v>
      </c>
      <c r="B113" s="111">
        <v>165</v>
      </c>
      <c r="C113" s="111">
        <v>6105</v>
      </c>
      <c r="D113" s="111">
        <v>990</v>
      </c>
      <c r="E113" s="111">
        <v>15069.42</v>
      </c>
      <c r="F113" s="111">
        <v>10395</v>
      </c>
      <c r="G113" s="113"/>
      <c r="H113" s="111">
        <v>990</v>
      </c>
      <c r="I113" s="111">
        <v>-18315</v>
      </c>
      <c r="J113" s="111"/>
      <c r="K113" s="113"/>
      <c r="L113" s="111">
        <v>-2310</v>
      </c>
      <c r="M113" s="113"/>
      <c r="N113" s="111">
        <v>13089.42</v>
      </c>
    </row>
    <row r="114" spans="1:14">
      <c r="A114" s="64" t="s">
        <v>76</v>
      </c>
      <c r="B114" s="107">
        <f>SUM(B111:B113)</f>
        <v>165</v>
      </c>
      <c r="C114" s="107">
        <f>SUM(C111:C113)</f>
        <v>6105</v>
      </c>
      <c r="D114" s="107">
        <f>SUM(D111:D113)</f>
        <v>990</v>
      </c>
      <c r="E114" s="107">
        <f>SUM(E111:E113)</f>
        <v>15069.42</v>
      </c>
      <c r="F114" s="107">
        <f>SUM(F111:F113)</f>
        <v>10395</v>
      </c>
      <c r="G114" s="107"/>
      <c r="H114" s="107">
        <f>SUM(H111:H113)</f>
        <v>990</v>
      </c>
      <c r="I114" s="107">
        <f>SUM(I111:I113)</f>
        <v>-18315</v>
      </c>
      <c r="J114" s="107"/>
      <c r="K114" s="107"/>
      <c r="L114" s="107">
        <f>SUM(L111:L113)</f>
        <v>-2310</v>
      </c>
      <c r="M114" s="107"/>
      <c r="N114" s="107">
        <v>13089.42</v>
      </c>
    </row>
    <row r="115" spans="1:14">
      <c r="A115" s="64"/>
      <c r="B115" s="113"/>
      <c r="C115" s="113"/>
      <c r="D115" s="113"/>
      <c r="E115" s="113"/>
      <c r="F115" s="113"/>
      <c r="G115" s="113"/>
      <c r="H115" s="113"/>
      <c r="I115" s="113"/>
      <c r="J115" s="113"/>
      <c r="K115" s="113"/>
      <c r="L115" s="113"/>
      <c r="M115" s="113"/>
      <c r="N115" s="113"/>
    </row>
    <row r="116" spans="1:14">
      <c r="A116" s="64" t="s">
        <v>44</v>
      </c>
      <c r="B116" s="107">
        <f t="shared" ref="B116:I116" si="43">SUM(B91:B115)-B95-B99-B103-B106-B110-B114</f>
        <v>-2774.41</v>
      </c>
      <c r="C116" s="107">
        <f t="shared" si="43"/>
        <v>-1146.970000000003</v>
      </c>
      <c r="D116" s="107">
        <f t="shared" si="43"/>
        <v>-1616.9000000000003</v>
      </c>
      <c r="E116" s="107">
        <f t="shared" si="43"/>
        <v>-742.17999999999847</v>
      </c>
      <c r="F116" s="107">
        <f t="shared" si="43"/>
        <v>-513.15999999999985</v>
      </c>
      <c r="G116" s="107">
        <f t="shared" si="43"/>
        <v>6855.109999999996</v>
      </c>
      <c r="H116" s="107">
        <f t="shared" si="43"/>
        <v>-9879.9700000000012</v>
      </c>
      <c r="I116" s="107">
        <f t="shared" si="43"/>
        <v>11851.990000000013</v>
      </c>
      <c r="J116" s="107"/>
      <c r="K116" s="107">
        <f>SUM(K91:K115)-K95-K99-K103-K106-K110-K114</f>
        <v>10324.519999999997</v>
      </c>
      <c r="L116" s="107">
        <f>SUM(L91:L115)-L95-L99-L103-L106-L110-L114</f>
        <v>14857.009999999998</v>
      </c>
      <c r="M116" s="107">
        <f>SUM(M91:M115)-M95-M99-M103-M106-M110-M114</f>
        <v>-1900.7099999999991</v>
      </c>
      <c r="N116" s="107">
        <v>25314.33</v>
      </c>
    </row>
    <row r="117" spans="1:14">
      <c r="A117" s="64"/>
      <c r="B117" s="22"/>
      <c r="C117" s="22"/>
      <c r="D117" s="22"/>
      <c r="E117" s="22"/>
      <c r="F117" s="22"/>
      <c r="G117" s="22"/>
      <c r="H117" s="22"/>
      <c r="I117" s="22"/>
      <c r="J117" s="22"/>
      <c r="K117" s="22"/>
      <c r="L117" s="22"/>
      <c r="M117" s="22"/>
      <c r="N117" s="22"/>
    </row>
    <row r="118" spans="1:14">
      <c r="A118" s="64" t="s">
        <v>45</v>
      </c>
      <c r="B118" s="22"/>
      <c r="C118" s="22"/>
      <c r="D118" s="22"/>
      <c r="E118" s="22"/>
      <c r="F118" s="22"/>
      <c r="G118" s="22"/>
      <c r="H118" s="22"/>
      <c r="I118" s="22"/>
      <c r="J118" s="22"/>
      <c r="K118" s="22"/>
      <c r="L118" s="22"/>
      <c r="M118" s="22"/>
      <c r="N118" s="22"/>
    </row>
    <row r="119" spans="1:14">
      <c r="A119" s="64"/>
      <c r="B119" s="22"/>
      <c r="C119" s="22"/>
      <c r="D119" s="22"/>
      <c r="E119" s="22"/>
      <c r="F119" s="22"/>
      <c r="G119" s="22"/>
      <c r="H119" s="22"/>
      <c r="I119" s="22"/>
      <c r="J119" s="22"/>
      <c r="K119" s="22"/>
      <c r="L119" s="22"/>
      <c r="M119" s="22"/>
      <c r="N119" s="22"/>
    </row>
    <row r="120" spans="1:14">
      <c r="A120" s="64" t="s">
        <v>19</v>
      </c>
      <c r="B120" s="22"/>
      <c r="C120" s="22"/>
      <c r="D120" s="22"/>
      <c r="E120" s="22"/>
      <c r="F120" s="22"/>
      <c r="G120" s="22"/>
      <c r="H120" s="22"/>
      <c r="I120" s="22"/>
      <c r="J120" s="22"/>
      <c r="K120" s="22"/>
      <c r="L120" s="22"/>
      <c r="M120" s="22"/>
      <c r="N120" s="22"/>
    </row>
    <row r="121" spans="1:14">
      <c r="A121" s="64" t="s">
        <v>77</v>
      </c>
      <c r="B121" s="107">
        <v>799.58</v>
      </c>
      <c r="C121" s="107">
        <v>1456.44</v>
      </c>
      <c r="D121" s="107">
        <v>345.95</v>
      </c>
      <c r="E121" s="107">
        <v>339.96</v>
      </c>
      <c r="F121" s="107">
        <v>932.36</v>
      </c>
      <c r="G121" s="107">
        <v>2685.86</v>
      </c>
      <c r="H121" s="107">
        <v>662.8</v>
      </c>
      <c r="I121" s="107">
        <v>5198.17</v>
      </c>
      <c r="J121" s="107">
        <v>3662.45</v>
      </c>
      <c r="K121" s="107">
        <v>1623.95</v>
      </c>
      <c r="L121" s="107">
        <v>1081.29</v>
      </c>
      <c r="M121" s="107">
        <v>1709.76</v>
      </c>
      <c r="N121" s="107">
        <v>20498.57</v>
      </c>
    </row>
    <row r="122" spans="1:14">
      <c r="A122" s="64" t="s">
        <v>78</v>
      </c>
      <c r="B122" s="107">
        <v>660</v>
      </c>
      <c r="C122" s="107">
        <v>840</v>
      </c>
      <c r="D122" s="107">
        <v>1470</v>
      </c>
      <c r="E122" s="107">
        <v>-270</v>
      </c>
      <c r="F122" s="107">
        <v>660</v>
      </c>
      <c r="G122" s="107">
        <v>780</v>
      </c>
      <c r="H122" s="107">
        <v>975</v>
      </c>
      <c r="I122" s="107">
        <v>1290</v>
      </c>
      <c r="J122" s="107">
        <v>3390</v>
      </c>
      <c r="K122" s="107">
        <v>2055</v>
      </c>
      <c r="L122" s="107">
        <v>-630</v>
      </c>
      <c r="M122" s="107">
        <v>930</v>
      </c>
      <c r="N122" s="107">
        <v>12150</v>
      </c>
    </row>
    <row r="123" spans="1:14">
      <c r="A123" s="64" t="s">
        <v>315</v>
      </c>
      <c r="B123" s="107">
        <v>750</v>
      </c>
      <c r="C123" s="107">
        <v>660</v>
      </c>
      <c r="D123" s="22"/>
      <c r="E123" s="107">
        <v>-525</v>
      </c>
      <c r="F123" s="107">
        <v>1980</v>
      </c>
      <c r="G123" s="107">
        <v>-885</v>
      </c>
      <c r="H123" s="107">
        <v>915</v>
      </c>
      <c r="I123" s="107">
        <v>3150</v>
      </c>
      <c r="J123" s="107">
        <v>3525</v>
      </c>
      <c r="K123" s="107">
        <v>2190</v>
      </c>
      <c r="L123" s="107">
        <v>-1125</v>
      </c>
      <c r="M123" s="107">
        <v>705</v>
      </c>
      <c r="N123" s="107">
        <v>11340</v>
      </c>
    </row>
    <row r="124" spans="1:14">
      <c r="A124" s="64" t="s">
        <v>316</v>
      </c>
      <c r="B124" s="22"/>
      <c r="C124" s="107">
        <v>120</v>
      </c>
      <c r="D124" s="22"/>
      <c r="E124" s="107">
        <v>-120</v>
      </c>
      <c r="F124" s="22"/>
      <c r="G124" s="22"/>
      <c r="H124" s="107">
        <v>1185</v>
      </c>
      <c r="I124" s="107">
        <v>1440</v>
      </c>
      <c r="J124" s="107">
        <v>2370</v>
      </c>
      <c r="K124" s="107">
        <v>85</v>
      </c>
      <c r="L124" s="107">
        <v>-1695</v>
      </c>
      <c r="M124" s="22"/>
      <c r="N124" s="107">
        <v>3385</v>
      </c>
    </row>
    <row r="125" spans="1:14">
      <c r="A125" s="64" t="s">
        <v>79</v>
      </c>
      <c r="B125" s="22"/>
      <c r="C125" s="22"/>
      <c r="D125" s="22"/>
      <c r="E125" s="22"/>
      <c r="F125" s="107">
        <v>450</v>
      </c>
      <c r="G125" s="22"/>
      <c r="H125" s="22"/>
      <c r="I125" s="22"/>
      <c r="J125" s="22"/>
      <c r="K125" s="22"/>
      <c r="L125" s="22"/>
      <c r="M125" s="22"/>
      <c r="N125" s="107">
        <v>450</v>
      </c>
    </row>
    <row r="126" spans="1:14">
      <c r="A126" s="64" t="s">
        <v>80</v>
      </c>
      <c r="B126" s="107">
        <v>309.77999999999997</v>
      </c>
      <c r="C126" s="107">
        <v>749.93</v>
      </c>
      <c r="D126" s="107">
        <v>974.43</v>
      </c>
      <c r="E126" s="107">
        <v>1857.93</v>
      </c>
      <c r="F126" s="107">
        <v>3655.47</v>
      </c>
      <c r="G126" s="107">
        <v>1779.65</v>
      </c>
      <c r="H126" s="107">
        <v>1226.57</v>
      </c>
      <c r="I126" s="107">
        <v>564.55999999999995</v>
      </c>
      <c r="J126" s="107">
        <v>691.91</v>
      </c>
      <c r="K126" s="107">
        <v>324</v>
      </c>
      <c r="L126" s="107">
        <v>-375.39</v>
      </c>
      <c r="M126" s="107">
        <v>81</v>
      </c>
      <c r="N126" s="107">
        <v>11839.84</v>
      </c>
    </row>
    <row r="127" spans="1:14">
      <c r="A127" s="64" t="s">
        <v>354</v>
      </c>
      <c r="B127" s="22"/>
      <c r="C127" s="22"/>
      <c r="D127" s="22"/>
      <c r="E127" s="22"/>
      <c r="F127" s="22"/>
      <c r="G127" s="22"/>
      <c r="H127" s="22"/>
      <c r="I127" s="22"/>
      <c r="J127" s="22"/>
      <c r="K127" s="22"/>
      <c r="L127" s="22"/>
      <c r="M127" s="22"/>
      <c r="N127" s="22"/>
    </row>
    <row r="128" spans="1:14">
      <c r="A128" s="64" t="s">
        <v>84</v>
      </c>
      <c r="B128" s="111">
        <v>-2519.36</v>
      </c>
      <c r="C128" s="111">
        <v>-3826.37</v>
      </c>
      <c r="D128" s="111">
        <v>-2790.38</v>
      </c>
      <c r="E128" s="111">
        <v>-1282.8900000000001</v>
      </c>
      <c r="F128" s="111">
        <v>-7677.83</v>
      </c>
      <c r="G128" s="111">
        <v>-4360.51</v>
      </c>
      <c r="H128" s="111">
        <v>-4964.37</v>
      </c>
      <c r="I128" s="111">
        <v>-11642.73</v>
      </c>
      <c r="J128" s="111">
        <v>-13639.36</v>
      </c>
      <c r="K128" s="111">
        <v>-6277.95</v>
      </c>
      <c r="L128" s="111">
        <v>2744.1</v>
      </c>
      <c r="M128" s="111">
        <v>-3425.76</v>
      </c>
      <c r="N128" s="111">
        <v>-59663.41</v>
      </c>
    </row>
    <row r="129" spans="1:14">
      <c r="A129" s="64"/>
      <c r="B129" s="22"/>
      <c r="C129" s="22"/>
      <c r="D129" s="22"/>
      <c r="E129" s="22"/>
      <c r="F129" s="22"/>
      <c r="G129" s="22"/>
      <c r="H129" s="22"/>
      <c r="I129" s="22"/>
      <c r="J129" s="22"/>
      <c r="K129" s="22"/>
      <c r="L129" s="22"/>
      <c r="M129" s="22"/>
      <c r="N129" s="22"/>
    </row>
    <row r="130" spans="1:14">
      <c r="A130" s="64" t="s">
        <v>20</v>
      </c>
      <c r="B130" s="22"/>
      <c r="C130" s="22"/>
      <c r="D130" s="22"/>
      <c r="E130" s="22"/>
      <c r="F130" s="22"/>
      <c r="G130" s="22"/>
      <c r="H130" s="22"/>
      <c r="I130" s="22"/>
      <c r="J130" s="22"/>
      <c r="K130" s="22"/>
      <c r="L130" s="22"/>
      <c r="M130" s="22"/>
      <c r="N130" s="22"/>
    </row>
    <row r="131" spans="1:14">
      <c r="A131" s="64" t="s">
        <v>317</v>
      </c>
      <c r="B131" s="22"/>
      <c r="C131" s="22"/>
      <c r="D131" s="22"/>
      <c r="E131" s="22"/>
      <c r="F131" s="22"/>
      <c r="G131" s="22"/>
      <c r="H131" s="22"/>
      <c r="I131" s="107">
        <v>51.11</v>
      </c>
      <c r="J131" s="22"/>
      <c r="K131" s="107">
        <v>258.02</v>
      </c>
      <c r="L131" s="107">
        <v>45.26</v>
      </c>
      <c r="M131" s="22"/>
      <c r="N131" s="107">
        <v>354.39</v>
      </c>
    </row>
    <row r="132" spans="1:14">
      <c r="A132" s="64" t="s">
        <v>353</v>
      </c>
      <c r="B132" s="22"/>
      <c r="C132" s="22"/>
      <c r="D132" s="22"/>
      <c r="E132" s="22"/>
      <c r="F132" s="22"/>
      <c r="G132" s="22"/>
      <c r="H132" s="22"/>
      <c r="I132" s="22"/>
      <c r="J132" s="22"/>
      <c r="K132" s="22"/>
      <c r="L132" s="107">
        <v>450</v>
      </c>
      <c r="M132" s="107">
        <v>450</v>
      </c>
      <c r="N132" s="107">
        <v>900</v>
      </c>
    </row>
    <row r="133" spans="1:14">
      <c r="A133" s="64" t="s">
        <v>320</v>
      </c>
      <c r="B133" s="22"/>
      <c r="C133" s="22"/>
      <c r="D133" s="22"/>
      <c r="E133" s="22"/>
      <c r="F133" s="107">
        <v>87.38</v>
      </c>
      <c r="G133" s="22"/>
      <c r="H133" s="22"/>
      <c r="I133" s="22"/>
      <c r="J133" s="22"/>
      <c r="K133" s="22"/>
      <c r="L133" s="22"/>
      <c r="M133" s="22"/>
      <c r="N133" s="107">
        <v>87.38</v>
      </c>
    </row>
    <row r="134" spans="1:14">
      <c r="A134" s="64" t="s">
        <v>87</v>
      </c>
      <c r="B134" s="113"/>
      <c r="C134" s="113"/>
      <c r="D134" s="113"/>
      <c r="E134" s="113"/>
      <c r="F134" s="111">
        <v>-87.38</v>
      </c>
      <c r="G134" s="113"/>
      <c r="H134" s="113"/>
      <c r="I134" s="111">
        <v>-51.11</v>
      </c>
      <c r="J134" s="113"/>
      <c r="K134" s="111">
        <v>-258.02</v>
      </c>
      <c r="L134" s="111">
        <v>-495.26</v>
      </c>
      <c r="M134" s="111">
        <v>-450</v>
      </c>
      <c r="N134" s="111">
        <v>-1341.77</v>
      </c>
    </row>
    <row r="135" spans="1:14">
      <c r="A135" s="64"/>
      <c r="B135" s="22"/>
      <c r="C135" s="22"/>
      <c r="D135" s="22"/>
      <c r="E135" s="22"/>
      <c r="F135" s="22"/>
      <c r="G135" s="22"/>
      <c r="H135" s="22"/>
      <c r="I135" s="22"/>
      <c r="J135" s="22"/>
      <c r="K135" s="22"/>
      <c r="L135" s="22"/>
      <c r="M135" s="22"/>
      <c r="N135" s="22"/>
    </row>
    <row r="136" spans="1:14">
      <c r="A136" s="64" t="s">
        <v>88</v>
      </c>
      <c r="B136" s="22"/>
      <c r="C136" s="22"/>
      <c r="D136" s="22"/>
      <c r="E136" s="22"/>
      <c r="F136" s="22"/>
      <c r="G136" s="22"/>
      <c r="H136" s="22"/>
      <c r="I136" s="22"/>
      <c r="J136" s="22"/>
      <c r="K136" s="22"/>
      <c r="L136" s="22"/>
      <c r="M136" s="22"/>
      <c r="N136" s="22"/>
    </row>
    <row r="137" spans="1:14">
      <c r="A137" s="64" t="s">
        <v>89</v>
      </c>
      <c r="B137" s="107">
        <v>11089.55</v>
      </c>
      <c r="C137" s="107">
        <v>10749.98</v>
      </c>
      <c r="D137" s="107">
        <v>10372.870000000001</v>
      </c>
      <c r="E137" s="107">
        <v>6190.32</v>
      </c>
      <c r="F137" s="107">
        <v>13002.49</v>
      </c>
      <c r="G137" s="107">
        <v>5055.21</v>
      </c>
      <c r="H137" s="107">
        <v>3989.1</v>
      </c>
      <c r="I137" s="107">
        <v>5920.66</v>
      </c>
      <c r="J137" s="107">
        <v>7697.87</v>
      </c>
      <c r="K137" s="107">
        <v>9965.1200000000008</v>
      </c>
      <c r="L137" s="107">
        <v>17796.14</v>
      </c>
      <c r="M137" s="107">
        <v>10215.36</v>
      </c>
      <c r="N137" s="107">
        <v>112044.67</v>
      </c>
    </row>
    <row r="138" spans="1:14">
      <c r="A138" s="64" t="s">
        <v>90</v>
      </c>
      <c r="B138" s="107">
        <v>13920</v>
      </c>
      <c r="C138" s="107">
        <v>19725</v>
      </c>
      <c r="D138" s="107">
        <v>18690</v>
      </c>
      <c r="E138" s="107">
        <v>11145</v>
      </c>
      <c r="F138" s="107">
        <v>22005</v>
      </c>
      <c r="G138" s="107">
        <v>8610</v>
      </c>
      <c r="H138" s="107">
        <v>7950</v>
      </c>
      <c r="I138" s="107">
        <v>16815</v>
      </c>
      <c r="J138" s="107">
        <v>19050</v>
      </c>
      <c r="K138" s="107">
        <v>17100</v>
      </c>
      <c r="L138" s="107">
        <v>21165</v>
      </c>
      <c r="M138" s="107">
        <v>22905</v>
      </c>
      <c r="N138" s="107">
        <v>199080</v>
      </c>
    </row>
    <row r="139" spans="1:14">
      <c r="A139" s="64" t="s">
        <v>91</v>
      </c>
      <c r="B139" s="107">
        <v>13785</v>
      </c>
      <c r="C139" s="107">
        <v>16590</v>
      </c>
      <c r="D139" s="107">
        <v>18345</v>
      </c>
      <c r="E139" s="107">
        <v>10470</v>
      </c>
      <c r="F139" s="107">
        <v>22875</v>
      </c>
      <c r="G139" s="107">
        <v>9270</v>
      </c>
      <c r="H139" s="107">
        <v>8625</v>
      </c>
      <c r="I139" s="107">
        <v>15600</v>
      </c>
      <c r="J139" s="107">
        <v>18795</v>
      </c>
      <c r="K139" s="107">
        <v>16200</v>
      </c>
      <c r="L139" s="107">
        <v>21960</v>
      </c>
      <c r="M139" s="107">
        <v>22320</v>
      </c>
      <c r="N139" s="107">
        <v>194835</v>
      </c>
    </row>
    <row r="140" spans="1:14">
      <c r="A140" s="64" t="s">
        <v>92</v>
      </c>
      <c r="B140" s="107">
        <v>2205</v>
      </c>
      <c r="C140" s="107">
        <v>4710</v>
      </c>
      <c r="D140" s="107">
        <v>2180</v>
      </c>
      <c r="E140" s="107">
        <v>2805</v>
      </c>
      <c r="F140" s="107">
        <v>5360</v>
      </c>
      <c r="G140" s="107">
        <v>5880</v>
      </c>
      <c r="H140" s="107">
        <v>600</v>
      </c>
      <c r="I140" s="107">
        <v>3725</v>
      </c>
      <c r="J140" s="107">
        <v>5430</v>
      </c>
      <c r="K140" s="107">
        <v>4430</v>
      </c>
      <c r="L140" s="107">
        <v>5155</v>
      </c>
      <c r="M140" s="107">
        <v>9965</v>
      </c>
      <c r="N140" s="107">
        <v>52445</v>
      </c>
    </row>
    <row r="141" spans="1:14">
      <c r="A141" s="64" t="s">
        <v>94</v>
      </c>
      <c r="B141" s="107">
        <v>1800</v>
      </c>
      <c r="C141" s="107">
        <v>1350</v>
      </c>
      <c r="D141" s="107">
        <v>2250</v>
      </c>
      <c r="E141" s="107">
        <v>2700</v>
      </c>
      <c r="F141" s="107">
        <v>4500</v>
      </c>
      <c r="G141" s="107">
        <v>450</v>
      </c>
      <c r="H141" s="107">
        <v>900</v>
      </c>
      <c r="I141" s="107">
        <v>1350</v>
      </c>
      <c r="J141" s="107">
        <v>1350</v>
      </c>
      <c r="K141" s="107">
        <v>1350</v>
      </c>
      <c r="L141" s="107">
        <v>3150</v>
      </c>
      <c r="M141" s="107">
        <v>1800</v>
      </c>
      <c r="N141" s="107">
        <v>22950</v>
      </c>
    </row>
    <row r="142" spans="1:14">
      <c r="A142" s="64" t="s">
        <v>95</v>
      </c>
      <c r="B142" s="107">
        <v>1437.75</v>
      </c>
      <c r="C142" s="107">
        <v>2366.31</v>
      </c>
      <c r="D142" s="107">
        <v>2140.08</v>
      </c>
      <c r="E142" s="107">
        <v>1234.3900000000001</v>
      </c>
      <c r="F142" s="107">
        <v>3198.52</v>
      </c>
      <c r="G142" s="107">
        <v>1255.19</v>
      </c>
      <c r="H142" s="107">
        <v>854.83</v>
      </c>
      <c r="I142" s="107">
        <v>1504.87</v>
      </c>
      <c r="J142" s="107">
        <v>1339.88</v>
      </c>
      <c r="K142" s="107">
        <v>2050.44</v>
      </c>
      <c r="L142" s="107">
        <v>2181.31</v>
      </c>
      <c r="M142" s="107">
        <v>2215.61</v>
      </c>
      <c r="N142" s="107">
        <v>21779.18</v>
      </c>
    </row>
    <row r="143" spans="1:14">
      <c r="A143" s="64" t="s">
        <v>98</v>
      </c>
      <c r="B143" s="111">
        <v>-44237.3</v>
      </c>
      <c r="C143" s="111">
        <v>-55491.29</v>
      </c>
      <c r="D143" s="111">
        <v>-53977.95</v>
      </c>
      <c r="E143" s="111">
        <v>-34544.71</v>
      </c>
      <c r="F143" s="111">
        <v>-70941.009999999995</v>
      </c>
      <c r="G143" s="111">
        <v>-30520.400000000001</v>
      </c>
      <c r="H143" s="111">
        <v>-22918.93</v>
      </c>
      <c r="I143" s="111">
        <v>-44915.53</v>
      </c>
      <c r="J143" s="111">
        <v>-53662.75</v>
      </c>
      <c r="K143" s="111">
        <v>-51095.56</v>
      </c>
      <c r="L143" s="111">
        <v>-71407.45</v>
      </c>
      <c r="M143" s="111">
        <v>-69420.97</v>
      </c>
      <c r="N143" s="111">
        <v>-603133.85</v>
      </c>
    </row>
    <row r="144" spans="1:14">
      <c r="A144" s="64"/>
      <c r="B144" s="22"/>
      <c r="C144" s="22"/>
      <c r="D144" s="22"/>
      <c r="E144" s="22"/>
      <c r="F144" s="22"/>
      <c r="G144" s="22"/>
      <c r="H144" s="22"/>
      <c r="I144" s="22"/>
      <c r="J144" s="22"/>
      <c r="K144" s="22"/>
      <c r="L144" s="22"/>
      <c r="M144" s="22"/>
      <c r="N144" s="22"/>
    </row>
    <row r="145" spans="1:14">
      <c r="A145" s="64" t="s">
        <v>99</v>
      </c>
      <c r="B145" s="22"/>
      <c r="C145" s="22"/>
      <c r="D145" s="22"/>
      <c r="E145" s="22"/>
      <c r="F145" s="22"/>
      <c r="G145" s="22"/>
      <c r="H145" s="22"/>
      <c r="I145" s="22"/>
      <c r="J145" s="22"/>
      <c r="K145" s="22"/>
      <c r="L145" s="22"/>
      <c r="M145" s="22"/>
      <c r="N145" s="22"/>
    </row>
    <row r="146" spans="1:14">
      <c r="A146" s="64" t="s">
        <v>382</v>
      </c>
      <c r="B146" s="22"/>
      <c r="C146" s="22"/>
      <c r="D146" s="22"/>
      <c r="E146" s="107">
        <v>184.77</v>
      </c>
      <c r="F146" s="22"/>
      <c r="G146" s="107">
        <v>240.06</v>
      </c>
      <c r="H146" s="22"/>
      <c r="I146" s="107">
        <v>200.05</v>
      </c>
      <c r="J146" s="22"/>
      <c r="K146" s="22"/>
      <c r="L146" s="22"/>
      <c r="M146" s="22"/>
      <c r="N146" s="107">
        <v>624.88</v>
      </c>
    </row>
    <row r="147" spans="1:14">
      <c r="A147" s="64" t="s">
        <v>100</v>
      </c>
      <c r="B147" s="107">
        <v>4215</v>
      </c>
      <c r="C147" s="107">
        <v>6960</v>
      </c>
      <c r="D147" s="107">
        <v>4560</v>
      </c>
      <c r="E147" s="107">
        <v>6615</v>
      </c>
      <c r="F147" s="107">
        <v>900</v>
      </c>
      <c r="G147" s="107">
        <v>3900</v>
      </c>
      <c r="H147" s="107">
        <v>3870</v>
      </c>
      <c r="I147" s="107">
        <v>450</v>
      </c>
      <c r="J147" s="107">
        <v>675</v>
      </c>
      <c r="K147" s="107">
        <v>3150</v>
      </c>
      <c r="L147" s="107">
        <v>5700</v>
      </c>
      <c r="M147" s="107">
        <v>3735</v>
      </c>
      <c r="N147" s="107">
        <v>44730</v>
      </c>
    </row>
    <row r="148" spans="1:14">
      <c r="A148" s="64" t="s">
        <v>101</v>
      </c>
      <c r="B148" s="107">
        <v>2310</v>
      </c>
      <c r="C148" s="107">
        <v>5325</v>
      </c>
      <c r="D148" s="107">
        <v>1170</v>
      </c>
      <c r="E148" s="107">
        <v>3030</v>
      </c>
      <c r="F148" s="107">
        <v>6555</v>
      </c>
      <c r="G148" s="107">
        <v>7350</v>
      </c>
      <c r="H148" s="107">
        <v>195</v>
      </c>
      <c r="I148" s="107">
        <v>420</v>
      </c>
      <c r="J148" s="107">
        <v>7845</v>
      </c>
      <c r="K148" s="107">
        <v>4425</v>
      </c>
      <c r="L148" s="107">
        <v>3195</v>
      </c>
      <c r="M148" s="107">
        <v>1380</v>
      </c>
      <c r="N148" s="107">
        <v>43200</v>
      </c>
    </row>
    <row r="149" spans="1:14">
      <c r="A149" s="64" t="s">
        <v>102</v>
      </c>
      <c r="B149" s="107">
        <v>-1175</v>
      </c>
      <c r="C149" s="107">
        <v>2785</v>
      </c>
      <c r="D149" s="22"/>
      <c r="E149" s="107">
        <v>1235</v>
      </c>
      <c r="F149" s="107">
        <v>2870</v>
      </c>
      <c r="G149" s="107">
        <v>3180</v>
      </c>
      <c r="H149" s="107">
        <v>2790</v>
      </c>
      <c r="I149" s="107">
        <v>-405</v>
      </c>
      <c r="J149" s="107">
        <v>1890</v>
      </c>
      <c r="K149" s="107">
        <v>5115</v>
      </c>
      <c r="L149" s="107">
        <v>2585</v>
      </c>
      <c r="M149" s="107">
        <v>1505</v>
      </c>
      <c r="N149" s="107">
        <v>22375</v>
      </c>
    </row>
    <row r="150" spans="1:14">
      <c r="A150" s="64" t="s">
        <v>103</v>
      </c>
      <c r="B150" s="111">
        <v>-2341.1</v>
      </c>
      <c r="C150" s="111">
        <v>-5748.33</v>
      </c>
      <c r="D150" s="111">
        <v>-1804.78</v>
      </c>
      <c r="E150" s="111">
        <v>-4426.3</v>
      </c>
      <c r="F150" s="111">
        <v>-5670.01</v>
      </c>
      <c r="G150" s="111">
        <v>-6090.83</v>
      </c>
      <c r="H150" s="111">
        <v>-2538.29</v>
      </c>
      <c r="I150" s="111">
        <v>-595.83000000000004</v>
      </c>
      <c r="J150" s="111">
        <v>-5116.84</v>
      </c>
      <c r="K150" s="111">
        <v>-4668.2700000000004</v>
      </c>
      <c r="L150" s="111">
        <v>-4876.92</v>
      </c>
      <c r="M150" s="111">
        <v>-2815.52</v>
      </c>
      <c r="N150" s="111">
        <v>-46693.02</v>
      </c>
    </row>
    <row r="151" spans="1:14">
      <c r="A151" s="64" t="s">
        <v>104</v>
      </c>
      <c r="B151" s="107">
        <f t="shared" ref="B151:M151" si="44">SUM(B145:B150)</f>
        <v>3008.9</v>
      </c>
      <c r="C151" s="107">
        <f t="shared" si="44"/>
        <v>9321.67</v>
      </c>
      <c r="D151" s="107">
        <f t="shared" si="44"/>
        <v>3925.2200000000003</v>
      </c>
      <c r="E151" s="107">
        <f t="shared" si="44"/>
        <v>6638.47</v>
      </c>
      <c r="F151" s="107">
        <f t="shared" si="44"/>
        <v>4654.99</v>
      </c>
      <c r="G151" s="107">
        <f t="shared" si="44"/>
        <v>8579.2300000000014</v>
      </c>
      <c r="H151" s="107">
        <f t="shared" si="44"/>
        <v>4316.71</v>
      </c>
      <c r="I151" s="107">
        <f t="shared" si="44"/>
        <v>69.219999999999914</v>
      </c>
      <c r="J151" s="107">
        <f t="shared" si="44"/>
        <v>5293.16</v>
      </c>
      <c r="K151" s="107">
        <f t="shared" si="44"/>
        <v>8021.73</v>
      </c>
      <c r="L151" s="107">
        <f t="shared" si="44"/>
        <v>6603.08</v>
      </c>
      <c r="M151" s="107">
        <f t="shared" si="44"/>
        <v>3804.48</v>
      </c>
      <c r="N151" s="107">
        <v>64236.86</v>
      </c>
    </row>
    <row r="152" spans="1:14">
      <c r="A152" s="64"/>
      <c r="B152" s="22"/>
      <c r="C152" s="22"/>
      <c r="D152" s="22"/>
      <c r="E152" s="22"/>
      <c r="F152" s="22"/>
      <c r="G152" s="22"/>
      <c r="H152" s="22"/>
      <c r="I152" s="22"/>
      <c r="J152" s="22"/>
      <c r="K152" s="22"/>
      <c r="L152" s="22"/>
      <c r="M152" s="22"/>
      <c r="N152" s="22"/>
    </row>
    <row r="153" spans="1:14">
      <c r="A153" s="64" t="s">
        <v>105</v>
      </c>
      <c r="B153" s="113"/>
      <c r="C153" s="113"/>
      <c r="D153" s="113"/>
      <c r="E153" s="113"/>
      <c r="F153" s="113"/>
      <c r="G153" s="113"/>
      <c r="H153" s="113"/>
      <c r="I153" s="113"/>
      <c r="J153" s="113"/>
      <c r="K153" s="113"/>
      <c r="L153" s="113"/>
      <c r="M153" s="113"/>
      <c r="N153" s="113"/>
    </row>
    <row r="154" spans="1:14">
      <c r="A154" s="64"/>
      <c r="B154" s="22"/>
      <c r="C154" s="22"/>
      <c r="D154" s="22"/>
      <c r="E154" s="22"/>
      <c r="F154" s="22"/>
      <c r="G154" s="22"/>
      <c r="H154" s="22"/>
      <c r="I154" s="22"/>
      <c r="J154" s="22"/>
      <c r="K154" s="22"/>
      <c r="L154" s="22"/>
      <c r="M154" s="22"/>
      <c r="N154" s="22"/>
    </row>
    <row r="155" spans="1:14">
      <c r="A155" s="64" t="s">
        <v>106</v>
      </c>
      <c r="B155" s="22"/>
      <c r="C155" s="22"/>
      <c r="D155" s="22"/>
      <c r="E155" s="22"/>
      <c r="F155" s="22"/>
      <c r="G155" s="22"/>
      <c r="H155" s="22"/>
      <c r="I155" s="22"/>
      <c r="J155" s="22"/>
      <c r="K155" s="22"/>
      <c r="L155" s="22"/>
      <c r="M155" s="22"/>
      <c r="N155" s="22"/>
    </row>
    <row r="156" spans="1:14">
      <c r="A156" s="64" t="s">
        <v>107</v>
      </c>
      <c r="B156" s="107">
        <v>26052.17</v>
      </c>
      <c r="C156" s="107">
        <v>37752.769999999997</v>
      </c>
      <c r="D156" s="107">
        <v>37829.160000000003</v>
      </c>
      <c r="E156" s="107">
        <v>39852.410000000003</v>
      </c>
      <c r="F156" s="107">
        <v>45845.19</v>
      </c>
      <c r="G156" s="107">
        <v>36547.68</v>
      </c>
      <c r="H156" s="107">
        <v>36391.440000000002</v>
      </c>
      <c r="I156" s="107">
        <v>39429.89</v>
      </c>
      <c r="J156" s="107">
        <v>28673.72</v>
      </c>
      <c r="K156" s="107">
        <v>31771.49</v>
      </c>
      <c r="L156" s="107">
        <v>35549.67</v>
      </c>
      <c r="M156" s="107">
        <v>31758.26</v>
      </c>
      <c r="N156" s="107">
        <v>427453.85</v>
      </c>
    </row>
    <row r="157" spans="1:14">
      <c r="A157" s="64" t="s">
        <v>383</v>
      </c>
      <c r="B157" s="22"/>
      <c r="C157" s="22"/>
      <c r="D157" s="22"/>
      <c r="E157" s="107">
        <v>369.54</v>
      </c>
      <c r="F157" s="22"/>
      <c r="G157" s="22"/>
      <c r="H157" s="22"/>
      <c r="I157" s="107">
        <v>880.22</v>
      </c>
      <c r="J157" s="22"/>
      <c r="K157" s="22"/>
      <c r="L157" s="22"/>
      <c r="M157" s="22"/>
      <c r="N157" s="107">
        <v>1249.76</v>
      </c>
    </row>
    <row r="158" spans="1:14">
      <c r="A158" s="64" t="s">
        <v>108</v>
      </c>
      <c r="B158" s="107">
        <v>48510</v>
      </c>
      <c r="C158" s="107">
        <v>62700</v>
      </c>
      <c r="D158" s="107">
        <v>67680</v>
      </c>
      <c r="E158" s="107">
        <v>67500</v>
      </c>
      <c r="F158" s="107">
        <v>76710</v>
      </c>
      <c r="G158" s="107">
        <v>62250</v>
      </c>
      <c r="H158" s="107">
        <v>62910</v>
      </c>
      <c r="I158" s="107">
        <v>78960</v>
      </c>
      <c r="J158" s="107">
        <v>73800</v>
      </c>
      <c r="K158" s="107">
        <v>67305</v>
      </c>
      <c r="L158" s="107">
        <v>60870</v>
      </c>
      <c r="M158" s="107">
        <v>47565</v>
      </c>
      <c r="N158" s="107">
        <v>776760</v>
      </c>
    </row>
    <row r="159" spans="1:14">
      <c r="A159" s="64" t="s">
        <v>109</v>
      </c>
      <c r="B159" s="107">
        <v>45975</v>
      </c>
      <c r="C159" s="107">
        <v>54075</v>
      </c>
      <c r="D159" s="107">
        <v>61530</v>
      </c>
      <c r="E159" s="107">
        <v>67080</v>
      </c>
      <c r="F159" s="107">
        <v>74940</v>
      </c>
      <c r="G159" s="107">
        <v>62835</v>
      </c>
      <c r="H159" s="107">
        <v>64185</v>
      </c>
      <c r="I159" s="107">
        <v>74040</v>
      </c>
      <c r="J159" s="107">
        <v>77115</v>
      </c>
      <c r="K159" s="107">
        <v>68820</v>
      </c>
      <c r="L159" s="107">
        <v>62640</v>
      </c>
      <c r="M159" s="107">
        <v>49050</v>
      </c>
      <c r="N159" s="107">
        <v>762285</v>
      </c>
    </row>
    <row r="160" spans="1:14">
      <c r="A160" s="64" t="s">
        <v>110</v>
      </c>
      <c r="B160" s="107">
        <v>13710</v>
      </c>
      <c r="C160" s="107">
        <v>16245</v>
      </c>
      <c r="D160" s="107">
        <v>14260</v>
      </c>
      <c r="E160" s="107">
        <v>15875</v>
      </c>
      <c r="F160" s="107">
        <v>19040</v>
      </c>
      <c r="G160" s="107">
        <v>12670</v>
      </c>
      <c r="H160" s="107">
        <v>14360</v>
      </c>
      <c r="I160" s="107">
        <v>25035</v>
      </c>
      <c r="J160" s="107">
        <v>23930</v>
      </c>
      <c r="K160" s="107">
        <v>22170</v>
      </c>
      <c r="L160" s="107">
        <v>16795</v>
      </c>
      <c r="M160" s="107">
        <v>18070</v>
      </c>
      <c r="N160" s="107">
        <v>212160</v>
      </c>
    </row>
    <row r="161" spans="1:14">
      <c r="A161" s="64" t="s">
        <v>111</v>
      </c>
      <c r="B161" s="107">
        <v>8550</v>
      </c>
      <c r="C161" s="107">
        <v>7200</v>
      </c>
      <c r="D161" s="107">
        <v>8100</v>
      </c>
      <c r="E161" s="107">
        <v>7200</v>
      </c>
      <c r="F161" s="107">
        <v>4950</v>
      </c>
      <c r="G161" s="107">
        <v>5400</v>
      </c>
      <c r="H161" s="107">
        <v>3600</v>
      </c>
      <c r="I161" s="107">
        <v>7200</v>
      </c>
      <c r="J161" s="107">
        <v>3150</v>
      </c>
      <c r="K161" s="107">
        <v>3150</v>
      </c>
      <c r="L161" s="107">
        <v>10350</v>
      </c>
      <c r="M161" s="107">
        <v>9450</v>
      </c>
      <c r="N161" s="107">
        <v>78300</v>
      </c>
    </row>
    <row r="162" spans="1:14">
      <c r="A162" s="64" t="s">
        <v>112</v>
      </c>
      <c r="B162" s="107">
        <v>5296.25</v>
      </c>
      <c r="C162" s="107">
        <v>5769.07</v>
      </c>
      <c r="D162" s="107">
        <v>7739.15</v>
      </c>
      <c r="E162" s="107">
        <v>7755.36</v>
      </c>
      <c r="F162" s="107">
        <v>7379.74</v>
      </c>
      <c r="G162" s="107">
        <v>6464.42</v>
      </c>
      <c r="H162" s="107">
        <v>6161.88</v>
      </c>
      <c r="I162" s="107">
        <v>8078.91</v>
      </c>
      <c r="J162" s="107">
        <v>9407.2900000000009</v>
      </c>
      <c r="K162" s="107">
        <v>6687.81</v>
      </c>
      <c r="L162" s="107">
        <v>6132.81</v>
      </c>
      <c r="M162" s="107">
        <v>5450</v>
      </c>
      <c r="N162" s="107">
        <v>82322.69</v>
      </c>
    </row>
    <row r="163" spans="1:14">
      <c r="A163" s="64" t="s">
        <v>115</v>
      </c>
      <c r="B163" s="111">
        <v>-129180.73</v>
      </c>
      <c r="C163" s="111">
        <v>-178887.25</v>
      </c>
      <c r="D163" s="111">
        <v>-196011.76</v>
      </c>
      <c r="E163" s="111">
        <v>-194316.36</v>
      </c>
      <c r="F163" s="111">
        <v>-205124.57</v>
      </c>
      <c r="G163" s="111">
        <v>-178851.21</v>
      </c>
      <c r="H163" s="111">
        <v>-176803.89</v>
      </c>
      <c r="I163" s="111">
        <v>-211775.77</v>
      </c>
      <c r="J163" s="111">
        <v>-195450.03</v>
      </c>
      <c r="K163" s="111">
        <v>-194037.68</v>
      </c>
      <c r="L163" s="111">
        <v>-190097.6</v>
      </c>
      <c r="M163" s="111">
        <v>-153786.03</v>
      </c>
      <c r="N163" s="111">
        <v>-2204322.88</v>
      </c>
    </row>
    <row r="164" spans="1:14">
      <c r="A164" s="64" t="s">
        <v>116</v>
      </c>
      <c r="B164" s="107">
        <f t="shared" ref="B164:M164" si="45">SUM(B155:B163)</f>
        <v>18912.689999999988</v>
      </c>
      <c r="C164" s="107">
        <f t="shared" si="45"/>
        <v>4854.5899999999965</v>
      </c>
      <c r="D164" s="107">
        <f t="shared" si="45"/>
        <v>1126.5499999999884</v>
      </c>
      <c r="E164" s="107">
        <f t="shared" si="45"/>
        <v>11315.950000000012</v>
      </c>
      <c r="F164" s="107">
        <f t="shared" si="45"/>
        <v>23740.359999999986</v>
      </c>
      <c r="G164" s="107">
        <f t="shared" si="45"/>
        <v>7315.890000000014</v>
      </c>
      <c r="H164" s="107">
        <f t="shared" si="45"/>
        <v>10804.429999999993</v>
      </c>
      <c r="I164" s="107">
        <f t="shared" si="45"/>
        <v>21848.25</v>
      </c>
      <c r="J164" s="107">
        <f t="shared" si="45"/>
        <v>20625.98000000001</v>
      </c>
      <c r="K164" s="107">
        <f t="shared" si="45"/>
        <v>5866.6199999999953</v>
      </c>
      <c r="L164" s="107">
        <f t="shared" si="45"/>
        <v>2239.8799999999756</v>
      </c>
      <c r="M164" s="107">
        <f t="shared" si="45"/>
        <v>7557.2300000000105</v>
      </c>
      <c r="N164" s="107">
        <v>136208.42000000001</v>
      </c>
    </row>
    <row r="165" spans="1:14">
      <c r="A165" s="64"/>
      <c r="B165" s="22"/>
      <c r="C165" s="22"/>
      <c r="D165" s="22"/>
      <c r="E165" s="22"/>
      <c r="F165" s="22"/>
      <c r="G165" s="22"/>
      <c r="H165" s="22"/>
      <c r="I165" s="22"/>
      <c r="J165" s="22"/>
      <c r="K165" s="22"/>
      <c r="L165" s="22"/>
      <c r="M165" s="22"/>
      <c r="N165" s="22"/>
    </row>
    <row r="166" spans="1:14">
      <c r="A166" s="64" t="s">
        <v>117</v>
      </c>
      <c r="B166" s="22"/>
      <c r="C166" s="22"/>
      <c r="D166" s="22"/>
      <c r="E166" s="22"/>
      <c r="F166" s="22"/>
      <c r="G166" s="22"/>
      <c r="H166" s="22"/>
      <c r="I166" s="22"/>
      <c r="J166" s="22"/>
      <c r="K166" s="22"/>
      <c r="L166" s="22"/>
      <c r="M166" s="22"/>
      <c r="N166" s="22"/>
    </row>
    <row r="167" spans="1:14">
      <c r="A167" s="64" t="s">
        <v>282</v>
      </c>
      <c r="B167" s="22"/>
      <c r="C167" s="22"/>
      <c r="D167" s="22"/>
      <c r="E167" s="22"/>
      <c r="F167" s="22"/>
      <c r="G167" s="22"/>
      <c r="H167" s="22"/>
      <c r="I167" s="22"/>
      <c r="J167" s="22"/>
      <c r="K167" s="22"/>
      <c r="L167" s="22"/>
      <c r="M167" s="22"/>
      <c r="N167" s="22"/>
    </row>
    <row r="168" spans="1:14">
      <c r="A168" s="64" t="s">
        <v>118</v>
      </c>
      <c r="B168" s="107">
        <v>476.35</v>
      </c>
      <c r="C168" s="22"/>
      <c r="D168" s="22"/>
      <c r="E168" s="22"/>
      <c r="F168" s="107">
        <v>379.61</v>
      </c>
      <c r="G168" s="107">
        <v>14.13</v>
      </c>
      <c r="H168" s="22"/>
      <c r="I168" s="22"/>
      <c r="J168" s="107">
        <v>-14.13</v>
      </c>
      <c r="K168" s="22"/>
      <c r="L168" s="22"/>
      <c r="M168" s="107">
        <v>1296.33</v>
      </c>
      <c r="N168" s="107">
        <v>2152.29</v>
      </c>
    </row>
    <row r="169" spans="1:14">
      <c r="A169" s="64" t="s">
        <v>122</v>
      </c>
      <c r="B169" s="113"/>
      <c r="C169" s="113"/>
      <c r="D169" s="113"/>
      <c r="E169" s="113"/>
      <c r="F169" s="111">
        <v>313.57</v>
      </c>
      <c r="G169" s="111">
        <v>301.49</v>
      </c>
      <c r="H169" s="113"/>
      <c r="I169" s="111">
        <v>31.5</v>
      </c>
      <c r="J169" s="111">
        <v>-207.38</v>
      </c>
      <c r="K169" s="113"/>
      <c r="L169" s="111">
        <v>162</v>
      </c>
      <c r="M169" s="113"/>
      <c r="N169" s="111">
        <v>601.17999999999995</v>
      </c>
    </row>
    <row r="170" spans="1:14">
      <c r="A170" s="64" t="s">
        <v>127</v>
      </c>
      <c r="B170" s="107">
        <f>SUM(B166:B169)</f>
        <v>476.35</v>
      </c>
      <c r="C170" s="107"/>
      <c r="D170" s="107"/>
      <c r="E170" s="107"/>
      <c r="F170" s="107">
        <f>SUM(F166:F169)</f>
        <v>693.18000000000006</v>
      </c>
      <c r="G170" s="107">
        <f>SUM(G166:G169)</f>
        <v>315.62</v>
      </c>
      <c r="H170" s="107"/>
      <c r="I170" s="107">
        <f>SUM(I166:I169)</f>
        <v>31.5</v>
      </c>
      <c r="J170" s="107">
        <f>SUM(J166:J169)</f>
        <v>-221.51</v>
      </c>
      <c r="K170" s="107"/>
      <c r="L170" s="107">
        <f>SUM(L166:L169)</f>
        <v>162</v>
      </c>
      <c r="M170" s="107">
        <f>SUM(M166:M169)</f>
        <v>1296.33</v>
      </c>
      <c r="N170" s="107">
        <v>2753.47</v>
      </c>
    </row>
    <row r="171" spans="1:14">
      <c r="A171" s="64"/>
      <c r="B171" s="22"/>
      <c r="C171" s="22"/>
      <c r="D171" s="22"/>
      <c r="E171" s="22"/>
      <c r="F171" s="22"/>
      <c r="G171" s="22"/>
      <c r="H171" s="22"/>
      <c r="I171" s="22"/>
      <c r="J171" s="22"/>
      <c r="K171" s="22"/>
      <c r="L171" s="22"/>
      <c r="M171" s="22"/>
      <c r="N171" s="22"/>
    </row>
    <row r="172" spans="1:14">
      <c r="A172" s="64" t="s">
        <v>47</v>
      </c>
      <c r="B172" s="107">
        <f t="shared" ref="B172:M172" si="46">SUM(B118:B171)-0-0-0-B151-0-B164-B170</f>
        <v>22397.940000000002</v>
      </c>
      <c r="C172" s="107">
        <f t="shared" si="46"/>
        <v>14176.259999999995</v>
      </c>
      <c r="D172" s="107">
        <f t="shared" si="46"/>
        <v>5051.7699999999904</v>
      </c>
      <c r="E172" s="107">
        <f t="shared" si="46"/>
        <v>17954.420000000013</v>
      </c>
      <c r="F172" s="107">
        <f t="shared" si="46"/>
        <v>29088.52999999997</v>
      </c>
      <c r="G172" s="107">
        <f t="shared" si="46"/>
        <v>16210.740000000036</v>
      </c>
      <c r="H172" s="107">
        <f t="shared" si="46"/>
        <v>15121.139999999978</v>
      </c>
      <c r="I172" s="107">
        <f t="shared" si="46"/>
        <v>21948.97000000003</v>
      </c>
      <c r="J172" s="107">
        <f t="shared" si="46"/>
        <v>25697.629999999994</v>
      </c>
      <c r="K172" s="107">
        <f t="shared" si="46"/>
        <v>13888.350000000017</v>
      </c>
      <c r="L172" s="107">
        <f t="shared" si="46"/>
        <v>9004.9600000000082</v>
      </c>
      <c r="M172" s="107">
        <f t="shared" si="46"/>
        <v>12658.040000000006</v>
      </c>
      <c r="N172" s="107">
        <v>203198.75</v>
      </c>
    </row>
    <row r="173" spans="1:14">
      <c r="A173" s="64"/>
      <c r="B173" s="22"/>
      <c r="C173" s="22"/>
      <c r="D173" s="22"/>
      <c r="E173" s="22"/>
      <c r="F173" s="22"/>
      <c r="G173" s="22"/>
      <c r="H173" s="22"/>
      <c r="I173" s="22"/>
      <c r="J173" s="22"/>
      <c r="K173" s="22"/>
      <c r="L173" s="22"/>
      <c r="M173" s="22"/>
      <c r="N173" s="22"/>
    </row>
    <row r="174" spans="1:14">
      <c r="A174" s="64" t="s">
        <v>48</v>
      </c>
      <c r="B174" s="22"/>
      <c r="C174" s="22"/>
      <c r="D174" s="22"/>
      <c r="E174" s="22"/>
      <c r="F174" s="22"/>
      <c r="G174" s="22"/>
      <c r="H174" s="22"/>
      <c r="I174" s="22"/>
      <c r="J174" s="22"/>
      <c r="K174" s="22"/>
      <c r="L174" s="22"/>
      <c r="M174" s="22"/>
      <c r="N174" s="22"/>
    </row>
    <row r="175" spans="1:14">
      <c r="A175" s="64" t="s">
        <v>130</v>
      </c>
      <c r="B175" s="107">
        <v>75</v>
      </c>
      <c r="C175" s="107">
        <v>75</v>
      </c>
      <c r="D175" s="107">
        <v>75</v>
      </c>
      <c r="E175" s="107">
        <v>75</v>
      </c>
      <c r="F175" s="107">
        <v>75</v>
      </c>
      <c r="G175" s="107">
        <v>75</v>
      </c>
      <c r="H175" s="107">
        <v>75</v>
      </c>
      <c r="I175" s="107">
        <v>75</v>
      </c>
      <c r="J175" s="107">
        <v>75</v>
      </c>
      <c r="K175" s="107">
        <v>75</v>
      </c>
      <c r="L175" s="107">
        <v>75</v>
      </c>
      <c r="M175" s="107">
        <v>75</v>
      </c>
      <c r="N175" s="107">
        <v>900</v>
      </c>
    </row>
    <row r="176" spans="1:14">
      <c r="A176" s="64" t="s">
        <v>132</v>
      </c>
      <c r="B176" s="107">
        <v>2557.33</v>
      </c>
      <c r="C176" s="107">
        <v>288.14</v>
      </c>
      <c r="D176" s="22"/>
      <c r="E176" s="22"/>
      <c r="F176" s="107">
        <v>20189.04</v>
      </c>
      <c r="G176" s="107">
        <v>192.3</v>
      </c>
      <c r="H176" s="107">
        <v>-192.3</v>
      </c>
      <c r="I176" s="22"/>
      <c r="J176" s="107">
        <v>478.96</v>
      </c>
      <c r="K176" s="107">
        <v>42.95</v>
      </c>
      <c r="L176" s="107">
        <v>1089.48</v>
      </c>
      <c r="M176" s="107">
        <v>100</v>
      </c>
      <c r="N176" s="107">
        <v>24745.9</v>
      </c>
    </row>
    <row r="177" spans="1:14">
      <c r="A177" s="64" t="s">
        <v>133</v>
      </c>
      <c r="B177" s="107">
        <v>29397</v>
      </c>
      <c r="C177" s="107">
        <v>90059</v>
      </c>
      <c r="D177" s="107">
        <v>100340</v>
      </c>
      <c r="E177" s="107">
        <v>89917</v>
      </c>
      <c r="F177" s="107">
        <v>199439</v>
      </c>
      <c r="G177" s="107">
        <v>26890</v>
      </c>
      <c r="H177" s="107">
        <v>27860</v>
      </c>
      <c r="I177" s="107">
        <v>30816</v>
      </c>
      <c r="J177" s="107">
        <v>27198</v>
      </c>
      <c r="K177" s="107">
        <v>29704</v>
      </c>
      <c r="L177" s="107">
        <v>30012</v>
      </c>
      <c r="M177" s="107">
        <v>34198</v>
      </c>
      <c r="N177" s="107">
        <v>715830</v>
      </c>
    </row>
    <row r="178" spans="1:14">
      <c r="A178" s="64" t="s">
        <v>360</v>
      </c>
      <c r="B178" s="107">
        <v>37150.519999999997</v>
      </c>
      <c r="C178" s="107">
        <v>23000</v>
      </c>
      <c r="D178" s="107">
        <v>10600</v>
      </c>
      <c r="E178" s="107">
        <v>15900</v>
      </c>
      <c r="F178" s="107">
        <v>6200</v>
      </c>
      <c r="G178" s="107">
        <v>9200</v>
      </c>
      <c r="H178" s="107">
        <v>4000</v>
      </c>
      <c r="I178" s="107">
        <v>4200</v>
      </c>
      <c r="J178" s="107">
        <v>5000</v>
      </c>
      <c r="K178" s="107">
        <v>5847</v>
      </c>
      <c r="L178" s="107">
        <v>1400</v>
      </c>
      <c r="M178" s="107">
        <v>50000</v>
      </c>
      <c r="N178" s="107">
        <v>172497.52</v>
      </c>
    </row>
    <row r="179" spans="1:14">
      <c r="A179" s="64" t="s">
        <v>134</v>
      </c>
      <c r="B179" s="107">
        <v>9.19</v>
      </c>
      <c r="C179" s="107">
        <v>0.64</v>
      </c>
      <c r="D179" s="107">
        <v>2.5299999999999998</v>
      </c>
      <c r="E179" s="107">
        <v>5.04</v>
      </c>
      <c r="F179" s="107">
        <v>125.95</v>
      </c>
      <c r="G179" s="107">
        <v>4.01</v>
      </c>
      <c r="H179" s="107">
        <v>34.04</v>
      </c>
      <c r="I179" s="107">
        <v>2.93</v>
      </c>
      <c r="J179" s="107">
        <v>9.9700000000000006</v>
      </c>
      <c r="K179" s="107">
        <v>88.73</v>
      </c>
      <c r="L179" s="22"/>
      <c r="M179" s="107">
        <v>121.88</v>
      </c>
      <c r="N179" s="107">
        <v>404.91</v>
      </c>
    </row>
    <row r="180" spans="1:14">
      <c r="A180" s="64" t="s">
        <v>396</v>
      </c>
      <c r="B180" s="22"/>
      <c r="C180" s="22"/>
      <c r="D180" s="22"/>
      <c r="E180" s="22"/>
      <c r="F180" s="107">
        <v>403369</v>
      </c>
      <c r="G180" s="22"/>
      <c r="H180" s="22"/>
      <c r="I180" s="22"/>
      <c r="J180" s="22"/>
      <c r="K180" s="22"/>
      <c r="L180" s="22"/>
      <c r="M180" s="22"/>
      <c r="N180" s="107">
        <v>403369</v>
      </c>
    </row>
    <row r="181" spans="1:14">
      <c r="A181" s="64" t="s">
        <v>397</v>
      </c>
      <c r="B181" s="113"/>
      <c r="C181" s="113"/>
      <c r="D181" s="113"/>
      <c r="E181" s="113"/>
      <c r="F181" s="111">
        <v>-1730846</v>
      </c>
      <c r="G181" s="113"/>
      <c r="H181" s="113"/>
      <c r="I181" s="113"/>
      <c r="J181" s="113"/>
      <c r="K181" s="113"/>
      <c r="L181" s="113"/>
      <c r="M181" s="113"/>
      <c r="N181" s="111">
        <v>-1730846</v>
      </c>
    </row>
    <row r="182" spans="1:14">
      <c r="A182" s="64" t="s">
        <v>135</v>
      </c>
      <c r="B182" s="107">
        <f t="shared" ref="B182:M182" si="47">SUM(B173:B181)</f>
        <v>69189.040000000008</v>
      </c>
      <c r="C182" s="107">
        <f t="shared" si="47"/>
        <v>113422.78</v>
      </c>
      <c r="D182" s="107">
        <f t="shared" si="47"/>
        <v>111017.53</v>
      </c>
      <c r="E182" s="107">
        <f t="shared" si="47"/>
        <v>105897.04</v>
      </c>
      <c r="F182" s="107">
        <f t="shared" si="47"/>
        <v>-1101448.01</v>
      </c>
      <c r="G182" s="107">
        <f t="shared" si="47"/>
        <v>36361.310000000005</v>
      </c>
      <c r="H182" s="107">
        <f t="shared" si="47"/>
        <v>31776.74</v>
      </c>
      <c r="I182" s="107">
        <f t="shared" si="47"/>
        <v>35093.93</v>
      </c>
      <c r="J182" s="107">
        <f t="shared" si="47"/>
        <v>32761.93</v>
      </c>
      <c r="K182" s="107">
        <f t="shared" si="47"/>
        <v>35757.68</v>
      </c>
      <c r="L182" s="107">
        <f t="shared" si="47"/>
        <v>32576.48</v>
      </c>
      <c r="M182" s="107">
        <f t="shared" si="47"/>
        <v>84494.88</v>
      </c>
      <c r="N182" s="107">
        <v>-413098.67</v>
      </c>
    </row>
    <row r="183" spans="1:14">
      <c r="A183" s="64"/>
      <c r="B183" s="22"/>
      <c r="C183" s="22"/>
      <c r="D183" s="22"/>
      <c r="E183" s="22"/>
      <c r="F183" s="22"/>
      <c r="G183" s="22"/>
      <c r="H183" s="22"/>
      <c r="I183" s="22"/>
      <c r="J183" s="22"/>
      <c r="K183" s="22"/>
      <c r="L183" s="22"/>
      <c r="M183" s="22"/>
      <c r="N183" s="22"/>
    </row>
    <row r="184" spans="1:14" ht="15.75" thickBot="1">
      <c r="A184" s="64" t="s">
        <v>13</v>
      </c>
      <c r="B184" s="112">
        <f t="shared" ref="B184:M184" si="48">SUM(B66:B183)-B68-B72-B76-B79-B83-B87-B89-B95-B99-B103-B106-B110-B114-B116-0-0-0-B151-0-B164-B170-B172-B182</f>
        <v>680546.81</v>
      </c>
      <c r="C184" s="112">
        <f t="shared" si="48"/>
        <v>806706.61999999825</v>
      </c>
      <c r="D184" s="112">
        <f t="shared" si="48"/>
        <v>873876.64999999944</v>
      </c>
      <c r="E184" s="112">
        <f t="shared" si="48"/>
        <v>743875.14999999979</v>
      </c>
      <c r="F184" s="112">
        <f t="shared" si="48"/>
        <v>-350721.96999999951</v>
      </c>
      <c r="G184" s="112">
        <f t="shared" si="48"/>
        <v>683416.06000000029</v>
      </c>
      <c r="H184" s="112">
        <f t="shared" si="48"/>
        <v>620187.82000000018</v>
      </c>
      <c r="I184" s="112">
        <f t="shared" si="48"/>
        <v>761979.53000000038</v>
      </c>
      <c r="J184" s="112">
        <f t="shared" si="48"/>
        <v>759306.64000000188</v>
      </c>
      <c r="K184" s="112">
        <f t="shared" si="48"/>
        <v>757084.01000000047</v>
      </c>
      <c r="L184" s="112">
        <f t="shared" si="48"/>
        <v>796249.43999999925</v>
      </c>
      <c r="M184" s="112">
        <f t="shared" si="48"/>
        <v>867624.47999999975</v>
      </c>
      <c r="N184" s="112">
        <v>8000131.2400000002</v>
      </c>
    </row>
    <row r="185" spans="1:14" ht="15.75" thickTop="1">
      <c r="A185" s="64"/>
      <c r="B185" s="22"/>
      <c r="C185" s="22"/>
      <c r="D185" s="22"/>
      <c r="E185" s="22"/>
      <c r="F185" s="22"/>
      <c r="G185" s="22"/>
      <c r="H185" s="22"/>
      <c r="I185" s="22"/>
      <c r="J185" s="22"/>
      <c r="K185" s="22"/>
      <c r="L185" s="22"/>
      <c r="M185" s="22"/>
      <c r="N185" s="22"/>
    </row>
    <row r="186" spans="1:14">
      <c r="A186" s="64"/>
      <c r="B186" s="22"/>
      <c r="C186" s="22"/>
      <c r="D186" s="22"/>
      <c r="E186" s="22"/>
      <c r="F186" s="22"/>
      <c r="G186" s="22"/>
      <c r="H186" s="22"/>
      <c r="I186" s="22"/>
      <c r="J186" s="22"/>
      <c r="K186" s="22"/>
      <c r="L186" s="22"/>
      <c r="M186" s="22"/>
      <c r="N186" s="22"/>
    </row>
    <row r="187" spans="1:14">
      <c r="A187" s="64" t="s">
        <v>14</v>
      </c>
      <c r="B187" s="22"/>
      <c r="C187" s="22"/>
      <c r="D187" s="22"/>
      <c r="E187" s="22"/>
      <c r="F187" s="22"/>
      <c r="G187" s="22"/>
      <c r="H187" s="22"/>
      <c r="I187" s="22"/>
      <c r="J187" s="22"/>
      <c r="K187" s="22"/>
      <c r="L187" s="22"/>
      <c r="M187" s="22"/>
      <c r="N187" s="22"/>
    </row>
    <row r="188" spans="1:14">
      <c r="A188" s="64"/>
      <c r="B188" s="22"/>
      <c r="C188" s="22"/>
      <c r="D188" s="22"/>
      <c r="E188" s="22"/>
      <c r="F188" s="22"/>
      <c r="G188" s="22"/>
      <c r="H188" s="22"/>
      <c r="I188" s="22"/>
      <c r="J188" s="22"/>
      <c r="K188" s="22"/>
      <c r="L188" s="22"/>
      <c r="M188" s="22"/>
      <c r="N188" s="22"/>
    </row>
    <row r="189" spans="1:14">
      <c r="A189" s="64" t="s">
        <v>136</v>
      </c>
      <c r="B189" s="22"/>
      <c r="C189" s="22"/>
      <c r="D189" s="22"/>
      <c r="E189" s="22"/>
      <c r="F189" s="22"/>
      <c r="G189" s="22"/>
      <c r="H189" s="22"/>
      <c r="I189" s="22"/>
      <c r="J189" s="22"/>
      <c r="K189" s="22"/>
      <c r="L189" s="22"/>
      <c r="M189" s="22"/>
      <c r="N189" s="22"/>
    </row>
    <row r="190" spans="1:14">
      <c r="A190" s="64" t="s">
        <v>137</v>
      </c>
      <c r="B190" s="107">
        <v>9698.1200000000008</v>
      </c>
      <c r="C190" s="107">
        <v>8578.27</v>
      </c>
      <c r="D190" s="107">
        <v>9826.69</v>
      </c>
      <c r="E190" s="107">
        <v>12592.81</v>
      </c>
      <c r="F190" s="107">
        <v>11936.28</v>
      </c>
      <c r="G190" s="107">
        <v>11442.32</v>
      </c>
      <c r="H190" s="107">
        <v>10568.97</v>
      </c>
      <c r="I190" s="107">
        <v>10907.85</v>
      </c>
      <c r="J190" s="107">
        <v>13851.28</v>
      </c>
      <c r="K190" s="107">
        <v>9389.7900000000009</v>
      </c>
      <c r="L190" s="107">
        <v>10610.62</v>
      </c>
      <c r="M190" s="107">
        <v>10964.99</v>
      </c>
      <c r="N190" s="107">
        <v>130367.99</v>
      </c>
    </row>
    <row r="191" spans="1:14">
      <c r="A191" s="64" t="s">
        <v>138</v>
      </c>
      <c r="B191" s="107">
        <v>4960.41</v>
      </c>
      <c r="C191" s="107">
        <v>583.41</v>
      </c>
      <c r="D191" s="107">
        <v>3256.57</v>
      </c>
      <c r="E191" s="107">
        <v>758.86</v>
      </c>
      <c r="F191" s="107">
        <v>1493.96</v>
      </c>
      <c r="G191" s="107">
        <v>2196.79</v>
      </c>
      <c r="H191" s="107">
        <v>1017.43</v>
      </c>
      <c r="I191" s="107">
        <v>9432.82</v>
      </c>
      <c r="J191" s="107">
        <v>13476.49</v>
      </c>
      <c r="K191" s="107">
        <v>9588.5400000000009</v>
      </c>
      <c r="L191" s="107">
        <v>27777.69</v>
      </c>
      <c r="M191" s="107">
        <v>8449.73</v>
      </c>
      <c r="N191" s="107">
        <v>82992.7</v>
      </c>
    </row>
    <row r="192" spans="1:14">
      <c r="A192" s="64" t="s">
        <v>139</v>
      </c>
      <c r="B192" s="107">
        <v>116790.46</v>
      </c>
      <c r="C192" s="107">
        <v>125875.69</v>
      </c>
      <c r="D192" s="107">
        <v>134374.59</v>
      </c>
      <c r="E192" s="107">
        <v>120648.75</v>
      </c>
      <c r="F192" s="107">
        <v>111809.47</v>
      </c>
      <c r="G192" s="107">
        <v>116329.75</v>
      </c>
      <c r="H192" s="107">
        <v>102520.49</v>
      </c>
      <c r="I192" s="107">
        <v>107503.03</v>
      </c>
      <c r="J192" s="107">
        <v>116054.76</v>
      </c>
      <c r="K192" s="107">
        <v>93067.24</v>
      </c>
      <c r="L192" s="107">
        <v>113524.77</v>
      </c>
      <c r="M192" s="107">
        <v>114118.36</v>
      </c>
      <c r="N192" s="107">
        <v>1372617.36</v>
      </c>
    </row>
    <row r="193" spans="1:14">
      <c r="A193" s="64" t="s">
        <v>140</v>
      </c>
      <c r="B193" s="107">
        <v>4735.46</v>
      </c>
      <c r="C193" s="107">
        <v>6105.22</v>
      </c>
      <c r="D193" s="107">
        <v>4810.1400000000003</v>
      </c>
      <c r="E193" s="107">
        <v>4638.37</v>
      </c>
      <c r="F193" s="107">
        <v>2902.72</v>
      </c>
      <c r="G193" s="107">
        <v>5603.84</v>
      </c>
      <c r="H193" s="107">
        <v>5180.84</v>
      </c>
      <c r="I193" s="107">
        <v>4221.28</v>
      </c>
      <c r="J193" s="107">
        <v>5511.29</v>
      </c>
      <c r="K193" s="107">
        <v>3573.45</v>
      </c>
      <c r="L193" s="107">
        <v>5501.42</v>
      </c>
      <c r="M193" s="107">
        <v>5439.01</v>
      </c>
      <c r="N193" s="107">
        <v>58223.040000000001</v>
      </c>
    </row>
    <row r="194" spans="1:14">
      <c r="A194" s="64" t="s">
        <v>141</v>
      </c>
      <c r="B194" s="107">
        <v>13175.37</v>
      </c>
      <c r="C194" s="107">
        <v>15545.77</v>
      </c>
      <c r="D194" s="107">
        <v>18558.46</v>
      </c>
      <c r="E194" s="107">
        <v>16087.13</v>
      </c>
      <c r="F194" s="107">
        <v>17416.86</v>
      </c>
      <c r="G194" s="107">
        <v>17243.29</v>
      </c>
      <c r="H194" s="107">
        <v>15682.15</v>
      </c>
      <c r="I194" s="107">
        <v>18317</v>
      </c>
      <c r="J194" s="107">
        <v>17769.66</v>
      </c>
      <c r="K194" s="107">
        <v>21302.51</v>
      </c>
      <c r="L194" s="107">
        <v>18863.240000000002</v>
      </c>
      <c r="M194" s="107">
        <v>21283.08</v>
      </c>
      <c r="N194" s="107">
        <v>211244.52</v>
      </c>
    </row>
    <row r="195" spans="1:14">
      <c r="A195" s="64" t="s">
        <v>142</v>
      </c>
      <c r="B195" s="107">
        <v>5048.09</v>
      </c>
      <c r="C195" s="107">
        <v>6119.21</v>
      </c>
      <c r="D195" s="107">
        <v>4830.59</v>
      </c>
      <c r="E195" s="107">
        <v>4927.0600000000004</v>
      </c>
      <c r="F195" s="107">
        <v>4310.2</v>
      </c>
      <c r="G195" s="107">
        <v>625.72</v>
      </c>
      <c r="H195" s="107">
        <v>2048.98</v>
      </c>
      <c r="I195" s="107">
        <v>-155.16</v>
      </c>
      <c r="J195" s="107">
        <v>120</v>
      </c>
      <c r="K195" s="107">
        <v>550.15</v>
      </c>
      <c r="L195" s="107">
        <v>2115.9499999999998</v>
      </c>
      <c r="M195" s="107">
        <v>2076.21</v>
      </c>
      <c r="N195" s="107">
        <v>32617</v>
      </c>
    </row>
    <row r="196" spans="1:14">
      <c r="A196" s="64" t="s">
        <v>143</v>
      </c>
      <c r="B196" s="107">
        <v>49470.74</v>
      </c>
      <c r="C196" s="107">
        <v>57037.34</v>
      </c>
      <c r="D196" s="107">
        <v>65760.27</v>
      </c>
      <c r="E196" s="107">
        <v>58724.43</v>
      </c>
      <c r="F196" s="107">
        <v>56998.44</v>
      </c>
      <c r="G196" s="107">
        <v>56810.91</v>
      </c>
      <c r="H196" s="107">
        <v>51188.26</v>
      </c>
      <c r="I196" s="107">
        <v>59674.48</v>
      </c>
      <c r="J196" s="107">
        <v>66736.37</v>
      </c>
      <c r="K196" s="107">
        <v>52208.800000000003</v>
      </c>
      <c r="L196" s="107">
        <v>75983.73</v>
      </c>
      <c r="M196" s="107">
        <v>66506.64</v>
      </c>
      <c r="N196" s="107">
        <v>717100.41</v>
      </c>
    </row>
    <row r="197" spans="1:14">
      <c r="A197" s="64" t="s">
        <v>144</v>
      </c>
      <c r="B197" s="107">
        <v>5024.75</v>
      </c>
      <c r="C197" s="107">
        <v>4635.7299999999996</v>
      </c>
      <c r="D197" s="107">
        <v>4311.5600000000004</v>
      </c>
      <c r="E197" s="107">
        <v>-810.45</v>
      </c>
      <c r="F197" s="22"/>
      <c r="G197" s="107">
        <v>4945.07</v>
      </c>
      <c r="H197" s="107">
        <v>3461.55</v>
      </c>
      <c r="I197" s="107">
        <v>5109.91</v>
      </c>
      <c r="J197" s="107">
        <v>4945.07</v>
      </c>
      <c r="K197" s="107">
        <v>4879.1400000000003</v>
      </c>
      <c r="L197" s="107">
        <v>4944.62</v>
      </c>
      <c r="M197" s="107">
        <v>2637.37</v>
      </c>
      <c r="N197" s="107">
        <v>44084.32</v>
      </c>
    </row>
    <row r="198" spans="1:14">
      <c r="A198" s="64" t="s">
        <v>145</v>
      </c>
      <c r="B198" s="107">
        <v>3071.66</v>
      </c>
      <c r="C198" s="107">
        <v>2833.85</v>
      </c>
      <c r="D198" s="107">
        <v>1684.46</v>
      </c>
      <c r="E198" s="107">
        <v>2972.57</v>
      </c>
      <c r="F198" s="107">
        <v>1595.28</v>
      </c>
      <c r="G198" s="107">
        <v>3438.27</v>
      </c>
      <c r="H198" s="107">
        <v>2774.4</v>
      </c>
      <c r="I198" s="107">
        <v>3071.66</v>
      </c>
      <c r="J198" s="107">
        <v>2972.57</v>
      </c>
      <c r="K198" s="107">
        <v>1119.67</v>
      </c>
      <c r="L198" s="107">
        <v>2843.76</v>
      </c>
      <c r="M198" s="107">
        <v>3071.66</v>
      </c>
      <c r="N198" s="107">
        <v>31449.81</v>
      </c>
    </row>
    <row r="199" spans="1:14">
      <c r="A199" s="64" t="s">
        <v>146</v>
      </c>
      <c r="B199" s="107">
        <v>1389.65</v>
      </c>
      <c r="C199" s="107">
        <v>1102.58</v>
      </c>
      <c r="D199" s="107">
        <v>1506.19</v>
      </c>
      <c r="E199" s="107">
        <v>1226.8399999999999</v>
      </c>
      <c r="F199" s="107">
        <v>3591.07</v>
      </c>
      <c r="G199" s="107">
        <v>1509.43</v>
      </c>
      <c r="H199" s="107">
        <v>2147</v>
      </c>
      <c r="I199" s="107">
        <v>2718.02</v>
      </c>
      <c r="J199" s="107">
        <v>3429.48</v>
      </c>
      <c r="K199" s="107">
        <v>2833.34</v>
      </c>
      <c r="L199" s="107">
        <v>1774.48</v>
      </c>
      <c r="M199" s="107">
        <v>1032.77</v>
      </c>
      <c r="N199" s="107">
        <v>24260.85</v>
      </c>
    </row>
    <row r="200" spans="1:14">
      <c r="A200" s="64" t="s">
        <v>147</v>
      </c>
      <c r="B200" s="107">
        <v>3681.33</v>
      </c>
      <c r="C200" s="107">
        <v>3937.95</v>
      </c>
      <c r="D200" s="107">
        <v>2844.36</v>
      </c>
      <c r="E200" s="107">
        <v>3398.58</v>
      </c>
      <c r="F200" s="107">
        <v>3303</v>
      </c>
      <c r="G200" s="107">
        <v>2654.96</v>
      </c>
      <c r="H200" s="107">
        <v>3428.53</v>
      </c>
      <c r="I200" s="107">
        <v>3451.75</v>
      </c>
      <c r="J200" s="107">
        <v>3437.09</v>
      </c>
      <c r="K200" s="107">
        <v>3644.23</v>
      </c>
      <c r="L200" s="107">
        <v>3422.67</v>
      </c>
      <c r="M200" s="107">
        <v>3135.17</v>
      </c>
      <c r="N200" s="107">
        <v>40339.620000000003</v>
      </c>
    </row>
    <row r="201" spans="1:14">
      <c r="A201" s="64" t="s">
        <v>148</v>
      </c>
      <c r="B201" s="107">
        <v>3384.18</v>
      </c>
      <c r="C201" s="107">
        <v>5043.63</v>
      </c>
      <c r="D201" s="107">
        <v>2988.06</v>
      </c>
      <c r="E201" s="107">
        <v>3559.67</v>
      </c>
      <c r="F201" s="107">
        <v>2664.61</v>
      </c>
      <c r="G201" s="107">
        <v>2235.42</v>
      </c>
      <c r="H201" s="107">
        <v>3149.86</v>
      </c>
      <c r="I201" s="107">
        <v>3865.23</v>
      </c>
      <c r="J201" s="107">
        <v>3606.89</v>
      </c>
      <c r="K201" s="107">
        <v>3048.56</v>
      </c>
      <c r="L201" s="107">
        <v>6129.19</v>
      </c>
      <c r="M201" s="107">
        <v>5508.64</v>
      </c>
      <c r="N201" s="107">
        <v>45183.94</v>
      </c>
    </row>
    <row r="202" spans="1:14">
      <c r="A202" s="64" t="s">
        <v>283</v>
      </c>
      <c r="B202" s="107">
        <v>3717.3</v>
      </c>
      <c r="C202" s="107">
        <v>7079.95</v>
      </c>
      <c r="D202" s="107">
        <v>741.64</v>
      </c>
      <c r="E202" s="107">
        <v>946.85</v>
      </c>
      <c r="F202" s="107">
        <v>1102.22</v>
      </c>
      <c r="G202" s="107">
        <v>-272.60000000000002</v>
      </c>
      <c r="H202" s="107">
        <v>240.46</v>
      </c>
      <c r="I202" s="107">
        <v>1181.0999999999999</v>
      </c>
      <c r="J202" s="107">
        <v>3704.82</v>
      </c>
      <c r="K202" s="107">
        <v>1944.74</v>
      </c>
      <c r="L202" s="107">
        <v>1171.42</v>
      </c>
      <c r="M202" s="107">
        <v>-568.29</v>
      </c>
      <c r="N202" s="107">
        <v>20989.61</v>
      </c>
    </row>
    <row r="203" spans="1:14">
      <c r="A203" s="64" t="s">
        <v>153</v>
      </c>
      <c r="B203" s="107">
        <v>4073.28</v>
      </c>
      <c r="C203" s="107">
        <v>4193.2700000000004</v>
      </c>
      <c r="D203" s="107">
        <v>3914.88</v>
      </c>
      <c r="E203" s="107">
        <v>4073.92</v>
      </c>
      <c r="F203" s="107">
        <v>4063.42</v>
      </c>
      <c r="G203" s="107">
        <v>2929.23</v>
      </c>
      <c r="H203" s="107">
        <v>3559.64</v>
      </c>
      <c r="I203" s="107">
        <v>4282.9799999999996</v>
      </c>
      <c r="J203" s="107">
        <v>3620.17</v>
      </c>
      <c r="K203" s="107">
        <v>4499.43</v>
      </c>
      <c r="L203" s="107">
        <v>4650.38</v>
      </c>
      <c r="M203" s="107">
        <v>4248.43</v>
      </c>
      <c r="N203" s="107">
        <v>48109.03</v>
      </c>
    </row>
    <row r="204" spans="1:14">
      <c r="A204" s="64" t="s">
        <v>154</v>
      </c>
      <c r="B204" s="107">
        <v>10049.469999999999</v>
      </c>
      <c r="C204" s="107">
        <v>9271.44</v>
      </c>
      <c r="D204" s="107">
        <v>9549.4699999999993</v>
      </c>
      <c r="E204" s="107">
        <v>9725.2900000000009</v>
      </c>
      <c r="F204" s="107">
        <v>9595.56</v>
      </c>
      <c r="G204" s="107">
        <v>9452.98</v>
      </c>
      <c r="H204" s="107">
        <v>9329.7900000000009</v>
      </c>
      <c r="I204" s="107">
        <v>10350.950000000001</v>
      </c>
      <c r="J204" s="107">
        <v>10017.040000000001</v>
      </c>
      <c r="K204" s="107">
        <v>9883.48</v>
      </c>
      <c r="L204" s="107">
        <v>10016.85</v>
      </c>
      <c r="M204" s="107">
        <v>10350.94</v>
      </c>
      <c r="N204" s="107">
        <v>117593.26</v>
      </c>
    </row>
    <row r="205" spans="1:14">
      <c r="A205" s="64" t="s">
        <v>155</v>
      </c>
      <c r="B205" s="111">
        <v>20351.77</v>
      </c>
      <c r="C205" s="111">
        <v>21313.599999999999</v>
      </c>
      <c r="D205" s="111">
        <v>18565.080000000002</v>
      </c>
      <c r="E205" s="111">
        <v>19271.7</v>
      </c>
      <c r="F205" s="111">
        <v>19202.63</v>
      </c>
      <c r="G205" s="111">
        <v>19986.310000000001</v>
      </c>
      <c r="H205" s="111">
        <v>19767.87</v>
      </c>
      <c r="I205" s="111">
        <v>24003.91</v>
      </c>
      <c r="J205" s="111">
        <v>22244.03</v>
      </c>
      <c r="K205" s="111">
        <v>22273.599999999999</v>
      </c>
      <c r="L205" s="111">
        <v>18997.98</v>
      </c>
      <c r="M205" s="111">
        <v>26333.96</v>
      </c>
      <c r="N205" s="111">
        <v>252312.44</v>
      </c>
    </row>
    <row r="206" spans="1:14">
      <c r="A206" s="64" t="s">
        <v>156</v>
      </c>
      <c r="B206" s="107">
        <f t="shared" ref="B206:M206" si="49">SUM(B185:B205)</f>
        <v>258622.03999999995</v>
      </c>
      <c r="C206" s="107">
        <f t="shared" si="49"/>
        <v>279256.90999999997</v>
      </c>
      <c r="D206" s="107">
        <f t="shared" si="49"/>
        <v>287523.01</v>
      </c>
      <c r="E206" s="107">
        <f t="shared" si="49"/>
        <v>262742.38</v>
      </c>
      <c r="F206" s="107">
        <f t="shared" si="49"/>
        <v>251985.72000000003</v>
      </c>
      <c r="G206" s="107">
        <f t="shared" si="49"/>
        <v>257131.69000000003</v>
      </c>
      <c r="H206" s="107">
        <f t="shared" si="49"/>
        <v>236066.22</v>
      </c>
      <c r="I206" s="107">
        <f t="shared" si="49"/>
        <v>267936.81000000006</v>
      </c>
      <c r="J206" s="107">
        <f t="shared" si="49"/>
        <v>291497.01</v>
      </c>
      <c r="K206" s="107">
        <f t="shared" si="49"/>
        <v>243806.67</v>
      </c>
      <c r="L206" s="107">
        <f t="shared" si="49"/>
        <v>308328.76999999996</v>
      </c>
      <c r="M206" s="107">
        <f t="shared" si="49"/>
        <v>284588.67000000004</v>
      </c>
      <c r="N206" s="107">
        <v>3229485.9</v>
      </c>
    </row>
    <row r="207" spans="1:14">
      <c r="A207" s="64"/>
      <c r="B207" s="22"/>
      <c r="C207" s="22"/>
      <c r="D207" s="22"/>
      <c r="E207" s="22"/>
      <c r="F207" s="22"/>
      <c r="G207" s="22"/>
      <c r="H207" s="22"/>
      <c r="I207" s="22"/>
      <c r="J207" s="22"/>
      <c r="K207" s="22"/>
      <c r="L207" s="22"/>
      <c r="M207" s="22"/>
      <c r="N207" s="22"/>
    </row>
    <row r="208" spans="1:14">
      <c r="A208" s="64"/>
      <c r="B208" s="22"/>
      <c r="C208" s="22"/>
      <c r="D208" s="22"/>
      <c r="E208" s="22"/>
      <c r="F208" s="22"/>
      <c r="G208" s="22"/>
      <c r="H208" s="22"/>
      <c r="I208" s="22"/>
      <c r="J208" s="22"/>
      <c r="K208" s="22"/>
      <c r="L208" s="22"/>
      <c r="M208" s="22"/>
      <c r="N208" s="22"/>
    </row>
    <row r="209" spans="1:14">
      <c r="A209" s="64" t="s">
        <v>157</v>
      </c>
      <c r="B209" s="22"/>
      <c r="C209" s="22"/>
      <c r="D209" s="22"/>
      <c r="E209" s="22"/>
      <c r="F209" s="22"/>
      <c r="G209" s="22"/>
      <c r="H209" s="22"/>
      <c r="I209" s="22"/>
      <c r="J209" s="22"/>
      <c r="K209" s="22"/>
      <c r="L209" s="22"/>
      <c r="M209" s="22"/>
      <c r="N209" s="22"/>
    </row>
    <row r="210" spans="1:14">
      <c r="A210" s="64" t="s">
        <v>158</v>
      </c>
      <c r="B210" s="107">
        <v>503.8</v>
      </c>
      <c r="C210" s="107">
        <v>2935.66</v>
      </c>
      <c r="D210" s="107">
        <v>-538.05999999999995</v>
      </c>
      <c r="E210" s="22"/>
      <c r="F210" s="107">
        <v>-3239.32</v>
      </c>
      <c r="G210" s="22"/>
      <c r="H210" s="22"/>
      <c r="I210" s="22"/>
      <c r="J210" s="22"/>
      <c r="K210" s="22"/>
      <c r="L210" s="22"/>
      <c r="M210" s="22"/>
      <c r="N210" s="107">
        <v>-337.92</v>
      </c>
    </row>
    <row r="211" spans="1:14">
      <c r="A211" s="64" t="s">
        <v>159</v>
      </c>
      <c r="B211" s="107">
        <v>27596.9</v>
      </c>
      <c r="C211" s="107">
        <v>15176.21</v>
      </c>
      <c r="D211" s="107">
        <v>-950.27</v>
      </c>
      <c r="E211" s="107">
        <v>272</v>
      </c>
      <c r="F211" s="107">
        <v>-187116.1</v>
      </c>
      <c r="G211" s="22"/>
      <c r="H211" s="22"/>
      <c r="I211" s="22"/>
      <c r="J211" s="22"/>
      <c r="K211" s="22"/>
      <c r="L211" s="22"/>
      <c r="M211" s="22"/>
      <c r="N211" s="107">
        <v>-145021.26</v>
      </c>
    </row>
    <row r="212" spans="1:14">
      <c r="A212" s="64" t="s">
        <v>160</v>
      </c>
      <c r="B212" s="107">
        <v>11456.23</v>
      </c>
      <c r="C212" s="107">
        <v>4009.92</v>
      </c>
      <c r="D212" s="107">
        <v>-1835.37</v>
      </c>
      <c r="E212" s="107">
        <v>341</v>
      </c>
      <c r="F212" s="107">
        <v>-32757.599999999999</v>
      </c>
      <c r="G212" s="22"/>
      <c r="H212" s="22"/>
      <c r="I212" s="22"/>
      <c r="J212" s="22"/>
      <c r="K212" s="22"/>
      <c r="L212" s="22"/>
      <c r="M212" s="22"/>
      <c r="N212" s="107">
        <v>-18785.82</v>
      </c>
    </row>
    <row r="213" spans="1:14">
      <c r="A213" s="64" t="s">
        <v>161</v>
      </c>
      <c r="B213" s="111">
        <v>47529.35</v>
      </c>
      <c r="C213" s="111">
        <v>7313.43</v>
      </c>
      <c r="D213" s="111">
        <v>399.62</v>
      </c>
      <c r="E213" s="111">
        <v>146.9</v>
      </c>
      <c r="F213" s="113"/>
      <c r="G213" s="113"/>
      <c r="H213" s="113"/>
      <c r="I213" s="113"/>
      <c r="J213" s="113"/>
      <c r="K213" s="113"/>
      <c r="L213" s="113"/>
      <c r="M213" s="113"/>
      <c r="N213" s="111">
        <v>55389.3</v>
      </c>
    </row>
    <row r="214" spans="1:14">
      <c r="A214" s="64" t="s">
        <v>162</v>
      </c>
      <c r="B214" s="107">
        <f>SUM(B207:B213)</f>
        <v>87086.28</v>
      </c>
      <c r="C214" s="107">
        <f>SUM(C207:C213)</f>
        <v>29435.22</v>
      </c>
      <c r="D214" s="107">
        <f>SUM(D207:D213)</f>
        <v>-2924.08</v>
      </c>
      <c r="E214" s="107">
        <f>SUM(E207:E213)</f>
        <v>759.9</v>
      </c>
      <c r="F214" s="107">
        <f>SUM(F207:F213)</f>
        <v>-223113.02000000002</v>
      </c>
      <c r="G214" s="107"/>
      <c r="H214" s="107"/>
      <c r="I214" s="107"/>
      <c r="J214" s="107"/>
      <c r="K214" s="107"/>
      <c r="L214" s="107"/>
      <c r="M214" s="107"/>
      <c r="N214" s="107">
        <v>-108755.7</v>
      </c>
    </row>
    <row r="215" spans="1:14">
      <c r="A215" s="64"/>
      <c r="B215" s="22"/>
      <c r="C215" s="22"/>
      <c r="D215" s="22"/>
      <c r="E215" s="22"/>
      <c r="F215" s="22"/>
      <c r="G215" s="22"/>
      <c r="H215" s="22"/>
      <c r="I215" s="22"/>
      <c r="J215" s="22"/>
      <c r="K215" s="22"/>
      <c r="L215" s="22"/>
      <c r="M215" s="22"/>
      <c r="N215" s="22"/>
    </row>
    <row r="216" spans="1:14">
      <c r="A216" s="64" t="s">
        <v>163</v>
      </c>
      <c r="B216" s="22"/>
      <c r="C216" s="22"/>
      <c r="D216" s="22"/>
      <c r="E216" s="22"/>
      <c r="F216" s="22"/>
      <c r="G216" s="22"/>
      <c r="H216" s="22"/>
      <c r="I216" s="22"/>
      <c r="J216" s="22"/>
      <c r="K216" s="22"/>
      <c r="L216" s="22"/>
      <c r="M216" s="22"/>
      <c r="N216" s="22"/>
    </row>
    <row r="217" spans="1:14">
      <c r="A217" s="64" t="s">
        <v>164</v>
      </c>
      <c r="B217" s="107">
        <v>20273.830000000002</v>
      </c>
      <c r="C217" s="107">
        <v>22349.759999999998</v>
      </c>
      <c r="D217" s="107">
        <v>23494.75</v>
      </c>
      <c r="E217" s="107">
        <v>19320.96</v>
      </c>
      <c r="F217" s="107">
        <v>20230.29</v>
      </c>
      <c r="G217" s="107">
        <v>21955.26</v>
      </c>
      <c r="H217" s="107">
        <v>18366.25</v>
      </c>
      <c r="I217" s="107">
        <v>21135.19</v>
      </c>
      <c r="J217" s="107">
        <v>22418.51</v>
      </c>
      <c r="K217" s="107">
        <v>19594.240000000002</v>
      </c>
      <c r="L217" s="107">
        <v>23464.84</v>
      </c>
      <c r="M217" s="107">
        <v>22360.07</v>
      </c>
      <c r="N217" s="107">
        <v>254963.95</v>
      </c>
    </row>
    <row r="218" spans="1:14">
      <c r="A218" s="64" t="s">
        <v>165</v>
      </c>
      <c r="B218" s="107">
        <v>9494.15</v>
      </c>
      <c r="C218" s="107">
        <v>1941.06</v>
      </c>
      <c r="D218" s="107">
        <v>1875.64</v>
      </c>
      <c r="E218" s="107">
        <v>1496.35</v>
      </c>
      <c r="F218" s="107">
        <v>1764.78</v>
      </c>
      <c r="G218" s="107">
        <v>9473.06</v>
      </c>
      <c r="H218" s="107">
        <v>7464.77</v>
      </c>
      <c r="I218" s="107">
        <v>4445.6000000000004</v>
      </c>
      <c r="J218" s="107">
        <v>1648.36</v>
      </c>
      <c r="K218" s="107">
        <v>2283.75</v>
      </c>
      <c r="L218" s="107">
        <v>3695.42</v>
      </c>
      <c r="M218" s="107">
        <v>2320.5500000000002</v>
      </c>
      <c r="N218" s="107">
        <v>47903.49</v>
      </c>
    </row>
    <row r="219" spans="1:14">
      <c r="A219" s="64" t="s">
        <v>166</v>
      </c>
      <c r="B219" s="107">
        <v>906.28</v>
      </c>
      <c r="C219" s="107">
        <v>2795.69</v>
      </c>
      <c r="D219" s="107">
        <v>1640.97</v>
      </c>
      <c r="E219" s="107">
        <v>2011.49</v>
      </c>
      <c r="F219" s="107">
        <v>2551.7600000000002</v>
      </c>
      <c r="G219" s="107">
        <v>3198.52</v>
      </c>
      <c r="H219" s="107">
        <v>4045.26</v>
      </c>
      <c r="I219" s="107">
        <v>2340.75</v>
      </c>
      <c r="J219" s="107">
        <v>3278.97</v>
      </c>
      <c r="K219" s="107">
        <v>2626.96</v>
      </c>
      <c r="L219" s="107">
        <v>2754.88</v>
      </c>
      <c r="M219" s="107">
        <v>3275.09</v>
      </c>
      <c r="N219" s="107">
        <v>31426.62</v>
      </c>
    </row>
    <row r="220" spans="1:14">
      <c r="A220" s="64" t="s">
        <v>167</v>
      </c>
      <c r="B220" s="107">
        <v>4682.88</v>
      </c>
      <c r="C220" s="107">
        <v>2161.4499999999998</v>
      </c>
      <c r="D220" s="107">
        <v>7339.38</v>
      </c>
      <c r="E220" s="107">
        <v>1356.75</v>
      </c>
      <c r="F220" s="107">
        <v>9903</v>
      </c>
      <c r="G220" s="107">
        <v>600.59</v>
      </c>
      <c r="H220" s="107">
        <v>894.31</v>
      </c>
      <c r="I220" s="107">
        <v>6527.28</v>
      </c>
      <c r="J220" s="107">
        <v>2739</v>
      </c>
      <c r="K220" s="107">
        <v>2234.1</v>
      </c>
      <c r="L220" s="107">
        <v>5866.24</v>
      </c>
      <c r="M220" s="107">
        <v>42.39</v>
      </c>
      <c r="N220" s="107">
        <v>44347.37</v>
      </c>
    </row>
    <row r="221" spans="1:14">
      <c r="A221" s="64" t="s">
        <v>168</v>
      </c>
      <c r="B221" s="22"/>
      <c r="C221" s="107">
        <v>7939.11</v>
      </c>
      <c r="D221" s="107">
        <v>-96.85</v>
      </c>
      <c r="E221" s="107">
        <v>8018.59</v>
      </c>
      <c r="F221" s="107">
        <v>8345.61</v>
      </c>
      <c r="G221" s="107">
        <v>8612.59</v>
      </c>
      <c r="H221" s="22"/>
      <c r="I221" s="22"/>
      <c r="J221" s="22"/>
      <c r="K221" s="107">
        <v>12018.02</v>
      </c>
      <c r="L221" s="107">
        <v>-4670.78</v>
      </c>
      <c r="M221" s="107">
        <v>7399.79</v>
      </c>
      <c r="N221" s="107">
        <v>47566.080000000002</v>
      </c>
    </row>
    <row r="222" spans="1:14">
      <c r="A222" s="64" t="s">
        <v>169</v>
      </c>
      <c r="B222" s="107">
        <v>2070.3200000000002</v>
      </c>
      <c r="C222" s="107">
        <v>1217.96</v>
      </c>
      <c r="D222" s="107">
        <v>8557.11</v>
      </c>
      <c r="E222" s="107">
        <v>-205.76</v>
      </c>
      <c r="F222" s="107">
        <v>1961.49</v>
      </c>
      <c r="G222" s="107">
        <v>4288.2299999999996</v>
      </c>
      <c r="H222" s="107">
        <v>2058.6799999999998</v>
      </c>
      <c r="I222" s="107">
        <v>388.77</v>
      </c>
      <c r="J222" s="107">
        <v>1565.79</v>
      </c>
      <c r="K222" s="107">
        <v>1106.2</v>
      </c>
      <c r="L222" s="107">
        <v>1053.6199999999999</v>
      </c>
      <c r="M222" s="107">
        <v>4214.83</v>
      </c>
      <c r="N222" s="107">
        <v>28277.24</v>
      </c>
    </row>
    <row r="223" spans="1:14">
      <c r="A223" s="64" t="s">
        <v>318</v>
      </c>
      <c r="B223" s="22"/>
      <c r="C223" s="22"/>
      <c r="D223" s="22"/>
      <c r="E223" s="22"/>
      <c r="F223" s="22"/>
      <c r="G223" s="22"/>
      <c r="H223" s="22"/>
      <c r="I223" s="22"/>
      <c r="J223" s="107">
        <v>357.21</v>
      </c>
      <c r="K223" s="22"/>
      <c r="L223" s="22"/>
      <c r="M223" s="22"/>
      <c r="N223" s="107">
        <v>357.21</v>
      </c>
    </row>
    <row r="224" spans="1:14">
      <c r="A224" s="64" t="s">
        <v>171</v>
      </c>
      <c r="B224" s="111">
        <v>1864.18</v>
      </c>
      <c r="C224" s="111">
        <v>2225.7399999999998</v>
      </c>
      <c r="D224" s="111">
        <v>4360.6400000000003</v>
      </c>
      <c r="E224" s="111">
        <v>721.88</v>
      </c>
      <c r="F224" s="111">
        <v>3508.27</v>
      </c>
      <c r="G224" s="111">
        <v>6718.5</v>
      </c>
      <c r="H224" s="111">
        <v>2327.06</v>
      </c>
      <c r="I224" s="111">
        <v>2419.94</v>
      </c>
      <c r="J224" s="111">
        <v>799.01</v>
      </c>
      <c r="K224" s="111">
        <v>450.03</v>
      </c>
      <c r="L224" s="111">
        <v>382.52</v>
      </c>
      <c r="M224" s="111">
        <v>1407.92</v>
      </c>
      <c r="N224" s="111">
        <v>27185.69</v>
      </c>
    </row>
    <row r="225" spans="1:14">
      <c r="A225" s="64" t="s">
        <v>16</v>
      </c>
      <c r="B225" s="107">
        <f t="shared" ref="B225:M225" si="50">SUM(B215:B224)</f>
        <v>39291.64</v>
      </c>
      <c r="C225" s="107">
        <f t="shared" si="50"/>
        <v>40630.769999999997</v>
      </c>
      <c r="D225" s="107">
        <f t="shared" si="50"/>
        <v>47171.64</v>
      </c>
      <c r="E225" s="107">
        <f t="shared" si="50"/>
        <v>32720.260000000002</v>
      </c>
      <c r="F225" s="107">
        <f t="shared" si="50"/>
        <v>48265.2</v>
      </c>
      <c r="G225" s="107">
        <f t="shared" si="50"/>
        <v>54846.749999999985</v>
      </c>
      <c r="H225" s="107">
        <f t="shared" si="50"/>
        <v>35156.329999999994</v>
      </c>
      <c r="I225" s="107">
        <f t="shared" si="50"/>
        <v>37257.53</v>
      </c>
      <c r="J225" s="107">
        <f t="shared" si="50"/>
        <v>32806.85</v>
      </c>
      <c r="K225" s="107">
        <f t="shared" si="50"/>
        <v>40313.299999999996</v>
      </c>
      <c r="L225" s="107">
        <f t="shared" si="50"/>
        <v>32546.740000000005</v>
      </c>
      <c r="M225" s="107">
        <f t="shared" si="50"/>
        <v>41020.639999999999</v>
      </c>
      <c r="N225" s="107">
        <v>482027.65</v>
      </c>
    </row>
    <row r="226" spans="1:14">
      <c r="A226" s="64"/>
      <c r="B226" s="22"/>
      <c r="C226" s="22"/>
      <c r="D226" s="22"/>
      <c r="E226" s="22"/>
      <c r="F226" s="22"/>
      <c r="G226" s="22"/>
      <c r="H226" s="22"/>
      <c r="I226" s="22"/>
      <c r="J226" s="22"/>
      <c r="K226" s="22"/>
      <c r="L226" s="22"/>
      <c r="M226" s="22"/>
      <c r="N226" s="22"/>
    </row>
    <row r="227" spans="1:14">
      <c r="A227" s="64" t="s">
        <v>17</v>
      </c>
      <c r="B227" s="22"/>
      <c r="C227" s="22"/>
      <c r="D227" s="22"/>
      <c r="E227" s="22"/>
      <c r="F227" s="22"/>
      <c r="G227" s="22"/>
      <c r="H227" s="22"/>
      <c r="I227" s="22"/>
      <c r="J227" s="22"/>
      <c r="K227" s="22"/>
      <c r="L227" s="22"/>
      <c r="M227" s="22"/>
      <c r="N227" s="22"/>
    </row>
    <row r="228" spans="1:14">
      <c r="A228" s="64" t="s">
        <v>172</v>
      </c>
      <c r="B228" s="107">
        <v>23936.19</v>
      </c>
      <c r="C228" s="107">
        <v>34320.550000000003</v>
      </c>
      <c r="D228" s="107">
        <v>31386.76</v>
      </c>
      <c r="E228" s="107">
        <v>28406.48</v>
      </c>
      <c r="F228" s="107">
        <v>35959.620000000003</v>
      </c>
      <c r="G228" s="107">
        <v>30636.6</v>
      </c>
      <c r="H228" s="107">
        <v>23074.49</v>
      </c>
      <c r="I228" s="107">
        <v>26700</v>
      </c>
      <c r="J228" s="107">
        <v>26987.89</v>
      </c>
      <c r="K228" s="107">
        <v>27000</v>
      </c>
      <c r="L228" s="107">
        <v>31662.04</v>
      </c>
      <c r="M228" s="107">
        <v>28095.41</v>
      </c>
      <c r="N228" s="107">
        <v>348166.03</v>
      </c>
    </row>
    <row r="229" spans="1:14">
      <c r="A229" s="64" t="s">
        <v>173</v>
      </c>
      <c r="B229" s="107">
        <v>26525.96</v>
      </c>
      <c r="C229" s="107">
        <v>22229.86</v>
      </c>
      <c r="D229" s="107">
        <v>29095.9</v>
      </c>
      <c r="E229" s="107">
        <v>27200.02</v>
      </c>
      <c r="F229" s="107">
        <v>28170.6</v>
      </c>
      <c r="G229" s="107">
        <v>21349.119999999999</v>
      </c>
      <c r="H229" s="107">
        <v>22000.84</v>
      </c>
      <c r="I229" s="107">
        <v>27641.5</v>
      </c>
      <c r="J229" s="107">
        <v>27695.46</v>
      </c>
      <c r="K229" s="107">
        <v>25666.17</v>
      </c>
      <c r="L229" s="107">
        <v>29813.57</v>
      </c>
      <c r="M229" s="107">
        <v>23095.919999999998</v>
      </c>
      <c r="N229" s="107">
        <v>310484.92</v>
      </c>
    </row>
    <row r="230" spans="1:14">
      <c r="A230" s="64" t="s">
        <v>174</v>
      </c>
      <c r="B230" s="107">
        <v>26843.94</v>
      </c>
      <c r="C230" s="107">
        <v>21028.5</v>
      </c>
      <c r="D230" s="107">
        <v>24946.09</v>
      </c>
      <c r="E230" s="107">
        <v>25619.62</v>
      </c>
      <c r="F230" s="107">
        <v>33854.65</v>
      </c>
      <c r="G230" s="107">
        <v>26362.9</v>
      </c>
      <c r="H230" s="107">
        <v>24574.52</v>
      </c>
      <c r="I230" s="107">
        <v>30500</v>
      </c>
      <c r="J230" s="107">
        <v>33497.19</v>
      </c>
      <c r="K230" s="107">
        <v>29542.22</v>
      </c>
      <c r="L230" s="107">
        <v>29933.95</v>
      </c>
      <c r="M230" s="107">
        <v>22016.080000000002</v>
      </c>
      <c r="N230" s="107">
        <v>328719.65999999997</v>
      </c>
    </row>
    <row r="231" spans="1:14">
      <c r="A231" s="64" t="s">
        <v>175</v>
      </c>
      <c r="B231" s="107">
        <v>5352.94</v>
      </c>
      <c r="C231" s="107">
        <v>3887.93</v>
      </c>
      <c r="D231" s="107">
        <v>7170.44</v>
      </c>
      <c r="E231" s="107">
        <v>7565.44</v>
      </c>
      <c r="F231" s="107">
        <v>10301.44</v>
      </c>
      <c r="G231" s="107">
        <v>8810.7000000000007</v>
      </c>
      <c r="H231" s="107">
        <v>7906.44</v>
      </c>
      <c r="I231" s="107">
        <v>10999.99</v>
      </c>
      <c r="J231" s="107">
        <v>13050.82</v>
      </c>
      <c r="K231" s="107">
        <v>10701.46</v>
      </c>
      <c r="L231" s="107">
        <v>23195.41</v>
      </c>
      <c r="M231" s="107">
        <v>19250.080000000002</v>
      </c>
      <c r="N231" s="107">
        <v>128193.09</v>
      </c>
    </row>
    <row r="232" spans="1:14">
      <c r="A232" s="64" t="s">
        <v>176</v>
      </c>
      <c r="B232" s="107">
        <v>153.13</v>
      </c>
      <c r="C232" s="107">
        <v>107.71</v>
      </c>
      <c r="D232" s="107">
        <v>1717.71</v>
      </c>
      <c r="E232" s="107">
        <v>323.13</v>
      </c>
      <c r="F232" s="107">
        <v>215.42</v>
      </c>
      <c r="G232" s="22"/>
      <c r="H232" s="107">
        <v>107.71</v>
      </c>
      <c r="I232" s="22"/>
      <c r="J232" s="107">
        <v>107.8</v>
      </c>
      <c r="K232" s="107">
        <v>55.84</v>
      </c>
      <c r="L232" s="22"/>
      <c r="M232" s="22"/>
      <c r="N232" s="107">
        <v>2788.45</v>
      </c>
    </row>
    <row r="233" spans="1:14">
      <c r="A233" s="64" t="s">
        <v>177</v>
      </c>
      <c r="B233" s="107">
        <v>423.86</v>
      </c>
      <c r="C233" s="107">
        <v>141</v>
      </c>
      <c r="D233" s="107">
        <v>289.31</v>
      </c>
      <c r="E233" s="107">
        <v>1346.45</v>
      </c>
      <c r="F233" s="107">
        <v>1006.65</v>
      </c>
      <c r="G233" s="107">
        <v>827.93</v>
      </c>
      <c r="H233" s="107">
        <v>1140.83</v>
      </c>
      <c r="I233" s="107">
        <v>1036.1600000000001</v>
      </c>
      <c r="J233" s="107">
        <v>800.96</v>
      </c>
      <c r="K233" s="107">
        <v>459.37</v>
      </c>
      <c r="L233" s="107">
        <v>788.03</v>
      </c>
      <c r="M233" s="107">
        <v>2937.19</v>
      </c>
      <c r="N233" s="107">
        <v>11197.74</v>
      </c>
    </row>
    <row r="234" spans="1:14">
      <c r="A234" s="64" t="s">
        <v>178</v>
      </c>
      <c r="B234" s="107">
        <v>3213.16</v>
      </c>
      <c r="C234" s="107">
        <v>3039.86</v>
      </c>
      <c r="D234" s="107">
        <v>2562</v>
      </c>
      <c r="E234" s="107">
        <v>2448.02</v>
      </c>
      <c r="F234" s="107">
        <v>1999.06</v>
      </c>
      <c r="G234" s="107">
        <v>1260</v>
      </c>
      <c r="H234" s="107">
        <v>1112.82</v>
      </c>
      <c r="I234" s="107">
        <v>2755.69</v>
      </c>
      <c r="J234" s="107">
        <v>1079.6500000000001</v>
      </c>
      <c r="K234" s="107">
        <v>4243.5200000000004</v>
      </c>
      <c r="L234" s="107">
        <v>2323.14</v>
      </c>
      <c r="M234" s="107">
        <v>2428.46</v>
      </c>
      <c r="N234" s="107">
        <v>28465.38</v>
      </c>
    </row>
    <row r="235" spans="1:14">
      <c r="A235" s="64" t="s">
        <v>179</v>
      </c>
      <c r="B235" s="107">
        <v>7240.29</v>
      </c>
      <c r="C235" s="107">
        <v>4388.74</v>
      </c>
      <c r="D235" s="107">
        <v>7849.84</v>
      </c>
      <c r="E235" s="107">
        <v>6492.96</v>
      </c>
      <c r="F235" s="107">
        <v>11955.63</v>
      </c>
      <c r="G235" s="107">
        <v>6744.1</v>
      </c>
      <c r="H235" s="107">
        <v>5877.25</v>
      </c>
      <c r="I235" s="107">
        <v>6842.79</v>
      </c>
      <c r="J235" s="107">
        <v>6486.52</v>
      </c>
      <c r="K235" s="107">
        <v>7936.69</v>
      </c>
      <c r="L235" s="107">
        <v>5757.98</v>
      </c>
      <c r="M235" s="107">
        <v>5511.02</v>
      </c>
      <c r="N235" s="107">
        <v>83083.81</v>
      </c>
    </row>
    <row r="236" spans="1:14">
      <c r="A236" s="64" t="s">
        <v>180</v>
      </c>
      <c r="B236" s="107">
        <v>151.37</v>
      </c>
      <c r="C236" s="107">
        <v>2410.34</v>
      </c>
      <c r="D236" s="107">
        <v>812.23</v>
      </c>
      <c r="E236" s="107">
        <v>408.45</v>
      </c>
      <c r="F236" s="107">
        <v>1151.32</v>
      </c>
      <c r="G236" s="107">
        <v>2515.1799999999998</v>
      </c>
      <c r="H236" s="107">
        <v>1426.85</v>
      </c>
      <c r="I236" s="107">
        <v>4065.48</v>
      </c>
      <c r="J236" s="107">
        <v>3148.26</v>
      </c>
      <c r="K236" s="107">
        <v>653.85</v>
      </c>
      <c r="L236" s="107">
        <v>893.03</v>
      </c>
      <c r="M236" s="107">
        <v>2813.16</v>
      </c>
      <c r="N236" s="107">
        <v>20449.52</v>
      </c>
    </row>
    <row r="237" spans="1:14">
      <c r="A237" s="64" t="s">
        <v>181</v>
      </c>
      <c r="B237" s="107">
        <v>1355.56</v>
      </c>
      <c r="C237" s="107">
        <v>2296.71</v>
      </c>
      <c r="D237" s="107">
        <v>2043.7</v>
      </c>
      <c r="E237" s="107">
        <v>2028.1</v>
      </c>
      <c r="F237" s="107">
        <v>3463.62</v>
      </c>
      <c r="G237" s="107">
        <v>1334.32</v>
      </c>
      <c r="H237" s="107">
        <v>2618.6999999999998</v>
      </c>
      <c r="I237" s="107">
        <v>2938.32</v>
      </c>
      <c r="J237" s="107">
        <v>4198.7700000000004</v>
      </c>
      <c r="K237" s="107">
        <v>2908.41</v>
      </c>
      <c r="L237" s="107">
        <v>3576.35</v>
      </c>
      <c r="M237" s="107">
        <v>4188.3599999999997</v>
      </c>
      <c r="N237" s="107">
        <v>32950.92</v>
      </c>
    </row>
    <row r="238" spans="1:14">
      <c r="A238" s="64" t="s">
        <v>182</v>
      </c>
      <c r="B238" s="107">
        <v>273.57</v>
      </c>
      <c r="C238" s="107">
        <v>1366.54</v>
      </c>
      <c r="D238" s="107">
        <v>467.22</v>
      </c>
      <c r="E238" s="107">
        <v>125.92</v>
      </c>
      <c r="F238" s="107">
        <v>1173.4000000000001</v>
      </c>
      <c r="G238" s="107">
        <v>436.98</v>
      </c>
      <c r="H238" s="107">
        <v>374.36</v>
      </c>
      <c r="I238" s="22"/>
      <c r="J238" s="107">
        <v>389.08</v>
      </c>
      <c r="K238" s="107">
        <v>437.32</v>
      </c>
      <c r="L238" s="107">
        <v>288.02999999999997</v>
      </c>
      <c r="M238" s="107">
        <v>441.69</v>
      </c>
      <c r="N238" s="107">
        <v>5774.11</v>
      </c>
    </row>
    <row r="239" spans="1:14">
      <c r="A239" s="64" t="s">
        <v>183</v>
      </c>
      <c r="B239" s="107">
        <v>787.44</v>
      </c>
      <c r="C239" s="22"/>
      <c r="D239" s="107">
        <v>944.52</v>
      </c>
      <c r="E239" s="107">
        <v>-73.2</v>
      </c>
      <c r="F239" s="107">
        <v>1630.82</v>
      </c>
      <c r="G239" s="107">
        <v>699.95</v>
      </c>
      <c r="H239" s="107">
        <v>446.31</v>
      </c>
      <c r="I239" s="107">
        <v>1246.3</v>
      </c>
      <c r="J239" s="107">
        <v>559.96</v>
      </c>
      <c r="K239" s="107">
        <v>648.51</v>
      </c>
      <c r="L239" s="107"/>
      <c r="M239" s="107">
        <v>1770.15</v>
      </c>
      <c r="N239" s="107">
        <v>8660.76</v>
      </c>
    </row>
    <row r="240" spans="1:14">
      <c r="A240" s="64" t="s">
        <v>184</v>
      </c>
      <c r="B240" s="111">
        <v>1388.66</v>
      </c>
      <c r="C240" s="111">
        <v>631.48</v>
      </c>
      <c r="D240" s="111">
        <v>3419.37</v>
      </c>
      <c r="E240" s="111">
        <v>703.01</v>
      </c>
      <c r="F240" s="111">
        <v>51662.65</v>
      </c>
      <c r="G240" s="111">
        <v>-9891</v>
      </c>
      <c r="H240" s="111">
        <v>1260.98</v>
      </c>
      <c r="I240" s="111">
        <v>1006.05</v>
      </c>
      <c r="J240" s="111">
        <v>12865.41</v>
      </c>
      <c r="K240" s="111">
        <v>25432.97</v>
      </c>
      <c r="L240" s="111">
        <v>194.85</v>
      </c>
      <c r="M240" s="111">
        <v>34652.839999999997</v>
      </c>
      <c r="N240" s="111">
        <v>123327.27</v>
      </c>
    </row>
    <row r="241" spans="1:14">
      <c r="A241" s="64" t="s">
        <v>185</v>
      </c>
      <c r="B241" s="107">
        <f t="shared" ref="B241:M241" si="51">SUM(B226:B240)</f>
        <v>97646.07</v>
      </c>
      <c r="C241" s="107">
        <f t="shared" si="51"/>
        <v>95849.22</v>
      </c>
      <c r="D241" s="107">
        <f t="shared" si="51"/>
        <v>112705.09</v>
      </c>
      <c r="E241" s="107">
        <f t="shared" si="51"/>
        <v>102594.40000000001</v>
      </c>
      <c r="F241" s="107">
        <f t="shared" si="51"/>
        <v>182544.88</v>
      </c>
      <c r="G241" s="107">
        <f t="shared" si="51"/>
        <v>91086.779999999984</v>
      </c>
      <c r="H241" s="107">
        <f t="shared" si="51"/>
        <v>91922.10000000002</v>
      </c>
      <c r="I241" s="107">
        <f t="shared" si="51"/>
        <v>115732.28000000001</v>
      </c>
      <c r="J241" s="107">
        <f t="shared" si="51"/>
        <v>130867.77000000003</v>
      </c>
      <c r="K241" s="107">
        <f t="shared" si="51"/>
        <v>135686.33000000002</v>
      </c>
      <c r="L241" s="107">
        <f t="shared" si="51"/>
        <v>128426.38</v>
      </c>
      <c r="M241" s="107">
        <f t="shared" si="51"/>
        <v>147200.36000000002</v>
      </c>
      <c r="N241" s="107">
        <v>1432261.66</v>
      </c>
    </row>
    <row r="242" spans="1:14">
      <c r="A242" s="64"/>
      <c r="B242" s="22"/>
      <c r="C242" s="22"/>
      <c r="D242" s="22"/>
      <c r="E242" s="22"/>
      <c r="F242" s="22"/>
      <c r="G242" s="22"/>
      <c r="H242" s="22"/>
      <c r="I242" s="22"/>
      <c r="J242" s="22"/>
      <c r="K242" s="22"/>
      <c r="L242" s="22"/>
      <c r="M242" s="22"/>
      <c r="N242" s="22"/>
    </row>
    <row r="243" spans="1:14">
      <c r="A243" s="64" t="s">
        <v>186</v>
      </c>
      <c r="B243" s="22"/>
      <c r="C243" s="22"/>
      <c r="D243" s="22"/>
      <c r="E243" s="22"/>
      <c r="F243" s="22"/>
      <c r="G243" s="22"/>
      <c r="H243" s="22"/>
      <c r="I243" s="22"/>
      <c r="J243" s="22"/>
      <c r="K243" s="22"/>
      <c r="L243" s="22"/>
      <c r="M243" s="22"/>
      <c r="N243" s="22"/>
    </row>
    <row r="244" spans="1:14">
      <c r="A244" s="64" t="s">
        <v>187</v>
      </c>
      <c r="B244" s="107">
        <v>2500</v>
      </c>
      <c r="C244" s="107">
        <v>2500</v>
      </c>
      <c r="D244" s="107">
        <v>2500</v>
      </c>
      <c r="E244" s="107">
        <v>2500</v>
      </c>
      <c r="F244" s="107">
        <v>2500</v>
      </c>
      <c r="G244" s="107">
        <v>2500</v>
      </c>
      <c r="H244" s="107">
        <v>2500</v>
      </c>
      <c r="I244" s="107">
        <v>2500</v>
      </c>
      <c r="J244" s="107">
        <v>2500</v>
      </c>
      <c r="K244" s="107">
        <v>2500</v>
      </c>
      <c r="L244" s="107">
        <v>2500</v>
      </c>
      <c r="M244" s="107">
        <v>2500</v>
      </c>
      <c r="N244" s="107">
        <v>30000</v>
      </c>
    </row>
    <row r="245" spans="1:14">
      <c r="A245" s="64" t="s">
        <v>188</v>
      </c>
      <c r="B245" s="107">
        <v>1680</v>
      </c>
      <c r="C245" s="107">
        <v>1662.5</v>
      </c>
      <c r="D245" s="107">
        <v>1540</v>
      </c>
      <c r="E245" s="107">
        <v>1627.5</v>
      </c>
      <c r="F245" s="107">
        <v>4217.5</v>
      </c>
      <c r="G245" s="107">
        <v>-227.5</v>
      </c>
      <c r="H245" s="107">
        <v>1575</v>
      </c>
      <c r="I245" s="107">
        <v>1487.5</v>
      </c>
      <c r="J245" s="107">
        <v>2100</v>
      </c>
      <c r="K245" s="107">
        <v>1732.5</v>
      </c>
      <c r="L245" s="107">
        <v>2345</v>
      </c>
      <c r="M245" s="107">
        <v>1925</v>
      </c>
      <c r="N245" s="107">
        <v>21665</v>
      </c>
    </row>
    <row r="246" spans="1:14">
      <c r="A246" s="64" t="s">
        <v>190</v>
      </c>
      <c r="B246" s="107">
        <v>2075</v>
      </c>
      <c r="C246" s="107">
        <v>2135</v>
      </c>
      <c r="D246" s="107">
        <v>1775</v>
      </c>
      <c r="E246" s="107">
        <v>4425</v>
      </c>
      <c r="F246" s="107">
        <v>4490.5600000000004</v>
      </c>
      <c r="G246" s="107">
        <v>2856.24</v>
      </c>
      <c r="H246" s="107">
        <v>2655</v>
      </c>
      <c r="I246" s="107">
        <v>2505</v>
      </c>
      <c r="J246" s="107">
        <v>9857.01</v>
      </c>
      <c r="K246" s="107">
        <v>4055</v>
      </c>
      <c r="L246" s="107">
        <v>3306.24</v>
      </c>
      <c r="M246" s="107">
        <v>6041.24</v>
      </c>
      <c r="N246" s="107">
        <v>46176.29</v>
      </c>
    </row>
    <row r="247" spans="1:14">
      <c r="A247" s="64" t="s">
        <v>191</v>
      </c>
      <c r="B247" s="107">
        <v>6803.54</v>
      </c>
      <c r="C247" s="107">
        <v>6034.47</v>
      </c>
      <c r="D247" s="107">
        <v>6021.04</v>
      </c>
      <c r="E247" s="107">
        <v>5351.29</v>
      </c>
      <c r="F247" s="107">
        <v>5962.61</v>
      </c>
      <c r="G247" s="107">
        <v>5990.76</v>
      </c>
      <c r="H247" s="107">
        <v>6060.06</v>
      </c>
      <c r="I247" s="107">
        <v>5299.25</v>
      </c>
      <c r="J247" s="107">
        <v>6012.14</v>
      </c>
      <c r="K247" s="107">
        <v>6513.61</v>
      </c>
      <c r="L247" s="107">
        <v>6920.34</v>
      </c>
      <c r="M247" s="22"/>
      <c r="N247" s="107">
        <v>66969.11</v>
      </c>
    </row>
    <row r="248" spans="1:14">
      <c r="A248" s="64" t="s">
        <v>415</v>
      </c>
      <c r="B248" s="22"/>
      <c r="C248" s="22"/>
      <c r="D248" s="22"/>
      <c r="E248" s="22"/>
      <c r="F248" s="22"/>
      <c r="G248" s="22"/>
      <c r="H248" s="22"/>
      <c r="I248" s="22"/>
      <c r="J248" s="22"/>
      <c r="K248" s="22"/>
      <c r="L248" s="22"/>
      <c r="M248" s="107">
        <v>4973.62</v>
      </c>
      <c r="N248" s="107">
        <v>4973.62</v>
      </c>
    </row>
    <row r="249" spans="1:14">
      <c r="A249" s="64" t="s">
        <v>416</v>
      </c>
      <c r="B249" s="22"/>
      <c r="C249" s="22"/>
      <c r="D249" s="22"/>
      <c r="E249" s="22"/>
      <c r="F249" s="22"/>
      <c r="G249" s="22"/>
      <c r="H249" s="22"/>
      <c r="I249" s="22"/>
      <c r="J249" s="22"/>
      <c r="K249" s="22"/>
      <c r="L249" s="22"/>
      <c r="M249" s="107">
        <v>786.51</v>
      </c>
      <c r="N249" s="107">
        <v>786.51</v>
      </c>
    </row>
    <row r="250" spans="1:14">
      <c r="A250" s="64" t="s">
        <v>417</v>
      </c>
      <c r="B250" s="22"/>
      <c r="C250" s="22"/>
      <c r="D250" s="22"/>
      <c r="E250" s="22"/>
      <c r="F250" s="22"/>
      <c r="G250" s="22"/>
      <c r="H250" s="22"/>
      <c r="I250" s="22"/>
      <c r="J250" s="22"/>
      <c r="K250" s="22"/>
      <c r="L250" s="22"/>
      <c r="M250" s="107">
        <v>2569.67</v>
      </c>
      <c r="N250" s="107">
        <v>2569.67</v>
      </c>
    </row>
    <row r="251" spans="1:14">
      <c r="A251" s="64" t="s">
        <v>192</v>
      </c>
      <c r="B251" s="107">
        <v>988.15</v>
      </c>
      <c r="C251" s="107">
        <v>1030.43</v>
      </c>
      <c r="D251" s="107">
        <v>1030.43</v>
      </c>
      <c r="E251" s="107">
        <v>1030.43</v>
      </c>
      <c r="F251" s="107">
        <v>1030.43</v>
      </c>
      <c r="G251" s="107">
        <v>951.95</v>
      </c>
      <c r="H251" s="107">
        <v>951.95</v>
      </c>
      <c r="I251" s="107">
        <v>951.95</v>
      </c>
      <c r="J251" s="107">
        <v>951.95</v>
      </c>
      <c r="K251" s="107">
        <v>951.95</v>
      </c>
      <c r="L251" s="107">
        <v>951.95</v>
      </c>
      <c r="M251" s="107">
        <v>951.95</v>
      </c>
      <c r="N251" s="107">
        <v>11773.52</v>
      </c>
    </row>
    <row r="252" spans="1:14">
      <c r="A252" s="64" t="s">
        <v>193</v>
      </c>
      <c r="B252" s="107">
        <v>1280.44</v>
      </c>
      <c r="C252" s="107">
        <v>1273.22</v>
      </c>
      <c r="D252" s="107">
        <v>2535.42</v>
      </c>
      <c r="E252" s="107">
        <v>1961.17</v>
      </c>
      <c r="F252" s="107">
        <v>1952.77</v>
      </c>
      <c r="G252" s="107">
        <v>1949.24</v>
      </c>
      <c r="H252" s="107">
        <v>23444.52</v>
      </c>
      <c r="I252" s="107">
        <v>3286.74</v>
      </c>
      <c r="J252" s="107">
        <v>3261.63</v>
      </c>
      <c r="K252" s="107">
        <v>3277.52</v>
      </c>
      <c r="L252" s="107">
        <v>3276.15</v>
      </c>
      <c r="M252" s="107">
        <v>3331.4</v>
      </c>
      <c r="N252" s="107">
        <v>50830.22</v>
      </c>
    </row>
    <row r="253" spans="1:14">
      <c r="A253" s="64" t="s">
        <v>194</v>
      </c>
      <c r="B253" s="107">
        <v>4068.73</v>
      </c>
      <c r="C253" s="107">
        <v>4938.8</v>
      </c>
      <c r="D253" s="107">
        <v>1484.65</v>
      </c>
      <c r="E253" s="107">
        <v>2649.65</v>
      </c>
      <c r="F253" s="107">
        <v>1626.9</v>
      </c>
      <c r="G253" s="107">
        <v>1827.21</v>
      </c>
      <c r="H253" s="107">
        <v>2911.54</v>
      </c>
      <c r="I253" s="107">
        <v>3118.28</v>
      </c>
      <c r="J253" s="107">
        <v>911.28</v>
      </c>
      <c r="K253" s="107">
        <v>2410.75</v>
      </c>
      <c r="L253" s="107">
        <v>2794.04</v>
      </c>
      <c r="M253" s="107">
        <v>4286.8599999999997</v>
      </c>
      <c r="N253" s="107">
        <v>33028.69</v>
      </c>
    </row>
    <row r="254" spans="1:14">
      <c r="A254" s="64" t="s">
        <v>195</v>
      </c>
      <c r="B254" s="107">
        <v>18180.150000000001</v>
      </c>
      <c r="C254" s="107">
        <v>14700.87</v>
      </c>
      <c r="D254" s="107">
        <v>16714.45</v>
      </c>
      <c r="E254" s="107">
        <v>16552.09</v>
      </c>
      <c r="F254" s="107">
        <v>16435.77</v>
      </c>
      <c r="G254" s="107">
        <v>16435.77</v>
      </c>
      <c r="H254" s="107">
        <v>16435.77</v>
      </c>
      <c r="I254" s="107">
        <v>16435.77</v>
      </c>
      <c r="J254" s="107">
        <v>16435.77</v>
      </c>
      <c r="K254" s="107">
        <v>17422.13</v>
      </c>
      <c r="L254" s="107">
        <v>16928.88</v>
      </c>
      <c r="M254" s="107">
        <v>16928.88</v>
      </c>
      <c r="N254" s="107">
        <v>199606.3</v>
      </c>
    </row>
    <row r="255" spans="1:14">
      <c r="A255" s="64" t="s">
        <v>196</v>
      </c>
      <c r="B255" s="107">
        <v>9787.7999999999993</v>
      </c>
      <c r="C255" s="107">
        <v>1477.42</v>
      </c>
      <c r="D255" s="107">
        <v>7755.48</v>
      </c>
      <c r="E255" s="107">
        <v>7755.48</v>
      </c>
      <c r="F255" s="107">
        <v>7871.8</v>
      </c>
      <c r="G255" s="107">
        <v>7871.8</v>
      </c>
      <c r="H255" s="107">
        <v>7871.8</v>
      </c>
      <c r="I255" s="107">
        <v>7871.8</v>
      </c>
      <c r="J255" s="107">
        <v>7871.8</v>
      </c>
      <c r="K255" s="107">
        <v>8343.94</v>
      </c>
      <c r="L255" s="107">
        <v>8107.96</v>
      </c>
      <c r="M255" s="107">
        <v>8107.96</v>
      </c>
      <c r="N255" s="107">
        <v>90695.039999999994</v>
      </c>
    </row>
    <row r="256" spans="1:14">
      <c r="A256" s="64" t="s">
        <v>197</v>
      </c>
      <c r="B256" s="107">
        <v>37263.85</v>
      </c>
      <c r="C256" s="107">
        <v>37263.85</v>
      </c>
      <c r="D256" s="107">
        <v>38215.949999999997</v>
      </c>
      <c r="E256" s="107">
        <v>38150.410000000003</v>
      </c>
      <c r="F256" s="107">
        <v>38268.22</v>
      </c>
      <c r="G256" s="107">
        <v>39568.959999999999</v>
      </c>
      <c r="H256" s="107">
        <v>41543.39</v>
      </c>
      <c r="I256" s="107">
        <v>39400</v>
      </c>
      <c r="J256" s="107">
        <v>42369.55</v>
      </c>
      <c r="K256" s="107">
        <v>41915.33</v>
      </c>
      <c r="L256" s="107">
        <v>36430.74</v>
      </c>
      <c r="M256" s="107">
        <v>43327.65</v>
      </c>
      <c r="N256" s="107">
        <v>473717.9</v>
      </c>
    </row>
    <row r="257" spans="1:14">
      <c r="A257" s="64" t="s">
        <v>198</v>
      </c>
      <c r="B257" s="107">
        <v>1882.81</v>
      </c>
      <c r="C257" s="107">
        <v>1066.8699999999999</v>
      </c>
      <c r="D257" s="107">
        <v>1334.08</v>
      </c>
      <c r="E257" s="107">
        <v>1427.92</v>
      </c>
      <c r="F257" s="107">
        <v>449.07</v>
      </c>
      <c r="G257" s="107">
        <v>663.58</v>
      </c>
      <c r="H257" s="107">
        <v>661.62</v>
      </c>
      <c r="I257" s="107">
        <v>575.79</v>
      </c>
      <c r="J257" s="107">
        <v>712.77</v>
      </c>
      <c r="K257" s="107">
        <v>710.81</v>
      </c>
      <c r="L257" s="107">
        <v>650</v>
      </c>
      <c r="M257" s="107">
        <v>809.83</v>
      </c>
      <c r="N257" s="107">
        <v>10945.15</v>
      </c>
    </row>
    <row r="258" spans="1:14">
      <c r="A258" s="64" t="s">
        <v>199</v>
      </c>
      <c r="B258" s="107">
        <v>442.5</v>
      </c>
      <c r="C258" s="107">
        <v>599.83000000000004</v>
      </c>
      <c r="D258" s="107">
        <v>122.92</v>
      </c>
      <c r="E258" s="107">
        <v>1371.5</v>
      </c>
      <c r="F258" s="107">
        <v>750</v>
      </c>
      <c r="G258" s="107">
        <v>2490</v>
      </c>
      <c r="H258" s="107">
        <v>375</v>
      </c>
      <c r="I258" s="107">
        <v>1000</v>
      </c>
      <c r="J258" s="107">
        <v>386</v>
      </c>
      <c r="K258" s="107">
        <v>712.25</v>
      </c>
      <c r="L258" s="107">
        <v>59.5</v>
      </c>
      <c r="M258" s="107">
        <v>2063.25</v>
      </c>
      <c r="N258" s="107">
        <v>10372.75</v>
      </c>
    </row>
    <row r="259" spans="1:14">
      <c r="A259" s="64" t="s">
        <v>200</v>
      </c>
      <c r="B259" s="107">
        <v>1600</v>
      </c>
      <c r="C259" s="107">
        <v>1600</v>
      </c>
      <c r="D259" s="107">
        <v>1600</v>
      </c>
      <c r="E259" s="107">
        <v>1600</v>
      </c>
      <c r="F259" s="107">
        <v>1600</v>
      </c>
      <c r="G259" s="107">
        <v>1600</v>
      </c>
      <c r="H259" s="107">
        <v>1600</v>
      </c>
      <c r="I259" s="107">
        <v>1600</v>
      </c>
      <c r="J259" s="107">
        <v>1600</v>
      </c>
      <c r="K259" s="107">
        <v>1600</v>
      </c>
      <c r="L259" s="107">
        <v>1600</v>
      </c>
      <c r="M259" s="107">
        <v>2100</v>
      </c>
      <c r="N259" s="107">
        <v>19700</v>
      </c>
    </row>
    <row r="260" spans="1:14">
      <c r="A260" s="64" t="s">
        <v>201</v>
      </c>
      <c r="B260" s="107">
        <v>311.29000000000002</v>
      </c>
      <c r="C260" s="107">
        <v>311.29000000000002</v>
      </c>
      <c r="D260" s="107">
        <v>311.29000000000002</v>
      </c>
      <c r="E260" s="107">
        <v>622.58000000000004</v>
      </c>
      <c r="F260" s="107">
        <v>287.57</v>
      </c>
      <c r="G260" s="107">
        <v>287.57</v>
      </c>
      <c r="H260" s="107">
        <v>287.57</v>
      </c>
      <c r="I260" s="107">
        <v>287.57</v>
      </c>
      <c r="J260" s="107">
        <v>287.57</v>
      </c>
      <c r="K260" s="107">
        <v>287.57</v>
      </c>
      <c r="L260" s="107">
        <v>287.57</v>
      </c>
      <c r="M260" s="107">
        <v>750</v>
      </c>
      <c r="N260" s="107">
        <v>4319.4399999999996</v>
      </c>
    </row>
    <row r="261" spans="1:14">
      <c r="A261" s="64" t="s">
        <v>202</v>
      </c>
      <c r="B261" s="107">
        <v>3488.98</v>
      </c>
      <c r="C261" s="107">
        <v>2523.1999999999998</v>
      </c>
      <c r="D261" s="107">
        <v>3792.24</v>
      </c>
      <c r="E261" s="107">
        <v>2305.9499999999998</v>
      </c>
      <c r="F261" s="22"/>
      <c r="G261" s="107">
        <v>9388.4500000000007</v>
      </c>
      <c r="H261" s="107">
        <v>13650</v>
      </c>
      <c r="I261" s="107">
        <v>6424</v>
      </c>
      <c r="J261" s="107">
        <v>7350.25</v>
      </c>
      <c r="K261" s="107">
        <v>8024.14</v>
      </c>
      <c r="L261" s="107">
        <v>25251.1</v>
      </c>
      <c r="M261" s="107">
        <v>21237.78</v>
      </c>
      <c r="N261" s="107">
        <v>103436.09</v>
      </c>
    </row>
    <row r="262" spans="1:14">
      <c r="A262" s="64" t="s">
        <v>203</v>
      </c>
      <c r="B262" s="107">
        <v>9182.11</v>
      </c>
      <c r="C262" s="107">
        <v>11104.24</v>
      </c>
      <c r="D262" s="107">
        <v>11239.4</v>
      </c>
      <c r="E262" s="107">
        <v>9828.92</v>
      </c>
      <c r="F262" s="107">
        <v>10097.74</v>
      </c>
      <c r="G262" s="107">
        <v>11350.18</v>
      </c>
      <c r="H262" s="107">
        <v>11222.65</v>
      </c>
      <c r="I262" s="107">
        <v>10704.74</v>
      </c>
      <c r="J262" s="107">
        <v>11305.88</v>
      </c>
      <c r="K262" s="107">
        <v>14725.54</v>
      </c>
      <c r="L262" s="107">
        <v>11244.49</v>
      </c>
      <c r="M262" s="107">
        <v>12138.1</v>
      </c>
      <c r="N262" s="107">
        <v>134143.99</v>
      </c>
    </row>
    <row r="263" spans="1:14">
      <c r="A263" s="64" t="s">
        <v>204</v>
      </c>
      <c r="B263" s="107">
        <v>30697</v>
      </c>
      <c r="C263" s="107">
        <v>36152</v>
      </c>
      <c r="D263" s="107">
        <v>38143</v>
      </c>
      <c r="E263" s="107">
        <v>31899</v>
      </c>
      <c r="F263" s="107">
        <v>-1289968</v>
      </c>
      <c r="G263" s="107">
        <v>35394</v>
      </c>
      <c r="H263" s="107">
        <v>27158</v>
      </c>
      <c r="I263" s="107">
        <v>37741</v>
      </c>
      <c r="J263" s="107">
        <v>37668</v>
      </c>
      <c r="K263" s="107">
        <v>37437</v>
      </c>
      <c r="L263" s="107">
        <v>39727</v>
      </c>
      <c r="M263" s="107">
        <v>39163</v>
      </c>
      <c r="N263" s="107">
        <v>-898789</v>
      </c>
    </row>
    <row r="264" spans="1:14">
      <c r="A264" s="64" t="s">
        <v>205</v>
      </c>
      <c r="B264" s="107">
        <v>901.42</v>
      </c>
      <c r="C264" s="107">
        <v>913.96</v>
      </c>
      <c r="D264" s="107">
        <v>900.94</v>
      </c>
      <c r="E264" s="107">
        <v>904.52</v>
      </c>
      <c r="F264" s="107">
        <v>651.14</v>
      </c>
      <c r="G264" s="107">
        <v>617.01</v>
      </c>
      <c r="H264" s="107">
        <v>625.75</v>
      </c>
      <c r="I264" s="107">
        <v>761.09</v>
      </c>
      <c r="J264" s="107">
        <v>626.55999999999995</v>
      </c>
      <c r="K264" s="107">
        <v>642.07000000000005</v>
      </c>
      <c r="L264" s="107">
        <v>502.22</v>
      </c>
      <c r="M264" s="107">
        <v>618.87</v>
      </c>
      <c r="N264" s="107">
        <v>8665.5499999999993</v>
      </c>
    </row>
    <row r="265" spans="1:14">
      <c r="A265" s="64" t="s">
        <v>206</v>
      </c>
      <c r="B265" s="111">
        <v>809.33</v>
      </c>
      <c r="C265" s="111">
        <v>383.7</v>
      </c>
      <c r="D265" s="111">
        <v>2530</v>
      </c>
      <c r="E265" s="111">
        <v>770.62</v>
      </c>
      <c r="F265" s="111">
        <v>963.84</v>
      </c>
      <c r="G265" s="111">
        <v>618.33000000000004</v>
      </c>
      <c r="H265" s="111">
        <v>309.55</v>
      </c>
      <c r="I265" s="111">
        <v>6308.45</v>
      </c>
      <c r="J265" s="111">
        <v>817.64</v>
      </c>
      <c r="K265" s="111">
        <v>295.49</v>
      </c>
      <c r="L265" s="111">
        <v>1441.75</v>
      </c>
      <c r="M265" s="111">
        <v>782.51</v>
      </c>
      <c r="N265" s="111">
        <v>16031.21</v>
      </c>
    </row>
    <row r="266" spans="1:14">
      <c r="A266" s="64" t="s">
        <v>207</v>
      </c>
      <c r="B266" s="107">
        <f t="shared" ref="B266:M266" si="52">SUM(B242:B265)</f>
        <v>133943.09999999998</v>
      </c>
      <c r="C266" s="107">
        <f t="shared" si="52"/>
        <v>127671.65</v>
      </c>
      <c r="D266" s="107">
        <f t="shared" si="52"/>
        <v>139546.28999999998</v>
      </c>
      <c r="E266" s="107">
        <f t="shared" si="52"/>
        <v>132734.03</v>
      </c>
      <c r="F266" s="107">
        <f t="shared" si="52"/>
        <v>-1190812.08</v>
      </c>
      <c r="G266" s="107">
        <f t="shared" si="52"/>
        <v>142133.54999999999</v>
      </c>
      <c r="H266" s="107">
        <f t="shared" si="52"/>
        <v>161839.16999999998</v>
      </c>
      <c r="I266" s="107">
        <f t="shared" si="52"/>
        <v>148258.93000000002</v>
      </c>
      <c r="J266" s="107">
        <f t="shared" si="52"/>
        <v>153025.80000000005</v>
      </c>
      <c r="K266" s="107">
        <f t="shared" si="52"/>
        <v>153557.6</v>
      </c>
      <c r="L266" s="107">
        <f t="shared" si="52"/>
        <v>164324.93000000002</v>
      </c>
      <c r="M266" s="107">
        <f t="shared" si="52"/>
        <v>175394.08000000002</v>
      </c>
      <c r="N266" s="107">
        <v>441617.05</v>
      </c>
    </row>
    <row r="267" spans="1:14">
      <c r="A267" s="64"/>
      <c r="B267" s="22"/>
      <c r="C267" s="22"/>
      <c r="D267" s="22"/>
      <c r="E267" s="22"/>
      <c r="F267" s="22"/>
      <c r="G267" s="22"/>
      <c r="H267" s="22"/>
      <c r="I267" s="22"/>
      <c r="J267" s="22"/>
      <c r="K267" s="22"/>
      <c r="L267" s="22"/>
      <c r="M267" s="22"/>
      <c r="N267" s="22"/>
    </row>
    <row r="268" spans="1:14">
      <c r="A268" s="64" t="s">
        <v>15</v>
      </c>
      <c r="B268" s="22"/>
      <c r="C268" s="22"/>
      <c r="D268" s="22"/>
      <c r="E268" s="22"/>
      <c r="F268" s="22"/>
      <c r="G268" s="22"/>
      <c r="H268" s="22"/>
      <c r="I268" s="22"/>
      <c r="J268" s="22"/>
      <c r="K268" s="22"/>
      <c r="L268" s="22"/>
      <c r="M268" s="22"/>
      <c r="N268" s="22"/>
    </row>
    <row r="269" spans="1:14">
      <c r="A269" s="64" t="s">
        <v>208</v>
      </c>
      <c r="B269" s="107">
        <v>1388.42</v>
      </c>
      <c r="C269" s="107">
        <v>3718.75</v>
      </c>
      <c r="D269" s="107">
        <v>1967.64</v>
      </c>
      <c r="E269" s="107">
        <v>1644.53</v>
      </c>
      <c r="F269" s="107">
        <v>2655.13</v>
      </c>
      <c r="G269" s="107">
        <v>4747.1000000000004</v>
      </c>
      <c r="H269" s="107">
        <v>2646.93</v>
      </c>
      <c r="I269" s="107">
        <v>3712.47</v>
      </c>
      <c r="J269" s="107">
        <v>6944.69</v>
      </c>
      <c r="K269" s="107">
        <v>2219.87</v>
      </c>
      <c r="L269" s="107">
        <v>4175.45</v>
      </c>
      <c r="M269" s="107">
        <v>4784.8100000000004</v>
      </c>
      <c r="N269" s="107">
        <v>40605.79</v>
      </c>
    </row>
    <row r="270" spans="1:14">
      <c r="A270" s="64" t="s">
        <v>209</v>
      </c>
      <c r="B270" s="107">
        <v>494.13</v>
      </c>
      <c r="C270" s="107">
        <v>483.25</v>
      </c>
      <c r="D270" s="107">
        <v>574.23</v>
      </c>
      <c r="E270" s="107">
        <v>227.81</v>
      </c>
      <c r="F270" s="107">
        <v>2015.49</v>
      </c>
      <c r="G270" s="107">
        <v>1379.4</v>
      </c>
      <c r="H270" s="107">
        <v>636.04</v>
      </c>
      <c r="I270" s="107">
        <v>641.96</v>
      </c>
      <c r="J270" s="107">
        <v>1029.32</v>
      </c>
      <c r="K270" s="107">
        <v>736.07</v>
      </c>
      <c r="L270" s="107">
        <v>2185.71</v>
      </c>
      <c r="M270" s="107">
        <v>1836.48</v>
      </c>
      <c r="N270" s="107">
        <v>12239.89</v>
      </c>
    </row>
    <row r="271" spans="1:14">
      <c r="A271" s="64" t="s">
        <v>210</v>
      </c>
      <c r="B271" s="107">
        <v>334.51</v>
      </c>
      <c r="C271" s="22"/>
      <c r="D271" s="107">
        <v>142.87</v>
      </c>
      <c r="E271" s="107">
        <v>28.14</v>
      </c>
      <c r="F271" s="107">
        <v>681.9</v>
      </c>
      <c r="G271" s="107">
        <v>143.56</v>
      </c>
      <c r="H271" s="107">
        <v>295.7</v>
      </c>
      <c r="I271" s="107">
        <v>604.39</v>
      </c>
      <c r="J271" s="107">
        <v>1073.4100000000001</v>
      </c>
      <c r="K271" s="107">
        <v>521.57000000000005</v>
      </c>
      <c r="L271" s="107">
        <v>696.62</v>
      </c>
      <c r="M271" s="107">
        <v>437.67</v>
      </c>
      <c r="N271" s="107">
        <v>4960.34</v>
      </c>
    </row>
    <row r="272" spans="1:14">
      <c r="A272" s="64" t="s">
        <v>211</v>
      </c>
      <c r="B272" s="107">
        <v>230.96</v>
      </c>
      <c r="C272" s="107">
        <v>335.55</v>
      </c>
      <c r="D272" s="107">
        <v>335.55</v>
      </c>
      <c r="E272" s="107">
        <v>221.6</v>
      </c>
      <c r="F272" s="107">
        <v>335.55</v>
      </c>
      <c r="G272" s="107">
        <v>983.4</v>
      </c>
      <c r="H272" s="107">
        <v>560.15</v>
      </c>
      <c r="I272" s="107">
        <v>363.38</v>
      </c>
      <c r="J272" s="107">
        <v>607.86</v>
      </c>
      <c r="K272" s="107">
        <v>560.15</v>
      </c>
      <c r="L272" s="107">
        <v>440.6</v>
      </c>
      <c r="M272" s="107">
        <v>816.38</v>
      </c>
      <c r="N272" s="107">
        <v>5791.13</v>
      </c>
    </row>
    <row r="273" spans="1:14">
      <c r="A273" s="64" t="s">
        <v>195</v>
      </c>
      <c r="B273" s="22"/>
      <c r="C273" s="107">
        <v>78.45</v>
      </c>
      <c r="D273" s="22"/>
      <c r="E273" s="22"/>
      <c r="F273" s="22"/>
      <c r="G273" s="107">
        <v>80.02</v>
      </c>
      <c r="H273" s="22"/>
      <c r="I273" s="107">
        <v>80.02</v>
      </c>
      <c r="J273" s="107">
        <v>80.02</v>
      </c>
      <c r="K273" s="107">
        <v>98.46</v>
      </c>
      <c r="L273" s="22"/>
      <c r="M273" s="107">
        <v>80.02</v>
      </c>
      <c r="N273" s="107">
        <v>496.99</v>
      </c>
    </row>
    <row r="274" spans="1:14">
      <c r="A274" s="64" t="s">
        <v>214</v>
      </c>
      <c r="B274" s="22"/>
      <c r="C274" s="22"/>
      <c r="D274" s="107">
        <v>253.12</v>
      </c>
      <c r="E274" s="107">
        <v>2046.45</v>
      </c>
      <c r="F274" s="107">
        <v>48.6</v>
      </c>
      <c r="G274" s="107">
        <v>50.5</v>
      </c>
      <c r="H274" s="107"/>
      <c r="I274" s="22"/>
      <c r="J274" s="107"/>
      <c r="K274" s="107">
        <v>133.16</v>
      </c>
      <c r="L274" s="107">
        <v>78.69</v>
      </c>
      <c r="M274" s="107">
        <v>164.24</v>
      </c>
      <c r="N274" s="107">
        <v>2774.76</v>
      </c>
    </row>
    <row r="275" spans="1:14">
      <c r="A275" s="64" t="s">
        <v>215</v>
      </c>
      <c r="B275" s="22"/>
      <c r="C275" s="22"/>
      <c r="D275" s="107">
        <v>338.26</v>
      </c>
      <c r="E275" s="107">
        <v>389.79</v>
      </c>
      <c r="F275" s="107">
        <v>104.22</v>
      </c>
      <c r="G275" s="107">
        <v>819.36</v>
      </c>
      <c r="H275" s="107">
        <v>117.99</v>
      </c>
      <c r="I275" s="22"/>
      <c r="J275" s="107">
        <v>383.71</v>
      </c>
      <c r="K275" s="107">
        <v>459.42</v>
      </c>
      <c r="L275" s="107">
        <v>1071.1500000000001</v>
      </c>
      <c r="M275" s="107">
        <v>3741.8</v>
      </c>
      <c r="N275" s="107">
        <v>7425.7</v>
      </c>
    </row>
    <row r="276" spans="1:14">
      <c r="A276" s="64" t="s">
        <v>216</v>
      </c>
      <c r="B276" s="107">
        <v>779.6</v>
      </c>
      <c r="C276" s="107">
        <v>774.29</v>
      </c>
      <c r="D276" s="107">
        <v>3523.37</v>
      </c>
      <c r="E276" s="107">
        <v>1189.8800000000001</v>
      </c>
      <c r="F276" s="107">
        <v>1567.53</v>
      </c>
      <c r="G276" s="107">
        <v>1795.9</v>
      </c>
      <c r="H276" s="107">
        <v>299.14999999999998</v>
      </c>
      <c r="I276" s="107">
        <v>1301.95</v>
      </c>
      <c r="J276" s="107">
        <v>885.67</v>
      </c>
      <c r="K276" s="107">
        <v>2559.59</v>
      </c>
      <c r="L276" s="107">
        <v>864.23</v>
      </c>
      <c r="M276" s="107">
        <v>2949.39</v>
      </c>
      <c r="N276" s="107">
        <v>18490.55</v>
      </c>
    </row>
    <row r="277" spans="1:14">
      <c r="A277" s="64" t="s">
        <v>217</v>
      </c>
      <c r="B277" s="22"/>
      <c r="C277" s="107">
        <v>216.48</v>
      </c>
      <c r="D277" s="22"/>
      <c r="E277" s="107">
        <v>-1006</v>
      </c>
      <c r="F277" s="22"/>
      <c r="G277" s="107">
        <v>834.77</v>
      </c>
      <c r="H277" s="107">
        <v>23.79</v>
      </c>
      <c r="I277" s="107">
        <v>2271.6999999999998</v>
      </c>
      <c r="J277" s="107">
        <v>853.58</v>
      </c>
      <c r="K277" s="107">
        <v>321.42</v>
      </c>
      <c r="L277" s="107">
        <v>246.5</v>
      </c>
      <c r="M277" s="107">
        <v>810.04</v>
      </c>
      <c r="N277" s="107">
        <v>4572.28</v>
      </c>
    </row>
    <row r="278" spans="1:14">
      <c r="A278" s="64" t="s">
        <v>218</v>
      </c>
      <c r="B278" s="107">
        <v>1019.63</v>
      </c>
      <c r="C278" s="107">
        <v>734.18</v>
      </c>
      <c r="D278" s="107">
        <v>844.05</v>
      </c>
      <c r="E278" s="107">
        <v>948.91</v>
      </c>
      <c r="F278" s="107">
        <v>4308.8</v>
      </c>
      <c r="G278" s="107">
        <v>964.08</v>
      </c>
      <c r="H278" s="107">
        <v>4351.99</v>
      </c>
      <c r="I278" s="107">
        <v>625.76</v>
      </c>
      <c r="J278" s="107">
        <v>925.59</v>
      </c>
      <c r="K278" s="107">
        <v>615.59</v>
      </c>
      <c r="L278" s="107">
        <v>867.74</v>
      </c>
      <c r="M278" s="107">
        <v>908.73</v>
      </c>
      <c r="N278" s="107">
        <v>17115.05</v>
      </c>
    </row>
    <row r="279" spans="1:14">
      <c r="A279" s="64" t="s">
        <v>219</v>
      </c>
      <c r="B279" s="107">
        <v>2098.67</v>
      </c>
      <c r="C279" s="107">
        <v>2164.08</v>
      </c>
      <c r="D279" s="107">
        <v>1697.82</v>
      </c>
      <c r="E279" s="107">
        <v>1543.44</v>
      </c>
      <c r="F279" s="107">
        <v>1427.56</v>
      </c>
      <c r="G279" s="107">
        <v>1868.7</v>
      </c>
      <c r="H279" s="107">
        <v>2297.3200000000002</v>
      </c>
      <c r="I279" s="107">
        <v>1191.93</v>
      </c>
      <c r="J279" s="107">
        <v>1755.01</v>
      </c>
      <c r="K279" s="107">
        <v>1113.19</v>
      </c>
      <c r="L279" s="107">
        <v>3829.12</v>
      </c>
      <c r="M279" s="107">
        <v>979.32</v>
      </c>
      <c r="N279" s="107">
        <v>21966.16</v>
      </c>
    </row>
    <row r="280" spans="1:14">
      <c r="A280" s="64" t="s">
        <v>220</v>
      </c>
      <c r="B280" s="111">
        <v>292.35000000000002</v>
      </c>
      <c r="C280" s="111">
        <v>127.22</v>
      </c>
      <c r="D280" s="111">
        <v>85.69</v>
      </c>
      <c r="E280" s="111">
        <v>146.72999999999999</v>
      </c>
      <c r="F280" s="111">
        <v>547.91999999999996</v>
      </c>
      <c r="G280" s="111">
        <v>365.01</v>
      </c>
      <c r="H280" s="111">
        <v>479.91</v>
      </c>
      <c r="I280" s="111">
        <v>445.87</v>
      </c>
      <c r="J280" s="111">
        <v>239.53</v>
      </c>
      <c r="K280" s="111">
        <v>337.21</v>
      </c>
      <c r="L280" s="111">
        <v>616.9</v>
      </c>
      <c r="M280" s="111">
        <v>270.75</v>
      </c>
      <c r="N280" s="111">
        <v>3955.09</v>
      </c>
    </row>
    <row r="281" spans="1:14">
      <c r="A281" s="64" t="s">
        <v>221</v>
      </c>
      <c r="B281" s="107">
        <f t="shared" ref="B281:M281" si="53">SUM(B267:B280)</f>
        <v>6638.27</v>
      </c>
      <c r="C281" s="107">
        <f t="shared" si="53"/>
        <v>8632.2499999999982</v>
      </c>
      <c r="D281" s="107">
        <f t="shared" si="53"/>
        <v>9762.6</v>
      </c>
      <c r="E281" s="107">
        <f t="shared" si="53"/>
        <v>7381.2799999999988</v>
      </c>
      <c r="F281" s="107">
        <f t="shared" si="53"/>
        <v>13692.7</v>
      </c>
      <c r="G281" s="107">
        <f t="shared" si="53"/>
        <v>14031.800000000001</v>
      </c>
      <c r="H281" s="107">
        <f t="shared" si="53"/>
        <v>11708.969999999998</v>
      </c>
      <c r="I281" s="107">
        <f t="shared" si="53"/>
        <v>11239.430000000002</v>
      </c>
      <c r="J281" s="107">
        <f t="shared" si="53"/>
        <v>14778.390000000001</v>
      </c>
      <c r="K281" s="107">
        <f t="shared" si="53"/>
        <v>9675.6999999999989</v>
      </c>
      <c r="L281" s="107">
        <f t="shared" si="53"/>
        <v>15072.709999999997</v>
      </c>
      <c r="M281" s="107">
        <f t="shared" si="53"/>
        <v>17779.63</v>
      </c>
      <c r="N281" s="107">
        <v>140393.73000000001</v>
      </c>
    </row>
    <row r="282" spans="1:14">
      <c r="A282" s="64"/>
      <c r="B282" s="22"/>
      <c r="C282" s="22"/>
      <c r="D282" s="22"/>
      <c r="E282" s="22"/>
      <c r="F282" s="22"/>
      <c r="G282" s="22"/>
      <c r="H282" s="22"/>
      <c r="I282" s="22"/>
      <c r="J282" s="22"/>
      <c r="K282" s="22"/>
      <c r="L282" s="22"/>
      <c r="M282" s="22"/>
      <c r="N282" s="22"/>
    </row>
    <row r="283" spans="1:14">
      <c r="A283" s="64" t="s">
        <v>222</v>
      </c>
      <c r="B283" s="22"/>
      <c r="C283" s="22"/>
      <c r="D283" s="22"/>
      <c r="E283" s="22"/>
      <c r="F283" s="22"/>
      <c r="G283" s="22"/>
      <c r="H283" s="22"/>
      <c r="I283" s="22"/>
      <c r="J283" s="22"/>
      <c r="K283" s="22"/>
      <c r="L283" s="22"/>
      <c r="M283" s="22"/>
      <c r="N283" s="22"/>
    </row>
    <row r="284" spans="1:14">
      <c r="A284" s="64" t="s">
        <v>223</v>
      </c>
      <c r="B284" s="22"/>
      <c r="C284" s="107">
        <v>1050</v>
      </c>
      <c r="D284" s="22"/>
      <c r="E284" s="107">
        <v>307</v>
      </c>
      <c r="F284" s="107">
        <v>3314.83</v>
      </c>
      <c r="G284" s="22"/>
      <c r="H284" s="107">
        <v>3006.5</v>
      </c>
      <c r="I284" s="22"/>
      <c r="J284" s="22"/>
      <c r="K284" s="22"/>
      <c r="L284" s="107">
        <v>182.5</v>
      </c>
      <c r="M284" s="22"/>
      <c r="N284" s="107">
        <v>7860.83</v>
      </c>
    </row>
    <row r="285" spans="1:14">
      <c r="A285" s="64" t="s">
        <v>224</v>
      </c>
      <c r="B285" s="107">
        <v>18174.63</v>
      </c>
      <c r="C285" s="107">
        <v>5439.7</v>
      </c>
      <c r="D285" s="107">
        <v>1530.02</v>
      </c>
      <c r="E285" s="107">
        <v>2547.1999999999998</v>
      </c>
      <c r="F285" s="107">
        <v>1191.1300000000001</v>
      </c>
      <c r="G285" s="22"/>
      <c r="H285" s="107">
        <v>2925</v>
      </c>
      <c r="I285" s="107">
        <v>16243.78</v>
      </c>
      <c r="J285" s="107">
        <v>6525.38</v>
      </c>
      <c r="K285" s="107">
        <v>6364.3</v>
      </c>
      <c r="L285" s="107">
        <v>1715.68</v>
      </c>
      <c r="M285" s="107">
        <v>1476.81</v>
      </c>
      <c r="N285" s="107">
        <v>64133.63</v>
      </c>
    </row>
    <row r="286" spans="1:14">
      <c r="A286" s="64" t="s">
        <v>225</v>
      </c>
      <c r="B286" s="22"/>
      <c r="C286" s="22"/>
      <c r="D286" s="22"/>
      <c r="E286" s="22"/>
      <c r="F286" s="22"/>
      <c r="G286" s="22"/>
      <c r="H286" s="22"/>
      <c r="I286" s="107">
        <v>105.53</v>
      </c>
      <c r="J286" s="107">
        <v>50</v>
      </c>
      <c r="K286" s="22"/>
      <c r="L286" s="22"/>
      <c r="M286" s="22"/>
      <c r="N286" s="107">
        <v>155.53</v>
      </c>
    </row>
    <row r="287" spans="1:14">
      <c r="A287" s="64" t="s">
        <v>226</v>
      </c>
      <c r="B287" s="22"/>
      <c r="C287" s="22"/>
      <c r="D287" s="22"/>
      <c r="E287" s="107">
        <v>184.8</v>
      </c>
      <c r="F287" s="22"/>
      <c r="G287" s="107">
        <v>81.27</v>
      </c>
      <c r="H287" s="22"/>
      <c r="I287" s="22"/>
      <c r="J287" s="107">
        <v>108.13</v>
      </c>
      <c r="K287" s="107">
        <v>223.85</v>
      </c>
      <c r="L287" s="107">
        <v>145.19999999999999</v>
      </c>
      <c r="M287" s="107">
        <v>217.37</v>
      </c>
      <c r="N287" s="107">
        <v>960.62</v>
      </c>
    </row>
    <row r="288" spans="1:14">
      <c r="A288" s="64" t="s">
        <v>227</v>
      </c>
      <c r="B288" s="113"/>
      <c r="C288" s="111">
        <v>157.88</v>
      </c>
      <c r="D288" s="111">
        <v>149.71</v>
      </c>
      <c r="E288" s="113"/>
      <c r="F288" s="113"/>
      <c r="G288" s="111">
        <v>465.53</v>
      </c>
      <c r="H288" s="111">
        <v>240.83</v>
      </c>
      <c r="I288" s="111">
        <v>289.79000000000002</v>
      </c>
      <c r="J288" s="111">
        <v>168.2</v>
      </c>
      <c r="K288" s="111">
        <v>38.909999999999997</v>
      </c>
      <c r="L288" s="113"/>
      <c r="M288" s="113"/>
      <c r="N288" s="111">
        <v>1510.85</v>
      </c>
    </row>
    <row r="289" spans="1:14">
      <c r="A289" s="64" t="s">
        <v>229</v>
      </c>
      <c r="B289" s="107">
        <f t="shared" ref="B289:M289" si="54">SUM(B282:B288)</f>
        <v>18174.63</v>
      </c>
      <c r="C289" s="107">
        <f t="shared" si="54"/>
        <v>6647.58</v>
      </c>
      <c r="D289" s="107">
        <f t="shared" si="54"/>
        <v>1679.73</v>
      </c>
      <c r="E289" s="107">
        <f t="shared" si="54"/>
        <v>3039</v>
      </c>
      <c r="F289" s="107">
        <f t="shared" si="54"/>
        <v>4505.96</v>
      </c>
      <c r="G289" s="107">
        <f t="shared" si="54"/>
        <v>546.79999999999995</v>
      </c>
      <c r="H289" s="107">
        <f t="shared" si="54"/>
        <v>6172.33</v>
      </c>
      <c r="I289" s="107">
        <f t="shared" si="54"/>
        <v>16639.100000000002</v>
      </c>
      <c r="J289" s="107">
        <f t="shared" si="54"/>
        <v>6851.71</v>
      </c>
      <c r="K289" s="107">
        <f t="shared" si="54"/>
        <v>6627.06</v>
      </c>
      <c r="L289" s="107">
        <f t="shared" si="54"/>
        <v>2043.38</v>
      </c>
      <c r="M289" s="107">
        <f t="shared" si="54"/>
        <v>1694.1799999999998</v>
      </c>
      <c r="N289" s="107">
        <v>74621.460000000006</v>
      </c>
    </row>
    <row r="290" spans="1:14">
      <c r="A290" s="64"/>
      <c r="B290" s="22"/>
      <c r="C290" s="22"/>
      <c r="D290" s="22"/>
      <c r="E290" s="22"/>
      <c r="F290" s="22"/>
      <c r="G290" s="22"/>
      <c r="H290" s="22"/>
      <c r="I290" s="22"/>
      <c r="J290" s="22"/>
      <c r="K290" s="22"/>
      <c r="L290" s="22"/>
      <c r="M290" s="22"/>
      <c r="N290" s="22"/>
    </row>
    <row r="291" spans="1:14">
      <c r="A291" s="64" t="s">
        <v>230</v>
      </c>
      <c r="B291" s="22"/>
      <c r="C291" s="22"/>
      <c r="D291" s="22"/>
      <c r="E291" s="22"/>
      <c r="F291" s="22"/>
      <c r="G291" s="22"/>
      <c r="H291" s="22"/>
      <c r="I291" s="22"/>
      <c r="J291" s="22"/>
      <c r="K291" s="22"/>
      <c r="L291" s="22"/>
      <c r="M291" s="22"/>
      <c r="N291" s="22"/>
    </row>
    <row r="292" spans="1:14">
      <c r="A292" s="64" t="s">
        <v>231</v>
      </c>
      <c r="B292" s="107">
        <v>8885.27</v>
      </c>
      <c r="C292" s="107">
        <v>8885.27</v>
      </c>
      <c r="D292" s="107">
        <v>8885.27</v>
      </c>
      <c r="E292" s="107">
        <v>8885.27</v>
      </c>
      <c r="F292" s="107">
        <v>19065.61</v>
      </c>
      <c r="G292" s="107">
        <v>11885.27</v>
      </c>
      <c r="H292" s="107">
        <v>11885.27</v>
      </c>
      <c r="I292" s="107">
        <v>11885.27</v>
      </c>
      <c r="J292" s="107">
        <v>11885.27</v>
      </c>
      <c r="K292" s="107">
        <v>11885.27</v>
      </c>
      <c r="L292" s="107">
        <v>11885.27</v>
      </c>
      <c r="M292" s="107">
        <v>11885.26</v>
      </c>
      <c r="N292" s="107">
        <v>137803.57</v>
      </c>
    </row>
    <row r="293" spans="1:14">
      <c r="A293" s="64" t="s">
        <v>232</v>
      </c>
      <c r="B293" s="107">
        <v>700</v>
      </c>
      <c r="C293" s="107">
        <v>700</v>
      </c>
      <c r="D293" s="107">
        <v>700</v>
      </c>
      <c r="E293" s="107">
        <v>700</v>
      </c>
      <c r="F293" s="107">
        <v>1037.02</v>
      </c>
      <c r="G293" s="107">
        <v>700</v>
      </c>
      <c r="H293" s="107">
        <v>700</v>
      </c>
      <c r="I293" s="107">
        <v>700</v>
      </c>
      <c r="J293" s="107">
        <v>700</v>
      </c>
      <c r="K293" s="107">
        <v>700</v>
      </c>
      <c r="L293" s="107">
        <v>700</v>
      </c>
      <c r="M293" s="107">
        <v>700</v>
      </c>
      <c r="N293" s="107">
        <v>8737.02</v>
      </c>
    </row>
    <row r="294" spans="1:14">
      <c r="A294" s="64" t="s">
        <v>234</v>
      </c>
      <c r="B294" s="22"/>
      <c r="C294" s="22"/>
      <c r="D294" s="22"/>
      <c r="E294" s="22"/>
      <c r="F294" s="107">
        <v>410</v>
      </c>
      <c r="G294" s="107">
        <v>366.67</v>
      </c>
      <c r="H294" s="22"/>
      <c r="I294" s="22"/>
      <c r="J294" s="22"/>
      <c r="K294" s="22"/>
      <c r="L294" s="22"/>
      <c r="M294" s="22"/>
      <c r="N294" s="107">
        <v>776.67</v>
      </c>
    </row>
    <row r="295" spans="1:14">
      <c r="A295" s="64" t="s">
        <v>352</v>
      </c>
      <c r="B295" s="111">
        <v>874.69</v>
      </c>
      <c r="C295" s="111"/>
      <c r="D295" s="111"/>
      <c r="E295" s="113"/>
      <c r="F295" s="113"/>
      <c r="G295" s="111">
        <v>874.69</v>
      </c>
      <c r="H295" s="111">
        <v>874.69</v>
      </c>
      <c r="I295" s="111">
        <v>874.69</v>
      </c>
      <c r="J295" s="111">
        <v>874.69</v>
      </c>
      <c r="K295" s="111">
        <v>874.69</v>
      </c>
      <c r="L295" s="111">
        <v>874.69</v>
      </c>
      <c r="M295" s="111">
        <v>874.69</v>
      </c>
      <c r="N295" s="111">
        <v>6997.52</v>
      </c>
    </row>
    <row r="296" spans="1:14">
      <c r="A296" s="64" t="s">
        <v>236</v>
      </c>
      <c r="B296" s="107">
        <f t="shared" ref="B296:M296" si="55">SUM(B290:B295)</f>
        <v>10459.960000000001</v>
      </c>
      <c r="C296" s="107">
        <f t="shared" si="55"/>
        <v>9585.27</v>
      </c>
      <c r="D296" s="107">
        <f t="shared" si="55"/>
        <v>9585.27</v>
      </c>
      <c r="E296" s="107">
        <f t="shared" si="55"/>
        <v>9585.27</v>
      </c>
      <c r="F296" s="107">
        <f t="shared" si="55"/>
        <v>20512.63</v>
      </c>
      <c r="G296" s="107">
        <f t="shared" si="55"/>
        <v>13826.630000000001</v>
      </c>
      <c r="H296" s="107">
        <f t="shared" si="55"/>
        <v>13459.960000000001</v>
      </c>
      <c r="I296" s="107">
        <f t="shared" si="55"/>
        <v>13459.960000000001</v>
      </c>
      <c r="J296" s="107">
        <f t="shared" si="55"/>
        <v>13459.960000000001</v>
      </c>
      <c r="K296" s="107">
        <f t="shared" si="55"/>
        <v>13459.960000000001</v>
      </c>
      <c r="L296" s="107">
        <f t="shared" si="55"/>
        <v>13459.960000000001</v>
      </c>
      <c r="M296" s="107">
        <f t="shared" si="55"/>
        <v>13459.95</v>
      </c>
      <c r="N296" s="107">
        <v>154314.78</v>
      </c>
    </row>
    <row r="297" spans="1:14">
      <c r="A297" s="64"/>
      <c r="B297" s="22"/>
      <c r="C297" s="22"/>
      <c r="D297" s="22"/>
      <c r="E297" s="22"/>
      <c r="F297" s="22"/>
      <c r="G297" s="22"/>
      <c r="H297" s="22"/>
      <c r="I297" s="22"/>
      <c r="J297" s="22"/>
      <c r="K297" s="22"/>
      <c r="L297" s="22"/>
      <c r="M297" s="22"/>
      <c r="N297" s="22"/>
    </row>
    <row r="298" spans="1:14">
      <c r="A298" s="64" t="s">
        <v>237</v>
      </c>
      <c r="B298" s="22"/>
      <c r="C298" s="22"/>
      <c r="D298" s="22"/>
      <c r="E298" s="22"/>
      <c r="F298" s="22"/>
      <c r="G298" s="22"/>
      <c r="H298" s="22"/>
      <c r="I298" s="22"/>
      <c r="J298" s="22"/>
      <c r="K298" s="22"/>
      <c r="L298" s="22"/>
      <c r="M298" s="22"/>
      <c r="N298" s="22"/>
    </row>
    <row r="299" spans="1:14">
      <c r="A299" s="64" t="s">
        <v>375</v>
      </c>
      <c r="B299" s="107">
        <v>5778</v>
      </c>
      <c r="C299" s="22"/>
      <c r="D299" s="107">
        <v>7076.83</v>
      </c>
      <c r="E299" s="22"/>
      <c r="F299" s="107">
        <v>6817</v>
      </c>
      <c r="G299" s="107">
        <v>5973</v>
      </c>
      <c r="H299" s="107">
        <v>65</v>
      </c>
      <c r="I299" s="107">
        <v>5908</v>
      </c>
      <c r="J299" s="107">
        <v>3051</v>
      </c>
      <c r="K299" s="107">
        <v>1753</v>
      </c>
      <c r="L299" s="107">
        <v>1917</v>
      </c>
      <c r="M299" s="22"/>
      <c r="N299" s="107">
        <v>38338.83</v>
      </c>
    </row>
    <row r="300" spans="1:14">
      <c r="A300" s="64" t="s">
        <v>228</v>
      </c>
      <c r="B300" s="111">
        <v>18418</v>
      </c>
      <c r="C300" s="111">
        <v>21691</v>
      </c>
      <c r="D300" s="111">
        <v>22886</v>
      </c>
      <c r="E300" s="111">
        <v>19139</v>
      </c>
      <c r="F300" s="111">
        <v>94377</v>
      </c>
      <c r="G300" s="111">
        <v>51236</v>
      </c>
      <c r="H300" s="111">
        <v>61394.48</v>
      </c>
      <c r="I300" s="111">
        <v>22645</v>
      </c>
      <c r="J300" s="111">
        <v>22601</v>
      </c>
      <c r="K300" s="111">
        <v>22462</v>
      </c>
      <c r="L300" s="111">
        <v>31836</v>
      </c>
      <c r="M300" s="111">
        <v>53498</v>
      </c>
      <c r="N300" s="111">
        <v>442183.48</v>
      </c>
    </row>
    <row r="301" spans="1:14">
      <c r="A301" s="64" t="s">
        <v>238</v>
      </c>
      <c r="B301" s="107">
        <f t="shared" ref="B301:M301" si="56">SUM(B297:B300)</f>
        <v>24196</v>
      </c>
      <c r="C301" s="107">
        <f t="shared" si="56"/>
        <v>21691</v>
      </c>
      <c r="D301" s="107">
        <f t="shared" si="56"/>
        <v>29962.83</v>
      </c>
      <c r="E301" s="107">
        <f t="shared" si="56"/>
        <v>19139</v>
      </c>
      <c r="F301" s="107">
        <f t="shared" si="56"/>
        <v>101194</v>
      </c>
      <c r="G301" s="107">
        <f t="shared" si="56"/>
        <v>57209</v>
      </c>
      <c r="H301" s="107">
        <f t="shared" si="56"/>
        <v>61459.48</v>
      </c>
      <c r="I301" s="107">
        <f t="shared" si="56"/>
        <v>28553</v>
      </c>
      <c r="J301" s="107">
        <f t="shared" si="56"/>
        <v>25652</v>
      </c>
      <c r="K301" s="107">
        <f t="shared" si="56"/>
        <v>24215</v>
      </c>
      <c r="L301" s="107">
        <f t="shared" si="56"/>
        <v>33753</v>
      </c>
      <c r="M301" s="107">
        <f t="shared" si="56"/>
        <v>53498</v>
      </c>
      <c r="N301" s="107">
        <v>480522.31</v>
      </c>
    </row>
    <row r="302" spans="1:14">
      <c r="A302" s="64"/>
      <c r="B302" s="22"/>
      <c r="C302" s="22"/>
      <c r="D302" s="22"/>
      <c r="E302" s="22"/>
      <c r="F302" s="22"/>
      <c r="G302" s="22"/>
      <c r="H302" s="22"/>
      <c r="I302" s="22"/>
      <c r="J302" s="22"/>
      <c r="K302" s="22"/>
      <c r="L302" s="22"/>
      <c r="M302" s="22"/>
      <c r="N302" s="22"/>
    </row>
    <row r="303" spans="1:14">
      <c r="A303" s="64" t="s">
        <v>239</v>
      </c>
      <c r="B303" s="22"/>
      <c r="C303" s="22"/>
      <c r="D303" s="22"/>
      <c r="E303" s="22"/>
      <c r="F303" s="22"/>
      <c r="G303" s="22"/>
      <c r="H303" s="22"/>
      <c r="I303" s="22"/>
      <c r="J303" s="22"/>
      <c r="K303" s="22"/>
      <c r="L303" s="22"/>
      <c r="M303" s="22"/>
      <c r="N303" s="22"/>
    </row>
    <row r="304" spans="1:14">
      <c r="A304" s="64" t="s">
        <v>240</v>
      </c>
      <c r="B304" s="107">
        <v>2280.0100000000002</v>
      </c>
      <c r="C304" s="107">
        <v>2280.0100000000002</v>
      </c>
      <c r="D304" s="107">
        <v>2280.0100000000002</v>
      </c>
      <c r="E304" s="107">
        <v>2280.0100000000002</v>
      </c>
      <c r="F304" s="107">
        <v>2280.91</v>
      </c>
      <c r="G304" s="107">
        <v>2280.0100000000002</v>
      </c>
      <c r="H304" s="107">
        <v>4649.59</v>
      </c>
      <c r="I304" s="107">
        <v>3168.13</v>
      </c>
      <c r="J304" s="107">
        <v>2724.07</v>
      </c>
      <c r="K304" s="107">
        <v>2724.07</v>
      </c>
      <c r="L304" s="107">
        <v>2724.07</v>
      </c>
      <c r="M304" s="107">
        <v>2724.07</v>
      </c>
      <c r="N304" s="107">
        <v>32394.959999999999</v>
      </c>
    </row>
    <row r="305" spans="1:14">
      <c r="A305" s="64" t="s">
        <v>241</v>
      </c>
      <c r="B305" s="107">
        <v>224.08</v>
      </c>
      <c r="C305" s="107">
        <v>224.08</v>
      </c>
      <c r="D305" s="107">
        <v>224.08</v>
      </c>
      <c r="E305" s="107">
        <v>224.08</v>
      </c>
      <c r="F305" s="107">
        <v>224.08</v>
      </c>
      <c r="G305" s="107">
        <v>224.08</v>
      </c>
      <c r="H305" s="107">
        <v>224.08</v>
      </c>
      <c r="I305" s="107">
        <v>-224.08</v>
      </c>
      <c r="J305" s="22"/>
      <c r="K305" s="22"/>
      <c r="L305" s="22"/>
      <c r="M305" s="22"/>
      <c r="N305" s="107">
        <v>1344.48</v>
      </c>
    </row>
    <row r="306" spans="1:14">
      <c r="A306" s="64" t="s">
        <v>242</v>
      </c>
      <c r="B306" s="107">
        <v>5777.67</v>
      </c>
      <c r="C306" s="107">
        <v>6280.08</v>
      </c>
      <c r="D306" s="107">
        <v>6280.08</v>
      </c>
      <c r="E306" s="107">
        <v>6280.08</v>
      </c>
      <c r="F306" s="107">
        <v>6280.08</v>
      </c>
      <c r="G306" s="107">
        <v>6859.74</v>
      </c>
      <c r="H306" s="107">
        <v>6280.08</v>
      </c>
      <c r="I306" s="107">
        <v>6280.08</v>
      </c>
      <c r="J306" s="107">
        <v>6280.08</v>
      </c>
      <c r="K306" s="107">
        <v>6280.08</v>
      </c>
      <c r="L306" s="107">
        <v>6280.08</v>
      </c>
      <c r="M306" s="107">
        <v>6280.08</v>
      </c>
      <c r="N306" s="107">
        <v>75438.210000000006</v>
      </c>
    </row>
    <row r="307" spans="1:14">
      <c r="A307" s="64" t="s">
        <v>284</v>
      </c>
      <c r="B307" s="22"/>
      <c r="C307" s="22"/>
      <c r="D307" s="22"/>
      <c r="E307" s="107"/>
      <c r="F307" s="107">
        <v>38359</v>
      </c>
      <c r="G307" s="22"/>
      <c r="H307" s="22"/>
      <c r="I307" s="107"/>
      <c r="J307" s="107">
        <v>29184</v>
      </c>
      <c r="K307" s="107"/>
      <c r="L307" s="22"/>
      <c r="M307" s="22"/>
      <c r="N307" s="107">
        <v>67543</v>
      </c>
    </row>
    <row r="308" spans="1:14">
      <c r="A308" s="64" t="s">
        <v>387</v>
      </c>
      <c r="B308" s="113"/>
      <c r="C308" s="113"/>
      <c r="D308" s="113"/>
      <c r="E308" s="113"/>
      <c r="F308" s="113"/>
      <c r="G308" s="113"/>
      <c r="H308" s="113"/>
      <c r="I308" s="113"/>
      <c r="J308" s="113"/>
      <c r="K308" s="113"/>
      <c r="L308" s="113"/>
      <c r="M308" s="113"/>
      <c r="N308" s="113"/>
    </row>
    <row r="309" spans="1:14">
      <c r="A309" s="64" t="s">
        <v>244</v>
      </c>
      <c r="B309" s="107">
        <f t="shared" ref="B309:M309" si="57">SUM(B302:B308)</f>
        <v>8281.76</v>
      </c>
      <c r="C309" s="107">
        <f t="shared" si="57"/>
        <v>8784.17</v>
      </c>
      <c r="D309" s="107">
        <f t="shared" si="57"/>
        <v>8784.17</v>
      </c>
      <c r="E309" s="107">
        <f t="shared" si="57"/>
        <v>8784.17</v>
      </c>
      <c r="F309" s="107">
        <f t="shared" si="57"/>
        <v>47144.07</v>
      </c>
      <c r="G309" s="107">
        <f t="shared" si="57"/>
        <v>9363.83</v>
      </c>
      <c r="H309" s="107">
        <f t="shared" si="57"/>
        <v>11153.75</v>
      </c>
      <c r="I309" s="107">
        <f t="shared" si="57"/>
        <v>9224.130000000001</v>
      </c>
      <c r="J309" s="107">
        <f t="shared" si="57"/>
        <v>38188.15</v>
      </c>
      <c r="K309" s="107">
        <f t="shared" si="57"/>
        <v>9004.15</v>
      </c>
      <c r="L309" s="107">
        <f t="shared" si="57"/>
        <v>9004.15</v>
      </c>
      <c r="M309" s="107">
        <f t="shared" si="57"/>
        <v>9004.15</v>
      </c>
      <c r="N309" s="107">
        <v>176720.65</v>
      </c>
    </row>
    <row r="310" spans="1:14">
      <c r="A310" s="64"/>
      <c r="B310" s="22"/>
      <c r="C310" s="22"/>
      <c r="D310" s="22"/>
      <c r="E310" s="22"/>
      <c r="F310" s="22"/>
      <c r="G310" s="22"/>
      <c r="H310" s="22"/>
      <c r="I310" s="22"/>
      <c r="J310" s="22"/>
      <c r="K310" s="22"/>
      <c r="L310" s="22"/>
      <c r="M310" s="22"/>
      <c r="N310" s="22"/>
    </row>
    <row r="311" spans="1:14">
      <c r="A311" s="64" t="s">
        <v>245</v>
      </c>
      <c r="B311" s="22"/>
      <c r="C311" s="22"/>
      <c r="D311" s="22"/>
      <c r="E311" s="22"/>
      <c r="F311" s="22"/>
      <c r="G311" s="22"/>
      <c r="H311" s="22"/>
      <c r="I311" s="22"/>
      <c r="J311" s="22"/>
      <c r="K311" s="22"/>
      <c r="L311" s="22"/>
      <c r="M311" s="22"/>
      <c r="N311" s="22"/>
    </row>
    <row r="312" spans="1:14">
      <c r="A312" s="64" t="s">
        <v>246</v>
      </c>
      <c r="B312" s="107">
        <v>10379.16</v>
      </c>
      <c r="C312" s="107">
        <v>10362.08</v>
      </c>
      <c r="D312" s="107">
        <v>10344.98</v>
      </c>
      <c r="E312" s="107">
        <v>10412.02</v>
      </c>
      <c r="F312" s="107">
        <v>10399.84</v>
      </c>
      <c r="G312" s="107">
        <v>5199.92</v>
      </c>
      <c r="H312" s="107">
        <v>15550.68</v>
      </c>
      <c r="I312" s="107">
        <v>10479.64</v>
      </c>
      <c r="J312" s="107">
        <v>10403.120000000001</v>
      </c>
      <c r="K312" s="107">
        <v>10450.58</v>
      </c>
      <c r="L312" s="107">
        <v>10623.96</v>
      </c>
      <c r="M312" s="107">
        <v>10456.44</v>
      </c>
      <c r="N312" s="107">
        <v>125062.42</v>
      </c>
    </row>
    <row r="313" spans="1:14">
      <c r="A313" s="64" t="s">
        <v>247</v>
      </c>
      <c r="B313" s="107">
        <v>7774.54</v>
      </c>
      <c r="C313" s="107">
        <v>7302.04</v>
      </c>
      <c r="D313" s="107">
        <v>7182.5</v>
      </c>
      <c r="E313" s="107">
        <v>7193.24</v>
      </c>
      <c r="F313" s="107">
        <v>7117</v>
      </c>
      <c r="G313" s="107">
        <v>3558.5</v>
      </c>
      <c r="H313" s="107">
        <v>10257.879999999999</v>
      </c>
      <c r="I313" s="107">
        <v>6967.28</v>
      </c>
      <c r="J313" s="107">
        <v>7372.06</v>
      </c>
      <c r="K313" s="107">
        <v>7465.18</v>
      </c>
      <c r="L313" s="107">
        <v>6994.1</v>
      </c>
      <c r="M313" s="107">
        <v>7449.18</v>
      </c>
      <c r="N313" s="107">
        <v>86633.5</v>
      </c>
    </row>
    <row r="314" spans="1:14">
      <c r="A314" s="64" t="s">
        <v>248</v>
      </c>
      <c r="B314" s="22"/>
      <c r="C314" s="22"/>
      <c r="D314" s="22"/>
      <c r="E314" s="22"/>
      <c r="F314" s="22"/>
      <c r="G314" s="22"/>
      <c r="H314" s="22"/>
      <c r="I314" s="107">
        <v>271.62</v>
      </c>
      <c r="J314" s="107">
        <v>181.08</v>
      </c>
      <c r="K314" s="107">
        <v>181.08</v>
      </c>
      <c r="L314" s="107">
        <v>181.08</v>
      </c>
      <c r="M314" s="107">
        <v>181.08</v>
      </c>
      <c r="N314" s="107">
        <v>995.94</v>
      </c>
    </row>
    <row r="315" spans="1:14">
      <c r="A315" s="64" t="s">
        <v>362</v>
      </c>
      <c r="B315" s="107">
        <v>750</v>
      </c>
      <c r="C315" s="107">
        <v>750</v>
      </c>
      <c r="D315" s="107">
        <v>750</v>
      </c>
      <c r="E315" s="107">
        <v>750</v>
      </c>
      <c r="F315" s="107">
        <v>750</v>
      </c>
      <c r="G315" s="107">
        <v>750</v>
      </c>
      <c r="H315" s="107">
        <v>750</v>
      </c>
      <c r="I315" s="107">
        <v>750</v>
      </c>
      <c r="J315" s="107">
        <v>750</v>
      </c>
      <c r="K315" s="107">
        <v>750</v>
      </c>
      <c r="L315" s="107">
        <v>750</v>
      </c>
      <c r="M315" s="107">
        <v>750</v>
      </c>
      <c r="N315" s="107">
        <v>9000</v>
      </c>
    </row>
    <row r="316" spans="1:14">
      <c r="A316" s="64" t="s">
        <v>363</v>
      </c>
      <c r="B316" s="111">
        <v>-9076.85</v>
      </c>
      <c r="C316" s="111">
        <v>-8832.06</v>
      </c>
      <c r="D316" s="111">
        <v>-8763.74</v>
      </c>
      <c r="E316" s="111">
        <v>-8802.6299999999992</v>
      </c>
      <c r="F316" s="111">
        <v>-8758.42</v>
      </c>
      <c r="G316" s="113"/>
      <c r="H316" s="111">
        <v>-17283.490000000002</v>
      </c>
      <c r="I316" s="111">
        <v>-8859.27</v>
      </c>
      <c r="J316" s="111">
        <v>-8978.1299999999992</v>
      </c>
      <c r="K316" s="111">
        <v>-9048.42</v>
      </c>
      <c r="L316" s="111">
        <v>-8899.57</v>
      </c>
      <c r="M316" s="111">
        <v>-9043.35</v>
      </c>
      <c r="N316" s="111">
        <v>-106345.93</v>
      </c>
    </row>
    <row r="317" spans="1:14">
      <c r="A317" s="64" t="s">
        <v>250</v>
      </c>
      <c r="B317" s="107">
        <f t="shared" ref="B317:M317" si="58">SUM(B310:B316)</f>
        <v>9826.85</v>
      </c>
      <c r="C317" s="107">
        <f t="shared" si="58"/>
        <v>9582.06</v>
      </c>
      <c r="D317" s="107">
        <f t="shared" si="58"/>
        <v>9513.74</v>
      </c>
      <c r="E317" s="107">
        <f t="shared" si="58"/>
        <v>9552.6300000000028</v>
      </c>
      <c r="F317" s="107">
        <f t="shared" si="58"/>
        <v>9508.42</v>
      </c>
      <c r="G317" s="107">
        <f t="shared" si="58"/>
        <v>9508.42</v>
      </c>
      <c r="H317" s="107">
        <f t="shared" si="58"/>
        <v>9275.0699999999961</v>
      </c>
      <c r="I317" s="107">
        <f t="shared" si="58"/>
        <v>9609.2699999999968</v>
      </c>
      <c r="J317" s="107">
        <f t="shared" si="58"/>
        <v>9728.1300000000028</v>
      </c>
      <c r="K317" s="107">
        <f t="shared" si="58"/>
        <v>9798.4200000000037</v>
      </c>
      <c r="L317" s="107">
        <f t="shared" si="58"/>
        <v>9649.57</v>
      </c>
      <c r="M317" s="107">
        <f t="shared" si="58"/>
        <v>9793.350000000004</v>
      </c>
      <c r="N317" s="107">
        <v>115345.93</v>
      </c>
    </row>
    <row r="318" spans="1:14">
      <c r="A318" s="64"/>
      <c r="B318" s="22"/>
      <c r="C318" s="22"/>
      <c r="D318" s="22"/>
      <c r="E318" s="22"/>
      <c r="F318" s="22"/>
      <c r="G318" s="22"/>
      <c r="H318" s="22"/>
      <c r="I318" s="22"/>
      <c r="J318" s="22"/>
      <c r="K318" s="22"/>
      <c r="L318" s="22"/>
      <c r="M318" s="22"/>
      <c r="N318" s="22"/>
    </row>
    <row r="319" spans="1:14">
      <c r="A319" s="64" t="s">
        <v>251</v>
      </c>
      <c r="B319" s="22"/>
      <c r="C319" s="22"/>
      <c r="D319" s="22"/>
      <c r="E319" s="22"/>
      <c r="F319" s="22"/>
      <c r="G319" s="22"/>
      <c r="H319" s="22"/>
      <c r="I319" s="22"/>
      <c r="J319" s="22"/>
      <c r="K319" s="22"/>
      <c r="L319" s="22"/>
      <c r="M319" s="22"/>
      <c r="N319" s="22"/>
    </row>
    <row r="320" spans="1:14">
      <c r="A320" s="64" t="s">
        <v>252</v>
      </c>
      <c r="B320" s="107">
        <v>135676.34</v>
      </c>
      <c r="C320" s="107">
        <v>138608.25</v>
      </c>
      <c r="D320" s="107">
        <v>138608.25</v>
      </c>
      <c r="E320" s="107">
        <v>138608.25</v>
      </c>
      <c r="F320" s="107">
        <v>9681.25</v>
      </c>
      <c r="G320" s="107">
        <v>138608.25</v>
      </c>
      <c r="H320" s="107">
        <v>138608.25</v>
      </c>
      <c r="I320" s="107">
        <v>138608.25</v>
      </c>
      <c r="J320" s="107">
        <v>138608.25</v>
      </c>
      <c r="K320" s="107">
        <v>130550.25</v>
      </c>
      <c r="L320" s="107">
        <v>130550.25</v>
      </c>
      <c r="M320" s="107">
        <v>142586.70000000001</v>
      </c>
      <c r="N320" s="107">
        <v>1519302.54</v>
      </c>
    </row>
    <row r="321" spans="1:14">
      <c r="A321" s="64" t="s">
        <v>388</v>
      </c>
      <c r="B321" s="107">
        <v>-16000</v>
      </c>
      <c r="C321" s="107">
        <v>-16000</v>
      </c>
      <c r="D321" s="107">
        <v>-16000</v>
      </c>
      <c r="E321" s="107">
        <v>-16000</v>
      </c>
      <c r="F321" s="107">
        <v>-16000</v>
      </c>
      <c r="G321" s="107">
        <v>-16000</v>
      </c>
      <c r="H321" s="107">
        <v>-16000</v>
      </c>
      <c r="I321" s="107">
        <v>-16000</v>
      </c>
      <c r="J321" s="107">
        <v>-16000</v>
      </c>
      <c r="K321" s="107">
        <v>-16000</v>
      </c>
      <c r="L321" s="107">
        <v>-16000</v>
      </c>
      <c r="M321" s="107">
        <v>-16000</v>
      </c>
      <c r="N321" s="107">
        <v>-192000</v>
      </c>
    </row>
    <row r="322" spans="1:14">
      <c r="A322" s="64" t="s">
        <v>253</v>
      </c>
      <c r="B322" s="107">
        <v>101.32</v>
      </c>
      <c r="C322" s="107">
        <v>101.32</v>
      </c>
      <c r="D322" s="107">
        <v>101.32</v>
      </c>
      <c r="E322" s="107">
        <v>101.32</v>
      </c>
      <c r="F322" s="107">
        <v>763.46</v>
      </c>
      <c r="G322" s="22"/>
      <c r="H322" s="22"/>
      <c r="I322" s="22"/>
      <c r="J322" s="107">
        <v>51.39</v>
      </c>
      <c r="K322" s="107">
        <v>51.39</v>
      </c>
      <c r="L322" s="107">
        <v>51.39</v>
      </c>
      <c r="M322" s="107">
        <v>51.39</v>
      </c>
      <c r="N322" s="107">
        <v>1374.3</v>
      </c>
    </row>
    <row r="323" spans="1:14">
      <c r="A323" s="64" t="s">
        <v>254</v>
      </c>
      <c r="B323" s="111">
        <v>165.11</v>
      </c>
      <c r="C323" s="111">
        <v>7159.4</v>
      </c>
      <c r="D323" s="111">
        <v>10.83</v>
      </c>
      <c r="E323" s="113"/>
      <c r="F323" s="111">
        <v>41.14</v>
      </c>
      <c r="G323" s="111">
        <v>176.55</v>
      </c>
      <c r="H323" s="111">
        <v>42.84</v>
      </c>
      <c r="I323" s="111">
        <v>717.39</v>
      </c>
      <c r="J323" s="111">
        <v>7576.78</v>
      </c>
      <c r="K323" s="111">
        <v>38.39</v>
      </c>
      <c r="L323" s="111">
        <v>50</v>
      </c>
      <c r="M323" s="111">
        <v>9847.26</v>
      </c>
      <c r="N323" s="111">
        <v>25825.69</v>
      </c>
    </row>
    <row r="324" spans="1:14">
      <c r="A324" s="64" t="s">
        <v>255</v>
      </c>
      <c r="B324" s="107">
        <f t="shared" ref="B324:M324" si="59">SUM(B318:B323)</f>
        <v>119942.77</v>
      </c>
      <c r="C324" s="107">
        <f t="shared" si="59"/>
        <v>129868.97</v>
      </c>
      <c r="D324" s="107">
        <f t="shared" si="59"/>
        <v>122720.40000000001</v>
      </c>
      <c r="E324" s="107">
        <f t="shared" si="59"/>
        <v>122709.57</v>
      </c>
      <c r="F324" s="107">
        <f t="shared" si="59"/>
        <v>-5514.15</v>
      </c>
      <c r="G324" s="107">
        <f t="shared" si="59"/>
        <v>122784.8</v>
      </c>
      <c r="H324" s="107">
        <f t="shared" si="59"/>
        <v>122651.09</v>
      </c>
      <c r="I324" s="107">
        <f t="shared" si="59"/>
        <v>123325.64</v>
      </c>
      <c r="J324" s="107">
        <f t="shared" si="59"/>
        <v>130236.42</v>
      </c>
      <c r="K324" s="107">
        <f t="shared" si="59"/>
        <v>114640.03</v>
      </c>
      <c r="L324" s="107">
        <f t="shared" si="59"/>
        <v>114651.64</v>
      </c>
      <c r="M324" s="107">
        <f t="shared" si="59"/>
        <v>136485.35</v>
      </c>
      <c r="N324" s="107">
        <v>1354502.53</v>
      </c>
    </row>
    <row r="325" spans="1:14">
      <c r="A325" s="64"/>
      <c r="B325" s="22"/>
      <c r="C325" s="22"/>
      <c r="D325" s="22"/>
      <c r="E325" s="22"/>
      <c r="F325" s="22"/>
      <c r="G325" s="22"/>
      <c r="H325" s="22"/>
      <c r="I325" s="22"/>
      <c r="J325" s="22"/>
      <c r="K325" s="22"/>
      <c r="L325" s="22"/>
      <c r="M325" s="22"/>
      <c r="N325" s="22"/>
    </row>
    <row r="326" spans="1:14">
      <c r="A326" s="64" t="s">
        <v>256</v>
      </c>
      <c r="B326" s="22"/>
      <c r="C326" s="22"/>
      <c r="D326" s="22"/>
      <c r="E326" s="22"/>
      <c r="F326" s="22"/>
      <c r="G326" s="22"/>
      <c r="H326" s="22"/>
      <c r="I326" s="22"/>
      <c r="J326" s="22"/>
      <c r="K326" s="22"/>
      <c r="L326" s="22"/>
      <c r="M326" s="22"/>
      <c r="N326" s="22"/>
    </row>
    <row r="327" spans="1:14">
      <c r="A327" s="64" t="s">
        <v>257</v>
      </c>
      <c r="B327" s="111">
        <v>882.79</v>
      </c>
      <c r="C327" s="111">
        <v>1407.26</v>
      </c>
      <c r="D327" s="113"/>
      <c r="E327" s="113"/>
      <c r="F327" s="111">
        <v>-15688.24</v>
      </c>
      <c r="G327" s="113"/>
      <c r="H327" s="113"/>
      <c r="I327" s="113"/>
      <c r="J327" s="113"/>
      <c r="K327" s="113"/>
      <c r="L327" s="113"/>
      <c r="M327" s="113"/>
      <c r="N327" s="111">
        <v>-13398.19</v>
      </c>
    </row>
    <row r="328" spans="1:14">
      <c r="A328" s="64" t="s">
        <v>258</v>
      </c>
      <c r="B328" s="107">
        <f>SUM(B325:B327)</f>
        <v>882.79</v>
      </c>
      <c r="C328" s="107">
        <f>SUM(C325:C327)</f>
        <v>1407.26</v>
      </c>
      <c r="D328" s="107"/>
      <c r="E328" s="107"/>
      <c r="F328" s="107">
        <f>SUM(F325:F327)</f>
        <v>-15688.24</v>
      </c>
      <c r="G328" s="107"/>
      <c r="H328" s="107"/>
      <c r="I328" s="107"/>
      <c r="J328" s="107"/>
      <c r="K328" s="107"/>
      <c r="L328" s="107"/>
      <c r="M328" s="107"/>
      <c r="N328" s="107">
        <v>-13398.19</v>
      </c>
    </row>
    <row r="329" spans="1:14">
      <c r="A329" s="64"/>
      <c r="B329" s="22"/>
      <c r="C329" s="22"/>
      <c r="D329" s="22"/>
      <c r="E329" s="22"/>
      <c r="F329" s="22"/>
      <c r="G329" s="22"/>
      <c r="H329" s="22"/>
      <c r="I329" s="22"/>
      <c r="J329" s="22"/>
      <c r="K329" s="22"/>
      <c r="L329" s="22"/>
      <c r="M329" s="22"/>
      <c r="N329" s="22"/>
    </row>
    <row r="330" spans="1:14" ht="15.75" thickBot="1">
      <c r="A330" s="64" t="s">
        <v>62</v>
      </c>
      <c r="B330" s="112">
        <f t="shared" ref="B330:M330" si="60">SUM(B187:B329)-B206-B214-B225-B241-B266-B281-B289-B296-B301-B309-B317-B324-B328</f>
        <v>814992.16</v>
      </c>
      <c r="C330" s="112">
        <f t="shared" si="60"/>
        <v>769042.33</v>
      </c>
      <c r="D330" s="112">
        <f t="shared" si="60"/>
        <v>776030.69000000064</v>
      </c>
      <c r="E330" s="112">
        <f t="shared" si="60"/>
        <v>711741.8899999999</v>
      </c>
      <c r="F330" s="112">
        <f t="shared" si="60"/>
        <v>-755773.90999999992</v>
      </c>
      <c r="G330" s="112">
        <f t="shared" si="60"/>
        <v>772470.0499999997</v>
      </c>
      <c r="H330" s="112">
        <f t="shared" si="60"/>
        <v>760864.47000000009</v>
      </c>
      <c r="I330" s="112">
        <f t="shared" si="60"/>
        <v>781236.07999999926</v>
      </c>
      <c r="J330" s="112">
        <f t="shared" si="60"/>
        <v>847092.18999999983</v>
      </c>
      <c r="K330" s="112">
        <f t="shared" si="60"/>
        <v>760784.21999999962</v>
      </c>
      <c r="L330" s="112">
        <f t="shared" si="60"/>
        <v>831261.2299999994</v>
      </c>
      <c r="M330" s="112">
        <f t="shared" si="60"/>
        <v>889918.36</v>
      </c>
      <c r="N330" s="112">
        <v>7959659.7599999998</v>
      </c>
    </row>
    <row r="331" spans="1:14" ht="15.75" thickTop="1">
      <c r="A331" s="64"/>
      <c r="B331" s="22"/>
      <c r="C331" s="22"/>
      <c r="D331" s="22"/>
      <c r="E331" s="22"/>
      <c r="F331" s="22"/>
      <c r="G331" s="22"/>
      <c r="H331" s="22"/>
      <c r="I331" s="22"/>
      <c r="J331" s="22"/>
      <c r="K331" s="22"/>
      <c r="L331" s="22"/>
      <c r="M331" s="22"/>
      <c r="N331" s="22"/>
    </row>
    <row r="332" spans="1:14" ht="15.75" thickBot="1">
      <c r="A332" s="64" t="s">
        <v>259</v>
      </c>
      <c r="B332" s="112">
        <f t="shared" ref="B332:M332" si="61">+B184-B330</f>
        <v>-134445.34999999998</v>
      </c>
      <c r="C332" s="112">
        <f t="shared" si="61"/>
        <v>37664.289999998291</v>
      </c>
      <c r="D332" s="112">
        <f t="shared" si="61"/>
        <v>97845.959999998799</v>
      </c>
      <c r="E332" s="112">
        <f t="shared" si="61"/>
        <v>32133.259999999893</v>
      </c>
      <c r="F332" s="112">
        <f t="shared" si="61"/>
        <v>405051.94000000041</v>
      </c>
      <c r="G332" s="112">
        <f t="shared" si="61"/>
        <v>-89053.989999999409</v>
      </c>
      <c r="H332" s="112">
        <f t="shared" si="61"/>
        <v>-140676.64999999991</v>
      </c>
      <c r="I332" s="112">
        <f t="shared" si="61"/>
        <v>-19256.549999998882</v>
      </c>
      <c r="J332" s="112">
        <f t="shared" si="61"/>
        <v>-87785.549999997951</v>
      </c>
      <c r="K332" s="112">
        <f t="shared" si="61"/>
        <v>-3700.2099999991478</v>
      </c>
      <c r="L332" s="112">
        <f t="shared" si="61"/>
        <v>-35011.790000000154</v>
      </c>
      <c r="M332" s="112">
        <f t="shared" si="61"/>
        <v>-22293.880000000237</v>
      </c>
      <c r="N332" s="112">
        <v>40471.480000000003</v>
      </c>
    </row>
    <row r="333" spans="1:14" ht="15.75" thickTop="1">
      <c r="A333" s="64"/>
      <c r="B333" s="22"/>
      <c r="C333" s="22"/>
      <c r="D333" s="22"/>
      <c r="E333" s="22"/>
      <c r="F333" s="22"/>
      <c r="G333" s="22"/>
      <c r="H333" s="22"/>
      <c r="I333" s="22"/>
      <c r="J333" s="22"/>
      <c r="K333" s="22"/>
      <c r="L333" s="22"/>
      <c r="M333" s="22"/>
      <c r="N333" s="22"/>
    </row>
    <row r="334" spans="1:14">
      <c r="A334" s="64" t="s">
        <v>351</v>
      </c>
      <c r="B334" s="111">
        <v>37225.089999999997</v>
      </c>
      <c r="C334" s="111">
        <v>23139.14</v>
      </c>
      <c r="D334" s="111">
        <v>10601.5</v>
      </c>
      <c r="E334" s="111">
        <v>15933.54</v>
      </c>
      <c r="F334" s="111">
        <v>243752.19</v>
      </c>
      <c r="G334" s="111">
        <v>9196.8799999999992</v>
      </c>
      <c r="H334" s="111">
        <v>4069.6</v>
      </c>
      <c r="I334" s="111">
        <v>4223.43</v>
      </c>
      <c r="J334" s="111">
        <v>5017.45</v>
      </c>
      <c r="K334" s="111">
        <v>5739.19</v>
      </c>
      <c r="L334" s="111">
        <v>1476.24</v>
      </c>
      <c r="M334" s="113"/>
      <c r="N334" s="111">
        <v>360374.25</v>
      </c>
    </row>
    <row r="335" spans="1:14">
      <c r="A335" s="64" t="s">
        <v>64</v>
      </c>
      <c r="B335" s="107">
        <f t="shared" ref="B335:L335" si="62">SUM(B333:B334)</f>
        <v>37225.089999999997</v>
      </c>
      <c r="C335" s="107">
        <f t="shared" si="62"/>
        <v>23139.14</v>
      </c>
      <c r="D335" s="107">
        <f t="shared" si="62"/>
        <v>10601.5</v>
      </c>
      <c r="E335" s="107">
        <f t="shared" si="62"/>
        <v>15933.54</v>
      </c>
      <c r="F335" s="107">
        <f t="shared" si="62"/>
        <v>243752.19</v>
      </c>
      <c r="G335" s="107">
        <f t="shared" si="62"/>
        <v>9196.8799999999992</v>
      </c>
      <c r="H335" s="107">
        <f t="shared" si="62"/>
        <v>4069.6</v>
      </c>
      <c r="I335" s="107">
        <f t="shared" si="62"/>
        <v>4223.43</v>
      </c>
      <c r="J335" s="107">
        <f t="shared" si="62"/>
        <v>5017.45</v>
      </c>
      <c r="K335" s="107">
        <f t="shared" si="62"/>
        <v>5739.19</v>
      </c>
      <c r="L335" s="107">
        <f t="shared" si="62"/>
        <v>1476.24</v>
      </c>
      <c r="M335" s="107"/>
      <c r="N335" s="107">
        <v>360374.25</v>
      </c>
    </row>
    <row r="336" spans="1:14">
      <c r="A336" s="64"/>
      <c r="B336" s="22"/>
      <c r="C336" s="22"/>
      <c r="D336" s="22"/>
      <c r="E336" s="22"/>
      <c r="F336" s="22"/>
      <c r="G336" s="22"/>
      <c r="H336" s="22"/>
      <c r="I336" s="22"/>
      <c r="J336" s="22"/>
      <c r="K336" s="22"/>
      <c r="L336" s="22"/>
      <c r="M336" s="22"/>
      <c r="N336" s="22"/>
    </row>
    <row r="337" spans="1:14" ht="15.75" thickBot="1">
      <c r="A337" s="64" t="s">
        <v>22</v>
      </c>
      <c r="B337" s="112">
        <f t="shared" ref="B337:M337" si="63">+B332-B335</f>
        <v>-171670.43999999997</v>
      </c>
      <c r="C337" s="112">
        <f t="shared" si="63"/>
        <v>14525.149999998292</v>
      </c>
      <c r="D337" s="112">
        <f t="shared" si="63"/>
        <v>87244.459999998799</v>
      </c>
      <c r="E337" s="112">
        <f t="shared" si="63"/>
        <v>16199.719999999892</v>
      </c>
      <c r="F337" s="112">
        <f t="shared" si="63"/>
        <v>161299.75000000041</v>
      </c>
      <c r="G337" s="112">
        <f t="shared" si="63"/>
        <v>-98250.869999999413</v>
      </c>
      <c r="H337" s="112">
        <f t="shared" si="63"/>
        <v>-144746.24999999991</v>
      </c>
      <c r="I337" s="112">
        <f t="shared" si="63"/>
        <v>-23479.979999998883</v>
      </c>
      <c r="J337" s="112">
        <f t="shared" si="63"/>
        <v>-92802.999999997948</v>
      </c>
      <c r="K337" s="112">
        <f t="shared" si="63"/>
        <v>-9439.3999999991465</v>
      </c>
      <c r="L337" s="112">
        <f t="shared" si="63"/>
        <v>-36488.030000000152</v>
      </c>
      <c r="M337" s="112">
        <f t="shared" si="63"/>
        <v>-22293.880000000237</v>
      </c>
      <c r="N337" s="112">
        <v>-319902.77</v>
      </c>
    </row>
    <row r="338" spans="1:14" ht="15.75" thickTop="1">
      <c r="A338" s="64"/>
      <c r="B338" s="22"/>
      <c r="C338" s="22"/>
      <c r="D338" s="22"/>
      <c r="E338" s="22"/>
      <c r="F338" s="22"/>
      <c r="G338" s="22"/>
      <c r="H338" s="22"/>
      <c r="I338" s="22"/>
      <c r="J338" s="22"/>
      <c r="K338" s="22"/>
      <c r="L338" s="22"/>
      <c r="M338" s="22"/>
      <c r="N338" s="22"/>
    </row>
    <row r="339" spans="1:14">
      <c r="A339" s="64"/>
      <c r="B339" s="22"/>
      <c r="C339" s="22"/>
      <c r="D339" s="22"/>
      <c r="E339" s="22"/>
      <c r="F339" s="22"/>
      <c r="G339" s="22"/>
      <c r="H339" s="22"/>
      <c r="I339" s="22"/>
      <c r="J339" s="22"/>
      <c r="K339" s="22"/>
      <c r="L339" s="22"/>
      <c r="M339" s="22"/>
      <c r="N339" s="22"/>
    </row>
    <row r="340" spans="1:14">
      <c r="A340" s="64" t="s">
        <v>260</v>
      </c>
      <c r="B340" s="22"/>
      <c r="C340" s="22"/>
      <c r="D340" s="22"/>
      <c r="E340" s="22"/>
      <c r="F340" s="22"/>
      <c r="G340" s="22"/>
      <c r="H340" s="22"/>
      <c r="I340" s="22"/>
      <c r="J340" s="22"/>
      <c r="K340" s="22"/>
      <c r="L340" s="22"/>
      <c r="M340" s="22"/>
      <c r="N340" s="22"/>
    </row>
    <row r="341" spans="1:14">
      <c r="A341" s="64"/>
      <c r="B341" s="22"/>
      <c r="C341" s="22"/>
      <c r="D341" s="22"/>
      <c r="E341" s="22"/>
      <c r="F341" s="22"/>
      <c r="G341" s="22"/>
      <c r="H341" s="22"/>
      <c r="I341" s="22"/>
      <c r="J341" s="22"/>
      <c r="K341" s="22"/>
      <c r="L341" s="22"/>
      <c r="M341" s="22"/>
      <c r="N341" s="22"/>
    </row>
    <row r="342" spans="1:14">
      <c r="A342" s="64" t="s">
        <v>19</v>
      </c>
      <c r="B342" s="22"/>
      <c r="C342" s="22"/>
      <c r="D342" s="22"/>
      <c r="E342" s="22"/>
      <c r="F342" s="22"/>
      <c r="G342" s="22"/>
      <c r="H342" s="22"/>
      <c r="I342" s="22"/>
      <c r="J342" s="22"/>
      <c r="K342" s="22"/>
      <c r="L342" s="22"/>
      <c r="M342" s="22"/>
      <c r="N342" s="22"/>
    </row>
    <row r="343" spans="1:14">
      <c r="A343" s="64" t="s">
        <v>261</v>
      </c>
      <c r="B343" s="107">
        <v>2</v>
      </c>
      <c r="C343" s="107">
        <v>-37</v>
      </c>
      <c r="D343" s="107">
        <v>-6</v>
      </c>
      <c r="E343" s="107">
        <v>-70</v>
      </c>
      <c r="F343" s="107">
        <v>-61</v>
      </c>
      <c r="G343" s="107">
        <v>-48</v>
      </c>
      <c r="H343" s="107">
        <v>-7</v>
      </c>
      <c r="I343" s="107">
        <v>110</v>
      </c>
      <c r="J343" s="107">
        <v>25</v>
      </c>
      <c r="K343" s="22"/>
      <c r="L343" s="107">
        <v>-30</v>
      </c>
      <c r="M343" s="22"/>
      <c r="N343" s="107">
        <v>-122</v>
      </c>
    </row>
    <row r="344" spans="1:14">
      <c r="A344" s="64" t="s">
        <v>66</v>
      </c>
      <c r="B344" s="111">
        <v>1243</v>
      </c>
      <c r="C344" s="111">
        <v>1202</v>
      </c>
      <c r="D344" s="111">
        <v>1303</v>
      </c>
      <c r="E344" s="111">
        <v>1196</v>
      </c>
      <c r="F344" s="111">
        <v>1220</v>
      </c>
      <c r="G344" s="111">
        <v>1137</v>
      </c>
      <c r="H344" s="111">
        <v>1178</v>
      </c>
      <c r="I344" s="111">
        <v>1303</v>
      </c>
      <c r="J344" s="111">
        <v>1150</v>
      </c>
      <c r="K344" s="111">
        <v>1256</v>
      </c>
      <c r="L344" s="111">
        <v>1269</v>
      </c>
      <c r="M344" s="111">
        <v>1446</v>
      </c>
      <c r="N344" s="111">
        <v>14903</v>
      </c>
    </row>
    <row r="345" spans="1:14">
      <c r="A345" s="64" t="s">
        <v>85</v>
      </c>
      <c r="B345" s="107">
        <f t="shared" ref="B345:M345" si="64">SUM(B342:B344)</f>
        <v>1245</v>
      </c>
      <c r="C345" s="107">
        <f t="shared" si="64"/>
        <v>1165</v>
      </c>
      <c r="D345" s="107">
        <f t="shared" si="64"/>
        <v>1297</v>
      </c>
      <c r="E345" s="107">
        <f t="shared" si="64"/>
        <v>1126</v>
      </c>
      <c r="F345" s="107">
        <f t="shared" si="64"/>
        <v>1159</v>
      </c>
      <c r="G345" s="107">
        <f t="shared" si="64"/>
        <v>1089</v>
      </c>
      <c r="H345" s="107">
        <f t="shared" si="64"/>
        <v>1171</v>
      </c>
      <c r="I345" s="107">
        <f t="shared" si="64"/>
        <v>1413</v>
      </c>
      <c r="J345" s="107">
        <f t="shared" si="64"/>
        <v>1175</v>
      </c>
      <c r="K345" s="107">
        <f t="shared" si="64"/>
        <v>1256</v>
      </c>
      <c r="L345" s="107">
        <f t="shared" si="64"/>
        <v>1239</v>
      </c>
      <c r="M345" s="107">
        <f t="shared" si="64"/>
        <v>1446</v>
      </c>
      <c r="N345" s="107">
        <v>14781</v>
      </c>
    </row>
    <row r="346" spans="1:14">
      <c r="A346" s="64"/>
      <c r="B346" s="22"/>
      <c r="C346" s="22"/>
      <c r="D346" s="22"/>
      <c r="E346" s="22"/>
      <c r="F346" s="22"/>
      <c r="G346" s="22"/>
      <c r="H346" s="22"/>
      <c r="I346" s="22"/>
      <c r="J346" s="22"/>
      <c r="K346" s="22"/>
      <c r="L346" s="22"/>
      <c r="M346" s="22"/>
      <c r="N346" s="22"/>
    </row>
    <row r="347" spans="1:14">
      <c r="A347" s="64" t="s">
        <v>20</v>
      </c>
      <c r="B347" s="22"/>
      <c r="C347" s="22"/>
      <c r="D347" s="22"/>
      <c r="E347" s="22"/>
      <c r="F347" s="22"/>
      <c r="G347" s="22"/>
      <c r="H347" s="22"/>
      <c r="I347" s="22"/>
      <c r="J347" s="22"/>
      <c r="K347" s="22"/>
      <c r="L347" s="22"/>
      <c r="M347" s="22"/>
      <c r="N347" s="22"/>
    </row>
    <row r="348" spans="1:14">
      <c r="A348" s="64" t="s">
        <v>261</v>
      </c>
      <c r="B348" s="22"/>
      <c r="C348" s="22"/>
      <c r="D348" s="22"/>
      <c r="E348" s="107">
        <v>42</v>
      </c>
      <c r="F348" s="22"/>
      <c r="G348" s="107">
        <v>50</v>
      </c>
      <c r="H348" s="22"/>
      <c r="I348" s="22"/>
      <c r="J348" s="22"/>
      <c r="K348" s="22"/>
      <c r="L348" s="22"/>
      <c r="M348" s="22"/>
      <c r="N348" s="107">
        <v>92</v>
      </c>
    </row>
    <row r="349" spans="1:14">
      <c r="A349" s="64" t="s">
        <v>66</v>
      </c>
      <c r="B349" s="111">
        <v>93</v>
      </c>
      <c r="C349" s="111">
        <v>83</v>
      </c>
      <c r="D349" s="111">
        <v>62</v>
      </c>
      <c r="E349" s="111">
        <v>65</v>
      </c>
      <c r="F349" s="111">
        <v>62</v>
      </c>
      <c r="G349" s="111">
        <v>61</v>
      </c>
      <c r="H349" s="111">
        <v>63</v>
      </c>
      <c r="I349" s="111">
        <v>65</v>
      </c>
      <c r="J349" s="111">
        <v>67</v>
      </c>
      <c r="K349" s="111">
        <v>62</v>
      </c>
      <c r="L349" s="111">
        <v>60</v>
      </c>
      <c r="M349" s="111">
        <v>49</v>
      </c>
      <c r="N349" s="111">
        <v>792</v>
      </c>
    </row>
    <row r="350" spans="1:14">
      <c r="A350" s="64" t="s">
        <v>262</v>
      </c>
      <c r="B350" s="107">
        <f t="shared" ref="B350:M350" si="65">SUM(B346:B349)</f>
        <v>93</v>
      </c>
      <c r="C350" s="107">
        <f t="shared" si="65"/>
        <v>83</v>
      </c>
      <c r="D350" s="107">
        <f t="shared" si="65"/>
        <v>62</v>
      </c>
      <c r="E350" s="107">
        <f t="shared" si="65"/>
        <v>107</v>
      </c>
      <c r="F350" s="107">
        <f t="shared" si="65"/>
        <v>62</v>
      </c>
      <c r="G350" s="107">
        <f t="shared" si="65"/>
        <v>111</v>
      </c>
      <c r="H350" s="107">
        <f t="shared" si="65"/>
        <v>63</v>
      </c>
      <c r="I350" s="107">
        <f t="shared" si="65"/>
        <v>65</v>
      </c>
      <c r="J350" s="107">
        <f t="shared" si="65"/>
        <v>67</v>
      </c>
      <c r="K350" s="107">
        <f t="shared" si="65"/>
        <v>62</v>
      </c>
      <c r="L350" s="107">
        <f t="shared" si="65"/>
        <v>60</v>
      </c>
      <c r="M350" s="107">
        <f t="shared" si="65"/>
        <v>49</v>
      </c>
      <c r="N350" s="107">
        <v>884</v>
      </c>
    </row>
    <row r="351" spans="1:14">
      <c r="A351" s="64"/>
      <c r="B351" s="22"/>
      <c r="C351" s="22"/>
      <c r="D351" s="22"/>
      <c r="E351" s="22"/>
      <c r="F351" s="22"/>
      <c r="G351" s="22"/>
      <c r="H351" s="22"/>
      <c r="I351" s="22"/>
      <c r="J351" s="22"/>
      <c r="K351" s="22"/>
      <c r="L351" s="22"/>
      <c r="M351" s="22"/>
      <c r="N351" s="22"/>
    </row>
    <row r="352" spans="1:14">
      <c r="A352" s="64" t="s">
        <v>263</v>
      </c>
      <c r="B352" s="22"/>
      <c r="C352" s="22"/>
      <c r="D352" s="22"/>
      <c r="E352" s="22"/>
      <c r="F352" s="22"/>
      <c r="G352" s="22"/>
      <c r="H352" s="22"/>
      <c r="I352" s="22"/>
      <c r="J352" s="22"/>
      <c r="K352" s="22"/>
      <c r="L352" s="22"/>
      <c r="M352" s="22"/>
      <c r="N352" s="22"/>
    </row>
    <row r="353" spans="1:14">
      <c r="A353" s="64" t="s">
        <v>261</v>
      </c>
      <c r="B353" s="22"/>
      <c r="C353" s="22"/>
      <c r="D353" s="22"/>
      <c r="E353" s="22"/>
      <c r="F353" s="22"/>
      <c r="G353" s="107">
        <v>17</v>
      </c>
      <c r="H353" s="107">
        <v>-30</v>
      </c>
      <c r="I353" s="107">
        <v>34</v>
      </c>
      <c r="J353" s="107">
        <v>15</v>
      </c>
      <c r="K353" s="107">
        <v>-68</v>
      </c>
      <c r="L353" s="107">
        <v>18</v>
      </c>
      <c r="M353" s="22"/>
      <c r="N353" s="107">
        <v>-14</v>
      </c>
    </row>
    <row r="354" spans="1:14">
      <c r="A354" s="64" t="s">
        <v>66</v>
      </c>
      <c r="B354" s="111">
        <v>232</v>
      </c>
      <c r="C354" s="111">
        <v>248</v>
      </c>
      <c r="D354" s="111">
        <v>282</v>
      </c>
      <c r="E354" s="111">
        <v>152</v>
      </c>
      <c r="F354" s="111">
        <v>281</v>
      </c>
      <c r="G354" s="111">
        <v>145</v>
      </c>
      <c r="H354" s="111">
        <v>133</v>
      </c>
      <c r="I354" s="111">
        <v>163</v>
      </c>
      <c r="J354" s="111">
        <v>200</v>
      </c>
      <c r="K354" s="111">
        <v>178</v>
      </c>
      <c r="L354" s="111">
        <v>262</v>
      </c>
      <c r="M354" s="111">
        <v>255</v>
      </c>
      <c r="N354" s="111">
        <v>2531</v>
      </c>
    </row>
    <row r="355" spans="1:14">
      <c r="A355" s="64" t="s">
        <v>264</v>
      </c>
      <c r="B355" s="107">
        <f t="shared" ref="B355:M355" si="66">SUM(B351:B354)</f>
        <v>232</v>
      </c>
      <c r="C355" s="107">
        <f t="shared" si="66"/>
        <v>248</v>
      </c>
      <c r="D355" s="107">
        <f t="shared" si="66"/>
        <v>282</v>
      </c>
      <c r="E355" s="107">
        <f t="shared" si="66"/>
        <v>152</v>
      </c>
      <c r="F355" s="107">
        <f t="shared" si="66"/>
        <v>281</v>
      </c>
      <c r="G355" s="107">
        <f t="shared" si="66"/>
        <v>162</v>
      </c>
      <c r="H355" s="107">
        <f t="shared" si="66"/>
        <v>103</v>
      </c>
      <c r="I355" s="107">
        <f t="shared" si="66"/>
        <v>197</v>
      </c>
      <c r="J355" s="107">
        <f t="shared" si="66"/>
        <v>215</v>
      </c>
      <c r="K355" s="107">
        <f t="shared" si="66"/>
        <v>110</v>
      </c>
      <c r="L355" s="107">
        <f t="shared" si="66"/>
        <v>280</v>
      </c>
      <c r="M355" s="107">
        <f t="shared" si="66"/>
        <v>255</v>
      </c>
      <c r="N355" s="107">
        <v>2517</v>
      </c>
    </row>
    <row r="356" spans="1:14">
      <c r="A356" s="64"/>
      <c r="B356" s="22"/>
      <c r="C356" s="22"/>
      <c r="D356" s="22"/>
      <c r="E356" s="22"/>
      <c r="F356" s="22"/>
      <c r="G356" s="22"/>
      <c r="H356" s="22"/>
      <c r="I356" s="22"/>
      <c r="J356" s="22"/>
      <c r="K356" s="22"/>
      <c r="L356" s="22"/>
      <c r="M356" s="22"/>
      <c r="N356" s="22"/>
    </row>
    <row r="357" spans="1:14">
      <c r="A357" s="64" t="s">
        <v>265</v>
      </c>
      <c r="B357" s="113"/>
      <c r="C357" s="113"/>
      <c r="D357" s="113"/>
      <c r="E357" s="113"/>
      <c r="F357" s="113"/>
      <c r="G357" s="113"/>
      <c r="H357" s="113"/>
      <c r="I357" s="113"/>
      <c r="J357" s="113"/>
      <c r="K357" s="113"/>
      <c r="L357" s="113"/>
      <c r="M357" s="113"/>
      <c r="N357" s="113"/>
    </row>
    <row r="358" spans="1:14">
      <c r="A358" s="64" t="s">
        <v>319</v>
      </c>
      <c r="B358" s="107"/>
      <c r="C358" s="107"/>
      <c r="D358" s="107"/>
      <c r="E358" s="107"/>
      <c r="F358" s="107"/>
      <c r="G358" s="107"/>
      <c r="H358" s="107"/>
      <c r="I358" s="107"/>
      <c r="J358" s="107"/>
      <c r="K358" s="107"/>
      <c r="L358" s="107"/>
      <c r="M358" s="107"/>
      <c r="N358" s="107"/>
    </row>
    <row r="359" spans="1:14">
      <c r="A359" s="64"/>
      <c r="B359" s="22"/>
      <c r="C359" s="22"/>
      <c r="D359" s="22"/>
      <c r="E359" s="22"/>
      <c r="F359" s="22"/>
      <c r="G359" s="22"/>
      <c r="H359" s="22"/>
      <c r="I359" s="22"/>
      <c r="J359" s="22"/>
      <c r="K359" s="22"/>
      <c r="L359" s="22"/>
      <c r="M359" s="22"/>
      <c r="N359" s="22"/>
    </row>
    <row r="360" spans="1:14">
      <c r="A360" s="64" t="s">
        <v>106</v>
      </c>
      <c r="B360" s="22"/>
      <c r="C360" s="22"/>
      <c r="D360" s="22"/>
      <c r="E360" s="22"/>
      <c r="F360" s="22"/>
      <c r="G360" s="22"/>
      <c r="H360" s="22"/>
      <c r="I360" s="22"/>
      <c r="J360" s="22"/>
      <c r="K360" s="22"/>
      <c r="L360" s="22"/>
      <c r="M360" s="22"/>
      <c r="N360" s="22"/>
    </row>
    <row r="361" spans="1:14">
      <c r="A361" s="64" t="s">
        <v>261</v>
      </c>
      <c r="B361" s="107">
        <v>-4</v>
      </c>
      <c r="C361" s="22"/>
      <c r="D361" s="22"/>
      <c r="E361" s="22"/>
      <c r="F361" s="107">
        <v>-2</v>
      </c>
      <c r="G361" s="107">
        <v>-19</v>
      </c>
      <c r="H361" s="107">
        <v>30</v>
      </c>
      <c r="I361" s="107">
        <v>-34</v>
      </c>
      <c r="J361" s="107">
        <v>-45</v>
      </c>
      <c r="K361" s="107">
        <v>68</v>
      </c>
      <c r="L361" s="107">
        <v>26</v>
      </c>
      <c r="M361" s="22"/>
      <c r="N361" s="107">
        <v>20</v>
      </c>
    </row>
    <row r="362" spans="1:14">
      <c r="A362" s="64" t="s">
        <v>66</v>
      </c>
      <c r="B362" s="111">
        <v>529</v>
      </c>
      <c r="C362" s="111">
        <v>767</v>
      </c>
      <c r="D362" s="111">
        <v>838</v>
      </c>
      <c r="E362" s="111">
        <v>751</v>
      </c>
      <c r="F362" s="111">
        <v>806</v>
      </c>
      <c r="G362" s="111">
        <v>725</v>
      </c>
      <c r="H362" s="111">
        <v>651</v>
      </c>
      <c r="I362" s="111">
        <v>763</v>
      </c>
      <c r="J362" s="111">
        <v>820</v>
      </c>
      <c r="K362" s="111">
        <v>796</v>
      </c>
      <c r="L362" s="111">
        <v>778</v>
      </c>
      <c r="M362" s="111">
        <v>796</v>
      </c>
      <c r="N362" s="111">
        <v>9020</v>
      </c>
    </row>
    <row r="363" spans="1:14">
      <c r="A363" s="64" t="s">
        <v>116</v>
      </c>
      <c r="B363" s="107">
        <f t="shared" ref="B363:M363" si="67">SUM(B359:B362)</f>
        <v>525</v>
      </c>
      <c r="C363" s="107">
        <f t="shared" si="67"/>
        <v>767</v>
      </c>
      <c r="D363" s="107">
        <f t="shared" si="67"/>
        <v>838</v>
      </c>
      <c r="E363" s="107">
        <f t="shared" si="67"/>
        <v>751</v>
      </c>
      <c r="F363" s="107">
        <f t="shared" si="67"/>
        <v>804</v>
      </c>
      <c r="G363" s="107">
        <f t="shared" si="67"/>
        <v>706</v>
      </c>
      <c r="H363" s="107">
        <f t="shared" si="67"/>
        <v>681</v>
      </c>
      <c r="I363" s="107">
        <f t="shared" si="67"/>
        <v>729</v>
      </c>
      <c r="J363" s="107">
        <f t="shared" si="67"/>
        <v>775</v>
      </c>
      <c r="K363" s="107">
        <f t="shared" si="67"/>
        <v>864</v>
      </c>
      <c r="L363" s="107">
        <f t="shared" si="67"/>
        <v>804</v>
      </c>
      <c r="M363" s="107">
        <f t="shared" si="67"/>
        <v>796</v>
      </c>
      <c r="N363" s="107">
        <v>9040</v>
      </c>
    </row>
    <row r="364" spans="1:14">
      <c r="A364" s="64"/>
      <c r="B364" s="22"/>
      <c r="C364" s="22"/>
      <c r="D364" s="22"/>
      <c r="E364" s="22"/>
      <c r="F364" s="22"/>
      <c r="G364" s="22"/>
      <c r="H364" s="22"/>
      <c r="I364" s="22"/>
      <c r="J364" s="22"/>
      <c r="K364" s="22"/>
      <c r="L364" s="22"/>
      <c r="M364" s="22"/>
      <c r="N364" s="22"/>
    </row>
    <row r="365" spans="1:14">
      <c r="A365" s="64" t="s">
        <v>117</v>
      </c>
      <c r="B365" s="22"/>
      <c r="C365" s="22"/>
      <c r="D365" s="22"/>
      <c r="E365" s="22"/>
      <c r="F365" s="22"/>
      <c r="G365" s="22"/>
      <c r="H365" s="22"/>
      <c r="I365" s="22"/>
      <c r="J365" s="22"/>
      <c r="K365" s="22"/>
      <c r="L365" s="22"/>
      <c r="M365" s="22"/>
      <c r="N365" s="22"/>
    </row>
    <row r="366" spans="1:14">
      <c r="A366" s="64" t="s">
        <v>261</v>
      </c>
      <c r="B366" s="107">
        <v>1</v>
      </c>
      <c r="C366" s="107">
        <v>37</v>
      </c>
      <c r="D366" s="107">
        <v>6</v>
      </c>
      <c r="E366" s="107">
        <v>28</v>
      </c>
      <c r="F366" s="107">
        <v>63</v>
      </c>
      <c r="G366" s="22"/>
      <c r="H366" s="107">
        <v>6</v>
      </c>
      <c r="I366" s="107">
        <v>-111</v>
      </c>
      <c r="J366" s="107">
        <v>7</v>
      </c>
      <c r="K366" s="22"/>
      <c r="L366" s="107">
        <v>-14</v>
      </c>
      <c r="M366" s="22"/>
      <c r="N366" s="107">
        <v>23</v>
      </c>
    </row>
    <row r="367" spans="1:14">
      <c r="A367" s="64" t="s">
        <v>66</v>
      </c>
      <c r="B367" s="111">
        <v>85</v>
      </c>
      <c r="C367" s="111">
        <v>87</v>
      </c>
      <c r="D367" s="111">
        <v>112</v>
      </c>
      <c r="E367" s="111">
        <v>131</v>
      </c>
      <c r="F367" s="111">
        <v>144</v>
      </c>
      <c r="G367" s="111">
        <v>126</v>
      </c>
      <c r="H367" s="111">
        <v>121</v>
      </c>
      <c r="I367" s="111">
        <v>111</v>
      </c>
      <c r="J367" s="111">
        <v>111</v>
      </c>
      <c r="K367" s="111">
        <v>58</v>
      </c>
      <c r="L367" s="111">
        <v>81</v>
      </c>
      <c r="M367" s="111">
        <v>118</v>
      </c>
      <c r="N367" s="111">
        <v>1285</v>
      </c>
    </row>
    <row r="368" spans="1:14">
      <c r="A368" s="64" t="s">
        <v>127</v>
      </c>
      <c r="B368" s="107">
        <f t="shared" ref="B368:H368" si="68">SUM(B364:B367)</f>
        <v>86</v>
      </c>
      <c r="C368" s="107">
        <f t="shared" si="68"/>
        <v>124</v>
      </c>
      <c r="D368" s="107">
        <f t="shared" si="68"/>
        <v>118</v>
      </c>
      <c r="E368" s="107">
        <f t="shared" si="68"/>
        <v>159</v>
      </c>
      <c r="F368" s="107">
        <f t="shared" si="68"/>
        <v>207</v>
      </c>
      <c r="G368" s="107">
        <f t="shared" si="68"/>
        <v>126</v>
      </c>
      <c r="H368" s="107">
        <f t="shared" si="68"/>
        <v>127</v>
      </c>
      <c r="I368" s="107"/>
      <c r="J368" s="107">
        <f>SUM(J364:J367)</f>
        <v>118</v>
      </c>
      <c r="K368" s="107">
        <f>SUM(K364:K367)</f>
        <v>58</v>
      </c>
      <c r="L368" s="107">
        <f>SUM(L364:L367)</f>
        <v>67</v>
      </c>
      <c r="M368" s="107">
        <f>SUM(M364:M367)</f>
        <v>118</v>
      </c>
      <c r="N368" s="107">
        <v>1308</v>
      </c>
    </row>
    <row r="369" spans="1:14">
      <c r="A369" s="64"/>
      <c r="B369" s="22"/>
      <c r="C369" s="22"/>
      <c r="D369" s="22"/>
      <c r="E369" s="22"/>
      <c r="F369" s="22"/>
      <c r="G369" s="22"/>
      <c r="H369" s="22"/>
      <c r="I369" s="22"/>
      <c r="J369" s="22"/>
      <c r="K369" s="22"/>
      <c r="L369" s="22"/>
      <c r="M369" s="22"/>
      <c r="N369" s="22"/>
    </row>
    <row r="370" spans="1:14" ht="15.75" thickBot="1">
      <c r="A370" s="64" t="s">
        <v>266</v>
      </c>
      <c r="B370" s="112">
        <f t="shared" ref="B370:M370" si="69">SUM(B340:B369)-B345-B350-B355-B358-B363-B368</f>
        <v>2181</v>
      </c>
      <c r="C370" s="112">
        <f t="shared" si="69"/>
        <v>2387</v>
      </c>
      <c r="D370" s="112">
        <f t="shared" si="69"/>
        <v>2597</v>
      </c>
      <c r="E370" s="112">
        <f t="shared" si="69"/>
        <v>2295</v>
      </c>
      <c r="F370" s="112">
        <f t="shared" si="69"/>
        <v>2513</v>
      </c>
      <c r="G370" s="112">
        <f t="shared" si="69"/>
        <v>2194</v>
      </c>
      <c r="H370" s="112">
        <f t="shared" si="69"/>
        <v>2145</v>
      </c>
      <c r="I370" s="112">
        <f t="shared" si="69"/>
        <v>2404</v>
      </c>
      <c r="J370" s="112">
        <f t="shared" si="69"/>
        <v>2350</v>
      </c>
      <c r="K370" s="112">
        <f t="shared" si="69"/>
        <v>2350</v>
      </c>
      <c r="L370" s="112">
        <f t="shared" si="69"/>
        <v>2450</v>
      </c>
      <c r="M370" s="112">
        <f t="shared" si="69"/>
        <v>2664</v>
      </c>
      <c r="N370" s="112">
        <v>28530</v>
      </c>
    </row>
    <row r="371" spans="1:14" ht="15.75" thickTop="1">
      <c r="A371" s="64"/>
      <c r="B371" s="22"/>
      <c r="C371" s="22"/>
      <c r="D371" s="22"/>
      <c r="E371" s="22"/>
      <c r="F371" s="22"/>
      <c r="G371" s="22"/>
      <c r="H371" s="22"/>
      <c r="I371" s="22"/>
      <c r="J371" s="22"/>
      <c r="K371" s="22"/>
      <c r="L371" s="22"/>
      <c r="M371" s="22"/>
      <c r="N371" s="22"/>
    </row>
    <row r="372" spans="1:14" hidden="1">
      <c r="A372" s="64"/>
      <c r="B372" s="107">
        <v>171670.44</v>
      </c>
      <c r="C372" s="107">
        <v>-14525.15</v>
      </c>
      <c r="D372" s="107">
        <v>-87244.46</v>
      </c>
      <c r="E372" s="107">
        <v>-16199.72</v>
      </c>
      <c r="F372" s="107">
        <v>-161299.75</v>
      </c>
      <c r="G372" s="107">
        <v>98250.87</v>
      </c>
      <c r="H372" s="107">
        <v>144746.25</v>
      </c>
      <c r="I372" s="107">
        <v>23479.98</v>
      </c>
      <c r="J372" s="107">
        <v>92803</v>
      </c>
      <c r="K372" s="107">
        <v>9439.4</v>
      </c>
      <c r="L372" s="107">
        <v>36488.03</v>
      </c>
      <c r="M372" s="107">
        <v>22293.88</v>
      </c>
      <c r="N372" s="107">
        <v>319902.77</v>
      </c>
    </row>
    <row r="373" spans="1:14">
      <c r="A373" s="64"/>
      <c r="B373" s="22"/>
      <c r="C373" s="22"/>
      <c r="D373" s="22"/>
      <c r="E373" s="22"/>
      <c r="F373" s="22"/>
      <c r="G373" s="22"/>
      <c r="H373" s="22"/>
      <c r="I373" s="22"/>
      <c r="J373" s="22"/>
      <c r="K373" s="22"/>
      <c r="L373" s="22"/>
      <c r="M373" s="22"/>
      <c r="N373" s="22"/>
    </row>
    <row r="374" spans="1:14" hidden="1">
      <c r="A374" s="64" t="s">
        <v>267</v>
      </c>
      <c r="B374" s="107">
        <f t="shared" ref="B374:M374" si="70">B344+B349+B354+B362+B367</f>
        <v>2182</v>
      </c>
      <c r="C374" s="107">
        <f t="shared" si="70"/>
        <v>2387</v>
      </c>
      <c r="D374" s="107">
        <f t="shared" si="70"/>
        <v>2597</v>
      </c>
      <c r="E374" s="107">
        <f t="shared" si="70"/>
        <v>2295</v>
      </c>
      <c r="F374" s="107">
        <f t="shared" si="70"/>
        <v>2513</v>
      </c>
      <c r="G374" s="107">
        <f t="shared" si="70"/>
        <v>2194</v>
      </c>
      <c r="H374" s="107">
        <f t="shared" si="70"/>
        <v>2146</v>
      </c>
      <c r="I374" s="107">
        <f t="shared" si="70"/>
        <v>2405</v>
      </c>
      <c r="J374" s="107">
        <f t="shared" si="70"/>
        <v>2348</v>
      </c>
      <c r="K374" s="107">
        <f t="shared" si="70"/>
        <v>2350</v>
      </c>
      <c r="L374" s="107">
        <f t="shared" si="70"/>
        <v>2450</v>
      </c>
      <c r="M374" s="107">
        <f t="shared" si="70"/>
        <v>2664</v>
      </c>
      <c r="N374" s="107">
        <v>28531</v>
      </c>
    </row>
    <row r="375" spans="1:14">
      <c r="A375" s="64"/>
      <c r="B375" s="22"/>
      <c r="C375" s="22"/>
      <c r="D375" s="22"/>
      <c r="E375" s="22"/>
      <c r="F375" s="22"/>
      <c r="G375" s="22"/>
      <c r="H375" s="22"/>
      <c r="I375" s="22"/>
      <c r="J375" s="22"/>
      <c r="K375" s="22"/>
      <c r="L375" s="22"/>
      <c r="M375" s="22"/>
      <c r="N375" s="22"/>
    </row>
  </sheetData>
  <pageMargins left="0.75" right="0.75" top="0.75" bottom="0.75" header="0.03" footer="0.03"/>
  <pageSetup scale="46" fitToHeight="0" pageOrder="overThenDown" orientation="landscape" r:id="rId1"/>
  <headerFooter>
    <oddHeader>&amp;L&amp;C&amp;"Arial,Regular"&amp;9&amp;K000000Park Manor of Humble-WINNIE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8193"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8193" r:id="rId5" name="FPMExcelClientSheetOptionstb1"/>
      </mc:Fallback>
    </mc:AlternateContent>
  </control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pageSetUpPr fitToPage="1"/>
  </sheetPr>
  <dimension ref="A1:N388"/>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B357</f>
        <v>1639</v>
      </c>
      <c r="C4" s="110">
        <f t="shared" si="0"/>
        <v>1477</v>
      </c>
      <c r="D4" s="110">
        <f t="shared" si="0"/>
        <v>1730</v>
      </c>
      <c r="E4" s="110">
        <f t="shared" si="0"/>
        <v>1632</v>
      </c>
      <c r="F4" s="110">
        <f t="shared" si="0"/>
        <v>1736</v>
      </c>
      <c r="G4" s="110">
        <f t="shared" si="0"/>
        <v>1654</v>
      </c>
      <c r="H4" s="110">
        <f t="shared" si="0"/>
        <v>1483</v>
      </c>
      <c r="I4" s="110">
        <f t="shared" si="0"/>
        <v>1606</v>
      </c>
      <c r="J4" s="110">
        <f t="shared" si="0"/>
        <v>1609</v>
      </c>
      <c r="K4" s="110">
        <f t="shared" si="0"/>
        <v>1618</v>
      </c>
      <c r="L4" s="110">
        <f t="shared" si="0"/>
        <v>1568</v>
      </c>
      <c r="M4" s="110">
        <f t="shared" si="0"/>
        <v>1631</v>
      </c>
      <c r="N4" s="110">
        <v>19383</v>
      </c>
    </row>
    <row r="5" spans="1:14">
      <c r="A5" s="64" t="s">
        <v>35</v>
      </c>
      <c r="B5" s="107">
        <f t="shared" ref="B5:M5" si="1">B362</f>
        <v>68</v>
      </c>
      <c r="C5" s="107">
        <f t="shared" si="1"/>
        <v>48</v>
      </c>
      <c r="D5" s="107">
        <f t="shared" si="1"/>
        <v>62</v>
      </c>
      <c r="E5" s="107">
        <f t="shared" si="1"/>
        <v>128</v>
      </c>
      <c r="F5" s="107">
        <f t="shared" si="1"/>
        <v>186</v>
      </c>
      <c r="G5" s="107">
        <f t="shared" si="1"/>
        <v>186</v>
      </c>
      <c r="H5" s="107">
        <f t="shared" si="1"/>
        <v>161</v>
      </c>
      <c r="I5" s="107">
        <f t="shared" si="1"/>
        <v>124</v>
      </c>
      <c r="J5" s="107">
        <f t="shared" si="1"/>
        <v>120</v>
      </c>
      <c r="K5" s="107">
        <f t="shared" si="1"/>
        <v>124</v>
      </c>
      <c r="L5" s="107">
        <f t="shared" si="1"/>
        <v>127</v>
      </c>
      <c r="M5" s="107">
        <f t="shared" si="1"/>
        <v>93</v>
      </c>
      <c r="N5" s="107">
        <v>1427</v>
      </c>
    </row>
    <row r="6" spans="1:14">
      <c r="A6" s="64" t="s">
        <v>36</v>
      </c>
      <c r="B6" s="107">
        <f t="shared" ref="B6:M6" si="2">B367</f>
        <v>115</v>
      </c>
      <c r="C6" s="107">
        <f t="shared" si="2"/>
        <v>169</v>
      </c>
      <c r="D6" s="107">
        <f t="shared" si="2"/>
        <v>125</v>
      </c>
      <c r="E6" s="107">
        <f t="shared" si="2"/>
        <v>61</v>
      </c>
      <c r="F6" s="107">
        <f t="shared" si="2"/>
        <v>214</v>
      </c>
      <c r="G6" s="107">
        <f t="shared" si="2"/>
        <v>169</v>
      </c>
      <c r="H6" s="107">
        <f t="shared" si="2"/>
        <v>282</v>
      </c>
      <c r="I6" s="107">
        <f t="shared" si="2"/>
        <v>239</v>
      </c>
      <c r="J6" s="107">
        <f t="shared" si="2"/>
        <v>182</v>
      </c>
      <c r="K6" s="107">
        <f t="shared" si="2"/>
        <v>84</v>
      </c>
      <c r="L6" s="107">
        <f t="shared" si="2"/>
        <v>57</v>
      </c>
      <c r="M6" s="107">
        <f t="shared" si="2"/>
        <v>133</v>
      </c>
      <c r="N6" s="107">
        <v>1830</v>
      </c>
    </row>
    <row r="7" spans="1:14">
      <c r="A7" s="64" t="s">
        <v>37</v>
      </c>
      <c r="B7" s="107">
        <f t="shared" ref="B7:M7" si="3">B375</f>
        <v>375</v>
      </c>
      <c r="C7" s="107">
        <f t="shared" si="3"/>
        <v>241</v>
      </c>
      <c r="D7" s="107">
        <f t="shared" si="3"/>
        <v>231</v>
      </c>
      <c r="E7" s="107">
        <f t="shared" si="3"/>
        <v>276</v>
      </c>
      <c r="F7" s="107">
        <f t="shared" si="3"/>
        <v>216</v>
      </c>
      <c r="G7" s="107">
        <f t="shared" si="3"/>
        <v>258</v>
      </c>
      <c r="H7" s="107">
        <f t="shared" si="3"/>
        <v>456</v>
      </c>
      <c r="I7" s="107">
        <f t="shared" si="3"/>
        <v>343</v>
      </c>
      <c r="J7" s="107">
        <f t="shared" si="3"/>
        <v>467</v>
      </c>
      <c r="K7" s="107">
        <f t="shared" si="3"/>
        <v>334</v>
      </c>
      <c r="L7" s="107">
        <f t="shared" si="3"/>
        <v>348</v>
      </c>
      <c r="M7" s="107">
        <f t="shared" si="3"/>
        <v>407</v>
      </c>
      <c r="N7" s="107">
        <v>3952</v>
      </c>
    </row>
    <row r="8" spans="1:14">
      <c r="A8" s="64" t="s">
        <v>38</v>
      </c>
      <c r="B8" s="111">
        <f t="shared" ref="B8:M8" si="4">B380</f>
        <v>66</v>
      </c>
      <c r="C8" s="111">
        <f t="shared" si="4"/>
        <v>71</v>
      </c>
      <c r="D8" s="111">
        <f t="shared" si="4"/>
        <v>68</v>
      </c>
      <c r="E8" s="111">
        <f t="shared" si="4"/>
        <v>58</v>
      </c>
      <c r="F8" s="111">
        <f t="shared" si="4"/>
        <v>62</v>
      </c>
      <c r="G8" s="111">
        <f t="shared" si="4"/>
        <v>88</v>
      </c>
      <c r="H8" s="111">
        <f t="shared" si="4"/>
        <v>108</v>
      </c>
      <c r="I8" s="111">
        <f t="shared" si="4"/>
        <v>154</v>
      </c>
      <c r="J8" s="111">
        <f t="shared" si="4"/>
        <v>216</v>
      </c>
      <c r="K8" s="111">
        <f t="shared" si="4"/>
        <v>360</v>
      </c>
      <c r="L8" s="111">
        <f t="shared" si="4"/>
        <v>373</v>
      </c>
      <c r="M8" s="111">
        <f t="shared" si="4"/>
        <v>372</v>
      </c>
      <c r="N8" s="111">
        <v>1996</v>
      </c>
    </row>
    <row r="9" spans="1:14" ht="15.75" thickBot="1">
      <c r="A9" s="64" t="s">
        <v>39</v>
      </c>
      <c r="B9" s="112">
        <f t="shared" ref="B9:M9" si="5">B387</f>
        <v>2263</v>
      </c>
      <c r="C9" s="112">
        <f t="shared" si="5"/>
        <v>2006</v>
      </c>
      <c r="D9" s="112">
        <f t="shared" si="5"/>
        <v>2216</v>
      </c>
      <c r="E9" s="112">
        <f t="shared" si="5"/>
        <v>2155</v>
      </c>
      <c r="F9" s="112">
        <f t="shared" si="5"/>
        <v>2414</v>
      </c>
      <c r="G9" s="112">
        <f t="shared" si="5"/>
        <v>2355</v>
      </c>
      <c r="H9" s="112">
        <f t="shared" si="5"/>
        <v>2490</v>
      </c>
      <c r="I9" s="112">
        <f t="shared" si="5"/>
        <v>2466</v>
      </c>
      <c r="J9" s="112">
        <f t="shared" si="5"/>
        <v>2594</v>
      </c>
      <c r="K9" s="112">
        <f t="shared" si="5"/>
        <v>2520</v>
      </c>
      <c r="L9" s="112">
        <f t="shared" si="5"/>
        <v>2473</v>
      </c>
      <c r="M9" s="112">
        <f t="shared" si="5"/>
        <v>2636</v>
      </c>
      <c r="N9" s="112">
        <v>28588</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B69</f>
        <v>320432.15000000002</v>
      </c>
      <c r="C14" s="107">
        <f t="shared" si="6"/>
        <v>279695.45</v>
      </c>
      <c r="D14" s="107">
        <f t="shared" si="6"/>
        <v>325876.90999999997</v>
      </c>
      <c r="E14" s="107">
        <f t="shared" si="6"/>
        <v>305255.5</v>
      </c>
      <c r="F14" s="107">
        <f t="shared" si="6"/>
        <v>332545.82</v>
      </c>
      <c r="G14" s="107">
        <f t="shared" si="6"/>
        <v>318324.12</v>
      </c>
      <c r="H14" s="107">
        <f t="shared" si="6"/>
        <v>284082.87</v>
      </c>
      <c r="I14" s="107">
        <f t="shared" si="6"/>
        <v>305367.11</v>
      </c>
      <c r="J14" s="107">
        <f t="shared" si="6"/>
        <v>305458.44</v>
      </c>
      <c r="K14" s="107">
        <f t="shared" si="6"/>
        <v>306037.75</v>
      </c>
      <c r="L14" s="107">
        <f t="shared" si="6"/>
        <v>288534.15000000002</v>
      </c>
      <c r="M14" s="107">
        <f t="shared" si="6"/>
        <v>287183.67</v>
      </c>
      <c r="N14" s="107">
        <v>3658793.94</v>
      </c>
    </row>
    <row r="15" spans="1:14">
      <c r="A15" s="64" t="s">
        <v>35</v>
      </c>
      <c r="B15" s="107">
        <f t="shared" ref="B15:M15" si="7">B73</f>
        <v>13535.51</v>
      </c>
      <c r="C15" s="107">
        <f t="shared" si="7"/>
        <v>8990.76</v>
      </c>
      <c r="D15" s="107">
        <f t="shared" si="7"/>
        <v>12062.88</v>
      </c>
      <c r="E15" s="107">
        <f t="shared" si="7"/>
        <v>24543.9</v>
      </c>
      <c r="F15" s="107">
        <f t="shared" si="7"/>
        <v>35721.300000000003</v>
      </c>
      <c r="G15" s="107">
        <f t="shared" si="7"/>
        <v>35721.300000000003</v>
      </c>
      <c r="H15" s="107">
        <f t="shared" si="7"/>
        <v>26516.82</v>
      </c>
      <c r="I15" s="107">
        <f t="shared" si="7"/>
        <v>17692.63</v>
      </c>
      <c r="J15" s="107">
        <f t="shared" si="7"/>
        <v>17121.900000000001</v>
      </c>
      <c r="K15" s="107">
        <f t="shared" si="7"/>
        <v>17799.22</v>
      </c>
      <c r="L15" s="107">
        <f t="shared" si="7"/>
        <v>17703.3</v>
      </c>
      <c r="M15" s="107">
        <f t="shared" si="7"/>
        <v>13945.35</v>
      </c>
      <c r="N15" s="107">
        <v>241354.87</v>
      </c>
    </row>
    <row r="16" spans="1:14">
      <c r="A16" s="64" t="s">
        <v>36</v>
      </c>
      <c r="B16" s="107">
        <f t="shared" ref="B16:M16" si="8">B77</f>
        <v>81570.28</v>
      </c>
      <c r="C16" s="107">
        <f t="shared" si="8"/>
        <v>107678.46</v>
      </c>
      <c r="D16" s="107">
        <f t="shared" si="8"/>
        <v>84357.66</v>
      </c>
      <c r="E16" s="107">
        <f t="shared" si="8"/>
        <v>43504.92</v>
      </c>
      <c r="F16" s="107">
        <f t="shared" si="8"/>
        <v>138167.22</v>
      </c>
      <c r="G16" s="107">
        <f t="shared" si="8"/>
        <v>113790.41</v>
      </c>
      <c r="H16" s="107">
        <f t="shared" si="8"/>
        <v>192622.97</v>
      </c>
      <c r="I16" s="107">
        <f t="shared" si="8"/>
        <v>160562.41</v>
      </c>
      <c r="J16" s="107">
        <f t="shared" si="8"/>
        <v>124937.15</v>
      </c>
      <c r="K16" s="107">
        <f t="shared" si="8"/>
        <v>54729.32</v>
      </c>
      <c r="L16" s="107">
        <f t="shared" si="8"/>
        <v>35218.82</v>
      </c>
      <c r="M16" s="107">
        <f t="shared" si="8"/>
        <v>79518.350000000006</v>
      </c>
      <c r="N16" s="107">
        <v>1216657.97</v>
      </c>
    </row>
    <row r="17" spans="1:14">
      <c r="A17" s="64" t="s">
        <v>37</v>
      </c>
      <c r="B17" s="107">
        <f t="shared" ref="B17:M17" si="9">B84</f>
        <v>138444.85</v>
      </c>
      <c r="C17" s="107">
        <f t="shared" si="9"/>
        <v>102720.06</v>
      </c>
      <c r="D17" s="107">
        <f t="shared" si="9"/>
        <v>95537.29</v>
      </c>
      <c r="E17" s="107">
        <f t="shared" si="9"/>
        <v>122547.37</v>
      </c>
      <c r="F17" s="107">
        <f t="shared" si="9"/>
        <v>89466.03</v>
      </c>
      <c r="G17" s="107">
        <f t="shared" si="9"/>
        <v>107710.94</v>
      </c>
      <c r="H17" s="107">
        <f t="shared" si="9"/>
        <v>196906.19</v>
      </c>
      <c r="I17" s="107">
        <f t="shared" si="9"/>
        <v>135990.44</v>
      </c>
      <c r="J17" s="107">
        <f t="shared" si="9"/>
        <v>182773.62</v>
      </c>
      <c r="K17" s="107">
        <f t="shared" si="9"/>
        <v>159028.85999999999</v>
      </c>
      <c r="L17" s="107">
        <f t="shared" si="9"/>
        <v>170113.99</v>
      </c>
      <c r="M17" s="107">
        <f t="shared" si="9"/>
        <v>189984.03</v>
      </c>
      <c r="N17" s="107">
        <v>1691223.67</v>
      </c>
    </row>
    <row r="18" spans="1:14">
      <c r="A18" s="64" t="s">
        <v>38</v>
      </c>
      <c r="B18" s="111">
        <f t="shared" ref="B18:M18" si="10">B88</f>
        <v>11220</v>
      </c>
      <c r="C18" s="111">
        <f t="shared" si="10"/>
        <v>12598</v>
      </c>
      <c r="D18" s="111">
        <f t="shared" si="10"/>
        <v>11848</v>
      </c>
      <c r="E18" s="111">
        <f t="shared" si="10"/>
        <v>9860</v>
      </c>
      <c r="F18" s="111">
        <f t="shared" si="10"/>
        <v>10540</v>
      </c>
      <c r="G18" s="111">
        <f t="shared" si="10"/>
        <v>14960</v>
      </c>
      <c r="H18" s="111">
        <f t="shared" si="10"/>
        <v>18360</v>
      </c>
      <c r="I18" s="111">
        <f t="shared" si="10"/>
        <v>26180</v>
      </c>
      <c r="J18" s="111">
        <f t="shared" si="10"/>
        <v>36816</v>
      </c>
      <c r="K18" s="111">
        <f t="shared" si="10"/>
        <v>61200</v>
      </c>
      <c r="L18" s="111">
        <f t="shared" si="10"/>
        <v>65175.61</v>
      </c>
      <c r="M18" s="111">
        <f t="shared" si="10"/>
        <v>63240</v>
      </c>
      <c r="N18" s="111">
        <v>341997.61</v>
      </c>
    </row>
    <row r="19" spans="1:14">
      <c r="A19" s="64" t="s">
        <v>42</v>
      </c>
      <c r="B19" s="107">
        <f t="shared" ref="B19:M19" si="11">B90</f>
        <v>565202.79</v>
      </c>
      <c r="C19" s="107">
        <f t="shared" si="11"/>
        <v>511682.73000000004</v>
      </c>
      <c r="D19" s="107">
        <f t="shared" si="11"/>
        <v>529682.74</v>
      </c>
      <c r="E19" s="107">
        <f t="shared" si="11"/>
        <v>505711.69000000006</v>
      </c>
      <c r="F19" s="107">
        <f t="shared" si="11"/>
        <v>606440.36999999988</v>
      </c>
      <c r="G19" s="107">
        <f t="shared" si="11"/>
        <v>590506.77</v>
      </c>
      <c r="H19" s="107">
        <f t="shared" si="11"/>
        <v>718488.84999999963</v>
      </c>
      <c r="I19" s="107">
        <f t="shared" si="11"/>
        <v>645792.58999999985</v>
      </c>
      <c r="J19" s="107">
        <f t="shared" si="11"/>
        <v>667107.11000000022</v>
      </c>
      <c r="K19" s="107">
        <f t="shared" si="11"/>
        <v>598795.14999999991</v>
      </c>
      <c r="L19" s="107">
        <f t="shared" si="11"/>
        <v>576745.87000000023</v>
      </c>
      <c r="M19" s="107">
        <f t="shared" si="11"/>
        <v>633871.39999999991</v>
      </c>
      <c r="N19" s="107">
        <v>7150028.0599999996</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M22" si="12">B96</f>
        <v>4612.03</v>
      </c>
      <c r="C22" s="107">
        <f t="shared" si="12"/>
        <v>-4152.25</v>
      </c>
      <c r="D22" s="107">
        <f t="shared" si="12"/>
        <v>-3213.93</v>
      </c>
      <c r="E22" s="107">
        <f t="shared" si="12"/>
        <v>-6042.51</v>
      </c>
      <c r="F22" s="107">
        <f t="shared" si="12"/>
        <v>1050.3499999999999</v>
      </c>
      <c r="G22" s="107">
        <f t="shared" si="12"/>
        <v>-28610.99</v>
      </c>
      <c r="H22" s="107">
        <f t="shared" si="12"/>
        <v>-42709.11</v>
      </c>
      <c r="I22" s="107">
        <f t="shared" si="12"/>
        <v>-1417.42</v>
      </c>
      <c r="J22" s="107">
        <f t="shared" si="12"/>
        <v>1174.29</v>
      </c>
      <c r="K22" s="107">
        <f t="shared" si="12"/>
        <v>6054.89</v>
      </c>
      <c r="L22" s="107">
        <f t="shared" si="12"/>
        <v>-6211.92</v>
      </c>
      <c r="M22" s="107">
        <f t="shared" si="12"/>
        <v>-7591.25</v>
      </c>
      <c r="N22" s="107">
        <v>-87057.82</v>
      </c>
    </row>
    <row r="23" spans="1:14">
      <c r="A23" s="64" t="s">
        <v>35</v>
      </c>
      <c r="B23" s="107">
        <f>B100</f>
        <v>-2297.1</v>
      </c>
      <c r="C23" s="107"/>
      <c r="D23" s="107"/>
      <c r="E23" s="107">
        <f>E100</f>
        <v>113.61</v>
      </c>
      <c r="F23" s="107"/>
      <c r="G23" s="107">
        <f>G100</f>
        <v>-818.4</v>
      </c>
      <c r="H23" s="107">
        <f>H100</f>
        <v>-319.77</v>
      </c>
      <c r="I23" s="107">
        <f>I100</f>
        <v>-8607</v>
      </c>
      <c r="J23" s="107"/>
      <c r="K23" s="107"/>
      <c r="L23" s="107">
        <f>L100</f>
        <v>271.32</v>
      </c>
      <c r="M23" s="107">
        <f>M100</f>
        <v>-3349.05</v>
      </c>
      <c r="N23" s="107">
        <v>-15006.39</v>
      </c>
    </row>
    <row r="24" spans="1:14">
      <c r="A24" s="64" t="s">
        <v>36</v>
      </c>
      <c r="B24" s="107">
        <f>B104</f>
        <v>-3.49</v>
      </c>
      <c r="C24" s="107"/>
      <c r="D24" s="107">
        <f>D104</f>
        <v>-1218.19</v>
      </c>
      <c r="E24" s="107">
        <f>E104</f>
        <v>-489.16</v>
      </c>
      <c r="F24" s="107">
        <f>F104</f>
        <v>-194.37</v>
      </c>
      <c r="G24" s="107"/>
      <c r="H24" s="107">
        <f t="shared" ref="H24:M24" si="13">H104</f>
        <v>35.67</v>
      </c>
      <c r="I24" s="107">
        <f t="shared" si="13"/>
        <v>2152.79</v>
      </c>
      <c r="J24" s="107">
        <f t="shared" si="13"/>
        <v>1549.9</v>
      </c>
      <c r="K24" s="107">
        <f t="shared" si="13"/>
        <v>-30763.37</v>
      </c>
      <c r="L24" s="107">
        <f t="shared" si="13"/>
        <v>-27654.61</v>
      </c>
      <c r="M24" s="107">
        <f t="shared" si="13"/>
        <v>30239.79</v>
      </c>
      <c r="N24" s="107">
        <v>-26345.040000000001</v>
      </c>
    </row>
    <row r="25" spans="1:14">
      <c r="A25" s="64" t="s">
        <v>37</v>
      </c>
      <c r="B25" s="107">
        <f t="shared" ref="B25:M25" si="14">B111</f>
        <v>-2510</v>
      </c>
      <c r="C25" s="107">
        <f t="shared" si="14"/>
        <v>5339</v>
      </c>
      <c r="D25" s="107">
        <f t="shared" si="14"/>
        <v>-500</v>
      </c>
      <c r="E25" s="107">
        <f t="shared" si="14"/>
        <v>-88.96</v>
      </c>
      <c r="F25" s="107">
        <f t="shared" si="14"/>
        <v>2008.24</v>
      </c>
      <c r="G25" s="107">
        <f t="shared" si="14"/>
        <v>-6.08</v>
      </c>
      <c r="H25" s="107">
        <f t="shared" si="14"/>
        <v>-355.92</v>
      </c>
      <c r="I25" s="107">
        <f t="shared" si="14"/>
        <v>-3295.52</v>
      </c>
      <c r="J25" s="107">
        <f t="shared" si="14"/>
        <v>-1100</v>
      </c>
      <c r="K25" s="107">
        <f t="shared" si="14"/>
        <v>27770.38</v>
      </c>
      <c r="L25" s="107">
        <f t="shared" si="14"/>
        <v>-6962.79</v>
      </c>
      <c r="M25" s="107">
        <f t="shared" si="14"/>
        <v>-1657</v>
      </c>
      <c r="N25" s="107">
        <v>18641.349999999999</v>
      </c>
    </row>
    <row r="26" spans="1:14">
      <c r="A26" s="64" t="s">
        <v>38</v>
      </c>
      <c r="B26" s="111">
        <f>B115</f>
        <v>803.38</v>
      </c>
      <c r="C26" s="111">
        <f>C115</f>
        <v>2550</v>
      </c>
      <c r="D26" s="111">
        <f>D115</f>
        <v>3740</v>
      </c>
      <c r="E26" s="111">
        <f>E115</f>
        <v>6120</v>
      </c>
      <c r="F26" s="111"/>
      <c r="G26" s="111">
        <f>G115</f>
        <v>23630</v>
      </c>
      <c r="H26" s="111">
        <f>H115</f>
        <v>27030</v>
      </c>
      <c r="I26" s="111"/>
      <c r="J26" s="111"/>
      <c r="K26" s="111">
        <f>K115</f>
        <v>-6630</v>
      </c>
      <c r="L26" s="111">
        <f>L115</f>
        <v>3972.5</v>
      </c>
      <c r="M26" s="111">
        <f>M115</f>
        <v>-5568.11</v>
      </c>
      <c r="N26" s="111">
        <v>55647.77</v>
      </c>
    </row>
    <row r="27" spans="1:14">
      <c r="A27" s="64" t="s">
        <v>44</v>
      </c>
      <c r="B27" s="107">
        <f t="shared" ref="B27:M27" si="15">B117</f>
        <v>604.8199999999996</v>
      </c>
      <c r="C27" s="107">
        <f t="shared" si="15"/>
        <v>3736.75</v>
      </c>
      <c r="D27" s="107">
        <f t="shared" si="15"/>
        <v>-1192.1199999999999</v>
      </c>
      <c r="E27" s="107">
        <f t="shared" si="15"/>
        <v>-387.0199999999968</v>
      </c>
      <c r="F27" s="107">
        <f t="shared" si="15"/>
        <v>2864.2200000000003</v>
      </c>
      <c r="G27" s="107">
        <f t="shared" si="15"/>
        <v>-5805.4700000000048</v>
      </c>
      <c r="H27" s="107">
        <f t="shared" si="15"/>
        <v>-16319.130000000008</v>
      </c>
      <c r="I27" s="107">
        <f t="shared" si="15"/>
        <v>-11167.149999999998</v>
      </c>
      <c r="J27" s="107">
        <f t="shared" si="15"/>
        <v>1624.19</v>
      </c>
      <c r="K27" s="107">
        <f t="shared" si="15"/>
        <v>-3568.0999999999913</v>
      </c>
      <c r="L27" s="107">
        <f t="shared" si="15"/>
        <v>-36585.499999999993</v>
      </c>
      <c r="M27" s="107">
        <f t="shared" si="15"/>
        <v>12074.380000000005</v>
      </c>
      <c r="N27" s="107">
        <v>-54120.13</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c r="C30" s="107"/>
      <c r="D30" s="107"/>
      <c r="E30" s="107"/>
      <c r="F30" s="107"/>
      <c r="G30" s="107"/>
      <c r="H30" s="107">
        <f t="shared" ref="H30:M30" si="16">H132</f>
        <v>23678.940000000002</v>
      </c>
      <c r="I30" s="107">
        <f t="shared" si="16"/>
        <v>4088.44</v>
      </c>
      <c r="J30" s="107">
        <f t="shared" si="16"/>
        <v>2186.84</v>
      </c>
      <c r="K30" s="107">
        <f t="shared" si="16"/>
        <v>2377</v>
      </c>
      <c r="L30" s="107">
        <f t="shared" si="16"/>
        <v>3042.56</v>
      </c>
      <c r="M30" s="107">
        <f t="shared" si="16"/>
        <v>2757.32</v>
      </c>
      <c r="N30" s="107">
        <v>38131.1</v>
      </c>
    </row>
    <row r="31" spans="1:14">
      <c r="A31" s="64" t="s">
        <v>46</v>
      </c>
      <c r="B31" s="107">
        <f t="shared" ref="B31:M31" si="17">B153</f>
        <v>4907.24</v>
      </c>
      <c r="C31" s="107">
        <f t="shared" si="17"/>
        <v>3802.23</v>
      </c>
      <c r="D31" s="107">
        <f t="shared" si="17"/>
        <v>7285.53</v>
      </c>
      <c r="E31" s="107">
        <f t="shared" si="17"/>
        <v>9207.77</v>
      </c>
      <c r="F31" s="107">
        <f t="shared" si="17"/>
        <v>7884.64</v>
      </c>
      <c r="G31" s="107">
        <f t="shared" si="17"/>
        <v>6248.69</v>
      </c>
      <c r="H31" s="107">
        <f t="shared" si="17"/>
        <v>9508.59</v>
      </c>
      <c r="I31" s="107">
        <f t="shared" si="17"/>
        <v>4050.66</v>
      </c>
      <c r="J31" s="107">
        <f t="shared" si="17"/>
        <v>2626.2</v>
      </c>
      <c r="K31" s="107">
        <f t="shared" si="17"/>
        <v>3065.04</v>
      </c>
      <c r="L31" s="107">
        <f t="shared" si="17"/>
        <v>635.70000000000005</v>
      </c>
      <c r="M31" s="107">
        <f t="shared" si="17"/>
        <v>1264.8599999999999</v>
      </c>
      <c r="N31" s="107">
        <v>60487.15</v>
      </c>
    </row>
    <row r="32" spans="1:14">
      <c r="A32" s="64" t="s">
        <v>37</v>
      </c>
      <c r="B32" s="107">
        <f t="shared" ref="B32:M32" si="18">B167</f>
        <v>12350.829999999987</v>
      </c>
      <c r="C32" s="107">
        <f t="shared" si="18"/>
        <v>11566.949999999997</v>
      </c>
      <c r="D32" s="107">
        <f t="shared" si="18"/>
        <v>10396.720000000001</v>
      </c>
      <c r="E32" s="107">
        <f t="shared" si="18"/>
        <v>18235.080000000002</v>
      </c>
      <c r="F32" s="107">
        <f t="shared" si="18"/>
        <v>5460.1900000000023</v>
      </c>
      <c r="G32" s="107">
        <f t="shared" si="18"/>
        <v>6229.7899999999936</v>
      </c>
      <c r="H32" s="107">
        <f t="shared" si="18"/>
        <v>2710.8199999999924</v>
      </c>
      <c r="I32" s="107">
        <f t="shared" si="18"/>
        <v>17215.990000000005</v>
      </c>
      <c r="J32" s="107">
        <f t="shared" si="18"/>
        <v>11242.599999999977</v>
      </c>
      <c r="K32" s="107">
        <f t="shared" si="18"/>
        <v>9360.11</v>
      </c>
      <c r="L32" s="107">
        <f t="shared" si="18"/>
        <v>11788.850000000006</v>
      </c>
      <c r="M32" s="107">
        <f t="shared" si="18"/>
        <v>2881.8300000000163</v>
      </c>
      <c r="N32" s="107">
        <v>119439.76</v>
      </c>
    </row>
    <row r="33" spans="1:14">
      <c r="A33" s="64" t="s">
        <v>38</v>
      </c>
      <c r="B33" s="111">
        <f t="shared" ref="B33:H33" si="19">B179</f>
        <v>2216.59</v>
      </c>
      <c r="C33" s="111">
        <f t="shared" si="19"/>
        <v>2962.75</v>
      </c>
      <c r="D33" s="111">
        <f t="shared" si="19"/>
        <v>2352.59</v>
      </c>
      <c r="E33" s="111">
        <f t="shared" si="19"/>
        <v>1311.94</v>
      </c>
      <c r="F33" s="111">
        <f t="shared" si="19"/>
        <v>1406.1599999999999</v>
      </c>
      <c r="G33" s="111">
        <f t="shared" si="19"/>
        <v>1071.28</v>
      </c>
      <c r="H33" s="111">
        <f t="shared" si="19"/>
        <v>1360.0500000000002</v>
      </c>
      <c r="I33" s="111"/>
      <c r="J33" s="111"/>
      <c r="K33" s="111"/>
      <c r="L33" s="111"/>
      <c r="M33" s="111">
        <f>M179</f>
        <v>3170.4300000000003</v>
      </c>
      <c r="N33" s="111">
        <v>15851.79</v>
      </c>
    </row>
    <row r="34" spans="1:14">
      <c r="A34" s="64" t="s">
        <v>47</v>
      </c>
      <c r="B34" s="107">
        <f t="shared" ref="B34:M34" si="20">B181</f>
        <v>19474.660000000007</v>
      </c>
      <c r="C34" s="107">
        <f t="shared" si="20"/>
        <v>18331.93</v>
      </c>
      <c r="D34" s="107">
        <f t="shared" si="20"/>
        <v>20034.840000000007</v>
      </c>
      <c r="E34" s="107">
        <f t="shared" si="20"/>
        <v>28754.790000000012</v>
      </c>
      <c r="F34" s="107">
        <f t="shared" si="20"/>
        <v>14750.990000000002</v>
      </c>
      <c r="G34" s="107">
        <f t="shared" si="20"/>
        <v>13549.759999999997</v>
      </c>
      <c r="H34" s="107">
        <f t="shared" si="20"/>
        <v>37258.400000000009</v>
      </c>
      <c r="I34" s="107">
        <f t="shared" si="20"/>
        <v>25355.090000000011</v>
      </c>
      <c r="J34" s="107">
        <f t="shared" si="20"/>
        <v>16055.639999999963</v>
      </c>
      <c r="K34" s="107">
        <f t="shared" si="20"/>
        <v>14802.149999999987</v>
      </c>
      <c r="L34" s="107">
        <f t="shared" si="20"/>
        <v>15467.110000000008</v>
      </c>
      <c r="M34" s="107">
        <f t="shared" si="20"/>
        <v>10074.440000000017</v>
      </c>
      <c r="N34" s="107">
        <v>233909.8</v>
      </c>
    </row>
    <row r="35" spans="1:14">
      <c r="A35" s="64"/>
      <c r="B35" s="22"/>
      <c r="C35" s="22"/>
      <c r="D35" s="22"/>
      <c r="E35" s="22"/>
      <c r="F35" s="22"/>
      <c r="G35" s="22"/>
      <c r="H35" s="22"/>
      <c r="I35" s="22"/>
      <c r="J35" s="22"/>
      <c r="K35" s="22"/>
      <c r="L35" s="22"/>
      <c r="M35" s="22"/>
      <c r="N35" s="22"/>
    </row>
    <row r="36" spans="1:14">
      <c r="A36" s="64" t="s">
        <v>48</v>
      </c>
      <c r="B36" s="107">
        <f t="shared" ref="B36:M36" si="21">B191</f>
        <v>45159.310000000005</v>
      </c>
      <c r="C36" s="107">
        <f t="shared" si="21"/>
        <v>78901.180000000008</v>
      </c>
      <c r="D36" s="107">
        <f t="shared" si="21"/>
        <v>90731.07</v>
      </c>
      <c r="E36" s="107">
        <f t="shared" si="21"/>
        <v>75503.789999999994</v>
      </c>
      <c r="F36" s="107">
        <f t="shared" si="21"/>
        <v>-847645.03</v>
      </c>
      <c r="G36" s="107">
        <f t="shared" si="21"/>
        <v>91521.48</v>
      </c>
      <c r="H36" s="107">
        <f t="shared" si="21"/>
        <v>126006.96</v>
      </c>
      <c r="I36" s="107">
        <f t="shared" si="21"/>
        <v>101017.61</v>
      </c>
      <c r="J36" s="107">
        <f t="shared" si="21"/>
        <v>128228</v>
      </c>
      <c r="K36" s="107">
        <f t="shared" si="21"/>
        <v>146941.24</v>
      </c>
      <c r="L36" s="107">
        <f t="shared" si="21"/>
        <v>108316.31999999999</v>
      </c>
      <c r="M36" s="107">
        <f t="shared" si="21"/>
        <v>42078.39</v>
      </c>
      <c r="N36" s="107">
        <v>186760.32000000001</v>
      </c>
    </row>
    <row r="37" spans="1:14">
      <c r="A37" s="64"/>
      <c r="B37" s="22"/>
      <c r="C37" s="22"/>
      <c r="D37" s="22"/>
      <c r="E37" s="22"/>
      <c r="F37" s="22"/>
      <c r="G37" s="22"/>
      <c r="H37" s="22"/>
      <c r="I37" s="22"/>
      <c r="J37" s="22"/>
      <c r="K37" s="22"/>
      <c r="L37" s="22"/>
      <c r="M37" s="22"/>
      <c r="N37" s="22"/>
    </row>
    <row r="38" spans="1:14" ht="15.75" thickBot="1">
      <c r="A38" s="64" t="s">
        <v>13</v>
      </c>
      <c r="B38" s="112">
        <f t="shared" ref="B38:M38" si="22">B193</f>
        <v>630441.57999999914</v>
      </c>
      <c r="C38" s="112">
        <f t="shared" si="22"/>
        <v>612652.58999999962</v>
      </c>
      <c r="D38" s="112">
        <f t="shared" si="22"/>
        <v>639256.53000000026</v>
      </c>
      <c r="E38" s="112">
        <f t="shared" si="22"/>
        <v>609583.25000000093</v>
      </c>
      <c r="F38" s="112">
        <f t="shared" si="22"/>
        <v>-223589.45000000065</v>
      </c>
      <c r="G38" s="112">
        <f t="shared" si="22"/>
        <v>689772.54</v>
      </c>
      <c r="H38" s="112">
        <f t="shared" si="22"/>
        <v>865435.07999999926</v>
      </c>
      <c r="I38" s="112">
        <f t="shared" si="22"/>
        <v>760998.14000000071</v>
      </c>
      <c r="J38" s="112">
        <f t="shared" si="22"/>
        <v>813014.94000000029</v>
      </c>
      <c r="K38" s="112">
        <f t="shared" si="22"/>
        <v>756970.43999999925</v>
      </c>
      <c r="L38" s="112">
        <f t="shared" si="22"/>
        <v>663943.8000000004</v>
      </c>
      <c r="M38" s="112">
        <f t="shared" si="22"/>
        <v>698098.60999999905</v>
      </c>
      <c r="N38" s="112">
        <v>7516578.0499999998</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M41" si="23">B214</f>
        <v>252900.37999999998</v>
      </c>
      <c r="C41" s="107">
        <f t="shared" si="23"/>
        <v>215690.03999999998</v>
      </c>
      <c r="D41" s="107">
        <f t="shared" si="23"/>
        <v>220127.97999999998</v>
      </c>
      <c r="E41" s="107">
        <f t="shared" si="23"/>
        <v>206208.53000000003</v>
      </c>
      <c r="F41" s="107">
        <f t="shared" si="23"/>
        <v>205260.79999999999</v>
      </c>
      <c r="G41" s="107">
        <f t="shared" si="23"/>
        <v>217873.53</v>
      </c>
      <c r="H41" s="107">
        <f t="shared" si="23"/>
        <v>202879.70000000004</v>
      </c>
      <c r="I41" s="107">
        <f t="shared" si="23"/>
        <v>222709.58999999997</v>
      </c>
      <c r="J41" s="107">
        <f t="shared" si="23"/>
        <v>226165.11000000002</v>
      </c>
      <c r="K41" s="107">
        <f t="shared" si="23"/>
        <v>232937.51000000004</v>
      </c>
      <c r="L41" s="107">
        <f t="shared" si="23"/>
        <v>256835.68999999997</v>
      </c>
      <c r="M41" s="107">
        <f t="shared" si="23"/>
        <v>299686.64999999997</v>
      </c>
      <c r="N41" s="107">
        <v>2759275.51</v>
      </c>
    </row>
    <row r="42" spans="1:14">
      <c r="A42" s="64" t="s">
        <v>50</v>
      </c>
      <c r="B42" s="107">
        <f>B222</f>
        <v>29773.309999999998</v>
      </c>
      <c r="C42" s="107">
        <f>C222</f>
        <v>50481.34</v>
      </c>
      <c r="D42" s="107">
        <f>D222</f>
        <v>43174.1</v>
      </c>
      <c r="E42" s="107">
        <f>E222</f>
        <v>18690.739999999998</v>
      </c>
      <c r="F42" s="107">
        <f>F222</f>
        <v>-171496.43</v>
      </c>
      <c r="G42" s="107"/>
      <c r="H42" s="107"/>
      <c r="I42" s="107">
        <f>I222</f>
        <v>61617.72</v>
      </c>
      <c r="J42" s="107"/>
      <c r="K42" s="107">
        <f>K222</f>
        <v>-61617.72</v>
      </c>
      <c r="L42" s="107"/>
      <c r="M42" s="107"/>
      <c r="N42" s="107">
        <v>-29376.94</v>
      </c>
    </row>
    <row r="43" spans="1:14">
      <c r="A43" s="64" t="s">
        <v>51</v>
      </c>
      <c r="B43" s="107">
        <f t="shared" ref="B43:M43" si="24">B233</f>
        <v>34272.550000000003</v>
      </c>
      <c r="C43" s="107">
        <f t="shared" si="24"/>
        <v>34107.72</v>
      </c>
      <c r="D43" s="107">
        <f t="shared" si="24"/>
        <v>27365.630000000005</v>
      </c>
      <c r="E43" s="107">
        <f t="shared" si="24"/>
        <v>26597.46</v>
      </c>
      <c r="F43" s="107">
        <f t="shared" si="24"/>
        <v>29095.05</v>
      </c>
      <c r="G43" s="107">
        <f t="shared" si="24"/>
        <v>33391.75</v>
      </c>
      <c r="H43" s="107">
        <f t="shared" si="24"/>
        <v>29360.630000000005</v>
      </c>
      <c r="I43" s="107">
        <f t="shared" si="24"/>
        <v>27245.05</v>
      </c>
      <c r="J43" s="107">
        <f t="shared" si="24"/>
        <v>28509.52</v>
      </c>
      <c r="K43" s="107">
        <f t="shared" si="24"/>
        <v>40374.020000000004</v>
      </c>
      <c r="L43" s="107">
        <f t="shared" si="24"/>
        <v>31508.48</v>
      </c>
      <c r="M43" s="107">
        <f t="shared" si="24"/>
        <v>38278.57</v>
      </c>
      <c r="N43" s="107">
        <v>380106.43</v>
      </c>
    </row>
    <row r="44" spans="1:14">
      <c r="A44" s="64" t="s">
        <v>52</v>
      </c>
      <c r="B44" s="107">
        <f t="shared" ref="B44:M44" si="25">B249</f>
        <v>85870.67</v>
      </c>
      <c r="C44" s="107">
        <f t="shared" si="25"/>
        <v>60953.389999999992</v>
      </c>
      <c r="D44" s="107">
        <f t="shared" si="25"/>
        <v>87925.720000000016</v>
      </c>
      <c r="E44" s="107">
        <f t="shared" si="25"/>
        <v>65289.570000000007</v>
      </c>
      <c r="F44" s="107">
        <f t="shared" si="25"/>
        <v>73969.569999999978</v>
      </c>
      <c r="G44" s="107">
        <f t="shared" si="25"/>
        <v>69695.449999999983</v>
      </c>
      <c r="H44" s="107">
        <f t="shared" si="25"/>
        <v>93684.33</v>
      </c>
      <c r="I44" s="107">
        <f t="shared" si="25"/>
        <v>91221.03</v>
      </c>
      <c r="J44" s="107">
        <f t="shared" si="25"/>
        <v>86796.420000000013</v>
      </c>
      <c r="K44" s="107">
        <f t="shared" si="25"/>
        <v>83424.430000000022</v>
      </c>
      <c r="L44" s="107">
        <f t="shared" si="25"/>
        <v>69206.12000000001</v>
      </c>
      <c r="M44" s="107">
        <f t="shared" si="25"/>
        <v>86644.969999999987</v>
      </c>
      <c r="N44" s="107">
        <v>954681.67</v>
      </c>
    </row>
    <row r="45" spans="1:14">
      <c r="A45" s="64" t="s">
        <v>53</v>
      </c>
      <c r="B45" s="107">
        <f t="shared" ref="B45:M45" si="26">B274</f>
        <v>140345.27000000002</v>
      </c>
      <c r="C45" s="107">
        <f t="shared" si="26"/>
        <v>118425.21</v>
      </c>
      <c r="D45" s="107">
        <f t="shared" si="26"/>
        <v>145444.71</v>
      </c>
      <c r="E45" s="107">
        <f t="shared" si="26"/>
        <v>127604.39000000001</v>
      </c>
      <c r="F45" s="107">
        <f t="shared" si="26"/>
        <v>-954011.93</v>
      </c>
      <c r="G45" s="107">
        <f t="shared" si="26"/>
        <v>123183.83999999998</v>
      </c>
      <c r="H45" s="107">
        <f t="shared" si="26"/>
        <v>142798.81</v>
      </c>
      <c r="I45" s="107">
        <f t="shared" si="26"/>
        <v>135733.44</v>
      </c>
      <c r="J45" s="107">
        <f t="shared" si="26"/>
        <v>138806.12999999998</v>
      </c>
      <c r="K45" s="107">
        <f t="shared" si="26"/>
        <v>147283.89000000001</v>
      </c>
      <c r="L45" s="107">
        <f t="shared" si="26"/>
        <v>133337.66</v>
      </c>
      <c r="M45" s="107">
        <f t="shared" si="26"/>
        <v>155274.72999999998</v>
      </c>
      <c r="N45" s="107">
        <v>554226.15</v>
      </c>
    </row>
    <row r="46" spans="1:14">
      <c r="A46" s="64" t="s">
        <v>54</v>
      </c>
      <c r="B46" s="107">
        <f t="shared" ref="B46:M46" si="27">B290</f>
        <v>7833.5100000000011</v>
      </c>
      <c r="C46" s="107">
        <f t="shared" si="27"/>
        <v>13346.64</v>
      </c>
      <c r="D46" s="107">
        <f t="shared" si="27"/>
        <v>8992.2200000000012</v>
      </c>
      <c r="E46" s="107">
        <f t="shared" si="27"/>
        <v>9009.9699999999993</v>
      </c>
      <c r="F46" s="107">
        <f t="shared" si="27"/>
        <v>9635.5700000000015</v>
      </c>
      <c r="G46" s="107">
        <f t="shared" si="27"/>
        <v>10336.529999999999</v>
      </c>
      <c r="H46" s="107">
        <f t="shared" si="27"/>
        <v>11791.019999999999</v>
      </c>
      <c r="I46" s="107">
        <f t="shared" si="27"/>
        <v>9630.7800000000007</v>
      </c>
      <c r="J46" s="107">
        <f t="shared" si="27"/>
        <v>9799.0500000000011</v>
      </c>
      <c r="K46" s="107">
        <f t="shared" si="27"/>
        <v>10933.52</v>
      </c>
      <c r="L46" s="107">
        <f t="shared" si="27"/>
        <v>10540.050000000001</v>
      </c>
      <c r="M46" s="107">
        <f t="shared" si="27"/>
        <v>14092.050000000001</v>
      </c>
      <c r="N46" s="107">
        <v>125940.91</v>
      </c>
    </row>
    <row r="47" spans="1:14">
      <c r="A47" s="64" t="s">
        <v>55</v>
      </c>
      <c r="B47" s="107">
        <f t="shared" ref="B47:M47" si="28">B299</f>
        <v>6439.49</v>
      </c>
      <c r="C47" s="107">
        <f t="shared" si="28"/>
        <v>6435.23</v>
      </c>
      <c r="D47" s="107">
        <f t="shared" si="28"/>
        <v>5329.41</v>
      </c>
      <c r="E47" s="107">
        <f t="shared" si="28"/>
        <v>5121.3</v>
      </c>
      <c r="F47" s="107">
        <f t="shared" si="28"/>
        <v>5246.35</v>
      </c>
      <c r="G47" s="107">
        <f t="shared" si="28"/>
        <v>7517.89</v>
      </c>
      <c r="H47" s="107">
        <f t="shared" si="28"/>
        <v>9386.3799999999992</v>
      </c>
      <c r="I47" s="107">
        <f t="shared" si="28"/>
        <v>6481.02</v>
      </c>
      <c r="J47" s="107">
        <f t="shared" si="28"/>
        <v>3388.1400000000003</v>
      </c>
      <c r="K47" s="107">
        <f t="shared" si="28"/>
        <v>4571.1099999999997</v>
      </c>
      <c r="L47" s="107">
        <f t="shared" si="28"/>
        <v>4920.6499999999996</v>
      </c>
      <c r="M47" s="107">
        <f t="shared" si="28"/>
        <v>8287.82</v>
      </c>
      <c r="N47" s="107">
        <v>73124.789999999994</v>
      </c>
    </row>
    <row r="48" spans="1:14">
      <c r="A48" s="64" t="s">
        <v>56</v>
      </c>
      <c r="B48" s="107">
        <f t="shared" ref="B48:M48" si="29">B308</f>
        <v>17232.579999999998</v>
      </c>
      <c r="C48" s="107">
        <f t="shared" si="29"/>
        <v>15377.58</v>
      </c>
      <c r="D48" s="107">
        <f t="shared" si="29"/>
        <v>14857.89</v>
      </c>
      <c r="E48" s="107">
        <f t="shared" si="29"/>
        <v>14825.93</v>
      </c>
      <c r="F48" s="107">
        <f t="shared" si="29"/>
        <v>-1590.6200000000001</v>
      </c>
      <c r="G48" s="107">
        <f t="shared" si="29"/>
        <v>14908.320000000002</v>
      </c>
      <c r="H48" s="107">
        <f t="shared" si="29"/>
        <v>15084.34</v>
      </c>
      <c r="I48" s="107">
        <f t="shared" si="29"/>
        <v>14809.69</v>
      </c>
      <c r="J48" s="107">
        <f t="shared" si="29"/>
        <v>14809.69</v>
      </c>
      <c r="K48" s="107">
        <f t="shared" si="29"/>
        <v>15526.220000000001</v>
      </c>
      <c r="L48" s="107">
        <f t="shared" si="29"/>
        <v>15349.230000000001</v>
      </c>
      <c r="M48" s="107">
        <f t="shared" si="29"/>
        <v>14809.69</v>
      </c>
      <c r="N48" s="107">
        <v>166000.54</v>
      </c>
    </row>
    <row r="49" spans="1:14">
      <c r="A49" s="64" t="s">
        <v>57</v>
      </c>
      <c r="B49" s="107">
        <f t="shared" ref="B49:M49" si="30">B313</f>
        <v>17690</v>
      </c>
      <c r="C49" s="107">
        <f t="shared" si="30"/>
        <v>17202</v>
      </c>
      <c r="D49" s="107">
        <f t="shared" si="30"/>
        <v>17518</v>
      </c>
      <c r="E49" s="107">
        <f t="shared" si="30"/>
        <v>16024</v>
      </c>
      <c r="F49" s="107">
        <f t="shared" si="30"/>
        <v>20573</v>
      </c>
      <c r="G49" s="107">
        <f t="shared" si="30"/>
        <v>17950</v>
      </c>
      <c r="H49" s="107">
        <f t="shared" si="30"/>
        <v>26218.75</v>
      </c>
      <c r="I49" s="107">
        <f t="shared" si="30"/>
        <v>19813</v>
      </c>
      <c r="J49" s="107">
        <f t="shared" si="30"/>
        <v>20544</v>
      </c>
      <c r="K49" s="107">
        <f t="shared" si="30"/>
        <v>48301</v>
      </c>
      <c r="L49" s="107">
        <f t="shared" si="30"/>
        <v>42058</v>
      </c>
      <c r="M49" s="107">
        <f t="shared" si="30"/>
        <v>62323</v>
      </c>
      <c r="N49" s="107">
        <v>326214.75</v>
      </c>
    </row>
    <row r="50" spans="1:14">
      <c r="A50" s="64" t="s">
        <v>58</v>
      </c>
      <c r="B50" s="107">
        <f t="shared" ref="B50:M50" si="31">B322</f>
        <v>8388.44</v>
      </c>
      <c r="C50" s="107">
        <f t="shared" si="31"/>
        <v>9010.85</v>
      </c>
      <c r="D50" s="107">
        <f t="shared" si="31"/>
        <v>8890.85</v>
      </c>
      <c r="E50" s="107">
        <f t="shared" si="31"/>
        <v>8890.85</v>
      </c>
      <c r="F50" s="107">
        <f t="shared" si="31"/>
        <v>-3609.1499999999996</v>
      </c>
      <c r="G50" s="107">
        <f t="shared" si="31"/>
        <v>9470.51</v>
      </c>
      <c r="H50" s="107">
        <f t="shared" si="31"/>
        <v>11266.11</v>
      </c>
      <c r="I50" s="107">
        <f t="shared" si="31"/>
        <v>9117.39</v>
      </c>
      <c r="J50" s="107">
        <f t="shared" si="31"/>
        <v>9004.119999999999</v>
      </c>
      <c r="K50" s="107">
        <f t="shared" si="31"/>
        <v>9004.119999999999</v>
      </c>
      <c r="L50" s="107">
        <f t="shared" si="31"/>
        <v>9004.119999999999</v>
      </c>
      <c r="M50" s="107">
        <f t="shared" si="31"/>
        <v>9004.119999999999</v>
      </c>
      <c r="N50" s="107">
        <v>97442.33</v>
      </c>
    </row>
    <row r="51" spans="1:14">
      <c r="A51" s="64" t="s">
        <v>59</v>
      </c>
      <c r="B51" s="107">
        <f t="shared" ref="B51:M51" si="32">B330</f>
        <v>4249.79</v>
      </c>
      <c r="C51" s="107">
        <f t="shared" si="32"/>
        <v>4161.93</v>
      </c>
      <c r="D51" s="107">
        <f t="shared" si="32"/>
        <v>4136.29</v>
      </c>
      <c r="E51" s="107">
        <f t="shared" si="32"/>
        <v>4182.91</v>
      </c>
      <c r="F51" s="107">
        <f t="shared" si="32"/>
        <v>4288.5700000000015</v>
      </c>
      <c r="G51" s="107">
        <f t="shared" si="32"/>
        <v>4288.57</v>
      </c>
      <c r="H51" s="107">
        <f t="shared" si="32"/>
        <v>4127.510000000002</v>
      </c>
      <c r="I51" s="107">
        <f t="shared" si="32"/>
        <v>4158.57</v>
      </c>
      <c r="J51" s="107">
        <f t="shared" si="32"/>
        <v>4158.57</v>
      </c>
      <c r="K51" s="107">
        <f t="shared" si="32"/>
        <v>4492.7899999999981</v>
      </c>
      <c r="L51" s="107">
        <f t="shared" si="32"/>
        <v>4227.3799999999992</v>
      </c>
      <c r="M51" s="107">
        <f t="shared" si="32"/>
        <v>4732.84</v>
      </c>
      <c r="N51" s="107">
        <v>51205.72</v>
      </c>
    </row>
    <row r="52" spans="1:14">
      <c r="A52" s="64" t="s">
        <v>60</v>
      </c>
      <c r="B52" s="107">
        <f t="shared" ref="B52:M52" si="33">B337</f>
        <v>118254.98000000001</v>
      </c>
      <c r="C52" s="107">
        <f t="shared" si="33"/>
        <v>129469.40999999999</v>
      </c>
      <c r="D52" s="107">
        <f t="shared" si="33"/>
        <v>121677.79</v>
      </c>
      <c r="E52" s="107">
        <f t="shared" si="33"/>
        <v>121613.95</v>
      </c>
      <c r="F52" s="107">
        <f t="shared" si="33"/>
        <v>126248.7</v>
      </c>
      <c r="G52" s="107">
        <f t="shared" si="33"/>
        <v>121057.96999999999</v>
      </c>
      <c r="H52" s="107">
        <f t="shared" si="33"/>
        <v>121179.37999999999</v>
      </c>
      <c r="I52" s="107">
        <f t="shared" si="33"/>
        <v>121047.57999999999</v>
      </c>
      <c r="J52" s="107">
        <f t="shared" si="33"/>
        <v>134928.81</v>
      </c>
      <c r="K52" s="107">
        <f t="shared" si="33"/>
        <v>121183.69999999998</v>
      </c>
      <c r="L52" s="107">
        <f t="shared" si="33"/>
        <v>121098.96999999999</v>
      </c>
      <c r="M52" s="107">
        <f t="shared" si="33"/>
        <v>133289.67000000001</v>
      </c>
      <c r="N52" s="107">
        <v>1491050.91</v>
      </c>
    </row>
    <row r="53" spans="1:14">
      <c r="A53" s="64" t="s">
        <v>61</v>
      </c>
      <c r="B53" s="107"/>
      <c r="C53" s="107">
        <f>C341</f>
        <v>241.97</v>
      </c>
      <c r="D53" s="107">
        <f>D341</f>
        <v>-114.86</v>
      </c>
      <c r="E53" s="107">
        <f>E341</f>
        <v>754.4</v>
      </c>
      <c r="F53" s="107">
        <f>F341</f>
        <v>-16466.72</v>
      </c>
      <c r="G53" s="107"/>
      <c r="H53" s="107"/>
      <c r="I53" s="107"/>
      <c r="J53" s="107"/>
      <c r="K53" s="107"/>
      <c r="L53" s="107"/>
      <c r="M53" s="107"/>
      <c r="N53" s="107">
        <v>-15585.21</v>
      </c>
    </row>
    <row r="54" spans="1:14">
      <c r="A54" s="64"/>
      <c r="B54" s="22"/>
      <c r="C54" s="22"/>
      <c r="D54" s="22"/>
      <c r="E54" s="22"/>
      <c r="F54" s="22"/>
      <c r="G54" s="22"/>
      <c r="H54" s="22"/>
      <c r="I54" s="22"/>
      <c r="J54" s="22"/>
      <c r="K54" s="22"/>
      <c r="L54" s="22"/>
      <c r="M54" s="22"/>
      <c r="N54" s="22"/>
    </row>
    <row r="55" spans="1:14" ht="15.75" thickBot="1">
      <c r="A55" s="64" t="s">
        <v>62</v>
      </c>
      <c r="B55" s="112">
        <f t="shared" ref="B55:M55" si="34">B343</f>
        <v>723250.9700000002</v>
      </c>
      <c r="C55" s="112">
        <f t="shared" si="34"/>
        <v>674903.30999999982</v>
      </c>
      <c r="D55" s="112">
        <f t="shared" si="34"/>
        <v>705325.72999999952</v>
      </c>
      <c r="E55" s="112">
        <f t="shared" si="34"/>
        <v>624813.99999999988</v>
      </c>
      <c r="F55" s="112">
        <f t="shared" si="34"/>
        <v>-672857.23999999953</v>
      </c>
      <c r="G55" s="112">
        <f t="shared" si="34"/>
        <v>629674.35999999987</v>
      </c>
      <c r="H55" s="112">
        <f t="shared" si="34"/>
        <v>667776.96</v>
      </c>
      <c r="I55" s="112">
        <f t="shared" si="34"/>
        <v>723584.86</v>
      </c>
      <c r="J55" s="112">
        <f t="shared" si="34"/>
        <v>676909.56000000029</v>
      </c>
      <c r="K55" s="112">
        <f t="shared" si="34"/>
        <v>656414.58999999985</v>
      </c>
      <c r="L55" s="112">
        <f t="shared" si="34"/>
        <v>698086.35000000044</v>
      </c>
      <c r="M55" s="112">
        <f t="shared" si="34"/>
        <v>826424.11</v>
      </c>
      <c r="N55" s="112">
        <v>6934307.5599999996</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M57" si="35">B345</f>
        <v>-92809.390000001062</v>
      </c>
      <c r="C57" s="112">
        <f t="shared" si="35"/>
        <v>-62250.720000000205</v>
      </c>
      <c r="D57" s="112">
        <f t="shared" si="35"/>
        <v>-66069.199999999255</v>
      </c>
      <c r="E57" s="112">
        <f t="shared" si="35"/>
        <v>-15230.749999998952</v>
      </c>
      <c r="F57" s="112">
        <f t="shared" si="35"/>
        <v>449267.78999999887</v>
      </c>
      <c r="G57" s="112">
        <f t="shared" si="35"/>
        <v>60098.180000000168</v>
      </c>
      <c r="H57" s="112">
        <f t="shared" si="35"/>
        <v>197658.1199999993</v>
      </c>
      <c r="I57" s="112">
        <f t="shared" si="35"/>
        <v>37413.280000000726</v>
      </c>
      <c r="J57" s="112">
        <f t="shared" si="35"/>
        <v>136105.38</v>
      </c>
      <c r="K57" s="112">
        <f t="shared" si="35"/>
        <v>100555.84999999939</v>
      </c>
      <c r="L57" s="112">
        <f t="shared" si="35"/>
        <v>-34142.550000000047</v>
      </c>
      <c r="M57" s="112">
        <f t="shared" si="35"/>
        <v>-128325.50000000093</v>
      </c>
      <c r="N57" s="112">
        <v>582270.49</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6">B348</f>
        <v>3511.43</v>
      </c>
      <c r="C59" s="112">
        <f t="shared" si="36"/>
        <v>7482.43</v>
      </c>
      <c r="D59" s="112">
        <f t="shared" si="36"/>
        <v>3205.76</v>
      </c>
      <c r="E59" s="112">
        <f t="shared" si="36"/>
        <v>539.64</v>
      </c>
      <c r="F59" s="112">
        <f t="shared" si="36"/>
        <v>361030.84</v>
      </c>
      <c r="G59" s="112">
        <f t="shared" si="36"/>
        <v>52327.47</v>
      </c>
      <c r="H59" s="112">
        <f t="shared" si="36"/>
        <v>89524.98</v>
      </c>
      <c r="I59" s="112">
        <f t="shared" si="36"/>
        <v>62435.08</v>
      </c>
      <c r="J59" s="112">
        <f t="shared" si="36"/>
        <v>90203.93</v>
      </c>
      <c r="K59" s="112">
        <f t="shared" si="36"/>
        <v>108644.38</v>
      </c>
      <c r="L59" s="112">
        <f t="shared" si="36"/>
        <v>8233.81</v>
      </c>
      <c r="M59" s="112">
        <f t="shared" si="36"/>
        <v>3188.03</v>
      </c>
      <c r="N59" s="112">
        <v>790327.78</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7">B350</f>
        <v>-96320.820000001055</v>
      </c>
      <c r="C61" s="112">
        <f t="shared" si="37"/>
        <v>-69733.150000000198</v>
      </c>
      <c r="D61" s="112">
        <f t="shared" si="37"/>
        <v>-69274.95999999925</v>
      </c>
      <c r="E61" s="112">
        <f t="shared" si="37"/>
        <v>-15770.389999998952</v>
      </c>
      <c r="F61" s="112">
        <f t="shared" si="37"/>
        <v>88236.949999998847</v>
      </c>
      <c r="G61" s="112">
        <f t="shared" si="37"/>
        <v>7770.7100000001665</v>
      </c>
      <c r="H61" s="112">
        <f t="shared" si="37"/>
        <v>108133.1399999993</v>
      </c>
      <c r="I61" s="112">
        <f t="shared" si="37"/>
        <v>-25021.799999999275</v>
      </c>
      <c r="J61" s="112">
        <f t="shared" si="37"/>
        <v>45901.450000000012</v>
      </c>
      <c r="K61" s="112">
        <f t="shared" si="37"/>
        <v>-8088.53000000061</v>
      </c>
      <c r="L61" s="112">
        <f t="shared" si="37"/>
        <v>-42376.360000000044</v>
      </c>
      <c r="M61" s="112">
        <f t="shared" si="37"/>
        <v>-131513.53000000093</v>
      </c>
      <c r="N61" s="112">
        <v>-208057.29</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320432.15000000002</v>
      </c>
      <c r="C68" s="111">
        <v>279695.45</v>
      </c>
      <c r="D68" s="111">
        <v>325876.90999999997</v>
      </c>
      <c r="E68" s="111">
        <v>305255.5</v>
      </c>
      <c r="F68" s="111">
        <v>332545.82</v>
      </c>
      <c r="G68" s="111">
        <v>318324.12</v>
      </c>
      <c r="H68" s="111">
        <v>284082.87</v>
      </c>
      <c r="I68" s="111">
        <v>305367.11</v>
      </c>
      <c r="J68" s="111">
        <v>305458.44</v>
      </c>
      <c r="K68" s="111">
        <v>306037.75</v>
      </c>
      <c r="L68" s="111">
        <v>288534.15000000002</v>
      </c>
      <c r="M68" s="111">
        <v>287183.67</v>
      </c>
      <c r="N68" s="111">
        <v>3658793.94</v>
      </c>
    </row>
    <row r="69" spans="1:14">
      <c r="A69" s="64" t="s">
        <v>67</v>
      </c>
      <c r="B69" s="107">
        <f t="shared" ref="B69:M69" si="38">SUM(B65:B68)</f>
        <v>320432.15000000002</v>
      </c>
      <c r="C69" s="107">
        <f t="shared" si="38"/>
        <v>279695.45</v>
      </c>
      <c r="D69" s="107">
        <f t="shared" si="38"/>
        <v>325876.90999999997</v>
      </c>
      <c r="E69" s="107">
        <f t="shared" si="38"/>
        <v>305255.5</v>
      </c>
      <c r="F69" s="107">
        <f t="shared" si="38"/>
        <v>332545.82</v>
      </c>
      <c r="G69" s="107">
        <f t="shared" si="38"/>
        <v>318324.12</v>
      </c>
      <c r="H69" s="107">
        <f t="shared" si="38"/>
        <v>284082.87</v>
      </c>
      <c r="I69" s="107">
        <f t="shared" si="38"/>
        <v>305367.11</v>
      </c>
      <c r="J69" s="107">
        <f t="shared" si="38"/>
        <v>305458.44</v>
      </c>
      <c r="K69" s="107">
        <f t="shared" si="38"/>
        <v>306037.75</v>
      </c>
      <c r="L69" s="107">
        <f t="shared" si="38"/>
        <v>288534.15000000002</v>
      </c>
      <c r="M69" s="107">
        <f t="shared" si="38"/>
        <v>287183.67</v>
      </c>
      <c r="N69" s="107">
        <v>3658793.94</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13535.51</v>
      </c>
      <c r="C72" s="111">
        <v>8990.76</v>
      </c>
      <c r="D72" s="111">
        <v>12062.88</v>
      </c>
      <c r="E72" s="111">
        <v>24543.9</v>
      </c>
      <c r="F72" s="111">
        <v>35721.300000000003</v>
      </c>
      <c r="G72" s="111">
        <v>35721.300000000003</v>
      </c>
      <c r="H72" s="111">
        <v>26516.82</v>
      </c>
      <c r="I72" s="111">
        <v>17692.63</v>
      </c>
      <c r="J72" s="111">
        <v>17121.900000000001</v>
      </c>
      <c r="K72" s="111">
        <v>17799.22</v>
      </c>
      <c r="L72" s="111">
        <v>17703.3</v>
      </c>
      <c r="M72" s="111">
        <v>13945.35</v>
      </c>
      <c r="N72" s="111">
        <v>241354.87</v>
      </c>
    </row>
    <row r="73" spans="1:14">
      <c r="A73" s="64" t="s">
        <v>69</v>
      </c>
      <c r="B73" s="107">
        <f t="shared" ref="B73:M73" si="39">SUM(B70:B72)</f>
        <v>13535.51</v>
      </c>
      <c r="C73" s="107">
        <f t="shared" si="39"/>
        <v>8990.76</v>
      </c>
      <c r="D73" s="107">
        <f t="shared" si="39"/>
        <v>12062.88</v>
      </c>
      <c r="E73" s="107">
        <f t="shared" si="39"/>
        <v>24543.9</v>
      </c>
      <c r="F73" s="107">
        <f t="shared" si="39"/>
        <v>35721.300000000003</v>
      </c>
      <c r="G73" s="107">
        <f t="shared" si="39"/>
        <v>35721.300000000003</v>
      </c>
      <c r="H73" s="107">
        <f t="shared" si="39"/>
        <v>26516.82</v>
      </c>
      <c r="I73" s="107">
        <f t="shared" si="39"/>
        <v>17692.63</v>
      </c>
      <c r="J73" s="107">
        <f t="shared" si="39"/>
        <v>17121.900000000001</v>
      </c>
      <c r="K73" s="107">
        <f t="shared" si="39"/>
        <v>17799.22</v>
      </c>
      <c r="L73" s="107">
        <f t="shared" si="39"/>
        <v>17703.3</v>
      </c>
      <c r="M73" s="107">
        <f t="shared" si="39"/>
        <v>13945.35</v>
      </c>
      <c r="N73" s="107">
        <v>241354.87</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81570.28</v>
      </c>
      <c r="C76" s="111">
        <v>107678.46</v>
      </c>
      <c r="D76" s="111">
        <v>84357.66</v>
      </c>
      <c r="E76" s="111">
        <v>43504.92</v>
      </c>
      <c r="F76" s="111">
        <v>138167.22</v>
      </c>
      <c r="G76" s="111">
        <v>113790.41</v>
      </c>
      <c r="H76" s="111">
        <v>192622.97</v>
      </c>
      <c r="I76" s="111">
        <v>160562.41</v>
      </c>
      <c r="J76" s="111">
        <v>124937.15</v>
      </c>
      <c r="K76" s="111">
        <v>54729.32</v>
      </c>
      <c r="L76" s="111">
        <v>35218.82</v>
      </c>
      <c r="M76" s="111">
        <v>79518.350000000006</v>
      </c>
      <c r="N76" s="111">
        <v>1216657.97</v>
      </c>
    </row>
    <row r="77" spans="1:14">
      <c r="A77" s="64" t="s">
        <v>71</v>
      </c>
      <c r="B77" s="107">
        <f t="shared" ref="B77:M77" si="40">SUM(B74:B76)</f>
        <v>81570.28</v>
      </c>
      <c r="C77" s="107">
        <f t="shared" si="40"/>
        <v>107678.46</v>
      </c>
      <c r="D77" s="107">
        <f t="shared" si="40"/>
        <v>84357.66</v>
      </c>
      <c r="E77" s="107">
        <f t="shared" si="40"/>
        <v>43504.92</v>
      </c>
      <c r="F77" s="107">
        <f t="shared" si="40"/>
        <v>138167.22</v>
      </c>
      <c r="G77" s="107">
        <f t="shared" si="40"/>
        <v>113790.41</v>
      </c>
      <c r="H77" s="107">
        <f t="shared" si="40"/>
        <v>192622.97</v>
      </c>
      <c r="I77" s="107">
        <f t="shared" si="40"/>
        <v>160562.41</v>
      </c>
      <c r="J77" s="107">
        <f t="shared" si="40"/>
        <v>124937.15</v>
      </c>
      <c r="K77" s="107">
        <f t="shared" si="40"/>
        <v>54729.32</v>
      </c>
      <c r="L77" s="107">
        <f t="shared" si="40"/>
        <v>35218.82</v>
      </c>
      <c r="M77" s="107">
        <f t="shared" si="40"/>
        <v>79518.350000000006</v>
      </c>
      <c r="N77" s="107">
        <v>1216657.97</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138444.85</v>
      </c>
      <c r="C83" s="111">
        <v>102720.06</v>
      </c>
      <c r="D83" s="111">
        <v>95537.29</v>
      </c>
      <c r="E83" s="111">
        <v>122547.37</v>
      </c>
      <c r="F83" s="111">
        <v>89466.03</v>
      </c>
      <c r="G83" s="111">
        <v>107710.94</v>
      </c>
      <c r="H83" s="111">
        <v>196906.19</v>
      </c>
      <c r="I83" s="111">
        <v>135990.44</v>
      </c>
      <c r="J83" s="111">
        <v>182773.62</v>
      </c>
      <c r="K83" s="111">
        <v>159028.85999999999</v>
      </c>
      <c r="L83" s="111">
        <v>170113.99</v>
      </c>
      <c r="M83" s="111">
        <v>189984.03</v>
      </c>
      <c r="N83" s="111">
        <v>1691223.67</v>
      </c>
    </row>
    <row r="84" spans="1:14">
      <c r="A84" s="64" t="s">
        <v>74</v>
      </c>
      <c r="B84" s="107">
        <f t="shared" ref="B84:M84" si="41">SUM(B81:B83)</f>
        <v>138444.85</v>
      </c>
      <c r="C84" s="107">
        <f t="shared" si="41"/>
        <v>102720.06</v>
      </c>
      <c r="D84" s="107">
        <f t="shared" si="41"/>
        <v>95537.29</v>
      </c>
      <c r="E84" s="107">
        <f t="shared" si="41"/>
        <v>122547.37</v>
      </c>
      <c r="F84" s="107">
        <f t="shared" si="41"/>
        <v>89466.03</v>
      </c>
      <c r="G84" s="107">
        <f t="shared" si="41"/>
        <v>107710.94</v>
      </c>
      <c r="H84" s="107">
        <f t="shared" si="41"/>
        <v>196906.19</v>
      </c>
      <c r="I84" s="107">
        <f t="shared" si="41"/>
        <v>135990.44</v>
      </c>
      <c r="J84" s="107">
        <f t="shared" si="41"/>
        <v>182773.62</v>
      </c>
      <c r="K84" s="107">
        <f t="shared" si="41"/>
        <v>159028.85999999999</v>
      </c>
      <c r="L84" s="107">
        <f t="shared" si="41"/>
        <v>170113.99</v>
      </c>
      <c r="M84" s="107">
        <f t="shared" si="41"/>
        <v>189984.03</v>
      </c>
      <c r="N84" s="107">
        <v>1691223.67</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11220</v>
      </c>
      <c r="C87" s="111">
        <v>12598</v>
      </c>
      <c r="D87" s="111">
        <v>11848</v>
      </c>
      <c r="E87" s="111">
        <v>9860</v>
      </c>
      <c r="F87" s="111">
        <v>10540</v>
      </c>
      <c r="G87" s="111">
        <v>14960</v>
      </c>
      <c r="H87" s="111">
        <v>18360</v>
      </c>
      <c r="I87" s="111">
        <v>26180</v>
      </c>
      <c r="J87" s="111">
        <v>36816</v>
      </c>
      <c r="K87" s="111">
        <v>61200</v>
      </c>
      <c r="L87" s="111">
        <v>65175.61</v>
      </c>
      <c r="M87" s="111">
        <v>63240</v>
      </c>
      <c r="N87" s="111">
        <v>341997.61</v>
      </c>
    </row>
    <row r="88" spans="1:14">
      <c r="A88" s="64" t="s">
        <v>76</v>
      </c>
      <c r="B88" s="107">
        <f t="shared" ref="B88:M88" si="42">SUM(B85:B87)</f>
        <v>11220</v>
      </c>
      <c r="C88" s="107">
        <f t="shared" si="42"/>
        <v>12598</v>
      </c>
      <c r="D88" s="107">
        <f t="shared" si="42"/>
        <v>11848</v>
      </c>
      <c r="E88" s="107">
        <f t="shared" si="42"/>
        <v>9860</v>
      </c>
      <c r="F88" s="107">
        <f t="shared" si="42"/>
        <v>10540</v>
      </c>
      <c r="G88" s="107">
        <f t="shared" si="42"/>
        <v>14960</v>
      </c>
      <c r="H88" s="107">
        <f t="shared" si="42"/>
        <v>18360</v>
      </c>
      <c r="I88" s="107">
        <f t="shared" si="42"/>
        <v>26180</v>
      </c>
      <c r="J88" s="107">
        <f t="shared" si="42"/>
        <v>36816</v>
      </c>
      <c r="K88" s="107">
        <f t="shared" si="42"/>
        <v>61200</v>
      </c>
      <c r="L88" s="107">
        <f t="shared" si="42"/>
        <v>65175.61</v>
      </c>
      <c r="M88" s="107">
        <f t="shared" si="42"/>
        <v>63240</v>
      </c>
      <c r="N88" s="107">
        <v>341997.61</v>
      </c>
    </row>
    <row r="89" spans="1:14">
      <c r="A89" s="64"/>
      <c r="B89" s="113"/>
      <c r="C89" s="113"/>
      <c r="D89" s="113"/>
      <c r="E89" s="113"/>
      <c r="F89" s="113"/>
      <c r="G89" s="113"/>
      <c r="H89" s="113"/>
      <c r="I89" s="113"/>
      <c r="J89" s="113"/>
      <c r="K89" s="113"/>
      <c r="L89" s="113"/>
      <c r="M89" s="113"/>
      <c r="N89" s="113"/>
    </row>
    <row r="90" spans="1:14">
      <c r="A90" s="64" t="s">
        <v>42</v>
      </c>
      <c r="B90" s="107">
        <f t="shared" ref="B90:M90" si="43">SUM(B67:B89)-B69-B73-B77-B80-B84-B88</f>
        <v>565202.79</v>
      </c>
      <c r="C90" s="107">
        <f t="shared" si="43"/>
        <v>511682.73000000004</v>
      </c>
      <c r="D90" s="107">
        <f t="shared" si="43"/>
        <v>529682.74</v>
      </c>
      <c r="E90" s="107">
        <f t="shared" si="43"/>
        <v>505711.69000000006</v>
      </c>
      <c r="F90" s="107">
        <f t="shared" si="43"/>
        <v>606440.36999999988</v>
      </c>
      <c r="G90" s="107">
        <f t="shared" si="43"/>
        <v>590506.77</v>
      </c>
      <c r="H90" s="107">
        <f t="shared" si="43"/>
        <v>718488.84999999963</v>
      </c>
      <c r="I90" s="107">
        <f t="shared" si="43"/>
        <v>645792.58999999985</v>
      </c>
      <c r="J90" s="107">
        <f t="shared" si="43"/>
        <v>667107.11000000022</v>
      </c>
      <c r="K90" s="107">
        <f t="shared" si="43"/>
        <v>598795.14999999991</v>
      </c>
      <c r="L90" s="107">
        <f t="shared" si="43"/>
        <v>576745.87000000023</v>
      </c>
      <c r="M90" s="107">
        <f t="shared" si="43"/>
        <v>633871.39999999991</v>
      </c>
      <c r="N90" s="107">
        <v>7150028.0599999996</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4612.03</v>
      </c>
      <c r="C95" s="111">
        <v>-4152.25</v>
      </c>
      <c r="D95" s="111">
        <v>-3213.93</v>
      </c>
      <c r="E95" s="111">
        <v>-6042.51</v>
      </c>
      <c r="F95" s="111">
        <v>1050.3499999999999</v>
      </c>
      <c r="G95" s="111">
        <v>-28610.99</v>
      </c>
      <c r="H95" s="111">
        <v>-42709.11</v>
      </c>
      <c r="I95" s="111">
        <v>-1417.42</v>
      </c>
      <c r="J95" s="111">
        <v>1174.29</v>
      </c>
      <c r="K95" s="111">
        <v>6054.89</v>
      </c>
      <c r="L95" s="111">
        <v>-6211.92</v>
      </c>
      <c r="M95" s="111">
        <v>-7591.25</v>
      </c>
      <c r="N95" s="111">
        <v>-87057.82</v>
      </c>
    </row>
    <row r="96" spans="1:14">
      <c r="A96" s="64" t="s">
        <v>67</v>
      </c>
      <c r="B96" s="107">
        <f t="shared" ref="B96:M96" si="44">SUM(B94:B95)</f>
        <v>4612.03</v>
      </c>
      <c r="C96" s="107">
        <f t="shared" si="44"/>
        <v>-4152.25</v>
      </c>
      <c r="D96" s="107">
        <f t="shared" si="44"/>
        <v>-3213.93</v>
      </c>
      <c r="E96" s="107">
        <f t="shared" si="44"/>
        <v>-6042.51</v>
      </c>
      <c r="F96" s="107">
        <f t="shared" si="44"/>
        <v>1050.3499999999999</v>
      </c>
      <c r="G96" s="107">
        <f t="shared" si="44"/>
        <v>-28610.99</v>
      </c>
      <c r="H96" s="107">
        <f t="shared" si="44"/>
        <v>-42709.11</v>
      </c>
      <c r="I96" s="107">
        <f t="shared" si="44"/>
        <v>-1417.42</v>
      </c>
      <c r="J96" s="107">
        <f t="shared" si="44"/>
        <v>1174.29</v>
      </c>
      <c r="K96" s="107">
        <f t="shared" si="44"/>
        <v>6054.89</v>
      </c>
      <c r="L96" s="107">
        <f t="shared" si="44"/>
        <v>-6211.92</v>
      </c>
      <c r="M96" s="107">
        <f t="shared" si="44"/>
        <v>-7591.25</v>
      </c>
      <c r="N96" s="107">
        <v>-87057.82</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1">
        <v>-2297.1</v>
      </c>
      <c r="C99" s="113"/>
      <c r="D99" s="113"/>
      <c r="E99" s="111">
        <v>113.61</v>
      </c>
      <c r="F99" s="113"/>
      <c r="G99" s="111">
        <v>-818.4</v>
      </c>
      <c r="H99" s="111">
        <v>-319.77</v>
      </c>
      <c r="I99" s="111">
        <v>-8607</v>
      </c>
      <c r="J99" s="113"/>
      <c r="K99" s="113"/>
      <c r="L99" s="111">
        <v>271.32</v>
      </c>
      <c r="M99" s="111">
        <v>-3349.05</v>
      </c>
      <c r="N99" s="111">
        <v>-15006.39</v>
      </c>
    </row>
    <row r="100" spans="1:14">
      <c r="A100" s="64" t="s">
        <v>69</v>
      </c>
      <c r="B100" s="107">
        <f>SUM(B97:B99)</f>
        <v>-2297.1</v>
      </c>
      <c r="C100" s="107"/>
      <c r="D100" s="107"/>
      <c r="E100" s="107">
        <f>SUM(E97:E99)</f>
        <v>113.61</v>
      </c>
      <c r="F100" s="107"/>
      <c r="G100" s="107">
        <f>SUM(G97:G99)</f>
        <v>-818.4</v>
      </c>
      <c r="H100" s="107">
        <f>SUM(H97:H99)</f>
        <v>-319.77</v>
      </c>
      <c r="I100" s="107">
        <f>SUM(I97:I99)</f>
        <v>-8607</v>
      </c>
      <c r="J100" s="107"/>
      <c r="K100" s="107"/>
      <c r="L100" s="107">
        <f>SUM(L97:L99)</f>
        <v>271.32</v>
      </c>
      <c r="M100" s="107">
        <f>SUM(M97:M99)</f>
        <v>-3349.05</v>
      </c>
      <c r="N100" s="107">
        <v>-15006.39</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-3.49</v>
      </c>
      <c r="C103" s="113"/>
      <c r="D103" s="111">
        <v>-1218.19</v>
      </c>
      <c r="E103" s="111">
        <v>-489.16</v>
      </c>
      <c r="F103" s="111">
        <v>-194.37</v>
      </c>
      <c r="G103" s="113"/>
      <c r="H103" s="111">
        <v>35.67</v>
      </c>
      <c r="I103" s="111">
        <v>2152.79</v>
      </c>
      <c r="J103" s="111">
        <v>1549.9</v>
      </c>
      <c r="K103" s="111">
        <v>-30763.37</v>
      </c>
      <c r="L103" s="111">
        <v>-27654.61</v>
      </c>
      <c r="M103" s="111">
        <v>30239.79</v>
      </c>
      <c r="N103" s="111">
        <v>-26345.040000000001</v>
      </c>
    </row>
    <row r="104" spans="1:14">
      <c r="A104" s="64" t="s">
        <v>71</v>
      </c>
      <c r="B104" s="107">
        <f>SUM(B101:B103)</f>
        <v>-3.49</v>
      </c>
      <c r="C104" s="107"/>
      <c r="D104" s="107">
        <f>SUM(D101:D103)</f>
        <v>-1218.19</v>
      </c>
      <c r="E104" s="107">
        <f>SUM(E101:E103)</f>
        <v>-489.16</v>
      </c>
      <c r="F104" s="107">
        <f>SUM(F101:F103)</f>
        <v>-194.37</v>
      </c>
      <c r="G104" s="107"/>
      <c r="H104" s="107">
        <f t="shared" ref="H104:M104" si="45">SUM(H101:H103)</f>
        <v>35.67</v>
      </c>
      <c r="I104" s="107">
        <f t="shared" si="45"/>
        <v>2152.79</v>
      </c>
      <c r="J104" s="107">
        <f t="shared" si="45"/>
        <v>1549.9</v>
      </c>
      <c r="K104" s="107">
        <f t="shared" si="45"/>
        <v>-30763.37</v>
      </c>
      <c r="L104" s="107">
        <f t="shared" si="45"/>
        <v>-27654.61</v>
      </c>
      <c r="M104" s="107">
        <f t="shared" si="45"/>
        <v>30239.79</v>
      </c>
      <c r="N104" s="107">
        <v>-26345.040000000001</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-2510</v>
      </c>
      <c r="C110" s="111">
        <v>5339</v>
      </c>
      <c r="D110" s="111">
        <v>-500</v>
      </c>
      <c r="E110" s="111">
        <v>-88.96</v>
      </c>
      <c r="F110" s="111">
        <v>2008.24</v>
      </c>
      <c r="G110" s="111">
        <v>-6.08</v>
      </c>
      <c r="H110" s="111">
        <v>-355.92</v>
      </c>
      <c r="I110" s="111">
        <v>-3295.52</v>
      </c>
      <c r="J110" s="111">
        <v>-1100</v>
      </c>
      <c r="K110" s="111">
        <v>27770.38</v>
      </c>
      <c r="L110" s="111">
        <v>-6962.79</v>
      </c>
      <c r="M110" s="111">
        <v>-1657</v>
      </c>
      <c r="N110" s="111">
        <v>18641.349999999999</v>
      </c>
    </row>
    <row r="111" spans="1:14">
      <c r="A111" s="64" t="s">
        <v>74</v>
      </c>
      <c r="B111" s="107">
        <f t="shared" ref="B111:M111" si="46">SUM(B108:B110)</f>
        <v>-2510</v>
      </c>
      <c r="C111" s="107">
        <f t="shared" si="46"/>
        <v>5339</v>
      </c>
      <c r="D111" s="107">
        <f t="shared" si="46"/>
        <v>-500</v>
      </c>
      <c r="E111" s="107">
        <f t="shared" si="46"/>
        <v>-88.96</v>
      </c>
      <c r="F111" s="107">
        <f t="shared" si="46"/>
        <v>2008.24</v>
      </c>
      <c r="G111" s="107">
        <f t="shared" si="46"/>
        <v>-6.08</v>
      </c>
      <c r="H111" s="107">
        <f t="shared" si="46"/>
        <v>-355.92</v>
      </c>
      <c r="I111" s="107">
        <f t="shared" si="46"/>
        <v>-3295.52</v>
      </c>
      <c r="J111" s="107">
        <f t="shared" si="46"/>
        <v>-1100</v>
      </c>
      <c r="K111" s="107">
        <f t="shared" si="46"/>
        <v>27770.38</v>
      </c>
      <c r="L111" s="107">
        <f t="shared" si="46"/>
        <v>-6962.79</v>
      </c>
      <c r="M111" s="107">
        <f t="shared" si="46"/>
        <v>-1657</v>
      </c>
      <c r="N111" s="107">
        <v>18641.349999999999</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1">
        <v>803.38</v>
      </c>
      <c r="C114" s="111">
        <v>2550</v>
      </c>
      <c r="D114" s="111">
        <v>3740</v>
      </c>
      <c r="E114" s="111">
        <v>6120</v>
      </c>
      <c r="F114" s="113"/>
      <c r="G114" s="111">
        <v>23630</v>
      </c>
      <c r="H114" s="111">
        <v>27030</v>
      </c>
      <c r="I114" s="113"/>
      <c r="J114" s="113"/>
      <c r="K114" s="111">
        <v>-6630</v>
      </c>
      <c r="L114" s="111">
        <v>3972.5</v>
      </c>
      <c r="M114" s="111">
        <v>-5568.11</v>
      </c>
      <c r="N114" s="111">
        <v>55647.77</v>
      </c>
    </row>
    <row r="115" spans="1:14">
      <c r="A115" s="64" t="s">
        <v>76</v>
      </c>
      <c r="B115" s="107">
        <f>SUM(B112:B114)</f>
        <v>803.38</v>
      </c>
      <c r="C115" s="107">
        <f>SUM(C112:C114)</f>
        <v>2550</v>
      </c>
      <c r="D115" s="107">
        <f>SUM(D112:D114)</f>
        <v>3740</v>
      </c>
      <c r="E115" s="107">
        <f>SUM(E112:E114)</f>
        <v>6120</v>
      </c>
      <c r="F115" s="107"/>
      <c r="G115" s="107">
        <f>SUM(G112:G114)</f>
        <v>23630</v>
      </c>
      <c r="H115" s="107">
        <f>SUM(H112:H114)</f>
        <v>27030</v>
      </c>
      <c r="I115" s="107"/>
      <c r="J115" s="107"/>
      <c r="K115" s="107">
        <f>SUM(K112:K114)</f>
        <v>-6630</v>
      </c>
      <c r="L115" s="107">
        <f>SUM(L112:L114)</f>
        <v>3972.5</v>
      </c>
      <c r="M115" s="107">
        <f>SUM(M112:M114)</f>
        <v>-5568.11</v>
      </c>
      <c r="N115" s="107">
        <v>55647.77</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M117" si="47">SUM(B92:B116)-B96-B100-B104-B107-B111-B115</f>
        <v>604.8199999999996</v>
      </c>
      <c r="C117" s="107">
        <f t="shared" si="47"/>
        <v>3736.75</v>
      </c>
      <c r="D117" s="107">
        <f t="shared" si="47"/>
        <v>-1192.1199999999999</v>
      </c>
      <c r="E117" s="107">
        <f t="shared" si="47"/>
        <v>-387.0199999999968</v>
      </c>
      <c r="F117" s="107">
        <f t="shared" si="47"/>
        <v>2864.2200000000003</v>
      </c>
      <c r="G117" s="107">
        <f t="shared" si="47"/>
        <v>-5805.4700000000048</v>
      </c>
      <c r="H117" s="107">
        <f t="shared" si="47"/>
        <v>-16319.130000000008</v>
      </c>
      <c r="I117" s="107">
        <f t="shared" si="47"/>
        <v>-11167.149999999998</v>
      </c>
      <c r="J117" s="107">
        <f t="shared" si="47"/>
        <v>1624.19</v>
      </c>
      <c r="K117" s="107">
        <f t="shared" si="47"/>
        <v>-3568.0999999999913</v>
      </c>
      <c r="L117" s="107">
        <f t="shared" si="47"/>
        <v>-36585.499999999993</v>
      </c>
      <c r="M117" s="107">
        <f t="shared" si="47"/>
        <v>12074.380000000005</v>
      </c>
      <c r="N117" s="107">
        <v>-54120.13</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107">
        <v>1968.23</v>
      </c>
      <c r="C122" s="107">
        <v>1245.3800000000001</v>
      </c>
      <c r="D122" s="107">
        <v>4051.18</v>
      </c>
      <c r="E122" s="107">
        <v>781.98</v>
      </c>
      <c r="F122" s="107">
        <v>3079.45</v>
      </c>
      <c r="G122" s="107">
        <v>941.32</v>
      </c>
      <c r="H122" s="107">
        <v>1870.88</v>
      </c>
      <c r="I122" s="107">
        <v>473.99</v>
      </c>
      <c r="J122" s="22"/>
      <c r="K122" s="22"/>
      <c r="L122" s="22"/>
      <c r="M122" s="22"/>
      <c r="N122" s="107">
        <v>14412.41</v>
      </c>
    </row>
    <row r="123" spans="1:14">
      <c r="A123" s="64" t="s">
        <v>78</v>
      </c>
      <c r="B123" s="107">
        <v>615</v>
      </c>
      <c r="C123" s="22"/>
      <c r="D123" s="22"/>
      <c r="E123" s="22"/>
      <c r="F123" s="22"/>
      <c r="G123" s="22"/>
      <c r="H123" s="107">
        <v>12045</v>
      </c>
      <c r="I123" s="107">
        <v>1845</v>
      </c>
      <c r="J123" s="107">
        <v>2910</v>
      </c>
      <c r="K123" s="107">
        <v>1515</v>
      </c>
      <c r="L123" s="107">
        <v>360</v>
      </c>
      <c r="M123" s="107">
        <v>1620</v>
      </c>
      <c r="N123" s="107">
        <v>20910</v>
      </c>
    </row>
    <row r="124" spans="1:14">
      <c r="A124" s="64" t="s">
        <v>315</v>
      </c>
      <c r="B124" s="22"/>
      <c r="C124" s="22"/>
      <c r="D124" s="22"/>
      <c r="E124" s="22"/>
      <c r="F124" s="22"/>
      <c r="G124" s="22"/>
      <c r="H124" s="107">
        <v>11235</v>
      </c>
      <c r="I124" s="107">
        <v>3345</v>
      </c>
      <c r="J124" s="107">
        <v>1560</v>
      </c>
      <c r="K124" s="107">
        <v>1125</v>
      </c>
      <c r="L124" s="107">
        <v>1485</v>
      </c>
      <c r="M124" s="107">
        <v>990</v>
      </c>
      <c r="N124" s="107">
        <v>19740</v>
      </c>
    </row>
    <row r="125" spans="1:14">
      <c r="A125" s="64" t="s">
        <v>316</v>
      </c>
      <c r="B125" s="22"/>
      <c r="C125" s="22"/>
      <c r="D125" s="22"/>
      <c r="E125" s="22"/>
      <c r="F125" s="22"/>
      <c r="G125" s="22"/>
      <c r="H125" s="22"/>
      <c r="I125" s="22"/>
      <c r="J125" s="22"/>
      <c r="K125" s="22"/>
      <c r="L125" s="107">
        <v>120</v>
      </c>
      <c r="M125" s="22"/>
      <c r="N125" s="107">
        <v>120</v>
      </c>
    </row>
    <row r="126" spans="1:14">
      <c r="A126" s="64" t="s">
        <v>79</v>
      </c>
      <c r="B126" s="22"/>
      <c r="C126" s="107">
        <v>450</v>
      </c>
      <c r="D126" s="107">
        <v>450</v>
      </c>
      <c r="E126" s="22"/>
      <c r="F126" s="22"/>
      <c r="G126" s="22"/>
      <c r="H126" s="22"/>
      <c r="I126" s="22"/>
      <c r="J126" s="22"/>
      <c r="K126" s="22"/>
      <c r="L126" s="22"/>
      <c r="M126" s="22"/>
      <c r="N126" s="107">
        <v>900</v>
      </c>
    </row>
    <row r="127" spans="1:14">
      <c r="A127" s="64" t="s">
        <v>80</v>
      </c>
      <c r="B127" s="107">
        <v>720.91</v>
      </c>
      <c r="C127" s="22"/>
      <c r="D127" s="22"/>
      <c r="E127" s="22"/>
      <c r="F127" s="22"/>
      <c r="G127" s="107">
        <v>-30</v>
      </c>
      <c r="H127" s="22"/>
      <c r="I127" s="107">
        <v>560.79999999999995</v>
      </c>
      <c r="J127" s="22"/>
      <c r="K127" s="107">
        <v>196.07</v>
      </c>
      <c r="L127" s="22"/>
      <c r="M127" s="22"/>
      <c r="N127" s="107">
        <v>1447.78</v>
      </c>
    </row>
    <row r="128" spans="1:14">
      <c r="A128" s="64" t="s">
        <v>81</v>
      </c>
      <c r="B128" s="22"/>
      <c r="C128" s="22"/>
      <c r="D128" s="22"/>
      <c r="E128" s="107">
        <v>-67.95</v>
      </c>
      <c r="F128" s="22"/>
      <c r="G128" s="22"/>
      <c r="H128" s="22"/>
      <c r="I128" s="22"/>
      <c r="J128" s="22"/>
      <c r="K128" s="22"/>
      <c r="L128" s="22"/>
      <c r="M128" s="22"/>
      <c r="N128" s="107">
        <v>-67.95</v>
      </c>
    </row>
    <row r="129" spans="1:14">
      <c r="A129" s="64" t="s">
        <v>82</v>
      </c>
      <c r="B129" s="107">
        <v>155</v>
      </c>
      <c r="C129" s="107">
        <v>150</v>
      </c>
      <c r="D129" s="107">
        <v>155</v>
      </c>
      <c r="E129" s="107">
        <v>105</v>
      </c>
      <c r="F129" s="107">
        <v>155</v>
      </c>
      <c r="G129" s="107">
        <v>155</v>
      </c>
      <c r="H129" s="107">
        <v>140</v>
      </c>
      <c r="I129" s="107">
        <v>155</v>
      </c>
      <c r="J129" s="107">
        <v>150</v>
      </c>
      <c r="K129" s="107">
        <v>155</v>
      </c>
      <c r="L129" s="107">
        <v>150</v>
      </c>
      <c r="M129" s="107">
        <v>155</v>
      </c>
      <c r="N129" s="107">
        <v>1780</v>
      </c>
    </row>
    <row r="130" spans="1:14">
      <c r="A130" s="64" t="s">
        <v>354</v>
      </c>
      <c r="B130" s="22"/>
      <c r="C130" s="22"/>
      <c r="D130" s="22"/>
      <c r="E130" s="22"/>
      <c r="F130" s="22"/>
      <c r="G130" s="22"/>
      <c r="H130" s="22"/>
      <c r="I130" s="22"/>
      <c r="J130" s="22"/>
      <c r="K130" s="22"/>
      <c r="L130" s="22"/>
      <c r="M130" s="22"/>
      <c r="N130" s="22"/>
    </row>
    <row r="131" spans="1:14">
      <c r="A131" s="64" t="s">
        <v>84</v>
      </c>
      <c r="B131" s="111">
        <v>-3459.14</v>
      </c>
      <c r="C131" s="111">
        <v>-1845.38</v>
      </c>
      <c r="D131" s="111">
        <v>-4656.18</v>
      </c>
      <c r="E131" s="111">
        <v>-819.03</v>
      </c>
      <c r="F131" s="111">
        <v>-3234.45</v>
      </c>
      <c r="G131" s="111">
        <v>-1066.32</v>
      </c>
      <c r="H131" s="111">
        <v>-1611.94</v>
      </c>
      <c r="I131" s="111">
        <v>-2291.35</v>
      </c>
      <c r="J131" s="111">
        <v>-2433.16</v>
      </c>
      <c r="K131" s="111">
        <v>-614.07000000000005</v>
      </c>
      <c r="L131" s="111">
        <v>927.56</v>
      </c>
      <c r="M131" s="111">
        <v>-7.68</v>
      </c>
      <c r="N131" s="111">
        <v>-21111.14</v>
      </c>
    </row>
    <row r="132" spans="1:14">
      <c r="A132" s="64" t="s">
        <v>85</v>
      </c>
      <c r="B132" s="107"/>
      <c r="C132" s="107"/>
      <c r="D132" s="107"/>
      <c r="E132" s="107"/>
      <c r="F132" s="107"/>
      <c r="G132" s="107"/>
      <c r="H132" s="107">
        <f t="shared" ref="H132:M132" si="48">SUM(H121:H131)</f>
        <v>23678.940000000002</v>
      </c>
      <c r="I132" s="107">
        <f t="shared" si="48"/>
        <v>4088.44</v>
      </c>
      <c r="J132" s="107">
        <f t="shared" si="48"/>
        <v>2186.84</v>
      </c>
      <c r="K132" s="107">
        <f t="shared" si="48"/>
        <v>2377</v>
      </c>
      <c r="L132" s="107">
        <f t="shared" si="48"/>
        <v>3042.56</v>
      </c>
      <c r="M132" s="107">
        <f t="shared" si="48"/>
        <v>2757.32</v>
      </c>
      <c r="N132" s="107">
        <v>38131.1</v>
      </c>
    </row>
    <row r="133" spans="1:14">
      <c r="A133" s="64"/>
      <c r="B133" s="22"/>
      <c r="C133" s="22"/>
      <c r="D133" s="22"/>
      <c r="E133" s="22"/>
      <c r="F133" s="22"/>
      <c r="G133" s="22"/>
      <c r="H133" s="22"/>
      <c r="I133" s="22"/>
      <c r="J133" s="22"/>
      <c r="K133" s="22"/>
      <c r="L133" s="22"/>
      <c r="M133" s="22"/>
      <c r="N133" s="22"/>
    </row>
    <row r="134" spans="1:14">
      <c r="A134" s="64" t="s">
        <v>20</v>
      </c>
      <c r="B134" s="22"/>
      <c r="C134" s="22"/>
      <c r="D134" s="22"/>
      <c r="E134" s="22"/>
      <c r="F134" s="22"/>
      <c r="G134" s="22"/>
      <c r="H134" s="22"/>
      <c r="I134" s="22"/>
      <c r="J134" s="22"/>
      <c r="K134" s="22"/>
      <c r="L134" s="22"/>
      <c r="M134" s="22"/>
      <c r="N134" s="22"/>
    </row>
    <row r="135" spans="1:14">
      <c r="A135" s="64" t="s">
        <v>317</v>
      </c>
      <c r="B135" s="107">
        <v>117.87</v>
      </c>
      <c r="C135" s="22"/>
      <c r="D135" s="22"/>
      <c r="E135" s="22"/>
      <c r="F135" s="107">
        <v>978.46</v>
      </c>
      <c r="G135" s="107">
        <v>54.8</v>
      </c>
      <c r="H135" s="107">
        <v>19.91</v>
      </c>
      <c r="I135" s="22"/>
      <c r="J135" s="22"/>
      <c r="K135" s="22"/>
      <c r="L135" s="22"/>
      <c r="M135" s="22"/>
      <c r="N135" s="107">
        <v>1171.04</v>
      </c>
    </row>
    <row r="136" spans="1:14">
      <c r="A136" s="64" t="s">
        <v>87</v>
      </c>
      <c r="B136" s="111">
        <v>-117.87</v>
      </c>
      <c r="C136" s="113"/>
      <c r="D136" s="113"/>
      <c r="E136" s="113"/>
      <c r="F136" s="111">
        <v>-978.46</v>
      </c>
      <c r="G136" s="111">
        <v>-54.8</v>
      </c>
      <c r="H136" s="111">
        <v>-19.91</v>
      </c>
      <c r="I136" s="113"/>
      <c r="J136" s="113"/>
      <c r="K136" s="113"/>
      <c r="L136" s="113"/>
      <c r="M136" s="113"/>
      <c r="N136" s="111">
        <v>-1171.04</v>
      </c>
    </row>
    <row r="137" spans="1:14">
      <c r="A137" s="64"/>
      <c r="B137" s="22"/>
      <c r="C137" s="22"/>
      <c r="D137" s="22"/>
      <c r="E137" s="22"/>
      <c r="F137" s="22"/>
      <c r="G137" s="22"/>
      <c r="H137" s="22"/>
      <c r="I137" s="22"/>
      <c r="J137" s="22"/>
      <c r="K137" s="22"/>
      <c r="L137" s="22"/>
      <c r="M137" s="22"/>
      <c r="N137" s="22"/>
    </row>
    <row r="138" spans="1:14">
      <c r="A138" s="64" t="s">
        <v>88</v>
      </c>
      <c r="B138" s="22"/>
      <c r="C138" s="22"/>
      <c r="D138" s="22"/>
      <c r="E138" s="22"/>
      <c r="F138" s="22"/>
      <c r="G138" s="22"/>
      <c r="H138" s="22"/>
      <c r="I138" s="22"/>
      <c r="J138" s="22"/>
      <c r="K138" s="22"/>
      <c r="L138" s="22"/>
      <c r="M138" s="22"/>
      <c r="N138" s="22"/>
    </row>
    <row r="139" spans="1:14">
      <c r="A139" s="64" t="s">
        <v>89</v>
      </c>
      <c r="B139" s="107">
        <v>12408.16</v>
      </c>
      <c r="C139" s="107">
        <v>6721.68</v>
      </c>
      <c r="D139" s="107">
        <v>6404.88</v>
      </c>
      <c r="E139" s="107">
        <v>1766.4</v>
      </c>
      <c r="F139" s="107">
        <v>5013.97</v>
      </c>
      <c r="G139" s="107">
        <v>7178.7</v>
      </c>
      <c r="H139" s="107">
        <v>7449.64</v>
      </c>
      <c r="I139" s="107">
        <v>7047.81</v>
      </c>
      <c r="J139" s="107">
        <v>7106.6</v>
      </c>
      <c r="K139" s="107">
        <v>8542.48</v>
      </c>
      <c r="L139" s="107">
        <v>6007.42</v>
      </c>
      <c r="M139" s="107">
        <v>11394.37</v>
      </c>
      <c r="N139" s="107">
        <v>87042.11</v>
      </c>
    </row>
    <row r="140" spans="1:14">
      <c r="A140" s="64" t="s">
        <v>90</v>
      </c>
      <c r="B140" s="107">
        <v>5235</v>
      </c>
      <c r="C140" s="107">
        <v>9120</v>
      </c>
      <c r="D140" s="107">
        <v>11280</v>
      </c>
      <c r="E140" s="107">
        <v>6360</v>
      </c>
      <c r="F140" s="107">
        <v>20580</v>
      </c>
      <c r="G140" s="107">
        <v>14925</v>
      </c>
      <c r="H140" s="107">
        <v>23085</v>
      </c>
      <c r="I140" s="107">
        <v>18435</v>
      </c>
      <c r="J140" s="107">
        <v>10800</v>
      </c>
      <c r="K140" s="107">
        <v>11100</v>
      </c>
      <c r="L140" s="107">
        <v>10155</v>
      </c>
      <c r="M140" s="107">
        <v>19665</v>
      </c>
      <c r="N140" s="107">
        <v>160740</v>
      </c>
    </row>
    <row r="141" spans="1:14">
      <c r="A141" s="64" t="s">
        <v>91</v>
      </c>
      <c r="B141" s="107">
        <v>6525</v>
      </c>
      <c r="C141" s="107">
        <v>9885</v>
      </c>
      <c r="D141" s="107">
        <v>12930</v>
      </c>
      <c r="E141" s="107">
        <v>6945</v>
      </c>
      <c r="F141" s="107">
        <v>21435</v>
      </c>
      <c r="G141" s="107">
        <v>16665</v>
      </c>
      <c r="H141" s="107">
        <v>26205</v>
      </c>
      <c r="I141" s="107">
        <v>23790</v>
      </c>
      <c r="J141" s="107">
        <v>13440</v>
      </c>
      <c r="K141" s="107">
        <v>8685</v>
      </c>
      <c r="L141" s="107">
        <v>10245</v>
      </c>
      <c r="M141" s="107">
        <v>20160</v>
      </c>
      <c r="N141" s="107">
        <v>176910</v>
      </c>
    </row>
    <row r="142" spans="1:14">
      <c r="A142" s="64" t="s">
        <v>92</v>
      </c>
      <c r="B142" s="107">
        <v>1010</v>
      </c>
      <c r="C142" s="107">
        <v>1700</v>
      </c>
      <c r="D142" s="107">
        <v>2535</v>
      </c>
      <c r="E142" s="107">
        <v>1040</v>
      </c>
      <c r="F142" s="107">
        <v>5990</v>
      </c>
      <c r="G142" s="107">
        <v>12550</v>
      </c>
      <c r="H142" s="107">
        <v>12805</v>
      </c>
      <c r="I142" s="107">
        <v>9450</v>
      </c>
      <c r="J142" s="107">
        <v>9320</v>
      </c>
      <c r="K142" s="107">
        <v>8470</v>
      </c>
      <c r="L142" s="107">
        <v>10805</v>
      </c>
      <c r="M142" s="107">
        <v>11735</v>
      </c>
      <c r="N142" s="107">
        <v>87410</v>
      </c>
    </row>
    <row r="143" spans="1:14">
      <c r="A143" s="64" t="s">
        <v>94</v>
      </c>
      <c r="B143" s="107">
        <v>900</v>
      </c>
      <c r="C143" s="107">
        <v>900</v>
      </c>
      <c r="D143" s="107">
        <v>1350</v>
      </c>
      <c r="E143" s="107">
        <v>450</v>
      </c>
      <c r="F143" s="107">
        <v>900</v>
      </c>
      <c r="G143" s="107">
        <v>1800</v>
      </c>
      <c r="H143" s="107">
        <v>900</v>
      </c>
      <c r="I143" s="107">
        <v>2250</v>
      </c>
      <c r="J143" s="107">
        <v>3150</v>
      </c>
      <c r="K143" s="107">
        <v>1019.8</v>
      </c>
      <c r="L143" s="107">
        <v>3600</v>
      </c>
      <c r="M143" s="107">
        <v>2700</v>
      </c>
      <c r="N143" s="107">
        <v>19919.8</v>
      </c>
    </row>
    <row r="144" spans="1:14">
      <c r="A144" s="64" t="s">
        <v>95</v>
      </c>
      <c r="B144" s="107">
        <v>551.95000000000005</v>
      </c>
      <c r="C144" s="107">
        <v>778.65</v>
      </c>
      <c r="D144" s="107">
        <v>899.92</v>
      </c>
      <c r="E144" s="107">
        <v>422.2</v>
      </c>
      <c r="F144" s="107">
        <v>845.11</v>
      </c>
      <c r="G144" s="107">
        <v>1222.6500000000001</v>
      </c>
      <c r="H144" s="107">
        <v>1914.1</v>
      </c>
      <c r="I144" s="107">
        <v>2066.65</v>
      </c>
      <c r="J144" s="107">
        <v>1150.97</v>
      </c>
      <c r="K144" s="107">
        <v>2010.09</v>
      </c>
      <c r="L144" s="107">
        <v>1534.26</v>
      </c>
      <c r="M144" s="107">
        <v>992.4</v>
      </c>
      <c r="N144" s="107">
        <v>14388.95</v>
      </c>
    </row>
    <row r="145" spans="1:14">
      <c r="A145" s="64" t="s">
        <v>98</v>
      </c>
      <c r="B145" s="111">
        <v>-26630.11</v>
      </c>
      <c r="C145" s="111">
        <v>-29105.33</v>
      </c>
      <c r="D145" s="111">
        <v>-35399.800000000003</v>
      </c>
      <c r="E145" s="111">
        <v>-16983.599999999999</v>
      </c>
      <c r="F145" s="111">
        <v>-54764.08</v>
      </c>
      <c r="G145" s="111">
        <v>-54341.35</v>
      </c>
      <c r="H145" s="111">
        <v>-72358.740000000005</v>
      </c>
      <c r="I145" s="111">
        <v>-63039.46</v>
      </c>
      <c r="J145" s="111">
        <v>-44967.57</v>
      </c>
      <c r="K145" s="111">
        <v>-39827.370000000003</v>
      </c>
      <c r="L145" s="111">
        <v>-42346.68</v>
      </c>
      <c r="M145" s="111">
        <v>-66646.77</v>
      </c>
      <c r="N145" s="111">
        <v>-546410.86</v>
      </c>
    </row>
    <row r="146" spans="1:14">
      <c r="A146" s="64"/>
      <c r="B146" s="22"/>
      <c r="C146" s="22"/>
      <c r="D146" s="22"/>
      <c r="E146" s="22"/>
      <c r="F146" s="22"/>
      <c r="G146" s="22"/>
      <c r="H146" s="22"/>
      <c r="I146" s="22"/>
      <c r="J146" s="22"/>
      <c r="K146" s="22"/>
      <c r="L146" s="22"/>
      <c r="M146" s="22"/>
      <c r="N146" s="22"/>
    </row>
    <row r="147" spans="1:14">
      <c r="A147" s="64" t="s">
        <v>99</v>
      </c>
      <c r="B147" s="22"/>
      <c r="C147" s="22"/>
      <c r="D147" s="22"/>
      <c r="E147" s="22"/>
      <c r="F147" s="22"/>
      <c r="G147" s="22"/>
      <c r="H147" s="22"/>
      <c r="I147" s="22"/>
      <c r="J147" s="22"/>
      <c r="K147" s="22"/>
      <c r="L147" s="22"/>
      <c r="M147" s="22"/>
      <c r="N147" s="22"/>
    </row>
    <row r="148" spans="1:14">
      <c r="A148" s="64" t="s">
        <v>100</v>
      </c>
      <c r="B148" s="107">
        <v>3240</v>
      </c>
      <c r="C148" s="107">
        <v>3585</v>
      </c>
      <c r="D148" s="107">
        <v>2730</v>
      </c>
      <c r="E148" s="107">
        <v>750</v>
      </c>
      <c r="F148" s="107">
        <v>1875</v>
      </c>
      <c r="G148" s="107">
        <v>2520</v>
      </c>
      <c r="H148" s="107">
        <v>7515</v>
      </c>
      <c r="I148" s="107">
        <v>2100</v>
      </c>
      <c r="J148" s="107">
        <v>90</v>
      </c>
      <c r="K148" s="107">
        <v>975</v>
      </c>
      <c r="L148" s="107">
        <v>3360</v>
      </c>
      <c r="M148" s="107">
        <v>1350</v>
      </c>
      <c r="N148" s="107">
        <v>30090</v>
      </c>
    </row>
    <row r="149" spans="1:14">
      <c r="A149" s="64" t="s">
        <v>101</v>
      </c>
      <c r="B149" s="107">
        <v>2940</v>
      </c>
      <c r="C149" s="107">
        <v>3285</v>
      </c>
      <c r="D149" s="107">
        <v>11055</v>
      </c>
      <c r="E149" s="107">
        <v>15435</v>
      </c>
      <c r="F149" s="107">
        <v>12300</v>
      </c>
      <c r="G149" s="107">
        <v>7395</v>
      </c>
      <c r="H149" s="107">
        <v>7935</v>
      </c>
      <c r="I149" s="107">
        <v>4020</v>
      </c>
      <c r="J149" s="107">
        <v>4290</v>
      </c>
      <c r="K149" s="107">
        <v>2700</v>
      </c>
      <c r="L149" s="107">
        <v>-210</v>
      </c>
      <c r="M149" s="107">
        <v>1350</v>
      </c>
      <c r="N149" s="107">
        <v>72495</v>
      </c>
    </row>
    <row r="150" spans="1:14">
      <c r="A150" s="64" t="s">
        <v>102</v>
      </c>
      <c r="B150" s="107">
        <v>2730</v>
      </c>
      <c r="C150" s="22"/>
      <c r="D150" s="107">
        <v>310</v>
      </c>
      <c r="E150" s="107">
        <v>1335</v>
      </c>
      <c r="F150" s="107">
        <v>1095</v>
      </c>
      <c r="G150" s="107">
        <v>2080</v>
      </c>
      <c r="H150" s="107">
        <v>760</v>
      </c>
      <c r="I150" s="107">
        <v>1325</v>
      </c>
      <c r="J150" s="107">
        <v>405</v>
      </c>
      <c r="K150" s="107">
        <v>1965</v>
      </c>
      <c r="L150" s="107">
        <v>-645</v>
      </c>
      <c r="M150" s="22"/>
      <c r="N150" s="107">
        <v>11360</v>
      </c>
    </row>
    <row r="151" spans="1:14">
      <c r="A151" s="64" t="s">
        <v>358</v>
      </c>
      <c r="B151" s="107">
        <v>35</v>
      </c>
      <c r="C151" s="22"/>
      <c r="D151" s="22"/>
      <c r="E151" s="22"/>
      <c r="F151" s="22"/>
      <c r="G151" s="22"/>
      <c r="H151" s="22"/>
      <c r="I151" s="22"/>
      <c r="J151" s="22"/>
      <c r="K151" s="22"/>
      <c r="L151" s="22"/>
      <c r="M151" s="22"/>
      <c r="N151" s="107">
        <v>35</v>
      </c>
    </row>
    <row r="152" spans="1:14">
      <c r="A152" s="64" t="s">
        <v>103</v>
      </c>
      <c r="B152" s="111">
        <v>-4037.76</v>
      </c>
      <c r="C152" s="111">
        <v>-3067.77</v>
      </c>
      <c r="D152" s="111">
        <v>-6809.47</v>
      </c>
      <c r="E152" s="111">
        <v>-8312.23</v>
      </c>
      <c r="F152" s="111">
        <v>-7385.36</v>
      </c>
      <c r="G152" s="111">
        <v>-5746.31</v>
      </c>
      <c r="H152" s="111">
        <v>-6701.41</v>
      </c>
      <c r="I152" s="111">
        <v>-3394.34</v>
      </c>
      <c r="J152" s="111">
        <v>-2158.8000000000002</v>
      </c>
      <c r="K152" s="111">
        <v>-2574.96</v>
      </c>
      <c r="L152" s="111">
        <v>-1869.3</v>
      </c>
      <c r="M152" s="111">
        <v>-1435.14</v>
      </c>
      <c r="N152" s="111">
        <v>-53492.85</v>
      </c>
    </row>
    <row r="153" spans="1:14">
      <c r="A153" s="64" t="s">
        <v>104</v>
      </c>
      <c r="B153" s="107">
        <f t="shared" ref="B153:M153" si="49">SUM(B147:B152)</f>
        <v>4907.24</v>
      </c>
      <c r="C153" s="107">
        <f t="shared" si="49"/>
        <v>3802.23</v>
      </c>
      <c r="D153" s="107">
        <f t="shared" si="49"/>
        <v>7285.53</v>
      </c>
      <c r="E153" s="107">
        <f t="shared" si="49"/>
        <v>9207.77</v>
      </c>
      <c r="F153" s="107">
        <f t="shared" si="49"/>
        <v>7884.64</v>
      </c>
      <c r="G153" s="107">
        <f t="shared" si="49"/>
        <v>6248.69</v>
      </c>
      <c r="H153" s="107">
        <f t="shared" si="49"/>
        <v>9508.59</v>
      </c>
      <c r="I153" s="107">
        <f t="shared" si="49"/>
        <v>4050.66</v>
      </c>
      <c r="J153" s="107">
        <f t="shared" si="49"/>
        <v>2626.2</v>
      </c>
      <c r="K153" s="107">
        <f t="shared" si="49"/>
        <v>3065.04</v>
      </c>
      <c r="L153" s="107">
        <f t="shared" si="49"/>
        <v>635.70000000000005</v>
      </c>
      <c r="M153" s="107">
        <f t="shared" si="49"/>
        <v>1264.8599999999999</v>
      </c>
      <c r="N153" s="107">
        <v>60487.15</v>
      </c>
    </row>
    <row r="154" spans="1:14">
      <c r="A154" s="64"/>
      <c r="B154" s="22"/>
      <c r="C154" s="22"/>
      <c r="D154" s="22"/>
      <c r="E154" s="22"/>
      <c r="F154" s="22"/>
      <c r="G154" s="22"/>
      <c r="H154" s="22"/>
      <c r="I154" s="22"/>
      <c r="J154" s="22"/>
      <c r="K154" s="22"/>
      <c r="L154" s="22"/>
      <c r="M154" s="22"/>
      <c r="N154" s="22"/>
    </row>
    <row r="155" spans="1:14">
      <c r="A155" s="64" t="s">
        <v>105</v>
      </c>
      <c r="B155" s="113"/>
      <c r="C155" s="113"/>
      <c r="D155" s="113"/>
      <c r="E155" s="113"/>
      <c r="F155" s="113"/>
      <c r="G155" s="113"/>
      <c r="H155" s="113"/>
      <c r="I155" s="113"/>
      <c r="J155" s="113"/>
      <c r="K155" s="113"/>
      <c r="L155" s="113"/>
      <c r="M155" s="113"/>
      <c r="N155" s="113"/>
    </row>
    <row r="156" spans="1:14">
      <c r="A156" s="64"/>
      <c r="B156" s="22"/>
      <c r="C156" s="22"/>
      <c r="D156" s="22"/>
      <c r="E156" s="22"/>
      <c r="F156" s="22"/>
      <c r="G156" s="22"/>
      <c r="H156" s="22"/>
      <c r="I156" s="22"/>
      <c r="J156" s="22"/>
      <c r="K156" s="22"/>
      <c r="L156" s="22"/>
      <c r="M156" s="22"/>
      <c r="N156" s="22"/>
    </row>
    <row r="157" spans="1:14">
      <c r="A157" s="64" t="s">
        <v>106</v>
      </c>
      <c r="B157" s="22"/>
      <c r="C157" s="22"/>
      <c r="D157" s="22"/>
      <c r="E157" s="22"/>
      <c r="F157" s="22"/>
      <c r="G157" s="22"/>
      <c r="H157" s="22"/>
      <c r="I157" s="22"/>
      <c r="J157" s="22"/>
      <c r="K157" s="22"/>
      <c r="L157" s="22"/>
      <c r="M157" s="22"/>
      <c r="N157" s="22"/>
    </row>
    <row r="158" spans="1:14">
      <c r="A158" s="64" t="s">
        <v>107</v>
      </c>
      <c r="B158" s="107">
        <v>21976.18</v>
      </c>
      <c r="C158" s="107">
        <v>7489.55</v>
      </c>
      <c r="D158" s="107">
        <v>7705.97</v>
      </c>
      <c r="E158" s="107">
        <v>8775.92</v>
      </c>
      <c r="F158" s="107">
        <v>15738.69</v>
      </c>
      <c r="G158" s="107">
        <v>10947.46</v>
      </c>
      <c r="H158" s="107">
        <v>14355.24</v>
      </c>
      <c r="I158" s="107">
        <v>16694</v>
      </c>
      <c r="J158" s="107">
        <v>24345.84</v>
      </c>
      <c r="K158" s="107">
        <v>11073.59</v>
      </c>
      <c r="L158" s="107">
        <v>16171.56</v>
      </c>
      <c r="M158" s="107">
        <v>18051.490000000002</v>
      </c>
      <c r="N158" s="107">
        <v>173325.49</v>
      </c>
    </row>
    <row r="159" spans="1:14">
      <c r="A159" s="64" t="s">
        <v>108</v>
      </c>
      <c r="B159" s="107">
        <v>40350</v>
      </c>
      <c r="C159" s="107">
        <v>29730</v>
      </c>
      <c r="D159" s="107">
        <v>27180</v>
      </c>
      <c r="E159" s="107">
        <v>41895</v>
      </c>
      <c r="F159" s="107">
        <v>27165</v>
      </c>
      <c r="G159" s="107">
        <v>32970</v>
      </c>
      <c r="H159" s="107">
        <v>42600</v>
      </c>
      <c r="I159" s="107">
        <v>48855</v>
      </c>
      <c r="J159" s="107">
        <v>48165</v>
      </c>
      <c r="K159" s="107">
        <v>31635</v>
      </c>
      <c r="L159" s="107">
        <v>27075</v>
      </c>
      <c r="M159" s="107">
        <v>29235</v>
      </c>
      <c r="N159" s="107">
        <v>426855</v>
      </c>
    </row>
    <row r="160" spans="1:14">
      <c r="A160" s="64" t="s">
        <v>109</v>
      </c>
      <c r="B160" s="107">
        <v>47835</v>
      </c>
      <c r="C160" s="107">
        <v>30585</v>
      </c>
      <c r="D160" s="107">
        <v>34965</v>
      </c>
      <c r="E160" s="107">
        <v>39930</v>
      </c>
      <c r="F160" s="107">
        <v>30210</v>
      </c>
      <c r="G160" s="107">
        <v>34365</v>
      </c>
      <c r="H160" s="107">
        <v>43695</v>
      </c>
      <c r="I160" s="107">
        <v>44220</v>
      </c>
      <c r="J160" s="107">
        <v>52245</v>
      </c>
      <c r="K160" s="107">
        <v>31755</v>
      </c>
      <c r="L160" s="107">
        <v>27135</v>
      </c>
      <c r="M160" s="107">
        <v>28815</v>
      </c>
      <c r="N160" s="107">
        <v>445755</v>
      </c>
    </row>
    <row r="161" spans="1:14">
      <c r="A161" s="64" t="s">
        <v>110</v>
      </c>
      <c r="B161" s="107">
        <v>11145</v>
      </c>
      <c r="C161" s="107">
        <v>8960</v>
      </c>
      <c r="D161" s="107">
        <v>9125</v>
      </c>
      <c r="E161" s="107">
        <v>8970</v>
      </c>
      <c r="F161" s="107">
        <v>12035</v>
      </c>
      <c r="G161" s="107">
        <v>19005</v>
      </c>
      <c r="H161" s="107">
        <v>16915</v>
      </c>
      <c r="I161" s="107">
        <v>20560</v>
      </c>
      <c r="J161" s="107">
        <v>25235</v>
      </c>
      <c r="K161" s="107">
        <v>23730</v>
      </c>
      <c r="L161" s="107">
        <v>16380</v>
      </c>
      <c r="M161" s="107">
        <v>16770</v>
      </c>
      <c r="N161" s="107">
        <v>188830</v>
      </c>
    </row>
    <row r="162" spans="1:14">
      <c r="A162" s="64" t="s">
        <v>111</v>
      </c>
      <c r="B162" s="107">
        <v>6300</v>
      </c>
      <c r="C162" s="107">
        <v>2700</v>
      </c>
      <c r="D162" s="107">
        <v>2250</v>
      </c>
      <c r="E162" s="107">
        <v>1800</v>
      </c>
      <c r="F162" s="107">
        <v>2250</v>
      </c>
      <c r="G162" s="107">
        <v>4050</v>
      </c>
      <c r="H162" s="107">
        <v>4500</v>
      </c>
      <c r="I162" s="107">
        <v>1800</v>
      </c>
      <c r="J162" s="107">
        <v>3600</v>
      </c>
      <c r="K162" s="107">
        <v>482.82</v>
      </c>
      <c r="L162" s="107">
        <v>3150</v>
      </c>
      <c r="M162" s="107">
        <v>4500</v>
      </c>
      <c r="N162" s="107">
        <v>37382.82</v>
      </c>
    </row>
    <row r="163" spans="1:14">
      <c r="A163" s="64" t="s">
        <v>112</v>
      </c>
      <c r="B163" s="107">
        <v>3052.68</v>
      </c>
      <c r="C163" s="107">
        <v>791.48</v>
      </c>
      <c r="D163" s="107">
        <v>1501.53</v>
      </c>
      <c r="E163" s="107">
        <v>2352.83</v>
      </c>
      <c r="F163" s="107">
        <v>1305.08</v>
      </c>
      <c r="G163" s="107">
        <v>2502.4899999999998</v>
      </c>
      <c r="H163" s="107">
        <v>2993.92</v>
      </c>
      <c r="I163" s="107">
        <v>2399.6</v>
      </c>
      <c r="J163" s="107">
        <v>1900.93</v>
      </c>
      <c r="K163" s="107">
        <v>2273.17</v>
      </c>
      <c r="L163" s="107">
        <v>1664.02</v>
      </c>
      <c r="M163" s="107">
        <v>2801.63</v>
      </c>
      <c r="N163" s="107">
        <v>25539.360000000001</v>
      </c>
    </row>
    <row r="164" spans="1:14">
      <c r="A164" s="64" t="s">
        <v>359</v>
      </c>
      <c r="B164" s="107">
        <v>98</v>
      </c>
      <c r="C164" s="107">
        <v>35</v>
      </c>
      <c r="D164" s="107">
        <v>112</v>
      </c>
      <c r="E164" s="107">
        <v>35</v>
      </c>
      <c r="F164" s="22"/>
      <c r="G164" s="22"/>
      <c r="H164" s="107">
        <v>28</v>
      </c>
      <c r="I164" s="22"/>
      <c r="J164" s="22"/>
      <c r="K164" s="22"/>
      <c r="L164" s="107">
        <v>21</v>
      </c>
      <c r="M164" s="107">
        <v>7</v>
      </c>
      <c r="N164" s="107">
        <v>336</v>
      </c>
    </row>
    <row r="165" spans="1:14">
      <c r="A165" s="64" t="s">
        <v>376</v>
      </c>
      <c r="B165" s="107">
        <v>1500</v>
      </c>
      <c r="C165" s="107">
        <v>1550</v>
      </c>
      <c r="D165" s="107">
        <v>1100</v>
      </c>
      <c r="E165" s="107">
        <v>1600</v>
      </c>
      <c r="F165" s="107">
        <v>900</v>
      </c>
      <c r="G165" s="22"/>
      <c r="H165" s="107">
        <v>2000</v>
      </c>
      <c r="I165" s="22"/>
      <c r="J165" s="22"/>
      <c r="K165" s="22"/>
      <c r="L165" s="22"/>
      <c r="M165" s="22"/>
      <c r="N165" s="107">
        <v>8650</v>
      </c>
    </row>
    <row r="166" spans="1:14">
      <c r="A166" s="64" t="s">
        <v>115</v>
      </c>
      <c r="B166" s="111">
        <v>-119906.03</v>
      </c>
      <c r="C166" s="111">
        <v>-70274.080000000002</v>
      </c>
      <c r="D166" s="111">
        <v>-73542.78</v>
      </c>
      <c r="E166" s="111">
        <v>-87123.67</v>
      </c>
      <c r="F166" s="111">
        <v>-84143.58</v>
      </c>
      <c r="G166" s="111">
        <v>-97610.16</v>
      </c>
      <c r="H166" s="111">
        <v>-124376.34</v>
      </c>
      <c r="I166" s="111">
        <v>-117312.61</v>
      </c>
      <c r="J166" s="111">
        <v>-144249.17000000001</v>
      </c>
      <c r="K166" s="111">
        <v>-91589.47</v>
      </c>
      <c r="L166" s="111">
        <v>-79807.73</v>
      </c>
      <c r="M166" s="111">
        <v>-97298.29</v>
      </c>
      <c r="N166" s="111">
        <v>-1187233.9099999999</v>
      </c>
    </row>
    <row r="167" spans="1:14">
      <c r="A167" s="64" t="s">
        <v>116</v>
      </c>
      <c r="B167" s="107">
        <f t="shared" ref="B167:M167" si="50">SUM(B157:B166)</f>
        <v>12350.829999999987</v>
      </c>
      <c r="C167" s="107">
        <f t="shared" si="50"/>
        <v>11566.949999999997</v>
      </c>
      <c r="D167" s="107">
        <f t="shared" si="50"/>
        <v>10396.720000000001</v>
      </c>
      <c r="E167" s="107">
        <f t="shared" si="50"/>
        <v>18235.080000000002</v>
      </c>
      <c r="F167" s="107">
        <f t="shared" si="50"/>
        <v>5460.1900000000023</v>
      </c>
      <c r="G167" s="107">
        <f t="shared" si="50"/>
        <v>6229.7899999999936</v>
      </c>
      <c r="H167" s="107">
        <f t="shared" si="50"/>
        <v>2710.8199999999924</v>
      </c>
      <c r="I167" s="107">
        <f t="shared" si="50"/>
        <v>17215.990000000005</v>
      </c>
      <c r="J167" s="107">
        <f t="shared" si="50"/>
        <v>11242.599999999977</v>
      </c>
      <c r="K167" s="107">
        <f t="shared" si="50"/>
        <v>9360.11</v>
      </c>
      <c r="L167" s="107">
        <f t="shared" si="50"/>
        <v>11788.850000000006</v>
      </c>
      <c r="M167" s="107">
        <f t="shared" si="50"/>
        <v>2881.8300000000163</v>
      </c>
      <c r="N167" s="107">
        <v>119439.76</v>
      </c>
    </row>
    <row r="168" spans="1:14">
      <c r="A168" s="64"/>
      <c r="B168" s="22"/>
      <c r="C168" s="22"/>
      <c r="D168" s="22"/>
      <c r="E168" s="22"/>
      <c r="F168" s="22"/>
      <c r="G168" s="22"/>
      <c r="H168" s="22"/>
      <c r="I168" s="22"/>
      <c r="J168" s="22"/>
      <c r="K168" s="22"/>
      <c r="L168" s="22"/>
      <c r="M168" s="22"/>
      <c r="N168" s="22"/>
    </row>
    <row r="169" spans="1:14">
      <c r="A169" s="64" t="s">
        <v>117</v>
      </c>
      <c r="B169" s="22"/>
      <c r="C169" s="22"/>
      <c r="D169" s="22"/>
      <c r="E169" s="22"/>
      <c r="F169" s="22"/>
      <c r="G169" s="22"/>
      <c r="H169" s="22"/>
      <c r="I169" s="22"/>
      <c r="J169" s="22"/>
      <c r="K169" s="22"/>
      <c r="L169" s="22"/>
      <c r="M169" s="22"/>
      <c r="N169" s="22"/>
    </row>
    <row r="170" spans="1:14">
      <c r="A170" s="64" t="s">
        <v>282</v>
      </c>
      <c r="B170" s="22"/>
      <c r="C170" s="22"/>
      <c r="D170" s="22"/>
      <c r="E170" s="22"/>
      <c r="F170" s="22"/>
      <c r="G170" s="22"/>
      <c r="H170" s="22"/>
      <c r="I170" s="22"/>
      <c r="J170" s="22"/>
      <c r="K170" s="22"/>
      <c r="L170" s="22"/>
      <c r="M170" s="22"/>
      <c r="N170" s="22"/>
    </row>
    <row r="171" spans="1:14">
      <c r="A171" s="64" t="s">
        <v>118</v>
      </c>
      <c r="B171" s="22"/>
      <c r="C171" s="22"/>
      <c r="D171" s="22"/>
      <c r="E171" s="22"/>
      <c r="F171" s="22"/>
      <c r="G171" s="22"/>
      <c r="H171" s="107">
        <v>483.44</v>
      </c>
      <c r="I171" s="22"/>
      <c r="J171" s="22"/>
      <c r="K171" s="22"/>
      <c r="L171" s="22"/>
      <c r="M171" s="107">
        <v>1240.43</v>
      </c>
      <c r="N171" s="107">
        <v>1723.87</v>
      </c>
    </row>
    <row r="172" spans="1:14">
      <c r="A172" s="64" t="s">
        <v>119</v>
      </c>
      <c r="B172" s="107">
        <v>450</v>
      </c>
      <c r="C172" s="107">
        <v>585</v>
      </c>
      <c r="D172" s="107">
        <v>315</v>
      </c>
      <c r="E172" s="22"/>
      <c r="F172" s="22"/>
      <c r="G172" s="22"/>
      <c r="H172" s="22"/>
      <c r="I172" s="22"/>
      <c r="J172" s="22"/>
      <c r="K172" s="22"/>
      <c r="L172" s="22"/>
      <c r="M172" s="107">
        <v>480</v>
      </c>
      <c r="N172" s="107">
        <v>1830</v>
      </c>
    </row>
    <row r="173" spans="1:14">
      <c r="A173" s="64" t="s">
        <v>120</v>
      </c>
      <c r="B173" s="107">
        <v>270</v>
      </c>
      <c r="C173" s="107">
        <v>540</v>
      </c>
      <c r="D173" s="107">
        <v>270</v>
      </c>
      <c r="E173" s="22"/>
      <c r="F173" s="22"/>
      <c r="G173" s="22"/>
      <c r="H173" s="22"/>
      <c r="I173" s="22"/>
      <c r="J173" s="22"/>
      <c r="K173" s="22"/>
      <c r="L173" s="22"/>
      <c r="M173" s="107">
        <v>570</v>
      </c>
      <c r="N173" s="107">
        <v>1650</v>
      </c>
    </row>
    <row r="174" spans="1:14">
      <c r="A174" s="64" t="s">
        <v>121</v>
      </c>
      <c r="B174" s="22"/>
      <c r="C174" s="22"/>
      <c r="D174" s="107">
        <v>95</v>
      </c>
      <c r="E174" s="22"/>
      <c r="F174" s="22"/>
      <c r="G174" s="22"/>
      <c r="H174" s="22"/>
      <c r="I174" s="22"/>
      <c r="J174" s="22"/>
      <c r="K174" s="22"/>
      <c r="L174" s="22"/>
      <c r="M174" s="107">
        <v>880</v>
      </c>
      <c r="N174" s="107">
        <v>975</v>
      </c>
    </row>
    <row r="175" spans="1:14">
      <c r="A175" s="64" t="s">
        <v>122</v>
      </c>
      <c r="B175" s="22"/>
      <c r="C175" s="107">
        <v>187.05</v>
      </c>
      <c r="D175" s="22"/>
      <c r="E175" s="22"/>
      <c r="F175" s="22"/>
      <c r="G175" s="22"/>
      <c r="H175" s="22"/>
      <c r="I175" s="22"/>
      <c r="J175" s="22"/>
      <c r="K175" s="22"/>
      <c r="L175" s="22"/>
      <c r="M175" s="22"/>
      <c r="N175" s="107">
        <v>187.05</v>
      </c>
    </row>
    <row r="176" spans="1:14">
      <c r="A176" s="64" t="s">
        <v>123</v>
      </c>
      <c r="B176" s="107">
        <v>341.93</v>
      </c>
      <c r="C176" s="107">
        <v>334.4</v>
      </c>
      <c r="D176" s="107">
        <v>341.93</v>
      </c>
      <c r="E176" s="107">
        <v>98</v>
      </c>
      <c r="F176" s="107">
        <v>108.5</v>
      </c>
      <c r="G176" s="107">
        <v>108.5</v>
      </c>
      <c r="H176" s="107">
        <v>42</v>
      </c>
      <c r="I176" s="22"/>
      <c r="J176" s="22"/>
      <c r="K176" s="22"/>
      <c r="L176" s="22"/>
      <c r="M176" s="22"/>
      <c r="N176" s="107">
        <v>1375.26</v>
      </c>
    </row>
    <row r="177" spans="1:14">
      <c r="A177" s="64" t="s">
        <v>124</v>
      </c>
      <c r="B177" s="107">
        <v>198</v>
      </c>
      <c r="C177" s="107">
        <v>390.5</v>
      </c>
      <c r="D177" s="107">
        <v>374</v>
      </c>
      <c r="E177" s="107">
        <v>319</v>
      </c>
      <c r="F177" s="107">
        <v>341</v>
      </c>
      <c r="G177" s="107">
        <v>253</v>
      </c>
      <c r="H177" s="107">
        <v>418</v>
      </c>
      <c r="I177" s="22"/>
      <c r="J177" s="22"/>
      <c r="K177" s="22"/>
      <c r="L177" s="22"/>
      <c r="M177" s="22"/>
      <c r="N177" s="107">
        <v>2293.5</v>
      </c>
    </row>
    <row r="178" spans="1:14">
      <c r="A178" s="64" t="s">
        <v>125</v>
      </c>
      <c r="B178" s="111">
        <v>956.66</v>
      </c>
      <c r="C178" s="111">
        <v>925.8</v>
      </c>
      <c r="D178" s="111">
        <v>956.66</v>
      </c>
      <c r="E178" s="111">
        <v>894.94</v>
      </c>
      <c r="F178" s="111">
        <v>956.66</v>
      </c>
      <c r="G178" s="111">
        <v>709.78</v>
      </c>
      <c r="H178" s="111">
        <v>416.61</v>
      </c>
      <c r="I178" s="113"/>
      <c r="J178" s="113"/>
      <c r="K178" s="113"/>
      <c r="L178" s="113"/>
      <c r="M178" s="113"/>
      <c r="N178" s="111">
        <v>5817.11</v>
      </c>
    </row>
    <row r="179" spans="1:14">
      <c r="A179" s="64" t="s">
        <v>127</v>
      </c>
      <c r="B179" s="107">
        <f t="shared" ref="B179:H179" si="51">SUM(B169:B178)</f>
        <v>2216.59</v>
      </c>
      <c r="C179" s="107">
        <f t="shared" si="51"/>
        <v>2962.75</v>
      </c>
      <c r="D179" s="107">
        <f t="shared" si="51"/>
        <v>2352.59</v>
      </c>
      <c r="E179" s="107">
        <f t="shared" si="51"/>
        <v>1311.94</v>
      </c>
      <c r="F179" s="107">
        <f t="shared" si="51"/>
        <v>1406.1599999999999</v>
      </c>
      <c r="G179" s="107">
        <f t="shared" si="51"/>
        <v>1071.28</v>
      </c>
      <c r="H179" s="107">
        <f t="shared" si="51"/>
        <v>1360.0500000000002</v>
      </c>
      <c r="I179" s="107"/>
      <c r="J179" s="107"/>
      <c r="K179" s="107"/>
      <c r="L179" s="107"/>
      <c r="M179" s="107">
        <f>SUM(M169:M178)</f>
        <v>3170.4300000000003</v>
      </c>
      <c r="N179" s="107">
        <v>15851.79</v>
      </c>
    </row>
    <row r="180" spans="1:14">
      <c r="A180" s="64"/>
      <c r="B180" s="22"/>
      <c r="C180" s="22"/>
      <c r="D180" s="22"/>
      <c r="E180" s="22"/>
      <c r="F180" s="22"/>
      <c r="G180" s="22"/>
      <c r="H180" s="22"/>
      <c r="I180" s="22"/>
      <c r="J180" s="22"/>
      <c r="K180" s="22"/>
      <c r="L180" s="22"/>
      <c r="M180" s="22"/>
      <c r="N180" s="22"/>
    </row>
    <row r="181" spans="1:14">
      <c r="A181" s="64" t="s">
        <v>47</v>
      </c>
      <c r="B181" s="107">
        <f t="shared" ref="B181:M181" si="52">SUM(B119:B180)-B132-0-0-B153-0-B167-B179</f>
        <v>19474.660000000007</v>
      </c>
      <c r="C181" s="107">
        <f t="shared" si="52"/>
        <v>18331.93</v>
      </c>
      <c r="D181" s="107">
        <f t="shared" si="52"/>
        <v>20034.840000000007</v>
      </c>
      <c r="E181" s="107">
        <f t="shared" si="52"/>
        <v>28754.790000000012</v>
      </c>
      <c r="F181" s="107">
        <f t="shared" si="52"/>
        <v>14750.990000000002</v>
      </c>
      <c r="G181" s="107">
        <f t="shared" si="52"/>
        <v>13549.759999999997</v>
      </c>
      <c r="H181" s="107">
        <f t="shared" si="52"/>
        <v>37258.400000000009</v>
      </c>
      <c r="I181" s="107">
        <f t="shared" si="52"/>
        <v>25355.090000000011</v>
      </c>
      <c r="J181" s="107">
        <f t="shared" si="52"/>
        <v>16055.639999999963</v>
      </c>
      <c r="K181" s="107">
        <f t="shared" si="52"/>
        <v>14802.149999999987</v>
      </c>
      <c r="L181" s="107">
        <f t="shared" si="52"/>
        <v>15467.110000000008</v>
      </c>
      <c r="M181" s="107">
        <f t="shared" si="52"/>
        <v>10074.440000000017</v>
      </c>
      <c r="N181" s="107">
        <v>233909.8</v>
      </c>
    </row>
    <row r="182" spans="1:14">
      <c r="A182" s="64"/>
      <c r="B182" s="22"/>
      <c r="C182" s="22"/>
      <c r="D182" s="22"/>
      <c r="E182" s="22"/>
      <c r="F182" s="22"/>
      <c r="G182" s="22"/>
      <c r="H182" s="22"/>
      <c r="I182" s="22"/>
      <c r="J182" s="22"/>
      <c r="K182" s="22"/>
      <c r="L182" s="22"/>
      <c r="M182" s="22"/>
      <c r="N182" s="22"/>
    </row>
    <row r="183" spans="1:14">
      <c r="A183" s="64" t="s">
        <v>48</v>
      </c>
      <c r="B183" s="22"/>
      <c r="C183" s="22"/>
      <c r="D183" s="22"/>
      <c r="E183" s="22"/>
      <c r="F183" s="22"/>
      <c r="G183" s="22"/>
      <c r="H183" s="22"/>
      <c r="I183" s="22"/>
      <c r="J183" s="22"/>
      <c r="K183" s="22"/>
      <c r="L183" s="22"/>
      <c r="M183" s="22"/>
      <c r="N183" s="22"/>
    </row>
    <row r="184" spans="1:14">
      <c r="A184" s="64" t="s">
        <v>130</v>
      </c>
      <c r="B184" s="107">
        <v>75</v>
      </c>
      <c r="C184" s="107">
        <v>75</v>
      </c>
      <c r="D184" s="107">
        <v>75</v>
      </c>
      <c r="E184" s="107">
        <v>75</v>
      </c>
      <c r="F184" s="107">
        <v>75</v>
      </c>
      <c r="G184" s="107">
        <v>75</v>
      </c>
      <c r="H184" s="107">
        <v>75</v>
      </c>
      <c r="I184" s="107">
        <v>75</v>
      </c>
      <c r="J184" s="107">
        <v>75</v>
      </c>
      <c r="K184" s="107">
        <v>75</v>
      </c>
      <c r="L184" s="107">
        <v>75</v>
      </c>
      <c r="M184" s="107">
        <v>75</v>
      </c>
      <c r="N184" s="107">
        <v>900</v>
      </c>
    </row>
    <row r="185" spans="1:14">
      <c r="A185" s="64" t="s">
        <v>132</v>
      </c>
      <c r="B185" s="107">
        <v>2736.51</v>
      </c>
      <c r="C185" s="107">
        <v>794.57</v>
      </c>
      <c r="D185" s="107">
        <v>445.96</v>
      </c>
      <c r="E185" s="107">
        <v>746.59</v>
      </c>
      <c r="F185" s="107">
        <v>76637.55</v>
      </c>
      <c r="G185" s="107"/>
      <c r="H185" s="107">
        <v>73.75</v>
      </c>
      <c r="I185" s="107">
        <v>0.06</v>
      </c>
      <c r="J185" s="107">
        <v>100</v>
      </c>
      <c r="K185" s="22"/>
      <c r="L185" s="107">
        <v>11862.81</v>
      </c>
      <c r="M185" s="107">
        <v>100</v>
      </c>
      <c r="N185" s="107">
        <v>93497.8</v>
      </c>
    </row>
    <row r="186" spans="1:14">
      <c r="A186" s="64" t="s">
        <v>133</v>
      </c>
      <c r="B186" s="107">
        <v>38762</v>
      </c>
      <c r="C186" s="107">
        <v>70528</v>
      </c>
      <c r="D186" s="107">
        <v>86990</v>
      </c>
      <c r="E186" s="107">
        <v>74194</v>
      </c>
      <c r="F186" s="107">
        <v>161641</v>
      </c>
      <c r="G186" s="107">
        <v>39117</v>
      </c>
      <c r="H186" s="107">
        <v>35073</v>
      </c>
      <c r="I186" s="107">
        <v>37982</v>
      </c>
      <c r="J186" s="107">
        <v>38053</v>
      </c>
      <c r="K186" s="107">
        <v>38266</v>
      </c>
      <c r="L186" s="107">
        <v>37083</v>
      </c>
      <c r="M186" s="107">
        <v>38573</v>
      </c>
      <c r="N186" s="107">
        <v>696262</v>
      </c>
    </row>
    <row r="187" spans="1:14">
      <c r="A187" s="64" t="s">
        <v>360</v>
      </c>
      <c r="B187" s="107">
        <v>3500</v>
      </c>
      <c r="C187" s="107">
        <v>7500</v>
      </c>
      <c r="D187" s="107">
        <v>3200</v>
      </c>
      <c r="E187" s="107">
        <v>500</v>
      </c>
      <c r="F187" s="22"/>
      <c r="G187" s="107">
        <v>52325</v>
      </c>
      <c r="H187" s="107">
        <v>90000</v>
      </c>
      <c r="I187" s="107">
        <v>62500</v>
      </c>
      <c r="J187" s="107">
        <v>90000</v>
      </c>
      <c r="K187" s="107">
        <v>108600</v>
      </c>
      <c r="L187" s="107">
        <v>58200</v>
      </c>
      <c r="M187" s="107">
        <v>3100</v>
      </c>
      <c r="N187" s="107">
        <v>479425</v>
      </c>
    </row>
    <row r="188" spans="1:14">
      <c r="A188" s="64" t="s">
        <v>134</v>
      </c>
      <c r="B188" s="107">
        <v>85.8</v>
      </c>
      <c r="C188" s="107">
        <v>3.61</v>
      </c>
      <c r="D188" s="107">
        <v>20.11</v>
      </c>
      <c r="E188" s="107">
        <v>-11.8</v>
      </c>
      <c r="F188" s="107">
        <v>21.42</v>
      </c>
      <c r="G188" s="107">
        <v>4.4800000000000004</v>
      </c>
      <c r="H188" s="107">
        <v>785.21</v>
      </c>
      <c r="I188" s="107">
        <v>460.55</v>
      </c>
      <c r="J188" s="22"/>
      <c r="K188" s="107">
        <v>0.24</v>
      </c>
      <c r="L188" s="107">
        <v>1095.51</v>
      </c>
      <c r="M188" s="107">
        <v>230.39</v>
      </c>
      <c r="N188" s="107">
        <v>2695.52</v>
      </c>
    </row>
    <row r="189" spans="1:14">
      <c r="A189" s="64" t="s">
        <v>396</v>
      </c>
      <c r="B189" s="22"/>
      <c r="C189" s="22"/>
      <c r="D189" s="22"/>
      <c r="E189" s="22"/>
      <c r="F189" s="107">
        <v>357388</v>
      </c>
      <c r="G189" s="22"/>
      <c r="H189" s="22"/>
      <c r="I189" s="22"/>
      <c r="J189" s="22"/>
      <c r="K189" s="22"/>
      <c r="L189" s="22"/>
      <c r="M189" s="22"/>
      <c r="N189" s="107">
        <v>357388</v>
      </c>
    </row>
    <row r="190" spans="1:14">
      <c r="A190" s="64" t="s">
        <v>397</v>
      </c>
      <c r="B190" s="113"/>
      <c r="C190" s="113"/>
      <c r="D190" s="113"/>
      <c r="E190" s="113"/>
      <c r="F190" s="111">
        <v>-1443408</v>
      </c>
      <c r="G190" s="113"/>
      <c r="H190" s="113"/>
      <c r="I190" s="113"/>
      <c r="J190" s="113"/>
      <c r="K190" s="113"/>
      <c r="L190" s="113"/>
      <c r="M190" s="113"/>
      <c r="N190" s="111">
        <v>-1443408</v>
      </c>
    </row>
    <row r="191" spans="1:14">
      <c r="A191" s="64" t="s">
        <v>135</v>
      </c>
      <c r="B191" s="107">
        <f t="shared" ref="B191:M191" si="53">SUM(B182:B190)</f>
        <v>45159.310000000005</v>
      </c>
      <c r="C191" s="107">
        <f t="shared" si="53"/>
        <v>78901.180000000008</v>
      </c>
      <c r="D191" s="107">
        <f t="shared" si="53"/>
        <v>90731.07</v>
      </c>
      <c r="E191" s="107">
        <f t="shared" si="53"/>
        <v>75503.789999999994</v>
      </c>
      <c r="F191" s="107">
        <f t="shared" si="53"/>
        <v>-847645.03</v>
      </c>
      <c r="G191" s="107">
        <f t="shared" si="53"/>
        <v>91521.48</v>
      </c>
      <c r="H191" s="107">
        <f t="shared" si="53"/>
        <v>126006.96</v>
      </c>
      <c r="I191" s="107">
        <f t="shared" si="53"/>
        <v>101017.61</v>
      </c>
      <c r="J191" s="107">
        <f t="shared" si="53"/>
        <v>128228</v>
      </c>
      <c r="K191" s="107">
        <f t="shared" si="53"/>
        <v>146941.24</v>
      </c>
      <c r="L191" s="107">
        <f t="shared" si="53"/>
        <v>108316.31999999999</v>
      </c>
      <c r="M191" s="107">
        <f t="shared" si="53"/>
        <v>42078.39</v>
      </c>
      <c r="N191" s="107">
        <v>186760.32000000001</v>
      </c>
    </row>
    <row r="192" spans="1:14">
      <c r="A192" s="64"/>
      <c r="B192" s="22"/>
      <c r="C192" s="22"/>
      <c r="D192" s="22"/>
      <c r="E192" s="22"/>
      <c r="F192" s="22"/>
      <c r="G192" s="22"/>
      <c r="H192" s="22"/>
      <c r="I192" s="22"/>
      <c r="J192" s="22"/>
      <c r="K192" s="22"/>
      <c r="L192" s="22"/>
      <c r="M192" s="22"/>
      <c r="N192" s="22"/>
    </row>
    <row r="193" spans="1:14" ht="15.75" thickBot="1">
      <c r="A193" s="64" t="s">
        <v>13</v>
      </c>
      <c r="B193" s="112">
        <f t="shared" ref="B193:M193" si="54">SUM(B67:B192)-B69-B73-B77-B80-B84-B88-B90-B96-B100-B104-B107-B111-B115-B117-B132-0-0-B153-0-B167-B179-B181-B191</f>
        <v>630441.57999999914</v>
      </c>
      <c r="C193" s="112">
        <f t="shared" si="54"/>
        <v>612652.58999999962</v>
      </c>
      <c r="D193" s="112">
        <f t="shared" si="54"/>
        <v>639256.53000000026</v>
      </c>
      <c r="E193" s="112">
        <f t="shared" si="54"/>
        <v>609583.25000000093</v>
      </c>
      <c r="F193" s="112">
        <f t="shared" si="54"/>
        <v>-223589.45000000065</v>
      </c>
      <c r="G193" s="112">
        <f t="shared" si="54"/>
        <v>689772.54</v>
      </c>
      <c r="H193" s="112">
        <f t="shared" si="54"/>
        <v>865435.07999999926</v>
      </c>
      <c r="I193" s="112">
        <f t="shared" si="54"/>
        <v>760998.14000000071</v>
      </c>
      <c r="J193" s="112">
        <f t="shared" si="54"/>
        <v>813014.94000000029</v>
      </c>
      <c r="K193" s="112">
        <f t="shared" si="54"/>
        <v>756970.43999999925</v>
      </c>
      <c r="L193" s="112">
        <f t="shared" si="54"/>
        <v>663943.8000000004</v>
      </c>
      <c r="M193" s="112">
        <f t="shared" si="54"/>
        <v>698098.60999999905</v>
      </c>
      <c r="N193" s="112">
        <v>7516578.0499999998</v>
      </c>
    </row>
    <row r="194" spans="1:14" ht="15.75" thickTop="1">
      <c r="A194" s="64"/>
      <c r="B194" s="22"/>
      <c r="C194" s="22"/>
      <c r="D194" s="22"/>
      <c r="E194" s="22"/>
      <c r="F194" s="22"/>
      <c r="G194" s="22"/>
      <c r="H194" s="22"/>
      <c r="I194" s="22"/>
      <c r="J194" s="22"/>
      <c r="K194" s="22"/>
      <c r="L194" s="22"/>
      <c r="M194" s="22"/>
      <c r="N194" s="22"/>
    </row>
    <row r="195" spans="1:14">
      <c r="A195" s="64"/>
      <c r="B195" s="22"/>
      <c r="C195" s="22"/>
      <c r="D195" s="22"/>
      <c r="E195" s="22"/>
      <c r="F195" s="22"/>
      <c r="G195" s="22"/>
      <c r="H195" s="22"/>
      <c r="I195" s="22"/>
      <c r="J195" s="22"/>
      <c r="K195" s="22"/>
      <c r="L195" s="22"/>
      <c r="M195" s="22"/>
      <c r="N195" s="22"/>
    </row>
    <row r="196" spans="1:14">
      <c r="A196" s="64" t="s">
        <v>14</v>
      </c>
      <c r="B196" s="22"/>
      <c r="C196" s="22"/>
      <c r="D196" s="22"/>
      <c r="E196" s="22"/>
      <c r="F196" s="22"/>
      <c r="G196" s="22"/>
      <c r="H196" s="22"/>
      <c r="I196" s="22"/>
      <c r="J196" s="22"/>
      <c r="K196" s="22"/>
      <c r="L196" s="22"/>
      <c r="M196" s="22"/>
      <c r="N196" s="22"/>
    </row>
    <row r="197" spans="1:14">
      <c r="A197" s="64"/>
      <c r="B197" s="22"/>
      <c r="C197" s="22"/>
      <c r="D197" s="22"/>
      <c r="E197" s="22"/>
      <c r="F197" s="22"/>
      <c r="G197" s="22"/>
      <c r="H197" s="22"/>
      <c r="I197" s="22"/>
      <c r="J197" s="22"/>
      <c r="K197" s="22"/>
      <c r="L197" s="22"/>
      <c r="M197" s="22"/>
      <c r="N197" s="22"/>
    </row>
    <row r="198" spans="1:14">
      <c r="A198" s="64" t="s">
        <v>136</v>
      </c>
      <c r="B198" s="22"/>
      <c r="C198" s="22"/>
      <c r="D198" s="22"/>
      <c r="E198" s="22"/>
      <c r="F198" s="22"/>
      <c r="G198" s="22"/>
      <c r="H198" s="22"/>
      <c r="I198" s="22"/>
      <c r="J198" s="22"/>
      <c r="K198" s="22"/>
      <c r="L198" s="22"/>
      <c r="M198" s="22"/>
      <c r="N198" s="22"/>
    </row>
    <row r="199" spans="1:14">
      <c r="A199" s="64" t="s">
        <v>137</v>
      </c>
      <c r="B199" s="107">
        <v>10619.77</v>
      </c>
      <c r="C199" s="107">
        <v>9890.1</v>
      </c>
      <c r="D199" s="107">
        <v>10219.77</v>
      </c>
      <c r="E199" s="107">
        <v>12690.1</v>
      </c>
      <c r="F199" s="107">
        <v>11419.77</v>
      </c>
      <c r="G199" s="107">
        <v>10219.77</v>
      </c>
      <c r="H199" s="107">
        <v>10030.76</v>
      </c>
      <c r="I199" s="107">
        <v>10619.77</v>
      </c>
      <c r="J199" s="107">
        <v>13297.79</v>
      </c>
      <c r="K199" s="107">
        <v>10450.98</v>
      </c>
      <c r="L199" s="107">
        <v>14601.08</v>
      </c>
      <c r="M199" s="107">
        <v>8013.62</v>
      </c>
      <c r="N199" s="107">
        <v>132073.28</v>
      </c>
    </row>
    <row r="200" spans="1:14">
      <c r="A200" s="64" t="s">
        <v>138</v>
      </c>
      <c r="B200" s="107">
        <v>27835.279999999999</v>
      </c>
      <c r="C200" s="107">
        <v>18125.82</v>
      </c>
      <c r="D200" s="107">
        <v>8701.91</v>
      </c>
      <c r="E200" s="107">
        <v>8798.76</v>
      </c>
      <c r="F200" s="107">
        <v>10613.28</v>
      </c>
      <c r="G200" s="107">
        <v>6764.13</v>
      </c>
      <c r="H200" s="107">
        <v>11558.51</v>
      </c>
      <c r="I200" s="107">
        <v>12034.31</v>
      </c>
      <c r="J200" s="107">
        <v>9136.68</v>
      </c>
      <c r="K200" s="107">
        <v>13611.43</v>
      </c>
      <c r="L200" s="107">
        <v>15472.26</v>
      </c>
      <c r="M200" s="107">
        <v>24069.66</v>
      </c>
      <c r="N200" s="107">
        <v>166722.03</v>
      </c>
    </row>
    <row r="201" spans="1:14">
      <c r="A201" s="64" t="s">
        <v>139</v>
      </c>
      <c r="B201" s="107">
        <v>93696.83</v>
      </c>
      <c r="C201" s="107">
        <v>77920.039999999994</v>
      </c>
      <c r="D201" s="107">
        <v>77504.800000000003</v>
      </c>
      <c r="E201" s="107">
        <v>73749.460000000006</v>
      </c>
      <c r="F201" s="107">
        <v>74729.240000000005</v>
      </c>
      <c r="G201" s="107">
        <v>90023.05</v>
      </c>
      <c r="H201" s="107">
        <v>66837.84</v>
      </c>
      <c r="I201" s="107">
        <v>77855.570000000007</v>
      </c>
      <c r="J201" s="107">
        <v>72163.16</v>
      </c>
      <c r="K201" s="107">
        <v>82772.55</v>
      </c>
      <c r="L201" s="107">
        <v>94074.2</v>
      </c>
      <c r="M201" s="107">
        <v>114865.22</v>
      </c>
      <c r="N201" s="107">
        <v>996191.96</v>
      </c>
    </row>
    <row r="202" spans="1:14">
      <c r="A202" s="64" t="s">
        <v>140</v>
      </c>
      <c r="B202" s="22"/>
      <c r="C202" s="22"/>
      <c r="D202" s="22"/>
      <c r="E202" s="22"/>
      <c r="F202" s="22"/>
      <c r="G202" s="107">
        <v>217</v>
      </c>
      <c r="H202" s="107">
        <v>1422.86</v>
      </c>
      <c r="I202" s="107">
        <v>2323.39</v>
      </c>
      <c r="J202" s="107">
        <v>3018.75</v>
      </c>
      <c r="K202" s="107">
        <v>3394.61</v>
      </c>
      <c r="L202" s="107">
        <v>3160.39</v>
      </c>
      <c r="M202" s="107">
        <v>3915</v>
      </c>
      <c r="N202" s="107">
        <v>17452</v>
      </c>
    </row>
    <row r="203" spans="1:14">
      <c r="A203" s="64" t="s">
        <v>141</v>
      </c>
      <c r="B203" s="107">
        <v>17155.28</v>
      </c>
      <c r="C203" s="107">
        <v>15986.4</v>
      </c>
      <c r="D203" s="107">
        <v>17318.810000000001</v>
      </c>
      <c r="E203" s="107">
        <v>17228.63</v>
      </c>
      <c r="F203" s="107">
        <v>17805.560000000001</v>
      </c>
      <c r="G203" s="107">
        <v>17536.63</v>
      </c>
      <c r="H203" s="107">
        <v>14308.58</v>
      </c>
      <c r="I203" s="107">
        <v>16002.65</v>
      </c>
      <c r="J203" s="107">
        <v>18828.12</v>
      </c>
      <c r="K203" s="107">
        <v>17566.099999999999</v>
      </c>
      <c r="L203" s="107">
        <v>17746.16</v>
      </c>
      <c r="M203" s="107">
        <v>19665.689999999999</v>
      </c>
      <c r="N203" s="107">
        <v>207148.61</v>
      </c>
    </row>
    <row r="204" spans="1:14">
      <c r="A204" s="64" t="s">
        <v>142</v>
      </c>
      <c r="B204" s="107">
        <v>2627.07</v>
      </c>
      <c r="C204" s="107">
        <v>3424.67</v>
      </c>
      <c r="D204" s="107">
        <v>2710.53</v>
      </c>
      <c r="E204" s="107">
        <v>1488.68</v>
      </c>
      <c r="F204" s="107">
        <v>3209.74</v>
      </c>
      <c r="G204" s="107">
        <v>1655.48</v>
      </c>
      <c r="H204" s="107">
        <v>2084.02</v>
      </c>
      <c r="I204" s="107">
        <v>2904.12</v>
      </c>
      <c r="J204" s="107">
        <v>2403.1</v>
      </c>
      <c r="K204" s="107">
        <v>2713.08</v>
      </c>
      <c r="L204" s="107">
        <v>3271.12</v>
      </c>
      <c r="M204" s="107">
        <v>-1343.11</v>
      </c>
      <c r="N204" s="107">
        <v>27148.5</v>
      </c>
    </row>
    <row r="205" spans="1:14">
      <c r="A205" s="64" t="s">
        <v>143</v>
      </c>
      <c r="B205" s="107">
        <v>38864.949999999997</v>
      </c>
      <c r="C205" s="107">
        <v>43461.09</v>
      </c>
      <c r="D205" s="107">
        <v>43837.45</v>
      </c>
      <c r="E205" s="107">
        <v>30077.64</v>
      </c>
      <c r="F205" s="107">
        <v>36653.39</v>
      </c>
      <c r="G205" s="107">
        <v>32314.87</v>
      </c>
      <c r="H205" s="107">
        <v>37868.949999999997</v>
      </c>
      <c r="I205" s="107">
        <v>34840.03</v>
      </c>
      <c r="J205" s="107">
        <v>46024.87</v>
      </c>
      <c r="K205" s="107">
        <v>46387.72</v>
      </c>
      <c r="L205" s="107">
        <v>64283.26</v>
      </c>
      <c r="M205" s="107">
        <v>76366.3</v>
      </c>
      <c r="N205" s="107">
        <v>530980.52</v>
      </c>
    </row>
    <row r="206" spans="1:14">
      <c r="A206" s="64" t="s">
        <v>144</v>
      </c>
      <c r="B206" s="107">
        <v>5789.03</v>
      </c>
      <c r="C206" s="107">
        <v>6773.13</v>
      </c>
      <c r="D206" s="107">
        <v>5682.59</v>
      </c>
      <c r="E206" s="107">
        <v>5770.35</v>
      </c>
      <c r="F206" s="107">
        <v>5962.7</v>
      </c>
      <c r="G206" s="107">
        <v>5962.69</v>
      </c>
      <c r="H206" s="107">
        <v>5385.66</v>
      </c>
      <c r="I206" s="107">
        <v>4135.41</v>
      </c>
      <c r="J206" s="107">
        <v>4749.93</v>
      </c>
      <c r="K206" s="107">
        <v>4745.03</v>
      </c>
      <c r="L206" s="107">
        <v>-1606.6</v>
      </c>
      <c r="M206" s="107">
        <v>3626.37</v>
      </c>
      <c r="N206" s="107">
        <v>56976.29</v>
      </c>
    </row>
    <row r="207" spans="1:14">
      <c r="A207" s="64" t="s">
        <v>145</v>
      </c>
      <c r="B207" s="107">
        <v>2834.58</v>
      </c>
      <c r="C207" s="107">
        <v>2778.54</v>
      </c>
      <c r="D207" s="107">
        <v>2745.71</v>
      </c>
      <c r="E207" s="107">
        <v>3025.59</v>
      </c>
      <c r="F207" s="107">
        <v>3270.02</v>
      </c>
      <c r="G207" s="107">
        <v>2253.54</v>
      </c>
      <c r="H207" s="107">
        <v>3094.66</v>
      </c>
      <c r="I207" s="107">
        <v>3304.21</v>
      </c>
      <c r="J207" s="107">
        <v>3372.16</v>
      </c>
      <c r="K207" s="107">
        <v>1983.2</v>
      </c>
      <c r="L207" s="107">
        <v>2826.44</v>
      </c>
      <c r="M207" s="107">
        <v>3470.71</v>
      </c>
      <c r="N207" s="107">
        <v>34959.360000000001</v>
      </c>
    </row>
    <row r="208" spans="1:14">
      <c r="A208" s="64" t="s">
        <v>146</v>
      </c>
      <c r="B208" s="107">
        <v>5921.87</v>
      </c>
      <c r="C208" s="107">
        <v>1510.63</v>
      </c>
      <c r="D208" s="107">
        <v>5855.83</v>
      </c>
      <c r="E208" s="107">
        <v>6047.65</v>
      </c>
      <c r="F208" s="107">
        <v>5402.48</v>
      </c>
      <c r="G208" s="107">
        <v>5021.7700000000004</v>
      </c>
      <c r="H208" s="107">
        <v>6485.26</v>
      </c>
      <c r="I208" s="107">
        <v>7350.62</v>
      </c>
      <c r="J208" s="107">
        <v>7024.02</v>
      </c>
      <c r="K208" s="107">
        <v>5564.09</v>
      </c>
      <c r="L208" s="107">
        <v>5112.28</v>
      </c>
      <c r="M208" s="107">
        <v>5694</v>
      </c>
      <c r="N208" s="107">
        <v>66990.5</v>
      </c>
    </row>
    <row r="209" spans="1:14">
      <c r="A209" s="64" t="s">
        <v>147</v>
      </c>
      <c r="B209" s="107">
        <v>4555.83</v>
      </c>
      <c r="C209" s="107">
        <v>2484.09</v>
      </c>
      <c r="D209" s="107">
        <v>3455.22</v>
      </c>
      <c r="E209" s="107">
        <v>3746.5</v>
      </c>
      <c r="F209" s="107">
        <v>3200.05</v>
      </c>
      <c r="G209" s="107">
        <v>2160.81</v>
      </c>
      <c r="H209" s="107">
        <v>3103.88</v>
      </c>
      <c r="I209" s="107">
        <v>3777.46</v>
      </c>
      <c r="J209" s="107">
        <v>4202.53</v>
      </c>
      <c r="K209" s="107">
        <v>3647.47</v>
      </c>
      <c r="L209" s="107">
        <v>3607.19</v>
      </c>
      <c r="M209" s="107">
        <v>3491.24</v>
      </c>
      <c r="N209" s="107">
        <v>41432.269999999997</v>
      </c>
    </row>
    <row r="210" spans="1:14">
      <c r="A210" s="64" t="s">
        <v>148</v>
      </c>
      <c r="B210" s="107">
        <v>2553.73</v>
      </c>
      <c r="C210" s="107">
        <v>3962.37</v>
      </c>
      <c r="D210" s="107">
        <v>3738.59</v>
      </c>
      <c r="E210" s="107">
        <v>4252.8500000000004</v>
      </c>
      <c r="F210" s="107">
        <v>3649.87</v>
      </c>
      <c r="G210" s="107">
        <v>3359.27</v>
      </c>
      <c r="H210" s="107">
        <v>3682.69</v>
      </c>
      <c r="I210" s="107">
        <v>3900.37</v>
      </c>
      <c r="J210" s="107">
        <v>2675.54</v>
      </c>
      <c r="K210" s="107">
        <v>4538</v>
      </c>
      <c r="L210" s="107">
        <v>3576.77</v>
      </c>
      <c r="M210" s="107">
        <v>3202.63</v>
      </c>
      <c r="N210" s="107">
        <v>43092.68</v>
      </c>
    </row>
    <row r="211" spans="1:14">
      <c r="A211" s="64" t="s">
        <v>153</v>
      </c>
      <c r="B211" s="107">
        <v>5291.26</v>
      </c>
      <c r="C211" s="107">
        <v>6190.8</v>
      </c>
      <c r="D211" s="107">
        <v>5193.96</v>
      </c>
      <c r="E211" s="107">
        <v>5274.19</v>
      </c>
      <c r="F211" s="107">
        <v>5450</v>
      </c>
      <c r="G211" s="107">
        <v>5450</v>
      </c>
      <c r="H211" s="107">
        <v>4922.58</v>
      </c>
      <c r="I211" s="107">
        <v>5450</v>
      </c>
      <c r="J211" s="107">
        <v>5274.2</v>
      </c>
      <c r="K211" s="107">
        <v>5203.8599999999997</v>
      </c>
      <c r="L211" s="107">
        <v>5520.33</v>
      </c>
      <c r="M211" s="107">
        <v>5203.87</v>
      </c>
      <c r="N211" s="107">
        <v>64425.05</v>
      </c>
    </row>
    <row r="212" spans="1:14">
      <c r="A212" s="64" t="s">
        <v>154</v>
      </c>
      <c r="B212" s="107">
        <v>10525.83</v>
      </c>
      <c r="C212" s="107">
        <v>10186.280000000001</v>
      </c>
      <c r="D212" s="107">
        <v>10525.83</v>
      </c>
      <c r="E212" s="107">
        <v>10186.290000000001</v>
      </c>
      <c r="F212" s="107">
        <v>10525.83</v>
      </c>
      <c r="G212" s="107">
        <v>10525.83</v>
      </c>
      <c r="H212" s="107">
        <v>9507.2000000000007</v>
      </c>
      <c r="I212" s="107">
        <v>12430.69</v>
      </c>
      <c r="J212" s="107">
        <v>10991.88</v>
      </c>
      <c r="K212" s="107">
        <v>10351.98</v>
      </c>
      <c r="L212" s="107">
        <v>10491.88</v>
      </c>
      <c r="M212" s="107">
        <v>9862.3700000000008</v>
      </c>
      <c r="N212" s="107">
        <v>126111.89</v>
      </c>
    </row>
    <row r="213" spans="1:14">
      <c r="A213" s="64" t="s">
        <v>155</v>
      </c>
      <c r="B213" s="111">
        <v>24629.07</v>
      </c>
      <c r="C213" s="111">
        <v>12996.08</v>
      </c>
      <c r="D213" s="111">
        <v>22636.98</v>
      </c>
      <c r="E213" s="111">
        <v>23871.84</v>
      </c>
      <c r="F213" s="111">
        <v>13368.87</v>
      </c>
      <c r="G213" s="111">
        <v>24408.69</v>
      </c>
      <c r="H213" s="111">
        <v>22586.25</v>
      </c>
      <c r="I213" s="111">
        <v>25780.99</v>
      </c>
      <c r="J213" s="111">
        <v>23002.38</v>
      </c>
      <c r="K213" s="111">
        <v>20007.41</v>
      </c>
      <c r="L213" s="111">
        <v>14698.93</v>
      </c>
      <c r="M213" s="111">
        <v>19583.080000000002</v>
      </c>
      <c r="N213" s="111">
        <v>247570.57</v>
      </c>
    </row>
    <row r="214" spans="1:14">
      <c r="A214" s="64" t="s">
        <v>156</v>
      </c>
      <c r="B214" s="107">
        <f t="shared" ref="B214:M214" si="55">SUM(B194:B213)</f>
        <v>252900.37999999998</v>
      </c>
      <c r="C214" s="107">
        <f t="shared" si="55"/>
        <v>215690.03999999998</v>
      </c>
      <c r="D214" s="107">
        <f t="shared" si="55"/>
        <v>220127.97999999998</v>
      </c>
      <c r="E214" s="107">
        <f t="shared" si="55"/>
        <v>206208.53000000003</v>
      </c>
      <c r="F214" s="107">
        <f t="shared" si="55"/>
        <v>205260.79999999999</v>
      </c>
      <c r="G214" s="107">
        <f t="shared" si="55"/>
        <v>217873.53</v>
      </c>
      <c r="H214" s="107">
        <f t="shared" si="55"/>
        <v>202879.70000000004</v>
      </c>
      <c r="I214" s="107">
        <f t="shared" si="55"/>
        <v>222709.58999999997</v>
      </c>
      <c r="J214" s="107">
        <f t="shared" si="55"/>
        <v>226165.11000000002</v>
      </c>
      <c r="K214" s="107">
        <f t="shared" si="55"/>
        <v>232937.51000000004</v>
      </c>
      <c r="L214" s="107">
        <f t="shared" si="55"/>
        <v>256835.68999999997</v>
      </c>
      <c r="M214" s="107">
        <f t="shared" si="55"/>
        <v>299686.64999999997</v>
      </c>
      <c r="N214" s="107">
        <v>2759275.51</v>
      </c>
    </row>
    <row r="215" spans="1:14">
      <c r="A215" s="64"/>
      <c r="B215" s="22"/>
      <c r="C215" s="22"/>
      <c r="D215" s="22"/>
      <c r="E215" s="22"/>
      <c r="F215" s="22"/>
      <c r="G215" s="22"/>
      <c r="H215" s="22"/>
      <c r="I215" s="22"/>
      <c r="J215" s="22"/>
      <c r="K215" s="22"/>
      <c r="L215" s="22"/>
      <c r="M215" s="22"/>
      <c r="N215" s="22"/>
    </row>
    <row r="216" spans="1:14">
      <c r="A216" s="64"/>
      <c r="B216" s="22"/>
      <c r="C216" s="22"/>
      <c r="D216" s="22"/>
      <c r="E216" s="22"/>
      <c r="F216" s="22"/>
      <c r="G216" s="22"/>
      <c r="H216" s="22"/>
      <c r="I216" s="22"/>
      <c r="J216" s="22"/>
      <c r="K216" s="22"/>
      <c r="L216" s="22"/>
      <c r="M216" s="22"/>
      <c r="N216" s="22"/>
    </row>
    <row r="217" spans="1:14">
      <c r="A217" s="64" t="s">
        <v>157</v>
      </c>
      <c r="B217" s="22"/>
      <c r="C217" s="22"/>
      <c r="D217" s="22"/>
      <c r="E217" s="22"/>
      <c r="F217" s="22"/>
      <c r="G217" s="22"/>
      <c r="H217" s="22"/>
      <c r="I217" s="22"/>
      <c r="J217" s="22"/>
      <c r="K217" s="22"/>
      <c r="L217" s="22"/>
      <c r="M217" s="22"/>
      <c r="N217" s="22"/>
    </row>
    <row r="218" spans="1:14">
      <c r="A218" s="64" t="s">
        <v>158</v>
      </c>
      <c r="B218" s="22"/>
      <c r="C218" s="22"/>
      <c r="D218" s="107">
        <v>2390.35</v>
      </c>
      <c r="E218" s="107">
        <v>1071.1500000000001</v>
      </c>
      <c r="F218" s="107">
        <v>-2601.63</v>
      </c>
      <c r="G218" s="107"/>
      <c r="H218" s="107"/>
      <c r="I218" s="107"/>
      <c r="J218" s="107"/>
      <c r="K218" s="107"/>
      <c r="L218" s="22"/>
      <c r="M218" s="22"/>
      <c r="N218" s="107">
        <v>859.87</v>
      </c>
    </row>
    <row r="219" spans="1:14">
      <c r="A219" s="64" t="s">
        <v>159</v>
      </c>
      <c r="B219" s="107">
        <v>9527.2099999999991</v>
      </c>
      <c r="C219" s="107">
        <v>16211.23</v>
      </c>
      <c r="D219" s="107">
        <v>19185.39</v>
      </c>
      <c r="E219" s="107">
        <v>6549.32</v>
      </c>
      <c r="F219" s="107">
        <v>-84878.080000000002</v>
      </c>
      <c r="G219" s="107"/>
      <c r="H219" s="107"/>
      <c r="I219" s="107"/>
      <c r="J219" s="107"/>
      <c r="K219" s="107"/>
      <c r="L219" s="107"/>
      <c r="M219" s="107"/>
      <c r="N219" s="107">
        <v>-33404.93</v>
      </c>
    </row>
    <row r="220" spans="1:14">
      <c r="A220" s="64" t="s">
        <v>160</v>
      </c>
      <c r="B220" s="22"/>
      <c r="C220" s="107">
        <v>801.66</v>
      </c>
      <c r="D220" s="22"/>
      <c r="E220" s="22"/>
      <c r="F220" s="107">
        <v>36.880000000000003</v>
      </c>
      <c r="G220" s="107"/>
      <c r="H220" s="22"/>
      <c r="I220" s="107"/>
      <c r="J220" s="107"/>
      <c r="K220" s="107"/>
      <c r="L220" s="107"/>
      <c r="M220" s="22"/>
      <c r="N220" s="107">
        <v>838.54</v>
      </c>
    </row>
    <row r="221" spans="1:14">
      <c r="A221" s="64" t="s">
        <v>161</v>
      </c>
      <c r="B221" s="111">
        <v>20246.099999999999</v>
      </c>
      <c r="C221" s="111">
        <v>33468.449999999997</v>
      </c>
      <c r="D221" s="111">
        <v>21598.36</v>
      </c>
      <c r="E221" s="111">
        <v>11070.27</v>
      </c>
      <c r="F221" s="111">
        <v>-84053.6</v>
      </c>
      <c r="G221" s="111"/>
      <c r="H221" s="111"/>
      <c r="I221" s="111">
        <v>61617.72</v>
      </c>
      <c r="J221" s="111"/>
      <c r="K221" s="111">
        <v>-61617.72</v>
      </c>
      <c r="L221" s="111"/>
      <c r="M221" s="113"/>
      <c r="N221" s="111">
        <v>2329.58</v>
      </c>
    </row>
    <row r="222" spans="1:14">
      <c r="A222" s="64" t="s">
        <v>162</v>
      </c>
      <c r="B222" s="107">
        <f>SUM(B215:B221)</f>
        <v>29773.309999999998</v>
      </c>
      <c r="C222" s="107">
        <f>SUM(C215:C221)</f>
        <v>50481.34</v>
      </c>
      <c r="D222" s="107">
        <f>SUM(D215:D221)</f>
        <v>43174.1</v>
      </c>
      <c r="E222" s="107">
        <f>SUM(E215:E221)</f>
        <v>18690.739999999998</v>
      </c>
      <c r="F222" s="107">
        <f>SUM(F215:F221)</f>
        <v>-171496.43</v>
      </c>
      <c r="G222" s="107"/>
      <c r="H222" s="107"/>
      <c r="I222" s="107">
        <f>SUM(I215:I221)</f>
        <v>61617.72</v>
      </c>
      <c r="J222" s="107"/>
      <c r="K222" s="107">
        <f>SUM(K215:K221)</f>
        <v>-61617.72</v>
      </c>
      <c r="L222" s="107"/>
      <c r="M222" s="107"/>
      <c r="N222" s="107">
        <v>-29376.94</v>
      </c>
    </row>
    <row r="223" spans="1:14">
      <c r="A223" s="64"/>
      <c r="B223" s="22"/>
      <c r="C223" s="22"/>
      <c r="D223" s="22"/>
      <c r="E223" s="22"/>
      <c r="F223" s="22"/>
      <c r="G223" s="22"/>
      <c r="H223" s="22"/>
      <c r="I223" s="22"/>
      <c r="J223" s="22"/>
      <c r="K223" s="22"/>
      <c r="L223" s="22"/>
      <c r="M223" s="22"/>
      <c r="N223" s="22"/>
    </row>
    <row r="224" spans="1:14">
      <c r="A224" s="64" t="s">
        <v>163</v>
      </c>
      <c r="B224" s="22"/>
      <c r="C224" s="22"/>
      <c r="D224" s="22"/>
      <c r="E224" s="22"/>
      <c r="F224" s="22"/>
      <c r="G224" s="22"/>
      <c r="H224" s="22"/>
      <c r="I224" s="22"/>
      <c r="J224" s="22"/>
      <c r="K224" s="22"/>
      <c r="L224" s="22"/>
      <c r="M224" s="22"/>
      <c r="N224" s="22"/>
    </row>
    <row r="225" spans="1:14">
      <c r="A225" s="64" t="s">
        <v>164</v>
      </c>
      <c r="B225" s="107">
        <v>19923.259999999998</v>
      </c>
      <c r="C225" s="107">
        <v>17441.04</v>
      </c>
      <c r="D225" s="107">
        <v>17209.490000000002</v>
      </c>
      <c r="E225" s="107">
        <v>15834.09</v>
      </c>
      <c r="F225" s="107">
        <v>15962.97</v>
      </c>
      <c r="G225" s="107">
        <v>17726.03</v>
      </c>
      <c r="H225" s="107">
        <v>16463.73</v>
      </c>
      <c r="I225" s="107">
        <v>17835.72</v>
      </c>
      <c r="J225" s="107">
        <v>17475.39</v>
      </c>
      <c r="K225" s="107">
        <v>18612.22</v>
      </c>
      <c r="L225" s="107">
        <v>19819.04</v>
      </c>
      <c r="M225" s="107">
        <v>23404.15</v>
      </c>
      <c r="N225" s="107">
        <v>217707.13</v>
      </c>
    </row>
    <row r="226" spans="1:14">
      <c r="A226" s="64" t="s">
        <v>165</v>
      </c>
      <c r="B226" s="107">
        <v>605.63</v>
      </c>
      <c r="C226" s="107">
        <v>467.22</v>
      </c>
      <c r="D226" s="107">
        <v>-662.87</v>
      </c>
      <c r="E226" s="107">
        <v>481.21</v>
      </c>
      <c r="F226" s="107">
        <v>554.97</v>
      </c>
      <c r="G226" s="107">
        <v>3692.3</v>
      </c>
      <c r="H226" s="107">
        <v>1632.06</v>
      </c>
      <c r="I226" s="107">
        <v>1386.13</v>
      </c>
      <c r="J226" s="107">
        <v>1469.38</v>
      </c>
      <c r="K226" s="107">
        <v>1370.14</v>
      </c>
      <c r="L226" s="107">
        <v>1368.47</v>
      </c>
      <c r="M226" s="107">
        <v>1901.55</v>
      </c>
      <c r="N226" s="107">
        <v>14266.19</v>
      </c>
    </row>
    <row r="227" spans="1:14">
      <c r="A227" s="64" t="s">
        <v>166</v>
      </c>
      <c r="B227" s="107">
        <v>2980.33</v>
      </c>
      <c r="C227" s="107">
        <v>4918.03</v>
      </c>
      <c r="D227" s="107">
        <v>5513</v>
      </c>
      <c r="E227" s="107">
        <v>1780.89</v>
      </c>
      <c r="F227" s="107">
        <v>2937.32</v>
      </c>
      <c r="G227" s="107">
        <v>1971.36</v>
      </c>
      <c r="H227" s="107">
        <v>3464.64</v>
      </c>
      <c r="I227" s="107">
        <v>2968.14</v>
      </c>
      <c r="J227" s="107">
        <v>3919.61</v>
      </c>
      <c r="K227" s="107">
        <v>5291.06</v>
      </c>
      <c r="L227" s="107">
        <v>3558.49</v>
      </c>
      <c r="M227" s="107">
        <v>2606.1999999999998</v>
      </c>
      <c r="N227" s="107">
        <v>41909.07</v>
      </c>
    </row>
    <row r="228" spans="1:14">
      <c r="A228" s="64" t="s">
        <v>167</v>
      </c>
      <c r="B228" s="107">
        <v>4166.16</v>
      </c>
      <c r="C228" s="107">
        <v>2027.87</v>
      </c>
      <c r="D228" s="107">
        <v>1374.22</v>
      </c>
      <c r="E228" s="107">
        <v>3634.06</v>
      </c>
      <c r="F228" s="107">
        <v>1907.48</v>
      </c>
      <c r="G228" s="107">
        <v>3869.3</v>
      </c>
      <c r="H228" s="107">
        <v>2339.5100000000002</v>
      </c>
      <c r="I228" s="107">
        <v>3550.33</v>
      </c>
      <c r="J228" s="107">
        <v>3172.19</v>
      </c>
      <c r="K228" s="107">
        <v>1374.25</v>
      </c>
      <c r="L228" s="107">
        <v>4991.3100000000004</v>
      </c>
      <c r="M228" s="107">
        <v>1318.65</v>
      </c>
      <c r="N228" s="107">
        <v>33725.33</v>
      </c>
    </row>
    <row r="229" spans="1:14">
      <c r="A229" s="64" t="s">
        <v>168</v>
      </c>
      <c r="B229" s="22"/>
      <c r="C229" s="107">
        <v>4818.71</v>
      </c>
      <c r="D229" s="22"/>
      <c r="E229" s="107">
        <v>3767.36</v>
      </c>
      <c r="F229" s="107">
        <v>4664.58</v>
      </c>
      <c r="G229" s="107">
        <v>4058.51</v>
      </c>
      <c r="H229" s="22"/>
      <c r="I229" s="22"/>
      <c r="J229" s="22"/>
      <c r="K229" s="107">
        <v>11245.68</v>
      </c>
      <c r="L229" s="107">
        <v>-3281.91</v>
      </c>
      <c r="M229" s="107">
        <v>7817.61</v>
      </c>
      <c r="N229" s="107">
        <v>33090.54</v>
      </c>
    </row>
    <row r="230" spans="1:14">
      <c r="A230" s="64" t="s">
        <v>169</v>
      </c>
      <c r="B230" s="107">
        <v>3461.47</v>
      </c>
      <c r="C230" s="107">
        <v>1595.7</v>
      </c>
      <c r="D230" s="107">
        <v>3412.8</v>
      </c>
      <c r="E230" s="107">
        <v>-114.56</v>
      </c>
      <c r="F230" s="107">
        <v>-52.74</v>
      </c>
      <c r="G230" s="107">
        <v>1796.3</v>
      </c>
      <c r="H230" s="107">
        <v>2983.54</v>
      </c>
      <c r="I230" s="107">
        <v>655.76</v>
      </c>
      <c r="J230" s="107">
        <v>358.97</v>
      </c>
      <c r="K230" s="107">
        <v>-204.48</v>
      </c>
      <c r="L230" s="107">
        <v>3470.82</v>
      </c>
      <c r="M230" s="107">
        <v>1019.88</v>
      </c>
      <c r="N230" s="107">
        <v>18383.46</v>
      </c>
    </row>
    <row r="231" spans="1:14">
      <c r="A231" s="64" t="s">
        <v>318</v>
      </c>
      <c r="B231" s="107">
        <v>1675</v>
      </c>
      <c r="C231" s="107">
        <v>2050</v>
      </c>
      <c r="D231" s="22"/>
      <c r="E231" s="22"/>
      <c r="F231" s="22"/>
      <c r="G231" s="22"/>
      <c r="H231" s="107">
        <v>150</v>
      </c>
      <c r="I231" s="22"/>
      <c r="J231" s="22"/>
      <c r="K231" s="107">
        <v>1680</v>
      </c>
      <c r="L231" s="107">
        <v>1170</v>
      </c>
      <c r="M231" s="107">
        <v>60</v>
      </c>
      <c r="N231" s="107">
        <v>6785</v>
      </c>
    </row>
    <row r="232" spans="1:14">
      <c r="A232" s="64" t="s">
        <v>171</v>
      </c>
      <c r="B232" s="111">
        <v>1460.7</v>
      </c>
      <c r="C232" s="111">
        <v>789.15</v>
      </c>
      <c r="D232" s="111">
        <v>518.99</v>
      </c>
      <c r="E232" s="111">
        <v>1214.4100000000001</v>
      </c>
      <c r="F232" s="111">
        <v>3120.47</v>
      </c>
      <c r="G232" s="111">
        <v>277.95</v>
      </c>
      <c r="H232" s="111">
        <v>2327.15</v>
      </c>
      <c r="I232" s="111">
        <v>848.97</v>
      </c>
      <c r="J232" s="111">
        <v>2113.98</v>
      </c>
      <c r="K232" s="111">
        <v>1005.15</v>
      </c>
      <c r="L232" s="111">
        <v>412.26</v>
      </c>
      <c r="M232" s="111">
        <v>150.53</v>
      </c>
      <c r="N232" s="111">
        <v>14239.71</v>
      </c>
    </row>
    <row r="233" spans="1:14">
      <c r="A233" s="64" t="s">
        <v>16</v>
      </c>
      <c r="B233" s="107">
        <f t="shared" ref="B233:M233" si="56">SUM(B223:B232)</f>
        <v>34272.550000000003</v>
      </c>
      <c r="C233" s="107">
        <f t="shared" si="56"/>
        <v>34107.72</v>
      </c>
      <c r="D233" s="107">
        <f t="shared" si="56"/>
        <v>27365.630000000005</v>
      </c>
      <c r="E233" s="107">
        <f t="shared" si="56"/>
        <v>26597.46</v>
      </c>
      <c r="F233" s="107">
        <f t="shared" si="56"/>
        <v>29095.05</v>
      </c>
      <c r="G233" s="107">
        <f t="shared" si="56"/>
        <v>33391.75</v>
      </c>
      <c r="H233" s="107">
        <f t="shared" si="56"/>
        <v>29360.630000000005</v>
      </c>
      <c r="I233" s="107">
        <f t="shared" si="56"/>
        <v>27245.05</v>
      </c>
      <c r="J233" s="107">
        <f t="shared" si="56"/>
        <v>28509.52</v>
      </c>
      <c r="K233" s="107">
        <f t="shared" si="56"/>
        <v>40374.020000000004</v>
      </c>
      <c r="L233" s="107">
        <f t="shared" si="56"/>
        <v>31508.48</v>
      </c>
      <c r="M233" s="107">
        <f t="shared" si="56"/>
        <v>38278.57</v>
      </c>
      <c r="N233" s="107">
        <v>380106.43</v>
      </c>
    </row>
    <row r="234" spans="1:14">
      <c r="A234" s="64"/>
      <c r="B234" s="22"/>
      <c r="C234" s="22"/>
      <c r="D234" s="22"/>
      <c r="E234" s="22"/>
      <c r="F234" s="22"/>
      <c r="G234" s="22"/>
      <c r="H234" s="22"/>
      <c r="I234" s="22"/>
      <c r="J234" s="22"/>
      <c r="K234" s="22"/>
      <c r="L234" s="22"/>
      <c r="M234" s="22"/>
      <c r="N234" s="22"/>
    </row>
    <row r="235" spans="1:14">
      <c r="A235" s="64" t="s">
        <v>17</v>
      </c>
      <c r="B235" s="22"/>
      <c r="C235" s="22"/>
      <c r="D235" s="22"/>
      <c r="E235" s="22"/>
      <c r="F235" s="22"/>
      <c r="G235" s="22"/>
      <c r="H235" s="22"/>
      <c r="I235" s="22"/>
      <c r="J235" s="22"/>
      <c r="K235" s="22"/>
      <c r="L235" s="22"/>
      <c r="M235" s="22"/>
      <c r="N235" s="22"/>
    </row>
    <row r="236" spans="1:14">
      <c r="A236" s="64" t="s">
        <v>172</v>
      </c>
      <c r="B236" s="107">
        <v>31099.5</v>
      </c>
      <c r="C236" s="107">
        <v>9251.7900000000009</v>
      </c>
      <c r="D236" s="107">
        <v>33212.230000000003</v>
      </c>
      <c r="E236" s="107">
        <v>10525.99</v>
      </c>
      <c r="F236" s="107">
        <v>15883.06</v>
      </c>
      <c r="G236" s="107">
        <v>11691.48</v>
      </c>
      <c r="H236" s="107">
        <v>15962.22</v>
      </c>
      <c r="I236" s="107">
        <v>20000</v>
      </c>
      <c r="J236" s="107">
        <v>15915.41</v>
      </c>
      <c r="K236" s="107">
        <v>15900</v>
      </c>
      <c r="L236" s="107">
        <v>15900</v>
      </c>
      <c r="M236" s="107">
        <v>26186.33</v>
      </c>
      <c r="N236" s="107">
        <v>221528.01</v>
      </c>
    </row>
    <row r="237" spans="1:14">
      <c r="A237" s="64" t="s">
        <v>173</v>
      </c>
      <c r="B237" s="107">
        <v>23482.62</v>
      </c>
      <c r="C237" s="107">
        <v>19072.400000000001</v>
      </c>
      <c r="D237" s="107">
        <v>19642.03</v>
      </c>
      <c r="E237" s="107">
        <v>21584.05</v>
      </c>
      <c r="F237" s="107">
        <v>20619.72</v>
      </c>
      <c r="G237" s="107">
        <v>20899.41</v>
      </c>
      <c r="H237" s="107">
        <v>29693.31</v>
      </c>
      <c r="I237" s="107">
        <v>27140.42</v>
      </c>
      <c r="J237" s="107">
        <v>24197.03</v>
      </c>
      <c r="K237" s="107">
        <v>22824.66</v>
      </c>
      <c r="L237" s="107">
        <v>18508.490000000002</v>
      </c>
      <c r="M237" s="107">
        <v>20682.650000000001</v>
      </c>
      <c r="N237" s="107">
        <v>268346.78999999998</v>
      </c>
    </row>
    <row r="238" spans="1:14">
      <c r="A238" s="64" t="s">
        <v>174</v>
      </c>
      <c r="B238" s="107">
        <v>16885.46</v>
      </c>
      <c r="C238" s="107">
        <v>13300.68</v>
      </c>
      <c r="D238" s="107">
        <v>19222.669999999998</v>
      </c>
      <c r="E238" s="107">
        <v>19309.310000000001</v>
      </c>
      <c r="F238" s="107">
        <v>20085.89</v>
      </c>
      <c r="G238" s="107">
        <v>17347.189999999999</v>
      </c>
      <c r="H238" s="107">
        <v>24618.27</v>
      </c>
      <c r="I238" s="107">
        <v>22300</v>
      </c>
      <c r="J238" s="107">
        <v>20977.71</v>
      </c>
      <c r="K238" s="107">
        <v>13757.39</v>
      </c>
      <c r="L238" s="107">
        <v>12372.77</v>
      </c>
      <c r="M238" s="107">
        <v>13888.37</v>
      </c>
      <c r="N238" s="107">
        <v>214065.71</v>
      </c>
    </row>
    <row r="239" spans="1:14">
      <c r="A239" s="64" t="s">
        <v>175</v>
      </c>
      <c r="B239" s="107">
        <v>3526.91</v>
      </c>
      <c r="C239" s="107">
        <v>2711.06</v>
      </c>
      <c r="D239" s="107">
        <v>3369.87</v>
      </c>
      <c r="E239" s="107">
        <v>3482.78</v>
      </c>
      <c r="F239" s="107">
        <v>5781.6</v>
      </c>
      <c r="G239" s="107">
        <v>10914.71</v>
      </c>
      <c r="H239" s="107">
        <v>8868.59</v>
      </c>
      <c r="I239" s="107">
        <v>9900.01</v>
      </c>
      <c r="J239" s="107">
        <v>10529.77</v>
      </c>
      <c r="K239" s="107">
        <v>11100.93</v>
      </c>
      <c r="L239" s="107">
        <v>8400.81</v>
      </c>
      <c r="M239" s="107">
        <v>10211.65</v>
      </c>
      <c r="N239" s="107">
        <v>88798.69</v>
      </c>
    </row>
    <row r="240" spans="1:14">
      <c r="A240" s="64" t="s">
        <v>176</v>
      </c>
      <c r="B240" s="107">
        <v>634.55999999999995</v>
      </c>
      <c r="C240" s="22"/>
      <c r="D240" s="22"/>
      <c r="E240" s="22"/>
      <c r="F240" s="107">
        <v>107.71</v>
      </c>
      <c r="G240" s="107">
        <v>59.38</v>
      </c>
      <c r="H240" s="107">
        <v>107.71</v>
      </c>
      <c r="I240" s="107">
        <v>107.71</v>
      </c>
      <c r="J240" s="107">
        <v>100</v>
      </c>
      <c r="K240" s="107"/>
      <c r="L240" s="107">
        <v>223.13</v>
      </c>
      <c r="M240" s="107">
        <v>215.42</v>
      </c>
      <c r="N240" s="107">
        <v>1555.62</v>
      </c>
    </row>
    <row r="241" spans="1:14">
      <c r="A241" s="64" t="s">
        <v>177</v>
      </c>
      <c r="B241" s="107">
        <v>178.21</v>
      </c>
      <c r="C241" s="107">
        <v>421.13</v>
      </c>
      <c r="D241" s="107">
        <v>134.35</v>
      </c>
      <c r="E241" s="107">
        <v>268.52</v>
      </c>
      <c r="F241" s="107">
        <v>431.77</v>
      </c>
      <c r="G241" s="107">
        <v>269.93</v>
      </c>
      <c r="H241" s="107">
        <v>772.34</v>
      </c>
      <c r="I241" s="107">
        <v>469.23</v>
      </c>
      <c r="J241" s="107">
        <v>516.89</v>
      </c>
      <c r="K241" s="107">
        <v>93.79</v>
      </c>
      <c r="L241" s="107">
        <v>227.14</v>
      </c>
      <c r="M241" s="107">
        <v>465</v>
      </c>
      <c r="N241" s="107">
        <v>4248.3</v>
      </c>
    </row>
    <row r="242" spans="1:14">
      <c r="A242" s="64" t="s">
        <v>178</v>
      </c>
      <c r="B242" s="107">
        <v>1133.4100000000001</v>
      </c>
      <c r="C242" s="107">
        <v>2308.25</v>
      </c>
      <c r="D242" s="107">
        <v>983.56</v>
      </c>
      <c r="E242" s="107">
        <v>606.98</v>
      </c>
      <c r="F242" s="107">
        <v>762.82</v>
      </c>
      <c r="G242" s="107">
        <v>1260.82</v>
      </c>
      <c r="H242" s="107">
        <v>1112.82</v>
      </c>
      <c r="I242" s="107">
        <v>1000</v>
      </c>
      <c r="J242" s="107">
        <v>870</v>
      </c>
      <c r="K242" s="107">
        <v>1522.62</v>
      </c>
      <c r="L242" s="107">
        <v>1600</v>
      </c>
      <c r="M242" s="107">
        <v>1220.22</v>
      </c>
      <c r="N242" s="107">
        <v>14381.5</v>
      </c>
    </row>
    <row r="243" spans="1:14">
      <c r="A243" s="64" t="s">
        <v>179</v>
      </c>
      <c r="B243" s="107">
        <v>1337.35</v>
      </c>
      <c r="C243" s="107">
        <v>4759.59</v>
      </c>
      <c r="D243" s="107">
        <v>4571.7700000000004</v>
      </c>
      <c r="E243" s="107">
        <v>2781.83</v>
      </c>
      <c r="F243" s="107">
        <v>2487.79</v>
      </c>
      <c r="G243" s="107">
        <v>3175.18</v>
      </c>
      <c r="H243" s="107">
        <v>4175.88</v>
      </c>
      <c r="I243" s="107">
        <v>3800</v>
      </c>
      <c r="J243" s="107">
        <v>4118.7700000000004</v>
      </c>
      <c r="K243" s="107">
        <v>3184.25</v>
      </c>
      <c r="L243" s="107">
        <v>2677.94</v>
      </c>
      <c r="M243" s="107">
        <v>3117.03</v>
      </c>
      <c r="N243" s="107">
        <v>40187.379999999997</v>
      </c>
    </row>
    <row r="244" spans="1:14">
      <c r="A244" s="64" t="s">
        <v>180</v>
      </c>
      <c r="B244" s="107">
        <v>1939.56</v>
      </c>
      <c r="C244" s="107">
        <v>4201.63</v>
      </c>
      <c r="D244" s="107">
        <v>1558.96</v>
      </c>
      <c r="E244" s="107">
        <v>1397.84</v>
      </c>
      <c r="F244" s="107">
        <v>1693.17</v>
      </c>
      <c r="G244" s="107">
        <v>2266.7600000000002</v>
      </c>
      <c r="H244" s="107">
        <v>1840.5</v>
      </c>
      <c r="I244" s="107">
        <v>1467.44</v>
      </c>
      <c r="J244" s="107">
        <v>2428.36</v>
      </c>
      <c r="K244" s="107">
        <v>1896.58</v>
      </c>
      <c r="L244" s="107">
        <v>2196.15</v>
      </c>
      <c r="M244" s="107">
        <v>1602.36</v>
      </c>
      <c r="N244" s="107">
        <v>24489.31</v>
      </c>
    </row>
    <row r="245" spans="1:14">
      <c r="A245" s="64" t="s">
        <v>181</v>
      </c>
      <c r="B245" s="107">
        <v>2353.65</v>
      </c>
      <c r="C245" s="107">
        <v>2779.45</v>
      </c>
      <c r="D245" s="107">
        <v>1590.17</v>
      </c>
      <c r="E245" s="107">
        <v>1169.1099999999999</v>
      </c>
      <c r="F245" s="107">
        <v>1893.7</v>
      </c>
      <c r="G245" s="107"/>
      <c r="H245" s="107">
        <v>1631.65</v>
      </c>
      <c r="I245" s="107">
        <v>1453.14</v>
      </c>
      <c r="J245" s="107">
        <v>1905.92</v>
      </c>
      <c r="K245" s="107">
        <v>2134.66</v>
      </c>
      <c r="L245" s="107">
        <v>2104.7199999999998</v>
      </c>
      <c r="M245" s="107">
        <v>2485.15</v>
      </c>
      <c r="N245" s="107">
        <v>21501.32</v>
      </c>
    </row>
    <row r="246" spans="1:14">
      <c r="A246" s="64" t="s">
        <v>182</v>
      </c>
      <c r="B246" s="107">
        <v>224.42</v>
      </c>
      <c r="C246" s="107">
        <v>392.83</v>
      </c>
      <c r="D246" s="107">
        <v>661.52</v>
      </c>
      <c r="E246" s="107">
        <v>1156.8699999999999</v>
      </c>
      <c r="F246" s="107">
        <v>902.47</v>
      </c>
      <c r="G246" s="107">
        <v>1206.6099999999999</v>
      </c>
      <c r="H246" s="107">
        <v>1980.89</v>
      </c>
      <c r="I246" s="107">
        <v>346</v>
      </c>
      <c r="J246" s="107">
        <v>1984.83</v>
      </c>
      <c r="K246" s="107">
        <v>1447.71</v>
      </c>
      <c r="L246" s="107">
        <v>907.06</v>
      </c>
      <c r="M246" s="107">
        <v>2370.61</v>
      </c>
      <c r="N246" s="107">
        <v>13581.82</v>
      </c>
    </row>
    <row r="247" spans="1:14">
      <c r="A247" s="64" t="s">
        <v>183</v>
      </c>
      <c r="B247" s="107">
        <v>311.42</v>
      </c>
      <c r="C247" s="107">
        <v>370.93</v>
      </c>
      <c r="D247" s="107">
        <v>722.35</v>
      </c>
      <c r="E247" s="107">
        <v>200.26</v>
      </c>
      <c r="F247" s="107">
        <v>2296.44</v>
      </c>
      <c r="G247" s="107">
        <v>575.94000000000005</v>
      </c>
      <c r="H247" s="22"/>
      <c r="I247" s="107">
        <v>389.64</v>
      </c>
      <c r="J247" s="107">
        <v>940.82</v>
      </c>
      <c r="K247" s="107">
        <v>1029.3800000000001</v>
      </c>
      <c r="L247" s="107">
        <v>1187.9100000000001</v>
      </c>
      <c r="M247" s="107">
        <v>1967.5</v>
      </c>
      <c r="N247" s="107">
        <v>9992.59</v>
      </c>
    </row>
    <row r="248" spans="1:14">
      <c r="A248" s="64" t="s">
        <v>184</v>
      </c>
      <c r="B248" s="111">
        <v>2763.6</v>
      </c>
      <c r="C248" s="111">
        <v>1383.65</v>
      </c>
      <c r="D248" s="111">
        <v>2256.2399999999998</v>
      </c>
      <c r="E248" s="111">
        <v>2806.03</v>
      </c>
      <c r="F248" s="111">
        <v>1023.43</v>
      </c>
      <c r="G248" s="111">
        <v>28.04</v>
      </c>
      <c r="H248" s="111">
        <v>2920.15</v>
      </c>
      <c r="I248" s="111">
        <v>2847.44</v>
      </c>
      <c r="J248" s="111">
        <v>2310.91</v>
      </c>
      <c r="K248" s="111">
        <v>8532.4599999999991</v>
      </c>
      <c r="L248" s="111">
        <v>2900</v>
      </c>
      <c r="M248" s="111">
        <v>2232.6799999999998</v>
      </c>
      <c r="N248" s="111">
        <v>32004.63</v>
      </c>
    </row>
    <row r="249" spans="1:14">
      <c r="A249" s="64" t="s">
        <v>185</v>
      </c>
      <c r="B249" s="107">
        <f t="shared" ref="B249:M249" si="57">SUM(B234:B248)</f>
        <v>85870.67</v>
      </c>
      <c r="C249" s="107">
        <f t="shared" si="57"/>
        <v>60953.389999999992</v>
      </c>
      <c r="D249" s="107">
        <f t="shared" si="57"/>
        <v>87925.720000000016</v>
      </c>
      <c r="E249" s="107">
        <f t="shared" si="57"/>
        <v>65289.570000000007</v>
      </c>
      <c r="F249" s="107">
        <f t="shared" si="57"/>
        <v>73969.569999999978</v>
      </c>
      <c r="G249" s="107">
        <f t="shared" si="57"/>
        <v>69695.449999999983</v>
      </c>
      <c r="H249" s="107">
        <f t="shared" si="57"/>
        <v>93684.33</v>
      </c>
      <c r="I249" s="107">
        <f t="shared" si="57"/>
        <v>91221.03</v>
      </c>
      <c r="J249" s="107">
        <f t="shared" si="57"/>
        <v>86796.420000000013</v>
      </c>
      <c r="K249" s="107">
        <f t="shared" si="57"/>
        <v>83424.430000000022</v>
      </c>
      <c r="L249" s="107">
        <f t="shared" si="57"/>
        <v>69206.12000000001</v>
      </c>
      <c r="M249" s="107">
        <f t="shared" si="57"/>
        <v>86644.969999999987</v>
      </c>
      <c r="N249" s="107">
        <v>954681.67</v>
      </c>
    </row>
    <row r="250" spans="1:14">
      <c r="A250" s="64"/>
      <c r="B250" s="22"/>
      <c r="C250" s="22"/>
      <c r="D250" s="22"/>
      <c r="E250" s="22"/>
      <c r="F250" s="22"/>
      <c r="G250" s="22"/>
      <c r="H250" s="22"/>
      <c r="I250" s="22"/>
      <c r="J250" s="22"/>
      <c r="K250" s="22"/>
      <c r="L250" s="22"/>
      <c r="M250" s="22"/>
      <c r="N250" s="22"/>
    </row>
    <row r="251" spans="1:14">
      <c r="A251" s="64" t="s">
        <v>186</v>
      </c>
      <c r="B251" s="22"/>
      <c r="C251" s="22"/>
      <c r="D251" s="22"/>
      <c r="E251" s="22"/>
      <c r="F251" s="22"/>
      <c r="G251" s="22"/>
      <c r="H251" s="22"/>
      <c r="I251" s="22"/>
      <c r="J251" s="22"/>
      <c r="K251" s="22"/>
      <c r="L251" s="22"/>
      <c r="M251" s="22"/>
      <c r="N251" s="22"/>
    </row>
    <row r="252" spans="1:14">
      <c r="A252" s="64" t="s">
        <v>187</v>
      </c>
      <c r="B252" s="107">
        <v>6000</v>
      </c>
      <c r="C252" s="107"/>
      <c r="D252" s="107">
        <v>4000</v>
      </c>
      <c r="E252" s="107">
        <v>4000</v>
      </c>
      <c r="F252" s="107">
        <v>4000</v>
      </c>
      <c r="G252" s="107">
        <v>4000</v>
      </c>
      <c r="H252" s="107">
        <v>1000</v>
      </c>
      <c r="I252" s="107">
        <v>4000</v>
      </c>
      <c r="J252" s="107">
        <v>4000</v>
      </c>
      <c r="K252" s="107">
        <v>4000</v>
      </c>
      <c r="L252" s="107">
        <v>4000</v>
      </c>
      <c r="M252" s="107">
        <v>4000</v>
      </c>
      <c r="N252" s="107">
        <v>43000</v>
      </c>
    </row>
    <row r="253" spans="1:14">
      <c r="A253" s="64" t="s">
        <v>188</v>
      </c>
      <c r="B253" s="107">
        <v>1172.5</v>
      </c>
      <c r="C253" s="107">
        <v>1522.5</v>
      </c>
      <c r="D253" s="107">
        <v>1400</v>
      </c>
      <c r="E253" s="107">
        <v>1365</v>
      </c>
      <c r="F253" s="107">
        <v>1505</v>
      </c>
      <c r="G253" s="107">
        <v>1242.5</v>
      </c>
      <c r="H253" s="107">
        <v>1820</v>
      </c>
      <c r="I253" s="107">
        <v>1600</v>
      </c>
      <c r="J253" s="107">
        <v>1585</v>
      </c>
      <c r="K253" s="107">
        <v>1400</v>
      </c>
      <c r="L253" s="107">
        <v>1645</v>
      </c>
      <c r="M253" s="107">
        <v>1452.5</v>
      </c>
      <c r="N253" s="107">
        <v>17710</v>
      </c>
    </row>
    <row r="254" spans="1:14">
      <c r="A254" s="64" t="s">
        <v>190</v>
      </c>
      <c r="B254" s="107">
        <v>6192.55</v>
      </c>
      <c r="C254" s="107">
        <v>6208.59</v>
      </c>
      <c r="D254" s="107">
        <v>3480</v>
      </c>
      <c r="E254" s="107">
        <v>5806.38</v>
      </c>
      <c r="F254" s="107">
        <v>3240</v>
      </c>
      <c r="G254" s="107">
        <v>-3181.38</v>
      </c>
      <c r="H254" s="107">
        <v>4771.24</v>
      </c>
      <c r="I254" s="107">
        <v>3270</v>
      </c>
      <c r="J254" s="107">
        <v>5060</v>
      </c>
      <c r="K254" s="107">
        <v>3480</v>
      </c>
      <c r="L254" s="107">
        <v>4085</v>
      </c>
      <c r="M254" s="107">
        <v>3140</v>
      </c>
      <c r="N254" s="107">
        <v>45552.38</v>
      </c>
    </row>
    <row r="255" spans="1:14">
      <c r="A255" s="64" t="s">
        <v>191</v>
      </c>
      <c r="B255" s="107">
        <v>13807.67</v>
      </c>
      <c r="C255" s="107">
        <v>13708.32</v>
      </c>
      <c r="D255" s="107">
        <v>11094.14</v>
      </c>
      <c r="E255" s="107">
        <v>9970.56</v>
      </c>
      <c r="F255" s="107">
        <v>9223.92</v>
      </c>
      <c r="G255" s="107">
        <v>10775.02</v>
      </c>
      <c r="H255" s="107">
        <v>11049.79</v>
      </c>
      <c r="I255" s="107">
        <v>10579.57</v>
      </c>
      <c r="J255" s="107">
        <v>11326.2</v>
      </c>
      <c r="K255" s="107">
        <v>13659.16</v>
      </c>
      <c r="L255" s="107">
        <v>13784.85</v>
      </c>
      <c r="M255" s="107"/>
      <c r="N255" s="107">
        <v>128979.2</v>
      </c>
    </row>
    <row r="256" spans="1:14">
      <c r="A256" s="64" t="s">
        <v>415</v>
      </c>
      <c r="B256" s="22"/>
      <c r="C256" s="22"/>
      <c r="D256" s="22"/>
      <c r="E256" s="22"/>
      <c r="F256" s="22"/>
      <c r="G256" s="22"/>
      <c r="H256" s="22"/>
      <c r="I256" s="22"/>
      <c r="J256" s="22"/>
      <c r="K256" s="22"/>
      <c r="L256" s="22"/>
      <c r="M256" s="107">
        <v>5845.73</v>
      </c>
      <c r="N256" s="107">
        <v>5845.73</v>
      </c>
    </row>
    <row r="257" spans="1:14">
      <c r="A257" s="64" t="s">
        <v>416</v>
      </c>
      <c r="B257" s="22"/>
      <c r="C257" s="22"/>
      <c r="D257" s="22"/>
      <c r="E257" s="22"/>
      <c r="F257" s="22"/>
      <c r="G257" s="22"/>
      <c r="H257" s="22"/>
      <c r="I257" s="22"/>
      <c r="J257" s="22"/>
      <c r="K257" s="22"/>
      <c r="L257" s="22"/>
      <c r="M257" s="107">
        <v>876.21</v>
      </c>
      <c r="N257" s="107">
        <v>876.21</v>
      </c>
    </row>
    <row r="258" spans="1:14">
      <c r="A258" s="64" t="s">
        <v>417</v>
      </c>
      <c r="B258" s="22"/>
      <c r="C258" s="22"/>
      <c r="D258" s="22"/>
      <c r="E258" s="22"/>
      <c r="F258" s="22"/>
      <c r="G258" s="22"/>
      <c r="H258" s="22"/>
      <c r="I258" s="22"/>
      <c r="J258" s="22"/>
      <c r="K258" s="22"/>
      <c r="L258" s="22"/>
      <c r="M258" s="107">
        <v>8434.24</v>
      </c>
      <c r="N258" s="107">
        <v>8434.24</v>
      </c>
    </row>
    <row r="259" spans="1:14">
      <c r="A259" s="64" t="s">
        <v>192</v>
      </c>
      <c r="B259" s="107">
        <v>980.31</v>
      </c>
      <c r="C259" s="107">
        <v>1022.26</v>
      </c>
      <c r="D259" s="107">
        <v>1022.26</v>
      </c>
      <c r="E259" s="107">
        <v>1022.26</v>
      </c>
      <c r="F259" s="107">
        <v>1022.26</v>
      </c>
      <c r="G259" s="107">
        <v>944.4</v>
      </c>
      <c r="H259" s="107">
        <v>944.4</v>
      </c>
      <c r="I259" s="107">
        <v>944.4</v>
      </c>
      <c r="J259" s="107">
        <v>944.4</v>
      </c>
      <c r="K259" s="107">
        <v>944.4</v>
      </c>
      <c r="L259" s="107">
        <v>944.4</v>
      </c>
      <c r="M259" s="107">
        <v>944.4</v>
      </c>
      <c r="N259" s="107">
        <v>11680.15</v>
      </c>
    </row>
    <row r="260" spans="1:14">
      <c r="A260" s="64" t="s">
        <v>193</v>
      </c>
      <c r="B260" s="107">
        <v>1484.78</v>
      </c>
      <c r="C260" s="107">
        <v>1537.68</v>
      </c>
      <c r="D260" s="107">
        <v>1614.56</v>
      </c>
      <c r="E260" s="107">
        <v>1726.59</v>
      </c>
      <c r="F260" s="107">
        <v>1514.58</v>
      </c>
      <c r="G260" s="107">
        <v>1470.47</v>
      </c>
      <c r="H260" s="107">
        <v>1504.4</v>
      </c>
      <c r="I260" s="107">
        <v>1309.27</v>
      </c>
      <c r="J260" s="107">
        <v>1632.65</v>
      </c>
      <c r="K260" s="107">
        <v>1532.27</v>
      </c>
      <c r="L260" s="107">
        <v>1429.55</v>
      </c>
      <c r="M260" s="107">
        <v>1534.71</v>
      </c>
      <c r="N260" s="107">
        <v>18291.509999999998</v>
      </c>
    </row>
    <row r="261" spans="1:14">
      <c r="A261" s="64" t="s">
        <v>194</v>
      </c>
      <c r="B261" s="107">
        <v>2430.9</v>
      </c>
      <c r="C261" s="107">
        <v>6295.09</v>
      </c>
      <c r="D261" s="107">
        <v>2332.3200000000002</v>
      </c>
      <c r="E261" s="107">
        <v>837.69</v>
      </c>
      <c r="F261" s="107">
        <v>1967.65</v>
      </c>
      <c r="G261" s="107">
        <v>644.24</v>
      </c>
      <c r="H261" s="107">
        <v>1866.1</v>
      </c>
      <c r="I261" s="107">
        <v>2364.29</v>
      </c>
      <c r="J261" s="107">
        <v>2730.46</v>
      </c>
      <c r="K261" s="107">
        <v>300</v>
      </c>
      <c r="L261" s="107">
        <v>1828.6</v>
      </c>
      <c r="M261" s="107">
        <v>7646.57</v>
      </c>
      <c r="N261" s="107">
        <v>31243.91</v>
      </c>
    </row>
    <row r="262" spans="1:14">
      <c r="A262" s="64" t="s">
        <v>195</v>
      </c>
      <c r="B262" s="107">
        <v>15041.87</v>
      </c>
      <c r="C262" s="107">
        <v>-226.01</v>
      </c>
      <c r="D262" s="107">
        <v>25784.03</v>
      </c>
      <c r="E262" s="107">
        <v>15041.88</v>
      </c>
      <c r="F262" s="107">
        <v>15041.88</v>
      </c>
      <c r="G262" s="107">
        <v>15041.88</v>
      </c>
      <c r="H262" s="107">
        <v>15041.88</v>
      </c>
      <c r="I262" s="107">
        <v>15000</v>
      </c>
      <c r="J262" s="107">
        <v>15041.88</v>
      </c>
      <c r="K262" s="107">
        <v>16544.43</v>
      </c>
      <c r="L262" s="107">
        <v>15193.17</v>
      </c>
      <c r="M262" s="107">
        <v>15593.17</v>
      </c>
      <c r="N262" s="107">
        <v>178140.06</v>
      </c>
    </row>
    <row r="263" spans="1:14">
      <c r="A263" s="64" t="s">
        <v>196</v>
      </c>
      <c r="B263" s="107">
        <v>10176.879999999999</v>
      </c>
      <c r="C263" s="107">
        <v>2850.44</v>
      </c>
      <c r="D263" s="107">
        <v>7161.43</v>
      </c>
      <c r="E263" s="107">
        <v>7161.43</v>
      </c>
      <c r="F263" s="107">
        <v>7161.43</v>
      </c>
      <c r="G263" s="107">
        <v>7161.43</v>
      </c>
      <c r="H263" s="107">
        <v>7161.43</v>
      </c>
      <c r="I263" s="107">
        <v>7200</v>
      </c>
      <c r="J263" s="107">
        <v>7161.43</v>
      </c>
      <c r="K263" s="107">
        <v>7691.12</v>
      </c>
      <c r="L263" s="107">
        <v>7376.28</v>
      </c>
      <c r="M263" s="107">
        <v>7476.28</v>
      </c>
      <c r="N263" s="107">
        <v>85739.58</v>
      </c>
    </row>
    <row r="264" spans="1:14">
      <c r="A264" s="64" t="s">
        <v>197</v>
      </c>
      <c r="B264" s="107">
        <v>40650.089999999997</v>
      </c>
      <c r="C264" s="107">
        <v>39991.620000000003</v>
      </c>
      <c r="D264" s="107">
        <v>40617.78</v>
      </c>
      <c r="E264" s="107">
        <v>40500.1</v>
      </c>
      <c r="F264" s="107">
        <v>40896.32</v>
      </c>
      <c r="G264" s="107">
        <v>41404.800000000003</v>
      </c>
      <c r="H264" s="107">
        <v>41573.64</v>
      </c>
      <c r="I264" s="107">
        <v>41685.129999999997</v>
      </c>
      <c r="J264" s="107">
        <v>41400</v>
      </c>
      <c r="K264" s="107">
        <v>49957.94</v>
      </c>
      <c r="L264" s="107">
        <v>40467.25</v>
      </c>
      <c r="M264" s="107">
        <v>46185</v>
      </c>
      <c r="N264" s="107">
        <v>505329.67</v>
      </c>
    </row>
    <row r="265" spans="1:14">
      <c r="A265" s="64" t="s">
        <v>198</v>
      </c>
      <c r="B265" s="107">
        <v>689.42</v>
      </c>
      <c r="C265" s="107">
        <v>690.61</v>
      </c>
      <c r="D265" s="107">
        <v>680.27</v>
      </c>
      <c r="E265" s="107">
        <v>687.7</v>
      </c>
      <c r="F265" s="107">
        <v>692.47</v>
      </c>
      <c r="G265" s="107">
        <v>692.11</v>
      </c>
      <c r="H265" s="107">
        <v>737.75</v>
      </c>
      <c r="I265" s="107">
        <v>750.8</v>
      </c>
      <c r="J265" s="107">
        <v>795.34</v>
      </c>
      <c r="K265" s="107">
        <v>793.13</v>
      </c>
      <c r="L265" s="107">
        <v>808.73</v>
      </c>
      <c r="M265" s="107">
        <v>820.58</v>
      </c>
      <c r="N265" s="107">
        <v>8838.91</v>
      </c>
    </row>
    <row r="266" spans="1:14">
      <c r="A266" s="64" t="s">
        <v>199</v>
      </c>
      <c r="B266" s="107">
        <v>368.75</v>
      </c>
      <c r="C266" s="107">
        <v>568.5</v>
      </c>
      <c r="D266" s="107">
        <v>422.83</v>
      </c>
      <c r="E266" s="107">
        <v>87.17</v>
      </c>
      <c r="F266" s="107">
        <v>270</v>
      </c>
      <c r="G266" s="107">
        <v>285</v>
      </c>
      <c r="H266" s="107">
        <v>180</v>
      </c>
      <c r="I266" s="107">
        <v>300</v>
      </c>
      <c r="J266" s="107">
        <v>446.5</v>
      </c>
      <c r="K266" s="107">
        <v>308.75</v>
      </c>
      <c r="L266" s="107">
        <v>500</v>
      </c>
      <c r="M266" s="107">
        <v>672.5</v>
      </c>
      <c r="N266" s="107">
        <v>4410</v>
      </c>
    </row>
    <row r="267" spans="1:14">
      <c r="A267" s="64" t="s">
        <v>200</v>
      </c>
      <c r="B267" s="107">
        <v>1600</v>
      </c>
      <c r="C267" s="107">
        <v>1600</v>
      </c>
      <c r="D267" s="107">
        <v>1600</v>
      </c>
      <c r="E267" s="107">
        <v>1600</v>
      </c>
      <c r="F267" s="107">
        <v>1600</v>
      </c>
      <c r="G267" s="107">
        <v>1600</v>
      </c>
      <c r="H267" s="107">
        <v>1600</v>
      </c>
      <c r="I267" s="107">
        <v>1600</v>
      </c>
      <c r="J267" s="107">
        <v>1600</v>
      </c>
      <c r="K267" s="107">
        <v>1600</v>
      </c>
      <c r="L267" s="107">
        <v>1600</v>
      </c>
      <c r="M267" s="107">
        <v>1600</v>
      </c>
      <c r="N267" s="107">
        <v>19200</v>
      </c>
    </row>
    <row r="268" spans="1:14">
      <c r="A268" s="64" t="s">
        <v>201</v>
      </c>
      <c r="B268" s="107">
        <v>189.44</v>
      </c>
      <c r="C268" s="107">
        <v>308.98</v>
      </c>
      <c r="D268" s="107">
        <v>926.94</v>
      </c>
      <c r="E268" s="107">
        <v>617.96</v>
      </c>
      <c r="F268" s="107">
        <v>400.43</v>
      </c>
      <c r="G268" s="107">
        <v>285.43</v>
      </c>
      <c r="H268" s="107">
        <v>960</v>
      </c>
      <c r="I268" s="107">
        <v>420</v>
      </c>
      <c r="J268" s="107">
        <v>410</v>
      </c>
      <c r="K268" s="107">
        <v>385.43</v>
      </c>
      <c r="L268" s="107">
        <v>285.43</v>
      </c>
      <c r="M268" s="107">
        <v>300</v>
      </c>
      <c r="N268" s="107">
        <v>5490.04</v>
      </c>
    </row>
    <row r="269" spans="1:14">
      <c r="A269" s="64" t="s">
        <v>202</v>
      </c>
      <c r="B269" s="22"/>
      <c r="C269" s="107">
        <v>480</v>
      </c>
      <c r="D269" s="107"/>
      <c r="E269" s="22"/>
      <c r="F269" s="22"/>
      <c r="G269" s="107"/>
      <c r="H269" s="107">
        <v>4160</v>
      </c>
      <c r="I269" s="107">
        <v>942.35</v>
      </c>
      <c r="J269" s="22"/>
      <c r="K269" s="22"/>
      <c r="L269" s="22"/>
      <c r="M269" s="107">
        <v>2336.54</v>
      </c>
      <c r="N269" s="107">
        <v>7918.89</v>
      </c>
    </row>
    <row r="270" spans="1:14">
      <c r="A270" s="64" t="s">
        <v>203</v>
      </c>
      <c r="B270" s="107">
        <v>8658.41</v>
      </c>
      <c r="C270" s="107">
        <v>11949.86</v>
      </c>
      <c r="D270" s="107">
        <v>11267.34</v>
      </c>
      <c r="E270" s="107">
        <v>9000.2999999999993</v>
      </c>
      <c r="F270" s="107">
        <v>11409.55</v>
      </c>
      <c r="G270" s="107">
        <v>9424.7099999999991</v>
      </c>
      <c r="H270" s="107">
        <v>10482.1</v>
      </c>
      <c r="I270" s="107">
        <v>9528.6299999999992</v>
      </c>
      <c r="J270" s="107">
        <v>9359.1299999999992</v>
      </c>
      <c r="K270" s="107">
        <v>13191.1</v>
      </c>
      <c r="L270" s="107">
        <v>10071.69</v>
      </c>
      <c r="M270" s="107">
        <v>12121.37</v>
      </c>
      <c r="N270" s="107">
        <v>126464.19</v>
      </c>
    </row>
    <row r="271" spans="1:14">
      <c r="A271" s="64" t="s">
        <v>204</v>
      </c>
      <c r="B271" s="107">
        <v>29484</v>
      </c>
      <c r="C271" s="107">
        <v>28669</v>
      </c>
      <c r="D271" s="107">
        <v>29197</v>
      </c>
      <c r="E271" s="107">
        <v>26707</v>
      </c>
      <c r="F271" s="107">
        <v>-1054674</v>
      </c>
      <c r="G271" s="107">
        <v>29917</v>
      </c>
      <c r="H271" s="107">
        <v>36795</v>
      </c>
      <c r="I271" s="107">
        <v>33022</v>
      </c>
      <c r="J271" s="107">
        <v>34239</v>
      </c>
      <c r="K271" s="107">
        <v>30501</v>
      </c>
      <c r="L271" s="107">
        <v>28429</v>
      </c>
      <c r="M271" s="107">
        <v>32813</v>
      </c>
      <c r="N271" s="107">
        <v>-714901</v>
      </c>
    </row>
    <row r="272" spans="1:14">
      <c r="A272" s="64" t="s">
        <v>205</v>
      </c>
      <c r="B272" s="107">
        <v>901.42</v>
      </c>
      <c r="C272" s="107">
        <v>913.96</v>
      </c>
      <c r="D272" s="107">
        <v>2030.21</v>
      </c>
      <c r="E272" s="107">
        <v>904.52</v>
      </c>
      <c r="F272" s="107">
        <v>651.14</v>
      </c>
      <c r="G272" s="107">
        <v>1212.01</v>
      </c>
      <c r="H272" s="107">
        <v>625.75</v>
      </c>
      <c r="I272" s="107">
        <v>761.09</v>
      </c>
      <c r="J272" s="107">
        <v>626.55999999999995</v>
      </c>
      <c r="K272" s="107">
        <v>642.07000000000005</v>
      </c>
      <c r="L272" s="107">
        <v>595</v>
      </c>
      <c r="M272" s="107">
        <v>1121.0899999999999</v>
      </c>
      <c r="N272" s="107">
        <v>10984.82</v>
      </c>
    </row>
    <row r="273" spans="1:14">
      <c r="A273" s="64" t="s">
        <v>206</v>
      </c>
      <c r="B273" s="111">
        <v>516.28</v>
      </c>
      <c r="C273" s="111">
        <v>333.81</v>
      </c>
      <c r="D273" s="111">
        <v>813.6</v>
      </c>
      <c r="E273" s="111">
        <v>567.85</v>
      </c>
      <c r="F273" s="111">
        <v>65.44</v>
      </c>
      <c r="G273" s="111">
        <v>264.22000000000003</v>
      </c>
      <c r="H273" s="111">
        <v>525.33000000000004</v>
      </c>
      <c r="I273" s="111">
        <v>455.91</v>
      </c>
      <c r="J273" s="111">
        <v>447.58</v>
      </c>
      <c r="K273" s="111">
        <v>353.09</v>
      </c>
      <c r="L273" s="111">
        <v>293.70999999999998</v>
      </c>
      <c r="M273" s="111">
        <v>360.84</v>
      </c>
      <c r="N273" s="111">
        <v>4997.66</v>
      </c>
    </row>
    <row r="274" spans="1:14">
      <c r="A274" s="64" t="s">
        <v>207</v>
      </c>
      <c r="B274" s="107">
        <f t="shared" ref="B274:M274" si="58">SUM(B250:B273)</f>
        <v>140345.27000000002</v>
      </c>
      <c r="C274" s="107">
        <f t="shared" si="58"/>
        <v>118425.21</v>
      </c>
      <c r="D274" s="107">
        <f t="shared" si="58"/>
        <v>145444.71</v>
      </c>
      <c r="E274" s="107">
        <f t="shared" si="58"/>
        <v>127604.39000000001</v>
      </c>
      <c r="F274" s="107">
        <f t="shared" si="58"/>
        <v>-954011.93</v>
      </c>
      <c r="G274" s="107">
        <f t="shared" si="58"/>
        <v>123183.83999999998</v>
      </c>
      <c r="H274" s="107">
        <f t="shared" si="58"/>
        <v>142798.81</v>
      </c>
      <c r="I274" s="107">
        <f t="shared" si="58"/>
        <v>135733.44</v>
      </c>
      <c r="J274" s="107">
        <f t="shared" si="58"/>
        <v>138806.12999999998</v>
      </c>
      <c r="K274" s="107">
        <f t="shared" si="58"/>
        <v>147283.89000000001</v>
      </c>
      <c r="L274" s="107">
        <f t="shared" si="58"/>
        <v>133337.66</v>
      </c>
      <c r="M274" s="107">
        <f t="shared" si="58"/>
        <v>155274.72999999998</v>
      </c>
      <c r="N274" s="107">
        <v>554226.15</v>
      </c>
    </row>
    <row r="275" spans="1:14">
      <c r="A275" s="64"/>
      <c r="B275" s="22"/>
      <c r="C275" s="22"/>
      <c r="D275" s="22"/>
      <c r="E275" s="22"/>
      <c r="F275" s="22"/>
      <c r="G275" s="22"/>
      <c r="H275" s="22"/>
      <c r="I275" s="22"/>
      <c r="J275" s="22"/>
      <c r="K275" s="22"/>
      <c r="L275" s="22"/>
      <c r="M275" s="22"/>
      <c r="N275" s="22"/>
    </row>
    <row r="276" spans="1:14">
      <c r="A276" s="64" t="s">
        <v>15</v>
      </c>
      <c r="B276" s="22"/>
      <c r="C276" s="22"/>
      <c r="D276" s="22"/>
      <c r="E276" s="22"/>
      <c r="F276" s="22"/>
      <c r="G276" s="22"/>
      <c r="H276" s="22"/>
      <c r="I276" s="22"/>
      <c r="J276" s="22"/>
      <c r="K276" s="22"/>
      <c r="L276" s="22"/>
      <c r="M276" s="22"/>
      <c r="N276" s="22"/>
    </row>
    <row r="277" spans="1:14">
      <c r="A277" s="64" t="s">
        <v>208</v>
      </c>
      <c r="B277" s="107">
        <v>3343.55</v>
      </c>
      <c r="C277" s="107">
        <v>3880</v>
      </c>
      <c r="D277" s="107">
        <v>2050.6799999999998</v>
      </c>
      <c r="E277" s="107">
        <v>2588.7199999999998</v>
      </c>
      <c r="F277" s="107">
        <v>3821.86</v>
      </c>
      <c r="G277" s="107">
        <v>4219.45</v>
      </c>
      <c r="H277" s="107">
        <v>3751.19</v>
      </c>
      <c r="I277" s="107">
        <v>2869.85</v>
      </c>
      <c r="J277" s="107">
        <v>3824.67</v>
      </c>
      <c r="K277" s="107">
        <v>3127.51</v>
      </c>
      <c r="L277" s="107">
        <v>4007.43</v>
      </c>
      <c r="M277" s="107">
        <v>3559.36</v>
      </c>
      <c r="N277" s="107">
        <v>41044.269999999997</v>
      </c>
    </row>
    <row r="278" spans="1:14">
      <c r="A278" s="64" t="s">
        <v>209</v>
      </c>
      <c r="B278" s="107">
        <v>660.95</v>
      </c>
      <c r="C278" s="107">
        <v>893.64</v>
      </c>
      <c r="D278" s="107">
        <v>744.15</v>
      </c>
      <c r="E278" s="107">
        <v>649.20000000000005</v>
      </c>
      <c r="F278" s="107">
        <v>680.69</v>
      </c>
      <c r="G278" s="107">
        <v>543.54999999999995</v>
      </c>
      <c r="H278" s="107">
        <v>614.74</v>
      </c>
      <c r="I278" s="107">
        <v>679.55</v>
      </c>
      <c r="J278" s="107">
        <v>834.01</v>
      </c>
      <c r="K278" s="107">
        <v>689.01</v>
      </c>
      <c r="L278" s="107">
        <v>703.03</v>
      </c>
      <c r="M278" s="107">
        <v>983.41</v>
      </c>
      <c r="N278" s="107">
        <v>8675.93</v>
      </c>
    </row>
    <row r="279" spans="1:14">
      <c r="A279" s="64" t="s">
        <v>210</v>
      </c>
      <c r="B279" s="107">
        <v>76.05</v>
      </c>
      <c r="C279" s="107">
        <v>1137.8</v>
      </c>
      <c r="D279" s="107">
        <v>869.59</v>
      </c>
      <c r="E279" s="107">
        <v>122.22</v>
      </c>
      <c r="F279" s="107">
        <v>509.43</v>
      </c>
      <c r="G279" s="107">
        <v>339.15</v>
      </c>
      <c r="H279" s="107">
        <v>687.88</v>
      </c>
      <c r="I279" s="107">
        <v>504.69</v>
      </c>
      <c r="J279" s="107">
        <v>403.68</v>
      </c>
      <c r="K279" s="107">
        <v>440.91</v>
      </c>
      <c r="L279" s="107">
        <v>662.99</v>
      </c>
      <c r="M279" s="107">
        <v>261.19</v>
      </c>
      <c r="N279" s="107">
        <v>6015.58</v>
      </c>
    </row>
    <row r="280" spans="1:14">
      <c r="A280" s="64" t="s">
        <v>211</v>
      </c>
      <c r="B280" s="107">
        <v>128.01</v>
      </c>
      <c r="C280" s="107">
        <v>255.38</v>
      </c>
      <c r="D280" s="107">
        <v>176.66</v>
      </c>
      <c r="E280" s="107">
        <v>227.9</v>
      </c>
      <c r="F280" s="107">
        <v>124.72</v>
      </c>
      <c r="G280" s="107">
        <v>115.95</v>
      </c>
      <c r="H280" s="107">
        <v>115.95</v>
      </c>
      <c r="I280" s="107">
        <v>145.94999999999999</v>
      </c>
      <c r="J280" s="107">
        <v>115.95</v>
      </c>
      <c r="K280" s="107">
        <v>115.95</v>
      </c>
      <c r="L280" s="107">
        <v>395.92</v>
      </c>
      <c r="M280" s="107">
        <v>145.94999999999999</v>
      </c>
      <c r="N280" s="107">
        <v>2064.29</v>
      </c>
    </row>
    <row r="281" spans="1:14">
      <c r="A281" s="64" t="s">
        <v>195</v>
      </c>
      <c r="B281" s="107">
        <v>78.45</v>
      </c>
      <c r="C281" s="107">
        <v>156.9</v>
      </c>
      <c r="D281" s="107">
        <v>122.98</v>
      </c>
      <c r="E281" s="107">
        <v>78.45</v>
      </c>
      <c r="F281" s="107">
        <v>701.63</v>
      </c>
      <c r="G281" s="107"/>
      <c r="H281" s="107">
        <v>93.54</v>
      </c>
      <c r="I281" s="107">
        <v>1328.77</v>
      </c>
      <c r="J281" s="107">
        <v>174.78</v>
      </c>
      <c r="K281" s="107">
        <v>927.14</v>
      </c>
      <c r="L281" s="107">
        <v>80.02</v>
      </c>
      <c r="M281" s="107">
        <v>80.02</v>
      </c>
      <c r="N281" s="107">
        <v>3822.68</v>
      </c>
    </row>
    <row r="282" spans="1:14">
      <c r="A282" s="64" t="s">
        <v>213</v>
      </c>
      <c r="B282" s="22"/>
      <c r="C282" s="22"/>
      <c r="D282" s="22"/>
      <c r="E282" s="22"/>
      <c r="F282" s="22"/>
      <c r="G282" s="22"/>
      <c r="H282" s="22"/>
      <c r="I282" s="22"/>
      <c r="J282" s="22"/>
      <c r="K282" s="107">
        <v>11.82</v>
      </c>
      <c r="L282" s="107">
        <v>5.63</v>
      </c>
      <c r="M282" s="107"/>
      <c r="N282" s="107">
        <v>17.45</v>
      </c>
    </row>
    <row r="283" spans="1:14">
      <c r="A283" s="64" t="s">
        <v>214</v>
      </c>
      <c r="B283" s="107">
        <v>219.35</v>
      </c>
      <c r="C283" s="107">
        <v>39.42</v>
      </c>
      <c r="D283" s="107">
        <v>494.95</v>
      </c>
      <c r="E283" s="107">
        <v>183.83</v>
      </c>
      <c r="F283" s="22"/>
      <c r="G283" s="107">
        <v>46.14</v>
      </c>
      <c r="H283" s="107"/>
      <c r="I283" s="22"/>
      <c r="J283" s="22"/>
      <c r="K283" s="22"/>
      <c r="L283" s="22"/>
      <c r="M283" s="22"/>
      <c r="N283" s="107">
        <v>983.69</v>
      </c>
    </row>
    <row r="284" spans="1:14">
      <c r="A284" s="64" t="s">
        <v>215</v>
      </c>
      <c r="B284" s="107">
        <v>93.54</v>
      </c>
      <c r="C284" s="107">
        <v>17.34</v>
      </c>
      <c r="D284" s="107">
        <v>204.33</v>
      </c>
      <c r="E284" s="22"/>
      <c r="F284" s="107">
        <v>163.5</v>
      </c>
      <c r="G284" s="107">
        <v>135.53</v>
      </c>
      <c r="H284" s="107">
        <v>17.34</v>
      </c>
      <c r="I284" s="107">
        <v>120.91</v>
      </c>
      <c r="J284" s="22"/>
      <c r="K284" s="107">
        <v>17.34</v>
      </c>
      <c r="L284" s="107">
        <v>289.99</v>
      </c>
      <c r="M284" s="107">
        <v>17.34</v>
      </c>
      <c r="N284" s="107">
        <v>1077.1600000000001</v>
      </c>
    </row>
    <row r="285" spans="1:14">
      <c r="A285" s="64" t="s">
        <v>216</v>
      </c>
      <c r="B285" s="107">
        <v>893.18</v>
      </c>
      <c r="C285" s="107">
        <v>2856.27</v>
      </c>
      <c r="D285" s="107">
        <v>1249.27</v>
      </c>
      <c r="E285" s="107">
        <v>992.91</v>
      </c>
      <c r="F285" s="107">
        <v>1478.82</v>
      </c>
      <c r="G285" s="107">
        <v>967.11</v>
      </c>
      <c r="H285" s="107">
        <v>1766.34</v>
      </c>
      <c r="I285" s="107">
        <v>862.55</v>
      </c>
      <c r="J285" s="107">
        <v>1094.27</v>
      </c>
      <c r="K285" s="107">
        <v>2918.32</v>
      </c>
      <c r="L285" s="107">
        <v>1611.55</v>
      </c>
      <c r="M285" s="107">
        <v>2143.81</v>
      </c>
      <c r="N285" s="107">
        <v>18834.400000000001</v>
      </c>
    </row>
    <row r="286" spans="1:14">
      <c r="A286" s="64" t="s">
        <v>217</v>
      </c>
      <c r="B286" s="22"/>
      <c r="C286" s="107">
        <v>259.99</v>
      </c>
      <c r="D286" s="107">
        <v>54</v>
      </c>
      <c r="E286" s="107">
        <v>100.95</v>
      </c>
      <c r="F286" s="107">
        <v>507.06</v>
      </c>
      <c r="G286" s="107">
        <v>748.65</v>
      </c>
      <c r="H286" s="107">
        <v>1637.96</v>
      </c>
      <c r="I286" s="107">
        <v>357.21</v>
      </c>
      <c r="J286" s="107">
        <v>637</v>
      </c>
      <c r="K286" s="22"/>
      <c r="L286" s="107">
        <v>504.3</v>
      </c>
      <c r="M286" s="107">
        <v>1155.21</v>
      </c>
      <c r="N286" s="107">
        <v>5962.33</v>
      </c>
    </row>
    <row r="287" spans="1:14">
      <c r="A287" s="64" t="s">
        <v>218</v>
      </c>
      <c r="B287" s="107">
        <v>731.6</v>
      </c>
      <c r="C287" s="107">
        <v>618.23</v>
      </c>
      <c r="D287" s="107">
        <v>775.99</v>
      </c>
      <c r="E287" s="107">
        <v>611.66999999999996</v>
      </c>
      <c r="F287" s="107">
        <v>620.15</v>
      </c>
      <c r="G287" s="107">
        <v>784.59</v>
      </c>
      <c r="H287" s="107">
        <v>683.66</v>
      </c>
      <c r="I287" s="107">
        <v>633.85</v>
      </c>
      <c r="J287" s="107">
        <v>566.41999999999996</v>
      </c>
      <c r="K287" s="107">
        <v>392.2</v>
      </c>
      <c r="L287" s="107">
        <v>392.2</v>
      </c>
      <c r="M287" s="107">
        <v>569.70000000000005</v>
      </c>
      <c r="N287" s="107">
        <v>7380.26</v>
      </c>
    </row>
    <row r="288" spans="1:14">
      <c r="A288" s="64" t="s">
        <v>219</v>
      </c>
      <c r="B288" s="107">
        <v>1493.08</v>
      </c>
      <c r="C288" s="107">
        <v>2198.96</v>
      </c>
      <c r="D288" s="107">
        <v>1927.21</v>
      </c>
      <c r="E288" s="107">
        <v>3276.04</v>
      </c>
      <c r="F288" s="107">
        <v>651.61</v>
      </c>
      <c r="G288" s="107">
        <v>2213.84</v>
      </c>
      <c r="H288" s="107">
        <v>2077.6999999999998</v>
      </c>
      <c r="I288" s="107">
        <v>1605.75</v>
      </c>
      <c r="J288" s="107">
        <v>1954.18</v>
      </c>
      <c r="K288" s="107">
        <v>2049.73</v>
      </c>
      <c r="L288" s="107">
        <v>1560.01</v>
      </c>
      <c r="M288" s="107">
        <v>4677.49</v>
      </c>
      <c r="N288" s="107">
        <v>25685.599999999999</v>
      </c>
    </row>
    <row r="289" spans="1:14">
      <c r="A289" s="64" t="s">
        <v>220</v>
      </c>
      <c r="B289" s="111">
        <v>115.75</v>
      </c>
      <c r="C289" s="111">
        <v>1032.71</v>
      </c>
      <c r="D289" s="111">
        <v>322.41000000000003</v>
      </c>
      <c r="E289" s="111">
        <v>178.08</v>
      </c>
      <c r="F289" s="111">
        <v>376.1</v>
      </c>
      <c r="G289" s="111">
        <v>222.57</v>
      </c>
      <c r="H289" s="111">
        <v>344.72</v>
      </c>
      <c r="I289" s="111">
        <v>521.70000000000005</v>
      </c>
      <c r="J289" s="111">
        <v>194.09</v>
      </c>
      <c r="K289" s="111">
        <v>243.59</v>
      </c>
      <c r="L289" s="111">
        <v>326.98</v>
      </c>
      <c r="M289" s="111">
        <v>498.57</v>
      </c>
      <c r="N289" s="111">
        <v>4377.2700000000004</v>
      </c>
    </row>
    <row r="290" spans="1:14">
      <c r="A290" s="64" t="s">
        <v>221</v>
      </c>
      <c r="B290" s="107">
        <f t="shared" ref="B290:M290" si="59">SUM(B275:B289)</f>
        <v>7833.5100000000011</v>
      </c>
      <c r="C290" s="107">
        <f t="shared" si="59"/>
        <v>13346.64</v>
      </c>
      <c r="D290" s="107">
        <f t="shared" si="59"/>
        <v>8992.2200000000012</v>
      </c>
      <c r="E290" s="107">
        <f t="shared" si="59"/>
        <v>9009.9699999999993</v>
      </c>
      <c r="F290" s="107">
        <f t="shared" si="59"/>
        <v>9635.5700000000015</v>
      </c>
      <c r="G290" s="107">
        <f t="shared" si="59"/>
        <v>10336.529999999999</v>
      </c>
      <c r="H290" s="107">
        <f t="shared" si="59"/>
        <v>11791.019999999999</v>
      </c>
      <c r="I290" s="107">
        <f t="shared" si="59"/>
        <v>9630.7800000000007</v>
      </c>
      <c r="J290" s="107">
        <f t="shared" si="59"/>
        <v>9799.0500000000011</v>
      </c>
      <c r="K290" s="107">
        <f t="shared" si="59"/>
        <v>10933.52</v>
      </c>
      <c r="L290" s="107">
        <f t="shared" si="59"/>
        <v>10540.050000000001</v>
      </c>
      <c r="M290" s="107">
        <f t="shared" si="59"/>
        <v>14092.050000000001</v>
      </c>
      <c r="N290" s="107">
        <v>125940.91</v>
      </c>
    </row>
    <row r="291" spans="1:14">
      <c r="A291" s="64"/>
      <c r="B291" s="22"/>
      <c r="C291" s="22"/>
      <c r="D291" s="22"/>
      <c r="E291" s="22"/>
      <c r="F291" s="22"/>
      <c r="G291" s="22"/>
      <c r="H291" s="22"/>
      <c r="I291" s="22"/>
      <c r="J291" s="22"/>
      <c r="K291" s="22"/>
      <c r="L291" s="22"/>
      <c r="M291" s="22"/>
      <c r="N291" s="22"/>
    </row>
    <row r="292" spans="1:14">
      <c r="A292" s="64" t="s">
        <v>222</v>
      </c>
      <c r="B292" s="22"/>
      <c r="C292" s="22"/>
      <c r="D292" s="22"/>
      <c r="E292" s="22"/>
      <c r="F292" s="22"/>
      <c r="G292" s="22"/>
      <c r="H292" s="22"/>
      <c r="I292" s="22"/>
      <c r="J292" s="22"/>
      <c r="K292" s="22"/>
      <c r="L292" s="22"/>
      <c r="M292" s="22"/>
      <c r="N292" s="22"/>
    </row>
    <row r="293" spans="1:14">
      <c r="A293" s="64" t="s">
        <v>386</v>
      </c>
      <c r="B293" s="22"/>
      <c r="C293" s="22"/>
      <c r="D293" s="22"/>
      <c r="E293" s="22"/>
      <c r="F293" s="22"/>
      <c r="G293" s="22"/>
      <c r="H293" s="22"/>
      <c r="I293" s="107">
        <v>33.9</v>
      </c>
      <c r="J293" s="22"/>
      <c r="K293" s="22"/>
      <c r="L293" s="22"/>
      <c r="M293" s="22"/>
      <c r="N293" s="107">
        <v>33.9</v>
      </c>
    </row>
    <row r="294" spans="1:14">
      <c r="A294" s="64" t="s">
        <v>223</v>
      </c>
      <c r="B294" s="22"/>
      <c r="C294" s="107">
        <v>1050</v>
      </c>
      <c r="D294" s="22"/>
      <c r="E294" s="107">
        <v>79.27</v>
      </c>
      <c r="F294" s="107">
        <v>865.62</v>
      </c>
      <c r="G294" s="22"/>
      <c r="H294" s="107">
        <v>3019.4</v>
      </c>
      <c r="I294" s="22"/>
      <c r="J294" s="22"/>
      <c r="K294" s="107">
        <v>47.9</v>
      </c>
      <c r="L294" s="107">
        <v>182.5</v>
      </c>
      <c r="M294" s="22"/>
      <c r="N294" s="107">
        <v>5244.69</v>
      </c>
    </row>
    <row r="295" spans="1:14">
      <c r="A295" s="64" t="s">
        <v>224</v>
      </c>
      <c r="B295" s="107">
        <v>6226.84</v>
      </c>
      <c r="C295" s="107">
        <v>5176.03</v>
      </c>
      <c r="D295" s="107">
        <v>4967.79</v>
      </c>
      <c r="E295" s="107">
        <v>4366.3</v>
      </c>
      <c r="F295" s="107">
        <v>2304.2600000000002</v>
      </c>
      <c r="G295" s="107">
        <v>7351.53</v>
      </c>
      <c r="H295" s="107">
        <v>5124.1499999999996</v>
      </c>
      <c r="I295" s="107">
        <v>6206.81</v>
      </c>
      <c r="J295" s="107">
        <v>3288.84</v>
      </c>
      <c r="K295" s="107">
        <v>4462.5</v>
      </c>
      <c r="L295" s="107">
        <v>4011.35</v>
      </c>
      <c r="M295" s="107">
        <v>7465.05</v>
      </c>
      <c r="N295" s="107">
        <v>60951.45</v>
      </c>
    </row>
    <row r="296" spans="1:14">
      <c r="A296" s="64" t="s">
        <v>225</v>
      </c>
      <c r="B296" s="22"/>
      <c r="C296" s="107">
        <v>20</v>
      </c>
      <c r="D296" s="107">
        <v>40</v>
      </c>
      <c r="E296" s="107">
        <v>4.4800000000000004</v>
      </c>
      <c r="F296" s="107">
        <v>79.5</v>
      </c>
      <c r="G296" s="22"/>
      <c r="H296" s="107">
        <v>1130.96</v>
      </c>
      <c r="I296" s="107">
        <v>54.85</v>
      </c>
      <c r="J296" s="22"/>
      <c r="K296" s="22"/>
      <c r="L296" s="22"/>
      <c r="M296" s="107">
        <v>20</v>
      </c>
      <c r="N296" s="107">
        <v>1349.79</v>
      </c>
    </row>
    <row r="297" spans="1:14">
      <c r="A297" s="64" t="s">
        <v>226</v>
      </c>
      <c r="B297" s="22"/>
      <c r="C297" s="107">
        <v>189.2</v>
      </c>
      <c r="D297" s="107">
        <v>25</v>
      </c>
      <c r="E297" s="107">
        <v>446.46</v>
      </c>
      <c r="F297" s="107">
        <v>1996.97</v>
      </c>
      <c r="G297" s="107">
        <v>81.27</v>
      </c>
      <c r="H297" s="22"/>
      <c r="I297" s="22"/>
      <c r="J297" s="22"/>
      <c r="K297" s="22"/>
      <c r="L297" s="107">
        <v>363.94</v>
      </c>
      <c r="M297" s="107">
        <v>205.15</v>
      </c>
      <c r="N297" s="107">
        <v>3307.99</v>
      </c>
    </row>
    <row r="298" spans="1:14">
      <c r="A298" s="64" t="s">
        <v>227</v>
      </c>
      <c r="B298" s="111">
        <v>212.65</v>
      </c>
      <c r="C298" s="113"/>
      <c r="D298" s="111">
        <v>296.62</v>
      </c>
      <c r="E298" s="111">
        <v>224.79</v>
      </c>
      <c r="F298" s="113"/>
      <c r="G298" s="111">
        <v>85.09</v>
      </c>
      <c r="H298" s="111">
        <v>111.87</v>
      </c>
      <c r="I298" s="111">
        <v>185.46</v>
      </c>
      <c r="J298" s="111">
        <v>99.3</v>
      </c>
      <c r="K298" s="111">
        <v>60.71</v>
      </c>
      <c r="L298" s="111">
        <v>362.86</v>
      </c>
      <c r="M298" s="111">
        <v>597.62</v>
      </c>
      <c r="N298" s="111">
        <v>2236.9699999999998</v>
      </c>
    </row>
    <row r="299" spans="1:14">
      <c r="A299" s="64" t="s">
        <v>229</v>
      </c>
      <c r="B299" s="107">
        <f t="shared" ref="B299:M299" si="60">SUM(B291:B298)</f>
        <v>6439.49</v>
      </c>
      <c r="C299" s="107">
        <f t="shared" si="60"/>
        <v>6435.23</v>
      </c>
      <c r="D299" s="107">
        <f t="shared" si="60"/>
        <v>5329.41</v>
      </c>
      <c r="E299" s="107">
        <f t="shared" si="60"/>
        <v>5121.3</v>
      </c>
      <c r="F299" s="107">
        <f t="shared" si="60"/>
        <v>5246.35</v>
      </c>
      <c r="G299" s="107">
        <f t="shared" si="60"/>
        <v>7517.89</v>
      </c>
      <c r="H299" s="107">
        <f t="shared" si="60"/>
        <v>9386.3799999999992</v>
      </c>
      <c r="I299" s="107">
        <f t="shared" si="60"/>
        <v>6481.02</v>
      </c>
      <c r="J299" s="107">
        <f t="shared" si="60"/>
        <v>3388.1400000000003</v>
      </c>
      <c r="K299" s="107">
        <f t="shared" si="60"/>
        <v>4571.1099999999997</v>
      </c>
      <c r="L299" s="107">
        <f t="shared" si="60"/>
        <v>4920.6499999999996</v>
      </c>
      <c r="M299" s="107">
        <f t="shared" si="60"/>
        <v>8287.82</v>
      </c>
      <c r="N299" s="107">
        <v>73124.789999999994</v>
      </c>
    </row>
    <row r="300" spans="1:14">
      <c r="A300" s="64"/>
      <c r="B300" s="22"/>
      <c r="C300" s="22"/>
      <c r="D300" s="22"/>
      <c r="E300" s="22"/>
      <c r="F300" s="22"/>
      <c r="G300" s="22"/>
      <c r="H300" s="22"/>
      <c r="I300" s="22"/>
      <c r="J300" s="22"/>
      <c r="K300" s="22"/>
      <c r="L300" s="22"/>
      <c r="M300" s="22"/>
      <c r="N300" s="22"/>
    </row>
    <row r="301" spans="1:14">
      <c r="A301" s="64" t="s">
        <v>230</v>
      </c>
      <c r="B301" s="22"/>
      <c r="C301" s="22"/>
      <c r="D301" s="22"/>
      <c r="E301" s="22"/>
      <c r="F301" s="22"/>
      <c r="G301" s="22"/>
      <c r="H301" s="22"/>
      <c r="I301" s="22"/>
      <c r="J301" s="22"/>
      <c r="K301" s="22"/>
      <c r="L301" s="22"/>
      <c r="M301" s="22"/>
      <c r="N301" s="22"/>
    </row>
    <row r="302" spans="1:14">
      <c r="A302" s="64" t="s">
        <v>231</v>
      </c>
      <c r="B302" s="107">
        <v>14560.93</v>
      </c>
      <c r="C302" s="107">
        <v>14560.93</v>
      </c>
      <c r="D302" s="107">
        <v>14560.93</v>
      </c>
      <c r="E302" s="107">
        <v>14560.93</v>
      </c>
      <c r="F302" s="107">
        <v>-1142.78</v>
      </c>
      <c r="G302" s="107">
        <v>13560.93</v>
      </c>
      <c r="H302" s="107">
        <v>13560.93</v>
      </c>
      <c r="I302" s="107">
        <v>13560.93</v>
      </c>
      <c r="J302" s="107">
        <v>13560.93</v>
      </c>
      <c r="K302" s="107">
        <v>13560.93</v>
      </c>
      <c r="L302" s="107">
        <v>13560.93</v>
      </c>
      <c r="M302" s="107">
        <v>13560.93</v>
      </c>
      <c r="N302" s="107">
        <v>152027.45000000001</v>
      </c>
    </row>
    <row r="303" spans="1:14">
      <c r="A303" s="64" t="s">
        <v>232</v>
      </c>
      <c r="B303" s="107">
        <v>265</v>
      </c>
      <c r="C303" s="107">
        <v>265</v>
      </c>
      <c r="D303" s="107">
        <v>265</v>
      </c>
      <c r="E303" s="107">
        <v>265</v>
      </c>
      <c r="F303" s="107">
        <v>-745.1</v>
      </c>
      <c r="G303" s="107">
        <v>200</v>
      </c>
      <c r="H303" s="107">
        <v>200</v>
      </c>
      <c r="I303" s="107">
        <v>200</v>
      </c>
      <c r="J303" s="107">
        <v>200</v>
      </c>
      <c r="K303" s="107">
        <v>200</v>
      </c>
      <c r="L303" s="107">
        <v>200</v>
      </c>
      <c r="M303" s="107">
        <v>200</v>
      </c>
      <c r="N303" s="107">
        <v>1714.9</v>
      </c>
    </row>
    <row r="304" spans="1:14">
      <c r="A304" s="64" t="s">
        <v>234</v>
      </c>
      <c r="B304" s="107">
        <v>250</v>
      </c>
      <c r="C304" s="107">
        <v>386.44</v>
      </c>
      <c r="D304" s="22"/>
      <c r="E304" s="22"/>
      <c r="F304" s="107">
        <v>297.26</v>
      </c>
      <c r="G304" s="107">
        <v>66.67</v>
      </c>
      <c r="H304" s="107">
        <v>274.64999999999998</v>
      </c>
      <c r="I304" s="22"/>
      <c r="J304" s="22"/>
      <c r="K304" s="107">
        <v>716.53</v>
      </c>
      <c r="L304" s="107">
        <v>539.54</v>
      </c>
      <c r="M304" s="22"/>
      <c r="N304" s="107">
        <v>2531.09</v>
      </c>
    </row>
    <row r="305" spans="1:14">
      <c r="A305" s="64" t="s">
        <v>352</v>
      </c>
      <c r="B305" s="107">
        <v>2124.69</v>
      </c>
      <c r="C305" s="22"/>
      <c r="D305" s="22"/>
      <c r="E305" s="22"/>
      <c r="F305" s="22"/>
      <c r="G305" s="107">
        <v>874.69</v>
      </c>
      <c r="H305" s="107">
        <v>874.69</v>
      </c>
      <c r="I305" s="107">
        <v>874.69</v>
      </c>
      <c r="J305" s="107">
        <v>874.69</v>
      </c>
      <c r="K305" s="107">
        <v>874.69</v>
      </c>
      <c r="L305" s="107">
        <v>874.69</v>
      </c>
      <c r="M305" s="107">
        <v>874.69</v>
      </c>
      <c r="N305" s="107">
        <v>8247.52</v>
      </c>
    </row>
    <row r="306" spans="1:14">
      <c r="A306" s="64" t="s">
        <v>235</v>
      </c>
      <c r="B306" s="107">
        <v>31.96</v>
      </c>
      <c r="C306" s="22"/>
      <c r="D306" s="107">
        <v>31.96</v>
      </c>
      <c r="E306" s="22"/>
      <c r="F306" s="22"/>
      <c r="G306" s="107">
        <v>206.03</v>
      </c>
      <c r="H306" s="107">
        <v>174.07</v>
      </c>
      <c r="I306" s="107">
        <v>174.07</v>
      </c>
      <c r="J306" s="107">
        <v>174.07</v>
      </c>
      <c r="K306" s="107">
        <v>174.07</v>
      </c>
      <c r="L306" s="107">
        <v>174.07</v>
      </c>
      <c r="M306" s="107">
        <v>174.07</v>
      </c>
      <c r="N306" s="107">
        <v>1314.37</v>
      </c>
    </row>
    <row r="307" spans="1:14">
      <c r="A307" s="64" t="s">
        <v>228</v>
      </c>
      <c r="B307" s="113"/>
      <c r="C307" s="111">
        <v>165.21</v>
      </c>
      <c r="D307" s="113"/>
      <c r="E307" s="113"/>
      <c r="F307" s="113"/>
      <c r="G307" s="113"/>
      <c r="H307" s="113"/>
      <c r="I307" s="113"/>
      <c r="J307" s="113"/>
      <c r="K307" s="113"/>
      <c r="L307" s="113"/>
      <c r="M307" s="113"/>
      <c r="N307" s="111">
        <v>165.21</v>
      </c>
    </row>
    <row r="308" spans="1:14">
      <c r="A308" s="64" t="s">
        <v>236</v>
      </c>
      <c r="B308" s="107">
        <f t="shared" ref="B308:M308" si="61">SUM(B300:B307)</f>
        <v>17232.579999999998</v>
      </c>
      <c r="C308" s="107">
        <f t="shared" si="61"/>
        <v>15377.58</v>
      </c>
      <c r="D308" s="107">
        <f t="shared" si="61"/>
        <v>14857.89</v>
      </c>
      <c r="E308" s="107">
        <f t="shared" si="61"/>
        <v>14825.93</v>
      </c>
      <c r="F308" s="107">
        <f t="shared" si="61"/>
        <v>-1590.6200000000001</v>
      </c>
      <c r="G308" s="107">
        <f t="shared" si="61"/>
        <v>14908.320000000002</v>
      </c>
      <c r="H308" s="107">
        <f t="shared" si="61"/>
        <v>15084.34</v>
      </c>
      <c r="I308" s="107">
        <f t="shared" si="61"/>
        <v>14809.69</v>
      </c>
      <c r="J308" s="107">
        <f t="shared" si="61"/>
        <v>14809.69</v>
      </c>
      <c r="K308" s="107">
        <f t="shared" si="61"/>
        <v>15526.220000000001</v>
      </c>
      <c r="L308" s="107">
        <f t="shared" si="61"/>
        <v>15349.230000000001</v>
      </c>
      <c r="M308" s="107">
        <f t="shared" si="61"/>
        <v>14809.69</v>
      </c>
      <c r="N308" s="107">
        <v>166000.54</v>
      </c>
    </row>
    <row r="309" spans="1:14">
      <c r="A309" s="64"/>
      <c r="B309" s="22"/>
      <c r="C309" s="22"/>
      <c r="D309" s="22"/>
      <c r="E309" s="22"/>
      <c r="F309" s="22"/>
      <c r="G309" s="22"/>
      <c r="H309" s="22"/>
      <c r="I309" s="22"/>
      <c r="J309" s="22"/>
      <c r="K309" s="22"/>
      <c r="L309" s="22"/>
      <c r="M309" s="22"/>
      <c r="N309" s="22"/>
    </row>
    <row r="310" spans="1:14">
      <c r="A310" s="64" t="s">
        <v>237</v>
      </c>
      <c r="B310" s="22"/>
      <c r="C310" s="22"/>
      <c r="D310" s="22"/>
      <c r="E310" s="22"/>
      <c r="F310" s="22"/>
      <c r="G310" s="22"/>
      <c r="H310" s="22"/>
      <c r="I310" s="22"/>
      <c r="J310" s="22"/>
      <c r="K310" s="22"/>
      <c r="L310" s="22"/>
      <c r="M310" s="22"/>
      <c r="N310" s="22"/>
    </row>
    <row r="311" spans="1:14">
      <c r="A311" s="64" t="s">
        <v>375</v>
      </c>
      <c r="B311" s="22"/>
      <c r="C311" s="22"/>
      <c r="D311" s="22"/>
      <c r="E311" s="22"/>
      <c r="F311" s="22"/>
      <c r="G311" s="22"/>
      <c r="H311" s="22"/>
      <c r="I311" s="22"/>
      <c r="J311" s="22"/>
      <c r="K311" s="22"/>
      <c r="L311" s="22"/>
      <c r="M311" s="107">
        <v>7635</v>
      </c>
      <c r="N311" s="107">
        <v>7635</v>
      </c>
    </row>
    <row r="312" spans="1:14">
      <c r="A312" s="64" t="s">
        <v>228</v>
      </c>
      <c r="B312" s="111">
        <v>17690</v>
      </c>
      <c r="C312" s="111">
        <v>17202</v>
      </c>
      <c r="D312" s="111">
        <v>17518</v>
      </c>
      <c r="E312" s="111">
        <v>16024</v>
      </c>
      <c r="F312" s="111">
        <v>20573</v>
      </c>
      <c r="G312" s="111">
        <v>17950</v>
      </c>
      <c r="H312" s="111">
        <v>26218.75</v>
      </c>
      <c r="I312" s="111">
        <v>19813</v>
      </c>
      <c r="J312" s="111">
        <v>20544</v>
      </c>
      <c r="K312" s="111">
        <v>48301</v>
      </c>
      <c r="L312" s="111">
        <v>42058</v>
      </c>
      <c r="M312" s="111">
        <v>54688</v>
      </c>
      <c r="N312" s="111">
        <v>318579.75</v>
      </c>
    </row>
    <row r="313" spans="1:14">
      <c r="A313" s="64" t="s">
        <v>238</v>
      </c>
      <c r="B313" s="107">
        <f t="shared" ref="B313:M313" si="62">SUM(B309:B312)</f>
        <v>17690</v>
      </c>
      <c r="C313" s="107">
        <f t="shared" si="62"/>
        <v>17202</v>
      </c>
      <c r="D313" s="107">
        <f t="shared" si="62"/>
        <v>17518</v>
      </c>
      <c r="E313" s="107">
        <f t="shared" si="62"/>
        <v>16024</v>
      </c>
      <c r="F313" s="107">
        <f t="shared" si="62"/>
        <v>20573</v>
      </c>
      <c r="G313" s="107">
        <f t="shared" si="62"/>
        <v>17950</v>
      </c>
      <c r="H313" s="107">
        <f t="shared" si="62"/>
        <v>26218.75</v>
      </c>
      <c r="I313" s="107">
        <f t="shared" si="62"/>
        <v>19813</v>
      </c>
      <c r="J313" s="107">
        <f t="shared" si="62"/>
        <v>20544</v>
      </c>
      <c r="K313" s="107">
        <f t="shared" si="62"/>
        <v>48301</v>
      </c>
      <c r="L313" s="107">
        <f t="shared" si="62"/>
        <v>42058</v>
      </c>
      <c r="M313" s="107">
        <f t="shared" si="62"/>
        <v>62323</v>
      </c>
      <c r="N313" s="107">
        <v>326214.75</v>
      </c>
    </row>
    <row r="314" spans="1:14">
      <c r="A314" s="64"/>
      <c r="B314" s="22"/>
      <c r="C314" s="22"/>
      <c r="D314" s="22"/>
      <c r="E314" s="22"/>
      <c r="F314" s="22"/>
      <c r="G314" s="22"/>
      <c r="H314" s="22"/>
      <c r="I314" s="22"/>
      <c r="J314" s="22"/>
      <c r="K314" s="22"/>
      <c r="L314" s="22"/>
      <c r="M314" s="22"/>
      <c r="N314" s="22"/>
    </row>
    <row r="315" spans="1:14">
      <c r="A315" s="64" t="s">
        <v>239</v>
      </c>
      <c r="B315" s="22"/>
      <c r="C315" s="22"/>
      <c r="D315" s="22"/>
      <c r="E315" s="22"/>
      <c r="F315" s="22"/>
      <c r="G315" s="22"/>
      <c r="H315" s="22"/>
      <c r="I315" s="22"/>
      <c r="J315" s="22"/>
      <c r="K315" s="22"/>
      <c r="L315" s="22"/>
      <c r="M315" s="22"/>
      <c r="N315" s="22"/>
    </row>
    <row r="316" spans="1:14">
      <c r="A316" s="64" t="s">
        <v>240</v>
      </c>
      <c r="B316" s="107">
        <v>2280.02</v>
      </c>
      <c r="C316" s="107">
        <v>2280.02</v>
      </c>
      <c r="D316" s="107">
        <v>2280.02</v>
      </c>
      <c r="E316" s="107">
        <v>2280.02</v>
      </c>
      <c r="F316" s="107">
        <v>2280.02</v>
      </c>
      <c r="G316" s="107">
        <v>2280.02</v>
      </c>
      <c r="H316" s="107">
        <v>2280.02</v>
      </c>
      <c r="I316" s="107">
        <v>3168.06</v>
      </c>
      <c r="J316" s="107">
        <v>2724.04</v>
      </c>
      <c r="K316" s="107">
        <v>2724.04</v>
      </c>
      <c r="L316" s="107">
        <v>2724.04</v>
      </c>
      <c r="M316" s="107">
        <v>2724.04</v>
      </c>
      <c r="N316" s="107">
        <v>30024.36</v>
      </c>
    </row>
    <row r="317" spans="1:14">
      <c r="A317" s="64" t="s">
        <v>241</v>
      </c>
      <c r="B317" s="107">
        <v>330.75</v>
      </c>
      <c r="C317" s="107">
        <v>330.75</v>
      </c>
      <c r="D317" s="107">
        <v>330.75</v>
      </c>
      <c r="E317" s="107">
        <v>330.75</v>
      </c>
      <c r="F317" s="107">
        <v>330.75</v>
      </c>
      <c r="G317" s="107">
        <v>330.75</v>
      </c>
      <c r="H317" s="107">
        <v>2706.01</v>
      </c>
      <c r="I317" s="107">
        <v>-330.75</v>
      </c>
      <c r="J317" s="22"/>
      <c r="K317" s="22"/>
      <c r="L317" s="22"/>
      <c r="M317" s="22"/>
      <c r="N317" s="107">
        <v>4359.76</v>
      </c>
    </row>
    <row r="318" spans="1:14">
      <c r="A318" s="64" t="s">
        <v>242</v>
      </c>
      <c r="B318" s="107">
        <v>5777.67</v>
      </c>
      <c r="C318" s="107">
        <v>6280.08</v>
      </c>
      <c r="D318" s="107">
        <v>6280.08</v>
      </c>
      <c r="E318" s="107">
        <v>6280.08</v>
      </c>
      <c r="F318" s="107">
        <v>6280.08</v>
      </c>
      <c r="G318" s="107">
        <v>6859.74</v>
      </c>
      <c r="H318" s="107">
        <v>6280.08</v>
      </c>
      <c r="I318" s="107">
        <v>6280.08</v>
      </c>
      <c r="J318" s="107">
        <v>6280.08</v>
      </c>
      <c r="K318" s="107">
        <v>6280.08</v>
      </c>
      <c r="L318" s="107">
        <v>6280.08</v>
      </c>
      <c r="M318" s="107">
        <v>6280.08</v>
      </c>
      <c r="N318" s="107">
        <v>75438.210000000006</v>
      </c>
    </row>
    <row r="319" spans="1:14">
      <c r="A319" s="64" t="s">
        <v>284</v>
      </c>
      <c r="B319" s="22"/>
      <c r="C319" s="22"/>
      <c r="D319" s="22"/>
      <c r="E319" s="22"/>
      <c r="F319" s="107">
        <v>-12500</v>
      </c>
      <c r="G319" s="22"/>
      <c r="H319" s="22"/>
      <c r="I319" s="107"/>
      <c r="J319" s="22"/>
      <c r="K319" s="22"/>
      <c r="L319" s="22"/>
      <c r="M319" s="22"/>
      <c r="N319" s="107">
        <v>-12500</v>
      </c>
    </row>
    <row r="320" spans="1:14">
      <c r="A320" s="64" t="s">
        <v>243</v>
      </c>
      <c r="B320" s="22"/>
      <c r="C320" s="107">
        <v>120</v>
      </c>
      <c r="D320" s="22"/>
      <c r="E320" s="22"/>
      <c r="F320" s="22"/>
      <c r="G320" s="22"/>
      <c r="H320" s="22"/>
      <c r="I320" s="22"/>
      <c r="J320" s="22"/>
      <c r="K320" s="22"/>
      <c r="L320" s="22"/>
      <c r="M320" s="22"/>
      <c r="N320" s="107">
        <v>120</v>
      </c>
    </row>
    <row r="321" spans="1:14">
      <c r="A321" s="64" t="s">
        <v>387</v>
      </c>
      <c r="B321" s="113"/>
      <c r="C321" s="113"/>
      <c r="D321" s="113"/>
      <c r="E321" s="113"/>
      <c r="F321" s="113"/>
      <c r="G321" s="113"/>
      <c r="H321" s="113"/>
      <c r="I321" s="113"/>
      <c r="J321" s="113"/>
      <c r="K321" s="113"/>
      <c r="L321" s="113"/>
      <c r="M321" s="113"/>
      <c r="N321" s="113"/>
    </row>
    <row r="322" spans="1:14">
      <c r="A322" s="64" t="s">
        <v>244</v>
      </c>
      <c r="B322" s="107">
        <f t="shared" ref="B322:M322" si="63">SUM(B314:B321)</f>
        <v>8388.44</v>
      </c>
      <c r="C322" s="107">
        <f t="shared" si="63"/>
        <v>9010.85</v>
      </c>
      <c r="D322" s="107">
        <f t="shared" si="63"/>
        <v>8890.85</v>
      </c>
      <c r="E322" s="107">
        <f t="shared" si="63"/>
        <v>8890.85</v>
      </c>
      <c r="F322" s="107">
        <f t="shared" si="63"/>
        <v>-3609.1499999999996</v>
      </c>
      <c r="G322" s="107">
        <f t="shared" si="63"/>
        <v>9470.51</v>
      </c>
      <c r="H322" s="107">
        <f t="shared" si="63"/>
        <v>11266.11</v>
      </c>
      <c r="I322" s="107">
        <f t="shared" si="63"/>
        <v>9117.39</v>
      </c>
      <c r="J322" s="107">
        <f t="shared" si="63"/>
        <v>9004.119999999999</v>
      </c>
      <c r="K322" s="107">
        <f t="shared" si="63"/>
        <v>9004.119999999999</v>
      </c>
      <c r="L322" s="107">
        <f t="shared" si="63"/>
        <v>9004.119999999999</v>
      </c>
      <c r="M322" s="107">
        <f t="shared" si="63"/>
        <v>9004.119999999999</v>
      </c>
      <c r="N322" s="107">
        <v>97442.33</v>
      </c>
    </row>
    <row r="323" spans="1:14">
      <c r="A323" s="64"/>
      <c r="B323" s="22"/>
      <c r="C323" s="22"/>
      <c r="D323" s="22"/>
      <c r="E323" s="22"/>
      <c r="F323" s="22"/>
      <c r="G323" s="22"/>
      <c r="H323" s="22"/>
      <c r="I323" s="22"/>
      <c r="J323" s="22"/>
      <c r="K323" s="22"/>
      <c r="L323" s="22"/>
      <c r="M323" s="22"/>
      <c r="N323" s="22"/>
    </row>
    <row r="324" spans="1:14">
      <c r="A324" s="64" t="s">
        <v>245</v>
      </c>
      <c r="B324" s="22"/>
      <c r="C324" s="22"/>
      <c r="D324" s="22"/>
      <c r="E324" s="22"/>
      <c r="F324" s="22"/>
      <c r="G324" s="22"/>
      <c r="H324" s="22"/>
      <c r="I324" s="22"/>
      <c r="J324" s="22"/>
      <c r="K324" s="22"/>
      <c r="L324" s="22"/>
      <c r="M324" s="22"/>
      <c r="N324" s="22"/>
    </row>
    <row r="325" spans="1:14">
      <c r="A325" s="64" t="s">
        <v>246</v>
      </c>
      <c r="B325" s="107">
        <v>3052.4</v>
      </c>
      <c r="C325" s="107">
        <v>2905.68</v>
      </c>
      <c r="D325" s="107">
        <v>2999.36</v>
      </c>
      <c r="E325" s="107">
        <v>2892.7</v>
      </c>
      <c r="F325" s="107">
        <v>3148.46</v>
      </c>
      <c r="G325" s="107">
        <v>1574.23</v>
      </c>
      <c r="H325" s="107">
        <v>4454.09</v>
      </c>
      <c r="I325" s="107">
        <v>3014.16</v>
      </c>
      <c r="J325" s="107">
        <v>3014.16</v>
      </c>
      <c r="K325" s="107">
        <v>3014.16</v>
      </c>
      <c r="L325" s="107">
        <v>3014.16</v>
      </c>
      <c r="M325" s="107">
        <v>3014.16</v>
      </c>
      <c r="N325" s="107">
        <v>36097.72</v>
      </c>
    </row>
    <row r="326" spans="1:14">
      <c r="A326" s="64" t="s">
        <v>247</v>
      </c>
      <c r="B326" s="107">
        <v>3730.26</v>
      </c>
      <c r="C326" s="107">
        <v>3701.26</v>
      </c>
      <c r="D326" s="107">
        <v>3623.3</v>
      </c>
      <c r="E326" s="107">
        <v>3886.14</v>
      </c>
      <c r="F326" s="107">
        <v>3809.82</v>
      </c>
      <c r="G326" s="107">
        <v>1920.82</v>
      </c>
      <c r="H326" s="107">
        <v>5709.06</v>
      </c>
      <c r="I326" s="107">
        <v>3716</v>
      </c>
      <c r="J326" s="107">
        <v>3716</v>
      </c>
      <c r="K326" s="107">
        <v>4384.4399999999996</v>
      </c>
      <c r="L326" s="107">
        <v>3853.62</v>
      </c>
      <c r="M326" s="107">
        <v>4864.54</v>
      </c>
      <c r="N326" s="107">
        <v>46915.26</v>
      </c>
    </row>
    <row r="327" spans="1:14">
      <c r="A327" s="64" t="s">
        <v>248</v>
      </c>
      <c r="B327" s="107">
        <v>216.92</v>
      </c>
      <c r="C327" s="107">
        <v>108.46</v>
      </c>
      <c r="D327" s="107">
        <v>74.959999999999994</v>
      </c>
      <c r="E327" s="107">
        <v>43.49</v>
      </c>
      <c r="F327" s="107">
        <v>43.52</v>
      </c>
      <c r="G327" s="107">
        <v>43.52</v>
      </c>
      <c r="H327" s="107">
        <v>130.44</v>
      </c>
      <c r="I327" s="107">
        <v>86.98</v>
      </c>
      <c r="J327" s="107">
        <v>86.98</v>
      </c>
      <c r="K327" s="107">
        <v>86.98</v>
      </c>
      <c r="L327" s="107">
        <v>86.98</v>
      </c>
      <c r="M327" s="107">
        <v>86.98</v>
      </c>
      <c r="N327" s="107">
        <v>1096.21</v>
      </c>
    </row>
    <row r="328" spans="1:14">
      <c r="A328" s="64" t="s">
        <v>362</v>
      </c>
      <c r="B328" s="107">
        <v>750</v>
      </c>
      <c r="C328" s="107">
        <v>750</v>
      </c>
      <c r="D328" s="107">
        <v>750</v>
      </c>
      <c r="E328" s="107">
        <v>750</v>
      </c>
      <c r="F328" s="107">
        <v>750</v>
      </c>
      <c r="G328" s="107">
        <v>750</v>
      </c>
      <c r="H328" s="107">
        <v>750</v>
      </c>
      <c r="I328" s="107">
        <v>750</v>
      </c>
      <c r="J328" s="107">
        <v>750</v>
      </c>
      <c r="K328" s="107">
        <v>750</v>
      </c>
      <c r="L328" s="107">
        <v>750</v>
      </c>
      <c r="M328" s="107">
        <v>750</v>
      </c>
      <c r="N328" s="107">
        <v>9000</v>
      </c>
    </row>
    <row r="329" spans="1:14">
      <c r="A329" s="64" t="s">
        <v>363</v>
      </c>
      <c r="B329" s="111">
        <v>-3499.79</v>
      </c>
      <c r="C329" s="111">
        <v>-3303.47</v>
      </c>
      <c r="D329" s="111">
        <v>-3311.33</v>
      </c>
      <c r="E329" s="111">
        <v>-3389.42</v>
      </c>
      <c r="F329" s="111">
        <v>-3463.23</v>
      </c>
      <c r="G329" s="113"/>
      <c r="H329" s="111">
        <v>-6916.08</v>
      </c>
      <c r="I329" s="111">
        <v>-3408.57</v>
      </c>
      <c r="J329" s="111">
        <v>-3408.57</v>
      </c>
      <c r="K329" s="111">
        <v>-3742.79</v>
      </c>
      <c r="L329" s="111">
        <v>-3477.38</v>
      </c>
      <c r="M329" s="111">
        <v>-3982.84</v>
      </c>
      <c r="N329" s="111">
        <v>-41903.47</v>
      </c>
    </row>
    <row r="330" spans="1:14">
      <c r="A330" s="64" t="s">
        <v>250</v>
      </c>
      <c r="B330" s="107">
        <f t="shared" ref="B330:M330" si="64">SUM(B323:B329)</f>
        <v>4249.79</v>
      </c>
      <c r="C330" s="107">
        <f t="shared" si="64"/>
        <v>4161.93</v>
      </c>
      <c r="D330" s="107">
        <f t="shared" si="64"/>
        <v>4136.29</v>
      </c>
      <c r="E330" s="107">
        <f t="shared" si="64"/>
        <v>4182.91</v>
      </c>
      <c r="F330" s="107">
        <f t="shared" si="64"/>
        <v>4288.5700000000015</v>
      </c>
      <c r="G330" s="107">
        <f t="shared" si="64"/>
        <v>4288.57</v>
      </c>
      <c r="H330" s="107">
        <f t="shared" si="64"/>
        <v>4127.510000000002</v>
      </c>
      <c r="I330" s="107">
        <f t="shared" si="64"/>
        <v>4158.57</v>
      </c>
      <c r="J330" s="107">
        <f t="shared" si="64"/>
        <v>4158.57</v>
      </c>
      <c r="K330" s="107">
        <f t="shared" si="64"/>
        <v>4492.7899999999981</v>
      </c>
      <c r="L330" s="107">
        <f t="shared" si="64"/>
        <v>4227.3799999999992</v>
      </c>
      <c r="M330" s="107">
        <f t="shared" si="64"/>
        <v>4732.84</v>
      </c>
      <c r="N330" s="107">
        <v>51205.72</v>
      </c>
    </row>
    <row r="331" spans="1:14">
      <c r="A331" s="64"/>
      <c r="B331" s="22"/>
      <c r="C331" s="22"/>
      <c r="D331" s="22"/>
      <c r="E331" s="22"/>
      <c r="F331" s="22"/>
      <c r="G331" s="22"/>
      <c r="H331" s="22"/>
      <c r="I331" s="22"/>
      <c r="J331" s="22"/>
      <c r="K331" s="22"/>
      <c r="L331" s="22"/>
      <c r="M331" s="22"/>
      <c r="N331" s="22"/>
    </row>
    <row r="332" spans="1:14">
      <c r="A332" s="64" t="s">
        <v>251</v>
      </c>
      <c r="B332" s="22"/>
      <c r="C332" s="22"/>
      <c r="D332" s="22"/>
      <c r="E332" s="22"/>
      <c r="F332" s="22"/>
      <c r="G332" s="22"/>
      <c r="H332" s="22"/>
      <c r="I332" s="22"/>
      <c r="J332" s="22"/>
      <c r="K332" s="22"/>
      <c r="L332" s="22"/>
      <c r="M332" s="22"/>
      <c r="N332" s="22"/>
    </row>
    <row r="333" spans="1:14">
      <c r="A333" s="64" t="s">
        <v>252</v>
      </c>
      <c r="B333" s="107">
        <v>134129</v>
      </c>
      <c r="C333" s="107">
        <v>137022.57999999999</v>
      </c>
      <c r="D333" s="107">
        <v>137022.57999999999</v>
      </c>
      <c r="E333" s="107">
        <v>137022.57999999999</v>
      </c>
      <c r="F333" s="107">
        <v>137022.57999999999</v>
      </c>
      <c r="G333" s="107">
        <v>137022.57999999999</v>
      </c>
      <c r="H333" s="107">
        <v>137022.57999999999</v>
      </c>
      <c r="I333" s="107">
        <v>137022.57999999999</v>
      </c>
      <c r="J333" s="107">
        <v>137022.57999999999</v>
      </c>
      <c r="K333" s="107">
        <v>137022.57999999999</v>
      </c>
      <c r="L333" s="107">
        <v>137022.57999999999</v>
      </c>
      <c r="M333" s="107">
        <v>149227.28</v>
      </c>
      <c r="N333" s="107">
        <v>1653582.08</v>
      </c>
    </row>
    <row r="334" spans="1:14">
      <c r="A334" s="64" t="s">
        <v>388</v>
      </c>
      <c r="B334" s="107">
        <v>-16000</v>
      </c>
      <c r="C334" s="107">
        <v>-16000</v>
      </c>
      <c r="D334" s="107">
        <v>-16000</v>
      </c>
      <c r="E334" s="107">
        <v>-16000</v>
      </c>
      <c r="F334" s="107">
        <v>-16000</v>
      </c>
      <c r="G334" s="107">
        <v>-16000</v>
      </c>
      <c r="H334" s="107">
        <v>-16000</v>
      </c>
      <c r="I334" s="107">
        <v>-16000</v>
      </c>
      <c r="J334" s="107">
        <v>-16000</v>
      </c>
      <c r="K334" s="107">
        <v>-16000</v>
      </c>
      <c r="L334" s="107">
        <v>-16000</v>
      </c>
      <c r="M334" s="107">
        <v>-16000</v>
      </c>
      <c r="N334" s="107">
        <v>-192000</v>
      </c>
    </row>
    <row r="335" spans="1:14">
      <c r="A335" s="64" t="s">
        <v>253</v>
      </c>
      <c r="B335" s="107">
        <v>101.32</v>
      </c>
      <c r="C335" s="107">
        <v>101.32</v>
      </c>
      <c r="D335" s="107">
        <v>101.32</v>
      </c>
      <c r="E335" s="107">
        <v>101.32</v>
      </c>
      <c r="F335" s="107">
        <v>101.32</v>
      </c>
      <c r="G335" s="22"/>
      <c r="H335" s="22"/>
      <c r="I335" s="22"/>
      <c r="J335" s="107">
        <v>51.39</v>
      </c>
      <c r="K335" s="107">
        <v>51.39</v>
      </c>
      <c r="L335" s="107">
        <v>51.39</v>
      </c>
      <c r="M335" s="107">
        <v>51.39</v>
      </c>
      <c r="N335" s="107">
        <v>712.16</v>
      </c>
    </row>
    <row r="336" spans="1:14">
      <c r="A336" s="64" t="s">
        <v>254</v>
      </c>
      <c r="B336" s="111">
        <v>24.66</v>
      </c>
      <c r="C336" s="111">
        <v>8345.51</v>
      </c>
      <c r="D336" s="111">
        <v>553.89</v>
      </c>
      <c r="E336" s="111">
        <v>490.05</v>
      </c>
      <c r="F336" s="111">
        <v>5124.8</v>
      </c>
      <c r="G336" s="111">
        <v>35.39</v>
      </c>
      <c r="H336" s="111">
        <v>156.80000000000001</v>
      </c>
      <c r="I336" s="111">
        <v>25</v>
      </c>
      <c r="J336" s="111">
        <v>13854.84</v>
      </c>
      <c r="K336" s="111">
        <v>109.73</v>
      </c>
      <c r="L336" s="111">
        <v>25</v>
      </c>
      <c r="M336" s="111">
        <v>11</v>
      </c>
      <c r="N336" s="111">
        <v>28756.67</v>
      </c>
    </row>
    <row r="337" spans="1:14">
      <c r="A337" s="64" t="s">
        <v>255</v>
      </c>
      <c r="B337" s="107">
        <f t="shared" ref="B337:M337" si="65">SUM(B331:B336)</f>
        <v>118254.98000000001</v>
      </c>
      <c r="C337" s="107">
        <f t="shared" si="65"/>
        <v>129469.40999999999</v>
      </c>
      <c r="D337" s="107">
        <f t="shared" si="65"/>
        <v>121677.79</v>
      </c>
      <c r="E337" s="107">
        <f t="shared" si="65"/>
        <v>121613.95</v>
      </c>
      <c r="F337" s="107">
        <f t="shared" si="65"/>
        <v>126248.7</v>
      </c>
      <c r="G337" s="107">
        <f t="shared" si="65"/>
        <v>121057.96999999999</v>
      </c>
      <c r="H337" s="107">
        <f t="shared" si="65"/>
        <v>121179.37999999999</v>
      </c>
      <c r="I337" s="107">
        <f t="shared" si="65"/>
        <v>121047.57999999999</v>
      </c>
      <c r="J337" s="107">
        <f t="shared" si="65"/>
        <v>134928.81</v>
      </c>
      <c r="K337" s="107">
        <f t="shared" si="65"/>
        <v>121183.69999999998</v>
      </c>
      <c r="L337" s="107">
        <f t="shared" si="65"/>
        <v>121098.96999999999</v>
      </c>
      <c r="M337" s="107">
        <f t="shared" si="65"/>
        <v>133289.67000000001</v>
      </c>
      <c r="N337" s="107">
        <v>1491050.91</v>
      </c>
    </row>
    <row r="338" spans="1:14">
      <c r="A338" s="64"/>
      <c r="B338" s="22"/>
      <c r="C338" s="22"/>
      <c r="D338" s="22"/>
      <c r="E338" s="22"/>
      <c r="F338" s="22"/>
      <c r="G338" s="22"/>
      <c r="H338" s="22"/>
      <c r="I338" s="22"/>
      <c r="J338" s="22"/>
      <c r="K338" s="22"/>
      <c r="L338" s="22"/>
      <c r="M338" s="22"/>
      <c r="N338" s="22"/>
    </row>
    <row r="339" spans="1:14">
      <c r="A339" s="64" t="s">
        <v>256</v>
      </c>
      <c r="B339" s="22"/>
      <c r="C339" s="22"/>
      <c r="D339" s="22"/>
      <c r="E339" s="22"/>
      <c r="F339" s="22"/>
      <c r="G339" s="22"/>
      <c r="H339" s="22"/>
      <c r="I339" s="22"/>
      <c r="J339" s="22"/>
      <c r="K339" s="22"/>
      <c r="L339" s="22"/>
      <c r="M339" s="22"/>
      <c r="N339" s="22"/>
    </row>
    <row r="340" spans="1:14">
      <c r="A340" s="64" t="s">
        <v>257</v>
      </c>
      <c r="B340" s="113"/>
      <c r="C340" s="111">
        <v>241.97</v>
      </c>
      <c r="D340" s="111">
        <v>-114.86</v>
      </c>
      <c r="E340" s="111">
        <v>754.4</v>
      </c>
      <c r="F340" s="111">
        <v>-16466.72</v>
      </c>
      <c r="G340" s="113"/>
      <c r="H340" s="113"/>
      <c r="I340" s="113"/>
      <c r="J340" s="113"/>
      <c r="K340" s="113"/>
      <c r="L340" s="113"/>
      <c r="M340" s="113"/>
      <c r="N340" s="111">
        <v>-15585.21</v>
      </c>
    </row>
    <row r="341" spans="1:14">
      <c r="A341" s="64" t="s">
        <v>258</v>
      </c>
      <c r="B341" s="107"/>
      <c r="C341" s="107">
        <f>SUM(C338:C340)</f>
        <v>241.97</v>
      </c>
      <c r="D341" s="107">
        <f>SUM(D338:D340)</f>
        <v>-114.86</v>
      </c>
      <c r="E341" s="107">
        <f>SUM(E338:E340)</f>
        <v>754.4</v>
      </c>
      <c r="F341" s="107">
        <f>SUM(F338:F340)</f>
        <v>-16466.72</v>
      </c>
      <c r="G341" s="107"/>
      <c r="H341" s="107"/>
      <c r="I341" s="107"/>
      <c r="J341" s="107"/>
      <c r="K341" s="107"/>
      <c r="L341" s="107"/>
      <c r="M341" s="107"/>
      <c r="N341" s="107">
        <v>-15585.21</v>
      </c>
    </row>
    <row r="342" spans="1:14">
      <c r="A342" s="64"/>
      <c r="B342" s="22"/>
      <c r="C342" s="22"/>
      <c r="D342" s="22"/>
      <c r="E342" s="22"/>
      <c r="F342" s="22"/>
      <c r="G342" s="22"/>
      <c r="H342" s="22"/>
      <c r="I342" s="22"/>
      <c r="J342" s="22"/>
      <c r="K342" s="22"/>
      <c r="L342" s="22"/>
      <c r="M342" s="22"/>
      <c r="N342" s="22"/>
    </row>
    <row r="343" spans="1:14" ht="15.75" thickBot="1">
      <c r="A343" s="64" t="s">
        <v>62</v>
      </c>
      <c r="B343" s="112">
        <f t="shared" ref="B343:M343" si="66">SUM(B196:B342)-B214-B222-B233-B249-B274-B290-B299-B308-B313-B322-B330-B337-B341</f>
        <v>723250.9700000002</v>
      </c>
      <c r="C343" s="112">
        <f t="shared" si="66"/>
        <v>674903.30999999982</v>
      </c>
      <c r="D343" s="112">
        <f t="shared" si="66"/>
        <v>705325.72999999952</v>
      </c>
      <c r="E343" s="112">
        <f t="shared" si="66"/>
        <v>624813.99999999988</v>
      </c>
      <c r="F343" s="112">
        <f t="shared" si="66"/>
        <v>-672857.23999999953</v>
      </c>
      <c r="G343" s="112">
        <f t="shared" si="66"/>
        <v>629674.35999999987</v>
      </c>
      <c r="H343" s="112">
        <f t="shared" si="66"/>
        <v>667776.96</v>
      </c>
      <c r="I343" s="112">
        <f t="shared" si="66"/>
        <v>723584.86</v>
      </c>
      <c r="J343" s="112">
        <f t="shared" si="66"/>
        <v>676909.56000000029</v>
      </c>
      <c r="K343" s="112">
        <f t="shared" si="66"/>
        <v>656414.58999999985</v>
      </c>
      <c r="L343" s="112">
        <f t="shared" si="66"/>
        <v>698086.35000000044</v>
      </c>
      <c r="M343" s="112">
        <f t="shared" si="66"/>
        <v>826424.11</v>
      </c>
      <c r="N343" s="112">
        <v>6934307.5599999996</v>
      </c>
    </row>
    <row r="344" spans="1:14" ht="15.75" thickTop="1">
      <c r="A344" s="64"/>
      <c r="B344" s="22"/>
      <c r="C344" s="22"/>
      <c r="D344" s="22"/>
      <c r="E344" s="22"/>
      <c r="F344" s="22"/>
      <c r="G344" s="22"/>
      <c r="H344" s="22"/>
      <c r="I344" s="22"/>
      <c r="J344" s="22"/>
      <c r="K344" s="22"/>
      <c r="L344" s="22"/>
      <c r="M344" s="22"/>
      <c r="N344" s="22"/>
    </row>
    <row r="345" spans="1:14" ht="15.75" thickBot="1">
      <c r="A345" s="64" t="s">
        <v>259</v>
      </c>
      <c r="B345" s="112">
        <f t="shared" ref="B345:M345" si="67">+B193-B343</f>
        <v>-92809.390000001062</v>
      </c>
      <c r="C345" s="112">
        <f t="shared" si="67"/>
        <v>-62250.720000000205</v>
      </c>
      <c r="D345" s="112">
        <f t="shared" si="67"/>
        <v>-66069.199999999255</v>
      </c>
      <c r="E345" s="112">
        <f t="shared" si="67"/>
        <v>-15230.749999998952</v>
      </c>
      <c r="F345" s="112">
        <f t="shared" si="67"/>
        <v>449267.78999999887</v>
      </c>
      <c r="G345" s="112">
        <f t="shared" si="67"/>
        <v>60098.180000000168</v>
      </c>
      <c r="H345" s="112">
        <f t="shared" si="67"/>
        <v>197658.1199999993</v>
      </c>
      <c r="I345" s="112">
        <f t="shared" si="67"/>
        <v>37413.280000000726</v>
      </c>
      <c r="J345" s="112">
        <f t="shared" si="67"/>
        <v>136105.38</v>
      </c>
      <c r="K345" s="112">
        <f t="shared" si="67"/>
        <v>100555.84999999939</v>
      </c>
      <c r="L345" s="112">
        <f t="shared" si="67"/>
        <v>-34142.550000000047</v>
      </c>
      <c r="M345" s="112">
        <f t="shared" si="67"/>
        <v>-128325.50000000093</v>
      </c>
      <c r="N345" s="112">
        <v>582270.49</v>
      </c>
    </row>
    <row r="346" spans="1:14" ht="15.75" thickTop="1">
      <c r="A346" s="64"/>
      <c r="B346" s="22"/>
      <c r="C346" s="22"/>
      <c r="D346" s="22"/>
      <c r="E346" s="22"/>
      <c r="F346" s="22"/>
      <c r="G346" s="22"/>
      <c r="H346" s="22"/>
      <c r="I346" s="22"/>
      <c r="J346" s="22"/>
      <c r="K346" s="22"/>
      <c r="L346" s="22"/>
      <c r="M346" s="22"/>
      <c r="N346" s="22"/>
    </row>
    <row r="347" spans="1:14">
      <c r="A347" s="64" t="s">
        <v>351</v>
      </c>
      <c r="B347" s="111">
        <v>3511.43</v>
      </c>
      <c r="C347" s="111">
        <v>7482.43</v>
      </c>
      <c r="D347" s="111">
        <v>3205.76</v>
      </c>
      <c r="E347" s="111">
        <v>539.64</v>
      </c>
      <c r="F347" s="111">
        <v>361030.84</v>
      </c>
      <c r="G347" s="111">
        <v>52327.47</v>
      </c>
      <c r="H347" s="111">
        <v>89524.98</v>
      </c>
      <c r="I347" s="111">
        <v>62435.08</v>
      </c>
      <c r="J347" s="111">
        <v>90203.93</v>
      </c>
      <c r="K347" s="111">
        <v>108644.38</v>
      </c>
      <c r="L347" s="111">
        <v>8233.81</v>
      </c>
      <c r="M347" s="111">
        <v>3188.03</v>
      </c>
      <c r="N347" s="111">
        <v>790327.78</v>
      </c>
    </row>
    <row r="348" spans="1:14">
      <c r="A348" s="64" t="s">
        <v>64</v>
      </c>
      <c r="B348" s="107">
        <f t="shared" ref="B348:M348" si="68">SUM(B346:B347)</f>
        <v>3511.43</v>
      </c>
      <c r="C348" s="107">
        <f t="shared" si="68"/>
        <v>7482.43</v>
      </c>
      <c r="D348" s="107">
        <f t="shared" si="68"/>
        <v>3205.76</v>
      </c>
      <c r="E348" s="107">
        <f t="shared" si="68"/>
        <v>539.64</v>
      </c>
      <c r="F348" s="107">
        <f t="shared" si="68"/>
        <v>361030.84</v>
      </c>
      <c r="G348" s="107">
        <f t="shared" si="68"/>
        <v>52327.47</v>
      </c>
      <c r="H348" s="107">
        <f t="shared" si="68"/>
        <v>89524.98</v>
      </c>
      <c r="I348" s="107">
        <f t="shared" si="68"/>
        <v>62435.08</v>
      </c>
      <c r="J348" s="107">
        <f t="shared" si="68"/>
        <v>90203.93</v>
      </c>
      <c r="K348" s="107">
        <f t="shared" si="68"/>
        <v>108644.38</v>
      </c>
      <c r="L348" s="107">
        <f t="shared" si="68"/>
        <v>8233.81</v>
      </c>
      <c r="M348" s="107">
        <f t="shared" si="68"/>
        <v>3188.03</v>
      </c>
      <c r="N348" s="107">
        <v>790327.78</v>
      </c>
    </row>
    <row r="349" spans="1:14">
      <c r="A349" s="64"/>
      <c r="B349" s="22"/>
      <c r="C349" s="22"/>
      <c r="D349" s="22"/>
      <c r="E349" s="22"/>
      <c r="F349" s="22"/>
      <c r="G349" s="22"/>
      <c r="H349" s="22"/>
      <c r="I349" s="22"/>
      <c r="J349" s="22"/>
      <c r="K349" s="22"/>
      <c r="L349" s="22"/>
      <c r="M349" s="22"/>
      <c r="N349" s="22"/>
    </row>
    <row r="350" spans="1:14" ht="15.75" thickBot="1">
      <c r="A350" s="64" t="s">
        <v>22</v>
      </c>
      <c r="B350" s="112">
        <f t="shared" ref="B350:M350" si="69">+B345-B348</f>
        <v>-96320.820000001055</v>
      </c>
      <c r="C350" s="112">
        <f t="shared" si="69"/>
        <v>-69733.150000000198</v>
      </c>
      <c r="D350" s="112">
        <f t="shared" si="69"/>
        <v>-69274.95999999925</v>
      </c>
      <c r="E350" s="112">
        <f t="shared" si="69"/>
        <v>-15770.389999998952</v>
      </c>
      <c r="F350" s="112">
        <f t="shared" si="69"/>
        <v>88236.949999998847</v>
      </c>
      <c r="G350" s="112">
        <f t="shared" si="69"/>
        <v>7770.7100000001665</v>
      </c>
      <c r="H350" s="112">
        <f t="shared" si="69"/>
        <v>108133.1399999993</v>
      </c>
      <c r="I350" s="112">
        <f t="shared" si="69"/>
        <v>-25021.799999999275</v>
      </c>
      <c r="J350" s="112">
        <f t="shared" si="69"/>
        <v>45901.450000000012</v>
      </c>
      <c r="K350" s="112">
        <f t="shared" si="69"/>
        <v>-8088.53000000061</v>
      </c>
      <c r="L350" s="112">
        <f t="shared" si="69"/>
        <v>-42376.360000000044</v>
      </c>
      <c r="M350" s="112">
        <f t="shared" si="69"/>
        <v>-131513.53000000093</v>
      </c>
      <c r="N350" s="112">
        <v>-208057.29</v>
      </c>
    </row>
    <row r="351" spans="1:14" ht="15.75" thickTop="1">
      <c r="A351" s="64"/>
      <c r="B351" s="22"/>
      <c r="C351" s="22"/>
      <c r="D351" s="22"/>
      <c r="E351" s="22"/>
      <c r="F351" s="22"/>
      <c r="G351" s="22"/>
      <c r="H351" s="22"/>
      <c r="I351" s="22"/>
      <c r="J351" s="22"/>
      <c r="K351" s="22"/>
      <c r="L351" s="22"/>
      <c r="M351" s="22"/>
      <c r="N351" s="22"/>
    </row>
    <row r="352" spans="1:14">
      <c r="A352" s="64"/>
      <c r="B352" s="22"/>
      <c r="C352" s="22"/>
      <c r="D352" s="22"/>
      <c r="E352" s="22"/>
      <c r="F352" s="22"/>
      <c r="G352" s="22"/>
      <c r="H352" s="22"/>
      <c r="I352" s="22"/>
      <c r="J352" s="22"/>
      <c r="K352" s="22"/>
      <c r="L352" s="22"/>
      <c r="M352" s="22"/>
      <c r="N352" s="22"/>
    </row>
    <row r="353" spans="1:14">
      <c r="A353" s="64" t="s">
        <v>260</v>
      </c>
      <c r="B353" s="22"/>
      <c r="C353" s="22"/>
      <c r="D353" s="22"/>
      <c r="E353" s="22"/>
      <c r="F353" s="22"/>
      <c r="G353" s="22"/>
      <c r="H353" s="22"/>
      <c r="I353" s="22"/>
      <c r="J353" s="22"/>
      <c r="K353" s="22"/>
      <c r="L353" s="22"/>
      <c r="M353" s="22"/>
      <c r="N353" s="22"/>
    </row>
    <row r="354" spans="1:14">
      <c r="A354" s="64"/>
      <c r="B354" s="22"/>
      <c r="C354" s="22"/>
      <c r="D354" s="22"/>
      <c r="E354" s="22"/>
      <c r="F354" s="22"/>
      <c r="G354" s="22"/>
      <c r="H354" s="22"/>
      <c r="I354" s="22"/>
      <c r="J354" s="22"/>
      <c r="K354" s="22"/>
      <c r="L354" s="22"/>
      <c r="M354" s="22"/>
      <c r="N354" s="22"/>
    </row>
    <row r="355" spans="1:14">
      <c r="A355" s="64" t="s">
        <v>19</v>
      </c>
      <c r="B355" s="22"/>
      <c r="C355" s="22"/>
      <c r="D355" s="22"/>
      <c r="E355" s="22"/>
      <c r="F355" s="22"/>
      <c r="G355" s="22"/>
      <c r="H355" s="22"/>
      <c r="I355" s="22"/>
      <c r="J355" s="22"/>
      <c r="K355" s="22"/>
      <c r="L355" s="22"/>
      <c r="M355" s="22"/>
      <c r="N355" s="22"/>
    </row>
    <row r="356" spans="1:14">
      <c r="A356" s="64" t="s">
        <v>261</v>
      </c>
      <c r="B356" s="22"/>
      <c r="C356" s="107">
        <v>-14</v>
      </c>
      <c r="D356" s="107">
        <v>-22</v>
      </c>
      <c r="E356" s="107">
        <v>-36</v>
      </c>
      <c r="F356" s="22"/>
      <c r="G356" s="107">
        <v>-139</v>
      </c>
      <c r="H356" s="107">
        <v>-159</v>
      </c>
      <c r="I356" s="22"/>
      <c r="J356" s="107">
        <v>1</v>
      </c>
      <c r="K356" s="107">
        <v>39</v>
      </c>
      <c r="L356" s="107">
        <v>23</v>
      </c>
      <c r="M356" s="107">
        <v>23</v>
      </c>
      <c r="N356" s="107">
        <v>-284</v>
      </c>
    </row>
    <row r="357" spans="1:14">
      <c r="A357" s="64" t="s">
        <v>66</v>
      </c>
      <c r="B357" s="111">
        <v>1639</v>
      </c>
      <c r="C357" s="111">
        <v>1477</v>
      </c>
      <c r="D357" s="111">
        <v>1730</v>
      </c>
      <c r="E357" s="111">
        <v>1632</v>
      </c>
      <c r="F357" s="111">
        <v>1736</v>
      </c>
      <c r="G357" s="111">
        <v>1654</v>
      </c>
      <c r="H357" s="111">
        <v>1483</v>
      </c>
      <c r="I357" s="111">
        <v>1606</v>
      </c>
      <c r="J357" s="111">
        <v>1609</v>
      </c>
      <c r="K357" s="111">
        <v>1618</v>
      </c>
      <c r="L357" s="111">
        <v>1568</v>
      </c>
      <c r="M357" s="111">
        <v>1631</v>
      </c>
      <c r="N357" s="111">
        <v>19383</v>
      </c>
    </row>
    <row r="358" spans="1:14">
      <c r="A358" s="64" t="s">
        <v>85</v>
      </c>
      <c r="B358" s="107">
        <f t="shared" ref="B358:M358" si="70">SUM(B355:B357)</f>
        <v>1639</v>
      </c>
      <c r="C358" s="107">
        <f t="shared" si="70"/>
        <v>1463</v>
      </c>
      <c r="D358" s="107">
        <f t="shared" si="70"/>
        <v>1708</v>
      </c>
      <c r="E358" s="107">
        <f t="shared" si="70"/>
        <v>1596</v>
      </c>
      <c r="F358" s="107">
        <f t="shared" si="70"/>
        <v>1736</v>
      </c>
      <c r="G358" s="107">
        <f t="shared" si="70"/>
        <v>1515</v>
      </c>
      <c r="H358" s="107">
        <f t="shared" si="70"/>
        <v>1324</v>
      </c>
      <c r="I358" s="107">
        <f t="shared" si="70"/>
        <v>1606</v>
      </c>
      <c r="J358" s="107">
        <f t="shared" si="70"/>
        <v>1610</v>
      </c>
      <c r="K358" s="107">
        <f t="shared" si="70"/>
        <v>1657</v>
      </c>
      <c r="L358" s="107">
        <f t="shared" si="70"/>
        <v>1591</v>
      </c>
      <c r="M358" s="107">
        <f t="shared" si="70"/>
        <v>1654</v>
      </c>
      <c r="N358" s="107">
        <v>19099</v>
      </c>
    </row>
    <row r="359" spans="1:14">
      <c r="A359" s="64"/>
      <c r="B359" s="22"/>
      <c r="C359" s="22"/>
      <c r="D359" s="22"/>
      <c r="E359" s="22"/>
      <c r="F359" s="22"/>
      <c r="G359" s="22"/>
      <c r="H359" s="22"/>
      <c r="I359" s="22"/>
      <c r="J359" s="22"/>
      <c r="K359" s="22"/>
      <c r="L359" s="22"/>
      <c r="M359" s="22"/>
      <c r="N359" s="22"/>
    </row>
    <row r="360" spans="1:14">
      <c r="A360" s="64" t="s">
        <v>20</v>
      </c>
      <c r="B360" s="22"/>
      <c r="C360" s="22"/>
      <c r="D360" s="22"/>
      <c r="E360" s="22"/>
      <c r="F360" s="22"/>
      <c r="G360" s="22"/>
      <c r="H360" s="22"/>
      <c r="I360" s="22"/>
      <c r="J360" s="22"/>
      <c r="K360" s="22"/>
      <c r="L360" s="22"/>
      <c r="M360" s="22"/>
      <c r="N360" s="22"/>
    </row>
    <row r="361" spans="1:14">
      <c r="A361" s="64" t="s">
        <v>261</v>
      </c>
      <c r="B361" s="22"/>
      <c r="C361" s="22"/>
      <c r="D361" s="22"/>
      <c r="E361" s="22"/>
      <c r="F361" s="22"/>
      <c r="G361" s="22"/>
      <c r="H361" s="22"/>
      <c r="I361" s="22"/>
      <c r="J361" s="22"/>
      <c r="K361" s="22"/>
      <c r="L361" s="107">
        <v>20</v>
      </c>
      <c r="M361" s="107">
        <v>-66</v>
      </c>
      <c r="N361" s="107">
        <v>-46</v>
      </c>
    </row>
    <row r="362" spans="1:14">
      <c r="A362" s="64" t="s">
        <v>66</v>
      </c>
      <c r="B362" s="111">
        <v>68</v>
      </c>
      <c r="C362" s="111">
        <v>48</v>
      </c>
      <c r="D362" s="111">
        <v>62</v>
      </c>
      <c r="E362" s="111">
        <v>128</v>
      </c>
      <c r="F362" s="111">
        <v>186</v>
      </c>
      <c r="G362" s="111">
        <v>186</v>
      </c>
      <c r="H362" s="111">
        <v>161</v>
      </c>
      <c r="I362" s="111">
        <v>124</v>
      </c>
      <c r="J362" s="111">
        <v>120</v>
      </c>
      <c r="K362" s="111">
        <v>124</v>
      </c>
      <c r="L362" s="111">
        <v>127</v>
      </c>
      <c r="M362" s="111">
        <v>93</v>
      </c>
      <c r="N362" s="111">
        <v>1427</v>
      </c>
    </row>
    <row r="363" spans="1:14">
      <c r="A363" s="64" t="s">
        <v>262</v>
      </c>
      <c r="B363" s="107">
        <f t="shared" ref="B363:M363" si="71">SUM(B359:B362)</f>
        <v>68</v>
      </c>
      <c r="C363" s="107">
        <f t="shared" si="71"/>
        <v>48</v>
      </c>
      <c r="D363" s="107">
        <f t="shared" si="71"/>
        <v>62</v>
      </c>
      <c r="E363" s="107">
        <f t="shared" si="71"/>
        <v>128</v>
      </c>
      <c r="F363" s="107">
        <f t="shared" si="71"/>
        <v>186</v>
      </c>
      <c r="G363" s="107">
        <f t="shared" si="71"/>
        <v>186</v>
      </c>
      <c r="H363" s="107">
        <f t="shared" si="71"/>
        <v>161</v>
      </c>
      <c r="I363" s="107">
        <f t="shared" si="71"/>
        <v>124</v>
      </c>
      <c r="J363" s="107">
        <f t="shared" si="71"/>
        <v>120</v>
      </c>
      <c r="K363" s="107">
        <f t="shared" si="71"/>
        <v>124</v>
      </c>
      <c r="L363" s="107">
        <f t="shared" si="71"/>
        <v>147</v>
      </c>
      <c r="M363" s="107">
        <f t="shared" si="71"/>
        <v>27</v>
      </c>
      <c r="N363" s="107">
        <v>1381</v>
      </c>
    </row>
    <row r="364" spans="1:14">
      <c r="A364" s="64"/>
      <c r="B364" s="22"/>
      <c r="C364" s="22"/>
      <c r="D364" s="22"/>
      <c r="E364" s="22"/>
      <c r="F364" s="22"/>
      <c r="G364" s="22"/>
      <c r="H364" s="22"/>
      <c r="I364" s="22"/>
      <c r="J364" s="22"/>
      <c r="K364" s="22"/>
      <c r="L364" s="22"/>
      <c r="M364" s="22"/>
      <c r="N364" s="22"/>
    </row>
    <row r="365" spans="1:14">
      <c r="A365" s="64" t="s">
        <v>263</v>
      </c>
      <c r="B365" s="22"/>
      <c r="C365" s="22"/>
      <c r="D365" s="22"/>
      <c r="E365" s="22"/>
      <c r="F365" s="22"/>
      <c r="G365" s="22"/>
      <c r="H365" s="22"/>
      <c r="I365" s="22"/>
      <c r="J365" s="22"/>
      <c r="K365" s="22"/>
      <c r="L365" s="22"/>
      <c r="M365" s="22"/>
      <c r="N365" s="22"/>
    </row>
    <row r="366" spans="1:14">
      <c r="A366" s="64" t="s">
        <v>261</v>
      </c>
      <c r="B366" s="22"/>
      <c r="C366" s="22"/>
      <c r="D366" s="22"/>
      <c r="E366" s="22"/>
      <c r="F366" s="107">
        <v>-1</v>
      </c>
      <c r="G366" s="22"/>
      <c r="H366" s="22"/>
      <c r="I366" s="22"/>
      <c r="J366" s="107">
        <v>-1</v>
      </c>
      <c r="K366" s="107">
        <v>-48</v>
      </c>
      <c r="L366" s="107">
        <v>-41</v>
      </c>
      <c r="M366" s="107">
        <v>42</v>
      </c>
      <c r="N366" s="107">
        <v>-49</v>
      </c>
    </row>
    <row r="367" spans="1:14">
      <c r="A367" s="64" t="s">
        <v>66</v>
      </c>
      <c r="B367" s="111">
        <v>115</v>
      </c>
      <c r="C367" s="111">
        <v>169</v>
      </c>
      <c r="D367" s="111">
        <v>125</v>
      </c>
      <c r="E367" s="111">
        <v>61</v>
      </c>
      <c r="F367" s="111">
        <v>214</v>
      </c>
      <c r="G367" s="111">
        <v>169</v>
      </c>
      <c r="H367" s="111">
        <v>282</v>
      </c>
      <c r="I367" s="111">
        <v>239</v>
      </c>
      <c r="J367" s="111">
        <v>182</v>
      </c>
      <c r="K367" s="111">
        <v>84</v>
      </c>
      <c r="L367" s="111">
        <v>57</v>
      </c>
      <c r="M367" s="111">
        <v>133</v>
      </c>
      <c r="N367" s="111">
        <v>1830</v>
      </c>
    </row>
    <row r="368" spans="1:14">
      <c r="A368" s="64" t="s">
        <v>264</v>
      </c>
      <c r="B368" s="107">
        <f t="shared" ref="B368:M368" si="72">SUM(B364:B367)</f>
        <v>115</v>
      </c>
      <c r="C368" s="107">
        <f t="shared" si="72"/>
        <v>169</v>
      </c>
      <c r="D368" s="107">
        <f t="shared" si="72"/>
        <v>125</v>
      </c>
      <c r="E368" s="107">
        <f t="shared" si="72"/>
        <v>61</v>
      </c>
      <c r="F368" s="107">
        <f t="shared" si="72"/>
        <v>213</v>
      </c>
      <c r="G368" s="107">
        <f t="shared" si="72"/>
        <v>169</v>
      </c>
      <c r="H368" s="107">
        <f t="shared" si="72"/>
        <v>282</v>
      </c>
      <c r="I368" s="107">
        <f t="shared" si="72"/>
        <v>239</v>
      </c>
      <c r="J368" s="107">
        <f t="shared" si="72"/>
        <v>181</v>
      </c>
      <c r="K368" s="107">
        <f t="shared" si="72"/>
        <v>36</v>
      </c>
      <c r="L368" s="107">
        <f t="shared" si="72"/>
        <v>16</v>
      </c>
      <c r="M368" s="107">
        <f t="shared" si="72"/>
        <v>175</v>
      </c>
      <c r="N368" s="107">
        <v>1781</v>
      </c>
    </row>
    <row r="369" spans="1:14">
      <c r="A369" s="64"/>
      <c r="B369" s="22"/>
      <c r="C369" s="22"/>
      <c r="D369" s="22"/>
      <c r="E369" s="22"/>
      <c r="F369" s="22"/>
      <c r="G369" s="22"/>
      <c r="H369" s="22"/>
      <c r="I369" s="22"/>
      <c r="J369" s="22"/>
      <c r="K369" s="22"/>
      <c r="L369" s="22"/>
      <c r="M369" s="22"/>
      <c r="N369" s="22"/>
    </row>
    <row r="370" spans="1:14">
      <c r="A370" s="64" t="s">
        <v>265</v>
      </c>
      <c r="B370" s="113"/>
      <c r="C370" s="113"/>
      <c r="D370" s="113"/>
      <c r="E370" s="113"/>
      <c r="F370" s="113"/>
      <c r="G370" s="113"/>
      <c r="H370" s="113"/>
      <c r="I370" s="113"/>
      <c r="J370" s="113"/>
      <c r="K370" s="113"/>
      <c r="L370" s="113"/>
      <c r="M370" s="113"/>
      <c r="N370" s="113"/>
    </row>
    <row r="371" spans="1:14">
      <c r="A371" s="64" t="s">
        <v>319</v>
      </c>
      <c r="B371" s="107"/>
      <c r="C371" s="107"/>
      <c r="D371" s="107"/>
      <c r="E371" s="107"/>
      <c r="F371" s="107"/>
      <c r="G371" s="107"/>
      <c r="H371" s="107"/>
      <c r="I371" s="107"/>
      <c r="J371" s="107"/>
      <c r="K371" s="107"/>
      <c r="L371" s="107"/>
      <c r="M371" s="107"/>
      <c r="N371" s="107"/>
    </row>
    <row r="372" spans="1:14">
      <c r="A372" s="64"/>
      <c r="B372" s="22"/>
      <c r="C372" s="22"/>
      <c r="D372" s="22"/>
      <c r="E372" s="22"/>
      <c r="F372" s="22"/>
      <c r="G372" s="22"/>
      <c r="H372" s="22"/>
      <c r="I372" s="22"/>
      <c r="J372" s="22"/>
      <c r="K372" s="22"/>
      <c r="L372" s="22"/>
      <c r="M372" s="22"/>
      <c r="N372" s="22"/>
    </row>
    <row r="373" spans="1:14">
      <c r="A373" s="64" t="s">
        <v>106</v>
      </c>
      <c r="B373" s="22"/>
      <c r="C373" s="22"/>
      <c r="D373" s="22"/>
      <c r="E373" s="22"/>
      <c r="F373" s="22"/>
      <c r="G373" s="22"/>
      <c r="H373" s="22"/>
      <c r="I373" s="22"/>
      <c r="J373" s="22"/>
      <c r="K373" s="22"/>
      <c r="L373" s="22"/>
      <c r="M373" s="22"/>
      <c r="N373" s="22"/>
    </row>
    <row r="374" spans="1:14">
      <c r="A374" s="64" t="s">
        <v>261</v>
      </c>
      <c r="B374" s="22"/>
      <c r="C374" s="107">
        <v>-1</v>
      </c>
      <c r="D374" s="22"/>
      <c r="E374" s="22"/>
      <c r="F374" s="22"/>
      <c r="G374" s="22"/>
      <c r="H374" s="22"/>
      <c r="I374" s="22"/>
      <c r="J374" s="22"/>
      <c r="K374" s="107">
        <v>49</v>
      </c>
      <c r="L374" s="22"/>
      <c r="M374" s="107">
        <v>-3</v>
      </c>
      <c r="N374" s="107">
        <v>45</v>
      </c>
    </row>
    <row r="375" spans="1:14">
      <c r="A375" s="64" t="s">
        <v>66</v>
      </c>
      <c r="B375" s="111">
        <v>375</v>
      </c>
      <c r="C375" s="111">
        <v>241</v>
      </c>
      <c r="D375" s="111">
        <v>231</v>
      </c>
      <c r="E375" s="111">
        <v>276</v>
      </c>
      <c r="F375" s="111">
        <v>216</v>
      </c>
      <c r="G375" s="111">
        <v>258</v>
      </c>
      <c r="H375" s="111">
        <v>456</v>
      </c>
      <c r="I375" s="111">
        <v>343</v>
      </c>
      <c r="J375" s="111">
        <v>467</v>
      </c>
      <c r="K375" s="111">
        <v>334</v>
      </c>
      <c r="L375" s="111">
        <v>348</v>
      </c>
      <c r="M375" s="111">
        <v>407</v>
      </c>
      <c r="N375" s="111">
        <v>3952</v>
      </c>
    </row>
    <row r="376" spans="1:14">
      <c r="A376" s="64" t="s">
        <v>116</v>
      </c>
      <c r="B376" s="107">
        <f t="shared" ref="B376:M376" si="73">SUM(B372:B375)</f>
        <v>375</v>
      </c>
      <c r="C376" s="107">
        <f t="shared" si="73"/>
        <v>240</v>
      </c>
      <c r="D376" s="107">
        <f t="shared" si="73"/>
        <v>231</v>
      </c>
      <c r="E376" s="107">
        <f t="shared" si="73"/>
        <v>276</v>
      </c>
      <c r="F376" s="107">
        <f t="shared" si="73"/>
        <v>216</v>
      </c>
      <c r="G376" s="107">
        <f t="shared" si="73"/>
        <v>258</v>
      </c>
      <c r="H376" s="107">
        <f t="shared" si="73"/>
        <v>456</v>
      </c>
      <c r="I376" s="107">
        <f t="shared" si="73"/>
        <v>343</v>
      </c>
      <c r="J376" s="107">
        <f t="shared" si="73"/>
        <v>467</v>
      </c>
      <c r="K376" s="107">
        <f t="shared" si="73"/>
        <v>383</v>
      </c>
      <c r="L376" s="107">
        <f t="shared" si="73"/>
        <v>348</v>
      </c>
      <c r="M376" s="107">
        <f t="shared" si="73"/>
        <v>404</v>
      </c>
      <c r="N376" s="107">
        <v>3997</v>
      </c>
    </row>
    <row r="377" spans="1:14">
      <c r="A377" s="64"/>
      <c r="B377" s="22"/>
      <c r="C377" s="22"/>
      <c r="D377" s="22"/>
      <c r="E377" s="22"/>
      <c r="F377" s="22"/>
      <c r="G377" s="22"/>
      <c r="H377" s="22"/>
      <c r="I377" s="22"/>
      <c r="J377" s="22"/>
      <c r="K377" s="22"/>
      <c r="L377" s="22"/>
      <c r="M377" s="22"/>
      <c r="N377" s="22"/>
    </row>
    <row r="378" spans="1:14">
      <c r="A378" s="64" t="s">
        <v>117</v>
      </c>
      <c r="B378" s="22"/>
      <c r="C378" s="22"/>
      <c r="D378" s="22"/>
      <c r="E378" s="22"/>
      <c r="F378" s="22"/>
      <c r="G378" s="22"/>
      <c r="H378" s="22"/>
      <c r="I378" s="22"/>
      <c r="J378" s="22"/>
      <c r="K378" s="22"/>
      <c r="L378" s="22"/>
      <c r="M378" s="22"/>
      <c r="N378" s="22"/>
    </row>
    <row r="379" spans="1:14">
      <c r="A379" s="64" t="s">
        <v>261</v>
      </c>
      <c r="B379" s="22"/>
      <c r="C379" s="107">
        <v>15</v>
      </c>
      <c r="D379" s="107">
        <v>22</v>
      </c>
      <c r="E379" s="107">
        <v>36</v>
      </c>
      <c r="F379" s="22"/>
      <c r="G379" s="107">
        <v>139</v>
      </c>
      <c r="H379" s="107">
        <v>159</v>
      </c>
      <c r="I379" s="22"/>
      <c r="J379" s="22"/>
      <c r="K379" s="107">
        <v>-39</v>
      </c>
      <c r="L379" s="107">
        <v>-1</v>
      </c>
      <c r="M379" s="107">
        <v>2</v>
      </c>
      <c r="N379" s="107">
        <v>333</v>
      </c>
    </row>
    <row r="380" spans="1:14">
      <c r="A380" s="64" t="s">
        <v>66</v>
      </c>
      <c r="B380" s="111">
        <v>66</v>
      </c>
      <c r="C380" s="111">
        <v>71</v>
      </c>
      <c r="D380" s="111">
        <v>68</v>
      </c>
      <c r="E380" s="111">
        <v>58</v>
      </c>
      <c r="F380" s="111">
        <v>62</v>
      </c>
      <c r="G380" s="111">
        <v>88</v>
      </c>
      <c r="H380" s="111">
        <v>108</v>
      </c>
      <c r="I380" s="111">
        <v>154</v>
      </c>
      <c r="J380" s="111">
        <v>216</v>
      </c>
      <c r="K380" s="111">
        <v>360</v>
      </c>
      <c r="L380" s="111">
        <v>373</v>
      </c>
      <c r="M380" s="111">
        <v>372</v>
      </c>
      <c r="N380" s="111">
        <v>1996</v>
      </c>
    </row>
    <row r="381" spans="1:14">
      <c r="A381" s="64" t="s">
        <v>127</v>
      </c>
      <c r="B381" s="107">
        <f t="shared" ref="B381:M381" si="74">SUM(B377:B380)</f>
        <v>66</v>
      </c>
      <c r="C381" s="107">
        <f t="shared" si="74"/>
        <v>86</v>
      </c>
      <c r="D381" s="107">
        <f t="shared" si="74"/>
        <v>90</v>
      </c>
      <c r="E381" s="107">
        <f t="shared" si="74"/>
        <v>94</v>
      </c>
      <c r="F381" s="107">
        <f t="shared" si="74"/>
        <v>62</v>
      </c>
      <c r="G381" s="107">
        <f t="shared" si="74"/>
        <v>227</v>
      </c>
      <c r="H381" s="107">
        <f t="shared" si="74"/>
        <v>267</v>
      </c>
      <c r="I381" s="107">
        <f t="shared" si="74"/>
        <v>154</v>
      </c>
      <c r="J381" s="107">
        <f t="shared" si="74"/>
        <v>216</v>
      </c>
      <c r="K381" s="107">
        <f t="shared" si="74"/>
        <v>321</v>
      </c>
      <c r="L381" s="107">
        <f t="shared" si="74"/>
        <v>372</v>
      </c>
      <c r="M381" s="107">
        <f t="shared" si="74"/>
        <v>374</v>
      </c>
      <c r="N381" s="107">
        <v>2329</v>
      </c>
    </row>
    <row r="382" spans="1:14">
      <c r="A382" s="64"/>
      <c r="B382" s="22"/>
      <c r="C382" s="22"/>
      <c r="D382" s="22"/>
      <c r="E382" s="22"/>
      <c r="F382" s="22"/>
      <c r="G382" s="22"/>
      <c r="H382" s="22"/>
      <c r="I382" s="22"/>
      <c r="J382" s="22"/>
      <c r="K382" s="22"/>
      <c r="L382" s="22"/>
      <c r="M382" s="22"/>
      <c r="N382" s="22"/>
    </row>
    <row r="383" spans="1:14" ht="15.75" thickBot="1">
      <c r="A383" s="64" t="s">
        <v>266</v>
      </c>
      <c r="B383" s="112">
        <f t="shared" ref="B383:M383" si="75">SUM(B353:B382)-B358-B363-B368-B371-B376-B381</f>
        <v>2263</v>
      </c>
      <c r="C383" s="112">
        <f t="shared" si="75"/>
        <v>2006</v>
      </c>
      <c r="D383" s="112">
        <f t="shared" si="75"/>
        <v>2216</v>
      </c>
      <c r="E383" s="112">
        <f t="shared" si="75"/>
        <v>2155</v>
      </c>
      <c r="F383" s="112">
        <f t="shared" si="75"/>
        <v>2413</v>
      </c>
      <c r="G383" s="112">
        <f t="shared" si="75"/>
        <v>2355</v>
      </c>
      <c r="H383" s="112">
        <f t="shared" si="75"/>
        <v>2490</v>
      </c>
      <c r="I383" s="112">
        <f t="shared" si="75"/>
        <v>2466</v>
      </c>
      <c r="J383" s="112">
        <f t="shared" si="75"/>
        <v>2594</v>
      </c>
      <c r="K383" s="112">
        <f t="shared" si="75"/>
        <v>2521</v>
      </c>
      <c r="L383" s="112">
        <f t="shared" si="75"/>
        <v>2474</v>
      </c>
      <c r="M383" s="112">
        <f t="shared" si="75"/>
        <v>2634</v>
      </c>
      <c r="N383" s="112">
        <v>28587</v>
      </c>
    </row>
    <row r="384" spans="1:14" ht="15.75" thickTop="1">
      <c r="A384" s="64"/>
      <c r="B384" s="22"/>
      <c r="C384" s="22"/>
      <c r="D384" s="22"/>
      <c r="E384" s="22"/>
      <c r="F384" s="22"/>
      <c r="G384" s="22"/>
      <c r="H384" s="22"/>
      <c r="I384" s="22"/>
      <c r="J384" s="22"/>
      <c r="K384" s="22"/>
      <c r="L384" s="22"/>
      <c r="M384" s="22"/>
      <c r="N384" s="22"/>
    </row>
    <row r="385" spans="1:14" hidden="1">
      <c r="A385" s="64"/>
      <c r="B385" s="107">
        <v>96320.82</v>
      </c>
      <c r="C385" s="107">
        <v>69733.149999999994</v>
      </c>
      <c r="D385" s="107">
        <v>69274.960000000006</v>
      </c>
      <c r="E385" s="107">
        <v>15770.39</v>
      </c>
      <c r="F385" s="107">
        <v>-88236.95</v>
      </c>
      <c r="G385" s="107">
        <v>-7770.71</v>
      </c>
      <c r="H385" s="107">
        <v>-108133.14</v>
      </c>
      <c r="I385" s="107">
        <v>25021.8</v>
      </c>
      <c r="J385" s="107">
        <v>-45901.45</v>
      </c>
      <c r="K385" s="107">
        <v>8088.53</v>
      </c>
      <c r="L385" s="107">
        <v>42376.36</v>
      </c>
      <c r="M385" s="107">
        <v>131513.53</v>
      </c>
      <c r="N385" s="107">
        <v>208057.29</v>
      </c>
    </row>
    <row r="386" spans="1:14">
      <c r="A386" s="64"/>
      <c r="B386" s="22"/>
      <c r="C386" s="22"/>
      <c r="D386" s="22"/>
      <c r="E386" s="22"/>
      <c r="F386" s="22"/>
      <c r="G386" s="22"/>
      <c r="H386" s="22"/>
      <c r="I386" s="22"/>
      <c r="J386" s="22"/>
      <c r="K386" s="22"/>
      <c r="L386" s="22"/>
      <c r="M386" s="22"/>
      <c r="N386" s="22"/>
    </row>
    <row r="387" spans="1:14" hidden="1">
      <c r="A387" s="64" t="s">
        <v>267</v>
      </c>
      <c r="B387" s="107">
        <f t="shared" ref="B387:M387" si="76">B357+B362+B367+B375+B380</f>
        <v>2263</v>
      </c>
      <c r="C387" s="107">
        <f t="shared" si="76"/>
        <v>2006</v>
      </c>
      <c r="D387" s="107">
        <f t="shared" si="76"/>
        <v>2216</v>
      </c>
      <c r="E387" s="107">
        <f t="shared" si="76"/>
        <v>2155</v>
      </c>
      <c r="F387" s="107">
        <f t="shared" si="76"/>
        <v>2414</v>
      </c>
      <c r="G387" s="107">
        <f t="shared" si="76"/>
        <v>2355</v>
      </c>
      <c r="H387" s="107">
        <f t="shared" si="76"/>
        <v>2490</v>
      </c>
      <c r="I387" s="107">
        <f t="shared" si="76"/>
        <v>2466</v>
      </c>
      <c r="J387" s="107">
        <f t="shared" si="76"/>
        <v>2594</v>
      </c>
      <c r="K387" s="107">
        <f t="shared" si="76"/>
        <v>2520</v>
      </c>
      <c r="L387" s="107">
        <f t="shared" si="76"/>
        <v>2473</v>
      </c>
      <c r="M387" s="107">
        <f t="shared" si="76"/>
        <v>2636</v>
      </c>
      <c r="N387" s="107">
        <v>28588</v>
      </c>
    </row>
    <row r="388" spans="1:14">
      <c r="A388" s="64"/>
      <c r="B388" s="22"/>
      <c r="C388" s="22"/>
      <c r="D388" s="22"/>
      <c r="E388" s="22"/>
      <c r="F388" s="22"/>
      <c r="G388" s="22"/>
      <c r="H388" s="22"/>
      <c r="I388" s="22"/>
      <c r="J388" s="22"/>
      <c r="K388" s="22"/>
      <c r="L388" s="22"/>
      <c r="M388" s="22"/>
      <c r="N388" s="22"/>
    </row>
  </sheetData>
  <pageMargins left="0.75" right="0.75" top="0.75" bottom="0.75" header="0.03" footer="0.03"/>
  <pageSetup scale="46" fitToHeight="0" pageOrder="overThenDown" orientation="landscape" r:id="rId1"/>
  <headerFooter>
    <oddHeader>&amp;L&amp;C&amp;"Arial,Regular"&amp;9&amp;K000000Park Manor of WestChase-WINNIE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10241"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0241" r:id="rId5" name="FPMExcelClientSheetOptionstb1"/>
      </mc:Fallback>
    </mc:AlternateContent>
  </contro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A1:N379"/>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B348</f>
        <v>1338</v>
      </c>
      <c r="C4" s="110">
        <f t="shared" si="0"/>
        <v>1253</v>
      </c>
      <c r="D4" s="110">
        <f t="shared" si="0"/>
        <v>1276</v>
      </c>
      <c r="E4" s="110">
        <f t="shared" si="0"/>
        <v>1165</v>
      </c>
      <c r="F4" s="110">
        <f t="shared" si="0"/>
        <v>1272</v>
      </c>
      <c r="G4" s="110">
        <f t="shared" si="0"/>
        <v>1044</v>
      </c>
      <c r="H4" s="110">
        <f t="shared" si="0"/>
        <v>1058</v>
      </c>
      <c r="I4" s="110">
        <f t="shared" si="0"/>
        <v>1180</v>
      </c>
      <c r="J4" s="110">
        <f t="shared" si="0"/>
        <v>1246</v>
      </c>
      <c r="K4" s="110">
        <f t="shared" si="0"/>
        <v>1338</v>
      </c>
      <c r="L4" s="110">
        <f t="shared" si="0"/>
        <v>1311</v>
      </c>
      <c r="M4" s="110">
        <f t="shared" si="0"/>
        <v>1380</v>
      </c>
      <c r="N4" s="110">
        <v>14861</v>
      </c>
    </row>
    <row r="5" spans="1:14">
      <c r="A5" s="64" t="s">
        <v>35</v>
      </c>
      <c r="B5" s="107">
        <f t="shared" ref="B5:M5" si="1">B353</f>
        <v>93</v>
      </c>
      <c r="C5" s="107">
        <f t="shared" si="1"/>
        <v>90</v>
      </c>
      <c r="D5" s="107">
        <f t="shared" si="1"/>
        <v>105</v>
      </c>
      <c r="E5" s="107">
        <f t="shared" si="1"/>
        <v>140</v>
      </c>
      <c r="F5" s="107">
        <f t="shared" si="1"/>
        <v>149</v>
      </c>
      <c r="G5" s="107">
        <f t="shared" si="1"/>
        <v>102</v>
      </c>
      <c r="H5" s="107">
        <f t="shared" si="1"/>
        <v>47</v>
      </c>
      <c r="I5" s="107">
        <f t="shared" si="1"/>
        <v>69</v>
      </c>
      <c r="J5" s="107">
        <f t="shared" si="1"/>
        <v>94</v>
      </c>
      <c r="K5" s="107">
        <f t="shared" si="1"/>
        <v>130</v>
      </c>
      <c r="L5" s="107">
        <f t="shared" si="1"/>
        <v>110</v>
      </c>
      <c r="M5" s="107">
        <f t="shared" si="1"/>
        <v>103</v>
      </c>
      <c r="N5" s="107">
        <v>1232</v>
      </c>
    </row>
    <row r="6" spans="1:14">
      <c r="A6" s="64" t="s">
        <v>36</v>
      </c>
      <c r="B6" s="107">
        <f t="shared" ref="B6:M6" si="2">B358</f>
        <v>350</v>
      </c>
      <c r="C6" s="107">
        <f t="shared" si="2"/>
        <v>279</v>
      </c>
      <c r="D6" s="107">
        <f t="shared" si="2"/>
        <v>302</v>
      </c>
      <c r="E6" s="107">
        <f t="shared" si="2"/>
        <v>328</v>
      </c>
      <c r="F6" s="107">
        <f t="shared" si="2"/>
        <v>214</v>
      </c>
      <c r="G6" s="107">
        <f t="shared" si="2"/>
        <v>473</v>
      </c>
      <c r="H6" s="107">
        <f t="shared" si="2"/>
        <v>338</v>
      </c>
      <c r="I6" s="107">
        <f t="shared" si="2"/>
        <v>309</v>
      </c>
      <c r="J6" s="107">
        <f t="shared" si="2"/>
        <v>247</v>
      </c>
      <c r="K6" s="107">
        <f t="shared" si="2"/>
        <v>264</v>
      </c>
      <c r="L6" s="107">
        <f t="shared" si="2"/>
        <v>452</v>
      </c>
      <c r="M6" s="107">
        <f t="shared" si="2"/>
        <v>416</v>
      </c>
      <c r="N6" s="107">
        <v>3972</v>
      </c>
    </row>
    <row r="7" spans="1:14">
      <c r="A7" s="64" t="s">
        <v>37</v>
      </c>
      <c r="B7" s="107">
        <f t="shared" ref="B7:M7" si="3">B366</f>
        <v>415</v>
      </c>
      <c r="C7" s="107">
        <f t="shared" si="3"/>
        <v>372</v>
      </c>
      <c r="D7" s="107">
        <f t="shared" si="3"/>
        <v>393</v>
      </c>
      <c r="E7" s="107">
        <f t="shared" si="3"/>
        <v>419</v>
      </c>
      <c r="F7" s="107">
        <f t="shared" si="3"/>
        <v>339</v>
      </c>
      <c r="G7" s="107">
        <f t="shared" si="3"/>
        <v>468</v>
      </c>
      <c r="H7" s="107">
        <f t="shared" si="3"/>
        <v>608</v>
      </c>
      <c r="I7" s="107">
        <f t="shared" si="3"/>
        <v>460</v>
      </c>
      <c r="J7" s="107">
        <f t="shared" si="3"/>
        <v>351</v>
      </c>
      <c r="K7" s="107">
        <f t="shared" si="3"/>
        <v>239</v>
      </c>
      <c r="L7" s="107">
        <f t="shared" si="3"/>
        <v>461</v>
      </c>
      <c r="M7" s="107">
        <f t="shared" si="3"/>
        <v>575</v>
      </c>
      <c r="N7" s="107">
        <v>5100</v>
      </c>
    </row>
    <row r="8" spans="1:14">
      <c r="A8" s="64" t="s">
        <v>38</v>
      </c>
      <c r="B8" s="111">
        <f t="shared" ref="B8:M8" si="4">B371</f>
        <v>243</v>
      </c>
      <c r="C8" s="111">
        <f t="shared" si="4"/>
        <v>195</v>
      </c>
      <c r="D8" s="111">
        <f t="shared" si="4"/>
        <v>172</v>
      </c>
      <c r="E8" s="111">
        <f t="shared" si="4"/>
        <v>174</v>
      </c>
      <c r="F8" s="111">
        <f t="shared" si="4"/>
        <v>121</v>
      </c>
      <c r="G8" s="111">
        <f t="shared" si="4"/>
        <v>167</v>
      </c>
      <c r="H8" s="111">
        <f t="shared" si="4"/>
        <v>222</v>
      </c>
      <c r="I8" s="111">
        <f t="shared" si="4"/>
        <v>227</v>
      </c>
      <c r="J8" s="111">
        <f t="shared" si="4"/>
        <v>267</v>
      </c>
      <c r="K8" s="111">
        <f t="shared" si="4"/>
        <v>240</v>
      </c>
      <c r="L8" s="111">
        <f t="shared" si="4"/>
        <v>231</v>
      </c>
      <c r="M8" s="111">
        <f t="shared" si="4"/>
        <v>208</v>
      </c>
      <c r="N8" s="111">
        <v>2467</v>
      </c>
    </row>
    <row r="9" spans="1:14" ht="15.75" thickBot="1">
      <c r="A9" s="64" t="s">
        <v>39</v>
      </c>
      <c r="B9" s="112">
        <f t="shared" ref="B9:M9" si="5">B378</f>
        <v>2439</v>
      </c>
      <c r="C9" s="112">
        <f t="shared" si="5"/>
        <v>2189</v>
      </c>
      <c r="D9" s="112">
        <f t="shared" si="5"/>
        <v>2248</v>
      </c>
      <c r="E9" s="112">
        <f t="shared" si="5"/>
        <v>2226</v>
      </c>
      <c r="F9" s="112">
        <f t="shared" si="5"/>
        <v>2095</v>
      </c>
      <c r="G9" s="112">
        <f t="shared" si="5"/>
        <v>2254</v>
      </c>
      <c r="H9" s="112">
        <f t="shared" si="5"/>
        <v>2273</v>
      </c>
      <c r="I9" s="112">
        <f t="shared" si="5"/>
        <v>2245</v>
      </c>
      <c r="J9" s="112">
        <f t="shared" si="5"/>
        <v>2205</v>
      </c>
      <c r="K9" s="112">
        <f t="shared" si="5"/>
        <v>2211</v>
      </c>
      <c r="L9" s="112">
        <f t="shared" si="5"/>
        <v>2565</v>
      </c>
      <c r="M9" s="112">
        <f t="shared" si="5"/>
        <v>2682</v>
      </c>
      <c r="N9" s="112">
        <v>27632</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B69</f>
        <v>245773.03</v>
      </c>
      <c r="C14" s="107">
        <f t="shared" si="6"/>
        <v>231442.03</v>
      </c>
      <c r="D14" s="107">
        <f t="shared" si="6"/>
        <v>240405.43</v>
      </c>
      <c r="E14" s="107">
        <f t="shared" si="6"/>
        <v>221368.49</v>
      </c>
      <c r="F14" s="107">
        <f t="shared" si="6"/>
        <v>237935.64</v>
      </c>
      <c r="G14" s="107">
        <f t="shared" si="6"/>
        <v>193410.86</v>
      </c>
      <c r="H14" s="107">
        <f t="shared" si="6"/>
        <v>198224.99</v>
      </c>
      <c r="I14" s="107">
        <f t="shared" si="6"/>
        <v>222171.5</v>
      </c>
      <c r="J14" s="107">
        <f t="shared" si="6"/>
        <v>233644.05</v>
      </c>
      <c r="K14" s="107">
        <f t="shared" si="6"/>
        <v>256278.61</v>
      </c>
      <c r="L14" s="107">
        <f t="shared" si="6"/>
        <v>249191.91</v>
      </c>
      <c r="M14" s="107">
        <f t="shared" si="6"/>
        <v>260949.94</v>
      </c>
      <c r="N14" s="107">
        <v>2790796.48</v>
      </c>
    </row>
    <row r="15" spans="1:14">
      <c r="A15" s="64" t="s">
        <v>35</v>
      </c>
      <c r="B15" s="107">
        <f t="shared" ref="B15:M15" si="7">B73</f>
        <v>18564.04</v>
      </c>
      <c r="C15" s="107">
        <f t="shared" si="7"/>
        <v>17446.900000000001</v>
      </c>
      <c r="D15" s="107">
        <f t="shared" si="7"/>
        <v>20671.23</v>
      </c>
      <c r="E15" s="107">
        <f t="shared" si="7"/>
        <v>29753.77</v>
      </c>
      <c r="F15" s="107">
        <f t="shared" si="7"/>
        <v>32714.53</v>
      </c>
      <c r="G15" s="107">
        <f t="shared" si="7"/>
        <v>21607.84</v>
      </c>
      <c r="H15" s="107">
        <f t="shared" si="7"/>
        <v>9460</v>
      </c>
      <c r="I15" s="107">
        <f t="shared" si="7"/>
        <v>14297.33</v>
      </c>
      <c r="J15" s="107">
        <f t="shared" si="7"/>
        <v>20340.64</v>
      </c>
      <c r="K15" s="107">
        <f t="shared" si="7"/>
        <v>28277.72</v>
      </c>
      <c r="L15" s="107">
        <f t="shared" si="7"/>
        <v>20610.150000000001</v>
      </c>
      <c r="M15" s="107">
        <f t="shared" si="7"/>
        <v>19525.25</v>
      </c>
      <c r="N15" s="107">
        <v>253269.4</v>
      </c>
    </row>
    <row r="16" spans="1:14">
      <c r="A16" s="64" t="s">
        <v>36</v>
      </c>
      <c r="B16" s="107">
        <f t="shared" ref="B16:M16" si="8">B77</f>
        <v>219262.59</v>
      </c>
      <c r="C16" s="107">
        <f t="shared" si="8"/>
        <v>179722.56</v>
      </c>
      <c r="D16" s="107">
        <f t="shared" si="8"/>
        <v>187144.24</v>
      </c>
      <c r="E16" s="107">
        <f t="shared" si="8"/>
        <v>200025.83</v>
      </c>
      <c r="F16" s="107">
        <f t="shared" si="8"/>
        <v>129753.39</v>
      </c>
      <c r="G16" s="107">
        <f t="shared" si="8"/>
        <v>329075.99</v>
      </c>
      <c r="H16" s="107">
        <f t="shared" si="8"/>
        <v>222562.14</v>
      </c>
      <c r="I16" s="107">
        <f t="shared" si="8"/>
        <v>206501.72</v>
      </c>
      <c r="J16" s="107">
        <f t="shared" si="8"/>
        <v>165959.62</v>
      </c>
      <c r="K16" s="107">
        <f t="shared" si="8"/>
        <v>190010.77</v>
      </c>
      <c r="L16" s="107">
        <f t="shared" si="8"/>
        <v>310215.37</v>
      </c>
      <c r="M16" s="107">
        <f t="shared" si="8"/>
        <v>288015.19</v>
      </c>
      <c r="N16" s="107">
        <v>2628249.41</v>
      </c>
    </row>
    <row r="17" spans="1:14">
      <c r="A17" s="64" t="s">
        <v>37</v>
      </c>
      <c r="B17" s="107">
        <f t="shared" ref="B17:M17" si="9">B84</f>
        <v>162654.54</v>
      </c>
      <c r="C17" s="107">
        <f t="shared" si="9"/>
        <v>143067.79999999999</v>
      </c>
      <c r="D17" s="107">
        <f t="shared" si="9"/>
        <v>153271.31</v>
      </c>
      <c r="E17" s="107">
        <f t="shared" si="9"/>
        <v>169205.6</v>
      </c>
      <c r="F17" s="107">
        <f t="shared" si="9"/>
        <v>128410.85</v>
      </c>
      <c r="G17" s="107">
        <f t="shared" si="9"/>
        <v>185573</v>
      </c>
      <c r="H17" s="107">
        <f t="shared" si="9"/>
        <v>252644.6</v>
      </c>
      <c r="I17" s="107">
        <f t="shared" si="9"/>
        <v>182930.58</v>
      </c>
      <c r="J17" s="107">
        <f t="shared" si="9"/>
        <v>123422.17</v>
      </c>
      <c r="K17" s="107">
        <f t="shared" si="9"/>
        <v>101523.89</v>
      </c>
      <c r="L17" s="107">
        <f t="shared" si="9"/>
        <v>205861.07</v>
      </c>
      <c r="M17" s="107">
        <f t="shared" si="9"/>
        <v>254131.16</v>
      </c>
      <c r="N17" s="107">
        <v>2062696.57</v>
      </c>
    </row>
    <row r="18" spans="1:14">
      <c r="A18" s="64" t="s">
        <v>38</v>
      </c>
      <c r="B18" s="111">
        <f t="shared" ref="B18:M18" si="10">B88</f>
        <v>41790</v>
      </c>
      <c r="C18" s="111">
        <f t="shared" si="10"/>
        <v>33150</v>
      </c>
      <c r="D18" s="111">
        <f t="shared" si="10"/>
        <v>29240</v>
      </c>
      <c r="E18" s="111">
        <f t="shared" si="10"/>
        <v>29580</v>
      </c>
      <c r="F18" s="111">
        <f t="shared" si="10"/>
        <v>20570</v>
      </c>
      <c r="G18" s="111">
        <f t="shared" si="10"/>
        <v>28990</v>
      </c>
      <c r="H18" s="111">
        <f t="shared" si="10"/>
        <v>38280</v>
      </c>
      <c r="I18" s="111">
        <f t="shared" si="10"/>
        <v>40150</v>
      </c>
      <c r="J18" s="111">
        <f t="shared" si="10"/>
        <v>46719</v>
      </c>
      <c r="K18" s="111">
        <f t="shared" si="10"/>
        <v>43005</v>
      </c>
      <c r="L18" s="111">
        <f t="shared" si="10"/>
        <v>40953</v>
      </c>
      <c r="M18" s="111">
        <f t="shared" si="10"/>
        <v>36842</v>
      </c>
      <c r="N18" s="111">
        <v>429269</v>
      </c>
    </row>
    <row r="19" spans="1:14">
      <c r="A19" s="64" t="s">
        <v>42</v>
      </c>
      <c r="B19" s="107">
        <f t="shared" ref="B19:M19" si="11">B90</f>
        <v>688044.19999999984</v>
      </c>
      <c r="C19" s="107">
        <f t="shared" si="11"/>
        <v>604829.29</v>
      </c>
      <c r="D19" s="107">
        <f t="shared" si="11"/>
        <v>630732.21</v>
      </c>
      <c r="E19" s="107">
        <f t="shared" si="11"/>
        <v>649933.69000000018</v>
      </c>
      <c r="F19" s="107">
        <f t="shared" si="11"/>
        <v>549384.41</v>
      </c>
      <c r="G19" s="107">
        <f t="shared" si="11"/>
        <v>758657.69</v>
      </c>
      <c r="H19" s="107">
        <f t="shared" si="11"/>
        <v>721171.73000000021</v>
      </c>
      <c r="I19" s="107">
        <f t="shared" si="11"/>
        <v>666051.13</v>
      </c>
      <c r="J19" s="107">
        <f t="shared" si="11"/>
        <v>590085.47999999986</v>
      </c>
      <c r="K19" s="107">
        <f t="shared" si="11"/>
        <v>619095.98999999976</v>
      </c>
      <c r="L19" s="107">
        <f t="shared" si="11"/>
        <v>826831.50000000023</v>
      </c>
      <c r="M19" s="107">
        <f t="shared" si="11"/>
        <v>859463.53999999992</v>
      </c>
      <c r="N19" s="107">
        <v>8164280.8600000003</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M22" si="12">B96</f>
        <v>-3149.94</v>
      </c>
      <c r="C22" s="107">
        <f t="shared" si="12"/>
        <v>5826.97</v>
      </c>
      <c r="D22" s="107">
        <f t="shared" si="12"/>
        <v>-45673.57</v>
      </c>
      <c r="E22" s="107">
        <f t="shared" si="12"/>
        <v>-1637.28</v>
      </c>
      <c r="F22" s="107">
        <f t="shared" si="12"/>
        <v>-8976.33</v>
      </c>
      <c r="G22" s="107">
        <f t="shared" si="12"/>
        <v>3615.4</v>
      </c>
      <c r="H22" s="107">
        <f t="shared" si="12"/>
        <v>-32495.15</v>
      </c>
      <c r="I22" s="107">
        <f t="shared" si="12"/>
        <v>-20230.43</v>
      </c>
      <c r="J22" s="107">
        <f t="shared" si="12"/>
        <v>34773.43</v>
      </c>
      <c r="K22" s="107">
        <f t="shared" si="12"/>
        <v>9675.02</v>
      </c>
      <c r="L22" s="107">
        <f t="shared" si="12"/>
        <v>1082.26</v>
      </c>
      <c r="M22" s="107">
        <f t="shared" si="12"/>
        <v>6044.73</v>
      </c>
      <c r="N22" s="107">
        <v>-51144.89</v>
      </c>
    </row>
    <row r="23" spans="1:14">
      <c r="A23" s="64" t="s">
        <v>35</v>
      </c>
      <c r="B23" s="107">
        <f>B100</f>
        <v>-473.2</v>
      </c>
      <c r="C23" s="107"/>
      <c r="D23" s="107">
        <f t="shared" ref="D23:K23" si="13">D100</f>
        <v>-13348.55</v>
      </c>
      <c r="E23" s="107">
        <f t="shared" si="13"/>
        <v>10902.69</v>
      </c>
      <c r="F23" s="107">
        <f t="shared" si="13"/>
        <v>8906.75</v>
      </c>
      <c r="G23" s="107">
        <f t="shared" si="13"/>
        <v>252.23</v>
      </c>
      <c r="H23" s="107">
        <f t="shared" si="13"/>
        <v>-10697.32</v>
      </c>
      <c r="I23" s="107">
        <f t="shared" si="13"/>
        <v>562.1</v>
      </c>
      <c r="J23" s="107">
        <f t="shared" si="13"/>
        <v>1017.19</v>
      </c>
      <c r="K23" s="107">
        <f t="shared" si="13"/>
        <v>-92.44</v>
      </c>
      <c r="L23" s="107"/>
      <c r="M23" s="107">
        <f>M100</f>
        <v>129.28</v>
      </c>
      <c r="N23" s="107">
        <v>-2841.27</v>
      </c>
    </row>
    <row r="24" spans="1:14">
      <c r="A24" s="64" t="s">
        <v>36</v>
      </c>
      <c r="B24" s="107">
        <f t="shared" ref="B24:M24" si="14">B104</f>
        <v>15286.67</v>
      </c>
      <c r="C24" s="107">
        <f t="shared" si="14"/>
        <v>-48099.43</v>
      </c>
      <c r="D24" s="107">
        <f t="shared" si="14"/>
        <v>-7312.55</v>
      </c>
      <c r="E24" s="107">
        <f t="shared" si="14"/>
        <v>11267.78</v>
      </c>
      <c r="F24" s="107">
        <f t="shared" si="14"/>
        <v>679.61</v>
      </c>
      <c r="G24" s="107">
        <f t="shared" si="14"/>
        <v>-16844.68</v>
      </c>
      <c r="H24" s="107">
        <f t="shared" si="14"/>
        <v>15121.9</v>
      </c>
      <c r="I24" s="107">
        <f t="shared" si="14"/>
        <v>31448.32</v>
      </c>
      <c r="J24" s="107">
        <f t="shared" si="14"/>
        <v>3342.15</v>
      </c>
      <c r="K24" s="107">
        <f t="shared" si="14"/>
        <v>12432.71</v>
      </c>
      <c r="L24" s="107">
        <f t="shared" si="14"/>
        <v>1058.1500000000001</v>
      </c>
      <c r="M24" s="107">
        <f t="shared" si="14"/>
        <v>-3047.6</v>
      </c>
      <c r="N24" s="107">
        <v>15333.03</v>
      </c>
    </row>
    <row r="25" spans="1:14">
      <c r="A25" s="64" t="s">
        <v>37</v>
      </c>
      <c r="B25" s="107">
        <f>B111</f>
        <v>-15152.6</v>
      </c>
      <c r="C25" s="107">
        <f>C111</f>
        <v>16094.41</v>
      </c>
      <c r="D25" s="107">
        <f>D111</f>
        <v>-6489.15</v>
      </c>
      <c r="E25" s="107">
        <f>E111</f>
        <v>-3443.19</v>
      </c>
      <c r="F25" s="107"/>
      <c r="G25" s="107">
        <f t="shared" ref="G25:M25" si="15">G111</f>
        <v>16142</v>
      </c>
      <c r="H25" s="107">
        <f t="shared" si="15"/>
        <v>-8896.9</v>
      </c>
      <c r="I25" s="107">
        <f t="shared" si="15"/>
        <v>-32210.73</v>
      </c>
      <c r="J25" s="107">
        <f t="shared" si="15"/>
        <v>250</v>
      </c>
      <c r="K25" s="107">
        <f t="shared" si="15"/>
        <v>3925.47</v>
      </c>
      <c r="L25" s="107">
        <f t="shared" si="15"/>
        <v>-480</v>
      </c>
      <c r="M25" s="107">
        <f t="shared" si="15"/>
        <v>16671</v>
      </c>
      <c r="N25" s="107">
        <v>-13589.69</v>
      </c>
    </row>
    <row r="26" spans="1:14">
      <c r="A26" s="64" t="s">
        <v>38</v>
      </c>
      <c r="B26" s="111"/>
      <c r="C26" s="111"/>
      <c r="D26" s="111">
        <f>D115</f>
        <v>55590</v>
      </c>
      <c r="E26" s="111"/>
      <c r="F26" s="111"/>
      <c r="G26" s="111">
        <f>G115</f>
        <v>-3400</v>
      </c>
      <c r="H26" s="111">
        <f>H115</f>
        <v>29820</v>
      </c>
      <c r="I26" s="111">
        <f>I115</f>
        <v>21903</v>
      </c>
      <c r="J26" s="111">
        <f>J115</f>
        <v>-26520</v>
      </c>
      <c r="K26" s="111">
        <f>K115</f>
        <v>-5190</v>
      </c>
      <c r="L26" s="111"/>
      <c r="M26" s="111">
        <f>M115</f>
        <v>-5017</v>
      </c>
      <c r="N26" s="111">
        <v>67186</v>
      </c>
    </row>
    <row r="27" spans="1:14">
      <c r="A27" s="64" t="s">
        <v>44</v>
      </c>
      <c r="B27" s="107">
        <f t="shared" ref="B27:M27" si="16">B117</f>
        <v>-3489.0699999999979</v>
      </c>
      <c r="C27" s="107">
        <f t="shared" si="16"/>
        <v>-26178.049999999992</v>
      </c>
      <c r="D27" s="107">
        <f t="shared" si="16"/>
        <v>-17233.819999999985</v>
      </c>
      <c r="E27" s="107">
        <f t="shared" si="16"/>
        <v>17089.999999999989</v>
      </c>
      <c r="F27" s="107">
        <f t="shared" si="16"/>
        <v>610.0299999999994</v>
      </c>
      <c r="G27" s="107">
        <f t="shared" si="16"/>
        <v>-235.05000000000291</v>
      </c>
      <c r="H27" s="107">
        <f t="shared" si="16"/>
        <v>-7147.4700000000012</v>
      </c>
      <c r="I27" s="107">
        <f t="shared" si="16"/>
        <v>1472.2599999999984</v>
      </c>
      <c r="J27" s="107">
        <f t="shared" si="16"/>
        <v>12862.769999999993</v>
      </c>
      <c r="K27" s="107">
        <f t="shared" si="16"/>
        <v>20750.760000000002</v>
      </c>
      <c r="L27" s="107">
        <f t="shared" si="16"/>
        <v>1660.4099999999994</v>
      </c>
      <c r="M27" s="107">
        <f t="shared" si="16"/>
        <v>14780.41</v>
      </c>
      <c r="N27" s="107">
        <v>14943.18</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c r="C30" s="107"/>
      <c r="D30" s="107"/>
      <c r="E30" s="107"/>
      <c r="F30" s="107"/>
      <c r="G30" s="107"/>
      <c r="H30" s="107">
        <f>H130</f>
        <v>-480.00000000000023</v>
      </c>
      <c r="I30" s="107"/>
      <c r="J30" s="107"/>
      <c r="K30" s="107"/>
      <c r="L30" s="107"/>
      <c r="M30" s="107"/>
      <c r="N30" s="107">
        <v>-480</v>
      </c>
    </row>
    <row r="31" spans="1:14">
      <c r="A31" s="64" t="s">
        <v>46</v>
      </c>
      <c r="B31" s="107">
        <f t="shared" ref="B31:M31" si="17">B150</f>
        <v>22370.549999999996</v>
      </c>
      <c r="C31" s="107">
        <f t="shared" si="17"/>
        <v>29676.15</v>
      </c>
      <c r="D31" s="107">
        <f t="shared" si="17"/>
        <v>15399.85</v>
      </c>
      <c r="E31" s="107">
        <f t="shared" si="17"/>
        <v>15800.310000000001</v>
      </c>
      <c r="F31" s="107">
        <f t="shared" si="17"/>
        <v>12496.26</v>
      </c>
      <c r="G31" s="107">
        <f t="shared" si="17"/>
        <v>7005.02</v>
      </c>
      <c r="H31" s="107">
        <f t="shared" si="17"/>
        <v>11881.220000000001</v>
      </c>
      <c r="I31" s="107">
        <f t="shared" si="17"/>
        <v>18447.21</v>
      </c>
      <c r="J31" s="107">
        <f t="shared" si="17"/>
        <v>19600.899999999994</v>
      </c>
      <c r="K31" s="107">
        <f t="shared" si="17"/>
        <v>17028.59</v>
      </c>
      <c r="L31" s="107">
        <f t="shared" si="17"/>
        <v>6188.03</v>
      </c>
      <c r="M31" s="107">
        <f t="shared" si="17"/>
        <v>8918.99</v>
      </c>
      <c r="N31" s="107">
        <v>184813.08</v>
      </c>
    </row>
    <row r="32" spans="1:14">
      <c r="A32" s="64" t="s">
        <v>37</v>
      </c>
      <c r="B32" s="107">
        <f t="shared" ref="B32:M32" si="18">B164</f>
        <v>-3004.9199999999983</v>
      </c>
      <c r="C32" s="107">
        <f t="shared" si="18"/>
        <v>6010.1300000000047</v>
      </c>
      <c r="D32" s="107">
        <f t="shared" si="18"/>
        <v>14392.919999999998</v>
      </c>
      <c r="E32" s="107">
        <f t="shared" si="18"/>
        <v>535.85000000000582</v>
      </c>
      <c r="F32" s="107">
        <f t="shared" si="18"/>
        <v>2544.5200000000186</v>
      </c>
      <c r="G32" s="107">
        <f t="shared" si="18"/>
        <v>-821.11000000001513</v>
      </c>
      <c r="H32" s="107">
        <f t="shared" si="18"/>
        <v>-3202.0499999999884</v>
      </c>
      <c r="I32" s="107">
        <f t="shared" si="18"/>
        <v>-8975.3300000000017</v>
      </c>
      <c r="J32" s="107">
        <f t="shared" si="18"/>
        <v>28982.890000000014</v>
      </c>
      <c r="K32" s="107">
        <f t="shared" si="18"/>
        <v>2040.2999999999956</v>
      </c>
      <c r="L32" s="107">
        <f t="shared" si="18"/>
        <v>3294.4100000000035</v>
      </c>
      <c r="M32" s="107">
        <f t="shared" si="18"/>
        <v>2450.7000000000116</v>
      </c>
      <c r="N32" s="107">
        <v>44248.31</v>
      </c>
    </row>
    <row r="33" spans="1:14">
      <c r="A33" s="64" t="s">
        <v>38</v>
      </c>
      <c r="B33" s="111">
        <f>B174</f>
        <v>2425.6999999999998</v>
      </c>
      <c r="C33" s="111">
        <f>C174</f>
        <v>1689.83</v>
      </c>
      <c r="D33" s="111">
        <f>D174</f>
        <v>555.33000000000004</v>
      </c>
      <c r="E33" s="111">
        <f>E174</f>
        <v>210</v>
      </c>
      <c r="F33" s="111"/>
      <c r="G33" s="111"/>
      <c r="H33" s="111">
        <f t="shared" ref="H33:M33" si="19">H174</f>
        <v>3285</v>
      </c>
      <c r="I33" s="111">
        <f t="shared" si="19"/>
        <v>17946.170000000002</v>
      </c>
      <c r="J33" s="111">
        <f t="shared" si="19"/>
        <v>-4130</v>
      </c>
      <c r="K33" s="111">
        <f t="shared" si="19"/>
        <v>990</v>
      </c>
      <c r="L33" s="111">
        <f t="shared" si="19"/>
        <v>435</v>
      </c>
      <c r="M33" s="111">
        <f t="shared" si="19"/>
        <v>-210</v>
      </c>
      <c r="N33" s="111">
        <v>23197.03</v>
      </c>
    </row>
    <row r="34" spans="1:14">
      <c r="A34" s="64" t="s">
        <v>47</v>
      </c>
      <c r="B34" s="107">
        <f t="shared" ref="B34:M34" si="20">B176</f>
        <v>21791.329999999962</v>
      </c>
      <c r="C34" s="107">
        <f t="shared" si="20"/>
        <v>37376.109999999993</v>
      </c>
      <c r="D34" s="107">
        <f t="shared" si="20"/>
        <v>30348.1</v>
      </c>
      <c r="E34" s="107">
        <f t="shared" si="20"/>
        <v>16546.160000000029</v>
      </c>
      <c r="F34" s="107">
        <f t="shared" si="20"/>
        <v>15040.780000000006</v>
      </c>
      <c r="G34" s="107">
        <f t="shared" si="20"/>
        <v>6183.9099999999926</v>
      </c>
      <c r="H34" s="107">
        <f t="shared" si="20"/>
        <v>11484.170000000013</v>
      </c>
      <c r="I34" s="107">
        <f t="shared" si="20"/>
        <v>27418.049999999977</v>
      </c>
      <c r="J34" s="107">
        <f t="shared" si="20"/>
        <v>44453.790000000008</v>
      </c>
      <c r="K34" s="107">
        <f t="shared" si="20"/>
        <v>20058.89000000001</v>
      </c>
      <c r="L34" s="107">
        <f t="shared" si="20"/>
        <v>9917.4400000000314</v>
      </c>
      <c r="M34" s="107">
        <f t="shared" si="20"/>
        <v>11159.689999999993</v>
      </c>
      <c r="N34" s="107">
        <v>251778.42</v>
      </c>
    </row>
    <row r="35" spans="1:14">
      <c r="A35" s="64"/>
      <c r="B35" s="22"/>
      <c r="C35" s="22"/>
      <c r="D35" s="22"/>
      <c r="E35" s="22"/>
      <c r="F35" s="22"/>
      <c r="G35" s="22"/>
      <c r="H35" s="22"/>
      <c r="I35" s="22"/>
      <c r="J35" s="22"/>
      <c r="K35" s="22"/>
      <c r="L35" s="22"/>
      <c r="M35" s="22"/>
      <c r="N35" s="22"/>
    </row>
    <row r="36" spans="1:14">
      <c r="A36" s="64" t="s">
        <v>48</v>
      </c>
      <c r="B36" s="107">
        <f t="shared" ref="B36:M36" si="21">B186</f>
        <v>58415.03</v>
      </c>
      <c r="C36" s="107">
        <f t="shared" si="21"/>
        <v>102470.33</v>
      </c>
      <c r="D36" s="107">
        <f t="shared" si="21"/>
        <v>93834.86</v>
      </c>
      <c r="E36" s="107">
        <f t="shared" si="21"/>
        <v>89361.11</v>
      </c>
      <c r="F36" s="107">
        <f t="shared" si="21"/>
        <v>-728215.62</v>
      </c>
      <c r="G36" s="107">
        <f t="shared" si="21"/>
        <v>57758.080000000002</v>
      </c>
      <c r="H36" s="107">
        <f t="shared" si="21"/>
        <v>71406.19</v>
      </c>
      <c r="I36" s="107">
        <f t="shared" si="21"/>
        <v>42682.97</v>
      </c>
      <c r="J36" s="107">
        <f t="shared" si="21"/>
        <v>49331.159999999996</v>
      </c>
      <c r="K36" s="107">
        <f t="shared" si="21"/>
        <v>37791</v>
      </c>
      <c r="L36" s="107">
        <f t="shared" si="21"/>
        <v>38651.32</v>
      </c>
      <c r="M36" s="107">
        <f t="shared" si="21"/>
        <v>36912</v>
      </c>
      <c r="N36" s="107">
        <v>-49601.57</v>
      </c>
    </row>
    <row r="37" spans="1:14">
      <c r="A37" s="64"/>
      <c r="B37" s="22"/>
      <c r="C37" s="22"/>
      <c r="D37" s="22"/>
      <c r="E37" s="22"/>
      <c r="F37" s="22"/>
      <c r="G37" s="22"/>
      <c r="H37" s="22"/>
      <c r="I37" s="22"/>
      <c r="J37" s="22"/>
      <c r="K37" s="22"/>
      <c r="L37" s="22"/>
      <c r="M37" s="22"/>
      <c r="N37" s="22"/>
    </row>
    <row r="38" spans="1:14" ht="15.75" thickBot="1">
      <c r="A38" s="64" t="s">
        <v>13</v>
      </c>
      <c r="B38" s="112">
        <f t="shared" ref="B38:M38" si="22">B188</f>
        <v>764761.48999999929</v>
      </c>
      <c r="C38" s="112">
        <f t="shared" si="22"/>
        <v>718497.68000000028</v>
      </c>
      <c r="D38" s="112">
        <f t="shared" si="22"/>
        <v>737681.35000000056</v>
      </c>
      <c r="E38" s="112">
        <f t="shared" si="22"/>
        <v>772930.96000000008</v>
      </c>
      <c r="F38" s="112">
        <f t="shared" si="22"/>
        <v>-163180.40000000014</v>
      </c>
      <c r="G38" s="112">
        <f t="shared" si="22"/>
        <v>822364.63</v>
      </c>
      <c r="H38" s="112">
        <f t="shared" si="22"/>
        <v>796914.62000000011</v>
      </c>
      <c r="I38" s="112">
        <f t="shared" si="22"/>
        <v>737624.41000000073</v>
      </c>
      <c r="J38" s="112">
        <f t="shared" si="22"/>
        <v>696733.19999999949</v>
      </c>
      <c r="K38" s="112">
        <f t="shared" si="22"/>
        <v>697696.6399999999</v>
      </c>
      <c r="L38" s="112">
        <f t="shared" si="22"/>
        <v>877060.66999999841</v>
      </c>
      <c r="M38" s="112">
        <f t="shared" si="22"/>
        <v>922315.63999999966</v>
      </c>
      <c r="N38" s="112">
        <v>8381400.8899999997</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M41" si="23">B210</f>
        <v>246804.72999999995</v>
      </c>
      <c r="C41" s="107">
        <f t="shared" si="23"/>
        <v>235291.9</v>
      </c>
      <c r="D41" s="107">
        <f t="shared" si="23"/>
        <v>261157.14999999994</v>
      </c>
      <c r="E41" s="107">
        <f t="shared" si="23"/>
        <v>244830.94000000003</v>
      </c>
      <c r="F41" s="107">
        <f t="shared" si="23"/>
        <v>227575.55</v>
      </c>
      <c r="G41" s="107">
        <f t="shared" si="23"/>
        <v>241668.09000000003</v>
      </c>
      <c r="H41" s="107">
        <f t="shared" si="23"/>
        <v>253116.02</v>
      </c>
      <c r="I41" s="107">
        <f t="shared" si="23"/>
        <v>251589.34</v>
      </c>
      <c r="J41" s="107">
        <f t="shared" si="23"/>
        <v>246132.40000000002</v>
      </c>
      <c r="K41" s="107">
        <f t="shared" si="23"/>
        <v>243841.22999999998</v>
      </c>
      <c r="L41" s="107">
        <f t="shared" si="23"/>
        <v>267758.47000000003</v>
      </c>
      <c r="M41" s="107">
        <f t="shared" si="23"/>
        <v>289777.46999999997</v>
      </c>
      <c r="N41" s="107">
        <v>3009543.29</v>
      </c>
    </row>
    <row r="42" spans="1:14">
      <c r="A42" s="64" t="s">
        <v>50</v>
      </c>
      <c r="B42" s="107">
        <f>B217</f>
        <v>36663.89</v>
      </c>
      <c r="C42" s="107">
        <f>C217</f>
        <v>36994.339999999997</v>
      </c>
      <c r="D42" s="107">
        <f>D217</f>
        <v>63193.440000000002</v>
      </c>
      <c r="E42" s="107">
        <f>E217</f>
        <v>40687.15</v>
      </c>
      <c r="F42" s="107">
        <f>F217</f>
        <v>-240637.13</v>
      </c>
      <c r="G42" s="107"/>
      <c r="H42" s="107"/>
      <c r="I42" s="107"/>
      <c r="J42" s="107"/>
      <c r="K42" s="107"/>
      <c r="L42" s="107"/>
      <c r="M42" s="107"/>
      <c r="N42" s="107">
        <v>-63098.31</v>
      </c>
    </row>
    <row r="43" spans="1:14">
      <c r="A43" s="64" t="s">
        <v>51</v>
      </c>
      <c r="B43" s="107">
        <f t="shared" ref="B43:M43" si="24">B227</f>
        <v>31538.58</v>
      </c>
      <c r="C43" s="107">
        <f t="shared" si="24"/>
        <v>46028.85</v>
      </c>
      <c r="D43" s="107">
        <f t="shared" si="24"/>
        <v>26771.46</v>
      </c>
      <c r="E43" s="107">
        <f t="shared" si="24"/>
        <v>36074.92</v>
      </c>
      <c r="F43" s="107">
        <f t="shared" si="24"/>
        <v>54014.58</v>
      </c>
      <c r="G43" s="107">
        <f t="shared" si="24"/>
        <v>44630.98</v>
      </c>
      <c r="H43" s="107">
        <f t="shared" si="24"/>
        <v>39082.199999999997</v>
      </c>
      <c r="I43" s="107">
        <f t="shared" si="24"/>
        <v>44455.960000000006</v>
      </c>
      <c r="J43" s="107">
        <f t="shared" si="24"/>
        <v>35850.829999999994</v>
      </c>
      <c r="K43" s="107">
        <f t="shared" si="24"/>
        <v>47530.61</v>
      </c>
      <c r="L43" s="107">
        <f t="shared" si="24"/>
        <v>29324.720000000001</v>
      </c>
      <c r="M43" s="107">
        <f t="shared" si="24"/>
        <v>52110.75</v>
      </c>
      <c r="N43" s="107">
        <v>487414.44</v>
      </c>
    </row>
    <row r="44" spans="1:14">
      <c r="A44" s="64" t="s">
        <v>52</v>
      </c>
      <c r="B44" s="107">
        <f t="shared" ref="B44:M44" si="25">B243</f>
        <v>111667.02</v>
      </c>
      <c r="C44" s="107">
        <f t="shared" si="25"/>
        <v>102347.24000000002</v>
      </c>
      <c r="D44" s="107">
        <f t="shared" si="25"/>
        <v>101124.22000000002</v>
      </c>
      <c r="E44" s="107">
        <f t="shared" si="25"/>
        <v>101680.23</v>
      </c>
      <c r="F44" s="107">
        <f t="shared" si="25"/>
        <v>85706.23000000001</v>
      </c>
      <c r="G44" s="107">
        <f t="shared" si="25"/>
        <v>111656.53</v>
      </c>
      <c r="H44" s="107">
        <f t="shared" si="25"/>
        <v>124316.54000000002</v>
      </c>
      <c r="I44" s="107">
        <f t="shared" si="25"/>
        <v>122591.39000000001</v>
      </c>
      <c r="J44" s="107">
        <f t="shared" si="25"/>
        <v>107537.09</v>
      </c>
      <c r="K44" s="107">
        <f t="shared" si="25"/>
        <v>95905.430000000022</v>
      </c>
      <c r="L44" s="107">
        <f t="shared" si="25"/>
        <v>99978.62</v>
      </c>
      <c r="M44" s="107">
        <f t="shared" si="25"/>
        <v>136922.1</v>
      </c>
      <c r="N44" s="107">
        <v>1301432.6399999999</v>
      </c>
    </row>
    <row r="45" spans="1:14">
      <c r="A45" s="64" t="s">
        <v>53</v>
      </c>
      <c r="B45" s="107">
        <f t="shared" ref="B45:M45" si="26">B269</f>
        <v>139732.02000000002</v>
      </c>
      <c r="C45" s="107">
        <f t="shared" si="26"/>
        <v>137462.70000000001</v>
      </c>
      <c r="D45" s="107">
        <f t="shared" si="26"/>
        <v>126445.36</v>
      </c>
      <c r="E45" s="107">
        <f t="shared" si="26"/>
        <v>126906.29000000001</v>
      </c>
      <c r="F45" s="107">
        <f t="shared" si="26"/>
        <v>-709920.9</v>
      </c>
      <c r="G45" s="107">
        <f t="shared" si="26"/>
        <v>147623.75</v>
      </c>
      <c r="H45" s="107">
        <f t="shared" si="26"/>
        <v>143665.12</v>
      </c>
      <c r="I45" s="107">
        <f t="shared" si="26"/>
        <v>141551.25999999998</v>
      </c>
      <c r="J45" s="107">
        <f t="shared" si="26"/>
        <v>142805.51999999999</v>
      </c>
      <c r="K45" s="107">
        <f t="shared" si="26"/>
        <v>147298.72</v>
      </c>
      <c r="L45" s="107">
        <f t="shared" si="26"/>
        <v>146052.27000000002</v>
      </c>
      <c r="M45" s="107">
        <f t="shared" si="26"/>
        <v>171752.43000000002</v>
      </c>
      <c r="N45" s="107">
        <v>861374.54</v>
      </c>
    </row>
    <row r="46" spans="1:14">
      <c r="A46" s="64" t="s">
        <v>54</v>
      </c>
      <c r="B46" s="107">
        <f t="shared" ref="B46:M46" si="27">B284</f>
        <v>12056.929999999998</v>
      </c>
      <c r="C46" s="107">
        <f t="shared" si="27"/>
        <v>7346.0599999999995</v>
      </c>
      <c r="D46" s="107">
        <f t="shared" si="27"/>
        <v>11104.6</v>
      </c>
      <c r="E46" s="107">
        <f t="shared" si="27"/>
        <v>10169.399999999998</v>
      </c>
      <c r="F46" s="107">
        <f t="shared" si="27"/>
        <v>11478.949999999999</v>
      </c>
      <c r="G46" s="107">
        <f t="shared" si="27"/>
        <v>9191.5</v>
      </c>
      <c r="H46" s="107">
        <f t="shared" si="27"/>
        <v>9287.2900000000009</v>
      </c>
      <c r="I46" s="107">
        <f t="shared" si="27"/>
        <v>9401.15</v>
      </c>
      <c r="J46" s="107">
        <f t="shared" si="27"/>
        <v>7541.8199999999988</v>
      </c>
      <c r="K46" s="107">
        <f t="shared" si="27"/>
        <v>12063.98</v>
      </c>
      <c r="L46" s="107">
        <f t="shared" si="27"/>
        <v>8632.19</v>
      </c>
      <c r="M46" s="107">
        <f t="shared" si="27"/>
        <v>10540.230000000001</v>
      </c>
      <c r="N46" s="107">
        <v>118814.1</v>
      </c>
    </row>
    <row r="47" spans="1:14">
      <c r="A47" s="64" t="s">
        <v>55</v>
      </c>
      <c r="B47" s="107">
        <f t="shared" ref="B47:M47" si="28">B292</f>
        <v>582.69000000000005</v>
      </c>
      <c r="C47" s="107">
        <f t="shared" si="28"/>
        <v>7815.98</v>
      </c>
      <c r="D47" s="107">
        <f t="shared" si="28"/>
        <v>3649.22</v>
      </c>
      <c r="E47" s="107">
        <f t="shared" si="28"/>
        <v>4800.17</v>
      </c>
      <c r="F47" s="107">
        <f t="shared" si="28"/>
        <v>5654.47</v>
      </c>
      <c r="G47" s="107">
        <f t="shared" si="28"/>
        <v>3674.7999999999997</v>
      </c>
      <c r="H47" s="107">
        <f t="shared" si="28"/>
        <v>6960.75</v>
      </c>
      <c r="I47" s="107">
        <f t="shared" si="28"/>
        <v>3958.5</v>
      </c>
      <c r="J47" s="107">
        <f t="shared" si="28"/>
        <v>12999.619999999999</v>
      </c>
      <c r="K47" s="107">
        <f t="shared" si="28"/>
        <v>7421.99</v>
      </c>
      <c r="L47" s="107">
        <f t="shared" si="28"/>
        <v>6981.95</v>
      </c>
      <c r="M47" s="107">
        <f t="shared" si="28"/>
        <v>4264.25</v>
      </c>
      <c r="N47" s="107">
        <v>68764.39</v>
      </c>
    </row>
    <row r="48" spans="1:14">
      <c r="A48" s="64" t="s">
        <v>56</v>
      </c>
      <c r="B48" s="107">
        <f t="shared" ref="B48:M48" si="29">B300</f>
        <v>14405.77</v>
      </c>
      <c r="C48" s="107">
        <f t="shared" si="29"/>
        <v>13557.71</v>
      </c>
      <c r="D48" s="107">
        <f t="shared" si="29"/>
        <v>13371.13</v>
      </c>
      <c r="E48" s="107">
        <f t="shared" si="29"/>
        <v>13419.08</v>
      </c>
      <c r="F48" s="107">
        <f t="shared" si="29"/>
        <v>-9797.15</v>
      </c>
      <c r="G48" s="107">
        <f t="shared" si="29"/>
        <v>15187.49</v>
      </c>
      <c r="H48" s="107">
        <f t="shared" si="29"/>
        <v>12510.27</v>
      </c>
      <c r="I48" s="107">
        <f t="shared" si="29"/>
        <v>12345.82</v>
      </c>
      <c r="J48" s="107">
        <f t="shared" si="29"/>
        <v>13310.27</v>
      </c>
      <c r="K48" s="107">
        <f t="shared" si="29"/>
        <v>12345.82</v>
      </c>
      <c r="L48" s="107">
        <f t="shared" si="29"/>
        <v>12627.52</v>
      </c>
      <c r="M48" s="107">
        <f t="shared" si="29"/>
        <v>12510.27</v>
      </c>
      <c r="N48" s="107">
        <v>135794</v>
      </c>
    </row>
    <row r="49" spans="1:14">
      <c r="A49" s="64" t="s">
        <v>57</v>
      </c>
      <c r="B49" s="107">
        <f t="shared" ref="B49:M49" si="30">B305</f>
        <v>21244</v>
      </c>
      <c r="C49" s="107">
        <f t="shared" si="30"/>
        <v>19493</v>
      </c>
      <c r="D49" s="107">
        <f t="shared" si="30"/>
        <v>20218</v>
      </c>
      <c r="E49" s="107">
        <f t="shared" si="30"/>
        <v>26658</v>
      </c>
      <c r="F49" s="107">
        <f t="shared" si="30"/>
        <v>69363</v>
      </c>
      <c r="G49" s="107">
        <f t="shared" si="30"/>
        <v>58363</v>
      </c>
      <c r="H49" s="107">
        <f t="shared" si="30"/>
        <v>29356.55</v>
      </c>
      <c r="I49" s="107">
        <f t="shared" si="30"/>
        <v>22315</v>
      </c>
      <c r="J49" s="107">
        <f t="shared" si="30"/>
        <v>25015</v>
      </c>
      <c r="K49" s="107">
        <f t="shared" si="30"/>
        <v>21621</v>
      </c>
      <c r="L49" s="107">
        <f t="shared" si="30"/>
        <v>26232</v>
      </c>
      <c r="M49" s="107">
        <f t="shared" si="30"/>
        <v>28308</v>
      </c>
      <c r="N49" s="107">
        <v>368186.55</v>
      </c>
    </row>
    <row r="50" spans="1:14">
      <c r="A50" s="64" t="s">
        <v>58</v>
      </c>
      <c r="B50" s="107">
        <f t="shared" ref="B50:M50" si="31">B314</f>
        <v>8262.4700000000012</v>
      </c>
      <c r="C50" s="107">
        <f t="shared" si="31"/>
        <v>8764.880000000001</v>
      </c>
      <c r="D50" s="107">
        <f t="shared" si="31"/>
        <v>8764.880000000001</v>
      </c>
      <c r="E50" s="107">
        <f t="shared" si="31"/>
        <v>8764.880000000001</v>
      </c>
      <c r="F50" s="107">
        <f t="shared" si="31"/>
        <v>8764.880000000001</v>
      </c>
      <c r="G50" s="107">
        <f t="shared" si="31"/>
        <v>9344.5400000000009</v>
      </c>
      <c r="H50" s="107">
        <f t="shared" si="31"/>
        <v>11116.2</v>
      </c>
      <c r="I50" s="107">
        <f t="shared" si="31"/>
        <v>9243.42</v>
      </c>
      <c r="J50" s="107">
        <f t="shared" si="31"/>
        <v>27848.690000000002</v>
      </c>
      <c r="K50" s="107">
        <f t="shared" si="31"/>
        <v>9004.15</v>
      </c>
      <c r="L50" s="107">
        <f t="shared" si="31"/>
        <v>9004.15</v>
      </c>
      <c r="M50" s="107">
        <f t="shared" si="31"/>
        <v>9778.15</v>
      </c>
      <c r="N50" s="107">
        <v>128661.29</v>
      </c>
    </row>
    <row r="51" spans="1:14">
      <c r="A51" s="64" t="s">
        <v>59</v>
      </c>
      <c r="B51" s="107">
        <f t="shared" ref="B51:M51" si="32">B321</f>
        <v>4428.79</v>
      </c>
      <c r="C51" s="107">
        <f t="shared" si="32"/>
        <v>4404.3999999999996</v>
      </c>
      <c r="D51" s="107">
        <f t="shared" si="32"/>
        <v>4478.96</v>
      </c>
      <c r="E51" s="107">
        <f t="shared" si="32"/>
        <v>4739.58</v>
      </c>
      <c r="F51" s="107">
        <f t="shared" si="32"/>
        <v>4715.83</v>
      </c>
      <c r="G51" s="107">
        <f t="shared" si="32"/>
        <v>4715.83</v>
      </c>
      <c r="H51" s="107">
        <f t="shared" si="32"/>
        <v>4508.9000000000015</v>
      </c>
      <c r="I51" s="107">
        <f t="shared" si="32"/>
        <v>4600.05</v>
      </c>
      <c r="J51" s="107">
        <f t="shared" si="32"/>
        <v>5198</v>
      </c>
      <c r="K51" s="107">
        <f t="shared" si="32"/>
        <v>5156.82</v>
      </c>
      <c r="L51" s="107">
        <f t="shared" si="32"/>
        <v>5209.76</v>
      </c>
      <c r="M51" s="107">
        <f t="shared" si="32"/>
        <v>5190.6000000000004</v>
      </c>
      <c r="N51" s="107">
        <v>57347.519999999997</v>
      </c>
    </row>
    <row r="52" spans="1:14">
      <c r="A52" s="64" t="s">
        <v>60</v>
      </c>
      <c r="B52" s="107">
        <f t="shared" ref="B52:M52" si="33">B328</f>
        <v>118251.25</v>
      </c>
      <c r="C52" s="107">
        <f t="shared" si="33"/>
        <v>139750.60999999999</v>
      </c>
      <c r="D52" s="107">
        <f t="shared" si="33"/>
        <v>121189.43999999999</v>
      </c>
      <c r="E52" s="107">
        <f t="shared" si="33"/>
        <v>121194.56999999999</v>
      </c>
      <c r="F52" s="107">
        <f t="shared" si="33"/>
        <v>121123.93999999999</v>
      </c>
      <c r="G52" s="107">
        <f t="shared" si="33"/>
        <v>121022.57999999999</v>
      </c>
      <c r="H52" s="107">
        <f t="shared" si="33"/>
        <v>121054.57999999999</v>
      </c>
      <c r="I52" s="107">
        <f t="shared" si="33"/>
        <v>121095.84999999999</v>
      </c>
      <c r="J52" s="107">
        <f t="shared" si="33"/>
        <v>138333.59</v>
      </c>
      <c r="K52" s="107">
        <f t="shared" si="33"/>
        <v>122092.56999999999</v>
      </c>
      <c r="L52" s="107">
        <f t="shared" si="33"/>
        <v>121073.96999999999</v>
      </c>
      <c r="M52" s="107">
        <f t="shared" si="33"/>
        <v>133349.83000000002</v>
      </c>
      <c r="N52" s="107">
        <v>1499532.78</v>
      </c>
    </row>
    <row r="53" spans="1:14">
      <c r="A53" s="64" t="s">
        <v>61</v>
      </c>
      <c r="B53" s="107"/>
      <c r="C53" s="107"/>
      <c r="D53" s="107"/>
      <c r="E53" s="107"/>
      <c r="F53" s="107">
        <f>F332</f>
        <v>-16466.72</v>
      </c>
      <c r="G53" s="107"/>
      <c r="H53" s="107"/>
      <c r="I53" s="107"/>
      <c r="J53" s="107"/>
      <c r="K53" s="107"/>
      <c r="L53" s="107"/>
      <c r="M53" s="107"/>
      <c r="N53" s="107">
        <v>-16466.72</v>
      </c>
    </row>
    <row r="54" spans="1:14">
      <c r="A54" s="64"/>
      <c r="B54" s="22"/>
      <c r="C54" s="22"/>
      <c r="D54" s="22"/>
      <c r="E54" s="22"/>
      <c r="F54" s="22"/>
      <c r="G54" s="22"/>
      <c r="H54" s="22"/>
      <c r="I54" s="22"/>
      <c r="J54" s="22"/>
      <c r="K54" s="22"/>
      <c r="L54" s="22"/>
      <c r="M54" s="22"/>
      <c r="N54" s="22"/>
    </row>
    <row r="55" spans="1:14" ht="15.75" thickBot="1">
      <c r="A55" s="64" t="s">
        <v>62</v>
      </c>
      <c r="B55" s="112">
        <f t="shared" ref="B55:M55" si="34">B334</f>
        <v>745638.13999999932</v>
      </c>
      <c r="C55" s="112">
        <f t="shared" si="34"/>
        <v>759257.66999999981</v>
      </c>
      <c r="D55" s="112">
        <f t="shared" si="34"/>
        <v>761467.8600000001</v>
      </c>
      <c r="E55" s="112">
        <f t="shared" si="34"/>
        <v>739925.2100000002</v>
      </c>
      <c r="F55" s="112">
        <f t="shared" si="34"/>
        <v>-388424.47</v>
      </c>
      <c r="G55" s="112">
        <f t="shared" si="34"/>
        <v>767079.08999999962</v>
      </c>
      <c r="H55" s="112">
        <f t="shared" si="34"/>
        <v>754974.41999999958</v>
      </c>
      <c r="I55" s="112">
        <f t="shared" si="34"/>
        <v>743147.74</v>
      </c>
      <c r="J55" s="112">
        <f t="shared" si="34"/>
        <v>762572.83000000019</v>
      </c>
      <c r="K55" s="112">
        <f t="shared" si="34"/>
        <v>724282.32000000053</v>
      </c>
      <c r="L55" s="112">
        <f t="shared" si="34"/>
        <v>732875.61999999976</v>
      </c>
      <c r="M55" s="112">
        <f t="shared" si="34"/>
        <v>854504.07999999914</v>
      </c>
      <c r="N55" s="112">
        <v>7957300.5099999998</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M57" si="35">B336</f>
        <v>19123.349999999977</v>
      </c>
      <c r="C57" s="112">
        <f t="shared" si="35"/>
        <v>-40759.989999999525</v>
      </c>
      <c r="D57" s="112">
        <f t="shared" si="35"/>
        <v>-23786.509999999544</v>
      </c>
      <c r="E57" s="112">
        <f t="shared" si="35"/>
        <v>33005.749999999884</v>
      </c>
      <c r="F57" s="112">
        <f t="shared" si="35"/>
        <v>225244.06999999983</v>
      </c>
      <c r="G57" s="112">
        <f t="shared" si="35"/>
        <v>55285.540000000386</v>
      </c>
      <c r="H57" s="112">
        <f t="shared" si="35"/>
        <v>41940.200000000536</v>
      </c>
      <c r="I57" s="112">
        <f t="shared" si="35"/>
        <v>-5523.3299999992596</v>
      </c>
      <c r="J57" s="112">
        <f t="shared" si="35"/>
        <v>-65839.630000000703</v>
      </c>
      <c r="K57" s="112">
        <f t="shared" si="35"/>
        <v>-26585.680000000633</v>
      </c>
      <c r="L57" s="112">
        <f t="shared" si="35"/>
        <v>144185.04999999865</v>
      </c>
      <c r="M57" s="112">
        <f t="shared" si="35"/>
        <v>67811.560000000522</v>
      </c>
      <c r="N57" s="112">
        <v>424100.38</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6">B339</f>
        <v>24601.58</v>
      </c>
      <c r="C59" s="112">
        <f t="shared" si="36"/>
        <v>15052.68</v>
      </c>
      <c r="D59" s="112">
        <f t="shared" si="36"/>
        <v>-236.33</v>
      </c>
      <c r="E59" s="112">
        <f t="shared" si="36"/>
        <v>5991.16</v>
      </c>
      <c r="F59" s="112">
        <f t="shared" si="36"/>
        <v>330636.99</v>
      </c>
      <c r="G59" s="112">
        <f t="shared" si="36"/>
        <v>29869.25</v>
      </c>
      <c r="H59" s="112">
        <f t="shared" si="36"/>
        <v>46336.93</v>
      </c>
      <c r="I59" s="112">
        <f t="shared" si="36"/>
        <v>14654.75</v>
      </c>
      <c r="J59" s="112">
        <f t="shared" si="36"/>
        <v>18846.34</v>
      </c>
      <c r="K59" s="112">
        <f t="shared" si="36"/>
        <v>2908.28</v>
      </c>
      <c r="L59" s="112">
        <f t="shared" si="36"/>
        <v>3376.23</v>
      </c>
      <c r="M59" s="112">
        <f t="shared" si="36"/>
        <v>4279.8900000000003</v>
      </c>
      <c r="N59" s="112">
        <v>496317.75</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7">B341</f>
        <v>-5478.230000000025</v>
      </c>
      <c r="C61" s="112">
        <f t="shared" si="37"/>
        <v>-55812.669999999525</v>
      </c>
      <c r="D61" s="112">
        <f t="shared" si="37"/>
        <v>-23550.179999999542</v>
      </c>
      <c r="E61" s="112">
        <f t="shared" si="37"/>
        <v>27014.589999999884</v>
      </c>
      <c r="F61" s="112">
        <f t="shared" si="37"/>
        <v>-105392.92000000016</v>
      </c>
      <c r="G61" s="112">
        <f t="shared" si="37"/>
        <v>25416.290000000386</v>
      </c>
      <c r="H61" s="112">
        <f t="shared" si="37"/>
        <v>-4396.7299999994648</v>
      </c>
      <c r="I61" s="112">
        <f t="shared" si="37"/>
        <v>-20178.07999999926</v>
      </c>
      <c r="J61" s="112">
        <f t="shared" si="37"/>
        <v>-84685.9700000007</v>
      </c>
      <c r="K61" s="112">
        <f t="shared" si="37"/>
        <v>-29493.960000000632</v>
      </c>
      <c r="L61" s="112">
        <f t="shared" si="37"/>
        <v>140808.81999999864</v>
      </c>
      <c r="M61" s="112">
        <f t="shared" si="37"/>
        <v>63531.670000000522</v>
      </c>
      <c r="N61" s="112">
        <v>-72217.37</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245773.03</v>
      </c>
      <c r="C68" s="111">
        <v>231442.03</v>
      </c>
      <c r="D68" s="111">
        <v>240405.43</v>
      </c>
      <c r="E68" s="111">
        <v>221368.49</v>
      </c>
      <c r="F68" s="111">
        <v>237935.64</v>
      </c>
      <c r="G68" s="111">
        <v>193410.86</v>
      </c>
      <c r="H68" s="111">
        <v>198224.99</v>
      </c>
      <c r="I68" s="111">
        <v>222171.5</v>
      </c>
      <c r="J68" s="111">
        <v>233644.05</v>
      </c>
      <c r="K68" s="111">
        <v>256278.61</v>
      </c>
      <c r="L68" s="111">
        <v>249191.91</v>
      </c>
      <c r="M68" s="111">
        <v>260949.94</v>
      </c>
      <c r="N68" s="111">
        <v>2790796.48</v>
      </c>
    </row>
    <row r="69" spans="1:14">
      <c r="A69" s="64" t="s">
        <v>67</v>
      </c>
      <c r="B69" s="107">
        <f t="shared" ref="B69:M69" si="38">SUM(B65:B68)</f>
        <v>245773.03</v>
      </c>
      <c r="C69" s="107">
        <f t="shared" si="38"/>
        <v>231442.03</v>
      </c>
      <c r="D69" s="107">
        <f t="shared" si="38"/>
        <v>240405.43</v>
      </c>
      <c r="E69" s="107">
        <f t="shared" si="38"/>
        <v>221368.49</v>
      </c>
      <c r="F69" s="107">
        <f t="shared" si="38"/>
        <v>237935.64</v>
      </c>
      <c r="G69" s="107">
        <f t="shared" si="38"/>
        <v>193410.86</v>
      </c>
      <c r="H69" s="107">
        <f t="shared" si="38"/>
        <v>198224.99</v>
      </c>
      <c r="I69" s="107">
        <f t="shared" si="38"/>
        <v>222171.5</v>
      </c>
      <c r="J69" s="107">
        <f t="shared" si="38"/>
        <v>233644.05</v>
      </c>
      <c r="K69" s="107">
        <f t="shared" si="38"/>
        <v>256278.61</v>
      </c>
      <c r="L69" s="107">
        <f t="shared" si="38"/>
        <v>249191.91</v>
      </c>
      <c r="M69" s="107">
        <f t="shared" si="38"/>
        <v>260949.94</v>
      </c>
      <c r="N69" s="107">
        <v>2790796.48</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18564.04</v>
      </c>
      <c r="C72" s="111">
        <v>17446.900000000001</v>
      </c>
      <c r="D72" s="111">
        <v>20671.23</v>
      </c>
      <c r="E72" s="111">
        <v>29753.77</v>
      </c>
      <c r="F72" s="111">
        <v>32714.53</v>
      </c>
      <c r="G72" s="111">
        <v>21607.84</v>
      </c>
      <c r="H72" s="111">
        <v>9460</v>
      </c>
      <c r="I72" s="111">
        <v>14297.33</v>
      </c>
      <c r="J72" s="111">
        <v>20340.64</v>
      </c>
      <c r="K72" s="111">
        <v>28277.72</v>
      </c>
      <c r="L72" s="111">
        <v>20610.150000000001</v>
      </c>
      <c r="M72" s="111">
        <v>19525.25</v>
      </c>
      <c r="N72" s="111">
        <v>253269.4</v>
      </c>
    </row>
    <row r="73" spans="1:14">
      <c r="A73" s="64" t="s">
        <v>69</v>
      </c>
      <c r="B73" s="107">
        <f t="shared" ref="B73:M73" si="39">SUM(B70:B72)</f>
        <v>18564.04</v>
      </c>
      <c r="C73" s="107">
        <f t="shared" si="39"/>
        <v>17446.900000000001</v>
      </c>
      <c r="D73" s="107">
        <f t="shared" si="39"/>
        <v>20671.23</v>
      </c>
      <c r="E73" s="107">
        <f t="shared" si="39"/>
        <v>29753.77</v>
      </c>
      <c r="F73" s="107">
        <f t="shared" si="39"/>
        <v>32714.53</v>
      </c>
      <c r="G73" s="107">
        <f t="shared" si="39"/>
        <v>21607.84</v>
      </c>
      <c r="H73" s="107">
        <f t="shared" si="39"/>
        <v>9460</v>
      </c>
      <c r="I73" s="107">
        <f t="shared" si="39"/>
        <v>14297.33</v>
      </c>
      <c r="J73" s="107">
        <f t="shared" si="39"/>
        <v>20340.64</v>
      </c>
      <c r="K73" s="107">
        <f t="shared" si="39"/>
        <v>28277.72</v>
      </c>
      <c r="L73" s="107">
        <f t="shared" si="39"/>
        <v>20610.150000000001</v>
      </c>
      <c r="M73" s="107">
        <f t="shared" si="39"/>
        <v>19525.25</v>
      </c>
      <c r="N73" s="107">
        <v>253269.4</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219262.59</v>
      </c>
      <c r="C76" s="111">
        <v>179722.56</v>
      </c>
      <c r="D76" s="111">
        <v>187144.24</v>
      </c>
      <c r="E76" s="111">
        <v>200025.83</v>
      </c>
      <c r="F76" s="111">
        <v>129753.39</v>
      </c>
      <c r="G76" s="111">
        <v>329075.99</v>
      </c>
      <c r="H76" s="111">
        <v>222562.14</v>
      </c>
      <c r="I76" s="111">
        <v>206501.72</v>
      </c>
      <c r="J76" s="111">
        <v>165959.62</v>
      </c>
      <c r="K76" s="111">
        <v>190010.77</v>
      </c>
      <c r="L76" s="111">
        <v>310215.37</v>
      </c>
      <c r="M76" s="111">
        <v>288015.19</v>
      </c>
      <c r="N76" s="111">
        <v>2628249.41</v>
      </c>
    </row>
    <row r="77" spans="1:14">
      <c r="A77" s="64" t="s">
        <v>71</v>
      </c>
      <c r="B77" s="107">
        <f t="shared" ref="B77:M77" si="40">SUM(B74:B76)</f>
        <v>219262.59</v>
      </c>
      <c r="C77" s="107">
        <f t="shared" si="40"/>
        <v>179722.56</v>
      </c>
      <c r="D77" s="107">
        <f t="shared" si="40"/>
        <v>187144.24</v>
      </c>
      <c r="E77" s="107">
        <f t="shared" si="40"/>
        <v>200025.83</v>
      </c>
      <c r="F77" s="107">
        <f t="shared" si="40"/>
        <v>129753.39</v>
      </c>
      <c r="G77" s="107">
        <f t="shared" si="40"/>
        <v>329075.99</v>
      </c>
      <c r="H77" s="107">
        <f t="shared" si="40"/>
        <v>222562.14</v>
      </c>
      <c r="I77" s="107">
        <f t="shared" si="40"/>
        <v>206501.72</v>
      </c>
      <c r="J77" s="107">
        <f t="shared" si="40"/>
        <v>165959.62</v>
      </c>
      <c r="K77" s="107">
        <f t="shared" si="40"/>
        <v>190010.77</v>
      </c>
      <c r="L77" s="107">
        <f t="shared" si="40"/>
        <v>310215.37</v>
      </c>
      <c r="M77" s="107">
        <f t="shared" si="40"/>
        <v>288015.19</v>
      </c>
      <c r="N77" s="107">
        <v>2628249.41</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162654.54</v>
      </c>
      <c r="C83" s="111">
        <v>143067.79999999999</v>
      </c>
      <c r="D83" s="111">
        <v>153271.31</v>
      </c>
      <c r="E83" s="111">
        <v>169205.6</v>
      </c>
      <c r="F83" s="111">
        <v>128410.85</v>
      </c>
      <c r="G83" s="111">
        <v>185573</v>
      </c>
      <c r="H83" s="111">
        <v>252644.6</v>
      </c>
      <c r="I83" s="111">
        <v>182930.58</v>
      </c>
      <c r="J83" s="111">
        <v>123422.17</v>
      </c>
      <c r="K83" s="111">
        <v>101523.89</v>
      </c>
      <c r="L83" s="111">
        <v>205861.07</v>
      </c>
      <c r="M83" s="111">
        <v>254131.16</v>
      </c>
      <c r="N83" s="111">
        <v>2062696.57</v>
      </c>
    </row>
    <row r="84" spans="1:14">
      <c r="A84" s="64" t="s">
        <v>74</v>
      </c>
      <c r="B84" s="107">
        <f t="shared" ref="B84:M84" si="41">SUM(B81:B83)</f>
        <v>162654.54</v>
      </c>
      <c r="C84" s="107">
        <f t="shared" si="41"/>
        <v>143067.79999999999</v>
      </c>
      <c r="D84" s="107">
        <f t="shared" si="41"/>
        <v>153271.31</v>
      </c>
      <c r="E84" s="107">
        <f t="shared" si="41"/>
        <v>169205.6</v>
      </c>
      <c r="F84" s="107">
        <f t="shared" si="41"/>
        <v>128410.85</v>
      </c>
      <c r="G84" s="107">
        <f t="shared" si="41"/>
        <v>185573</v>
      </c>
      <c r="H84" s="107">
        <f t="shared" si="41"/>
        <v>252644.6</v>
      </c>
      <c r="I84" s="107">
        <f t="shared" si="41"/>
        <v>182930.58</v>
      </c>
      <c r="J84" s="107">
        <f t="shared" si="41"/>
        <v>123422.17</v>
      </c>
      <c r="K84" s="107">
        <f t="shared" si="41"/>
        <v>101523.89</v>
      </c>
      <c r="L84" s="107">
        <f t="shared" si="41"/>
        <v>205861.07</v>
      </c>
      <c r="M84" s="107">
        <f t="shared" si="41"/>
        <v>254131.16</v>
      </c>
      <c r="N84" s="107">
        <v>2062696.57</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41790</v>
      </c>
      <c r="C87" s="111">
        <v>33150</v>
      </c>
      <c r="D87" s="111">
        <v>29240</v>
      </c>
      <c r="E87" s="111">
        <v>29580</v>
      </c>
      <c r="F87" s="111">
        <v>20570</v>
      </c>
      <c r="G87" s="111">
        <v>28990</v>
      </c>
      <c r="H87" s="111">
        <v>38280</v>
      </c>
      <c r="I87" s="111">
        <v>40150</v>
      </c>
      <c r="J87" s="111">
        <v>46719</v>
      </c>
      <c r="K87" s="111">
        <v>43005</v>
      </c>
      <c r="L87" s="111">
        <v>40953</v>
      </c>
      <c r="M87" s="111">
        <v>36842</v>
      </c>
      <c r="N87" s="111">
        <v>429269</v>
      </c>
    </row>
    <row r="88" spans="1:14">
      <c r="A88" s="64" t="s">
        <v>76</v>
      </c>
      <c r="B88" s="107">
        <f t="shared" ref="B88:M88" si="42">SUM(B85:B87)</f>
        <v>41790</v>
      </c>
      <c r="C88" s="107">
        <f t="shared" si="42"/>
        <v>33150</v>
      </c>
      <c r="D88" s="107">
        <f t="shared" si="42"/>
        <v>29240</v>
      </c>
      <c r="E88" s="107">
        <f t="shared" si="42"/>
        <v>29580</v>
      </c>
      <c r="F88" s="107">
        <f t="shared" si="42"/>
        <v>20570</v>
      </c>
      <c r="G88" s="107">
        <f t="shared" si="42"/>
        <v>28990</v>
      </c>
      <c r="H88" s="107">
        <f t="shared" si="42"/>
        <v>38280</v>
      </c>
      <c r="I88" s="107">
        <f t="shared" si="42"/>
        <v>40150</v>
      </c>
      <c r="J88" s="107">
        <f t="shared" si="42"/>
        <v>46719</v>
      </c>
      <c r="K88" s="107">
        <f t="shared" si="42"/>
        <v>43005</v>
      </c>
      <c r="L88" s="107">
        <f t="shared" si="42"/>
        <v>40953</v>
      </c>
      <c r="M88" s="107">
        <f t="shared" si="42"/>
        <v>36842</v>
      </c>
      <c r="N88" s="107">
        <v>429269</v>
      </c>
    </row>
    <row r="89" spans="1:14">
      <c r="A89" s="64"/>
      <c r="B89" s="113"/>
      <c r="C89" s="113"/>
      <c r="D89" s="113"/>
      <c r="E89" s="113"/>
      <c r="F89" s="113"/>
      <c r="G89" s="113"/>
      <c r="H89" s="113"/>
      <c r="I89" s="113"/>
      <c r="J89" s="113"/>
      <c r="K89" s="113"/>
      <c r="L89" s="113"/>
      <c r="M89" s="113"/>
      <c r="N89" s="113"/>
    </row>
    <row r="90" spans="1:14">
      <c r="A90" s="64" t="s">
        <v>42</v>
      </c>
      <c r="B90" s="107">
        <f t="shared" ref="B90:M90" si="43">SUM(B67:B89)-B69-B73-B77-B80-B84-B88</f>
        <v>688044.19999999984</v>
      </c>
      <c r="C90" s="107">
        <f t="shared" si="43"/>
        <v>604829.29</v>
      </c>
      <c r="D90" s="107">
        <f t="shared" si="43"/>
        <v>630732.21</v>
      </c>
      <c r="E90" s="107">
        <f t="shared" si="43"/>
        <v>649933.69000000018</v>
      </c>
      <c r="F90" s="107">
        <f t="shared" si="43"/>
        <v>549384.41</v>
      </c>
      <c r="G90" s="107">
        <f t="shared" si="43"/>
        <v>758657.69</v>
      </c>
      <c r="H90" s="107">
        <f t="shared" si="43"/>
        <v>721171.73000000021</v>
      </c>
      <c r="I90" s="107">
        <f t="shared" si="43"/>
        <v>666051.13</v>
      </c>
      <c r="J90" s="107">
        <f t="shared" si="43"/>
        <v>590085.47999999986</v>
      </c>
      <c r="K90" s="107">
        <f t="shared" si="43"/>
        <v>619095.98999999976</v>
      </c>
      <c r="L90" s="107">
        <f t="shared" si="43"/>
        <v>826831.50000000023</v>
      </c>
      <c r="M90" s="107">
        <f t="shared" si="43"/>
        <v>859463.53999999992</v>
      </c>
      <c r="N90" s="107">
        <v>8164280.8600000003</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-3149.94</v>
      </c>
      <c r="C95" s="111">
        <v>5826.97</v>
      </c>
      <c r="D95" s="111">
        <v>-45673.57</v>
      </c>
      <c r="E95" s="111">
        <v>-1637.28</v>
      </c>
      <c r="F95" s="111">
        <v>-8976.33</v>
      </c>
      <c r="G95" s="111">
        <v>3615.4</v>
      </c>
      <c r="H95" s="111">
        <v>-32495.15</v>
      </c>
      <c r="I95" s="111">
        <v>-20230.43</v>
      </c>
      <c r="J95" s="111">
        <v>34773.43</v>
      </c>
      <c r="K95" s="111">
        <v>9675.02</v>
      </c>
      <c r="L95" s="111">
        <v>1082.26</v>
      </c>
      <c r="M95" s="111">
        <v>6044.73</v>
      </c>
      <c r="N95" s="111">
        <v>-51144.89</v>
      </c>
    </row>
    <row r="96" spans="1:14">
      <c r="A96" s="64" t="s">
        <v>67</v>
      </c>
      <c r="B96" s="107">
        <f t="shared" ref="B96:M96" si="44">SUM(B94:B95)</f>
        <v>-3149.94</v>
      </c>
      <c r="C96" s="107">
        <f t="shared" si="44"/>
        <v>5826.97</v>
      </c>
      <c r="D96" s="107">
        <f t="shared" si="44"/>
        <v>-45673.57</v>
      </c>
      <c r="E96" s="107">
        <f t="shared" si="44"/>
        <v>-1637.28</v>
      </c>
      <c r="F96" s="107">
        <f t="shared" si="44"/>
        <v>-8976.33</v>
      </c>
      <c r="G96" s="107">
        <f t="shared" si="44"/>
        <v>3615.4</v>
      </c>
      <c r="H96" s="107">
        <f t="shared" si="44"/>
        <v>-32495.15</v>
      </c>
      <c r="I96" s="107">
        <f t="shared" si="44"/>
        <v>-20230.43</v>
      </c>
      <c r="J96" s="107">
        <f t="shared" si="44"/>
        <v>34773.43</v>
      </c>
      <c r="K96" s="107">
        <f t="shared" si="44"/>
        <v>9675.02</v>
      </c>
      <c r="L96" s="107">
        <f t="shared" si="44"/>
        <v>1082.26</v>
      </c>
      <c r="M96" s="107">
        <f t="shared" si="44"/>
        <v>6044.73</v>
      </c>
      <c r="N96" s="107">
        <v>-51144.89</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1">
        <v>-473.2</v>
      </c>
      <c r="C99" s="113"/>
      <c r="D99" s="111">
        <v>-13348.55</v>
      </c>
      <c r="E99" s="111">
        <v>10902.69</v>
      </c>
      <c r="F99" s="111">
        <v>8906.75</v>
      </c>
      <c r="G99" s="111">
        <v>252.23</v>
      </c>
      <c r="H99" s="111">
        <v>-10697.32</v>
      </c>
      <c r="I99" s="111">
        <v>562.1</v>
      </c>
      <c r="J99" s="111">
        <v>1017.19</v>
      </c>
      <c r="K99" s="111">
        <v>-92.44</v>
      </c>
      <c r="L99" s="113"/>
      <c r="M99" s="111">
        <v>129.28</v>
      </c>
      <c r="N99" s="111">
        <v>-2841.27</v>
      </c>
    </row>
    <row r="100" spans="1:14">
      <c r="A100" s="64" t="s">
        <v>69</v>
      </c>
      <c r="B100" s="107">
        <f>SUM(B97:B99)</f>
        <v>-473.2</v>
      </c>
      <c r="C100" s="107"/>
      <c r="D100" s="107">
        <f t="shared" ref="D100:K100" si="45">SUM(D97:D99)</f>
        <v>-13348.55</v>
      </c>
      <c r="E100" s="107">
        <f t="shared" si="45"/>
        <v>10902.69</v>
      </c>
      <c r="F100" s="107">
        <f t="shared" si="45"/>
        <v>8906.75</v>
      </c>
      <c r="G100" s="107">
        <f t="shared" si="45"/>
        <v>252.23</v>
      </c>
      <c r="H100" s="107">
        <f t="shared" si="45"/>
        <v>-10697.32</v>
      </c>
      <c r="I100" s="107">
        <f t="shared" si="45"/>
        <v>562.1</v>
      </c>
      <c r="J100" s="107">
        <f t="shared" si="45"/>
        <v>1017.19</v>
      </c>
      <c r="K100" s="107">
        <f t="shared" si="45"/>
        <v>-92.44</v>
      </c>
      <c r="L100" s="107"/>
      <c r="M100" s="107">
        <f>SUM(M97:M99)</f>
        <v>129.28</v>
      </c>
      <c r="N100" s="107">
        <v>-2841.27</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15286.67</v>
      </c>
      <c r="C103" s="111">
        <v>-48099.43</v>
      </c>
      <c r="D103" s="111">
        <v>-7312.55</v>
      </c>
      <c r="E103" s="111">
        <v>11267.78</v>
      </c>
      <c r="F103" s="111">
        <v>679.61</v>
      </c>
      <c r="G103" s="111">
        <v>-16844.68</v>
      </c>
      <c r="H103" s="111">
        <v>15121.9</v>
      </c>
      <c r="I103" s="111">
        <v>31448.32</v>
      </c>
      <c r="J103" s="111">
        <v>3342.15</v>
      </c>
      <c r="K103" s="111">
        <v>12432.71</v>
      </c>
      <c r="L103" s="111">
        <v>1058.1500000000001</v>
      </c>
      <c r="M103" s="111">
        <v>-3047.6</v>
      </c>
      <c r="N103" s="111">
        <v>15333.03</v>
      </c>
    </row>
    <row r="104" spans="1:14">
      <c r="A104" s="64" t="s">
        <v>71</v>
      </c>
      <c r="B104" s="107">
        <f t="shared" ref="B104:M104" si="46">SUM(B101:B103)</f>
        <v>15286.67</v>
      </c>
      <c r="C104" s="107">
        <f t="shared" si="46"/>
        <v>-48099.43</v>
      </c>
      <c r="D104" s="107">
        <f t="shared" si="46"/>
        <v>-7312.55</v>
      </c>
      <c r="E104" s="107">
        <f t="shared" si="46"/>
        <v>11267.78</v>
      </c>
      <c r="F104" s="107">
        <f t="shared" si="46"/>
        <v>679.61</v>
      </c>
      <c r="G104" s="107">
        <f t="shared" si="46"/>
        <v>-16844.68</v>
      </c>
      <c r="H104" s="107">
        <f t="shared" si="46"/>
        <v>15121.9</v>
      </c>
      <c r="I104" s="107">
        <f t="shared" si="46"/>
        <v>31448.32</v>
      </c>
      <c r="J104" s="107">
        <f t="shared" si="46"/>
        <v>3342.15</v>
      </c>
      <c r="K104" s="107">
        <f t="shared" si="46"/>
        <v>12432.71</v>
      </c>
      <c r="L104" s="107">
        <f t="shared" si="46"/>
        <v>1058.1500000000001</v>
      </c>
      <c r="M104" s="107">
        <f t="shared" si="46"/>
        <v>-3047.6</v>
      </c>
      <c r="N104" s="107">
        <v>15333.03</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-15152.6</v>
      </c>
      <c r="C110" s="111">
        <v>16094.41</v>
      </c>
      <c r="D110" s="111">
        <v>-6489.15</v>
      </c>
      <c r="E110" s="111">
        <v>-3443.19</v>
      </c>
      <c r="F110" s="113"/>
      <c r="G110" s="111">
        <v>16142</v>
      </c>
      <c r="H110" s="111">
        <v>-8896.9</v>
      </c>
      <c r="I110" s="111">
        <v>-32210.73</v>
      </c>
      <c r="J110" s="111">
        <v>250</v>
      </c>
      <c r="K110" s="111">
        <v>3925.47</v>
      </c>
      <c r="L110" s="111">
        <v>-480</v>
      </c>
      <c r="M110" s="111">
        <v>16671</v>
      </c>
      <c r="N110" s="111">
        <v>-13589.69</v>
      </c>
    </row>
    <row r="111" spans="1:14">
      <c r="A111" s="64" t="s">
        <v>74</v>
      </c>
      <c r="B111" s="107">
        <f>SUM(B108:B110)</f>
        <v>-15152.6</v>
      </c>
      <c r="C111" s="107">
        <f>SUM(C108:C110)</f>
        <v>16094.41</v>
      </c>
      <c r="D111" s="107">
        <f>SUM(D108:D110)</f>
        <v>-6489.15</v>
      </c>
      <c r="E111" s="107">
        <f>SUM(E108:E110)</f>
        <v>-3443.19</v>
      </c>
      <c r="F111" s="107"/>
      <c r="G111" s="107">
        <f t="shared" ref="G111:M111" si="47">SUM(G108:G110)</f>
        <v>16142</v>
      </c>
      <c r="H111" s="107">
        <f t="shared" si="47"/>
        <v>-8896.9</v>
      </c>
      <c r="I111" s="107">
        <f t="shared" si="47"/>
        <v>-32210.73</v>
      </c>
      <c r="J111" s="107">
        <f t="shared" si="47"/>
        <v>250</v>
      </c>
      <c r="K111" s="107">
        <f t="shared" si="47"/>
        <v>3925.47</v>
      </c>
      <c r="L111" s="107">
        <f t="shared" si="47"/>
        <v>-480</v>
      </c>
      <c r="M111" s="107">
        <f t="shared" si="47"/>
        <v>16671</v>
      </c>
      <c r="N111" s="107">
        <v>-13589.69</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3"/>
      <c r="C114" s="113"/>
      <c r="D114" s="111">
        <v>55590</v>
      </c>
      <c r="E114" s="113"/>
      <c r="F114" s="113"/>
      <c r="G114" s="111">
        <v>-3400</v>
      </c>
      <c r="H114" s="111">
        <v>29820</v>
      </c>
      <c r="I114" s="111">
        <v>21903</v>
      </c>
      <c r="J114" s="111">
        <v>-26520</v>
      </c>
      <c r="K114" s="111">
        <v>-5190</v>
      </c>
      <c r="L114" s="113"/>
      <c r="M114" s="111">
        <v>-5017</v>
      </c>
      <c r="N114" s="111">
        <v>67186</v>
      </c>
    </row>
    <row r="115" spans="1:14">
      <c r="A115" s="64" t="s">
        <v>76</v>
      </c>
      <c r="B115" s="107"/>
      <c r="C115" s="107"/>
      <c r="D115" s="107">
        <f>SUM(D112:D114)</f>
        <v>55590</v>
      </c>
      <c r="E115" s="107"/>
      <c r="F115" s="107"/>
      <c r="G115" s="107">
        <f>SUM(G112:G114)</f>
        <v>-3400</v>
      </c>
      <c r="H115" s="107">
        <f>SUM(H112:H114)</f>
        <v>29820</v>
      </c>
      <c r="I115" s="107">
        <f>SUM(I112:I114)</f>
        <v>21903</v>
      </c>
      <c r="J115" s="107">
        <f>SUM(J112:J114)</f>
        <v>-26520</v>
      </c>
      <c r="K115" s="107">
        <f>SUM(K112:K114)</f>
        <v>-5190</v>
      </c>
      <c r="L115" s="107"/>
      <c r="M115" s="107">
        <f>SUM(M112:M114)</f>
        <v>-5017</v>
      </c>
      <c r="N115" s="107">
        <v>67186</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M117" si="48">SUM(B92:B116)-B96-B100-B104-B107-B111-B115</f>
        <v>-3489.0699999999979</v>
      </c>
      <c r="C117" s="107">
        <f t="shared" si="48"/>
        <v>-26178.049999999992</v>
      </c>
      <c r="D117" s="107">
        <f t="shared" si="48"/>
        <v>-17233.819999999985</v>
      </c>
      <c r="E117" s="107">
        <f t="shared" si="48"/>
        <v>17089.999999999989</v>
      </c>
      <c r="F117" s="107">
        <f t="shared" si="48"/>
        <v>610.0299999999994</v>
      </c>
      <c r="G117" s="107">
        <f t="shared" si="48"/>
        <v>-235.05000000000291</v>
      </c>
      <c r="H117" s="107">
        <f t="shared" si="48"/>
        <v>-7147.4700000000012</v>
      </c>
      <c r="I117" s="107">
        <f t="shared" si="48"/>
        <v>1472.2599999999984</v>
      </c>
      <c r="J117" s="107">
        <f t="shared" si="48"/>
        <v>12862.769999999993</v>
      </c>
      <c r="K117" s="107">
        <f t="shared" si="48"/>
        <v>20750.760000000002</v>
      </c>
      <c r="L117" s="107">
        <f t="shared" si="48"/>
        <v>1660.4099999999994</v>
      </c>
      <c r="M117" s="107">
        <f t="shared" si="48"/>
        <v>14780.41</v>
      </c>
      <c r="N117" s="107">
        <v>14943.18</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22"/>
      <c r="C122" s="22"/>
      <c r="D122" s="22"/>
      <c r="E122" s="22"/>
      <c r="F122" s="107">
        <v>147.38</v>
      </c>
      <c r="G122" s="22"/>
      <c r="H122" s="107">
        <v>104.41</v>
      </c>
      <c r="I122" s="107">
        <v>1150.83</v>
      </c>
      <c r="J122" s="22"/>
      <c r="K122" s="22"/>
      <c r="L122" s="107">
        <v>93.53</v>
      </c>
      <c r="M122" s="22"/>
      <c r="N122" s="107">
        <v>1496.15</v>
      </c>
    </row>
    <row r="123" spans="1:14">
      <c r="A123" s="64" t="s">
        <v>78</v>
      </c>
      <c r="B123" s="107">
        <v>-1155</v>
      </c>
      <c r="C123" s="107">
        <v>2460</v>
      </c>
      <c r="D123" s="22"/>
      <c r="E123" s="22"/>
      <c r="F123" s="22"/>
      <c r="G123" s="22"/>
      <c r="H123" s="22"/>
      <c r="I123" s="107">
        <v>2220</v>
      </c>
      <c r="J123" s="107">
        <v>2100</v>
      </c>
      <c r="K123" s="22"/>
      <c r="L123" s="22"/>
      <c r="M123" s="22"/>
      <c r="N123" s="107">
        <v>5625</v>
      </c>
    </row>
    <row r="124" spans="1:14">
      <c r="A124" s="64" t="s">
        <v>315</v>
      </c>
      <c r="B124" s="107">
        <v>-120</v>
      </c>
      <c r="C124" s="22"/>
      <c r="D124" s="22"/>
      <c r="E124" s="22"/>
      <c r="F124" s="22"/>
      <c r="G124" s="22"/>
      <c r="H124" s="107">
        <v>915</v>
      </c>
      <c r="I124" s="107">
        <v>9030</v>
      </c>
      <c r="J124" s="107">
        <v>-705</v>
      </c>
      <c r="K124" s="22"/>
      <c r="L124" s="22"/>
      <c r="M124" s="107">
        <v>210</v>
      </c>
      <c r="N124" s="107">
        <v>9330</v>
      </c>
    </row>
    <row r="125" spans="1:14">
      <c r="A125" s="64" t="s">
        <v>316</v>
      </c>
      <c r="B125" s="107">
        <v>-1450</v>
      </c>
      <c r="C125" s="22"/>
      <c r="D125" s="22"/>
      <c r="E125" s="22"/>
      <c r="F125" s="22"/>
      <c r="G125" s="22"/>
      <c r="H125" s="22"/>
      <c r="I125" s="22"/>
      <c r="J125" s="22"/>
      <c r="K125" s="22"/>
      <c r="L125" s="22"/>
      <c r="M125" s="22"/>
      <c r="N125" s="107">
        <v>-1450</v>
      </c>
    </row>
    <row r="126" spans="1:14">
      <c r="A126" s="64" t="s">
        <v>79</v>
      </c>
      <c r="B126" s="22"/>
      <c r="C126" s="22"/>
      <c r="D126" s="22"/>
      <c r="E126" s="22"/>
      <c r="F126" s="22"/>
      <c r="G126" s="107">
        <v>450</v>
      </c>
      <c r="H126" s="107">
        <v>450</v>
      </c>
      <c r="I126" s="22"/>
      <c r="J126" s="107">
        <v>450</v>
      </c>
      <c r="K126" s="22"/>
      <c r="L126" s="22"/>
      <c r="M126" s="22"/>
      <c r="N126" s="107">
        <v>1350</v>
      </c>
    </row>
    <row r="127" spans="1:14">
      <c r="A127" s="64" t="s">
        <v>80</v>
      </c>
      <c r="B127" s="22"/>
      <c r="C127" s="22"/>
      <c r="D127" s="22"/>
      <c r="E127" s="22"/>
      <c r="F127" s="22"/>
      <c r="G127" s="107">
        <v>71.45</v>
      </c>
      <c r="H127" s="107">
        <v>177.3</v>
      </c>
      <c r="I127" s="22"/>
      <c r="J127" s="22"/>
      <c r="K127" s="22"/>
      <c r="L127" s="107">
        <v>81</v>
      </c>
      <c r="M127" s="22"/>
      <c r="N127" s="107">
        <v>329.75</v>
      </c>
    </row>
    <row r="128" spans="1:14">
      <c r="A128" s="64" t="s">
        <v>354</v>
      </c>
      <c r="B128" s="22"/>
      <c r="C128" s="22"/>
      <c r="D128" s="22"/>
      <c r="E128" s="22"/>
      <c r="F128" s="22"/>
      <c r="G128" s="22"/>
      <c r="H128" s="22"/>
      <c r="I128" s="22"/>
      <c r="J128" s="22"/>
      <c r="K128" s="22"/>
      <c r="L128" s="22"/>
      <c r="M128" s="22"/>
      <c r="N128" s="22"/>
    </row>
    <row r="129" spans="1:14">
      <c r="A129" s="64" t="s">
        <v>84</v>
      </c>
      <c r="B129" s="111">
        <v>2725</v>
      </c>
      <c r="C129" s="111">
        <v>-2460</v>
      </c>
      <c r="D129" s="113"/>
      <c r="E129" s="113"/>
      <c r="F129" s="111">
        <v>-147.38</v>
      </c>
      <c r="G129" s="111">
        <v>-521.45000000000005</v>
      </c>
      <c r="H129" s="111">
        <v>-2126.71</v>
      </c>
      <c r="I129" s="111">
        <v>-12400.83</v>
      </c>
      <c r="J129" s="111">
        <v>-1845</v>
      </c>
      <c r="K129" s="113"/>
      <c r="L129" s="111">
        <v>-174.53</v>
      </c>
      <c r="M129" s="111">
        <v>-210</v>
      </c>
      <c r="N129" s="111">
        <v>-17160.900000000001</v>
      </c>
    </row>
    <row r="130" spans="1:14">
      <c r="A130" s="64" t="s">
        <v>85</v>
      </c>
      <c r="B130" s="107"/>
      <c r="C130" s="107"/>
      <c r="D130" s="107"/>
      <c r="E130" s="107"/>
      <c r="F130" s="107"/>
      <c r="G130" s="107"/>
      <c r="H130" s="107">
        <f>SUM(H121:H129)</f>
        <v>-480.00000000000023</v>
      </c>
      <c r="I130" s="107"/>
      <c r="J130" s="107"/>
      <c r="K130" s="107"/>
      <c r="L130" s="107"/>
      <c r="M130" s="107"/>
      <c r="N130" s="107">
        <v>-480</v>
      </c>
    </row>
    <row r="131" spans="1:14">
      <c r="A131" s="64"/>
      <c r="B131" s="22"/>
      <c r="C131" s="22"/>
      <c r="D131" s="22"/>
      <c r="E131" s="22"/>
      <c r="F131" s="22"/>
      <c r="G131" s="22"/>
      <c r="H131" s="22"/>
      <c r="I131" s="22"/>
      <c r="J131" s="22"/>
      <c r="K131" s="22"/>
      <c r="L131" s="22"/>
      <c r="M131" s="22"/>
      <c r="N131" s="22"/>
    </row>
    <row r="132" spans="1:14">
      <c r="A132" s="64" t="s">
        <v>20</v>
      </c>
      <c r="B132" s="113"/>
      <c r="C132" s="113"/>
      <c r="D132" s="113"/>
      <c r="E132" s="113"/>
      <c r="F132" s="113"/>
      <c r="G132" s="113"/>
      <c r="H132" s="113"/>
      <c r="I132" s="113"/>
      <c r="J132" s="113"/>
      <c r="K132" s="113"/>
      <c r="L132" s="113"/>
      <c r="M132" s="113"/>
      <c r="N132" s="113"/>
    </row>
    <row r="133" spans="1:14">
      <c r="A133" s="64"/>
      <c r="B133" s="22"/>
      <c r="C133" s="22"/>
      <c r="D133" s="22"/>
      <c r="E133" s="22"/>
      <c r="F133" s="22"/>
      <c r="G133" s="22"/>
      <c r="H133" s="22"/>
      <c r="I133" s="22"/>
      <c r="J133" s="22"/>
      <c r="K133" s="22"/>
      <c r="L133" s="22"/>
      <c r="M133" s="22"/>
      <c r="N133" s="22"/>
    </row>
    <row r="134" spans="1:14">
      <c r="A134" s="64" t="s">
        <v>88</v>
      </c>
      <c r="B134" s="22"/>
      <c r="C134" s="22"/>
      <c r="D134" s="22"/>
      <c r="E134" s="22"/>
      <c r="F134" s="22"/>
      <c r="G134" s="22"/>
      <c r="H134" s="22"/>
      <c r="I134" s="22"/>
      <c r="J134" s="22"/>
      <c r="K134" s="22"/>
      <c r="L134" s="22"/>
      <c r="M134" s="22"/>
      <c r="N134" s="22"/>
    </row>
    <row r="135" spans="1:14">
      <c r="A135" s="64" t="s">
        <v>89</v>
      </c>
      <c r="B135" s="107">
        <v>9837.8799999999992</v>
      </c>
      <c r="C135" s="107">
        <v>6534.06</v>
      </c>
      <c r="D135" s="107">
        <v>13879.66</v>
      </c>
      <c r="E135" s="107">
        <v>10659.44</v>
      </c>
      <c r="F135" s="107">
        <v>10790.6</v>
      </c>
      <c r="G135" s="107">
        <v>17356.97</v>
      </c>
      <c r="H135" s="107">
        <v>15731.38</v>
      </c>
      <c r="I135" s="107">
        <v>16107.82</v>
      </c>
      <c r="J135" s="107">
        <v>16780.46</v>
      </c>
      <c r="K135" s="107">
        <v>17802.060000000001</v>
      </c>
      <c r="L135" s="107">
        <v>19588.54</v>
      </c>
      <c r="M135" s="107">
        <v>19141.490000000002</v>
      </c>
      <c r="N135" s="107">
        <v>174210.36</v>
      </c>
    </row>
    <row r="136" spans="1:14">
      <c r="A136" s="64" t="s">
        <v>90</v>
      </c>
      <c r="B136" s="107">
        <v>38055</v>
      </c>
      <c r="C136" s="107">
        <v>20340</v>
      </c>
      <c r="D136" s="107">
        <v>30390</v>
      </c>
      <c r="E136" s="107">
        <v>37245</v>
      </c>
      <c r="F136" s="107">
        <v>26580</v>
      </c>
      <c r="G136" s="107">
        <v>44370</v>
      </c>
      <c r="H136" s="107">
        <v>39300</v>
      </c>
      <c r="I136" s="107">
        <v>39705</v>
      </c>
      <c r="J136" s="107">
        <v>26340</v>
      </c>
      <c r="K136" s="107">
        <v>27315</v>
      </c>
      <c r="L136" s="107">
        <v>40215</v>
      </c>
      <c r="M136" s="107">
        <v>38580</v>
      </c>
      <c r="N136" s="107">
        <v>408435</v>
      </c>
    </row>
    <row r="137" spans="1:14">
      <c r="A137" s="64" t="s">
        <v>91</v>
      </c>
      <c r="B137" s="107">
        <v>37335</v>
      </c>
      <c r="C137" s="107">
        <v>21600</v>
      </c>
      <c r="D137" s="107">
        <v>31770</v>
      </c>
      <c r="E137" s="107">
        <v>38280</v>
      </c>
      <c r="F137" s="107">
        <v>25950</v>
      </c>
      <c r="G137" s="107">
        <v>46965</v>
      </c>
      <c r="H137" s="107">
        <v>43530</v>
      </c>
      <c r="I137" s="107">
        <v>39345</v>
      </c>
      <c r="J137" s="107">
        <v>26085</v>
      </c>
      <c r="K137" s="107">
        <v>26430</v>
      </c>
      <c r="L137" s="107">
        <v>45780</v>
      </c>
      <c r="M137" s="107">
        <v>42975</v>
      </c>
      <c r="N137" s="107">
        <v>426045</v>
      </c>
    </row>
    <row r="138" spans="1:14">
      <c r="A138" s="64" t="s">
        <v>92</v>
      </c>
      <c r="B138" s="107">
        <v>6430</v>
      </c>
      <c r="C138" s="107">
        <v>630</v>
      </c>
      <c r="D138" s="107">
        <v>5605</v>
      </c>
      <c r="E138" s="107">
        <v>3565</v>
      </c>
      <c r="F138" s="107">
        <v>3530</v>
      </c>
      <c r="G138" s="107">
        <v>10385</v>
      </c>
      <c r="H138" s="107">
        <v>18345</v>
      </c>
      <c r="I138" s="107">
        <v>14795</v>
      </c>
      <c r="J138" s="107">
        <v>10355</v>
      </c>
      <c r="K138" s="107">
        <v>8975</v>
      </c>
      <c r="L138" s="107">
        <v>13300</v>
      </c>
      <c r="M138" s="107">
        <v>18810</v>
      </c>
      <c r="N138" s="107">
        <v>114725</v>
      </c>
    </row>
    <row r="139" spans="1:14">
      <c r="A139" s="64" t="s">
        <v>94</v>
      </c>
      <c r="B139" s="107">
        <v>5400</v>
      </c>
      <c r="C139" s="107">
        <v>2250</v>
      </c>
      <c r="D139" s="107">
        <v>1350</v>
      </c>
      <c r="E139" s="107">
        <v>2700</v>
      </c>
      <c r="F139" s="107">
        <v>1350</v>
      </c>
      <c r="G139" s="107">
        <v>5850</v>
      </c>
      <c r="H139" s="107">
        <v>4050</v>
      </c>
      <c r="I139" s="107">
        <v>5400</v>
      </c>
      <c r="J139" s="107">
        <v>2700</v>
      </c>
      <c r="K139" s="107">
        <v>3600</v>
      </c>
      <c r="L139" s="107">
        <v>6300</v>
      </c>
      <c r="M139" s="107">
        <v>1350</v>
      </c>
      <c r="N139" s="107">
        <v>42300</v>
      </c>
    </row>
    <row r="140" spans="1:14">
      <c r="A140" s="64" t="s">
        <v>95</v>
      </c>
      <c r="B140" s="107">
        <v>2359.61</v>
      </c>
      <c r="C140" s="107">
        <v>1926.56</v>
      </c>
      <c r="D140" s="107">
        <v>1950.34</v>
      </c>
      <c r="E140" s="107">
        <v>2227.7399999999998</v>
      </c>
      <c r="F140" s="107">
        <v>1526.7</v>
      </c>
      <c r="G140" s="107">
        <v>1866.75</v>
      </c>
      <c r="H140" s="107">
        <v>2856.68</v>
      </c>
      <c r="I140" s="107">
        <v>2643.86</v>
      </c>
      <c r="J140" s="107">
        <v>2666.74</v>
      </c>
      <c r="K140" s="107">
        <v>5290.52</v>
      </c>
      <c r="L140" s="107">
        <v>5334.85</v>
      </c>
      <c r="M140" s="107">
        <v>3654.86</v>
      </c>
      <c r="N140" s="107">
        <v>34305.21</v>
      </c>
    </row>
    <row r="141" spans="1:14">
      <c r="A141" s="64" t="s">
        <v>98</v>
      </c>
      <c r="B141" s="111">
        <v>-99417.49</v>
      </c>
      <c r="C141" s="111">
        <v>-53280.62</v>
      </c>
      <c r="D141" s="111">
        <v>-84945</v>
      </c>
      <c r="E141" s="111">
        <v>-94677.18</v>
      </c>
      <c r="F141" s="111">
        <v>-69727.3</v>
      </c>
      <c r="G141" s="111">
        <v>-126793.72</v>
      </c>
      <c r="H141" s="111">
        <v>-123813.06</v>
      </c>
      <c r="I141" s="111">
        <v>-117996.68</v>
      </c>
      <c r="J141" s="111">
        <v>-84927.2</v>
      </c>
      <c r="K141" s="111">
        <v>-89412.58</v>
      </c>
      <c r="L141" s="111">
        <v>-130518.39</v>
      </c>
      <c r="M141" s="111">
        <v>-124511.35</v>
      </c>
      <c r="N141" s="111">
        <v>-1200020.57</v>
      </c>
    </row>
    <row r="142" spans="1:14">
      <c r="A142" s="64"/>
      <c r="B142" s="22"/>
      <c r="C142" s="22"/>
      <c r="D142" s="22"/>
      <c r="E142" s="22"/>
      <c r="F142" s="22"/>
      <c r="G142" s="22"/>
      <c r="H142" s="22"/>
      <c r="I142" s="22"/>
      <c r="J142" s="22"/>
      <c r="K142" s="22"/>
      <c r="L142" s="22"/>
      <c r="M142" s="22"/>
      <c r="N142" s="22"/>
    </row>
    <row r="143" spans="1:14">
      <c r="A143" s="64" t="s">
        <v>99</v>
      </c>
      <c r="B143" s="22"/>
      <c r="C143" s="22"/>
      <c r="D143" s="22"/>
      <c r="E143" s="22"/>
      <c r="F143" s="22"/>
      <c r="G143" s="22"/>
      <c r="H143" s="22"/>
      <c r="I143" s="22"/>
      <c r="J143" s="22"/>
      <c r="K143" s="22"/>
      <c r="L143" s="22"/>
      <c r="M143" s="22"/>
      <c r="N143" s="22"/>
    </row>
    <row r="144" spans="1:14">
      <c r="A144" s="64" t="s">
        <v>382</v>
      </c>
      <c r="B144" s="22"/>
      <c r="C144" s="22"/>
      <c r="D144" s="22"/>
      <c r="E144" s="22"/>
      <c r="F144" s="22"/>
      <c r="G144" s="22"/>
      <c r="H144" s="107">
        <v>2834.88</v>
      </c>
      <c r="I144" s="107">
        <v>-40.01</v>
      </c>
      <c r="J144" s="107">
        <v>-80.02</v>
      </c>
      <c r="K144" s="22"/>
      <c r="L144" s="22"/>
      <c r="M144" s="22"/>
      <c r="N144" s="107">
        <v>2714.85</v>
      </c>
    </row>
    <row r="145" spans="1:14">
      <c r="A145" s="64" t="s">
        <v>100</v>
      </c>
      <c r="B145" s="107">
        <v>17970.099999999999</v>
      </c>
      <c r="C145" s="107">
        <v>28170</v>
      </c>
      <c r="D145" s="107">
        <v>13275</v>
      </c>
      <c r="E145" s="107">
        <v>18555</v>
      </c>
      <c r="F145" s="107">
        <v>8115</v>
      </c>
      <c r="G145" s="107">
        <v>3135</v>
      </c>
      <c r="H145" s="107">
        <v>3375</v>
      </c>
      <c r="I145" s="107">
        <v>9390</v>
      </c>
      <c r="J145" s="107">
        <v>13650</v>
      </c>
      <c r="K145" s="107">
        <v>9615</v>
      </c>
      <c r="L145" s="107">
        <v>3060</v>
      </c>
      <c r="M145" s="107">
        <v>6255</v>
      </c>
      <c r="N145" s="107">
        <v>134565.1</v>
      </c>
    </row>
    <row r="146" spans="1:14">
      <c r="A146" s="64" t="s">
        <v>101</v>
      </c>
      <c r="B146" s="107">
        <v>20565.07</v>
      </c>
      <c r="C146" s="107">
        <v>30645</v>
      </c>
      <c r="D146" s="107">
        <v>15915</v>
      </c>
      <c r="E146" s="107">
        <v>10710</v>
      </c>
      <c r="F146" s="107">
        <v>13440</v>
      </c>
      <c r="G146" s="107">
        <v>10140</v>
      </c>
      <c r="H146" s="107">
        <v>9120</v>
      </c>
      <c r="I146" s="107">
        <v>8040</v>
      </c>
      <c r="J146" s="107">
        <v>14940</v>
      </c>
      <c r="K146" s="107">
        <v>16620</v>
      </c>
      <c r="L146" s="107">
        <v>6915</v>
      </c>
      <c r="M146" s="107">
        <v>3000</v>
      </c>
      <c r="N146" s="107">
        <v>160050.07</v>
      </c>
    </row>
    <row r="147" spans="1:14">
      <c r="A147" s="64" t="s">
        <v>102</v>
      </c>
      <c r="B147" s="107">
        <v>4780.0600000000004</v>
      </c>
      <c r="C147" s="107">
        <v>120</v>
      </c>
      <c r="D147" s="107">
        <v>2020</v>
      </c>
      <c r="E147" s="107">
        <v>3230</v>
      </c>
      <c r="F147" s="107">
        <v>3805</v>
      </c>
      <c r="G147" s="107">
        <v>805</v>
      </c>
      <c r="H147" s="107">
        <v>4870</v>
      </c>
      <c r="I147" s="107">
        <v>11375</v>
      </c>
      <c r="J147" s="107">
        <v>8140</v>
      </c>
      <c r="K147" s="107">
        <v>5535</v>
      </c>
      <c r="L147" s="107">
        <v>2350</v>
      </c>
      <c r="M147" s="107">
        <v>6140</v>
      </c>
      <c r="N147" s="107">
        <v>53170.06</v>
      </c>
    </row>
    <row r="148" spans="1:14">
      <c r="A148" s="64" t="s">
        <v>358</v>
      </c>
      <c r="B148" s="107">
        <v>28</v>
      </c>
      <c r="C148" s="22"/>
      <c r="D148" s="22"/>
      <c r="E148" s="22"/>
      <c r="F148" s="22"/>
      <c r="G148" s="22"/>
      <c r="H148" s="22"/>
      <c r="I148" s="22"/>
      <c r="J148" s="22"/>
      <c r="K148" s="22"/>
      <c r="L148" s="22"/>
      <c r="M148" s="22"/>
      <c r="N148" s="107">
        <v>28</v>
      </c>
    </row>
    <row r="149" spans="1:14">
      <c r="A149" s="64" t="s">
        <v>103</v>
      </c>
      <c r="B149" s="111">
        <v>-20972.68</v>
      </c>
      <c r="C149" s="111">
        <v>-29258.85</v>
      </c>
      <c r="D149" s="111">
        <v>-15810.15</v>
      </c>
      <c r="E149" s="111">
        <v>-16694.689999999999</v>
      </c>
      <c r="F149" s="111">
        <v>-12863.74</v>
      </c>
      <c r="G149" s="111">
        <v>-7074.98</v>
      </c>
      <c r="H149" s="111">
        <v>-8318.66</v>
      </c>
      <c r="I149" s="111">
        <v>-10317.780000000001</v>
      </c>
      <c r="J149" s="111">
        <v>-17049.080000000002</v>
      </c>
      <c r="K149" s="111">
        <v>-14741.41</v>
      </c>
      <c r="L149" s="111">
        <v>-6136.97</v>
      </c>
      <c r="M149" s="111">
        <v>-6476.01</v>
      </c>
      <c r="N149" s="111">
        <v>-165715</v>
      </c>
    </row>
    <row r="150" spans="1:14">
      <c r="A150" s="64" t="s">
        <v>104</v>
      </c>
      <c r="B150" s="107">
        <f t="shared" ref="B150:M150" si="49">SUM(B143:B149)</f>
        <v>22370.549999999996</v>
      </c>
      <c r="C150" s="107">
        <f t="shared" si="49"/>
        <v>29676.15</v>
      </c>
      <c r="D150" s="107">
        <f t="shared" si="49"/>
        <v>15399.85</v>
      </c>
      <c r="E150" s="107">
        <f t="shared" si="49"/>
        <v>15800.310000000001</v>
      </c>
      <c r="F150" s="107">
        <f t="shared" si="49"/>
        <v>12496.26</v>
      </c>
      <c r="G150" s="107">
        <f t="shared" si="49"/>
        <v>7005.02</v>
      </c>
      <c r="H150" s="107">
        <f t="shared" si="49"/>
        <v>11881.220000000001</v>
      </c>
      <c r="I150" s="107">
        <f t="shared" si="49"/>
        <v>18447.21</v>
      </c>
      <c r="J150" s="107">
        <f t="shared" si="49"/>
        <v>19600.899999999994</v>
      </c>
      <c r="K150" s="107">
        <f t="shared" si="49"/>
        <v>17028.59</v>
      </c>
      <c r="L150" s="107">
        <f t="shared" si="49"/>
        <v>6188.03</v>
      </c>
      <c r="M150" s="107">
        <f t="shared" si="49"/>
        <v>8918.99</v>
      </c>
      <c r="N150" s="107">
        <v>184813.08</v>
      </c>
    </row>
    <row r="151" spans="1:14">
      <c r="A151" s="64"/>
      <c r="B151" s="22"/>
      <c r="C151" s="22"/>
      <c r="D151" s="22"/>
      <c r="E151" s="22"/>
      <c r="F151" s="22"/>
      <c r="G151" s="22"/>
      <c r="H151" s="22"/>
      <c r="I151" s="22"/>
      <c r="J151" s="22"/>
      <c r="K151" s="22"/>
      <c r="L151" s="22"/>
      <c r="M151" s="22"/>
      <c r="N151" s="22"/>
    </row>
    <row r="152" spans="1:14">
      <c r="A152" s="64" t="s">
        <v>105</v>
      </c>
      <c r="B152" s="113"/>
      <c r="C152" s="113"/>
      <c r="D152" s="113"/>
      <c r="E152" s="113"/>
      <c r="F152" s="113"/>
      <c r="G152" s="113"/>
      <c r="H152" s="113"/>
      <c r="I152" s="113"/>
      <c r="J152" s="113"/>
      <c r="K152" s="113"/>
      <c r="L152" s="113"/>
      <c r="M152" s="113"/>
      <c r="N152" s="113"/>
    </row>
    <row r="153" spans="1:14">
      <c r="A153" s="64"/>
      <c r="B153" s="22"/>
      <c r="C153" s="22"/>
      <c r="D153" s="22"/>
      <c r="E153" s="22"/>
      <c r="F153" s="22"/>
      <c r="G153" s="22"/>
      <c r="H153" s="22"/>
      <c r="I153" s="22"/>
      <c r="J153" s="22"/>
      <c r="K153" s="22"/>
      <c r="L153" s="22"/>
      <c r="M153" s="22"/>
      <c r="N153" s="22"/>
    </row>
    <row r="154" spans="1:14">
      <c r="A154" s="64" t="s">
        <v>106</v>
      </c>
      <c r="B154" s="22"/>
      <c r="C154" s="22"/>
      <c r="D154" s="22"/>
      <c r="E154" s="22"/>
      <c r="F154" s="22"/>
      <c r="G154" s="22"/>
      <c r="H154" s="22"/>
      <c r="I154" s="22"/>
      <c r="J154" s="22"/>
      <c r="K154" s="22"/>
      <c r="L154" s="22"/>
      <c r="M154" s="22"/>
      <c r="N154" s="22"/>
    </row>
    <row r="155" spans="1:14">
      <c r="A155" s="64" t="s">
        <v>107</v>
      </c>
      <c r="B155" s="107">
        <v>11892.29</v>
      </c>
      <c r="C155" s="107">
        <v>28703.24</v>
      </c>
      <c r="D155" s="107">
        <v>14820.78</v>
      </c>
      <c r="E155" s="107">
        <v>19655.16</v>
      </c>
      <c r="F155" s="107">
        <v>16651.04</v>
      </c>
      <c r="G155" s="107">
        <v>22132.05</v>
      </c>
      <c r="H155" s="107">
        <v>29301.33</v>
      </c>
      <c r="I155" s="107">
        <v>13418.83</v>
      </c>
      <c r="J155" s="107">
        <v>19576.099999999999</v>
      </c>
      <c r="K155" s="107">
        <v>9012.89</v>
      </c>
      <c r="L155" s="107">
        <v>17277.560000000001</v>
      </c>
      <c r="M155" s="107">
        <v>32673.82</v>
      </c>
      <c r="N155" s="107">
        <v>235115.09</v>
      </c>
    </row>
    <row r="156" spans="1:14">
      <c r="A156" s="64" t="s">
        <v>383</v>
      </c>
      <c r="B156" s="22"/>
      <c r="C156" s="22"/>
      <c r="D156" s="22"/>
      <c r="E156" s="22"/>
      <c r="F156" s="22"/>
      <c r="G156" s="22"/>
      <c r="H156" s="107">
        <v>266.89</v>
      </c>
      <c r="I156" s="22"/>
      <c r="J156" s="22"/>
      <c r="K156" s="22"/>
      <c r="L156" s="22"/>
      <c r="M156" s="22"/>
      <c r="N156" s="107">
        <v>266.89</v>
      </c>
    </row>
    <row r="157" spans="1:14">
      <c r="A157" s="64" t="s">
        <v>108</v>
      </c>
      <c r="B157" s="107">
        <v>40335</v>
      </c>
      <c r="C157" s="107">
        <v>51180</v>
      </c>
      <c r="D157" s="107">
        <v>50430</v>
      </c>
      <c r="E157" s="107">
        <v>42120</v>
      </c>
      <c r="F157" s="107">
        <v>36060</v>
      </c>
      <c r="G157" s="107">
        <v>53985</v>
      </c>
      <c r="H157" s="107">
        <v>54900</v>
      </c>
      <c r="I157" s="107">
        <v>41580</v>
      </c>
      <c r="J157" s="107">
        <v>53790</v>
      </c>
      <c r="K157" s="107">
        <v>20580</v>
      </c>
      <c r="L157" s="107">
        <v>36735</v>
      </c>
      <c r="M157" s="107">
        <v>52215</v>
      </c>
      <c r="N157" s="107">
        <v>533910</v>
      </c>
    </row>
    <row r="158" spans="1:14">
      <c r="A158" s="64" t="s">
        <v>109</v>
      </c>
      <c r="B158" s="107">
        <v>40409.96</v>
      </c>
      <c r="C158" s="107">
        <v>47790</v>
      </c>
      <c r="D158" s="107">
        <v>50550</v>
      </c>
      <c r="E158" s="107">
        <v>53250</v>
      </c>
      <c r="F158" s="107">
        <v>43785</v>
      </c>
      <c r="G158" s="107">
        <v>58245</v>
      </c>
      <c r="H158" s="107">
        <v>58875</v>
      </c>
      <c r="I158" s="107">
        <v>31650</v>
      </c>
      <c r="J158" s="107">
        <v>51390</v>
      </c>
      <c r="K158" s="107">
        <v>22995</v>
      </c>
      <c r="L158" s="107">
        <v>44040</v>
      </c>
      <c r="M158" s="107">
        <v>49380</v>
      </c>
      <c r="N158" s="107">
        <v>552359.96</v>
      </c>
    </row>
    <row r="159" spans="1:14">
      <c r="A159" s="64" t="s">
        <v>110</v>
      </c>
      <c r="B159" s="107">
        <v>3874.94</v>
      </c>
      <c r="C159" s="107">
        <v>8430</v>
      </c>
      <c r="D159" s="107">
        <v>3015</v>
      </c>
      <c r="E159" s="107">
        <v>4905</v>
      </c>
      <c r="F159" s="107">
        <v>3805</v>
      </c>
      <c r="G159" s="107">
        <v>10815</v>
      </c>
      <c r="H159" s="107">
        <v>12050</v>
      </c>
      <c r="I159" s="107">
        <v>16960</v>
      </c>
      <c r="J159" s="107">
        <v>14840</v>
      </c>
      <c r="K159" s="107">
        <v>7280</v>
      </c>
      <c r="L159" s="107">
        <v>8635</v>
      </c>
      <c r="M159" s="107">
        <v>21960</v>
      </c>
      <c r="N159" s="107">
        <v>116569.94</v>
      </c>
    </row>
    <row r="160" spans="1:14">
      <c r="A160" s="64" t="s">
        <v>111</v>
      </c>
      <c r="B160" s="107">
        <v>3150</v>
      </c>
      <c r="C160" s="107">
        <v>6300</v>
      </c>
      <c r="D160" s="107">
        <v>5400</v>
      </c>
      <c r="E160" s="107">
        <v>1800</v>
      </c>
      <c r="F160" s="107">
        <v>2700</v>
      </c>
      <c r="G160" s="107">
        <v>6300</v>
      </c>
      <c r="H160" s="107">
        <v>4500</v>
      </c>
      <c r="I160" s="107">
        <v>1800</v>
      </c>
      <c r="J160" s="107">
        <v>3150</v>
      </c>
      <c r="K160" s="107">
        <v>1800</v>
      </c>
      <c r="L160" s="107">
        <v>2700</v>
      </c>
      <c r="M160" s="107">
        <v>6750</v>
      </c>
      <c r="N160" s="107">
        <v>46350</v>
      </c>
    </row>
    <row r="161" spans="1:14">
      <c r="A161" s="64" t="s">
        <v>112</v>
      </c>
      <c r="B161" s="107">
        <v>2726.96</v>
      </c>
      <c r="C161" s="107">
        <v>4831.29</v>
      </c>
      <c r="D161" s="107">
        <v>3032.86</v>
      </c>
      <c r="E161" s="107">
        <v>2712.47</v>
      </c>
      <c r="F161" s="107">
        <v>1671.21</v>
      </c>
      <c r="G161" s="107">
        <v>2977.07</v>
      </c>
      <c r="H161" s="107">
        <v>5202.3500000000004</v>
      </c>
      <c r="I161" s="107">
        <v>1628.36</v>
      </c>
      <c r="J161" s="107">
        <v>2832.67</v>
      </c>
      <c r="K161" s="107">
        <v>1733.63</v>
      </c>
      <c r="L161" s="107">
        <v>3238.61</v>
      </c>
      <c r="M161" s="107">
        <v>3551.14</v>
      </c>
      <c r="N161" s="107">
        <v>36138.620000000003</v>
      </c>
    </row>
    <row r="162" spans="1:14">
      <c r="A162" s="64" t="s">
        <v>359</v>
      </c>
      <c r="B162" s="107">
        <v>-28</v>
      </c>
      <c r="C162" s="22"/>
      <c r="D162" s="22"/>
      <c r="E162" s="22"/>
      <c r="F162" s="22"/>
      <c r="G162" s="22"/>
      <c r="H162" s="22"/>
      <c r="I162" s="22"/>
      <c r="J162" s="22"/>
      <c r="K162" s="22"/>
      <c r="L162" s="22"/>
      <c r="M162" s="22"/>
      <c r="N162" s="107">
        <v>-28</v>
      </c>
    </row>
    <row r="163" spans="1:14">
      <c r="A163" s="64" t="s">
        <v>115</v>
      </c>
      <c r="B163" s="111">
        <v>-105366.07</v>
      </c>
      <c r="C163" s="111">
        <v>-141224.4</v>
      </c>
      <c r="D163" s="111">
        <v>-112855.72</v>
      </c>
      <c r="E163" s="111">
        <v>-123906.78</v>
      </c>
      <c r="F163" s="111">
        <v>-102127.73</v>
      </c>
      <c r="G163" s="111">
        <v>-155275.23000000001</v>
      </c>
      <c r="H163" s="111">
        <v>-168297.62</v>
      </c>
      <c r="I163" s="111">
        <v>-116012.52</v>
      </c>
      <c r="J163" s="111">
        <v>-116595.88</v>
      </c>
      <c r="K163" s="111">
        <v>-61361.22</v>
      </c>
      <c r="L163" s="111">
        <v>-109331.76</v>
      </c>
      <c r="M163" s="111">
        <v>-164079.26</v>
      </c>
      <c r="N163" s="111">
        <v>-1476434.19</v>
      </c>
    </row>
    <row r="164" spans="1:14">
      <c r="A164" s="64" t="s">
        <v>116</v>
      </c>
      <c r="B164" s="107">
        <f t="shared" ref="B164:M164" si="50">SUM(B154:B163)</f>
        <v>-3004.9199999999983</v>
      </c>
      <c r="C164" s="107">
        <f t="shared" si="50"/>
        <v>6010.1300000000047</v>
      </c>
      <c r="D164" s="107">
        <f t="shared" si="50"/>
        <v>14392.919999999998</v>
      </c>
      <c r="E164" s="107">
        <f t="shared" si="50"/>
        <v>535.85000000000582</v>
      </c>
      <c r="F164" s="107">
        <f t="shared" si="50"/>
        <v>2544.5200000000186</v>
      </c>
      <c r="G164" s="107">
        <f t="shared" si="50"/>
        <v>-821.11000000001513</v>
      </c>
      <c r="H164" s="107">
        <f t="shared" si="50"/>
        <v>-3202.0499999999884</v>
      </c>
      <c r="I164" s="107">
        <f t="shared" si="50"/>
        <v>-8975.3300000000017</v>
      </c>
      <c r="J164" s="107">
        <f t="shared" si="50"/>
        <v>28982.890000000014</v>
      </c>
      <c r="K164" s="107">
        <f t="shared" si="50"/>
        <v>2040.2999999999956</v>
      </c>
      <c r="L164" s="107">
        <f t="shared" si="50"/>
        <v>3294.4100000000035</v>
      </c>
      <c r="M164" s="107">
        <f t="shared" si="50"/>
        <v>2450.7000000000116</v>
      </c>
      <c r="N164" s="107">
        <v>44248.31</v>
      </c>
    </row>
    <row r="165" spans="1:14">
      <c r="A165" s="64"/>
      <c r="B165" s="22"/>
      <c r="C165" s="22"/>
      <c r="D165" s="22"/>
      <c r="E165" s="22"/>
      <c r="F165" s="22"/>
      <c r="G165" s="22"/>
      <c r="H165" s="22"/>
      <c r="I165" s="22"/>
      <c r="J165" s="22"/>
      <c r="K165" s="22"/>
      <c r="L165" s="22"/>
      <c r="M165" s="22"/>
      <c r="N165" s="22"/>
    </row>
    <row r="166" spans="1:14">
      <c r="A166" s="64" t="s">
        <v>117</v>
      </c>
      <c r="B166" s="22"/>
      <c r="C166" s="22"/>
      <c r="D166" s="22"/>
      <c r="E166" s="22"/>
      <c r="F166" s="22"/>
      <c r="G166" s="22"/>
      <c r="H166" s="22"/>
      <c r="I166" s="22"/>
      <c r="J166" s="22"/>
      <c r="K166" s="22"/>
      <c r="L166" s="22"/>
      <c r="M166" s="22"/>
      <c r="N166" s="22"/>
    </row>
    <row r="167" spans="1:14">
      <c r="A167" s="64" t="s">
        <v>282</v>
      </c>
      <c r="B167" s="22"/>
      <c r="C167" s="22"/>
      <c r="D167" s="22"/>
      <c r="E167" s="22"/>
      <c r="F167" s="22"/>
      <c r="G167" s="22"/>
      <c r="H167" s="22"/>
      <c r="I167" s="22"/>
      <c r="J167" s="22"/>
      <c r="K167" s="22"/>
      <c r="L167" s="22"/>
      <c r="M167" s="22"/>
      <c r="N167" s="22"/>
    </row>
    <row r="168" spans="1:14">
      <c r="A168" s="64" t="s">
        <v>118</v>
      </c>
      <c r="B168" s="107">
        <v>400.7</v>
      </c>
      <c r="C168" s="107">
        <v>1417.59</v>
      </c>
      <c r="D168" s="107">
        <v>555.33000000000004</v>
      </c>
      <c r="E168" s="22"/>
      <c r="F168" s="22"/>
      <c r="G168" s="22"/>
      <c r="H168" s="22"/>
      <c r="I168" s="107">
        <v>2399.44</v>
      </c>
      <c r="J168" s="22"/>
      <c r="K168" s="22"/>
      <c r="L168" s="22"/>
      <c r="M168" s="22"/>
      <c r="N168" s="107">
        <v>4773.0600000000004</v>
      </c>
    </row>
    <row r="169" spans="1:14">
      <c r="A169" s="64" t="s">
        <v>390</v>
      </c>
      <c r="B169" s="22"/>
      <c r="C169" s="22"/>
      <c r="D169" s="22"/>
      <c r="E169" s="22"/>
      <c r="F169" s="22"/>
      <c r="G169" s="22"/>
      <c r="H169" s="22"/>
      <c r="I169" s="107">
        <v>40.01</v>
      </c>
      <c r="J169" s="22"/>
      <c r="K169" s="22"/>
      <c r="L169" s="22"/>
      <c r="M169" s="22"/>
      <c r="N169" s="107">
        <v>40.01</v>
      </c>
    </row>
    <row r="170" spans="1:14">
      <c r="A170" s="64" t="s">
        <v>119</v>
      </c>
      <c r="B170" s="107">
        <v>945</v>
      </c>
      <c r="C170" s="22"/>
      <c r="D170" s="22"/>
      <c r="E170" s="107">
        <v>210</v>
      </c>
      <c r="F170" s="22"/>
      <c r="G170" s="22"/>
      <c r="H170" s="107">
        <v>1530</v>
      </c>
      <c r="I170" s="107">
        <v>6615</v>
      </c>
      <c r="J170" s="107">
        <v>450</v>
      </c>
      <c r="K170" s="107">
        <v>990</v>
      </c>
      <c r="L170" s="107">
        <v>135</v>
      </c>
      <c r="M170" s="22"/>
      <c r="N170" s="107">
        <v>10875</v>
      </c>
    </row>
    <row r="171" spans="1:14">
      <c r="A171" s="64" t="s">
        <v>120</v>
      </c>
      <c r="B171" s="107">
        <v>1080</v>
      </c>
      <c r="C171" s="22"/>
      <c r="D171" s="22"/>
      <c r="E171" s="22"/>
      <c r="F171" s="22"/>
      <c r="G171" s="22"/>
      <c r="H171" s="107">
        <v>1755</v>
      </c>
      <c r="I171" s="107">
        <v>8700</v>
      </c>
      <c r="J171" s="107">
        <v>-4890</v>
      </c>
      <c r="K171" s="22"/>
      <c r="L171" s="107">
        <v>300</v>
      </c>
      <c r="M171" s="107">
        <v>-210</v>
      </c>
      <c r="N171" s="107">
        <v>6735</v>
      </c>
    </row>
    <row r="172" spans="1:14">
      <c r="A172" s="64" t="s">
        <v>121</v>
      </c>
      <c r="B172" s="22"/>
      <c r="C172" s="22"/>
      <c r="D172" s="22"/>
      <c r="E172" s="22"/>
      <c r="F172" s="22"/>
      <c r="G172" s="22"/>
      <c r="H172" s="22"/>
      <c r="I172" s="22"/>
      <c r="J172" s="107">
        <v>310</v>
      </c>
      <c r="K172" s="22"/>
      <c r="L172" s="22"/>
      <c r="M172" s="22"/>
      <c r="N172" s="107">
        <v>310</v>
      </c>
    </row>
    <row r="173" spans="1:14">
      <c r="A173" s="64" t="s">
        <v>122</v>
      </c>
      <c r="B173" s="113"/>
      <c r="C173" s="111">
        <v>272.24</v>
      </c>
      <c r="D173" s="113"/>
      <c r="E173" s="113"/>
      <c r="F173" s="113"/>
      <c r="G173" s="113"/>
      <c r="H173" s="113"/>
      <c r="I173" s="111">
        <v>191.72</v>
      </c>
      <c r="J173" s="113"/>
      <c r="K173" s="113"/>
      <c r="L173" s="113"/>
      <c r="M173" s="113"/>
      <c r="N173" s="111">
        <v>463.96</v>
      </c>
    </row>
    <row r="174" spans="1:14">
      <c r="A174" s="64" t="s">
        <v>127</v>
      </c>
      <c r="B174" s="107">
        <f>SUM(B166:B173)</f>
        <v>2425.6999999999998</v>
      </c>
      <c r="C174" s="107">
        <f>SUM(C166:C173)</f>
        <v>1689.83</v>
      </c>
      <c r="D174" s="107">
        <f>SUM(D166:D173)</f>
        <v>555.33000000000004</v>
      </c>
      <c r="E174" s="107">
        <f>SUM(E166:E173)</f>
        <v>210</v>
      </c>
      <c r="F174" s="107"/>
      <c r="G174" s="107"/>
      <c r="H174" s="107">
        <f t="shared" ref="H174:M174" si="51">SUM(H166:H173)</f>
        <v>3285</v>
      </c>
      <c r="I174" s="107">
        <f t="shared" si="51"/>
        <v>17946.170000000002</v>
      </c>
      <c r="J174" s="107">
        <f t="shared" si="51"/>
        <v>-4130</v>
      </c>
      <c r="K174" s="107">
        <f t="shared" si="51"/>
        <v>990</v>
      </c>
      <c r="L174" s="107">
        <f t="shared" si="51"/>
        <v>435</v>
      </c>
      <c r="M174" s="107">
        <f t="shared" si="51"/>
        <v>-210</v>
      </c>
      <c r="N174" s="107">
        <v>23197.03</v>
      </c>
    </row>
    <row r="175" spans="1:14">
      <c r="A175" s="64"/>
      <c r="B175" s="22"/>
      <c r="C175" s="22"/>
      <c r="D175" s="22"/>
      <c r="E175" s="22"/>
      <c r="F175" s="22"/>
      <c r="G175" s="22"/>
      <c r="H175" s="22"/>
      <c r="I175" s="22"/>
      <c r="J175" s="22"/>
      <c r="K175" s="22"/>
      <c r="L175" s="22"/>
      <c r="M175" s="22"/>
      <c r="N175" s="22"/>
    </row>
    <row r="176" spans="1:14">
      <c r="A176" s="64" t="s">
        <v>47</v>
      </c>
      <c r="B176" s="107">
        <f t="shared" ref="B176:M176" si="52">SUM(B119:B175)-B130-0-0-B150-0-B164-B174</f>
        <v>21791.329999999962</v>
      </c>
      <c r="C176" s="107">
        <f t="shared" si="52"/>
        <v>37376.109999999993</v>
      </c>
      <c r="D176" s="107">
        <f t="shared" si="52"/>
        <v>30348.1</v>
      </c>
      <c r="E176" s="107">
        <f t="shared" si="52"/>
        <v>16546.160000000029</v>
      </c>
      <c r="F176" s="107">
        <f t="shared" si="52"/>
        <v>15040.780000000006</v>
      </c>
      <c r="G176" s="107">
        <f t="shared" si="52"/>
        <v>6183.9099999999926</v>
      </c>
      <c r="H176" s="107">
        <f t="shared" si="52"/>
        <v>11484.170000000013</v>
      </c>
      <c r="I176" s="107">
        <f t="shared" si="52"/>
        <v>27418.049999999977</v>
      </c>
      <c r="J176" s="107">
        <f t="shared" si="52"/>
        <v>44453.790000000008</v>
      </c>
      <c r="K176" s="107">
        <f t="shared" si="52"/>
        <v>20058.89000000001</v>
      </c>
      <c r="L176" s="107">
        <f t="shared" si="52"/>
        <v>9917.4400000000314</v>
      </c>
      <c r="M176" s="107">
        <f t="shared" si="52"/>
        <v>11159.689999999993</v>
      </c>
      <c r="N176" s="107">
        <v>251778.42</v>
      </c>
    </row>
    <row r="177" spans="1:14">
      <c r="A177" s="64"/>
      <c r="B177" s="22"/>
      <c r="C177" s="22"/>
      <c r="D177" s="22"/>
      <c r="E177" s="22"/>
      <c r="F177" s="22"/>
      <c r="G177" s="22"/>
      <c r="H177" s="22"/>
      <c r="I177" s="22"/>
      <c r="J177" s="22"/>
      <c r="K177" s="22"/>
      <c r="L177" s="22"/>
      <c r="M177" s="22"/>
      <c r="N177" s="22"/>
    </row>
    <row r="178" spans="1:14">
      <c r="A178" s="64" t="s">
        <v>48</v>
      </c>
      <c r="B178" s="22"/>
      <c r="C178" s="22"/>
      <c r="D178" s="22"/>
      <c r="E178" s="22"/>
      <c r="F178" s="22"/>
      <c r="G178" s="22"/>
      <c r="H178" s="22"/>
      <c r="I178" s="22"/>
      <c r="J178" s="22"/>
      <c r="K178" s="22"/>
      <c r="L178" s="22"/>
      <c r="M178" s="22"/>
      <c r="N178" s="22"/>
    </row>
    <row r="179" spans="1:14">
      <c r="A179" s="64" t="s">
        <v>130</v>
      </c>
      <c r="B179" s="107">
        <v>75</v>
      </c>
      <c r="C179" s="107">
        <v>75</v>
      </c>
      <c r="D179" s="107">
        <v>75</v>
      </c>
      <c r="E179" s="107">
        <v>75</v>
      </c>
      <c r="F179" s="107">
        <v>75</v>
      </c>
      <c r="G179" s="107">
        <v>75</v>
      </c>
      <c r="H179" s="107">
        <v>75</v>
      </c>
      <c r="I179" s="107">
        <v>75</v>
      </c>
      <c r="J179" s="107">
        <v>75</v>
      </c>
      <c r="K179" s="107">
        <v>75</v>
      </c>
      <c r="L179" s="107">
        <v>75</v>
      </c>
      <c r="M179" s="107">
        <v>75</v>
      </c>
      <c r="N179" s="107">
        <v>900</v>
      </c>
    </row>
    <row r="180" spans="1:14">
      <c r="A180" s="64" t="s">
        <v>132</v>
      </c>
      <c r="B180" s="107">
        <v>1696</v>
      </c>
      <c r="C180" s="107">
        <v>2030</v>
      </c>
      <c r="D180" s="107">
        <v>362.1</v>
      </c>
      <c r="E180" s="107">
        <v>4.21</v>
      </c>
      <c r="F180" s="107">
        <v>-33189.75</v>
      </c>
      <c r="G180" s="107">
        <v>3140</v>
      </c>
      <c r="H180" s="107">
        <v>1.03</v>
      </c>
      <c r="I180" s="22"/>
      <c r="J180" s="107">
        <v>963.2</v>
      </c>
      <c r="K180" s="107">
        <v>3106</v>
      </c>
      <c r="L180" s="107">
        <v>4184.71</v>
      </c>
      <c r="M180" s="22"/>
      <c r="N180" s="107">
        <v>-17702.5</v>
      </c>
    </row>
    <row r="181" spans="1:14">
      <c r="A181" s="64" t="s">
        <v>133</v>
      </c>
      <c r="B181" s="107">
        <v>31644</v>
      </c>
      <c r="C181" s="107">
        <v>85359</v>
      </c>
      <c r="D181" s="107">
        <v>93632</v>
      </c>
      <c r="E181" s="107">
        <v>83278</v>
      </c>
      <c r="F181" s="107">
        <v>161236</v>
      </c>
      <c r="G181" s="107">
        <v>24691</v>
      </c>
      <c r="H181" s="107">
        <v>25022</v>
      </c>
      <c r="I181" s="107">
        <v>27907</v>
      </c>
      <c r="J181" s="107">
        <v>29468</v>
      </c>
      <c r="K181" s="107">
        <v>31644</v>
      </c>
      <c r="L181" s="107">
        <v>31005</v>
      </c>
      <c r="M181" s="107">
        <v>32637</v>
      </c>
      <c r="N181" s="107">
        <v>657523</v>
      </c>
    </row>
    <row r="182" spans="1:14">
      <c r="A182" s="64" t="s">
        <v>360</v>
      </c>
      <c r="B182" s="107">
        <v>25000</v>
      </c>
      <c r="C182" s="107">
        <v>15000</v>
      </c>
      <c r="D182" s="107">
        <v>-236.33</v>
      </c>
      <c r="E182" s="107">
        <v>6000</v>
      </c>
      <c r="F182" s="107">
        <v>4000</v>
      </c>
      <c r="G182" s="107">
        <v>29850</v>
      </c>
      <c r="H182" s="107">
        <v>46300</v>
      </c>
      <c r="I182" s="107">
        <v>14700</v>
      </c>
      <c r="J182" s="107">
        <v>18800</v>
      </c>
      <c r="K182" s="107">
        <v>2966</v>
      </c>
      <c r="L182" s="107">
        <v>3300</v>
      </c>
      <c r="M182" s="107">
        <v>4200</v>
      </c>
      <c r="N182" s="107">
        <v>169879.67</v>
      </c>
    </row>
    <row r="183" spans="1:14">
      <c r="A183" s="64" t="s">
        <v>134</v>
      </c>
      <c r="B183" s="107">
        <v>0.03</v>
      </c>
      <c r="C183" s="107">
        <v>6.33</v>
      </c>
      <c r="D183" s="107">
        <v>2.09</v>
      </c>
      <c r="E183" s="107">
        <v>3.9</v>
      </c>
      <c r="F183" s="107">
        <v>0.13</v>
      </c>
      <c r="G183" s="107">
        <v>2.08</v>
      </c>
      <c r="H183" s="107">
        <v>8.16</v>
      </c>
      <c r="I183" s="107">
        <v>0.97</v>
      </c>
      <c r="J183" s="107">
        <v>24.96</v>
      </c>
      <c r="K183" s="22"/>
      <c r="L183" s="107">
        <v>86.61</v>
      </c>
      <c r="M183" s="22"/>
      <c r="N183" s="107">
        <v>135.26</v>
      </c>
    </row>
    <row r="184" spans="1:14">
      <c r="A184" s="64" t="s">
        <v>396</v>
      </c>
      <c r="B184" s="22"/>
      <c r="C184" s="22"/>
      <c r="D184" s="22"/>
      <c r="E184" s="22"/>
      <c r="F184" s="107">
        <v>403106</v>
      </c>
      <c r="G184" s="22"/>
      <c r="H184" s="22"/>
      <c r="I184" s="22"/>
      <c r="J184" s="22"/>
      <c r="K184" s="22"/>
      <c r="L184" s="22"/>
      <c r="M184" s="22"/>
      <c r="N184" s="107">
        <v>403106</v>
      </c>
    </row>
    <row r="185" spans="1:14">
      <c r="A185" s="64" t="s">
        <v>397</v>
      </c>
      <c r="B185" s="113"/>
      <c r="C185" s="113"/>
      <c r="D185" s="113"/>
      <c r="E185" s="113"/>
      <c r="F185" s="111">
        <v>-1263443</v>
      </c>
      <c r="G185" s="113"/>
      <c r="H185" s="113"/>
      <c r="I185" s="113"/>
      <c r="J185" s="113"/>
      <c r="K185" s="113"/>
      <c r="L185" s="113"/>
      <c r="M185" s="113"/>
      <c r="N185" s="111">
        <v>-1263443</v>
      </c>
    </row>
    <row r="186" spans="1:14">
      <c r="A186" s="64" t="s">
        <v>135</v>
      </c>
      <c r="B186" s="107">
        <f t="shared" ref="B186:M186" si="53">SUM(B177:B185)</f>
        <v>58415.03</v>
      </c>
      <c r="C186" s="107">
        <f t="shared" si="53"/>
        <v>102470.33</v>
      </c>
      <c r="D186" s="107">
        <f t="shared" si="53"/>
        <v>93834.86</v>
      </c>
      <c r="E186" s="107">
        <f t="shared" si="53"/>
        <v>89361.11</v>
      </c>
      <c r="F186" s="107">
        <f t="shared" si="53"/>
        <v>-728215.62</v>
      </c>
      <c r="G186" s="107">
        <f t="shared" si="53"/>
        <v>57758.080000000002</v>
      </c>
      <c r="H186" s="107">
        <f t="shared" si="53"/>
        <v>71406.19</v>
      </c>
      <c r="I186" s="107">
        <f t="shared" si="53"/>
        <v>42682.97</v>
      </c>
      <c r="J186" s="107">
        <f t="shared" si="53"/>
        <v>49331.159999999996</v>
      </c>
      <c r="K186" s="107">
        <f t="shared" si="53"/>
        <v>37791</v>
      </c>
      <c r="L186" s="107">
        <f t="shared" si="53"/>
        <v>38651.32</v>
      </c>
      <c r="M186" s="107">
        <f t="shared" si="53"/>
        <v>36912</v>
      </c>
      <c r="N186" s="107">
        <v>-49601.57</v>
      </c>
    </row>
    <row r="187" spans="1:14">
      <c r="A187" s="64"/>
      <c r="B187" s="22"/>
      <c r="C187" s="22"/>
      <c r="D187" s="22"/>
      <c r="E187" s="22"/>
      <c r="F187" s="22"/>
      <c r="G187" s="22"/>
      <c r="H187" s="22"/>
      <c r="I187" s="22"/>
      <c r="J187" s="22"/>
      <c r="K187" s="22"/>
      <c r="L187" s="22"/>
      <c r="M187" s="22"/>
      <c r="N187" s="22"/>
    </row>
    <row r="188" spans="1:14" ht="15.75" thickBot="1">
      <c r="A188" s="64" t="s">
        <v>13</v>
      </c>
      <c r="B188" s="112">
        <f t="shared" ref="B188:M188" si="54">SUM(B67:B187)-B69-B73-B77-B80-B84-B88-B90-B96-B100-B104-B107-B111-B115-B117-B130-0-0-B150-0-B164-B174-B176-B186</f>
        <v>764761.48999999929</v>
      </c>
      <c r="C188" s="112">
        <f t="shared" si="54"/>
        <v>718497.68000000028</v>
      </c>
      <c r="D188" s="112">
        <f t="shared" si="54"/>
        <v>737681.35000000056</v>
      </c>
      <c r="E188" s="112">
        <f t="shared" si="54"/>
        <v>772930.96000000008</v>
      </c>
      <c r="F188" s="112">
        <f t="shared" si="54"/>
        <v>-163180.40000000014</v>
      </c>
      <c r="G188" s="112">
        <f t="shared" si="54"/>
        <v>822364.63</v>
      </c>
      <c r="H188" s="112">
        <f t="shared" si="54"/>
        <v>796914.62000000011</v>
      </c>
      <c r="I188" s="112">
        <f t="shared" si="54"/>
        <v>737624.41000000073</v>
      </c>
      <c r="J188" s="112">
        <f t="shared" si="54"/>
        <v>696733.19999999949</v>
      </c>
      <c r="K188" s="112">
        <f t="shared" si="54"/>
        <v>697696.6399999999</v>
      </c>
      <c r="L188" s="112">
        <f t="shared" si="54"/>
        <v>877060.66999999841</v>
      </c>
      <c r="M188" s="112">
        <f t="shared" si="54"/>
        <v>922315.63999999966</v>
      </c>
      <c r="N188" s="112">
        <v>8381400.8899999997</v>
      </c>
    </row>
    <row r="189" spans="1:14" ht="15.75" thickTop="1">
      <c r="A189" s="64"/>
      <c r="B189" s="22"/>
      <c r="C189" s="22"/>
      <c r="D189" s="22"/>
      <c r="E189" s="22"/>
      <c r="F189" s="22"/>
      <c r="G189" s="22"/>
      <c r="H189" s="22"/>
      <c r="I189" s="22"/>
      <c r="J189" s="22"/>
      <c r="K189" s="22"/>
      <c r="L189" s="22"/>
      <c r="M189" s="22"/>
      <c r="N189" s="22"/>
    </row>
    <row r="190" spans="1:14">
      <c r="A190" s="64"/>
      <c r="B190" s="22"/>
      <c r="C190" s="22"/>
      <c r="D190" s="22"/>
      <c r="E190" s="22"/>
      <c r="F190" s="22"/>
      <c r="G190" s="22"/>
      <c r="H190" s="22"/>
      <c r="I190" s="22"/>
      <c r="J190" s="22"/>
      <c r="K190" s="22"/>
      <c r="L190" s="22"/>
      <c r="M190" s="22"/>
      <c r="N190" s="22"/>
    </row>
    <row r="191" spans="1:14">
      <c r="A191" s="64" t="s">
        <v>14</v>
      </c>
      <c r="B191" s="22"/>
      <c r="C191" s="22"/>
      <c r="D191" s="22"/>
      <c r="E191" s="22"/>
      <c r="F191" s="22"/>
      <c r="G191" s="22"/>
      <c r="H191" s="22"/>
      <c r="I191" s="22"/>
      <c r="J191" s="22"/>
      <c r="K191" s="22"/>
      <c r="L191" s="22"/>
      <c r="M191" s="22"/>
      <c r="N191" s="22"/>
    </row>
    <row r="192" spans="1:14">
      <c r="A192" s="64"/>
      <c r="B192" s="22"/>
      <c r="C192" s="22"/>
      <c r="D192" s="22"/>
      <c r="E192" s="22"/>
      <c r="F192" s="22"/>
      <c r="G192" s="22"/>
      <c r="H192" s="22"/>
      <c r="I192" s="22"/>
      <c r="J192" s="22"/>
      <c r="K192" s="22"/>
      <c r="L192" s="22"/>
      <c r="M192" s="22"/>
      <c r="N192" s="22"/>
    </row>
    <row r="193" spans="1:14">
      <c r="A193" s="64" t="s">
        <v>136</v>
      </c>
      <c r="B193" s="22"/>
      <c r="C193" s="22"/>
      <c r="D193" s="22"/>
      <c r="E193" s="22"/>
      <c r="F193" s="22"/>
      <c r="G193" s="22"/>
      <c r="H193" s="22"/>
      <c r="I193" s="22"/>
      <c r="J193" s="22"/>
      <c r="K193" s="22"/>
      <c r="L193" s="22"/>
      <c r="M193" s="22"/>
      <c r="N193" s="22"/>
    </row>
    <row r="194" spans="1:14">
      <c r="A194" s="64" t="s">
        <v>137</v>
      </c>
      <c r="B194" s="107">
        <v>11669.95</v>
      </c>
      <c r="C194" s="107">
        <v>10766.47</v>
      </c>
      <c r="D194" s="107">
        <v>11669.95</v>
      </c>
      <c r="E194" s="107">
        <v>11293.5</v>
      </c>
      <c r="F194" s="107">
        <v>9110.09</v>
      </c>
      <c r="G194" s="107">
        <v>11594.66</v>
      </c>
      <c r="H194" s="107">
        <v>10441.16</v>
      </c>
      <c r="I194" s="107">
        <v>10843.26</v>
      </c>
      <c r="J194" s="107">
        <v>10002.83</v>
      </c>
      <c r="K194" s="107">
        <v>11476.1</v>
      </c>
      <c r="L194" s="107">
        <v>11631.2</v>
      </c>
      <c r="M194" s="107">
        <v>11476.11</v>
      </c>
      <c r="N194" s="107">
        <v>131975.28</v>
      </c>
    </row>
    <row r="195" spans="1:14">
      <c r="A195" s="64" t="s">
        <v>138</v>
      </c>
      <c r="B195" s="107">
        <v>24452.18</v>
      </c>
      <c r="C195" s="107">
        <v>18042.11</v>
      </c>
      <c r="D195" s="107">
        <v>20655.72</v>
      </c>
      <c r="E195" s="107">
        <v>15502.35</v>
      </c>
      <c r="F195" s="107">
        <v>12838.23</v>
      </c>
      <c r="G195" s="107">
        <v>14266.45</v>
      </c>
      <c r="H195" s="107">
        <v>21830.45</v>
      </c>
      <c r="I195" s="107">
        <v>21250.34</v>
      </c>
      <c r="J195" s="107">
        <v>17407.09</v>
      </c>
      <c r="K195" s="107">
        <v>19340.63</v>
      </c>
      <c r="L195" s="107">
        <v>23942.1</v>
      </c>
      <c r="M195" s="107">
        <v>15916.9</v>
      </c>
      <c r="N195" s="107">
        <v>225444.55</v>
      </c>
    </row>
    <row r="196" spans="1:14">
      <c r="A196" s="64" t="s">
        <v>139</v>
      </c>
      <c r="B196" s="107">
        <v>90330.37</v>
      </c>
      <c r="C196" s="107">
        <v>85255.88</v>
      </c>
      <c r="D196" s="107">
        <v>100459.29</v>
      </c>
      <c r="E196" s="107">
        <v>95053.17</v>
      </c>
      <c r="F196" s="107">
        <v>88311.81</v>
      </c>
      <c r="G196" s="107">
        <v>98227.27</v>
      </c>
      <c r="H196" s="107">
        <v>92870.080000000002</v>
      </c>
      <c r="I196" s="107">
        <v>93080.35</v>
      </c>
      <c r="J196" s="107">
        <v>91168.51</v>
      </c>
      <c r="K196" s="107">
        <v>80212.7</v>
      </c>
      <c r="L196" s="107">
        <v>97792.49</v>
      </c>
      <c r="M196" s="107">
        <v>115567.89</v>
      </c>
      <c r="N196" s="107">
        <v>1128329.81</v>
      </c>
    </row>
    <row r="197" spans="1:14">
      <c r="A197" s="64" t="s">
        <v>140</v>
      </c>
      <c r="B197" s="107">
        <v>5668.57</v>
      </c>
      <c r="C197" s="107">
        <v>4717.72</v>
      </c>
      <c r="D197" s="107">
        <v>5668.57</v>
      </c>
      <c r="E197" s="107">
        <v>5485.71</v>
      </c>
      <c r="F197" s="107">
        <v>4406.8599999999997</v>
      </c>
      <c r="G197" s="107">
        <v>5394.28</v>
      </c>
      <c r="H197" s="107">
        <v>5120</v>
      </c>
      <c r="I197" s="107">
        <v>5668.58</v>
      </c>
      <c r="J197" s="107">
        <v>4205.71</v>
      </c>
      <c r="K197" s="107">
        <v>5412.57</v>
      </c>
      <c r="L197" s="107">
        <v>5229.72</v>
      </c>
      <c r="M197" s="107">
        <v>5494.85</v>
      </c>
      <c r="N197" s="107">
        <v>62473.14</v>
      </c>
    </row>
    <row r="198" spans="1:14">
      <c r="A198" s="64" t="s">
        <v>141</v>
      </c>
      <c r="B198" s="107">
        <v>15296.05</v>
      </c>
      <c r="C198" s="107">
        <v>14222.33</v>
      </c>
      <c r="D198" s="107">
        <v>14362.69</v>
      </c>
      <c r="E198" s="107">
        <v>14020.02</v>
      </c>
      <c r="F198" s="107">
        <v>14097.35</v>
      </c>
      <c r="G198" s="107">
        <v>12086.39</v>
      </c>
      <c r="H198" s="107">
        <v>13206.99</v>
      </c>
      <c r="I198" s="107">
        <v>15239.27</v>
      </c>
      <c r="J198" s="107">
        <v>14192.52</v>
      </c>
      <c r="K198" s="107">
        <v>13090.11</v>
      </c>
      <c r="L198" s="107">
        <v>14794.23</v>
      </c>
      <c r="M198" s="107">
        <v>14549.8</v>
      </c>
      <c r="N198" s="107">
        <v>169157.75</v>
      </c>
    </row>
    <row r="199" spans="1:14">
      <c r="A199" s="64" t="s">
        <v>142</v>
      </c>
      <c r="B199" s="107">
        <v>4155.9399999999996</v>
      </c>
      <c r="C199" s="107">
        <v>3549.95</v>
      </c>
      <c r="D199" s="107">
        <v>4787.3</v>
      </c>
      <c r="E199" s="107">
        <v>2569.6</v>
      </c>
      <c r="F199" s="107">
        <v>4533.96</v>
      </c>
      <c r="G199" s="107">
        <v>2781.64</v>
      </c>
      <c r="H199" s="107">
        <v>2705.05</v>
      </c>
      <c r="I199" s="107">
        <v>3429.87</v>
      </c>
      <c r="J199" s="107">
        <v>7096.74</v>
      </c>
      <c r="K199" s="107">
        <v>5511.92</v>
      </c>
      <c r="L199" s="107">
        <v>7789.66</v>
      </c>
      <c r="M199" s="107">
        <v>8777.9599999999991</v>
      </c>
      <c r="N199" s="107">
        <v>57689.59</v>
      </c>
    </row>
    <row r="200" spans="1:14">
      <c r="A200" s="64" t="s">
        <v>143</v>
      </c>
      <c r="B200" s="107">
        <v>40281.9</v>
      </c>
      <c r="C200" s="107">
        <v>48402.400000000001</v>
      </c>
      <c r="D200" s="107">
        <v>52022.2</v>
      </c>
      <c r="E200" s="107">
        <v>47682.09</v>
      </c>
      <c r="F200" s="107">
        <v>44478.58</v>
      </c>
      <c r="G200" s="107">
        <v>51503.199999999997</v>
      </c>
      <c r="H200" s="107">
        <v>50870.23</v>
      </c>
      <c r="I200" s="107">
        <v>51471.46</v>
      </c>
      <c r="J200" s="107">
        <v>53558.73</v>
      </c>
      <c r="K200" s="107">
        <v>54508.47</v>
      </c>
      <c r="L200" s="107">
        <v>58717.03</v>
      </c>
      <c r="M200" s="107">
        <v>60564.51</v>
      </c>
      <c r="N200" s="107">
        <v>614060.80000000005</v>
      </c>
    </row>
    <row r="201" spans="1:14">
      <c r="A201" s="64" t="s">
        <v>144</v>
      </c>
      <c r="B201" s="107">
        <v>6247.83</v>
      </c>
      <c r="C201" s="107">
        <v>5764.12</v>
      </c>
      <c r="D201" s="107">
        <v>6247.83</v>
      </c>
      <c r="E201" s="107">
        <v>5562.59</v>
      </c>
      <c r="F201" s="107">
        <v>5885.05</v>
      </c>
      <c r="G201" s="107">
        <v>5038.57</v>
      </c>
      <c r="H201" s="107">
        <v>5723.82</v>
      </c>
      <c r="I201" s="107">
        <v>6056.36</v>
      </c>
      <c r="J201" s="107">
        <v>6096.67</v>
      </c>
      <c r="K201" s="107">
        <v>5965.67</v>
      </c>
      <c r="L201" s="107">
        <v>6046.28</v>
      </c>
      <c r="M201" s="107">
        <v>4837.03</v>
      </c>
      <c r="N201" s="107">
        <v>69471.820000000007</v>
      </c>
    </row>
    <row r="202" spans="1:14">
      <c r="A202" s="64" t="s">
        <v>145</v>
      </c>
      <c r="B202" s="107">
        <v>3631.43</v>
      </c>
      <c r="C202" s="107">
        <v>3350.28</v>
      </c>
      <c r="D202" s="107">
        <v>3631.43</v>
      </c>
      <c r="E202" s="107">
        <v>3514.29</v>
      </c>
      <c r="F202" s="107">
        <v>3139.43</v>
      </c>
      <c r="G202" s="107">
        <v>3077.93</v>
      </c>
      <c r="H202" s="107">
        <v>3280</v>
      </c>
      <c r="I202" s="107">
        <v>3631.42</v>
      </c>
      <c r="J202" s="107">
        <v>3268.29</v>
      </c>
      <c r="K202" s="107">
        <v>2225.71</v>
      </c>
      <c r="L202" s="107">
        <v>4018</v>
      </c>
      <c r="M202" s="107">
        <v>3467.43</v>
      </c>
      <c r="N202" s="107">
        <v>40235.64</v>
      </c>
    </row>
    <row r="203" spans="1:14">
      <c r="A203" s="64" t="s">
        <v>146</v>
      </c>
      <c r="B203" s="107">
        <v>2103.19</v>
      </c>
      <c r="C203" s="107">
        <v>2069.86</v>
      </c>
      <c r="D203" s="107">
        <v>1810.3</v>
      </c>
      <c r="E203" s="107">
        <v>1719.6</v>
      </c>
      <c r="F203" s="107">
        <v>1950.79</v>
      </c>
      <c r="G203" s="107">
        <v>450.81</v>
      </c>
      <c r="H203" s="107">
        <v>-3.09</v>
      </c>
      <c r="I203" s="107">
        <v>885.62</v>
      </c>
      <c r="J203" s="107">
        <v>399.61</v>
      </c>
      <c r="K203" s="107">
        <v>3032.13</v>
      </c>
      <c r="L203" s="107">
        <v>1438.23</v>
      </c>
      <c r="M203" s="107">
        <v>1681.73</v>
      </c>
      <c r="N203" s="107">
        <v>17538.78</v>
      </c>
    </row>
    <row r="204" spans="1:14">
      <c r="A204" s="64" t="s">
        <v>147</v>
      </c>
      <c r="B204" s="107">
        <v>2818.86</v>
      </c>
      <c r="C204" s="107">
        <v>2639.96</v>
      </c>
      <c r="D204" s="107">
        <v>2722.98</v>
      </c>
      <c r="E204" s="107">
        <v>2715.07</v>
      </c>
      <c r="F204" s="107">
        <v>2836.11</v>
      </c>
      <c r="G204" s="107">
        <v>2184.23</v>
      </c>
      <c r="H204" s="107">
        <v>1962.65</v>
      </c>
      <c r="I204" s="107">
        <v>2933.73</v>
      </c>
      <c r="J204" s="107">
        <v>2593.48</v>
      </c>
      <c r="K204" s="107">
        <v>2644.05</v>
      </c>
      <c r="L204" s="107">
        <v>2335.64</v>
      </c>
      <c r="M204" s="107">
        <v>2706.62</v>
      </c>
      <c r="N204" s="107">
        <v>31093.38</v>
      </c>
    </row>
    <row r="205" spans="1:14">
      <c r="A205" s="64" t="s">
        <v>148</v>
      </c>
      <c r="B205" s="107">
        <v>3374.43</v>
      </c>
      <c r="C205" s="107">
        <v>3141.2</v>
      </c>
      <c r="D205" s="107">
        <v>3368.25</v>
      </c>
      <c r="E205" s="107">
        <v>2763.34</v>
      </c>
      <c r="F205" s="107">
        <v>3297.77</v>
      </c>
      <c r="G205" s="107">
        <v>3247.44</v>
      </c>
      <c r="H205" s="107">
        <v>2640.33</v>
      </c>
      <c r="I205" s="107">
        <v>2905.49</v>
      </c>
      <c r="J205" s="107">
        <v>2268.35</v>
      </c>
      <c r="K205" s="107">
        <v>3804.86</v>
      </c>
      <c r="L205" s="107">
        <v>2795.81</v>
      </c>
      <c r="M205" s="107">
        <v>2683.23</v>
      </c>
      <c r="N205" s="107">
        <v>36290.5</v>
      </c>
    </row>
    <row r="206" spans="1:14">
      <c r="A206" s="64" t="s">
        <v>283</v>
      </c>
      <c r="B206" s="107">
        <v>477.07</v>
      </c>
      <c r="C206" s="107">
        <v>320.54000000000002</v>
      </c>
      <c r="D206" s="107">
        <v>586.21</v>
      </c>
      <c r="E206" s="107">
        <v>401.83</v>
      </c>
      <c r="F206" s="107">
        <v>347.56</v>
      </c>
      <c r="G206" s="107">
        <v>-1048.6600000000001</v>
      </c>
      <c r="H206" s="107">
        <v>112</v>
      </c>
      <c r="I206" s="107">
        <v>220.85</v>
      </c>
      <c r="J206" s="107">
        <v>269.74</v>
      </c>
      <c r="K206" s="107">
        <v>1361.53</v>
      </c>
      <c r="L206" s="107">
        <v>1091.4000000000001</v>
      </c>
      <c r="M206" s="107">
        <v>2494.77</v>
      </c>
      <c r="N206" s="107">
        <v>6634.84</v>
      </c>
    </row>
    <row r="207" spans="1:14">
      <c r="A207" s="64" t="s">
        <v>153</v>
      </c>
      <c r="B207" s="107">
        <v>5078.04</v>
      </c>
      <c r="C207" s="107">
        <v>4540.05</v>
      </c>
      <c r="D207" s="107">
        <v>4405.95</v>
      </c>
      <c r="E207" s="107">
        <v>5267.04</v>
      </c>
      <c r="F207" s="107">
        <v>4039.82</v>
      </c>
      <c r="G207" s="107">
        <v>4492.16</v>
      </c>
      <c r="H207" s="107">
        <v>4291.4799999999996</v>
      </c>
      <c r="I207" s="107">
        <v>4377.7299999999996</v>
      </c>
      <c r="J207" s="107">
        <v>4666.17</v>
      </c>
      <c r="K207" s="107">
        <v>4446.6499999999996</v>
      </c>
      <c r="L207" s="107">
        <v>1249.94</v>
      </c>
      <c r="M207" s="107">
        <v>6229.29</v>
      </c>
      <c r="N207" s="107">
        <v>53084.32</v>
      </c>
    </row>
    <row r="208" spans="1:14">
      <c r="A208" s="64" t="s">
        <v>154</v>
      </c>
      <c r="B208" s="107">
        <v>10263.209999999999</v>
      </c>
      <c r="C208" s="107">
        <v>9468.65</v>
      </c>
      <c r="D208" s="107">
        <v>10263.209999999999</v>
      </c>
      <c r="E208" s="107">
        <v>9932.14</v>
      </c>
      <c r="F208" s="107">
        <v>9799.7199999999993</v>
      </c>
      <c r="G208" s="107">
        <v>9336.2099999999991</v>
      </c>
      <c r="H208" s="107">
        <v>18382.59</v>
      </c>
      <c r="I208" s="107">
        <v>10571.11</v>
      </c>
      <c r="J208" s="107">
        <v>9513.99</v>
      </c>
      <c r="K208" s="107">
        <v>10332.41</v>
      </c>
      <c r="L208" s="107">
        <v>8456.8799999999992</v>
      </c>
      <c r="M208" s="107">
        <v>10912.11</v>
      </c>
      <c r="N208" s="107">
        <v>127232.23</v>
      </c>
    </row>
    <row r="209" spans="1:14">
      <c r="A209" s="64" t="s">
        <v>155</v>
      </c>
      <c r="B209" s="111">
        <v>20955.71</v>
      </c>
      <c r="C209" s="111">
        <v>19040.38</v>
      </c>
      <c r="D209" s="111">
        <v>18495.27</v>
      </c>
      <c r="E209" s="111">
        <v>21348.6</v>
      </c>
      <c r="F209" s="111">
        <v>18502.419999999998</v>
      </c>
      <c r="G209" s="111">
        <v>19035.509999999998</v>
      </c>
      <c r="H209" s="111">
        <v>19682.28</v>
      </c>
      <c r="I209" s="111">
        <v>19023.900000000001</v>
      </c>
      <c r="J209" s="111">
        <v>19423.97</v>
      </c>
      <c r="K209" s="111">
        <v>20475.72</v>
      </c>
      <c r="L209" s="111">
        <v>20429.86</v>
      </c>
      <c r="M209" s="111">
        <v>22417.24</v>
      </c>
      <c r="N209" s="111">
        <v>238830.86</v>
      </c>
    </row>
    <row r="210" spans="1:14">
      <c r="A210" s="64" t="s">
        <v>156</v>
      </c>
      <c r="B210" s="107">
        <f t="shared" ref="B210:M210" si="55">SUM(B189:B209)</f>
        <v>246804.72999999995</v>
      </c>
      <c r="C210" s="107">
        <f t="shared" si="55"/>
        <v>235291.9</v>
      </c>
      <c r="D210" s="107">
        <f t="shared" si="55"/>
        <v>261157.14999999994</v>
      </c>
      <c r="E210" s="107">
        <f t="shared" si="55"/>
        <v>244830.94000000003</v>
      </c>
      <c r="F210" s="107">
        <f t="shared" si="55"/>
        <v>227575.55</v>
      </c>
      <c r="G210" s="107">
        <f t="shared" si="55"/>
        <v>241668.09000000003</v>
      </c>
      <c r="H210" s="107">
        <f t="shared" si="55"/>
        <v>253116.02</v>
      </c>
      <c r="I210" s="107">
        <f t="shared" si="55"/>
        <v>251589.34</v>
      </c>
      <c r="J210" s="107">
        <f t="shared" si="55"/>
        <v>246132.40000000002</v>
      </c>
      <c r="K210" s="107">
        <f t="shared" si="55"/>
        <v>243841.22999999998</v>
      </c>
      <c r="L210" s="107">
        <f t="shared" si="55"/>
        <v>267758.47000000003</v>
      </c>
      <c r="M210" s="107">
        <f t="shared" si="55"/>
        <v>289777.46999999997</v>
      </c>
      <c r="N210" s="107">
        <v>3009543.29</v>
      </c>
    </row>
    <row r="211" spans="1:14">
      <c r="A211" s="64"/>
      <c r="B211" s="22"/>
      <c r="C211" s="22"/>
      <c r="D211" s="22"/>
      <c r="E211" s="22"/>
      <c r="F211" s="22"/>
      <c r="G211" s="22"/>
      <c r="H211" s="22"/>
      <c r="I211" s="22"/>
      <c r="J211" s="22"/>
      <c r="K211" s="22"/>
      <c r="L211" s="22"/>
      <c r="M211" s="22"/>
      <c r="N211" s="22"/>
    </row>
    <row r="212" spans="1:14">
      <c r="A212" s="64"/>
      <c r="B212" s="22"/>
      <c r="C212" s="22"/>
      <c r="D212" s="22"/>
      <c r="E212" s="22"/>
      <c r="F212" s="22"/>
      <c r="G212" s="22"/>
      <c r="H212" s="22"/>
      <c r="I212" s="22"/>
      <c r="J212" s="22"/>
      <c r="K212" s="22"/>
      <c r="L212" s="22"/>
      <c r="M212" s="22"/>
      <c r="N212" s="22"/>
    </row>
    <row r="213" spans="1:14">
      <c r="A213" s="64" t="s">
        <v>157</v>
      </c>
      <c r="B213" s="22"/>
      <c r="C213" s="22"/>
      <c r="D213" s="22"/>
      <c r="E213" s="22"/>
      <c r="F213" s="22"/>
      <c r="G213" s="22"/>
      <c r="H213" s="22"/>
      <c r="I213" s="22"/>
      <c r="J213" s="22"/>
      <c r="K213" s="22"/>
      <c r="L213" s="22"/>
      <c r="M213" s="22"/>
      <c r="N213" s="22"/>
    </row>
    <row r="214" spans="1:14">
      <c r="A214" s="64" t="s">
        <v>159</v>
      </c>
      <c r="B214" s="107">
        <v>17375.41</v>
      </c>
      <c r="C214" s="107">
        <v>14544.88</v>
      </c>
      <c r="D214" s="107">
        <v>30272.32</v>
      </c>
      <c r="E214" s="107">
        <v>21124.95</v>
      </c>
      <c r="F214" s="107">
        <v>-100115.25</v>
      </c>
      <c r="G214" s="107"/>
      <c r="H214" s="107"/>
      <c r="I214" s="107"/>
      <c r="J214" s="107"/>
      <c r="K214" s="22"/>
      <c r="L214" s="22"/>
      <c r="M214" s="107"/>
      <c r="N214" s="107">
        <v>-16797.689999999999</v>
      </c>
    </row>
    <row r="215" spans="1:14">
      <c r="A215" s="64" t="s">
        <v>160</v>
      </c>
      <c r="B215" s="22"/>
      <c r="C215" s="22"/>
      <c r="D215" s="22"/>
      <c r="E215" s="22"/>
      <c r="F215" s="107">
        <v>514.58000000000004</v>
      </c>
      <c r="G215" s="107"/>
      <c r="H215" s="22"/>
      <c r="I215" s="22"/>
      <c r="J215" s="22"/>
      <c r="K215" s="22"/>
      <c r="L215" s="22"/>
      <c r="M215" s="22"/>
      <c r="N215" s="107">
        <v>514.58000000000004</v>
      </c>
    </row>
    <row r="216" spans="1:14">
      <c r="A216" s="64" t="s">
        <v>161</v>
      </c>
      <c r="B216" s="111">
        <v>19288.48</v>
      </c>
      <c r="C216" s="111">
        <v>22449.46</v>
      </c>
      <c r="D216" s="111">
        <v>32921.120000000003</v>
      </c>
      <c r="E216" s="111">
        <v>19562.2</v>
      </c>
      <c r="F216" s="111">
        <v>-141036.46</v>
      </c>
      <c r="G216" s="111"/>
      <c r="H216" s="111"/>
      <c r="I216" s="111"/>
      <c r="J216" s="111"/>
      <c r="K216" s="113"/>
      <c r="L216" s="113"/>
      <c r="M216" s="113"/>
      <c r="N216" s="111">
        <v>-46815.199999999997</v>
      </c>
    </row>
    <row r="217" spans="1:14">
      <c r="A217" s="64" t="s">
        <v>162</v>
      </c>
      <c r="B217" s="107">
        <f>SUM(B211:B216)</f>
        <v>36663.89</v>
      </c>
      <c r="C217" s="107">
        <f>SUM(C211:C216)</f>
        <v>36994.339999999997</v>
      </c>
      <c r="D217" s="107">
        <f>SUM(D211:D216)</f>
        <v>63193.440000000002</v>
      </c>
      <c r="E217" s="107">
        <f>SUM(E211:E216)</f>
        <v>40687.15</v>
      </c>
      <c r="F217" s="107">
        <f>SUM(F211:F216)</f>
        <v>-240637.13</v>
      </c>
      <c r="G217" s="107"/>
      <c r="H217" s="107"/>
      <c r="I217" s="107"/>
      <c r="J217" s="107"/>
      <c r="K217" s="107"/>
      <c r="L217" s="107"/>
      <c r="M217" s="107"/>
      <c r="N217" s="107">
        <v>-63098.31</v>
      </c>
    </row>
    <row r="218" spans="1:14">
      <c r="A218" s="64"/>
      <c r="B218" s="22"/>
      <c r="C218" s="22"/>
      <c r="D218" s="22"/>
      <c r="E218" s="22"/>
      <c r="F218" s="22"/>
      <c r="G218" s="22"/>
      <c r="H218" s="22"/>
      <c r="I218" s="22"/>
      <c r="J218" s="22"/>
      <c r="K218" s="22"/>
      <c r="L218" s="22"/>
      <c r="M218" s="22"/>
      <c r="N218" s="22"/>
    </row>
    <row r="219" spans="1:14">
      <c r="A219" s="64" t="s">
        <v>163</v>
      </c>
      <c r="B219" s="22"/>
      <c r="C219" s="22"/>
      <c r="D219" s="22"/>
      <c r="E219" s="22"/>
      <c r="F219" s="22"/>
      <c r="G219" s="22"/>
      <c r="H219" s="22"/>
      <c r="I219" s="22"/>
      <c r="J219" s="22"/>
      <c r="K219" s="22"/>
      <c r="L219" s="22"/>
      <c r="M219" s="22"/>
      <c r="N219" s="22"/>
    </row>
    <row r="220" spans="1:14">
      <c r="A220" s="64" t="s">
        <v>164</v>
      </c>
      <c r="B220" s="107">
        <v>19410.72</v>
      </c>
      <c r="C220" s="107">
        <v>19730.54</v>
      </c>
      <c r="D220" s="107">
        <v>20279.099999999999</v>
      </c>
      <c r="E220" s="107">
        <v>18949.490000000002</v>
      </c>
      <c r="F220" s="107">
        <v>19416.650000000001</v>
      </c>
      <c r="G220" s="107">
        <v>21283.18</v>
      </c>
      <c r="H220" s="107">
        <v>21423.51</v>
      </c>
      <c r="I220" s="107">
        <v>20599.810000000001</v>
      </c>
      <c r="J220" s="107">
        <v>19959.05</v>
      </c>
      <c r="K220" s="107">
        <v>20047.29</v>
      </c>
      <c r="L220" s="107">
        <v>20428.88</v>
      </c>
      <c r="M220" s="107">
        <v>23524.62</v>
      </c>
      <c r="N220" s="107">
        <v>245052.84</v>
      </c>
    </row>
    <row r="221" spans="1:14">
      <c r="A221" s="64" t="s">
        <v>165</v>
      </c>
      <c r="B221" s="107">
        <v>357.65</v>
      </c>
      <c r="C221" s="107">
        <v>716.83</v>
      </c>
      <c r="D221" s="107">
        <v>526.22</v>
      </c>
      <c r="E221" s="107">
        <v>703.3</v>
      </c>
      <c r="F221" s="107">
        <v>572.4</v>
      </c>
      <c r="G221" s="107">
        <v>7182.71</v>
      </c>
      <c r="H221" s="107">
        <v>2136.63</v>
      </c>
      <c r="I221" s="107">
        <v>1337.16</v>
      </c>
      <c r="J221" s="107">
        <v>902.56</v>
      </c>
      <c r="K221" s="107">
        <v>811.21</v>
      </c>
      <c r="L221" s="107">
        <v>680.24</v>
      </c>
      <c r="M221" s="107">
        <v>982.07</v>
      </c>
      <c r="N221" s="107">
        <v>16908.98</v>
      </c>
    </row>
    <row r="222" spans="1:14">
      <c r="A222" s="64" t="s">
        <v>166</v>
      </c>
      <c r="B222" s="107">
        <v>1770.35</v>
      </c>
      <c r="C222" s="107">
        <v>2405.04</v>
      </c>
      <c r="D222" s="107">
        <v>1314.45</v>
      </c>
      <c r="E222" s="107">
        <v>3409.59</v>
      </c>
      <c r="F222" s="107">
        <v>3312.73</v>
      </c>
      <c r="G222" s="107">
        <v>2578.2600000000002</v>
      </c>
      <c r="H222" s="107">
        <v>564.08000000000004</v>
      </c>
      <c r="I222" s="107">
        <v>7970.92</v>
      </c>
      <c r="J222" s="107">
        <v>4415.55</v>
      </c>
      <c r="K222" s="107">
        <v>3386.51</v>
      </c>
      <c r="L222" s="107">
        <v>4424.59</v>
      </c>
      <c r="M222" s="107">
        <v>4732.6000000000004</v>
      </c>
      <c r="N222" s="107">
        <v>40284.67</v>
      </c>
    </row>
    <row r="223" spans="1:14">
      <c r="A223" s="64" t="s">
        <v>167</v>
      </c>
      <c r="B223" s="107">
        <v>5537.61</v>
      </c>
      <c r="C223" s="107">
        <v>10312.450000000001</v>
      </c>
      <c r="D223" s="107">
        <v>3189.8</v>
      </c>
      <c r="E223" s="107">
        <v>1697.81</v>
      </c>
      <c r="F223" s="107">
        <v>13212.87</v>
      </c>
      <c r="G223" s="107">
        <v>5363.44</v>
      </c>
      <c r="H223" s="107">
        <v>2587.69</v>
      </c>
      <c r="I223" s="107">
        <v>11872.61</v>
      </c>
      <c r="J223" s="107">
        <v>8565.7199999999993</v>
      </c>
      <c r="K223" s="107">
        <v>9427.89</v>
      </c>
      <c r="L223" s="107">
        <v>4380.84</v>
      </c>
      <c r="M223" s="107">
        <v>7556.74</v>
      </c>
      <c r="N223" s="107">
        <v>83705.47</v>
      </c>
    </row>
    <row r="224" spans="1:14">
      <c r="A224" s="64" t="s">
        <v>168</v>
      </c>
      <c r="B224" s="22"/>
      <c r="C224" s="107">
        <v>9553.6299999999992</v>
      </c>
      <c r="D224" s="22"/>
      <c r="E224" s="107">
        <v>8625.39</v>
      </c>
      <c r="F224" s="107">
        <v>9579.51</v>
      </c>
      <c r="G224" s="107">
        <v>8712.8700000000008</v>
      </c>
      <c r="H224" s="22"/>
      <c r="I224" s="22"/>
      <c r="J224" s="22"/>
      <c r="K224" s="107">
        <v>11674.4</v>
      </c>
      <c r="L224" s="107">
        <v>-3789.68</v>
      </c>
      <c r="M224" s="107">
        <v>8415.02</v>
      </c>
      <c r="N224" s="107">
        <v>52771.14</v>
      </c>
    </row>
    <row r="225" spans="1:14">
      <c r="A225" s="64" t="s">
        <v>169</v>
      </c>
      <c r="B225" s="107">
        <v>856.29</v>
      </c>
      <c r="C225" s="107">
        <v>2254.19</v>
      </c>
      <c r="D225" s="107">
        <v>1243.44</v>
      </c>
      <c r="E225" s="107">
        <v>2298.7800000000002</v>
      </c>
      <c r="F225" s="107">
        <v>4995.82</v>
      </c>
      <c r="G225" s="107">
        <v>-173.47</v>
      </c>
      <c r="H225" s="107">
        <v>142.08000000000001</v>
      </c>
      <c r="I225" s="107">
        <v>2002.98</v>
      </c>
      <c r="J225" s="107">
        <v>1726.78</v>
      </c>
      <c r="K225" s="107">
        <v>864.18</v>
      </c>
      <c r="L225" s="107">
        <v>2953.05</v>
      </c>
      <c r="M225" s="107">
        <v>5579.73</v>
      </c>
      <c r="N225" s="107">
        <v>24743.85</v>
      </c>
    </row>
    <row r="226" spans="1:14">
      <c r="A226" s="64" t="s">
        <v>171</v>
      </c>
      <c r="B226" s="111">
        <v>3605.96</v>
      </c>
      <c r="C226" s="111">
        <v>1056.17</v>
      </c>
      <c r="D226" s="111">
        <v>218.45</v>
      </c>
      <c r="E226" s="111">
        <v>390.56</v>
      </c>
      <c r="F226" s="111">
        <v>2924.6</v>
      </c>
      <c r="G226" s="111">
        <v>-316.01</v>
      </c>
      <c r="H226" s="111">
        <v>12228.21</v>
      </c>
      <c r="I226" s="111">
        <v>672.48</v>
      </c>
      <c r="J226" s="111">
        <v>281.17</v>
      </c>
      <c r="K226" s="111">
        <v>1319.13</v>
      </c>
      <c r="L226" s="111">
        <v>246.8</v>
      </c>
      <c r="M226" s="111">
        <v>1319.97</v>
      </c>
      <c r="N226" s="111">
        <v>23947.49</v>
      </c>
    </row>
    <row r="227" spans="1:14">
      <c r="A227" s="64" t="s">
        <v>16</v>
      </c>
      <c r="B227" s="107">
        <f t="shared" ref="B227:M227" si="56">SUM(B218:B226)</f>
        <v>31538.58</v>
      </c>
      <c r="C227" s="107">
        <f t="shared" si="56"/>
        <v>46028.85</v>
      </c>
      <c r="D227" s="107">
        <f t="shared" si="56"/>
        <v>26771.46</v>
      </c>
      <c r="E227" s="107">
        <f t="shared" si="56"/>
        <v>36074.92</v>
      </c>
      <c r="F227" s="107">
        <f t="shared" si="56"/>
        <v>54014.58</v>
      </c>
      <c r="G227" s="107">
        <f t="shared" si="56"/>
        <v>44630.98</v>
      </c>
      <c r="H227" s="107">
        <f t="shared" si="56"/>
        <v>39082.199999999997</v>
      </c>
      <c r="I227" s="107">
        <f t="shared" si="56"/>
        <v>44455.960000000006</v>
      </c>
      <c r="J227" s="107">
        <f t="shared" si="56"/>
        <v>35850.829999999994</v>
      </c>
      <c r="K227" s="107">
        <f t="shared" si="56"/>
        <v>47530.61</v>
      </c>
      <c r="L227" s="107">
        <f t="shared" si="56"/>
        <v>29324.720000000001</v>
      </c>
      <c r="M227" s="107">
        <f t="shared" si="56"/>
        <v>52110.75</v>
      </c>
      <c r="N227" s="107">
        <v>487414.44</v>
      </c>
    </row>
    <row r="228" spans="1:14">
      <c r="A228" s="64"/>
      <c r="B228" s="22"/>
      <c r="C228" s="22"/>
      <c r="D228" s="22"/>
      <c r="E228" s="22"/>
      <c r="F228" s="22"/>
      <c r="G228" s="22"/>
      <c r="H228" s="22"/>
      <c r="I228" s="22"/>
      <c r="J228" s="22"/>
      <c r="K228" s="22"/>
      <c r="L228" s="22"/>
      <c r="M228" s="22"/>
      <c r="N228" s="22"/>
    </row>
    <row r="229" spans="1:14">
      <c r="A229" s="64" t="s">
        <v>17</v>
      </c>
      <c r="B229" s="22"/>
      <c r="C229" s="22"/>
      <c r="D229" s="22"/>
      <c r="E229" s="22"/>
      <c r="F229" s="22"/>
      <c r="G229" s="22"/>
      <c r="H229" s="22"/>
      <c r="I229" s="22"/>
      <c r="J229" s="22"/>
      <c r="K229" s="22"/>
      <c r="L229" s="22"/>
      <c r="M229" s="22"/>
      <c r="N229" s="22"/>
    </row>
    <row r="230" spans="1:14">
      <c r="A230" s="64" t="s">
        <v>172</v>
      </c>
      <c r="B230" s="107">
        <v>27197.38</v>
      </c>
      <c r="C230" s="107">
        <v>22277.8</v>
      </c>
      <c r="D230" s="107">
        <v>28480.48</v>
      </c>
      <c r="E230" s="107">
        <v>22461.67</v>
      </c>
      <c r="F230" s="107">
        <v>18538.91</v>
      </c>
      <c r="G230" s="107">
        <v>25890.85</v>
      </c>
      <c r="H230" s="107">
        <v>32384.78</v>
      </c>
      <c r="I230" s="107">
        <v>17522.14</v>
      </c>
      <c r="J230" s="107">
        <v>25300</v>
      </c>
      <c r="K230" s="107">
        <v>25300</v>
      </c>
      <c r="L230" s="107">
        <v>23139.77</v>
      </c>
      <c r="M230" s="107">
        <v>35458.910000000003</v>
      </c>
      <c r="N230" s="107">
        <v>303952.69</v>
      </c>
    </row>
    <row r="231" spans="1:14">
      <c r="A231" s="64" t="s">
        <v>173</v>
      </c>
      <c r="B231" s="107">
        <v>36132.04</v>
      </c>
      <c r="C231" s="107">
        <v>29577.86</v>
      </c>
      <c r="D231" s="107">
        <v>31276.720000000001</v>
      </c>
      <c r="E231" s="107">
        <v>33894.51</v>
      </c>
      <c r="F231" s="107">
        <v>31963.72</v>
      </c>
      <c r="G231" s="107">
        <v>36150.589999999997</v>
      </c>
      <c r="H231" s="107">
        <v>33937.89</v>
      </c>
      <c r="I231" s="107">
        <v>33700</v>
      </c>
      <c r="J231" s="107">
        <v>32993.800000000003</v>
      </c>
      <c r="K231" s="107">
        <v>27259.97</v>
      </c>
      <c r="L231" s="107">
        <v>31332.240000000002</v>
      </c>
      <c r="M231" s="107">
        <v>24977.39</v>
      </c>
      <c r="N231" s="107">
        <v>383196.73</v>
      </c>
    </row>
    <row r="232" spans="1:14">
      <c r="A232" s="64" t="s">
        <v>174</v>
      </c>
      <c r="B232" s="107">
        <v>27565.16</v>
      </c>
      <c r="C232" s="107">
        <v>24678.89</v>
      </c>
      <c r="D232" s="107">
        <v>25915.4</v>
      </c>
      <c r="E232" s="107">
        <v>26273.98</v>
      </c>
      <c r="F232" s="107">
        <v>23726.79</v>
      </c>
      <c r="G232" s="107">
        <v>30077.87</v>
      </c>
      <c r="H232" s="107">
        <v>30034.82</v>
      </c>
      <c r="I232" s="107">
        <v>26300</v>
      </c>
      <c r="J232" s="107">
        <v>22292.31</v>
      </c>
      <c r="K232" s="107">
        <v>22229.77</v>
      </c>
      <c r="L232" s="107">
        <v>25046.35</v>
      </c>
      <c r="M232" s="107">
        <v>32726.05</v>
      </c>
      <c r="N232" s="107">
        <v>316867.39</v>
      </c>
    </row>
    <row r="233" spans="1:14">
      <c r="A233" s="64" t="s">
        <v>175</v>
      </c>
      <c r="B233" s="107">
        <v>6139.69</v>
      </c>
      <c r="C233" s="107">
        <v>8868.0300000000007</v>
      </c>
      <c r="D233" s="107">
        <v>3159.5</v>
      </c>
      <c r="E233" s="107">
        <v>4632.28</v>
      </c>
      <c r="F233" s="107">
        <v>-640.15</v>
      </c>
      <c r="G233" s="107">
        <v>7250.53</v>
      </c>
      <c r="H233" s="107">
        <v>12117.38</v>
      </c>
      <c r="I233" s="107">
        <v>15300</v>
      </c>
      <c r="J233" s="107">
        <v>11803.65</v>
      </c>
      <c r="K233" s="107">
        <v>7969.79</v>
      </c>
      <c r="L233" s="107">
        <v>8648.42</v>
      </c>
      <c r="M233" s="107">
        <v>15349.97</v>
      </c>
      <c r="N233" s="107">
        <v>100599.09</v>
      </c>
    </row>
    <row r="234" spans="1:14">
      <c r="A234" s="64" t="s">
        <v>176</v>
      </c>
      <c r="B234" s="107">
        <v>323.13</v>
      </c>
      <c r="C234" s="107"/>
      <c r="D234" s="107">
        <v>107.71</v>
      </c>
      <c r="E234" s="22"/>
      <c r="F234" s="22"/>
      <c r="G234" s="22"/>
      <c r="H234" s="107"/>
      <c r="I234" s="107">
        <v>74.88</v>
      </c>
      <c r="J234" s="107">
        <v>107.71</v>
      </c>
      <c r="K234" s="107">
        <v>107.71</v>
      </c>
      <c r="L234" s="107">
        <v>107.71</v>
      </c>
      <c r="M234" s="22"/>
      <c r="N234" s="107">
        <v>828.85</v>
      </c>
    </row>
    <row r="235" spans="1:14">
      <c r="A235" s="64" t="s">
        <v>177</v>
      </c>
      <c r="B235" s="107">
        <v>332.26</v>
      </c>
      <c r="C235" s="107">
        <v>105.75</v>
      </c>
      <c r="D235" s="107">
        <v>235.22</v>
      </c>
      <c r="E235" s="107">
        <v>305.08999999999997</v>
      </c>
      <c r="F235" s="107">
        <v>414.34</v>
      </c>
      <c r="G235" s="107">
        <v>376.75</v>
      </c>
      <c r="H235" s="107">
        <v>872.7</v>
      </c>
      <c r="I235" s="107">
        <v>666.63</v>
      </c>
      <c r="J235" s="107">
        <v>71.900000000000006</v>
      </c>
      <c r="K235" s="107">
        <v>80.33</v>
      </c>
      <c r="L235" s="107">
        <v>169.42</v>
      </c>
      <c r="M235" s="107">
        <v>1060.8499999999999</v>
      </c>
      <c r="N235" s="107">
        <v>4691.24</v>
      </c>
    </row>
    <row r="236" spans="1:14">
      <c r="A236" s="64" t="s">
        <v>178</v>
      </c>
      <c r="B236" s="107">
        <v>3554.04</v>
      </c>
      <c r="C236" s="107">
        <v>2376.6</v>
      </c>
      <c r="D236" s="107">
        <v>1265</v>
      </c>
      <c r="E236" s="107">
        <v>1355.64</v>
      </c>
      <c r="F236" s="107">
        <v>977.82</v>
      </c>
      <c r="G236" s="107">
        <v>1896.13</v>
      </c>
      <c r="H236" s="107">
        <v>2325.02</v>
      </c>
      <c r="I236" s="107">
        <v>2226.35</v>
      </c>
      <c r="J236" s="107">
        <v>2080</v>
      </c>
      <c r="K236" s="107">
        <v>969.77</v>
      </c>
      <c r="L236" s="107">
        <v>2094.38</v>
      </c>
      <c r="M236" s="107">
        <v>1462.82</v>
      </c>
      <c r="N236" s="107">
        <v>22583.57</v>
      </c>
    </row>
    <row r="237" spans="1:14">
      <c r="A237" s="64" t="s">
        <v>179</v>
      </c>
      <c r="B237" s="107">
        <v>4127.58</v>
      </c>
      <c r="C237" s="107">
        <v>5342.26</v>
      </c>
      <c r="D237" s="107">
        <v>4031.15</v>
      </c>
      <c r="E237" s="107">
        <v>4500.33</v>
      </c>
      <c r="F237" s="107">
        <v>3093.78</v>
      </c>
      <c r="G237" s="107">
        <v>4059.24</v>
      </c>
      <c r="H237" s="107">
        <v>6620.11</v>
      </c>
      <c r="I237" s="107">
        <v>3257.15</v>
      </c>
      <c r="J237" s="107">
        <v>3800</v>
      </c>
      <c r="K237" s="107">
        <v>4998.49</v>
      </c>
      <c r="L237" s="107">
        <v>4013.98</v>
      </c>
      <c r="M237" s="107">
        <v>5022.47</v>
      </c>
      <c r="N237" s="107">
        <v>52866.54</v>
      </c>
    </row>
    <row r="238" spans="1:14">
      <c r="A238" s="64" t="s">
        <v>180</v>
      </c>
      <c r="B238" s="107">
        <v>2147.88</v>
      </c>
      <c r="C238" s="107">
        <v>2128.19</v>
      </c>
      <c r="D238" s="107">
        <v>1181.9100000000001</v>
      </c>
      <c r="E238" s="107">
        <v>921.32</v>
      </c>
      <c r="F238" s="107">
        <v>1960.9</v>
      </c>
      <c r="G238" s="107">
        <v>1207.43</v>
      </c>
      <c r="H238" s="107">
        <v>684.74</v>
      </c>
      <c r="I238" s="107">
        <v>936.57</v>
      </c>
      <c r="J238" s="107">
        <v>1408.96</v>
      </c>
      <c r="K238" s="107">
        <v>759.5</v>
      </c>
      <c r="L238" s="107">
        <v>1663.02</v>
      </c>
      <c r="M238" s="107">
        <v>1885.85</v>
      </c>
      <c r="N238" s="107">
        <v>16886.27</v>
      </c>
    </row>
    <row r="239" spans="1:14">
      <c r="A239" s="64" t="s">
        <v>181</v>
      </c>
      <c r="B239" s="107">
        <v>2357.25</v>
      </c>
      <c r="C239" s="107">
        <v>2107.21</v>
      </c>
      <c r="D239" s="107">
        <v>1906.84</v>
      </c>
      <c r="E239" s="107">
        <v>2852.05</v>
      </c>
      <c r="F239" s="107">
        <v>3360.66</v>
      </c>
      <c r="G239" s="107">
        <v>2811.89</v>
      </c>
      <c r="H239" s="107">
        <v>2443.96</v>
      </c>
      <c r="I239" s="107">
        <v>2393.4899999999998</v>
      </c>
      <c r="J239" s="107">
        <v>2579.56</v>
      </c>
      <c r="K239" s="107">
        <v>1774.7</v>
      </c>
      <c r="L239" s="107">
        <v>2547.54</v>
      </c>
      <c r="M239" s="107">
        <v>2546.58</v>
      </c>
      <c r="N239" s="107">
        <v>29681.73</v>
      </c>
    </row>
    <row r="240" spans="1:14">
      <c r="A240" s="64" t="s">
        <v>182</v>
      </c>
      <c r="B240" s="107">
        <v>767.7</v>
      </c>
      <c r="C240" s="107">
        <v>638.16</v>
      </c>
      <c r="D240" s="107">
        <v>1413.27</v>
      </c>
      <c r="E240" s="107">
        <v>936.04</v>
      </c>
      <c r="F240" s="107">
        <v>1440.43</v>
      </c>
      <c r="G240" s="107">
        <v>610.97</v>
      </c>
      <c r="H240" s="107">
        <v>340.6</v>
      </c>
      <c r="I240" s="107">
        <v>838.2</v>
      </c>
      <c r="J240" s="107">
        <v>917.94</v>
      </c>
      <c r="K240" s="107">
        <v>520.97</v>
      </c>
      <c r="L240" s="107">
        <v>1215.79</v>
      </c>
      <c r="M240" s="107">
        <v>350.15</v>
      </c>
      <c r="N240" s="107">
        <v>9990.2199999999993</v>
      </c>
    </row>
    <row r="241" spans="1:14">
      <c r="A241" s="64" t="s">
        <v>183</v>
      </c>
      <c r="B241" s="107">
        <v>648.61</v>
      </c>
      <c r="C241" s="107">
        <v>398.47</v>
      </c>
      <c r="D241" s="107">
        <v>39.799999999999997</v>
      </c>
      <c r="E241" s="107">
        <v>259.33999999999997</v>
      </c>
      <c r="F241" s="107">
        <v>40.909999999999997</v>
      </c>
      <c r="G241" s="22"/>
      <c r="H241" s="107">
        <v>1913.16</v>
      </c>
      <c r="I241" s="107">
        <v>278.3</v>
      </c>
      <c r="J241" s="107">
        <v>304.75</v>
      </c>
      <c r="K241" s="107">
        <v>793.44</v>
      </c>
      <c r="L241" s="22"/>
      <c r="M241" s="107">
        <v>1674.98</v>
      </c>
      <c r="N241" s="107">
        <v>6351.76</v>
      </c>
    </row>
    <row r="242" spans="1:14">
      <c r="A242" s="64" t="s">
        <v>184</v>
      </c>
      <c r="B242" s="111">
        <v>374.3</v>
      </c>
      <c r="C242" s="111">
        <v>3848.02</v>
      </c>
      <c r="D242" s="111">
        <v>2111.2199999999998</v>
      </c>
      <c r="E242" s="111">
        <v>3287.98</v>
      </c>
      <c r="F242" s="111">
        <v>828.12</v>
      </c>
      <c r="G242" s="111">
        <v>1324.28</v>
      </c>
      <c r="H242" s="111">
        <v>641.38</v>
      </c>
      <c r="I242" s="111">
        <v>19097.68</v>
      </c>
      <c r="J242" s="111">
        <v>3876.51</v>
      </c>
      <c r="K242" s="111">
        <v>3140.99</v>
      </c>
      <c r="L242" s="113"/>
      <c r="M242" s="111">
        <v>14406.08</v>
      </c>
      <c r="N242" s="111">
        <v>52936.56</v>
      </c>
    </row>
    <row r="243" spans="1:14">
      <c r="A243" s="64" t="s">
        <v>185</v>
      </c>
      <c r="B243" s="107">
        <f t="shared" ref="B243:M243" si="57">SUM(B228:B242)</f>
        <v>111667.02</v>
      </c>
      <c r="C243" s="107">
        <f t="shared" si="57"/>
        <v>102347.24000000002</v>
      </c>
      <c r="D243" s="107">
        <f t="shared" si="57"/>
        <v>101124.22000000002</v>
      </c>
      <c r="E243" s="107">
        <f t="shared" si="57"/>
        <v>101680.23</v>
      </c>
      <c r="F243" s="107">
        <f t="shared" si="57"/>
        <v>85706.23000000001</v>
      </c>
      <c r="G243" s="107">
        <f t="shared" si="57"/>
        <v>111656.53</v>
      </c>
      <c r="H243" s="107">
        <f t="shared" si="57"/>
        <v>124316.54000000002</v>
      </c>
      <c r="I243" s="107">
        <f t="shared" si="57"/>
        <v>122591.39000000001</v>
      </c>
      <c r="J243" s="107">
        <f t="shared" si="57"/>
        <v>107537.09</v>
      </c>
      <c r="K243" s="107">
        <f t="shared" si="57"/>
        <v>95905.430000000022</v>
      </c>
      <c r="L243" s="107">
        <f t="shared" si="57"/>
        <v>99978.62</v>
      </c>
      <c r="M243" s="107">
        <f t="shared" si="57"/>
        <v>136922.1</v>
      </c>
      <c r="N243" s="107">
        <v>1301432.6399999999</v>
      </c>
    </row>
    <row r="244" spans="1:14">
      <c r="A244" s="64"/>
      <c r="B244" s="22"/>
      <c r="C244" s="22"/>
      <c r="D244" s="22"/>
      <c r="E244" s="22"/>
      <c r="F244" s="22"/>
      <c r="G244" s="22"/>
      <c r="H244" s="22"/>
      <c r="I244" s="22"/>
      <c r="J244" s="22"/>
      <c r="K244" s="22"/>
      <c r="L244" s="22"/>
      <c r="M244" s="22"/>
      <c r="N244" s="22"/>
    </row>
    <row r="245" spans="1:14">
      <c r="A245" s="64" t="s">
        <v>186</v>
      </c>
      <c r="B245" s="22"/>
      <c r="C245" s="22"/>
      <c r="D245" s="22"/>
      <c r="E245" s="22"/>
      <c r="F245" s="22"/>
      <c r="G245" s="22"/>
      <c r="H245" s="22"/>
      <c r="I245" s="22"/>
      <c r="J245" s="22"/>
      <c r="K245" s="22"/>
      <c r="L245" s="22"/>
      <c r="M245" s="22"/>
      <c r="N245" s="22"/>
    </row>
    <row r="246" spans="1:14">
      <c r="A246" s="64" t="s">
        <v>187</v>
      </c>
      <c r="B246" s="107">
        <v>7500</v>
      </c>
      <c r="C246" s="107">
        <v>7500</v>
      </c>
      <c r="D246" s="107">
        <v>7500</v>
      </c>
      <c r="E246" s="107">
        <v>-2500</v>
      </c>
      <c r="F246" s="107">
        <v>23000</v>
      </c>
      <c r="G246" s="107">
        <v>9500</v>
      </c>
      <c r="H246" s="107">
        <v>9500</v>
      </c>
      <c r="I246" s="107">
        <v>9500</v>
      </c>
      <c r="J246" s="107">
        <v>7000</v>
      </c>
      <c r="K246" s="107">
        <v>7000</v>
      </c>
      <c r="L246" s="107">
        <v>7000</v>
      </c>
      <c r="M246" s="107">
        <v>7000</v>
      </c>
      <c r="N246" s="107">
        <v>99500</v>
      </c>
    </row>
    <row r="247" spans="1:14">
      <c r="A247" s="64" t="s">
        <v>188</v>
      </c>
      <c r="B247" s="107">
        <v>1522.5</v>
      </c>
      <c r="C247" s="107">
        <v>1645</v>
      </c>
      <c r="D247" s="107">
        <v>1312.5</v>
      </c>
      <c r="E247" s="107">
        <v>1435</v>
      </c>
      <c r="F247" s="107">
        <v>1312.5</v>
      </c>
      <c r="G247" s="107">
        <v>1505</v>
      </c>
      <c r="H247" s="107">
        <v>1505</v>
      </c>
      <c r="I247" s="107">
        <v>1435</v>
      </c>
      <c r="J247" s="107">
        <v>1330</v>
      </c>
      <c r="K247" s="107">
        <v>1470</v>
      </c>
      <c r="L247" s="107">
        <v>1767.5</v>
      </c>
      <c r="M247" s="107">
        <v>1697.5</v>
      </c>
      <c r="N247" s="107">
        <v>17937.5</v>
      </c>
    </row>
    <row r="248" spans="1:14">
      <c r="A248" s="64" t="s">
        <v>189</v>
      </c>
      <c r="B248" s="22"/>
      <c r="C248" s="22"/>
      <c r="D248" s="22"/>
      <c r="E248" s="107"/>
      <c r="F248" s="22"/>
      <c r="G248" s="22"/>
      <c r="H248" s="22"/>
      <c r="I248" s="22"/>
      <c r="J248" s="107">
        <v>550</v>
      </c>
      <c r="K248" s="22"/>
      <c r="L248" s="22"/>
      <c r="M248" s="22"/>
      <c r="N248" s="107">
        <v>550</v>
      </c>
    </row>
    <row r="249" spans="1:14">
      <c r="A249" s="64" t="s">
        <v>190</v>
      </c>
      <c r="B249" s="107">
        <v>1475</v>
      </c>
      <c r="C249" s="107">
        <v>2730</v>
      </c>
      <c r="D249" s="107">
        <v>1500</v>
      </c>
      <c r="E249" s="107">
        <v>1500</v>
      </c>
      <c r="F249" s="107">
        <v>2475</v>
      </c>
      <c r="G249" s="107">
        <v>2150</v>
      </c>
      <c r="H249" s="107">
        <v>2225</v>
      </c>
      <c r="I249" s="107">
        <v>1500</v>
      </c>
      <c r="J249" s="107">
        <v>1500</v>
      </c>
      <c r="K249" s="107">
        <v>1500</v>
      </c>
      <c r="L249" s="107">
        <v>1500</v>
      </c>
      <c r="M249" s="107">
        <v>1500</v>
      </c>
      <c r="N249" s="107">
        <v>21555</v>
      </c>
    </row>
    <row r="250" spans="1:14">
      <c r="A250" s="64" t="s">
        <v>191</v>
      </c>
      <c r="B250" s="107">
        <v>10121.86</v>
      </c>
      <c r="C250" s="107">
        <v>8899.58</v>
      </c>
      <c r="D250" s="107">
        <v>8038.92</v>
      </c>
      <c r="E250" s="107">
        <v>8445.59</v>
      </c>
      <c r="F250" s="107">
        <v>8380.83</v>
      </c>
      <c r="G250" s="107">
        <v>8632.1299999999992</v>
      </c>
      <c r="H250" s="107">
        <v>7698.28</v>
      </c>
      <c r="I250" s="107">
        <v>8630.1299999999992</v>
      </c>
      <c r="J250" s="107">
        <v>7367.71</v>
      </c>
      <c r="K250" s="107">
        <v>10868.24</v>
      </c>
      <c r="L250" s="107">
        <v>6479.06</v>
      </c>
      <c r="M250" s="107"/>
      <c r="N250" s="107">
        <v>93562.33</v>
      </c>
    </row>
    <row r="251" spans="1:14">
      <c r="A251" s="64" t="s">
        <v>415</v>
      </c>
      <c r="B251" s="22"/>
      <c r="C251" s="22"/>
      <c r="D251" s="22"/>
      <c r="E251" s="22"/>
      <c r="F251" s="22"/>
      <c r="G251" s="22"/>
      <c r="H251" s="22"/>
      <c r="I251" s="22"/>
      <c r="J251" s="22"/>
      <c r="K251" s="22"/>
      <c r="L251" s="22"/>
      <c r="M251" s="107">
        <v>7558.77</v>
      </c>
      <c r="N251" s="107">
        <v>7558.77</v>
      </c>
    </row>
    <row r="252" spans="1:14">
      <c r="A252" s="64" t="s">
        <v>416</v>
      </c>
      <c r="B252" s="22"/>
      <c r="C252" s="22"/>
      <c r="D252" s="22"/>
      <c r="E252" s="22"/>
      <c r="F252" s="22"/>
      <c r="G252" s="22"/>
      <c r="H252" s="22"/>
      <c r="I252" s="22"/>
      <c r="J252" s="22"/>
      <c r="K252" s="22"/>
      <c r="L252" s="22"/>
      <c r="M252" s="107">
        <v>887.07</v>
      </c>
      <c r="N252" s="107">
        <v>887.07</v>
      </c>
    </row>
    <row r="253" spans="1:14">
      <c r="A253" s="64" t="s">
        <v>417</v>
      </c>
      <c r="B253" s="22"/>
      <c r="C253" s="22"/>
      <c r="D253" s="22"/>
      <c r="E253" s="22"/>
      <c r="F253" s="22"/>
      <c r="G253" s="22"/>
      <c r="H253" s="22"/>
      <c r="I253" s="22"/>
      <c r="J253" s="22"/>
      <c r="K253" s="22"/>
      <c r="L253" s="22"/>
      <c r="M253" s="107">
        <v>3100</v>
      </c>
      <c r="N253" s="107">
        <v>3100</v>
      </c>
    </row>
    <row r="254" spans="1:14">
      <c r="A254" s="64" t="s">
        <v>192</v>
      </c>
      <c r="B254" s="107">
        <v>980.31</v>
      </c>
      <c r="C254" s="107">
        <v>1022.26</v>
      </c>
      <c r="D254" s="107">
        <v>1022.26</v>
      </c>
      <c r="E254" s="107">
        <v>1022.26</v>
      </c>
      <c r="F254" s="107">
        <v>1022.66</v>
      </c>
      <c r="G254" s="107">
        <v>944</v>
      </c>
      <c r="H254" s="107">
        <v>944.4</v>
      </c>
      <c r="I254" s="107">
        <v>944.4</v>
      </c>
      <c r="J254" s="107">
        <v>944.4</v>
      </c>
      <c r="K254" s="107">
        <v>944.4</v>
      </c>
      <c r="L254" s="107">
        <v>944.4</v>
      </c>
      <c r="M254" s="107">
        <v>944.4</v>
      </c>
      <c r="N254" s="107">
        <v>11680.15</v>
      </c>
    </row>
    <row r="255" spans="1:14">
      <c r="A255" s="64" t="s">
        <v>193</v>
      </c>
      <c r="B255" s="107">
        <v>1192.69</v>
      </c>
      <c r="C255" s="107">
        <v>1397.41</v>
      </c>
      <c r="D255" s="107">
        <v>1251.3499999999999</v>
      </c>
      <c r="E255" s="107">
        <v>1195.8699999999999</v>
      </c>
      <c r="F255" s="107">
        <v>2360.06</v>
      </c>
      <c r="G255" s="107">
        <v>1476.88</v>
      </c>
      <c r="H255" s="107">
        <v>1234.44</v>
      </c>
      <c r="I255" s="107">
        <v>1358.87</v>
      </c>
      <c r="J255" s="107">
        <v>1178.1300000000001</v>
      </c>
      <c r="K255" s="107">
        <v>1648.33</v>
      </c>
      <c r="L255" s="107">
        <v>1415.58</v>
      </c>
      <c r="M255" s="107">
        <v>1414.97</v>
      </c>
      <c r="N255" s="107">
        <v>17124.580000000002</v>
      </c>
    </row>
    <row r="256" spans="1:14">
      <c r="A256" s="64" t="s">
        <v>194</v>
      </c>
      <c r="B256" s="107">
        <v>3476.86</v>
      </c>
      <c r="C256" s="107">
        <v>3879.95</v>
      </c>
      <c r="D256" s="107">
        <v>3680.89</v>
      </c>
      <c r="E256" s="107">
        <v>2721.5</v>
      </c>
      <c r="F256" s="107">
        <v>1291.23</v>
      </c>
      <c r="G256" s="107">
        <v>1688.32</v>
      </c>
      <c r="H256" s="107">
        <v>2698</v>
      </c>
      <c r="I256" s="107">
        <v>2094.6999999999998</v>
      </c>
      <c r="J256" s="107">
        <v>3532.06</v>
      </c>
      <c r="K256" s="107">
        <v>3580.32</v>
      </c>
      <c r="L256" s="107">
        <v>4470.3599999999997</v>
      </c>
      <c r="M256" s="107">
        <v>-482.22</v>
      </c>
      <c r="N256" s="107">
        <v>32631.97</v>
      </c>
    </row>
    <row r="257" spans="1:14">
      <c r="A257" s="64" t="s">
        <v>195</v>
      </c>
      <c r="B257" s="107">
        <v>15284.14</v>
      </c>
      <c r="C257" s="107">
        <v>16386.95</v>
      </c>
      <c r="D257" s="107">
        <v>2921.17</v>
      </c>
      <c r="E257" s="107">
        <v>13495.78</v>
      </c>
      <c r="F257" s="107">
        <v>13495.99</v>
      </c>
      <c r="G257" s="107">
        <v>21101.29</v>
      </c>
      <c r="H257" s="107">
        <v>13496</v>
      </c>
      <c r="I257" s="107">
        <v>15284.14</v>
      </c>
      <c r="J257" s="107">
        <v>15284.14</v>
      </c>
      <c r="K257" s="107">
        <v>16201.22</v>
      </c>
      <c r="L257" s="107">
        <v>15742.69</v>
      </c>
      <c r="M257" s="107">
        <v>15742.69</v>
      </c>
      <c r="N257" s="107">
        <v>174436.2</v>
      </c>
    </row>
    <row r="258" spans="1:14">
      <c r="A258" s="64" t="s">
        <v>196</v>
      </c>
      <c r="B258" s="107">
        <v>10344.299999999999</v>
      </c>
      <c r="C258" s="107">
        <v>3609.5</v>
      </c>
      <c r="D258" s="107">
        <v>8758.3700000000008</v>
      </c>
      <c r="E258" s="107">
        <v>8997.56</v>
      </c>
      <c r="F258" s="107">
        <v>8997.34</v>
      </c>
      <c r="G258" s="107">
        <v>10785.49</v>
      </c>
      <c r="H258" s="107">
        <v>8997.34</v>
      </c>
      <c r="I258" s="107">
        <v>7209.2</v>
      </c>
      <c r="J258" s="107">
        <v>7209.2</v>
      </c>
      <c r="K258" s="107">
        <v>7641.76</v>
      </c>
      <c r="L258" s="107">
        <v>7425.48</v>
      </c>
      <c r="M258" s="107">
        <v>7425.48</v>
      </c>
      <c r="N258" s="107">
        <v>97401.02</v>
      </c>
    </row>
    <row r="259" spans="1:14">
      <c r="A259" s="64" t="s">
        <v>197</v>
      </c>
      <c r="B259" s="107">
        <v>39417.019999999997</v>
      </c>
      <c r="C259" s="107">
        <v>39378.370000000003</v>
      </c>
      <c r="D259" s="107">
        <v>40018.5</v>
      </c>
      <c r="E259" s="107">
        <v>40272.32</v>
      </c>
      <c r="F259" s="107">
        <v>40236.629999999997</v>
      </c>
      <c r="G259" s="107">
        <v>37177.730000000003</v>
      </c>
      <c r="H259" s="107">
        <v>41357.74</v>
      </c>
      <c r="I259" s="107">
        <v>39328.910000000003</v>
      </c>
      <c r="J259" s="107">
        <v>43964.56</v>
      </c>
      <c r="K259" s="107">
        <v>43700.59</v>
      </c>
      <c r="L259" s="107">
        <v>40045.67</v>
      </c>
      <c r="M259" s="107">
        <v>45408.63</v>
      </c>
      <c r="N259" s="107">
        <v>490306.67</v>
      </c>
    </row>
    <row r="260" spans="1:14">
      <c r="A260" s="64" t="s">
        <v>198</v>
      </c>
      <c r="B260" s="107">
        <v>990.49</v>
      </c>
      <c r="C260" s="107">
        <v>990.49</v>
      </c>
      <c r="D260" s="107">
        <v>990.49</v>
      </c>
      <c r="E260" s="107">
        <v>990.49</v>
      </c>
      <c r="F260" s="107">
        <v>990.49</v>
      </c>
      <c r="G260" s="107">
        <v>990.49</v>
      </c>
      <c r="H260" s="107">
        <v>990.49</v>
      </c>
      <c r="I260" s="107">
        <v>1000</v>
      </c>
      <c r="J260" s="107">
        <v>990.49</v>
      </c>
      <c r="K260" s="107">
        <v>990.49</v>
      </c>
      <c r="L260" s="107">
        <v>990.49</v>
      </c>
      <c r="M260" s="107">
        <v>990.49</v>
      </c>
      <c r="N260" s="107">
        <v>11895.39</v>
      </c>
    </row>
    <row r="261" spans="1:14">
      <c r="A261" s="64" t="s">
        <v>199</v>
      </c>
      <c r="B261" s="107">
        <v>1283.25</v>
      </c>
      <c r="C261" s="107">
        <v>781.75</v>
      </c>
      <c r="D261" s="107">
        <v>472</v>
      </c>
      <c r="E261" s="107">
        <v>540</v>
      </c>
      <c r="F261" s="107">
        <v>330</v>
      </c>
      <c r="G261" s="107">
        <v>405</v>
      </c>
      <c r="H261" s="107">
        <v>300</v>
      </c>
      <c r="I261" s="107">
        <v>850.5</v>
      </c>
      <c r="J261" s="107">
        <v>519.75</v>
      </c>
      <c r="K261" s="107">
        <v>300</v>
      </c>
      <c r="L261" s="107">
        <v>912.75</v>
      </c>
      <c r="M261" s="107">
        <v>598.5</v>
      </c>
      <c r="N261" s="107">
        <v>7293.5</v>
      </c>
    </row>
    <row r="262" spans="1:14">
      <c r="A262" s="64" t="s">
        <v>200</v>
      </c>
      <c r="B262" s="107">
        <v>2100</v>
      </c>
      <c r="C262" s="107">
        <v>1600</v>
      </c>
      <c r="D262" s="107">
        <v>2100</v>
      </c>
      <c r="E262" s="107">
        <v>1600</v>
      </c>
      <c r="F262" s="107">
        <v>2512.5</v>
      </c>
      <c r="G262" s="107">
        <v>1600</v>
      </c>
      <c r="H262" s="107">
        <v>1600</v>
      </c>
      <c r="I262" s="107">
        <v>1600</v>
      </c>
      <c r="J262" s="107">
        <v>1600</v>
      </c>
      <c r="K262" s="107">
        <v>1600</v>
      </c>
      <c r="L262" s="107">
        <v>1600</v>
      </c>
      <c r="M262" s="107">
        <v>1600</v>
      </c>
      <c r="N262" s="107">
        <v>21112.5</v>
      </c>
    </row>
    <row r="263" spans="1:14">
      <c r="A263" s="64" t="s">
        <v>201</v>
      </c>
      <c r="B263" s="107">
        <v>300</v>
      </c>
      <c r="C263" s="107">
        <v>292.98</v>
      </c>
      <c r="D263" s="107">
        <v>335.28</v>
      </c>
      <c r="E263" s="107">
        <v>309.42</v>
      </c>
      <c r="F263" s="107">
        <v>285.83999999999997</v>
      </c>
      <c r="G263" s="107">
        <v>285.83999999999997</v>
      </c>
      <c r="H263" s="107">
        <v>285.83999999999997</v>
      </c>
      <c r="I263" s="107">
        <v>285.83999999999997</v>
      </c>
      <c r="J263" s="107">
        <v>765.84</v>
      </c>
      <c r="K263" s="107">
        <v>285.83999999999997</v>
      </c>
      <c r="L263" s="107">
        <v>285.83999999999997</v>
      </c>
      <c r="M263" s="107">
        <v>285.83999999999997</v>
      </c>
      <c r="N263" s="107">
        <v>4004.4</v>
      </c>
    </row>
    <row r="264" spans="1:14">
      <c r="A264" s="64" t="s">
        <v>202</v>
      </c>
      <c r="B264" s="22"/>
      <c r="C264" s="22"/>
      <c r="D264" s="107"/>
      <c r="E264" s="22"/>
      <c r="F264" s="22"/>
      <c r="G264" s="107">
        <v>913.39</v>
      </c>
      <c r="H264" s="107">
        <v>4274.5</v>
      </c>
      <c r="I264" s="107">
        <v>2405.0300000000002</v>
      </c>
      <c r="J264" s="107">
        <v>1111.1199999999999</v>
      </c>
      <c r="K264" s="107">
        <v>250</v>
      </c>
      <c r="L264" s="107">
        <v>715.37</v>
      </c>
      <c r="M264" s="107">
        <v>13181.96</v>
      </c>
      <c r="N264" s="107">
        <v>22851.37</v>
      </c>
    </row>
    <row r="265" spans="1:14">
      <c r="A265" s="64" t="s">
        <v>203</v>
      </c>
      <c r="B265" s="107">
        <v>5977.26</v>
      </c>
      <c r="C265" s="107">
        <v>11661.52</v>
      </c>
      <c r="D265" s="107">
        <v>10975.75</v>
      </c>
      <c r="E265" s="107">
        <v>8768.69</v>
      </c>
      <c r="F265" s="107">
        <v>9787.41</v>
      </c>
      <c r="G265" s="107">
        <v>8996.5499999999993</v>
      </c>
      <c r="H265" s="107">
        <v>9423.64</v>
      </c>
      <c r="I265" s="107">
        <v>9757.01</v>
      </c>
      <c r="J265" s="107">
        <v>10243.1</v>
      </c>
      <c r="K265" s="107">
        <v>12639.43</v>
      </c>
      <c r="L265" s="107">
        <v>8094.69</v>
      </c>
      <c r="M265" s="107">
        <v>14476.63</v>
      </c>
      <c r="N265" s="107">
        <v>120801.68</v>
      </c>
    </row>
    <row r="266" spans="1:14">
      <c r="A266" s="64" t="s">
        <v>204</v>
      </c>
      <c r="B266" s="107">
        <v>35406</v>
      </c>
      <c r="C266" s="107">
        <v>32489</v>
      </c>
      <c r="D266" s="107">
        <v>33696</v>
      </c>
      <c r="E266" s="107">
        <v>34182</v>
      </c>
      <c r="F266" s="107">
        <v>-832085</v>
      </c>
      <c r="G266" s="107">
        <v>38391</v>
      </c>
      <c r="H266" s="107">
        <v>35888</v>
      </c>
      <c r="I266" s="107">
        <v>36002</v>
      </c>
      <c r="J266" s="107">
        <v>33770</v>
      </c>
      <c r="K266" s="107">
        <v>34628</v>
      </c>
      <c r="L266" s="107">
        <v>43720</v>
      </c>
      <c r="M266" s="107">
        <v>45824</v>
      </c>
      <c r="N266" s="107">
        <v>-428089</v>
      </c>
    </row>
    <row r="267" spans="1:14">
      <c r="A267" s="64" t="s">
        <v>205</v>
      </c>
      <c r="B267" s="107">
        <v>901.42</v>
      </c>
      <c r="C267" s="107">
        <v>913.96</v>
      </c>
      <c r="D267" s="107">
        <v>900.94</v>
      </c>
      <c r="E267" s="107">
        <v>904.52</v>
      </c>
      <c r="F267" s="107">
        <v>651.14</v>
      </c>
      <c r="G267" s="107">
        <v>617.01</v>
      </c>
      <c r="H267" s="107">
        <v>625.75</v>
      </c>
      <c r="I267" s="107">
        <v>761.09</v>
      </c>
      <c r="J267" s="107">
        <v>626.55999999999995</v>
      </c>
      <c r="K267" s="107">
        <v>642.07000000000005</v>
      </c>
      <c r="L267" s="107">
        <v>502.22</v>
      </c>
      <c r="M267" s="107">
        <v>618.87</v>
      </c>
      <c r="N267" s="107">
        <v>8665.5499999999993</v>
      </c>
    </row>
    <row r="268" spans="1:14">
      <c r="A268" s="64" t="s">
        <v>206</v>
      </c>
      <c r="B268" s="111">
        <v>1458.92</v>
      </c>
      <c r="C268" s="111">
        <v>2283.98</v>
      </c>
      <c r="D268" s="111">
        <v>970.94</v>
      </c>
      <c r="E268" s="111">
        <v>3025.29</v>
      </c>
      <c r="F268" s="111">
        <v>5034.4799999999996</v>
      </c>
      <c r="G268" s="111">
        <v>463.63</v>
      </c>
      <c r="H268" s="111">
        <v>620.70000000000005</v>
      </c>
      <c r="I268" s="111">
        <v>1604.44</v>
      </c>
      <c r="J268" s="111">
        <v>3318.46</v>
      </c>
      <c r="K268" s="111">
        <v>1408.03</v>
      </c>
      <c r="L268" s="111">
        <v>2440.17</v>
      </c>
      <c r="M268" s="111">
        <v>1978.85</v>
      </c>
      <c r="N268" s="111">
        <v>24607.89</v>
      </c>
    </row>
    <row r="269" spans="1:14">
      <c r="A269" s="64" t="s">
        <v>207</v>
      </c>
      <c r="B269" s="107">
        <f t="shared" ref="B269:M269" si="58">SUM(B244:B268)</f>
        <v>139732.02000000002</v>
      </c>
      <c r="C269" s="107">
        <f t="shared" si="58"/>
        <v>137462.70000000001</v>
      </c>
      <c r="D269" s="107">
        <f t="shared" si="58"/>
        <v>126445.36</v>
      </c>
      <c r="E269" s="107">
        <f t="shared" si="58"/>
        <v>126906.29000000001</v>
      </c>
      <c r="F269" s="107">
        <f t="shared" si="58"/>
        <v>-709920.9</v>
      </c>
      <c r="G269" s="107">
        <f t="shared" si="58"/>
        <v>147623.75</v>
      </c>
      <c r="H269" s="107">
        <f t="shared" si="58"/>
        <v>143665.12</v>
      </c>
      <c r="I269" s="107">
        <f t="shared" si="58"/>
        <v>141551.25999999998</v>
      </c>
      <c r="J269" s="107">
        <f t="shared" si="58"/>
        <v>142805.51999999999</v>
      </c>
      <c r="K269" s="107">
        <f t="shared" si="58"/>
        <v>147298.72</v>
      </c>
      <c r="L269" s="107">
        <f t="shared" si="58"/>
        <v>146052.27000000002</v>
      </c>
      <c r="M269" s="107">
        <f t="shared" si="58"/>
        <v>171752.43000000002</v>
      </c>
      <c r="N269" s="107">
        <v>861374.54</v>
      </c>
    </row>
    <row r="270" spans="1:14">
      <c r="A270" s="64"/>
      <c r="B270" s="22"/>
      <c r="C270" s="22"/>
      <c r="D270" s="22"/>
      <c r="E270" s="22"/>
      <c r="F270" s="22"/>
      <c r="G270" s="22"/>
      <c r="H270" s="22"/>
      <c r="I270" s="22"/>
      <c r="J270" s="22"/>
      <c r="K270" s="22"/>
      <c r="L270" s="22"/>
      <c r="M270" s="22"/>
      <c r="N270" s="22"/>
    </row>
    <row r="271" spans="1:14">
      <c r="A271" s="64" t="s">
        <v>15</v>
      </c>
      <c r="B271" s="22"/>
      <c r="C271" s="22"/>
      <c r="D271" s="22"/>
      <c r="E271" s="22"/>
      <c r="F271" s="22"/>
      <c r="G271" s="22"/>
      <c r="H271" s="22"/>
      <c r="I271" s="22"/>
      <c r="J271" s="22"/>
      <c r="K271" s="22"/>
      <c r="L271" s="22"/>
      <c r="M271" s="22"/>
      <c r="N271" s="22"/>
    </row>
    <row r="272" spans="1:14">
      <c r="A272" s="64" t="s">
        <v>208</v>
      </c>
      <c r="B272" s="107">
        <v>2932.69</v>
      </c>
      <c r="C272" s="107">
        <v>1516.57</v>
      </c>
      <c r="D272" s="107">
        <v>2763.63</v>
      </c>
      <c r="E272" s="107">
        <v>2650.18</v>
      </c>
      <c r="F272" s="107">
        <v>4334.26</v>
      </c>
      <c r="G272" s="107">
        <v>3360.45</v>
      </c>
      <c r="H272" s="107">
        <v>3849.3</v>
      </c>
      <c r="I272" s="107">
        <v>3380.04</v>
      </c>
      <c r="J272" s="107">
        <v>3258.43</v>
      </c>
      <c r="K272" s="107">
        <v>3092.99</v>
      </c>
      <c r="L272" s="107">
        <v>2953.17</v>
      </c>
      <c r="M272" s="107">
        <v>3207.93</v>
      </c>
      <c r="N272" s="107">
        <v>37299.64</v>
      </c>
    </row>
    <row r="273" spans="1:14">
      <c r="A273" s="64" t="s">
        <v>209</v>
      </c>
      <c r="B273" s="107">
        <v>617.63</v>
      </c>
      <c r="C273" s="107">
        <v>820.09</v>
      </c>
      <c r="D273" s="107">
        <v>697.9</v>
      </c>
      <c r="E273" s="107">
        <v>561.19000000000005</v>
      </c>
      <c r="F273" s="107">
        <v>943.9</v>
      </c>
      <c r="G273" s="107">
        <v>818.93</v>
      </c>
      <c r="H273" s="107">
        <v>1507.09</v>
      </c>
      <c r="I273" s="107">
        <v>2174.62</v>
      </c>
      <c r="J273" s="107">
        <v>581.85</v>
      </c>
      <c r="K273" s="107">
        <v>599.30999999999995</v>
      </c>
      <c r="L273" s="107">
        <v>1496.06</v>
      </c>
      <c r="M273" s="107">
        <v>800.86</v>
      </c>
      <c r="N273" s="107">
        <v>11619.43</v>
      </c>
    </row>
    <row r="274" spans="1:14">
      <c r="A274" s="64" t="s">
        <v>210</v>
      </c>
      <c r="B274" s="22"/>
      <c r="C274" s="107">
        <v>200.6</v>
      </c>
      <c r="D274" s="107">
        <v>399.28</v>
      </c>
      <c r="E274" s="107">
        <v>318.06</v>
      </c>
      <c r="F274" s="107">
        <v>250.32</v>
      </c>
      <c r="G274" s="107">
        <v>505.02</v>
      </c>
      <c r="H274" s="107">
        <v>133.82</v>
      </c>
      <c r="I274" s="107">
        <v>201.53</v>
      </c>
      <c r="J274" s="107">
        <v>224.96</v>
      </c>
      <c r="K274" s="107">
        <v>551.79999999999995</v>
      </c>
      <c r="L274" s="107">
        <v>108.58</v>
      </c>
      <c r="M274" s="107">
        <v>239.76</v>
      </c>
      <c r="N274" s="107">
        <v>3133.73</v>
      </c>
    </row>
    <row r="275" spans="1:14">
      <c r="A275" s="64" t="s">
        <v>211</v>
      </c>
      <c r="B275" s="107">
        <v>113.95</v>
      </c>
      <c r="C275" s="107">
        <v>113.95</v>
      </c>
      <c r="D275" s="107">
        <v>113.95</v>
      </c>
      <c r="E275" s="107">
        <v>113.95</v>
      </c>
      <c r="F275" s="107"/>
      <c r="G275" s="107">
        <v>227.9</v>
      </c>
      <c r="H275" s="107">
        <v>115.95</v>
      </c>
      <c r="I275" s="107">
        <v>115.95</v>
      </c>
      <c r="J275" s="107">
        <v>115.95</v>
      </c>
      <c r="K275" s="107">
        <v>231.9</v>
      </c>
      <c r="L275" s="107">
        <v>115.95</v>
      </c>
      <c r="M275" s="107">
        <v>115.95</v>
      </c>
      <c r="N275" s="107">
        <v>1495.35</v>
      </c>
    </row>
    <row r="276" spans="1:14">
      <c r="A276" s="64" t="s">
        <v>195</v>
      </c>
      <c r="B276" s="22"/>
      <c r="C276" s="22"/>
      <c r="D276" s="107">
        <v>44.53</v>
      </c>
      <c r="E276" s="22"/>
      <c r="F276" s="107">
        <v>63.63</v>
      </c>
      <c r="G276" s="107">
        <v>160.04</v>
      </c>
      <c r="H276" s="107">
        <v>124.99</v>
      </c>
      <c r="I276" s="22"/>
      <c r="J276" s="107">
        <v>138.03</v>
      </c>
      <c r="K276" s="107">
        <v>85.87</v>
      </c>
      <c r="L276" s="107">
        <v>189.93</v>
      </c>
      <c r="M276" s="107"/>
      <c r="N276" s="107">
        <v>807.02</v>
      </c>
    </row>
    <row r="277" spans="1:14">
      <c r="A277" s="64" t="s">
        <v>214</v>
      </c>
      <c r="B277" s="107">
        <v>2255.16</v>
      </c>
      <c r="C277" s="22"/>
      <c r="D277" s="107">
        <v>1977.87</v>
      </c>
      <c r="E277" s="22"/>
      <c r="F277" s="22"/>
      <c r="G277" s="107">
        <v>91.95</v>
      </c>
      <c r="H277" s="107">
        <v>91.95</v>
      </c>
      <c r="I277" s="107">
        <v>61.76</v>
      </c>
      <c r="J277" s="107">
        <v>91.95</v>
      </c>
      <c r="K277" s="22"/>
      <c r="L277" s="107">
        <v>61.76</v>
      </c>
      <c r="M277" s="107">
        <v>91.95</v>
      </c>
      <c r="N277" s="107">
        <v>4724.3500000000004</v>
      </c>
    </row>
    <row r="278" spans="1:14">
      <c r="A278" s="64" t="s">
        <v>215</v>
      </c>
      <c r="B278" s="107">
        <v>451.69</v>
      </c>
      <c r="C278" s="22"/>
      <c r="D278" s="22"/>
      <c r="E278" s="107">
        <v>151.97999999999999</v>
      </c>
      <c r="F278" s="22"/>
      <c r="G278" s="22"/>
      <c r="H278" s="107">
        <v>129.96</v>
      </c>
      <c r="I278" s="22"/>
      <c r="J278" s="22"/>
      <c r="K278" s="22"/>
      <c r="L278" s="107">
        <v>345.96</v>
      </c>
      <c r="M278" s="22"/>
      <c r="N278" s="107">
        <v>1079.5899999999999</v>
      </c>
    </row>
    <row r="279" spans="1:14">
      <c r="A279" s="64" t="s">
        <v>216</v>
      </c>
      <c r="B279" s="107">
        <v>2075.75</v>
      </c>
      <c r="C279" s="107">
        <v>1869.43</v>
      </c>
      <c r="D279" s="107">
        <v>2280.0700000000002</v>
      </c>
      <c r="E279" s="107">
        <v>2020.69</v>
      </c>
      <c r="F279" s="107">
        <v>3304.76</v>
      </c>
      <c r="G279" s="107">
        <v>772.99</v>
      </c>
      <c r="H279" s="107">
        <v>825.1</v>
      </c>
      <c r="I279" s="107">
        <v>312.04000000000002</v>
      </c>
      <c r="J279" s="107">
        <v>1084.7</v>
      </c>
      <c r="K279" s="107">
        <v>4583.4799999999996</v>
      </c>
      <c r="L279" s="107">
        <v>1653.28</v>
      </c>
      <c r="M279" s="107">
        <v>2140.9</v>
      </c>
      <c r="N279" s="107">
        <v>22923.19</v>
      </c>
    </row>
    <row r="280" spans="1:14">
      <c r="A280" s="64" t="s">
        <v>217</v>
      </c>
      <c r="B280" s="107">
        <v>1020.89</v>
      </c>
      <c r="C280" s="107">
        <v>426.42</v>
      </c>
      <c r="D280" s="22"/>
      <c r="E280" s="107">
        <v>1530.57</v>
      </c>
      <c r="F280" s="107">
        <v>591.9</v>
      </c>
      <c r="G280" s="107">
        <v>739.9</v>
      </c>
      <c r="H280" s="107">
        <v>211.05</v>
      </c>
      <c r="I280" s="107">
        <v>325.27999999999997</v>
      </c>
      <c r="J280" s="107">
        <v>64.92</v>
      </c>
      <c r="K280" s="107">
        <v>785.06</v>
      </c>
      <c r="L280" s="107">
        <v>266.23</v>
      </c>
      <c r="M280" s="107">
        <v>716.63</v>
      </c>
      <c r="N280" s="107">
        <v>6678.85</v>
      </c>
    </row>
    <row r="281" spans="1:14">
      <c r="A281" s="64" t="s">
        <v>218</v>
      </c>
      <c r="B281" s="107">
        <v>752.01</v>
      </c>
      <c r="C281" s="107">
        <v>1074.6300000000001</v>
      </c>
      <c r="D281" s="107">
        <v>667.6</v>
      </c>
      <c r="E281" s="107">
        <v>663.34</v>
      </c>
      <c r="F281" s="107">
        <v>718.88</v>
      </c>
      <c r="G281" s="107">
        <v>1310.89</v>
      </c>
      <c r="H281" s="107">
        <v>863.48</v>
      </c>
      <c r="I281" s="107">
        <v>672.4</v>
      </c>
      <c r="J281" s="107">
        <v>843.34</v>
      </c>
      <c r="K281" s="107">
        <v>446.92</v>
      </c>
      <c r="L281" s="107">
        <v>446.92</v>
      </c>
      <c r="M281" s="107">
        <v>1571.49</v>
      </c>
      <c r="N281" s="107">
        <v>10031.9</v>
      </c>
    </row>
    <row r="282" spans="1:14">
      <c r="A282" s="64" t="s">
        <v>219</v>
      </c>
      <c r="B282" s="107">
        <v>1671.22</v>
      </c>
      <c r="C282" s="107">
        <v>1083.58</v>
      </c>
      <c r="D282" s="107">
        <v>2096.61</v>
      </c>
      <c r="E282" s="107">
        <v>2062.46</v>
      </c>
      <c r="F282" s="107">
        <v>543.61</v>
      </c>
      <c r="G282" s="107">
        <v>964.73</v>
      </c>
      <c r="H282" s="107">
        <v>1101.4000000000001</v>
      </c>
      <c r="I282" s="107">
        <v>979.44</v>
      </c>
      <c r="J282" s="107">
        <v>981.83</v>
      </c>
      <c r="K282" s="107">
        <v>1431.29</v>
      </c>
      <c r="L282" s="107">
        <v>781.9</v>
      </c>
      <c r="M282" s="107">
        <v>1353.97</v>
      </c>
      <c r="N282" s="107">
        <v>15052.04</v>
      </c>
    </row>
    <row r="283" spans="1:14">
      <c r="A283" s="64" t="s">
        <v>220</v>
      </c>
      <c r="B283" s="111">
        <v>165.94</v>
      </c>
      <c r="C283" s="111">
        <v>240.79</v>
      </c>
      <c r="D283" s="111">
        <v>63.16</v>
      </c>
      <c r="E283" s="111">
        <v>96.98</v>
      </c>
      <c r="F283" s="111">
        <v>727.69</v>
      </c>
      <c r="G283" s="111">
        <v>238.7</v>
      </c>
      <c r="H283" s="111">
        <v>333.2</v>
      </c>
      <c r="I283" s="111">
        <v>1178.0899999999999</v>
      </c>
      <c r="J283" s="111">
        <v>155.86000000000001</v>
      </c>
      <c r="K283" s="111">
        <v>255.36</v>
      </c>
      <c r="L283" s="111">
        <v>212.45</v>
      </c>
      <c r="M283" s="111">
        <v>300.79000000000002</v>
      </c>
      <c r="N283" s="111">
        <v>3969.01</v>
      </c>
    </row>
    <row r="284" spans="1:14">
      <c r="A284" s="64" t="s">
        <v>221</v>
      </c>
      <c r="B284" s="107">
        <f t="shared" ref="B284:M284" si="59">SUM(B270:B283)</f>
        <v>12056.929999999998</v>
      </c>
      <c r="C284" s="107">
        <f t="shared" si="59"/>
        <v>7346.0599999999995</v>
      </c>
      <c r="D284" s="107">
        <f t="shared" si="59"/>
        <v>11104.6</v>
      </c>
      <c r="E284" s="107">
        <f t="shared" si="59"/>
        <v>10169.399999999998</v>
      </c>
      <c r="F284" s="107">
        <f t="shared" si="59"/>
        <v>11478.949999999999</v>
      </c>
      <c r="G284" s="107">
        <f t="shared" si="59"/>
        <v>9191.5</v>
      </c>
      <c r="H284" s="107">
        <f t="shared" si="59"/>
        <v>9287.2900000000009</v>
      </c>
      <c r="I284" s="107">
        <f t="shared" si="59"/>
        <v>9401.15</v>
      </c>
      <c r="J284" s="107">
        <f t="shared" si="59"/>
        <v>7541.8199999999988</v>
      </c>
      <c r="K284" s="107">
        <f t="shared" si="59"/>
        <v>12063.98</v>
      </c>
      <c r="L284" s="107">
        <f t="shared" si="59"/>
        <v>8632.19</v>
      </c>
      <c r="M284" s="107">
        <f t="shared" si="59"/>
        <v>10540.230000000001</v>
      </c>
      <c r="N284" s="107">
        <v>118814.1</v>
      </c>
    </row>
    <row r="285" spans="1:14">
      <c r="A285" s="64"/>
      <c r="B285" s="22"/>
      <c r="C285" s="22"/>
      <c r="D285" s="22"/>
      <c r="E285" s="22"/>
      <c r="F285" s="22"/>
      <c r="G285" s="22"/>
      <c r="H285" s="22"/>
      <c r="I285" s="22"/>
      <c r="J285" s="22"/>
      <c r="K285" s="22"/>
      <c r="L285" s="22"/>
      <c r="M285" s="22"/>
      <c r="N285" s="22"/>
    </row>
    <row r="286" spans="1:14">
      <c r="A286" s="64" t="s">
        <v>222</v>
      </c>
      <c r="B286" s="22"/>
      <c r="C286" s="22"/>
      <c r="D286" s="22"/>
      <c r="E286" s="22"/>
      <c r="F286" s="22"/>
      <c r="G286" s="22"/>
      <c r="H286" s="22"/>
      <c r="I286" s="22"/>
      <c r="J286" s="22"/>
      <c r="K286" s="22"/>
      <c r="L286" s="22"/>
      <c r="M286" s="22"/>
      <c r="N286" s="22"/>
    </row>
    <row r="287" spans="1:14">
      <c r="A287" s="64" t="s">
        <v>223</v>
      </c>
      <c r="B287" s="22"/>
      <c r="C287" s="107">
        <v>1050</v>
      </c>
      <c r="D287" s="22"/>
      <c r="E287" s="22"/>
      <c r="F287" s="107">
        <v>865.62</v>
      </c>
      <c r="G287" s="22"/>
      <c r="H287" s="107">
        <v>2966.5</v>
      </c>
      <c r="I287" s="22"/>
      <c r="J287" s="22"/>
      <c r="K287" s="22"/>
      <c r="L287" s="107">
        <v>182.5</v>
      </c>
      <c r="M287" s="22"/>
      <c r="N287" s="107">
        <v>5064.62</v>
      </c>
    </row>
    <row r="288" spans="1:14">
      <c r="A288" s="64" t="s">
        <v>224</v>
      </c>
      <c r="B288" s="107">
        <v>155.08000000000001</v>
      </c>
      <c r="C288" s="107">
        <v>5999.15</v>
      </c>
      <c r="D288" s="107">
        <v>3358.22</v>
      </c>
      <c r="E288" s="107">
        <v>4167.66</v>
      </c>
      <c r="F288" s="107">
        <v>2566.8200000000002</v>
      </c>
      <c r="G288" s="107">
        <v>2343.16</v>
      </c>
      <c r="H288" s="107">
        <v>3550.75</v>
      </c>
      <c r="I288" s="107">
        <v>3866.25</v>
      </c>
      <c r="J288" s="107">
        <v>12670.72</v>
      </c>
      <c r="K288" s="107">
        <v>7132.25</v>
      </c>
      <c r="L288" s="107">
        <v>6418.84</v>
      </c>
      <c r="M288" s="107">
        <v>3648.23</v>
      </c>
      <c r="N288" s="107">
        <v>55877.13</v>
      </c>
    </row>
    <row r="289" spans="1:14">
      <c r="A289" s="64" t="s">
        <v>225</v>
      </c>
      <c r="B289" s="22"/>
      <c r="C289" s="22"/>
      <c r="D289" s="22"/>
      <c r="E289" s="22"/>
      <c r="F289" s="22"/>
      <c r="G289" s="107">
        <v>1228.3699999999999</v>
      </c>
      <c r="H289" s="22"/>
      <c r="I289" s="107">
        <v>79.5</v>
      </c>
      <c r="J289" s="22"/>
      <c r="K289" s="22"/>
      <c r="L289" s="22"/>
      <c r="M289" s="107">
        <v>602.76</v>
      </c>
      <c r="N289" s="107">
        <v>1910.63</v>
      </c>
    </row>
    <row r="290" spans="1:14">
      <c r="A290" s="64" t="s">
        <v>226</v>
      </c>
      <c r="B290" s="107">
        <v>293.25</v>
      </c>
      <c r="C290" s="107">
        <v>670.34</v>
      </c>
      <c r="D290" s="107">
        <v>291</v>
      </c>
      <c r="E290" s="107">
        <v>632.51</v>
      </c>
      <c r="F290" s="107">
        <v>2222.0300000000002</v>
      </c>
      <c r="G290" s="107">
        <v>103.27</v>
      </c>
      <c r="H290" s="107">
        <v>393.6</v>
      </c>
      <c r="I290" s="107">
        <v>12.75</v>
      </c>
      <c r="J290" s="107">
        <v>328.9</v>
      </c>
      <c r="K290" s="107">
        <v>139.62</v>
      </c>
      <c r="L290" s="107">
        <v>380.61</v>
      </c>
      <c r="M290" s="107">
        <v>13.26</v>
      </c>
      <c r="N290" s="107">
        <v>5481.14</v>
      </c>
    </row>
    <row r="291" spans="1:14">
      <c r="A291" s="64" t="s">
        <v>227</v>
      </c>
      <c r="B291" s="111">
        <v>134.36000000000001</v>
      </c>
      <c r="C291" s="111">
        <v>96.49</v>
      </c>
      <c r="D291" s="113"/>
      <c r="E291" s="113"/>
      <c r="F291" s="113"/>
      <c r="G291" s="113"/>
      <c r="H291" s="111">
        <v>49.9</v>
      </c>
      <c r="I291" s="113"/>
      <c r="J291" s="113"/>
      <c r="K291" s="111">
        <v>150.12</v>
      </c>
      <c r="L291" s="113"/>
      <c r="M291" s="113"/>
      <c r="N291" s="111">
        <v>430.87</v>
      </c>
    </row>
    <row r="292" spans="1:14">
      <c r="A292" s="64" t="s">
        <v>229</v>
      </c>
      <c r="B292" s="107">
        <f t="shared" ref="B292:M292" si="60">SUM(B285:B291)</f>
        <v>582.69000000000005</v>
      </c>
      <c r="C292" s="107">
        <f t="shared" si="60"/>
        <v>7815.98</v>
      </c>
      <c r="D292" s="107">
        <f t="shared" si="60"/>
        <v>3649.22</v>
      </c>
      <c r="E292" s="107">
        <f t="shared" si="60"/>
        <v>4800.17</v>
      </c>
      <c r="F292" s="107">
        <f t="shared" si="60"/>
        <v>5654.47</v>
      </c>
      <c r="G292" s="107">
        <f t="shared" si="60"/>
        <v>3674.7999999999997</v>
      </c>
      <c r="H292" s="107">
        <f t="shared" si="60"/>
        <v>6960.75</v>
      </c>
      <c r="I292" s="107">
        <f t="shared" si="60"/>
        <v>3958.5</v>
      </c>
      <c r="J292" s="107">
        <f t="shared" si="60"/>
        <v>12999.619999999999</v>
      </c>
      <c r="K292" s="107">
        <f t="shared" si="60"/>
        <v>7421.99</v>
      </c>
      <c r="L292" s="107">
        <f t="shared" si="60"/>
        <v>6981.95</v>
      </c>
      <c r="M292" s="107">
        <f t="shared" si="60"/>
        <v>4264.25</v>
      </c>
      <c r="N292" s="107">
        <v>68764.39</v>
      </c>
    </row>
    <row r="293" spans="1:14">
      <c r="A293" s="64"/>
      <c r="B293" s="22"/>
      <c r="C293" s="22"/>
      <c r="D293" s="22"/>
      <c r="E293" s="22"/>
      <c r="F293" s="22"/>
      <c r="G293" s="22"/>
      <c r="H293" s="22"/>
      <c r="I293" s="22"/>
      <c r="J293" s="22"/>
      <c r="K293" s="22"/>
      <c r="L293" s="22"/>
      <c r="M293" s="22"/>
      <c r="N293" s="22"/>
    </row>
    <row r="294" spans="1:14">
      <c r="A294" s="64" t="s">
        <v>230</v>
      </c>
      <c r="B294" s="22"/>
      <c r="C294" s="22"/>
      <c r="D294" s="22"/>
      <c r="E294" s="22"/>
      <c r="F294" s="22"/>
      <c r="G294" s="22"/>
      <c r="H294" s="22"/>
      <c r="I294" s="22"/>
      <c r="J294" s="22"/>
      <c r="K294" s="22"/>
      <c r="L294" s="22"/>
      <c r="M294" s="22"/>
      <c r="N294" s="22"/>
    </row>
    <row r="295" spans="1:14">
      <c r="A295" s="64" t="s">
        <v>231</v>
      </c>
      <c r="B295" s="107">
        <v>12951.13</v>
      </c>
      <c r="C295" s="107">
        <v>12951.13</v>
      </c>
      <c r="D295" s="107">
        <v>12951.13</v>
      </c>
      <c r="E295" s="107">
        <v>12951.13</v>
      </c>
      <c r="F295" s="107">
        <v>-10494.42</v>
      </c>
      <c r="G295" s="107">
        <v>11151.13</v>
      </c>
      <c r="H295" s="107">
        <v>11151.13</v>
      </c>
      <c r="I295" s="107">
        <v>11151.13</v>
      </c>
      <c r="J295" s="107">
        <v>11151.13</v>
      </c>
      <c r="K295" s="107">
        <v>11151.13</v>
      </c>
      <c r="L295" s="107">
        <v>11151.13</v>
      </c>
      <c r="M295" s="107">
        <v>11151.13</v>
      </c>
      <c r="N295" s="107">
        <v>119368.01</v>
      </c>
    </row>
    <row r="296" spans="1:14">
      <c r="A296" s="64" t="s">
        <v>232</v>
      </c>
      <c r="B296" s="107">
        <v>285</v>
      </c>
      <c r="C296" s="107">
        <v>285</v>
      </c>
      <c r="D296" s="107">
        <v>285</v>
      </c>
      <c r="E296" s="107">
        <v>285</v>
      </c>
      <c r="F296" s="107">
        <v>687.77</v>
      </c>
      <c r="G296" s="107">
        <v>320</v>
      </c>
      <c r="H296" s="107">
        <v>320</v>
      </c>
      <c r="I296" s="107">
        <v>320</v>
      </c>
      <c r="J296" s="107">
        <v>320</v>
      </c>
      <c r="K296" s="107">
        <v>320</v>
      </c>
      <c r="L296" s="107">
        <v>320</v>
      </c>
      <c r="M296" s="107">
        <v>320</v>
      </c>
      <c r="N296" s="107">
        <v>4067.77</v>
      </c>
    </row>
    <row r="297" spans="1:14">
      <c r="A297" s="64" t="s">
        <v>234</v>
      </c>
      <c r="B297" s="107">
        <v>150</v>
      </c>
      <c r="C297" s="22"/>
      <c r="D297" s="107">
        <v>135</v>
      </c>
      <c r="E297" s="22"/>
      <c r="F297" s="22"/>
      <c r="G297" s="107">
        <v>66.67</v>
      </c>
      <c r="H297" s="22"/>
      <c r="I297" s="22"/>
      <c r="J297" s="22"/>
      <c r="K297" s="22"/>
      <c r="L297" s="22"/>
      <c r="M297" s="22"/>
      <c r="N297" s="107">
        <v>351.67</v>
      </c>
    </row>
    <row r="298" spans="1:14">
      <c r="A298" s="64" t="s">
        <v>352</v>
      </c>
      <c r="B298" s="107">
        <v>874.69</v>
      </c>
      <c r="C298" s="107"/>
      <c r="D298" s="22"/>
      <c r="E298" s="22"/>
      <c r="F298" s="22"/>
      <c r="G298" s="107">
        <v>874.69</v>
      </c>
      <c r="H298" s="107">
        <v>874.69</v>
      </c>
      <c r="I298" s="107">
        <v>874.69</v>
      </c>
      <c r="J298" s="107">
        <v>874.69</v>
      </c>
      <c r="K298" s="107">
        <v>874.69</v>
      </c>
      <c r="L298" s="107">
        <v>874.69</v>
      </c>
      <c r="M298" s="107">
        <v>874.69</v>
      </c>
      <c r="N298" s="107">
        <v>6997.52</v>
      </c>
    </row>
    <row r="299" spans="1:14">
      <c r="A299" s="64" t="s">
        <v>235</v>
      </c>
      <c r="B299" s="111">
        <v>144.94999999999999</v>
      </c>
      <c r="C299" s="111">
        <v>321.58</v>
      </c>
      <c r="D299" s="111"/>
      <c r="E299" s="111">
        <v>182.95</v>
      </c>
      <c r="F299" s="111">
        <v>9.5</v>
      </c>
      <c r="G299" s="111">
        <v>2775</v>
      </c>
      <c r="H299" s="111">
        <v>164.45</v>
      </c>
      <c r="I299" s="113"/>
      <c r="J299" s="111">
        <v>964.45</v>
      </c>
      <c r="K299" s="113"/>
      <c r="L299" s="111">
        <v>281.7</v>
      </c>
      <c r="M299" s="111">
        <v>164.45</v>
      </c>
      <c r="N299" s="111">
        <v>5009.03</v>
      </c>
    </row>
    <row r="300" spans="1:14">
      <c r="A300" s="64" t="s">
        <v>236</v>
      </c>
      <c r="B300" s="107">
        <f t="shared" ref="B300:M300" si="61">SUM(B293:B299)</f>
        <v>14405.77</v>
      </c>
      <c r="C300" s="107">
        <f t="shared" si="61"/>
        <v>13557.71</v>
      </c>
      <c r="D300" s="107">
        <f t="shared" si="61"/>
        <v>13371.13</v>
      </c>
      <c r="E300" s="107">
        <f t="shared" si="61"/>
        <v>13419.08</v>
      </c>
      <c r="F300" s="107">
        <f t="shared" si="61"/>
        <v>-9797.15</v>
      </c>
      <c r="G300" s="107">
        <f t="shared" si="61"/>
        <v>15187.49</v>
      </c>
      <c r="H300" s="107">
        <f t="shared" si="61"/>
        <v>12510.27</v>
      </c>
      <c r="I300" s="107">
        <f t="shared" si="61"/>
        <v>12345.82</v>
      </c>
      <c r="J300" s="107">
        <f t="shared" si="61"/>
        <v>13310.27</v>
      </c>
      <c r="K300" s="107">
        <f t="shared" si="61"/>
        <v>12345.82</v>
      </c>
      <c r="L300" s="107">
        <f t="shared" si="61"/>
        <v>12627.52</v>
      </c>
      <c r="M300" s="107">
        <f t="shared" si="61"/>
        <v>12510.27</v>
      </c>
      <c r="N300" s="107">
        <v>135794</v>
      </c>
    </row>
    <row r="301" spans="1:14">
      <c r="A301" s="64"/>
      <c r="B301" s="22"/>
      <c r="C301" s="22"/>
      <c r="D301" s="22"/>
      <c r="E301" s="22"/>
      <c r="F301" s="22"/>
      <c r="G301" s="22"/>
      <c r="H301" s="22"/>
      <c r="I301" s="22"/>
      <c r="J301" s="22"/>
      <c r="K301" s="22"/>
      <c r="L301" s="22"/>
      <c r="M301" s="22"/>
      <c r="N301" s="22"/>
    </row>
    <row r="302" spans="1:14">
      <c r="A302" s="64" t="s">
        <v>237</v>
      </c>
      <c r="B302" s="22"/>
      <c r="C302" s="22"/>
      <c r="D302" s="22"/>
      <c r="E302" s="22"/>
      <c r="F302" s="22"/>
      <c r="G302" s="22"/>
      <c r="H302" s="22"/>
      <c r="I302" s="22"/>
      <c r="J302" s="22"/>
      <c r="K302" s="22"/>
      <c r="L302" s="22"/>
      <c r="M302" s="22"/>
      <c r="N302" s="22"/>
    </row>
    <row r="303" spans="1:14">
      <c r="A303" s="64" t="s">
        <v>375</v>
      </c>
      <c r="B303" s="22"/>
      <c r="C303" s="22"/>
      <c r="D303" s="22"/>
      <c r="E303" s="22"/>
      <c r="F303" s="22"/>
      <c r="G303" s="107">
        <v>5328</v>
      </c>
      <c r="H303" s="22"/>
      <c r="I303" s="107">
        <v>714</v>
      </c>
      <c r="J303" s="107">
        <v>4753</v>
      </c>
      <c r="K303" s="107">
        <v>844</v>
      </c>
      <c r="L303" s="22"/>
      <c r="M303" s="107">
        <v>1746</v>
      </c>
      <c r="N303" s="107">
        <v>13385</v>
      </c>
    </row>
    <row r="304" spans="1:14">
      <c r="A304" s="64" t="s">
        <v>228</v>
      </c>
      <c r="B304" s="111">
        <v>21244</v>
      </c>
      <c r="C304" s="111">
        <v>19493</v>
      </c>
      <c r="D304" s="111">
        <v>20218</v>
      </c>
      <c r="E304" s="111">
        <v>26658</v>
      </c>
      <c r="F304" s="111">
        <v>69363</v>
      </c>
      <c r="G304" s="111">
        <v>53035</v>
      </c>
      <c r="H304" s="111">
        <v>29356.55</v>
      </c>
      <c r="I304" s="111">
        <v>21601</v>
      </c>
      <c r="J304" s="111">
        <v>20262</v>
      </c>
      <c r="K304" s="111">
        <v>20777</v>
      </c>
      <c r="L304" s="111">
        <v>26232</v>
      </c>
      <c r="M304" s="111">
        <v>26562</v>
      </c>
      <c r="N304" s="111">
        <v>354801.55</v>
      </c>
    </row>
    <row r="305" spans="1:14">
      <c r="A305" s="64" t="s">
        <v>238</v>
      </c>
      <c r="B305" s="107">
        <f t="shared" ref="B305:M305" si="62">SUM(B301:B304)</f>
        <v>21244</v>
      </c>
      <c r="C305" s="107">
        <f t="shared" si="62"/>
        <v>19493</v>
      </c>
      <c r="D305" s="107">
        <f t="shared" si="62"/>
        <v>20218</v>
      </c>
      <c r="E305" s="107">
        <f t="shared" si="62"/>
        <v>26658</v>
      </c>
      <c r="F305" s="107">
        <f t="shared" si="62"/>
        <v>69363</v>
      </c>
      <c r="G305" s="107">
        <f t="shared" si="62"/>
        <v>58363</v>
      </c>
      <c r="H305" s="107">
        <f t="shared" si="62"/>
        <v>29356.55</v>
      </c>
      <c r="I305" s="107">
        <f t="shared" si="62"/>
        <v>22315</v>
      </c>
      <c r="J305" s="107">
        <f t="shared" si="62"/>
        <v>25015</v>
      </c>
      <c r="K305" s="107">
        <f t="shared" si="62"/>
        <v>21621</v>
      </c>
      <c r="L305" s="107">
        <f t="shared" si="62"/>
        <v>26232</v>
      </c>
      <c r="M305" s="107">
        <f t="shared" si="62"/>
        <v>28308</v>
      </c>
      <c r="N305" s="107">
        <v>368186.55</v>
      </c>
    </row>
    <row r="306" spans="1:14">
      <c r="A306" s="64"/>
      <c r="B306" s="22"/>
      <c r="C306" s="22"/>
      <c r="D306" s="22"/>
      <c r="E306" s="22"/>
      <c r="F306" s="22"/>
      <c r="G306" s="22"/>
      <c r="H306" s="22"/>
      <c r="I306" s="22"/>
      <c r="J306" s="22"/>
      <c r="K306" s="22"/>
      <c r="L306" s="22"/>
      <c r="M306" s="22"/>
      <c r="N306" s="22"/>
    </row>
    <row r="307" spans="1:14">
      <c r="A307" s="64" t="s">
        <v>239</v>
      </c>
      <c r="B307" s="22"/>
      <c r="C307" s="22"/>
      <c r="D307" s="22"/>
      <c r="E307" s="22"/>
      <c r="F307" s="22"/>
      <c r="G307" s="22"/>
      <c r="H307" s="22"/>
      <c r="I307" s="22"/>
      <c r="J307" s="22"/>
      <c r="K307" s="22"/>
      <c r="L307" s="22"/>
      <c r="M307" s="22"/>
      <c r="N307" s="22"/>
    </row>
    <row r="308" spans="1:14">
      <c r="A308" s="64" t="s">
        <v>240</v>
      </c>
      <c r="B308" s="107">
        <v>2280.0500000000002</v>
      </c>
      <c r="C308" s="107">
        <v>2280.0500000000002</v>
      </c>
      <c r="D308" s="107">
        <v>2280.0500000000002</v>
      </c>
      <c r="E308" s="107">
        <v>2280.0500000000002</v>
      </c>
      <c r="F308" s="107">
        <v>2280.0500000000002</v>
      </c>
      <c r="G308" s="107">
        <v>2280.0500000000002</v>
      </c>
      <c r="H308" s="107">
        <v>2280.0500000000002</v>
      </c>
      <c r="I308" s="107">
        <v>3168.09</v>
      </c>
      <c r="J308" s="107">
        <v>2724.07</v>
      </c>
      <c r="K308" s="107">
        <v>2724.07</v>
      </c>
      <c r="L308" s="107">
        <v>2724.07</v>
      </c>
      <c r="M308" s="107">
        <v>2724.07</v>
      </c>
      <c r="N308" s="107">
        <v>30024.720000000001</v>
      </c>
    </row>
    <row r="309" spans="1:14">
      <c r="A309" s="64" t="s">
        <v>241</v>
      </c>
      <c r="B309" s="107">
        <v>204.75</v>
      </c>
      <c r="C309" s="107">
        <v>204.75</v>
      </c>
      <c r="D309" s="107">
        <v>204.75</v>
      </c>
      <c r="E309" s="107">
        <v>204.75</v>
      </c>
      <c r="F309" s="107">
        <v>204.75</v>
      </c>
      <c r="G309" s="107">
        <v>204.75</v>
      </c>
      <c r="H309" s="107">
        <v>2556.0700000000002</v>
      </c>
      <c r="I309" s="107">
        <v>-204.75</v>
      </c>
      <c r="J309" s="22"/>
      <c r="K309" s="22"/>
      <c r="L309" s="22"/>
      <c r="M309" s="22"/>
      <c r="N309" s="107">
        <v>3579.82</v>
      </c>
    </row>
    <row r="310" spans="1:14">
      <c r="A310" s="64" t="s">
        <v>242</v>
      </c>
      <c r="B310" s="107">
        <v>5777.67</v>
      </c>
      <c r="C310" s="107">
        <v>6280.08</v>
      </c>
      <c r="D310" s="107">
        <v>6280.08</v>
      </c>
      <c r="E310" s="107">
        <v>6280.08</v>
      </c>
      <c r="F310" s="107">
        <v>6280.08</v>
      </c>
      <c r="G310" s="107">
        <v>6859.74</v>
      </c>
      <c r="H310" s="107">
        <v>6280.08</v>
      </c>
      <c r="I310" s="107">
        <v>6280.08</v>
      </c>
      <c r="J310" s="107">
        <v>6280.08</v>
      </c>
      <c r="K310" s="107">
        <v>6280.08</v>
      </c>
      <c r="L310" s="107">
        <v>6280.08</v>
      </c>
      <c r="M310" s="107">
        <v>6280.08</v>
      </c>
      <c r="N310" s="107">
        <v>75438.210000000006</v>
      </c>
    </row>
    <row r="311" spans="1:14">
      <c r="A311" s="64" t="s">
        <v>284</v>
      </c>
      <c r="B311" s="22"/>
      <c r="C311" s="22"/>
      <c r="D311" s="22"/>
      <c r="E311" s="22"/>
      <c r="F311" s="22"/>
      <c r="G311" s="22"/>
      <c r="H311" s="22"/>
      <c r="I311" s="22"/>
      <c r="J311" s="107">
        <v>18844.54</v>
      </c>
      <c r="K311" s="22"/>
      <c r="L311" s="22"/>
      <c r="M311" s="22"/>
      <c r="N311" s="107">
        <v>18844.54</v>
      </c>
    </row>
    <row r="312" spans="1:14">
      <c r="A312" s="64" t="s">
        <v>243</v>
      </c>
      <c r="B312" s="22"/>
      <c r="C312" s="22"/>
      <c r="D312" s="22"/>
      <c r="E312" s="22"/>
      <c r="F312" s="22"/>
      <c r="G312" s="22"/>
      <c r="H312" s="22"/>
      <c r="I312" s="22"/>
      <c r="J312" s="22"/>
      <c r="K312" s="22"/>
      <c r="L312" s="22"/>
      <c r="M312" s="107">
        <v>774</v>
      </c>
      <c r="N312" s="107">
        <v>774</v>
      </c>
    </row>
    <row r="313" spans="1:14">
      <c r="A313" s="64" t="s">
        <v>387</v>
      </c>
      <c r="B313" s="113"/>
      <c r="C313" s="113"/>
      <c r="D313" s="113"/>
      <c r="E313" s="113"/>
      <c r="F313" s="113"/>
      <c r="G313" s="113"/>
      <c r="H313" s="113"/>
      <c r="I313" s="113"/>
      <c r="J313" s="113"/>
      <c r="K313" s="113"/>
      <c r="L313" s="113"/>
      <c r="M313" s="113"/>
      <c r="N313" s="113"/>
    </row>
    <row r="314" spans="1:14">
      <c r="A314" s="64" t="s">
        <v>244</v>
      </c>
      <c r="B314" s="107">
        <f t="shared" ref="B314:M314" si="63">SUM(B306:B313)</f>
        <v>8262.4700000000012</v>
      </c>
      <c r="C314" s="107">
        <f t="shared" si="63"/>
        <v>8764.880000000001</v>
      </c>
      <c r="D314" s="107">
        <f t="shared" si="63"/>
        <v>8764.880000000001</v>
      </c>
      <c r="E314" s="107">
        <f t="shared" si="63"/>
        <v>8764.880000000001</v>
      </c>
      <c r="F314" s="107">
        <f t="shared" si="63"/>
        <v>8764.880000000001</v>
      </c>
      <c r="G314" s="107">
        <f t="shared" si="63"/>
        <v>9344.5400000000009</v>
      </c>
      <c r="H314" s="107">
        <f t="shared" si="63"/>
        <v>11116.2</v>
      </c>
      <c r="I314" s="107">
        <f t="shared" si="63"/>
        <v>9243.42</v>
      </c>
      <c r="J314" s="107">
        <f t="shared" si="63"/>
        <v>27848.690000000002</v>
      </c>
      <c r="K314" s="107">
        <f t="shared" si="63"/>
        <v>9004.15</v>
      </c>
      <c r="L314" s="107">
        <f t="shared" si="63"/>
        <v>9004.15</v>
      </c>
      <c r="M314" s="107">
        <f t="shared" si="63"/>
        <v>9778.15</v>
      </c>
      <c r="N314" s="107">
        <v>128661.29</v>
      </c>
    </row>
    <row r="315" spans="1:14">
      <c r="A315" s="64"/>
      <c r="B315" s="22"/>
      <c r="C315" s="22"/>
      <c r="D315" s="22"/>
      <c r="E315" s="22"/>
      <c r="F315" s="22"/>
      <c r="G315" s="22"/>
      <c r="H315" s="22"/>
      <c r="I315" s="22"/>
      <c r="J315" s="22"/>
      <c r="K315" s="22"/>
      <c r="L315" s="22"/>
      <c r="M315" s="22"/>
      <c r="N315" s="22"/>
    </row>
    <row r="316" spans="1:14">
      <c r="A316" s="64" t="s">
        <v>245</v>
      </c>
      <c r="B316" s="22"/>
      <c r="C316" s="22"/>
      <c r="D316" s="22"/>
      <c r="E316" s="22"/>
      <c r="F316" s="22"/>
      <c r="G316" s="22"/>
      <c r="H316" s="22"/>
      <c r="I316" s="22"/>
      <c r="J316" s="22"/>
      <c r="K316" s="22"/>
      <c r="L316" s="22"/>
      <c r="M316" s="22"/>
      <c r="N316" s="22"/>
    </row>
    <row r="317" spans="1:14">
      <c r="A317" s="64" t="s">
        <v>246</v>
      </c>
      <c r="B317" s="107">
        <v>2256.3200000000002</v>
      </c>
      <c r="C317" s="107">
        <v>2256.3200000000002</v>
      </c>
      <c r="D317" s="107">
        <v>2297.14</v>
      </c>
      <c r="E317" s="107">
        <v>2599.2600000000002</v>
      </c>
      <c r="F317" s="107">
        <v>2392.7800000000002</v>
      </c>
      <c r="G317" s="107">
        <v>1196.3900000000001</v>
      </c>
      <c r="H317" s="107">
        <v>3516.71</v>
      </c>
      <c r="I317" s="107">
        <v>2331.92</v>
      </c>
      <c r="J317" s="107">
        <v>2651.94</v>
      </c>
      <c r="K317" s="107">
        <v>2562.52</v>
      </c>
      <c r="L317" s="107">
        <v>2515.44</v>
      </c>
      <c r="M317" s="107">
        <v>2695.08</v>
      </c>
      <c r="N317" s="107">
        <v>29271.82</v>
      </c>
    </row>
    <row r="318" spans="1:14">
      <c r="A318" s="64" t="s">
        <v>247</v>
      </c>
      <c r="B318" s="107">
        <v>4935.26</v>
      </c>
      <c r="C318" s="107">
        <v>4886.4799999999996</v>
      </c>
      <c r="D318" s="107">
        <v>4994.78</v>
      </c>
      <c r="E318" s="107">
        <v>5213.8999999999996</v>
      </c>
      <c r="F318" s="107">
        <v>5372.88</v>
      </c>
      <c r="G318" s="107">
        <v>2686.44</v>
      </c>
      <c r="H318" s="107">
        <v>7717.92</v>
      </c>
      <c r="I318" s="107">
        <v>5202.18</v>
      </c>
      <c r="J318" s="107">
        <v>6078.06</v>
      </c>
      <c r="K318" s="107">
        <v>6085.12</v>
      </c>
      <c r="L318" s="107">
        <v>6238.08</v>
      </c>
      <c r="M318" s="107">
        <v>6020.12</v>
      </c>
      <c r="N318" s="107">
        <v>65431.22</v>
      </c>
    </row>
    <row r="319" spans="1:14">
      <c r="A319" s="64" t="s">
        <v>362</v>
      </c>
      <c r="B319" s="107">
        <v>833</v>
      </c>
      <c r="C319" s="107">
        <v>833</v>
      </c>
      <c r="D319" s="107">
        <v>833</v>
      </c>
      <c r="E319" s="107">
        <v>833</v>
      </c>
      <c r="F319" s="107">
        <v>833</v>
      </c>
      <c r="G319" s="107">
        <v>833</v>
      </c>
      <c r="H319" s="107">
        <v>833</v>
      </c>
      <c r="I319" s="107">
        <v>833</v>
      </c>
      <c r="J319" s="107">
        <v>833</v>
      </c>
      <c r="K319" s="107">
        <v>833</v>
      </c>
      <c r="L319" s="107">
        <v>833</v>
      </c>
      <c r="M319" s="107">
        <v>833</v>
      </c>
      <c r="N319" s="107">
        <v>9996</v>
      </c>
    </row>
    <row r="320" spans="1:14">
      <c r="A320" s="64" t="s">
        <v>363</v>
      </c>
      <c r="B320" s="111">
        <v>-3595.79</v>
      </c>
      <c r="C320" s="111">
        <v>-3571.4</v>
      </c>
      <c r="D320" s="111">
        <v>-3645.96</v>
      </c>
      <c r="E320" s="111">
        <v>-3906.58</v>
      </c>
      <c r="F320" s="111">
        <v>-3882.83</v>
      </c>
      <c r="G320" s="113"/>
      <c r="H320" s="111">
        <v>-7558.73</v>
      </c>
      <c r="I320" s="111">
        <v>-3767.05</v>
      </c>
      <c r="J320" s="111">
        <v>-4365</v>
      </c>
      <c r="K320" s="111">
        <v>-4323.82</v>
      </c>
      <c r="L320" s="111">
        <v>-4376.76</v>
      </c>
      <c r="M320" s="111">
        <v>-4357.6000000000004</v>
      </c>
      <c r="N320" s="111">
        <v>-47351.519999999997</v>
      </c>
    </row>
    <row r="321" spans="1:14">
      <c r="A321" s="64" t="s">
        <v>250</v>
      </c>
      <c r="B321" s="107">
        <f t="shared" ref="B321:M321" si="64">SUM(B315:B320)</f>
        <v>4428.79</v>
      </c>
      <c r="C321" s="107">
        <f t="shared" si="64"/>
        <v>4404.3999999999996</v>
      </c>
      <c r="D321" s="107">
        <f t="shared" si="64"/>
        <v>4478.96</v>
      </c>
      <c r="E321" s="107">
        <f t="shared" si="64"/>
        <v>4739.58</v>
      </c>
      <c r="F321" s="107">
        <f t="shared" si="64"/>
        <v>4715.83</v>
      </c>
      <c r="G321" s="107">
        <f t="shared" si="64"/>
        <v>4715.83</v>
      </c>
      <c r="H321" s="107">
        <f t="shared" si="64"/>
        <v>4508.9000000000015</v>
      </c>
      <c r="I321" s="107">
        <f t="shared" si="64"/>
        <v>4600.05</v>
      </c>
      <c r="J321" s="107">
        <f t="shared" si="64"/>
        <v>5198</v>
      </c>
      <c r="K321" s="107">
        <f t="shared" si="64"/>
        <v>5156.82</v>
      </c>
      <c r="L321" s="107">
        <f t="shared" si="64"/>
        <v>5209.76</v>
      </c>
      <c r="M321" s="107">
        <f t="shared" si="64"/>
        <v>5190.6000000000004</v>
      </c>
      <c r="N321" s="107">
        <v>57347.519999999997</v>
      </c>
    </row>
    <row r="322" spans="1:14">
      <c r="A322" s="64"/>
      <c r="B322" s="22"/>
      <c r="C322" s="22"/>
      <c r="D322" s="22"/>
      <c r="E322" s="22"/>
      <c r="F322" s="22"/>
      <c r="G322" s="22"/>
      <c r="H322" s="22"/>
      <c r="I322" s="22"/>
      <c r="J322" s="22"/>
      <c r="K322" s="22"/>
      <c r="L322" s="22"/>
      <c r="M322" s="22"/>
      <c r="N322" s="22"/>
    </row>
    <row r="323" spans="1:14">
      <c r="A323" s="64" t="s">
        <v>251</v>
      </c>
      <c r="B323" s="22"/>
      <c r="C323" s="22"/>
      <c r="D323" s="22"/>
      <c r="E323" s="22"/>
      <c r="F323" s="22"/>
      <c r="G323" s="22"/>
      <c r="H323" s="22"/>
      <c r="I323" s="22"/>
      <c r="J323" s="22"/>
      <c r="K323" s="22"/>
      <c r="L323" s="22"/>
      <c r="M323" s="22"/>
      <c r="N323" s="22"/>
    </row>
    <row r="324" spans="1:14">
      <c r="A324" s="64" t="s">
        <v>252</v>
      </c>
      <c r="B324" s="107">
        <v>134129</v>
      </c>
      <c r="C324" s="107">
        <v>137022.57999999999</v>
      </c>
      <c r="D324" s="107">
        <v>137022.57999999999</v>
      </c>
      <c r="E324" s="107">
        <v>137022.57999999999</v>
      </c>
      <c r="F324" s="107">
        <v>137022.57999999999</v>
      </c>
      <c r="G324" s="107">
        <v>137022.57999999999</v>
      </c>
      <c r="H324" s="107">
        <v>137022.57999999999</v>
      </c>
      <c r="I324" s="107">
        <v>137022.57999999999</v>
      </c>
      <c r="J324" s="107">
        <v>137022.57999999999</v>
      </c>
      <c r="K324" s="107">
        <v>137022.57999999999</v>
      </c>
      <c r="L324" s="107">
        <v>137022.57999999999</v>
      </c>
      <c r="M324" s="107">
        <v>149218.44</v>
      </c>
      <c r="N324" s="107">
        <v>1653573.24</v>
      </c>
    </row>
    <row r="325" spans="1:14">
      <c r="A325" s="64" t="s">
        <v>388</v>
      </c>
      <c r="B325" s="107">
        <v>-16000</v>
      </c>
      <c r="C325" s="107">
        <v>-16000</v>
      </c>
      <c r="D325" s="107">
        <v>-16000</v>
      </c>
      <c r="E325" s="107">
        <v>-16000</v>
      </c>
      <c r="F325" s="107">
        <v>-16000</v>
      </c>
      <c r="G325" s="107">
        <v>-16000</v>
      </c>
      <c r="H325" s="107">
        <v>-16000</v>
      </c>
      <c r="I325" s="107">
        <v>-16000</v>
      </c>
      <c r="J325" s="107">
        <v>-16000</v>
      </c>
      <c r="K325" s="107">
        <v>-16000</v>
      </c>
      <c r="L325" s="107">
        <v>-16000</v>
      </c>
      <c r="M325" s="107">
        <v>-16000</v>
      </c>
      <c r="N325" s="107">
        <v>-192000</v>
      </c>
    </row>
    <row r="326" spans="1:14">
      <c r="A326" s="64" t="s">
        <v>253</v>
      </c>
      <c r="B326" s="107">
        <v>101.32</v>
      </c>
      <c r="C326" s="107">
        <v>101.32</v>
      </c>
      <c r="D326" s="107">
        <v>101.32</v>
      </c>
      <c r="E326" s="107">
        <v>101.32</v>
      </c>
      <c r="F326" s="107">
        <v>101.36</v>
      </c>
      <c r="G326" s="22"/>
      <c r="H326" s="22"/>
      <c r="I326" s="22"/>
      <c r="J326" s="107">
        <v>51.39</v>
      </c>
      <c r="K326" s="107">
        <v>51.39</v>
      </c>
      <c r="L326" s="107">
        <v>51.39</v>
      </c>
      <c r="M326" s="107">
        <v>51.39</v>
      </c>
      <c r="N326" s="107">
        <v>712.2</v>
      </c>
    </row>
    <row r="327" spans="1:14">
      <c r="A327" s="64" t="s">
        <v>254</v>
      </c>
      <c r="B327" s="111">
        <v>20.93</v>
      </c>
      <c r="C327" s="111">
        <v>18626.71</v>
      </c>
      <c r="D327" s="111">
        <v>65.540000000000006</v>
      </c>
      <c r="E327" s="111">
        <v>70.67</v>
      </c>
      <c r="F327" s="113"/>
      <c r="G327" s="113"/>
      <c r="H327" s="111">
        <v>32</v>
      </c>
      <c r="I327" s="111">
        <v>73.27</v>
      </c>
      <c r="J327" s="111">
        <v>17259.62</v>
      </c>
      <c r="K327" s="111">
        <v>1018.6</v>
      </c>
      <c r="L327" s="113"/>
      <c r="M327" s="111">
        <v>80</v>
      </c>
      <c r="N327" s="111">
        <v>37247.339999999997</v>
      </c>
    </row>
    <row r="328" spans="1:14">
      <c r="A328" s="64" t="s">
        <v>255</v>
      </c>
      <c r="B328" s="107">
        <f t="shared" ref="B328:M328" si="65">SUM(B322:B327)</f>
        <v>118251.25</v>
      </c>
      <c r="C328" s="107">
        <f t="shared" si="65"/>
        <v>139750.60999999999</v>
      </c>
      <c r="D328" s="107">
        <f t="shared" si="65"/>
        <v>121189.43999999999</v>
      </c>
      <c r="E328" s="107">
        <f t="shared" si="65"/>
        <v>121194.56999999999</v>
      </c>
      <c r="F328" s="107">
        <f t="shared" si="65"/>
        <v>121123.93999999999</v>
      </c>
      <c r="G328" s="107">
        <f t="shared" si="65"/>
        <v>121022.57999999999</v>
      </c>
      <c r="H328" s="107">
        <f t="shared" si="65"/>
        <v>121054.57999999999</v>
      </c>
      <c r="I328" s="107">
        <f t="shared" si="65"/>
        <v>121095.84999999999</v>
      </c>
      <c r="J328" s="107">
        <f t="shared" si="65"/>
        <v>138333.59</v>
      </c>
      <c r="K328" s="107">
        <f t="shared" si="65"/>
        <v>122092.56999999999</v>
      </c>
      <c r="L328" s="107">
        <f t="shared" si="65"/>
        <v>121073.96999999999</v>
      </c>
      <c r="M328" s="107">
        <f t="shared" si="65"/>
        <v>133349.83000000002</v>
      </c>
      <c r="N328" s="107">
        <v>1499532.78</v>
      </c>
    </row>
    <row r="329" spans="1:14">
      <c r="A329" s="64"/>
      <c r="B329" s="22"/>
      <c r="C329" s="22"/>
      <c r="D329" s="22"/>
      <c r="E329" s="22"/>
      <c r="F329" s="22"/>
      <c r="G329" s="22"/>
      <c r="H329" s="22"/>
      <c r="I329" s="22"/>
      <c r="J329" s="22"/>
      <c r="K329" s="22"/>
      <c r="L329" s="22"/>
      <c r="M329" s="22"/>
      <c r="N329" s="22"/>
    </row>
    <row r="330" spans="1:14">
      <c r="A330" s="64" t="s">
        <v>256</v>
      </c>
      <c r="B330" s="22"/>
      <c r="C330" s="22"/>
      <c r="D330" s="22"/>
      <c r="E330" s="22"/>
      <c r="F330" s="22"/>
      <c r="G330" s="22"/>
      <c r="H330" s="22"/>
      <c r="I330" s="22"/>
      <c r="J330" s="22"/>
      <c r="K330" s="22"/>
      <c r="L330" s="22"/>
      <c r="M330" s="22"/>
      <c r="N330" s="22"/>
    </row>
    <row r="331" spans="1:14">
      <c r="A331" s="64" t="s">
        <v>257</v>
      </c>
      <c r="B331" s="113"/>
      <c r="C331" s="113"/>
      <c r="D331" s="113"/>
      <c r="E331" s="113"/>
      <c r="F331" s="111">
        <v>-16466.72</v>
      </c>
      <c r="G331" s="111"/>
      <c r="H331" s="113"/>
      <c r="I331" s="113"/>
      <c r="J331" s="113"/>
      <c r="K331" s="113"/>
      <c r="L331" s="113"/>
      <c r="M331" s="113"/>
      <c r="N331" s="111">
        <v>-16466.72</v>
      </c>
    </row>
    <row r="332" spans="1:14">
      <c r="A332" s="64" t="s">
        <v>258</v>
      </c>
      <c r="B332" s="107"/>
      <c r="C332" s="107"/>
      <c r="D332" s="107"/>
      <c r="E332" s="107"/>
      <c r="F332" s="107">
        <f>SUM(F329:F331)</f>
        <v>-16466.72</v>
      </c>
      <c r="G332" s="107"/>
      <c r="H332" s="107"/>
      <c r="I332" s="107"/>
      <c r="J332" s="107"/>
      <c r="K332" s="107"/>
      <c r="L332" s="107"/>
      <c r="M332" s="107"/>
      <c r="N332" s="107">
        <v>-16466.72</v>
      </c>
    </row>
    <row r="333" spans="1:14">
      <c r="A333" s="64"/>
      <c r="B333" s="22"/>
      <c r="C333" s="22"/>
      <c r="D333" s="22"/>
      <c r="E333" s="22"/>
      <c r="F333" s="22"/>
      <c r="G333" s="22"/>
      <c r="H333" s="22"/>
      <c r="I333" s="22"/>
      <c r="J333" s="22"/>
      <c r="K333" s="22"/>
      <c r="L333" s="22"/>
      <c r="M333" s="22"/>
      <c r="N333" s="22"/>
    </row>
    <row r="334" spans="1:14" ht="15.75" thickBot="1">
      <c r="A334" s="64" t="s">
        <v>62</v>
      </c>
      <c r="B334" s="112">
        <f t="shared" ref="B334:M334" si="66">SUM(B191:B333)-B210-B217-B227-B243-B269-B284-B292-B300-B305-B314-B321-B328-B332</f>
        <v>745638.13999999932</v>
      </c>
      <c r="C334" s="112">
        <f t="shared" si="66"/>
        <v>759257.66999999981</v>
      </c>
      <c r="D334" s="112">
        <f t="shared" si="66"/>
        <v>761467.8600000001</v>
      </c>
      <c r="E334" s="112">
        <f t="shared" si="66"/>
        <v>739925.2100000002</v>
      </c>
      <c r="F334" s="112">
        <f t="shared" si="66"/>
        <v>-388424.47</v>
      </c>
      <c r="G334" s="112">
        <f t="shared" si="66"/>
        <v>767079.08999999962</v>
      </c>
      <c r="H334" s="112">
        <f t="shared" si="66"/>
        <v>754974.41999999958</v>
      </c>
      <c r="I334" s="112">
        <f t="shared" si="66"/>
        <v>743147.74</v>
      </c>
      <c r="J334" s="112">
        <f t="shared" si="66"/>
        <v>762572.83000000019</v>
      </c>
      <c r="K334" s="112">
        <f t="shared" si="66"/>
        <v>724282.32000000053</v>
      </c>
      <c r="L334" s="112">
        <f t="shared" si="66"/>
        <v>732875.61999999976</v>
      </c>
      <c r="M334" s="112">
        <f t="shared" si="66"/>
        <v>854504.07999999914</v>
      </c>
      <c r="N334" s="112">
        <v>7957300.5099999998</v>
      </c>
    </row>
    <row r="335" spans="1:14" ht="15.75" thickTop="1">
      <c r="A335" s="64"/>
      <c r="B335" s="22"/>
      <c r="C335" s="22"/>
      <c r="D335" s="22"/>
      <c r="E335" s="22"/>
      <c r="F335" s="22"/>
      <c r="G335" s="22"/>
      <c r="H335" s="22"/>
      <c r="I335" s="22"/>
      <c r="J335" s="22"/>
      <c r="K335" s="22"/>
      <c r="L335" s="22"/>
      <c r="M335" s="22"/>
      <c r="N335" s="22"/>
    </row>
    <row r="336" spans="1:14" ht="15.75" thickBot="1">
      <c r="A336" s="64" t="s">
        <v>259</v>
      </c>
      <c r="B336" s="112">
        <f t="shared" ref="B336:M336" si="67">+B188-B334</f>
        <v>19123.349999999977</v>
      </c>
      <c r="C336" s="112">
        <f t="shared" si="67"/>
        <v>-40759.989999999525</v>
      </c>
      <c r="D336" s="112">
        <f t="shared" si="67"/>
        <v>-23786.509999999544</v>
      </c>
      <c r="E336" s="112">
        <f t="shared" si="67"/>
        <v>33005.749999999884</v>
      </c>
      <c r="F336" s="112">
        <f t="shared" si="67"/>
        <v>225244.06999999983</v>
      </c>
      <c r="G336" s="112">
        <f t="shared" si="67"/>
        <v>55285.540000000386</v>
      </c>
      <c r="H336" s="112">
        <f t="shared" si="67"/>
        <v>41940.200000000536</v>
      </c>
      <c r="I336" s="112">
        <f t="shared" si="67"/>
        <v>-5523.3299999992596</v>
      </c>
      <c r="J336" s="112">
        <f t="shared" si="67"/>
        <v>-65839.630000000703</v>
      </c>
      <c r="K336" s="112">
        <f t="shared" si="67"/>
        <v>-26585.680000000633</v>
      </c>
      <c r="L336" s="112">
        <f t="shared" si="67"/>
        <v>144185.04999999865</v>
      </c>
      <c r="M336" s="112">
        <f t="shared" si="67"/>
        <v>67811.560000000522</v>
      </c>
      <c r="N336" s="112">
        <v>424100.38</v>
      </c>
    </row>
    <row r="337" spans="1:14" ht="15.75" thickTop="1">
      <c r="A337" s="64"/>
      <c r="B337" s="22"/>
      <c r="C337" s="22"/>
      <c r="D337" s="22"/>
      <c r="E337" s="22"/>
      <c r="F337" s="22"/>
      <c r="G337" s="22"/>
      <c r="H337" s="22"/>
      <c r="I337" s="22"/>
      <c r="J337" s="22"/>
      <c r="K337" s="22"/>
      <c r="L337" s="22"/>
      <c r="M337" s="22"/>
      <c r="N337" s="22"/>
    </row>
    <row r="338" spans="1:14">
      <c r="A338" s="64" t="s">
        <v>351</v>
      </c>
      <c r="B338" s="111">
        <v>24601.58</v>
      </c>
      <c r="C338" s="111">
        <v>15052.68</v>
      </c>
      <c r="D338" s="111">
        <v>-236.33</v>
      </c>
      <c r="E338" s="111">
        <v>5991.16</v>
      </c>
      <c r="F338" s="111">
        <v>330636.99</v>
      </c>
      <c r="G338" s="111">
        <v>29869.25</v>
      </c>
      <c r="H338" s="111">
        <v>46336.93</v>
      </c>
      <c r="I338" s="111">
        <v>14654.75</v>
      </c>
      <c r="J338" s="111">
        <v>18846.34</v>
      </c>
      <c r="K338" s="111">
        <v>2908.28</v>
      </c>
      <c r="L338" s="111">
        <v>3376.23</v>
      </c>
      <c r="M338" s="111">
        <v>4279.8900000000003</v>
      </c>
      <c r="N338" s="111">
        <v>496317.75</v>
      </c>
    </row>
    <row r="339" spans="1:14">
      <c r="A339" s="64" t="s">
        <v>64</v>
      </c>
      <c r="B339" s="107">
        <f t="shared" ref="B339:M339" si="68">SUM(B337:B338)</f>
        <v>24601.58</v>
      </c>
      <c r="C339" s="107">
        <f t="shared" si="68"/>
        <v>15052.68</v>
      </c>
      <c r="D339" s="107">
        <f t="shared" si="68"/>
        <v>-236.33</v>
      </c>
      <c r="E339" s="107">
        <f t="shared" si="68"/>
        <v>5991.16</v>
      </c>
      <c r="F339" s="107">
        <f t="shared" si="68"/>
        <v>330636.99</v>
      </c>
      <c r="G339" s="107">
        <f t="shared" si="68"/>
        <v>29869.25</v>
      </c>
      <c r="H339" s="107">
        <f t="shared" si="68"/>
        <v>46336.93</v>
      </c>
      <c r="I339" s="107">
        <f t="shared" si="68"/>
        <v>14654.75</v>
      </c>
      <c r="J339" s="107">
        <f t="shared" si="68"/>
        <v>18846.34</v>
      </c>
      <c r="K339" s="107">
        <f t="shared" si="68"/>
        <v>2908.28</v>
      </c>
      <c r="L339" s="107">
        <f t="shared" si="68"/>
        <v>3376.23</v>
      </c>
      <c r="M339" s="107">
        <f t="shared" si="68"/>
        <v>4279.8900000000003</v>
      </c>
      <c r="N339" s="107">
        <v>496317.75</v>
      </c>
    </row>
    <row r="340" spans="1:14">
      <c r="A340" s="64"/>
      <c r="B340" s="22"/>
      <c r="C340" s="22"/>
      <c r="D340" s="22"/>
      <c r="E340" s="22"/>
      <c r="F340" s="22"/>
      <c r="G340" s="22"/>
      <c r="H340" s="22"/>
      <c r="I340" s="22"/>
      <c r="J340" s="22"/>
      <c r="K340" s="22"/>
      <c r="L340" s="22"/>
      <c r="M340" s="22"/>
      <c r="N340" s="22"/>
    </row>
    <row r="341" spans="1:14" ht="15.75" thickBot="1">
      <c r="A341" s="64" t="s">
        <v>22</v>
      </c>
      <c r="B341" s="112">
        <f t="shared" ref="B341:M341" si="69">+B336-B339</f>
        <v>-5478.230000000025</v>
      </c>
      <c r="C341" s="112">
        <f t="shared" si="69"/>
        <v>-55812.669999999525</v>
      </c>
      <c r="D341" s="112">
        <f t="shared" si="69"/>
        <v>-23550.179999999542</v>
      </c>
      <c r="E341" s="112">
        <f t="shared" si="69"/>
        <v>27014.589999999884</v>
      </c>
      <c r="F341" s="112">
        <f t="shared" si="69"/>
        <v>-105392.92000000016</v>
      </c>
      <c r="G341" s="112">
        <f t="shared" si="69"/>
        <v>25416.290000000386</v>
      </c>
      <c r="H341" s="112">
        <f t="shared" si="69"/>
        <v>-4396.7299999994648</v>
      </c>
      <c r="I341" s="112">
        <f t="shared" si="69"/>
        <v>-20178.07999999926</v>
      </c>
      <c r="J341" s="112">
        <f t="shared" si="69"/>
        <v>-84685.9700000007</v>
      </c>
      <c r="K341" s="112">
        <f t="shared" si="69"/>
        <v>-29493.960000000632</v>
      </c>
      <c r="L341" s="112">
        <f t="shared" si="69"/>
        <v>140808.81999999864</v>
      </c>
      <c r="M341" s="112">
        <f t="shared" si="69"/>
        <v>63531.670000000522</v>
      </c>
      <c r="N341" s="112">
        <v>-72217.37</v>
      </c>
    </row>
    <row r="342" spans="1:14" ht="15.75" thickTop="1">
      <c r="A342" s="64"/>
      <c r="B342" s="22"/>
      <c r="C342" s="22"/>
      <c r="D342" s="22"/>
      <c r="E342" s="22"/>
      <c r="F342" s="22"/>
      <c r="G342" s="22"/>
      <c r="H342" s="22"/>
      <c r="I342" s="22"/>
      <c r="J342" s="22"/>
      <c r="K342" s="22"/>
      <c r="L342" s="22"/>
      <c r="M342" s="22"/>
      <c r="N342" s="22"/>
    </row>
    <row r="343" spans="1:14">
      <c r="A343" s="64"/>
      <c r="B343" s="22"/>
      <c r="C343" s="22"/>
      <c r="D343" s="22"/>
      <c r="E343" s="22"/>
      <c r="F343" s="22"/>
      <c r="G343" s="22"/>
      <c r="H343" s="22"/>
      <c r="I343" s="22"/>
      <c r="J343" s="22"/>
      <c r="K343" s="22"/>
      <c r="L343" s="22"/>
      <c r="M343" s="22"/>
      <c r="N343" s="22"/>
    </row>
    <row r="344" spans="1:14">
      <c r="A344" s="64" t="s">
        <v>260</v>
      </c>
      <c r="B344" s="22"/>
      <c r="C344" s="22"/>
      <c r="D344" s="22"/>
      <c r="E344" s="22"/>
      <c r="F344" s="22"/>
      <c r="G344" s="22"/>
      <c r="H344" s="22"/>
      <c r="I344" s="22"/>
      <c r="J344" s="22"/>
      <c r="K344" s="22"/>
      <c r="L344" s="22"/>
      <c r="M344" s="22"/>
      <c r="N344" s="22"/>
    </row>
    <row r="345" spans="1:14">
      <c r="A345" s="64"/>
      <c r="B345" s="22"/>
      <c r="C345" s="22"/>
      <c r="D345" s="22"/>
      <c r="E345" s="22"/>
      <c r="F345" s="22"/>
      <c r="G345" s="22"/>
      <c r="H345" s="22"/>
      <c r="I345" s="22"/>
      <c r="J345" s="22"/>
      <c r="K345" s="22"/>
      <c r="L345" s="22"/>
      <c r="M345" s="22"/>
      <c r="N345" s="22"/>
    </row>
    <row r="346" spans="1:14">
      <c r="A346" s="64" t="s">
        <v>19</v>
      </c>
      <c r="B346" s="22"/>
      <c r="C346" s="22"/>
      <c r="D346" s="22"/>
      <c r="E346" s="22"/>
      <c r="F346" s="22"/>
      <c r="G346" s="22"/>
      <c r="H346" s="22"/>
      <c r="I346" s="22"/>
      <c r="J346" s="22"/>
      <c r="K346" s="22"/>
      <c r="L346" s="22"/>
      <c r="M346" s="22"/>
      <c r="N346" s="22"/>
    </row>
    <row r="347" spans="1:14">
      <c r="A347" s="64" t="s">
        <v>261</v>
      </c>
      <c r="B347" s="22"/>
      <c r="C347" s="107">
        <v>25</v>
      </c>
      <c r="D347" s="107">
        <v>-253</v>
      </c>
      <c r="E347" s="107">
        <v>-49</v>
      </c>
      <c r="F347" s="107">
        <v>-40</v>
      </c>
      <c r="G347" s="107">
        <v>21</v>
      </c>
      <c r="H347" s="107">
        <v>-126</v>
      </c>
      <c r="I347" s="107">
        <v>-95</v>
      </c>
      <c r="J347" s="107">
        <v>157</v>
      </c>
      <c r="K347" s="107">
        <v>30</v>
      </c>
      <c r="L347" s="22"/>
      <c r="M347" s="22"/>
      <c r="N347" s="107">
        <v>-330</v>
      </c>
    </row>
    <row r="348" spans="1:14">
      <c r="A348" s="64" t="s">
        <v>66</v>
      </c>
      <c r="B348" s="111">
        <v>1338</v>
      </c>
      <c r="C348" s="111">
        <v>1253</v>
      </c>
      <c r="D348" s="111">
        <v>1276</v>
      </c>
      <c r="E348" s="111">
        <v>1165</v>
      </c>
      <c r="F348" s="111">
        <v>1272</v>
      </c>
      <c r="G348" s="111">
        <v>1044</v>
      </c>
      <c r="H348" s="111">
        <v>1058</v>
      </c>
      <c r="I348" s="111">
        <v>1180</v>
      </c>
      <c r="J348" s="111">
        <v>1246</v>
      </c>
      <c r="K348" s="111">
        <v>1338</v>
      </c>
      <c r="L348" s="111">
        <v>1311</v>
      </c>
      <c r="M348" s="111">
        <v>1380</v>
      </c>
      <c r="N348" s="111">
        <v>14861</v>
      </c>
    </row>
    <row r="349" spans="1:14">
      <c r="A349" s="64" t="s">
        <v>85</v>
      </c>
      <c r="B349" s="107">
        <f t="shared" ref="B349:M349" si="70">SUM(B346:B348)</f>
        <v>1338</v>
      </c>
      <c r="C349" s="107">
        <f t="shared" si="70"/>
        <v>1278</v>
      </c>
      <c r="D349" s="107">
        <f t="shared" si="70"/>
        <v>1023</v>
      </c>
      <c r="E349" s="107">
        <f t="shared" si="70"/>
        <v>1116</v>
      </c>
      <c r="F349" s="107">
        <f t="shared" si="70"/>
        <v>1232</v>
      </c>
      <c r="G349" s="107">
        <f t="shared" si="70"/>
        <v>1065</v>
      </c>
      <c r="H349" s="107">
        <f t="shared" si="70"/>
        <v>932</v>
      </c>
      <c r="I349" s="107">
        <f t="shared" si="70"/>
        <v>1085</v>
      </c>
      <c r="J349" s="107">
        <f t="shared" si="70"/>
        <v>1403</v>
      </c>
      <c r="K349" s="107">
        <f t="shared" si="70"/>
        <v>1368</v>
      </c>
      <c r="L349" s="107">
        <f t="shared" si="70"/>
        <v>1311</v>
      </c>
      <c r="M349" s="107">
        <f t="shared" si="70"/>
        <v>1380</v>
      </c>
      <c r="N349" s="107">
        <v>14531</v>
      </c>
    </row>
    <row r="350" spans="1:14">
      <c r="A350" s="64"/>
      <c r="B350" s="22"/>
      <c r="C350" s="22"/>
      <c r="D350" s="22"/>
      <c r="E350" s="22"/>
      <c r="F350" s="22"/>
      <c r="G350" s="22"/>
      <c r="H350" s="22"/>
      <c r="I350" s="22"/>
      <c r="J350" s="22"/>
      <c r="K350" s="22"/>
      <c r="L350" s="22"/>
      <c r="M350" s="22"/>
      <c r="N350" s="22"/>
    </row>
    <row r="351" spans="1:14">
      <c r="A351" s="64" t="s">
        <v>20</v>
      </c>
      <c r="B351" s="22"/>
      <c r="C351" s="22"/>
      <c r="D351" s="22"/>
      <c r="E351" s="22"/>
      <c r="F351" s="22"/>
      <c r="G351" s="22"/>
      <c r="H351" s="22"/>
      <c r="I351" s="22"/>
      <c r="J351" s="22"/>
      <c r="K351" s="22"/>
      <c r="L351" s="22"/>
      <c r="M351" s="22"/>
      <c r="N351" s="22"/>
    </row>
    <row r="352" spans="1:14">
      <c r="A352" s="64" t="s">
        <v>261</v>
      </c>
      <c r="B352" s="22"/>
      <c r="C352" s="22"/>
      <c r="D352" s="107">
        <v>-74</v>
      </c>
      <c r="E352" s="107">
        <v>49</v>
      </c>
      <c r="F352" s="107">
        <v>41</v>
      </c>
      <c r="G352" s="107">
        <v>1</v>
      </c>
      <c r="H352" s="107">
        <v>-42</v>
      </c>
      <c r="I352" s="22"/>
      <c r="J352" s="22"/>
      <c r="K352" s="22"/>
      <c r="L352" s="22"/>
      <c r="M352" s="22"/>
      <c r="N352" s="107">
        <v>-25</v>
      </c>
    </row>
    <row r="353" spans="1:14">
      <c r="A353" s="64" t="s">
        <v>66</v>
      </c>
      <c r="B353" s="111">
        <v>93</v>
      </c>
      <c r="C353" s="111">
        <v>90</v>
      </c>
      <c r="D353" s="111">
        <v>105</v>
      </c>
      <c r="E353" s="111">
        <v>140</v>
      </c>
      <c r="F353" s="111">
        <v>149</v>
      </c>
      <c r="G353" s="111">
        <v>102</v>
      </c>
      <c r="H353" s="111">
        <v>47</v>
      </c>
      <c r="I353" s="111">
        <v>69</v>
      </c>
      <c r="J353" s="111">
        <v>94</v>
      </c>
      <c r="K353" s="111">
        <v>130</v>
      </c>
      <c r="L353" s="111">
        <v>110</v>
      </c>
      <c r="M353" s="111">
        <v>103</v>
      </c>
      <c r="N353" s="111">
        <v>1232</v>
      </c>
    </row>
    <row r="354" spans="1:14">
      <c r="A354" s="64" t="s">
        <v>262</v>
      </c>
      <c r="B354" s="107">
        <f t="shared" ref="B354:M354" si="71">SUM(B350:B353)</f>
        <v>93</v>
      </c>
      <c r="C354" s="107">
        <f t="shared" si="71"/>
        <v>90</v>
      </c>
      <c r="D354" s="107">
        <f t="shared" si="71"/>
        <v>31</v>
      </c>
      <c r="E354" s="107">
        <f t="shared" si="71"/>
        <v>189</v>
      </c>
      <c r="F354" s="107">
        <f t="shared" si="71"/>
        <v>190</v>
      </c>
      <c r="G354" s="107">
        <f t="shared" si="71"/>
        <v>103</v>
      </c>
      <c r="H354" s="107">
        <f t="shared" si="71"/>
        <v>5</v>
      </c>
      <c r="I354" s="107">
        <f t="shared" si="71"/>
        <v>69</v>
      </c>
      <c r="J354" s="107">
        <f t="shared" si="71"/>
        <v>94</v>
      </c>
      <c r="K354" s="107">
        <f t="shared" si="71"/>
        <v>130</v>
      </c>
      <c r="L354" s="107">
        <f t="shared" si="71"/>
        <v>110</v>
      </c>
      <c r="M354" s="107">
        <f t="shared" si="71"/>
        <v>103</v>
      </c>
      <c r="N354" s="107">
        <v>1207</v>
      </c>
    </row>
    <row r="355" spans="1:14">
      <c r="A355" s="64"/>
      <c r="B355" s="22"/>
      <c r="C355" s="22"/>
      <c r="D355" s="22"/>
      <c r="E355" s="22"/>
      <c r="F355" s="22"/>
      <c r="G355" s="22"/>
      <c r="H355" s="22"/>
      <c r="I355" s="22"/>
      <c r="J355" s="22"/>
      <c r="K355" s="22"/>
      <c r="L355" s="22"/>
      <c r="M355" s="22"/>
      <c r="N355" s="22"/>
    </row>
    <row r="356" spans="1:14">
      <c r="A356" s="64" t="s">
        <v>263</v>
      </c>
      <c r="B356" s="22"/>
      <c r="C356" s="22"/>
      <c r="D356" s="22"/>
      <c r="E356" s="22"/>
      <c r="F356" s="22"/>
      <c r="G356" s="22"/>
      <c r="H356" s="22"/>
      <c r="I356" s="22"/>
      <c r="J356" s="22"/>
      <c r="K356" s="22"/>
      <c r="L356" s="22"/>
      <c r="M356" s="22"/>
      <c r="N356" s="22"/>
    </row>
    <row r="357" spans="1:14">
      <c r="A357" s="64" t="s">
        <v>261</v>
      </c>
      <c r="B357" s="107">
        <v>24</v>
      </c>
      <c r="C357" s="107">
        <v>-68</v>
      </c>
      <c r="D357" s="107">
        <v>5</v>
      </c>
      <c r="E357" s="22"/>
      <c r="F357" s="107">
        <v>1</v>
      </c>
      <c r="G357" s="107">
        <v>-36</v>
      </c>
      <c r="H357" s="107">
        <v>28</v>
      </c>
      <c r="I357" s="107">
        <v>33</v>
      </c>
      <c r="J357" s="22"/>
      <c r="K357" s="107">
        <v>15</v>
      </c>
      <c r="L357" s="22"/>
      <c r="M357" s="107">
        <v>-8</v>
      </c>
      <c r="N357" s="107">
        <v>-6</v>
      </c>
    </row>
    <row r="358" spans="1:14">
      <c r="A358" s="64" t="s">
        <v>66</v>
      </c>
      <c r="B358" s="111">
        <v>350</v>
      </c>
      <c r="C358" s="111">
        <v>279</v>
      </c>
      <c r="D358" s="111">
        <v>302</v>
      </c>
      <c r="E358" s="111">
        <v>328</v>
      </c>
      <c r="F358" s="111">
        <v>214</v>
      </c>
      <c r="G358" s="111">
        <v>473</v>
      </c>
      <c r="H358" s="111">
        <v>338</v>
      </c>
      <c r="I358" s="111">
        <v>309</v>
      </c>
      <c r="J358" s="111">
        <v>247</v>
      </c>
      <c r="K358" s="111">
        <v>264</v>
      </c>
      <c r="L358" s="111">
        <v>452</v>
      </c>
      <c r="M358" s="111">
        <v>416</v>
      </c>
      <c r="N358" s="111">
        <v>3972</v>
      </c>
    </row>
    <row r="359" spans="1:14">
      <c r="A359" s="64" t="s">
        <v>264</v>
      </c>
      <c r="B359" s="107">
        <f t="shared" ref="B359:M359" si="72">SUM(B355:B358)</f>
        <v>374</v>
      </c>
      <c r="C359" s="107">
        <f t="shared" si="72"/>
        <v>211</v>
      </c>
      <c r="D359" s="107">
        <f t="shared" si="72"/>
        <v>307</v>
      </c>
      <c r="E359" s="107">
        <f t="shared" si="72"/>
        <v>328</v>
      </c>
      <c r="F359" s="107">
        <f t="shared" si="72"/>
        <v>215</v>
      </c>
      <c r="G359" s="107">
        <f t="shared" si="72"/>
        <v>437</v>
      </c>
      <c r="H359" s="107">
        <f t="shared" si="72"/>
        <v>366</v>
      </c>
      <c r="I359" s="107">
        <f t="shared" si="72"/>
        <v>342</v>
      </c>
      <c r="J359" s="107">
        <f t="shared" si="72"/>
        <v>247</v>
      </c>
      <c r="K359" s="107">
        <f t="shared" si="72"/>
        <v>279</v>
      </c>
      <c r="L359" s="107">
        <f t="shared" si="72"/>
        <v>452</v>
      </c>
      <c r="M359" s="107">
        <f t="shared" si="72"/>
        <v>408</v>
      </c>
      <c r="N359" s="107">
        <v>3966</v>
      </c>
    </row>
    <row r="360" spans="1:14">
      <c r="A360" s="64"/>
      <c r="B360" s="22"/>
      <c r="C360" s="22"/>
      <c r="D360" s="22"/>
      <c r="E360" s="22"/>
      <c r="F360" s="22"/>
      <c r="G360" s="22"/>
      <c r="H360" s="22"/>
      <c r="I360" s="22"/>
      <c r="J360" s="22"/>
      <c r="K360" s="22"/>
      <c r="L360" s="22"/>
      <c r="M360" s="22"/>
      <c r="N360" s="22"/>
    </row>
    <row r="361" spans="1:14">
      <c r="A361" s="64" t="s">
        <v>265</v>
      </c>
      <c r="B361" s="113"/>
      <c r="C361" s="113"/>
      <c r="D361" s="113"/>
      <c r="E361" s="113"/>
      <c r="F361" s="113"/>
      <c r="G361" s="113"/>
      <c r="H361" s="113"/>
      <c r="I361" s="113"/>
      <c r="J361" s="113"/>
      <c r="K361" s="113"/>
      <c r="L361" s="113"/>
      <c r="M361" s="113"/>
      <c r="N361" s="113"/>
    </row>
    <row r="362" spans="1:14">
      <c r="A362" s="64" t="s">
        <v>319</v>
      </c>
      <c r="B362" s="107"/>
      <c r="C362" s="107"/>
      <c r="D362" s="107"/>
      <c r="E362" s="107"/>
      <c r="F362" s="107"/>
      <c r="G362" s="107"/>
      <c r="H362" s="107"/>
      <c r="I362" s="107"/>
      <c r="J362" s="107"/>
      <c r="K362" s="107"/>
      <c r="L362" s="107"/>
      <c r="M362" s="107"/>
      <c r="N362" s="107"/>
    </row>
    <row r="363" spans="1:14">
      <c r="A363" s="64"/>
      <c r="B363" s="22"/>
      <c r="C363" s="22"/>
      <c r="D363" s="22"/>
      <c r="E363" s="22"/>
      <c r="F363" s="22"/>
      <c r="G363" s="22"/>
      <c r="H363" s="22"/>
      <c r="I363" s="22"/>
      <c r="J363" s="22"/>
      <c r="K363" s="22"/>
      <c r="L363" s="22"/>
      <c r="M363" s="22"/>
      <c r="N363" s="22"/>
    </row>
    <row r="364" spans="1:14">
      <c r="A364" s="64" t="s">
        <v>106</v>
      </c>
      <c r="B364" s="22"/>
      <c r="C364" s="22"/>
      <c r="D364" s="22"/>
      <c r="E364" s="22"/>
      <c r="F364" s="22"/>
      <c r="G364" s="22"/>
      <c r="H364" s="22"/>
      <c r="I364" s="22"/>
      <c r="J364" s="22"/>
      <c r="K364" s="22"/>
      <c r="L364" s="22"/>
      <c r="M364" s="22"/>
      <c r="N364" s="22"/>
    </row>
    <row r="365" spans="1:14">
      <c r="A365" s="64" t="s">
        <v>261</v>
      </c>
      <c r="B365" s="107">
        <v>-27</v>
      </c>
      <c r="C365" s="107">
        <v>45</v>
      </c>
      <c r="D365" s="107">
        <v>-6</v>
      </c>
      <c r="E365" s="22"/>
      <c r="F365" s="22"/>
      <c r="G365" s="107">
        <v>34</v>
      </c>
      <c r="H365" s="107">
        <v>-28</v>
      </c>
      <c r="I365" s="107">
        <v>-58</v>
      </c>
      <c r="J365" s="22"/>
      <c r="K365" s="107">
        <v>-15</v>
      </c>
      <c r="L365" s="22"/>
      <c r="M365" s="107">
        <v>36</v>
      </c>
      <c r="N365" s="107">
        <v>-19</v>
      </c>
    </row>
    <row r="366" spans="1:14">
      <c r="A366" s="64" t="s">
        <v>66</v>
      </c>
      <c r="B366" s="111">
        <v>415</v>
      </c>
      <c r="C366" s="111">
        <v>372</v>
      </c>
      <c r="D366" s="111">
        <v>393</v>
      </c>
      <c r="E366" s="111">
        <v>419</v>
      </c>
      <c r="F366" s="111">
        <v>339</v>
      </c>
      <c r="G366" s="111">
        <v>468</v>
      </c>
      <c r="H366" s="111">
        <v>608</v>
      </c>
      <c r="I366" s="111">
        <v>460</v>
      </c>
      <c r="J366" s="111">
        <v>351</v>
      </c>
      <c r="K366" s="111">
        <v>239</v>
      </c>
      <c r="L366" s="111">
        <v>461</v>
      </c>
      <c r="M366" s="111">
        <v>575</v>
      </c>
      <c r="N366" s="111">
        <v>5100</v>
      </c>
    </row>
    <row r="367" spans="1:14">
      <c r="A367" s="64" t="s">
        <v>116</v>
      </c>
      <c r="B367" s="107">
        <f t="shared" ref="B367:M367" si="73">SUM(B363:B366)</f>
        <v>388</v>
      </c>
      <c r="C367" s="107">
        <f t="shared" si="73"/>
        <v>417</v>
      </c>
      <c r="D367" s="107">
        <f t="shared" si="73"/>
        <v>387</v>
      </c>
      <c r="E367" s="107">
        <f t="shared" si="73"/>
        <v>419</v>
      </c>
      <c r="F367" s="107">
        <f t="shared" si="73"/>
        <v>339</v>
      </c>
      <c r="G367" s="107">
        <f t="shared" si="73"/>
        <v>502</v>
      </c>
      <c r="H367" s="107">
        <f t="shared" si="73"/>
        <v>580</v>
      </c>
      <c r="I367" s="107">
        <f t="shared" si="73"/>
        <v>402</v>
      </c>
      <c r="J367" s="107">
        <f t="shared" si="73"/>
        <v>351</v>
      </c>
      <c r="K367" s="107">
        <f t="shared" si="73"/>
        <v>224</v>
      </c>
      <c r="L367" s="107">
        <f t="shared" si="73"/>
        <v>461</v>
      </c>
      <c r="M367" s="107">
        <f t="shared" si="73"/>
        <v>611</v>
      </c>
      <c r="N367" s="107">
        <v>5081</v>
      </c>
    </row>
    <row r="368" spans="1:14">
      <c r="A368" s="64"/>
      <c r="B368" s="22"/>
      <c r="C368" s="22"/>
      <c r="D368" s="22"/>
      <c r="E368" s="22"/>
      <c r="F368" s="22"/>
      <c r="G368" s="22"/>
      <c r="H368" s="22"/>
      <c r="I368" s="22"/>
      <c r="J368" s="22"/>
      <c r="K368" s="22"/>
      <c r="L368" s="22"/>
      <c r="M368" s="22"/>
      <c r="N368" s="22"/>
    </row>
    <row r="369" spans="1:14">
      <c r="A369" s="64" t="s">
        <v>117</v>
      </c>
      <c r="B369" s="22"/>
      <c r="C369" s="22"/>
      <c r="D369" s="22"/>
      <c r="E369" s="22"/>
      <c r="F369" s="22"/>
      <c r="G369" s="22"/>
      <c r="H369" s="22"/>
      <c r="I369" s="22"/>
      <c r="J369" s="22"/>
      <c r="K369" s="22"/>
      <c r="L369" s="22"/>
      <c r="M369" s="22"/>
      <c r="N369" s="22"/>
    </row>
    <row r="370" spans="1:14">
      <c r="A370" s="64" t="s">
        <v>261</v>
      </c>
      <c r="B370" s="22"/>
      <c r="C370" s="22"/>
      <c r="D370" s="107">
        <v>327</v>
      </c>
      <c r="E370" s="22"/>
      <c r="F370" s="22"/>
      <c r="G370" s="107">
        <v>-20</v>
      </c>
      <c r="H370" s="107">
        <v>168</v>
      </c>
      <c r="I370" s="107">
        <v>120</v>
      </c>
      <c r="J370" s="107">
        <v>-156</v>
      </c>
      <c r="K370" s="107">
        <v>-30</v>
      </c>
      <c r="L370" s="22"/>
      <c r="M370" s="107">
        <v>-29</v>
      </c>
      <c r="N370" s="107">
        <v>380</v>
      </c>
    </row>
    <row r="371" spans="1:14">
      <c r="A371" s="64" t="s">
        <v>66</v>
      </c>
      <c r="B371" s="111">
        <v>243</v>
      </c>
      <c r="C371" s="111">
        <v>195</v>
      </c>
      <c r="D371" s="111">
        <v>172</v>
      </c>
      <c r="E371" s="111">
        <v>174</v>
      </c>
      <c r="F371" s="111">
        <v>121</v>
      </c>
      <c r="G371" s="111">
        <v>167</v>
      </c>
      <c r="H371" s="111">
        <v>222</v>
      </c>
      <c r="I371" s="111">
        <v>227</v>
      </c>
      <c r="J371" s="111">
        <v>267</v>
      </c>
      <c r="K371" s="111">
        <v>240</v>
      </c>
      <c r="L371" s="111">
        <v>231</v>
      </c>
      <c r="M371" s="111">
        <v>208</v>
      </c>
      <c r="N371" s="111">
        <v>2467</v>
      </c>
    </row>
    <row r="372" spans="1:14">
      <c r="A372" s="64" t="s">
        <v>127</v>
      </c>
      <c r="B372" s="107">
        <f t="shared" ref="B372:M372" si="74">SUM(B368:B371)</f>
        <v>243</v>
      </c>
      <c r="C372" s="107">
        <f t="shared" si="74"/>
        <v>195</v>
      </c>
      <c r="D372" s="107">
        <f t="shared" si="74"/>
        <v>499</v>
      </c>
      <c r="E372" s="107">
        <f t="shared" si="74"/>
        <v>174</v>
      </c>
      <c r="F372" s="107">
        <f t="shared" si="74"/>
        <v>121</v>
      </c>
      <c r="G372" s="107">
        <f t="shared" si="74"/>
        <v>147</v>
      </c>
      <c r="H372" s="107">
        <f t="shared" si="74"/>
        <v>390</v>
      </c>
      <c r="I372" s="107">
        <f t="shared" si="74"/>
        <v>347</v>
      </c>
      <c r="J372" s="107">
        <f t="shared" si="74"/>
        <v>111</v>
      </c>
      <c r="K372" s="107">
        <f t="shared" si="74"/>
        <v>210</v>
      </c>
      <c r="L372" s="107">
        <f t="shared" si="74"/>
        <v>231</v>
      </c>
      <c r="M372" s="107">
        <f t="shared" si="74"/>
        <v>179</v>
      </c>
      <c r="N372" s="107">
        <v>2847</v>
      </c>
    </row>
    <row r="373" spans="1:14">
      <c r="A373" s="64"/>
      <c r="B373" s="22"/>
      <c r="C373" s="22"/>
      <c r="D373" s="22"/>
      <c r="E373" s="22"/>
      <c r="F373" s="22"/>
      <c r="G373" s="22"/>
      <c r="H373" s="22"/>
      <c r="I373" s="22"/>
      <c r="J373" s="22"/>
      <c r="K373" s="22"/>
      <c r="L373" s="22"/>
      <c r="M373" s="22"/>
      <c r="N373" s="22"/>
    </row>
    <row r="374" spans="1:14" ht="15.75" thickBot="1">
      <c r="A374" s="64" t="s">
        <v>266</v>
      </c>
      <c r="B374" s="112">
        <f t="shared" ref="B374:M374" si="75">SUM(B344:B373)-B349-B354-B359-B362-B367-B372</f>
        <v>2436</v>
      </c>
      <c r="C374" s="112">
        <f t="shared" si="75"/>
        <v>2191</v>
      </c>
      <c r="D374" s="112">
        <f t="shared" si="75"/>
        <v>2247</v>
      </c>
      <c r="E374" s="112">
        <f t="shared" si="75"/>
        <v>2226</v>
      </c>
      <c r="F374" s="112">
        <f t="shared" si="75"/>
        <v>2097</v>
      </c>
      <c r="G374" s="112">
        <f t="shared" si="75"/>
        <v>2254</v>
      </c>
      <c r="H374" s="112">
        <f t="shared" si="75"/>
        <v>2273</v>
      </c>
      <c r="I374" s="112">
        <f t="shared" si="75"/>
        <v>2245</v>
      </c>
      <c r="J374" s="112">
        <f t="shared" si="75"/>
        <v>2206</v>
      </c>
      <c r="K374" s="112">
        <f t="shared" si="75"/>
        <v>2211</v>
      </c>
      <c r="L374" s="112">
        <f t="shared" si="75"/>
        <v>2565</v>
      </c>
      <c r="M374" s="112">
        <f t="shared" si="75"/>
        <v>2681</v>
      </c>
      <c r="N374" s="112">
        <v>27632</v>
      </c>
    </row>
    <row r="375" spans="1:14" ht="15.75" thickTop="1">
      <c r="A375" s="64"/>
      <c r="B375" s="22"/>
      <c r="C375" s="22"/>
      <c r="D375" s="22"/>
      <c r="E375" s="22"/>
      <c r="F375" s="22"/>
      <c r="G375" s="22"/>
      <c r="H375" s="22"/>
      <c r="I375" s="22"/>
      <c r="J375" s="22"/>
      <c r="K375" s="22"/>
      <c r="L375" s="22"/>
      <c r="M375" s="22"/>
      <c r="N375" s="22"/>
    </row>
    <row r="376" spans="1:14" hidden="1">
      <c r="A376" s="64"/>
      <c r="B376" s="107">
        <v>5478.23</v>
      </c>
      <c r="C376" s="107">
        <v>55812.67</v>
      </c>
      <c r="D376" s="107">
        <v>23550.18</v>
      </c>
      <c r="E376" s="107">
        <v>-27014.59</v>
      </c>
      <c r="F376" s="107">
        <v>105392.92</v>
      </c>
      <c r="G376" s="107">
        <v>-25416.29</v>
      </c>
      <c r="H376" s="107">
        <v>4396.7299999999996</v>
      </c>
      <c r="I376" s="107">
        <v>20178.080000000002</v>
      </c>
      <c r="J376" s="107">
        <v>84685.97</v>
      </c>
      <c r="K376" s="107">
        <v>29493.96</v>
      </c>
      <c r="L376" s="107">
        <v>-140808.82</v>
      </c>
      <c r="M376" s="107">
        <v>-63531.67</v>
      </c>
      <c r="N376" s="107">
        <v>72217.37</v>
      </c>
    </row>
    <row r="377" spans="1:14">
      <c r="A377" s="64"/>
      <c r="B377" s="22"/>
      <c r="C377" s="22"/>
      <c r="D377" s="22"/>
      <c r="E377" s="22"/>
      <c r="F377" s="22"/>
      <c r="G377" s="22"/>
      <c r="H377" s="22"/>
      <c r="I377" s="22"/>
      <c r="J377" s="22"/>
      <c r="K377" s="22"/>
      <c r="L377" s="22"/>
      <c r="M377" s="22"/>
      <c r="N377" s="22"/>
    </row>
    <row r="378" spans="1:14" hidden="1">
      <c r="A378" s="64" t="s">
        <v>267</v>
      </c>
      <c r="B378" s="107">
        <f t="shared" ref="B378:M378" si="76">B348+B353+B358+B366+B371</f>
        <v>2439</v>
      </c>
      <c r="C378" s="107">
        <f t="shared" si="76"/>
        <v>2189</v>
      </c>
      <c r="D378" s="107">
        <f t="shared" si="76"/>
        <v>2248</v>
      </c>
      <c r="E378" s="107">
        <f t="shared" si="76"/>
        <v>2226</v>
      </c>
      <c r="F378" s="107">
        <f t="shared" si="76"/>
        <v>2095</v>
      </c>
      <c r="G378" s="107">
        <f t="shared" si="76"/>
        <v>2254</v>
      </c>
      <c r="H378" s="107">
        <f t="shared" si="76"/>
        <v>2273</v>
      </c>
      <c r="I378" s="107">
        <f t="shared" si="76"/>
        <v>2245</v>
      </c>
      <c r="J378" s="107">
        <f t="shared" si="76"/>
        <v>2205</v>
      </c>
      <c r="K378" s="107">
        <f t="shared" si="76"/>
        <v>2211</v>
      </c>
      <c r="L378" s="107">
        <f t="shared" si="76"/>
        <v>2565</v>
      </c>
      <c r="M378" s="107">
        <f t="shared" si="76"/>
        <v>2682</v>
      </c>
      <c r="N378" s="107">
        <v>27632</v>
      </c>
    </row>
    <row r="379" spans="1:14">
      <c r="A379" s="64"/>
      <c r="B379" s="22"/>
      <c r="C379" s="22"/>
      <c r="D379" s="22"/>
      <c r="E379" s="22"/>
      <c r="F379" s="22"/>
      <c r="G379" s="22"/>
      <c r="H379" s="22"/>
      <c r="I379" s="22"/>
      <c r="J379" s="22"/>
      <c r="K379" s="22"/>
      <c r="L379" s="22"/>
      <c r="M379" s="22"/>
      <c r="N379" s="22"/>
    </row>
  </sheetData>
  <pageMargins left="0.75" right="0.75" top="0.75" bottom="0.75" header="0.03" footer="0.03"/>
  <pageSetup scale="46" fitToHeight="0" pageOrder="overThenDown" orientation="landscape" r:id="rId1"/>
  <headerFooter>
    <oddHeader>&amp;L&amp;C&amp;"Arial,Regular"&amp;9&amp;K000000Park Manor of Quail Valley-WINNIE 
Trailing 12 Months&amp;R</oddHeader>
  </headerFooter>
  <rowBreaks count="1" manualBreakCount="1">
    <brk id="62" max="16383" man="1"/>
  </rowBreaks>
  <customProperties>
    <customPr name="EpmWorksheetKeyString_GUID" r:id="rId2"/>
  </customProperties>
  <drawing r:id="rId3"/>
  <legacyDrawing r:id="rId4"/>
  <controls>
    <mc:AlternateContent xmlns:mc="http://schemas.openxmlformats.org/markup-compatibility/2006">
      <mc:Choice Requires="x14">
        <control shapeId="9217"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9217" r:id="rId5" name="FPMExcelClientSheetOptionstb1"/>
      </mc:Fallback>
    </mc:AlternateContent>
  </control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pageSetUpPr fitToPage="1"/>
  </sheetPr>
  <dimension ref="A1:N373"/>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B342</f>
        <v>1514</v>
      </c>
      <c r="C4" s="110">
        <f t="shared" si="0"/>
        <v>1387</v>
      </c>
      <c r="D4" s="110">
        <f t="shared" si="0"/>
        <v>1393</v>
      </c>
      <c r="E4" s="110">
        <f t="shared" si="0"/>
        <v>1342</v>
      </c>
      <c r="F4" s="110">
        <f t="shared" si="0"/>
        <v>1361</v>
      </c>
      <c r="G4" s="110">
        <f t="shared" si="0"/>
        <v>1350</v>
      </c>
      <c r="H4" s="110">
        <f t="shared" si="0"/>
        <v>1312</v>
      </c>
      <c r="I4" s="110">
        <f t="shared" si="0"/>
        <v>1307</v>
      </c>
      <c r="J4" s="110">
        <f t="shared" si="0"/>
        <v>1331</v>
      </c>
      <c r="K4" s="110">
        <f t="shared" si="0"/>
        <v>1493</v>
      </c>
      <c r="L4" s="110">
        <f t="shared" si="0"/>
        <v>1433</v>
      </c>
      <c r="M4" s="110">
        <f t="shared" si="0"/>
        <v>-8226</v>
      </c>
      <c r="N4" s="110">
        <v>6997</v>
      </c>
    </row>
    <row r="5" spans="1:14">
      <c r="A5" s="64" t="s">
        <v>35</v>
      </c>
      <c r="B5" s="107">
        <f t="shared" ref="B5:M5" si="1">B347</f>
        <v>103</v>
      </c>
      <c r="C5" s="107">
        <f t="shared" si="1"/>
        <v>75</v>
      </c>
      <c r="D5" s="107">
        <f t="shared" si="1"/>
        <v>62</v>
      </c>
      <c r="E5" s="107">
        <f t="shared" si="1"/>
        <v>73</v>
      </c>
      <c r="F5" s="107">
        <f t="shared" si="1"/>
        <v>58</v>
      </c>
      <c r="G5" s="107">
        <f t="shared" si="1"/>
        <v>60</v>
      </c>
      <c r="H5" s="107">
        <f t="shared" si="1"/>
        <v>28</v>
      </c>
      <c r="I5" s="107">
        <f t="shared" si="1"/>
        <v>47</v>
      </c>
      <c r="J5" s="107">
        <f t="shared" si="1"/>
        <v>80</v>
      </c>
      <c r="K5" s="107">
        <f t="shared" si="1"/>
        <v>98</v>
      </c>
      <c r="L5" s="107">
        <f t="shared" si="1"/>
        <v>60</v>
      </c>
      <c r="M5" s="107">
        <f t="shared" si="1"/>
        <v>-373</v>
      </c>
      <c r="N5" s="107">
        <v>371</v>
      </c>
    </row>
    <row r="6" spans="1:14">
      <c r="A6" s="64" t="s">
        <v>36</v>
      </c>
      <c r="B6" s="107">
        <f t="shared" ref="B6:M6" si="2">B352</f>
        <v>186</v>
      </c>
      <c r="C6" s="107">
        <f t="shared" si="2"/>
        <v>172</v>
      </c>
      <c r="D6" s="107">
        <f t="shared" si="2"/>
        <v>146</v>
      </c>
      <c r="E6" s="107">
        <f t="shared" si="2"/>
        <v>124</v>
      </c>
      <c r="F6" s="107">
        <f t="shared" si="2"/>
        <v>125</v>
      </c>
      <c r="G6" s="107">
        <f t="shared" si="2"/>
        <v>186</v>
      </c>
      <c r="H6" s="107">
        <f t="shared" si="2"/>
        <v>176</v>
      </c>
      <c r="I6" s="107">
        <f t="shared" si="2"/>
        <v>227</v>
      </c>
      <c r="J6" s="107">
        <f t="shared" si="2"/>
        <v>199</v>
      </c>
      <c r="K6" s="107">
        <f t="shared" si="2"/>
        <v>103</v>
      </c>
      <c r="L6" s="107">
        <f t="shared" si="2"/>
        <v>88</v>
      </c>
      <c r="M6" s="107">
        <f t="shared" si="2"/>
        <v>-979</v>
      </c>
      <c r="N6" s="107">
        <v>753</v>
      </c>
    </row>
    <row r="7" spans="1:14">
      <c r="A7" s="64" t="s">
        <v>37</v>
      </c>
      <c r="B7" s="107">
        <f t="shared" ref="B7:M7" si="3">B360</f>
        <v>307</v>
      </c>
      <c r="C7" s="107">
        <f t="shared" si="3"/>
        <v>326</v>
      </c>
      <c r="D7" s="107">
        <f t="shared" si="3"/>
        <v>348</v>
      </c>
      <c r="E7" s="107">
        <f t="shared" si="3"/>
        <v>193</v>
      </c>
      <c r="F7" s="107">
        <f t="shared" si="3"/>
        <v>205</v>
      </c>
      <c r="G7" s="107">
        <f t="shared" si="3"/>
        <v>175</v>
      </c>
      <c r="H7" s="107">
        <f t="shared" si="3"/>
        <v>312</v>
      </c>
      <c r="I7" s="107">
        <f t="shared" si="3"/>
        <v>312</v>
      </c>
      <c r="J7" s="107">
        <f t="shared" si="3"/>
        <v>211</v>
      </c>
      <c r="K7" s="107">
        <f t="shared" si="3"/>
        <v>180</v>
      </c>
      <c r="L7" s="107">
        <f t="shared" si="3"/>
        <v>142</v>
      </c>
      <c r="M7" s="107">
        <f t="shared" si="3"/>
        <v>-1332</v>
      </c>
      <c r="N7" s="107">
        <v>1379</v>
      </c>
    </row>
    <row r="8" spans="1:14">
      <c r="A8" s="64" t="s">
        <v>38</v>
      </c>
      <c r="B8" s="111">
        <f t="shared" ref="B8:M8" si="4">B365</f>
        <v>149</v>
      </c>
      <c r="C8" s="111">
        <f t="shared" si="4"/>
        <v>156</v>
      </c>
      <c r="D8" s="111">
        <f t="shared" si="4"/>
        <v>234</v>
      </c>
      <c r="E8" s="111">
        <f t="shared" si="4"/>
        <v>188</v>
      </c>
      <c r="F8" s="111">
        <f t="shared" si="4"/>
        <v>195</v>
      </c>
      <c r="G8" s="111">
        <f t="shared" si="4"/>
        <v>241</v>
      </c>
      <c r="H8" s="111">
        <f t="shared" si="4"/>
        <v>207</v>
      </c>
      <c r="I8" s="111">
        <f t="shared" si="4"/>
        <v>233</v>
      </c>
      <c r="J8" s="111">
        <f t="shared" si="4"/>
        <v>279</v>
      </c>
      <c r="K8" s="111">
        <f t="shared" si="4"/>
        <v>354</v>
      </c>
      <c r="L8" s="111">
        <f t="shared" si="4"/>
        <v>424</v>
      </c>
      <c r="M8" s="111">
        <f t="shared" si="4"/>
        <v>-1738</v>
      </c>
      <c r="N8" s="111">
        <v>922</v>
      </c>
    </row>
    <row r="9" spans="1:14" ht="15.75" thickBot="1">
      <c r="A9" s="64" t="s">
        <v>39</v>
      </c>
      <c r="B9" s="112">
        <f t="shared" ref="B9:M9" si="5">B372</f>
        <v>2259</v>
      </c>
      <c r="C9" s="112">
        <f t="shared" si="5"/>
        <v>2116</v>
      </c>
      <c r="D9" s="112">
        <f t="shared" si="5"/>
        <v>2183</v>
      </c>
      <c r="E9" s="112">
        <f t="shared" si="5"/>
        <v>1920</v>
      </c>
      <c r="F9" s="112">
        <f t="shared" si="5"/>
        <v>1944</v>
      </c>
      <c r="G9" s="112">
        <f t="shared" si="5"/>
        <v>2012</v>
      </c>
      <c r="H9" s="112">
        <f t="shared" si="5"/>
        <v>2035</v>
      </c>
      <c r="I9" s="112">
        <f t="shared" si="5"/>
        <v>2126</v>
      </c>
      <c r="J9" s="112">
        <f t="shared" si="5"/>
        <v>2100</v>
      </c>
      <c r="K9" s="112">
        <f t="shared" si="5"/>
        <v>2228</v>
      </c>
      <c r="L9" s="112">
        <f t="shared" si="5"/>
        <v>2147</v>
      </c>
      <c r="M9" s="112">
        <f t="shared" si="5"/>
        <v>-12648</v>
      </c>
      <c r="N9" s="112">
        <v>10422</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L14" si="6">B69</f>
        <v>281412.69</v>
      </c>
      <c r="C14" s="107">
        <f t="shared" si="6"/>
        <v>263378.7</v>
      </c>
      <c r="D14" s="107">
        <f t="shared" si="6"/>
        <v>249390.4</v>
      </c>
      <c r="E14" s="107">
        <f t="shared" si="6"/>
        <v>237493.35</v>
      </c>
      <c r="F14" s="107">
        <f t="shared" si="6"/>
        <v>236343.03</v>
      </c>
      <c r="G14" s="107">
        <f t="shared" si="6"/>
        <v>234149.41</v>
      </c>
      <c r="H14" s="107">
        <f t="shared" si="6"/>
        <v>230439.96</v>
      </c>
      <c r="I14" s="107">
        <f t="shared" si="6"/>
        <v>230463.5</v>
      </c>
      <c r="J14" s="107">
        <f t="shared" si="6"/>
        <v>243872.73</v>
      </c>
      <c r="K14" s="107">
        <f t="shared" si="6"/>
        <v>279587.23</v>
      </c>
      <c r="L14" s="107">
        <f t="shared" si="6"/>
        <v>-1218512.83</v>
      </c>
      <c r="M14" s="107"/>
      <c r="N14" s="107">
        <v>1268018.17</v>
      </c>
    </row>
    <row r="15" spans="1:14">
      <c r="A15" s="64" t="s">
        <v>35</v>
      </c>
      <c r="B15" s="107">
        <f t="shared" ref="B15:L15" si="7">B73</f>
        <v>20460.02</v>
      </c>
      <c r="C15" s="107">
        <f t="shared" si="7"/>
        <v>15594.69</v>
      </c>
      <c r="D15" s="107">
        <f t="shared" si="7"/>
        <v>13105.25</v>
      </c>
      <c r="E15" s="107">
        <f t="shared" si="7"/>
        <v>15814.55</v>
      </c>
      <c r="F15" s="107">
        <f t="shared" si="7"/>
        <v>10298.879999999999</v>
      </c>
      <c r="G15" s="107">
        <f t="shared" si="7"/>
        <v>10926.58</v>
      </c>
      <c r="H15" s="107">
        <f t="shared" si="7"/>
        <v>4422.6000000000004</v>
      </c>
      <c r="I15" s="107">
        <f t="shared" si="7"/>
        <v>8331.01</v>
      </c>
      <c r="J15" s="107">
        <f t="shared" si="7"/>
        <v>14025.5</v>
      </c>
      <c r="K15" s="107">
        <f t="shared" si="7"/>
        <v>17509.05</v>
      </c>
      <c r="L15" s="107">
        <f t="shared" si="7"/>
        <v>-55214.74</v>
      </c>
      <c r="M15" s="107"/>
      <c r="N15" s="107">
        <v>75273.39</v>
      </c>
    </row>
    <row r="16" spans="1:14">
      <c r="A16" s="64" t="s">
        <v>36</v>
      </c>
      <c r="B16" s="107">
        <f t="shared" ref="B16:L16" si="8">B77</f>
        <v>127950.92</v>
      </c>
      <c r="C16" s="107">
        <f t="shared" si="8"/>
        <v>120621.12</v>
      </c>
      <c r="D16" s="107">
        <f t="shared" si="8"/>
        <v>101594.58</v>
      </c>
      <c r="E16" s="107">
        <f t="shared" si="8"/>
        <v>75516.070000000007</v>
      </c>
      <c r="F16" s="107">
        <f t="shared" si="8"/>
        <v>72257.11</v>
      </c>
      <c r="G16" s="107">
        <f t="shared" si="8"/>
        <v>117488.1</v>
      </c>
      <c r="H16" s="107">
        <f t="shared" si="8"/>
        <v>116232.39</v>
      </c>
      <c r="I16" s="107">
        <f t="shared" si="8"/>
        <v>142224.10999999999</v>
      </c>
      <c r="J16" s="107">
        <f t="shared" si="8"/>
        <v>131527.62</v>
      </c>
      <c r="K16" s="107">
        <f t="shared" si="8"/>
        <v>68591.070000000007</v>
      </c>
      <c r="L16" s="107">
        <f t="shared" si="8"/>
        <v>-576063.29</v>
      </c>
      <c r="M16" s="107"/>
      <c r="N16" s="107">
        <v>497939.8</v>
      </c>
    </row>
    <row r="17" spans="1:14">
      <c r="A17" s="64" t="s">
        <v>37</v>
      </c>
      <c r="B17" s="107">
        <f t="shared" ref="B17:L17" si="9">B84</f>
        <v>124915.95</v>
      </c>
      <c r="C17" s="107">
        <f t="shared" si="9"/>
        <v>149508.79</v>
      </c>
      <c r="D17" s="107">
        <f t="shared" si="9"/>
        <v>166334.65</v>
      </c>
      <c r="E17" s="107">
        <f t="shared" si="9"/>
        <v>84932.89</v>
      </c>
      <c r="F17" s="107">
        <f t="shared" si="9"/>
        <v>80937.929999999993</v>
      </c>
      <c r="G17" s="107">
        <f t="shared" si="9"/>
        <v>57813.57</v>
      </c>
      <c r="H17" s="107">
        <f t="shared" si="9"/>
        <v>117868.15</v>
      </c>
      <c r="I17" s="107">
        <f t="shared" si="9"/>
        <v>143659.41</v>
      </c>
      <c r="J17" s="107">
        <f t="shared" si="9"/>
        <v>103867.38</v>
      </c>
      <c r="K17" s="107">
        <f t="shared" si="9"/>
        <v>72758.95</v>
      </c>
      <c r="L17" s="107">
        <f t="shared" si="9"/>
        <v>-495967.46</v>
      </c>
      <c r="M17" s="107"/>
      <c r="N17" s="107">
        <v>606630.21</v>
      </c>
    </row>
    <row r="18" spans="1:14">
      <c r="A18" s="64" t="s">
        <v>38</v>
      </c>
      <c r="B18" s="111">
        <f t="shared" ref="B18:L18" si="10">B88</f>
        <v>23840</v>
      </c>
      <c r="C18" s="111">
        <f t="shared" si="10"/>
        <v>24960</v>
      </c>
      <c r="D18" s="111">
        <f t="shared" si="10"/>
        <v>38990</v>
      </c>
      <c r="E18" s="111">
        <f t="shared" si="10"/>
        <v>30180</v>
      </c>
      <c r="F18" s="111">
        <f t="shared" si="10"/>
        <v>31200</v>
      </c>
      <c r="G18" s="111">
        <f t="shared" si="10"/>
        <v>38560</v>
      </c>
      <c r="H18" s="111">
        <f t="shared" si="10"/>
        <v>33120</v>
      </c>
      <c r="I18" s="111">
        <f t="shared" si="10"/>
        <v>37280</v>
      </c>
      <c r="J18" s="111">
        <f t="shared" si="10"/>
        <v>44640</v>
      </c>
      <c r="K18" s="111">
        <f t="shared" si="10"/>
        <v>56640</v>
      </c>
      <c r="L18" s="111">
        <f t="shared" si="10"/>
        <v>-210240</v>
      </c>
      <c r="M18" s="111"/>
      <c r="N18" s="111">
        <v>149170</v>
      </c>
    </row>
    <row r="19" spans="1:14">
      <c r="A19" s="64" t="s">
        <v>42</v>
      </c>
      <c r="B19" s="107">
        <f t="shared" ref="B19:L19" si="11">B90</f>
        <v>578579.58000000019</v>
      </c>
      <c r="C19" s="107">
        <f t="shared" si="11"/>
        <v>574063.29999999993</v>
      </c>
      <c r="D19" s="107">
        <f t="shared" si="11"/>
        <v>569414.88</v>
      </c>
      <c r="E19" s="107">
        <f t="shared" si="11"/>
        <v>443936.86</v>
      </c>
      <c r="F19" s="107">
        <f t="shared" si="11"/>
        <v>431036.9499999999</v>
      </c>
      <c r="G19" s="107">
        <f t="shared" si="11"/>
        <v>458937.66</v>
      </c>
      <c r="H19" s="107">
        <f t="shared" si="11"/>
        <v>502083.1</v>
      </c>
      <c r="I19" s="107">
        <f t="shared" si="11"/>
        <v>561958.03</v>
      </c>
      <c r="J19" s="107">
        <f t="shared" si="11"/>
        <v>537933.23</v>
      </c>
      <c r="K19" s="107">
        <f t="shared" si="11"/>
        <v>495086.30000000005</v>
      </c>
      <c r="L19" s="107">
        <f t="shared" si="11"/>
        <v>-2555998.3200000003</v>
      </c>
      <c r="M19" s="107"/>
      <c r="N19" s="107">
        <v>2597031.5699999998</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L22" si="12">B96</f>
        <v>-5496.48</v>
      </c>
      <c r="C22" s="107">
        <f t="shared" si="12"/>
        <v>-6704.1</v>
      </c>
      <c r="D22" s="107">
        <f t="shared" si="12"/>
        <v>-36134.15</v>
      </c>
      <c r="E22" s="107">
        <f t="shared" si="12"/>
        <v>-22006.59</v>
      </c>
      <c r="F22" s="107">
        <f t="shared" si="12"/>
        <v>-1236.68</v>
      </c>
      <c r="G22" s="107">
        <f t="shared" si="12"/>
        <v>8373.81</v>
      </c>
      <c r="H22" s="107">
        <f t="shared" si="12"/>
        <v>5197.43</v>
      </c>
      <c r="I22" s="107">
        <f t="shared" si="12"/>
        <v>-53409.95</v>
      </c>
      <c r="J22" s="107">
        <f t="shared" si="12"/>
        <v>-249.58</v>
      </c>
      <c r="K22" s="107">
        <f t="shared" si="12"/>
        <v>11526.56</v>
      </c>
      <c r="L22" s="107">
        <f t="shared" si="12"/>
        <v>28561.73</v>
      </c>
      <c r="M22" s="107"/>
      <c r="N22" s="107">
        <v>-71578</v>
      </c>
    </row>
    <row r="23" spans="1:14">
      <c r="A23" s="64" t="s">
        <v>35</v>
      </c>
      <c r="B23" s="107"/>
      <c r="C23" s="107">
        <f>C100</f>
        <v>553.35</v>
      </c>
      <c r="D23" s="107">
        <f>D100</f>
        <v>225.37</v>
      </c>
      <c r="E23" s="107"/>
      <c r="F23" s="107"/>
      <c r="G23" s="107"/>
      <c r="H23" s="107"/>
      <c r="I23" s="107"/>
      <c r="J23" s="107">
        <f>J100</f>
        <v>404.25</v>
      </c>
      <c r="K23" s="107"/>
      <c r="L23" s="107">
        <f>L100</f>
        <v>-404.25</v>
      </c>
      <c r="M23" s="107"/>
      <c r="N23" s="107">
        <v>778.72</v>
      </c>
    </row>
    <row r="24" spans="1:14">
      <c r="A24" s="64" t="s">
        <v>36</v>
      </c>
      <c r="B24" s="107">
        <f t="shared" ref="B24:L24" si="13">B104</f>
        <v>-2859.66</v>
      </c>
      <c r="C24" s="107">
        <f t="shared" si="13"/>
        <v>-1021.98</v>
      </c>
      <c r="D24" s="107">
        <f t="shared" si="13"/>
        <v>1867.13</v>
      </c>
      <c r="E24" s="107">
        <f t="shared" si="13"/>
        <v>-10324.379999999999</v>
      </c>
      <c r="F24" s="107">
        <f t="shared" si="13"/>
        <v>-189.79</v>
      </c>
      <c r="G24" s="107">
        <f t="shared" si="13"/>
        <v>4185.93</v>
      </c>
      <c r="H24" s="107">
        <f t="shared" si="13"/>
        <v>-8331.32</v>
      </c>
      <c r="I24" s="107">
        <f t="shared" si="13"/>
        <v>15880.95</v>
      </c>
      <c r="J24" s="107">
        <f t="shared" si="13"/>
        <v>5867.13</v>
      </c>
      <c r="K24" s="107">
        <f t="shared" si="13"/>
        <v>-24788.39</v>
      </c>
      <c r="L24" s="107">
        <f t="shared" si="13"/>
        <v>7185.7</v>
      </c>
      <c r="M24" s="107"/>
      <c r="N24" s="107">
        <v>-12528.68</v>
      </c>
    </row>
    <row r="25" spans="1:14">
      <c r="A25" s="64" t="s">
        <v>37</v>
      </c>
      <c r="B25" s="107">
        <f t="shared" ref="B25:L25" si="14">B111</f>
        <v>818.04</v>
      </c>
      <c r="C25" s="107">
        <f t="shared" si="14"/>
        <v>2740.18</v>
      </c>
      <c r="D25" s="107">
        <f t="shared" si="14"/>
        <v>17919.34</v>
      </c>
      <c r="E25" s="107">
        <f t="shared" si="14"/>
        <v>3419.03</v>
      </c>
      <c r="F25" s="107">
        <f t="shared" si="14"/>
        <v>25.76</v>
      </c>
      <c r="G25" s="107">
        <f t="shared" si="14"/>
        <v>2014.35</v>
      </c>
      <c r="H25" s="107">
        <f t="shared" si="14"/>
        <v>-3073.95</v>
      </c>
      <c r="I25" s="107">
        <f t="shared" si="14"/>
        <v>-11205</v>
      </c>
      <c r="J25" s="107">
        <f t="shared" si="14"/>
        <v>-6120</v>
      </c>
      <c r="K25" s="107">
        <f t="shared" si="14"/>
        <v>20819.59</v>
      </c>
      <c r="L25" s="107">
        <f t="shared" si="14"/>
        <v>-2434.9899999999998</v>
      </c>
      <c r="M25" s="107"/>
      <c r="N25" s="107">
        <v>24922.35</v>
      </c>
    </row>
    <row r="26" spans="1:14">
      <c r="A26" s="64" t="s">
        <v>38</v>
      </c>
      <c r="B26" s="111">
        <f t="shared" ref="B26:L26" si="15">B115</f>
        <v>-13875.22</v>
      </c>
      <c r="C26" s="111">
        <f t="shared" si="15"/>
        <v>10240</v>
      </c>
      <c r="D26" s="111">
        <f t="shared" si="15"/>
        <v>20000</v>
      </c>
      <c r="E26" s="111">
        <f t="shared" si="15"/>
        <v>17120</v>
      </c>
      <c r="F26" s="111">
        <f t="shared" si="15"/>
        <v>1280</v>
      </c>
      <c r="G26" s="111">
        <f t="shared" si="15"/>
        <v>-6080</v>
      </c>
      <c r="H26" s="111">
        <f t="shared" si="15"/>
        <v>4960</v>
      </c>
      <c r="I26" s="111">
        <f t="shared" si="15"/>
        <v>40960</v>
      </c>
      <c r="J26" s="111">
        <f t="shared" si="15"/>
        <v>800</v>
      </c>
      <c r="K26" s="111">
        <f t="shared" si="15"/>
        <v>-11200</v>
      </c>
      <c r="L26" s="111">
        <f t="shared" si="15"/>
        <v>-29440</v>
      </c>
      <c r="M26" s="111"/>
      <c r="N26" s="111">
        <v>34764.78</v>
      </c>
    </row>
    <row r="27" spans="1:14">
      <c r="A27" s="64" t="s">
        <v>44</v>
      </c>
      <c r="B27" s="107">
        <f t="shared" ref="B27:L27" si="16">B117</f>
        <v>-21413.32</v>
      </c>
      <c r="C27" s="107">
        <f t="shared" si="16"/>
        <v>5807.4500000000007</v>
      </c>
      <c r="D27" s="107">
        <f t="shared" si="16"/>
        <v>3877.6899999999987</v>
      </c>
      <c r="E27" s="107">
        <f t="shared" si="16"/>
        <v>-11791.939999999999</v>
      </c>
      <c r="F27" s="107">
        <f t="shared" si="16"/>
        <v>-120.70999999999958</v>
      </c>
      <c r="G27" s="107">
        <f t="shared" si="16"/>
        <v>8494.0899999999965</v>
      </c>
      <c r="H27" s="107">
        <f t="shared" si="16"/>
        <v>-1247.8400000000011</v>
      </c>
      <c r="I27" s="107">
        <f t="shared" si="16"/>
        <v>-7774</v>
      </c>
      <c r="J27" s="107">
        <f t="shared" si="16"/>
        <v>701.80000000000018</v>
      </c>
      <c r="K27" s="107">
        <f t="shared" si="16"/>
        <v>-3642.2400000000016</v>
      </c>
      <c r="L27" s="107">
        <f t="shared" si="16"/>
        <v>3468.1899999999878</v>
      </c>
      <c r="M27" s="107"/>
      <c r="N27" s="107">
        <v>-23640.83</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f t="shared" ref="B30:L30" si="17">B129</f>
        <v>6660</v>
      </c>
      <c r="C30" s="107">
        <f t="shared" si="17"/>
        <v>5324.48</v>
      </c>
      <c r="D30" s="107">
        <f t="shared" si="17"/>
        <v>5324.48</v>
      </c>
      <c r="E30" s="107">
        <f t="shared" si="17"/>
        <v>5229.4000000000005</v>
      </c>
      <c r="F30" s="107">
        <f t="shared" si="17"/>
        <v>6180.1999999999989</v>
      </c>
      <c r="G30" s="107">
        <f t="shared" si="17"/>
        <v>2947.4800000000005</v>
      </c>
      <c r="H30" s="107">
        <f t="shared" si="17"/>
        <v>37497.32</v>
      </c>
      <c r="I30" s="107">
        <f t="shared" si="17"/>
        <v>5990.04</v>
      </c>
      <c r="J30" s="107">
        <f t="shared" si="17"/>
        <v>4227.6900000000005</v>
      </c>
      <c r="K30" s="107">
        <f t="shared" si="17"/>
        <v>8956.02</v>
      </c>
      <c r="L30" s="107">
        <f t="shared" si="17"/>
        <v>-59618.549999999996</v>
      </c>
      <c r="M30" s="107"/>
      <c r="N30" s="107">
        <v>28718.560000000001</v>
      </c>
    </row>
    <row r="31" spans="1:14">
      <c r="A31" s="64" t="s">
        <v>46</v>
      </c>
      <c r="B31" s="107">
        <f t="shared" ref="B31:L31" si="18">B150</f>
        <v>9931.73</v>
      </c>
      <c r="C31" s="107">
        <f t="shared" si="18"/>
        <v>12866.89</v>
      </c>
      <c r="D31" s="107">
        <f t="shared" si="18"/>
        <v>15122.32</v>
      </c>
      <c r="E31" s="107">
        <f t="shared" si="18"/>
        <v>13316.07</v>
      </c>
      <c r="F31" s="107">
        <f t="shared" si="18"/>
        <v>15920.62</v>
      </c>
      <c r="G31" s="107">
        <f t="shared" si="18"/>
        <v>12570.72</v>
      </c>
      <c r="H31" s="107">
        <f t="shared" si="18"/>
        <v>-700.07999999999993</v>
      </c>
      <c r="I31" s="107">
        <f t="shared" si="18"/>
        <v>8791.01</v>
      </c>
      <c r="J31" s="107">
        <f t="shared" si="18"/>
        <v>8820.33</v>
      </c>
      <c r="K31" s="107">
        <f t="shared" si="18"/>
        <v>23474.880000000001</v>
      </c>
      <c r="L31" s="107">
        <f t="shared" si="18"/>
        <v>-52956.86</v>
      </c>
      <c r="M31" s="107"/>
      <c r="N31" s="107">
        <v>67157.63</v>
      </c>
    </row>
    <row r="32" spans="1:14">
      <c r="A32" s="64" t="s">
        <v>37</v>
      </c>
      <c r="B32" s="107">
        <f t="shared" ref="B32:L32" si="19">B163</f>
        <v>-6019.2900000000081</v>
      </c>
      <c r="C32" s="107">
        <f t="shared" si="19"/>
        <v>10747.820000000007</v>
      </c>
      <c r="D32" s="107">
        <f t="shared" si="19"/>
        <v>3869.8300000000017</v>
      </c>
      <c r="E32" s="107">
        <f t="shared" si="19"/>
        <v>6542.8100000000049</v>
      </c>
      <c r="F32" s="107">
        <f t="shared" si="19"/>
        <v>7990.4000000000015</v>
      </c>
      <c r="G32" s="107">
        <f t="shared" si="19"/>
        <v>16235.809999999998</v>
      </c>
      <c r="H32" s="107">
        <f t="shared" si="19"/>
        <v>34312.360000000015</v>
      </c>
      <c r="I32" s="107">
        <f t="shared" si="19"/>
        <v>2569.3600000000006</v>
      </c>
      <c r="J32" s="107">
        <f t="shared" si="19"/>
        <v>18275.76999999999</v>
      </c>
      <c r="K32" s="107">
        <f t="shared" si="19"/>
        <v>-4240.8799999999974</v>
      </c>
      <c r="L32" s="107">
        <f t="shared" si="19"/>
        <v>-67152.419999999984</v>
      </c>
      <c r="M32" s="107"/>
      <c r="N32" s="107">
        <v>23131.57</v>
      </c>
    </row>
    <row r="33" spans="1:14">
      <c r="A33" s="64" t="s">
        <v>38</v>
      </c>
      <c r="B33" s="111"/>
      <c r="C33" s="111">
        <f>C172</f>
        <v>74.44</v>
      </c>
      <c r="D33" s="111"/>
      <c r="E33" s="111"/>
      <c r="F33" s="111"/>
      <c r="G33" s="111">
        <f>G172</f>
        <v>-35</v>
      </c>
      <c r="H33" s="111"/>
      <c r="I33" s="111">
        <f>I172</f>
        <v>140.29</v>
      </c>
      <c r="J33" s="111"/>
      <c r="K33" s="111">
        <f>K172</f>
        <v>381.03</v>
      </c>
      <c r="L33" s="111">
        <f>L172</f>
        <v>-486.31999999999994</v>
      </c>
      <c r="M33" s="111"/>
      <c r="N33" s="111">
        <v>74.44</v>
      </c>
    </row>
    <row r="34" spans="1:14">
      <c r="A34" s="64" t="s">
        <v>47</v>
      </c>
      <c r="B34" s="107">
        <f t="shared" ref="B34:L34" si="20">B174</f>
        <v>10572.439999999999</v>
      </c>
      <c r="C34" s="107">
        <f t="shared" si="20"/>
        <v>29013.630000000008</v>
      </c>
      <c r="D34" s="107">
        <f t="shared" si="20"/>
        <v>24316.629999999997</v>
      </c>
      <c r="E34" s="107">
        <f t="shared" si="20"/>
        <v>25088.28</v>
      </c>
      <c r="F34" s="107">
        <f t="shared" si="20"/>
        <v>30091.22</v>
      </c>
      <c r="G34" s="107">
        <f t="shared" si="20"/>
        <v>31719.010000000017</v>
      </c>
      <c r="H34" s="107">
        <f t="shared" si="20"/>
        <v>71109.599999999991</v>
      </c>
      <c r="I34" s="107">
        <f t="shared" si="20"/>
        <v>17490.69999999999</v>
      </c>
      <c r="J34" s="107">
        <f t="shared" si="20"/>
        <v>31323.789999999994</v>
      </c>
      <c r="K34" s="107">
        <f t="shared" si="20"/>
        <v>28571.05</v>
      </c>
      <c r="L34" s="107">
        <f t="shared" si="20"/>
        <v>-180214.14999999997</v>
      </c>
      <c r="M34" s="107"/>
      <c r="N34" s="107">
        <v>119082.2</v>
      </c>
    </row>
    <row r="35" spans="1:14">
      <c r="A35" s="64"/>
      <c r="B35" s="22"/>
      <c r="C35" s="22"/>
      <c r="D35" s="22"/>
      <c r="E35" s="22"/>
      <c r="F35" s="22"/>
      <c r="G35" s="22"/>
      <c r="H35" s="22"/>
      <c r="I35" s="22"/>
      <c r="J35" s="22"/>
      <c r="K35" s="22"/>
      <c r="L35" s="22"/>
      <c r="M35" s="22"/>
      <c r="N35" s="22"/>
    </row>
    <row r="36" spans="1:14">
      <c r="A36" s="64" t="s">
        <v>48</v>
      </c>
      <c r="B36" s="107">
        <f t="shared" ref="B36:L36" si="21">B184</f>
        <v>55516.11</v>
      </c>
      <c r="C36" s="107">
        <f t="shared" si="21"/>
        <v>64044.95</v>
      </c>
      <c r="D36" s="107">
        <f t="shared" si="21"/>
        <v>70424.27</v>
      </c>
      <c r="E36" s="107">
        <f t="shared" si="21"/>
        <v>44579.46</v>
      </c>
      <c r="F36" s="107">
        <f t="shared" si="21"/>
        <v>-1257791.0699999998</v>
      </c>
      <c r="G36" s="107">
        <f t="shared" si="21"/>
        <v>55108.270000000004</v>
      </c>
      <c r="H36" s="107">
        <f t="shared" si="21"/>
        <v>73029</v>
      </c>
      <c r="I36" s="107">
        <f t="shared" si="21"/>
        <v>151917.07</v>
      </c>
      <c r="J36" s="107">
        <f t="shared" si="21"/>
        <v>31959.439999999999</v>
      </c>
      <c r="K36" s="107">
        <f t="shared" si="21"/>
        <v>35309</v>
      </c>
      <c r="L36" s="107">
        <f t="shared" si="21"/>
        <v>-347322.78</v>
      </c>
      <c r="M36" s="107"/>
      <c r="N36" s="107">
        <v>-1023226.28</v>
      </c>
    </row>
    <row r="37" spans="1:14">
      <c r="A37" s="64"/>
      <c r="B37" s="22"/>
      <c r="C37" s="22"/>
      <c r="D37" s="22"/>
      <c r="E37" s="22"/>
      <c r="F37" s="22"/>
      <c r="G37" s="22"/>
      <c r="H37" s="22"/>
      <c r="I37" s="22"/>
      <c r="J37" s="22"/>
      <c r="K37" s="22"/>
      <c r="L37" s="22"/>
      <c r="M37" s="22"/>
      <c r="N37" s="22"/>
    </row>
    <row r="38" spans="1:14" ht="15.75" thickBot="1">
      <c r="A38" s="64" t="s">
        <v>13</v>
      </c>
      <c r="B38" s="112">
        <f t="shared" ref="B38:L38" si="22">B186</f>
        <v>623254.81000000052</v>
      </c>
      <c r="C38" s="112">
        <f t="shared" si="22"/>
        <v>672929.33</v>
      </c>
      <c r="D38" s="112">
        <f t="shared" si="22"/>
        <v>668033.47000000114</v>
      </c>
      <c r="E38" s="112">
        <f t="shared" si="22"/>
        <v>501812.66000000009</v>
      </c>
      <c r="F38" s="112">
        <f t="shared" si="22"/>
        <v>-796783.60999999987</v>
      </c>
      <c r="G38" s="112">
        <f t="shared" si="22"/>
        <v>554259.03000000049</v>
      </c>
      <c r="H38" s="112">
        <f t="shared" si="22"/>
        <v>644973.85999999964</v>
      </c>
      <c r="I38" s="112">
        <f t="shared" si="22"/>
        <v>723591.80000000051</v>
      </c>
      <c r="J38" s="112">
        <f t="shared" si="22"/>
        <v>601918.25999999989</v>
      </c>
      <c r="K38" s="112">
        <f t="shared" si="22"/>
        <v>555324.11000000057</v>
      </c>
      <c r="L38" s="112">
        <f t="shared" si="22"/>
        <v>-3080067.0599999987</v>
      </c>
      <c r="M38" s="112"/>
      <c r="N38" s="112">
        <v>1669246.66</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L41" si="23">B206</f>
        <v>249306.62000000002</v>
      </c>
      <c r="C41" s="107">
        <f t="shared" si="23"/>
        <v>245474.00999999998</v>
      </c>
      <c r="D41" s="107">
        <f t="shared" si="23"/>
        <v>264458.89</v>
      </c>
      <c r="E41" s="107">
        <f t="shared" si="23"/>
        <v>205741.41000000003</v>
      </c>
      <c r="F41" s="107">
        <f t="shared" si="23"/>
        <v>219616.76</v>
      </c>
      <c r="G41" s="107">
        <f t="shared" si="23"/>
        <v>211057.36000000002</v>
      </c>
      <c r="H41" s="107">
        <f t="shared" si="23"/>
        <v>197924.46000000002</v>
      </c>
      <c r="I41" s="107">
        <f t="shared" si="23"/>
        <v>232029.03999999998</v>
      </c>
      <c r="J41" s="107">
        <f t="shared" si="23"/>
        <v>197998.03999999995</v>
      </c>
      <c r="K41" s="107">
        <f t="shared" si="23"/>
        <v>170822.31</v>
      </c>
      <c r="L41" s="107">
        <f t="shared" si="23"/>
        <v>-1009831.21</v>
      </c>
      <c r="M41" s="107"/>
      <c r="N41" s="107">
        <v>1184597.69</v>
      </c>
    </row>
    <row r="42" spans="1:14">
      <c r="A42" s="64" t="s">
        <v>50</v>
      </c>
      <c r="B42" s="107">
        <f>B213</f>
        <v>13570.859999999999</v>
      </c>
      <c r="C42" s="107">
        <f>C213</f>
        <v>7717.35</v>
      </c>
      <c r="D42" s="107">
        <f>D213</f>
        <v>983.8</v>
      </c>
      <c r="E42" s="107">
        <f>E213</f>
        <v>5360.42</v>
      </c>
      <c r="F42" s="107">
        <f>F213</f>
        <v>-31524.18</v>
      </c>
      <c r="G42" s="107"/>
      <c r="H42" s="107"/>
      <c r="I42" s="107"/>
      <c r="J42" s="107"/>
      <c r="K42" s="107"/>
      <c r="L42" s="107"/>
      <c r="M42" s="107"/>
      <c r="N42" s="107">
        <v>-3891.75</v>
      </c>
    </row>
    <row r="43" spans="1:14">
      <c r="A43" s="64" t="s">
        <v>51</v>
      </c>
      <c r="B43" s="107">
        <f t="shared" ref="B43:L43" si="24">B224</f>
        <v>37256.310000000005</v>
      </c>
      <c r="C43" s="107">
        <f t="shared" si="24"/>
        <v>43497.530000000006</v>
      </c>
      <c r="D43" s="107">
        <f t="shared" si="24"/>
        <v>35959.489999999991</v>
      </c>
      <c r="E43" s="107">
        <f t="shared" si="24"/>
        <v>47179.06</v>
      </c>
      <c r="F43" s="107">
        <f t="shared" si="24"/>
        <v>60955.040000000008</v>
      </c>
      <c r="G43" s="107">
        <f t="shared" si="24"/>
        <v>87347.700000000012</v>
      </c>
      <c r="H43" s="107">
        <f t="shared" si="24"/>
        <v>74945.820000000007</v>
      </c>
      <c r="I43" s="107">
        <f t="shared" si="24"/>
        <v>43815.939999999995</v>
      </c>
      <c r="J43" s="107">
        <f t="shared" si="24"/>
        <v>55878.62000000001</v>
      </c>
      <c r="K43" s="107">
        <f t="shared" si="24"/>
        <v>32762.799999999996</v>
      </c>
      <c r="L43" s="107">
        <f t="shared" si="24"/>
        <v>-294750.88000000006</v>
      </c>
      <c r="M43" s="107"/>
      <c r="N43" s="107">
        <v>224847.43</v>
      </c>
    </row>
    <row r="44" spans="1:14">
      <c r="A44" s="64" t="s">
        <v>52</v>
      </c>
      <c r="B44" s="107">
        <f t="shared" ref="B44:L44" si="25">B240</f>
        <v>74294.700000000012</v>
      </c>
      <c r="C44" s="107">
        <f t="shared" si="25"/>
        <v>93220.889999999985</v>
      </c>
      <c r="D44" s="107">
        <f t="shared" si="25"/>
        <v>82516.900000000009</v>
      </c>
      <c r="E44" s="107">
        <f t="shared" si="25"/>
        <v>79391.710000000006</v>
      </c>
      <c r="F44" s="107">
        <f t="shared" si="25"/>
        <v>78032.98</v>
      </c>
      <c r="G44" s="107">
        <f t="shared" si="25"/>
        <v>66207.550000000017</v>
      </c>
      <c r="H44" s="107">
        <f t="shared" si="25"/>
        <v>79154.98</v>
      </c>
      <c r="I44" s="107">
        <f t="shared" si="25"/>
        <v>90513.96</v>
      </c>
      <c r="J44" s="107">
        <f t="shared" si="25"/>
        <v>82254.25</v>
      </c>
      <c r="K44" s="107">
        <f t="shared" si="25"/>
        <v>75327.62000000001</v>
      </c>
      <c r="L44" s="107">
        <f t="shared" si="25"/>
        <v>-393458.35999999993</v>
      </c>
      <c r="M44" s="107"/>
      <c r="N44" s="107">
        <v>407457.18</v>
      </c>
    </row>
    <row r="45" spans="1:14">
      <c r="A45" s="64" t="s">
        <v>53</v>
      </c>
      <c r="B45" s="107">
        <f t="shared" ref="B45:L45" si="26">B262</f>
        <v>138062.81000000003</v>
      </c>
      <c r="C45" s="107">
        <f t="shared" si="26"/>
        <v>130022.16</v>
      </c>
      <c r="D45" s="107">
        <f t="shared" si="26"/>
        <v>132776.71</v>
      </c>
      <c r="E45" s="107">
        <f t="shared" si="26"/>
        <v>123253.72</v>
      </c>
      <c r="F45" s="107">
        <f t="shared" si="26"/>
        <v>-1273209.6100000001</v>
      </c>
      <c r="G45" s="107">
        <f t="shared" si="26"/>
        <v>125552.03999999998</v>
      </c>
      <c r="H45" s="107">
        <f t="shared" si="26"/>
        <v>131292.45000000001</v>
      </c>
      <c r="I45" s="107">
        <f t="shared" si="26"/>
        <v>135087.29999999999</v>
      </c>
      <c r="J45" s="107">
        <f t="shared" si="26"/>
        <v>134497.32</v>
      </c>
      <c r="K45" s="107">
        <f t="shared" si="26"/>
        <v>134012.41000000003</v>
      </c>
      <c r="L45" s="107">
        <f t="shared" si="26"/>
        <v>-660441.52</v>
      </c>
      <c r="M45" s="107"/>
      <c r="N45" s="107">
        <v>-749094.21</v>
      </c>
    </row>
    <row r="46" spans="1:14">
      <c r="A46" s="64" t="s">
        <v>54</v>
      </c>
      <c r="B46" s="107">
        <f t="shared" ref="B46:L46" si="27">B278</f>
        <v>9787.5400000000009</v>
      </c>
      <c r="C46" s="107">
        <f t="shared" si="27"/>
        <v>22727.919999999998</v>
      </c>
      <c r="D46" s="107">
        <f t="shared" si="27"/>
        <v>7461.1500000000005</v>
      </c>
      <c r="E46" s="107">
        <f t="shared" si="27"/>
        <v>10949.630000000001</v>
      </c>
      <c r="F46" s="107">
        <f t="shared" si="27"/>
        <v>7912.8200000000006</v>
      </c>
      <c r="G46" s="107">
        <f t="shared" si="27"/>
        <v>8537.5299999999988</v>
      </c>
      <c r="H46" s="107">
        <f t="shared" si="27"/>
        <v>7146.5599999999995</v>
      </c>
      <c r="I46" s="107">
        <f t="shared" si="27"/>
        <v>10686.71</v>
      </c>
      <c r="J46" s="107">
        <f t="shared" si="27"/>
        <v>11627.8</v>
      </c>
      <c r="K46" s="107">
        <f t="shared" si="27"/>
        <v>13450.58</v>
      </c>
      <c r="L46" s="107">
        <f t="shared" si="27"/>
        <v>-51449.18</v>
      </c>
      <c r="M46" s="107"/>
      <c r="N46" s="107">
        <v>58839.06</v>
      </c>
    </row>
    <row r="47" spans="1:14">
      <c r="A47" s="64" t="s">
        <v>55</v>
      </c>
      <c r="B47" s="107">
        <f t="shared" ref="B47:L47" si="28">B286</f>
        <v>1355.37</v>
      </c>
      <c r="C47" s="107">
        <f t="shared" si="28"/>
        <v>9185.2899999999991</v>
      </c>
      <c r="D47" s="107">
        <f t="shared" si="28"/>
        <v>13799.179999999998</v>
      </c>
      <c r="E47" s="107">
        <f t="shared" si="28"/>
        <v>12857.26</v>
      </c>
      <c r="F47" s="107">
        <f t="shared" si="28"/>
        <v>14171.000000000002</v>
      </c>
      <c r="G47" s="107">
        <f t="shared" si="28"/>
        <v>3776.8099999999995</v>
      </c>
      <c r="H47" s="107">
        <f t="shared" si="28"/>
        <v>9001.81</v>
      </c>
      <c r="I47" s="107">
        <f t="shared" si="28"/>
        <v>4532.55</v>
      </c>
      <c r="J47" s="107">
        <f t="shared" si="28"/>
        <v>607</v>
      </c>
      <c r="K47" s="107">
        <f t="shared" si="28"/>
        <v>4081.2</v>
      </c>
      <c r="L47" s="107">
        <f t="shared" si="28"/>
        <v>-21999.37</v>
      </c>
      <c r="M47" s="107"/>
      <c r="N47" s="107">
        <v>51368.1</v>
      </c>
    </row>
    <row r="48" spans="1:14">
      <c r="A48" s="64" t="s">
        <v>56</v>
      </c>
      <c r="B48" s="107">
        <f t="shared" ref="B48:L48" si="29">B294</f>
        <v>7475.56</v>
      </c>
      <c r="C48" s="107">
        <f t="shared" si="29"/>
        <v>10393.19</v>
      </c>
      <c r="D48" s="107">
        <f t="shared" si="29"/>
        <v>6512.31</v>
      </c>
      <c r="E48" s="107">
        <f t="shared" si="29"/>
        <v>7112.31</v>
      </c>
      <c r="F48" s="107">
        <f t="shared" si="29"/>
        <v>1251.81</v>
      </c>
      <c r="G48" s="107">
        <f t="shared" si="29"/>
        <v>8841.73</v>
      </c>
      <c r="H48" s="107">
        <f t="shared" si="29"/>
        <v>7975.56</v>
      </c>
      <c r="I48" s="107">
        <f t="shared" si="29"/>
        <v>7975.56</v>
      </c>
      <c r="J48" s="107">
        <f t="shared" si="29"/>
        <v>7975.56</v>
      </c>
      <c r="K48" s="107">
        <f t="shared" si="29"/>
        <v>7975.56</v>
      </c>
      <c r="L48" s="107">
        <f t="shared" si="29"/>
        <v>-40743.97</v>
      </c>
      <c r="M48" s="107"/>
      <c r="N48" s="107">
        <v>32745.18</v>
      </c>
    </row>
    <row r="49" spans="1:14">
      <c r="A49" s="64" t="s">
        <v>57</v>
      </c>
      <c r="B49" s="107">
        <f t="shared" ref="B49:L49" si="30">B299</f>
        <v>13081</v>
      </c>
      <c r="C49" s="107">
        <f t="shared" si="30"/>
        <v>12178</v>
      </c>
      <c r="D49" s="107">
        <f t="shared" si="30"/>
        <v>11956</v>
      </c>
      <c r="E49" s="107">
        <f t="shared" si="30"/>
        <v>9111</v>
      </c>
      <c r="F49" s="107">
        <f t="shared" si="30"/>
        <v>158398</v>
      </c>
      <c r="G49" s="107">
        <f t="shared" si="30"/>
        <v>9983</v>
      </c>
      <c r="H49" s="107">
        <f t="shared" si="30"/>
        <v>16555.73</v>
      </c>
      <c r="I49" s="107">
        <f t="shared" si="30"/>
        <v>11434</v>
      </c>
      <c r="J49" s="107">
        <f t="shared" si="30"/>
        <v>11403</v>
      </c>
      <c r="K49" s="107">
        <f t="shared" si="30"/>
        <v>10413</v>
      </c>
      <c r="L49" s="107">
        <f t="shared" si="30"/>
        <v>-59788.73</v>
      </c>
      <c r="M49" s="107"/>
      <c r="N49" s="107">
        <v>204724</v>
      </c>
    </row>
    <row r="50" spans="1:14">
      <c r="A50" s="64" t="s">
        <v>58</v>
      </c>
      <c r="B50" s="107">
        <f t="shared" ref="B50:L50" si="31">B307</f>
        <v>9220.01</v>
      </c>
      <c r="C50" s="107">
        <f t="shared" si="31"/>
        <v>9774.67</v>
      </c>
      <c r="D50" s="107">
        <f t="shared" si="31"/>
        <v>9774.67</v>
      </c>
      <c r="E50" s="107">
        <f t="shared" si="31"/>
        <v>9774.67</v>
      </c>
      <c r="F50" s="107">
        <f t="shared" si="31"/>
        <v>5340.66</v>
      </c>
      <c r="G50" s="107">
        <f t="shared" si="31"/>
        <v>10354.280000000001</v>
      </c>
      <c r="H50" s="107">
        <f t="shared" si="31"/>
        <v>9774.67</v>
      </c>
      <c r="I50" s="107">
        <f t="shared" si="31"/>
        <v>73616.27</v>
      </c>
      <c r="J50" s="107">
        <f t="shared" si="31"/>
        <v>10162.450000000001</v>
      </c>
      <c r="K50" s="107">
        <f t="shared" si="31"/>
        <v>-14837.55</v>
      </c>
      <c r="L50" s="107">
        <f t="shared" si="31"/>
        <v>-89070.12</v>
      </c>
      <c r="M50" s="107"/>
      <c r="N50" s="107">
        <v>43884.68</v>
      </c>
    </row>
    <row r="51" spans="1:14">
      <c r="A51" s="64" t="s">
        <v>59</v>
      </c>
      <c r="B51" s="107">
        <f t="shared" ref="B51:L51" si="32">B314</f>
        <v>6770.32</v>
      </c>
      <c r="C51" s="107">
        <f t="shared" si="32"/>
        <v>6626.59</v>
      </c>
      <c r="D51" s="107">
        <f t="shared" si="32"/>
        <v>6523.35</v>
      </c>
      <c r="E51" s="107">
        <f t="shared" si="32"/>
        <v>6415.8600000000015</v>
      </c>
      <c r="F51" s="107">
        <f t="shared" si="32"/>
        <v>6362.0599999999986</v>
      </c>
      <c r="G51" s="107">
        <f t="shared" si="32"/>
        <v>6362.0599999999995</v>
      </c>
      <c r="H51" s="107">
        <f t="shared" si="32"/>
        <v>6048.369999999999</v>
      </c>
      <c r="I51" s="107">
        <f t="shared" si="32"/>
        <v>6162.59</v>
      </c>
      <c r="J51" s="107">
        <f t="shared" si="32"/>
        <v>6100.77</v>
      </c>
      <c r="K51" s="107">
        <f t="shared" si="32"/>
        <v>6151.32</v>
      </c>
      <c r="L51" s="107">
        <f t="shared" si="32"/>
        <v>-30825.11</v>
      </c>
      <c r="M51" s="107"/>
      <c r="N51" s="107">
        <v>32698.18</v>
      </c>
    </row>
    <row r="52" spans="1:14">
      <c r="A52" s="64" t="s">
        <v>60</v>
      </c>
      <c r="B52" s="107">
        <f t="shared" ref="B52:L52" si="33">B321</f>
        <v>85530.53</v>
      </c>
      <c r="C52" s="107">
        <f t="shared" si="33"/>
        <v>88356.59</v>
      </c>
      <c r="D52" s="107">
        <f t="shared" si="33"/>
        <v>87182.24</v>
      </c>
      <c r="E52" s="107">
        <f t="shared" si="33"/>
        <v>87215.27</v>
      </c>
      <c r="F52" s="107">
        <f t="shared" si="33"/>
        <v>87220.650000000009</v>
      </c>
      <c r="G52" s="107">
        <f t="shared" si="33"/>
        <v>87062.58</v>
      </c>
      <c r="H52" s="107">
        <f t="shared" si="33"/>
        <v>87396.27</v>
      </c>
      <c r="I52" s="107">
        <f t="shared" si="33"/>
        <v>87096.09</v>
      </c>
      <c r="J52" s="107">
        <f t="shared" si="33"/>
        <v>87127.06</v>
      </c>
      <c r="K52" s="107">
        <f t="shared" si="33"/>
        <v>87208.98</v>
      </c>
      <c r="L52" s="107">
        <f t="shared" si="33"/>
        <v>-435890.98000000004</v>
      </c>
      <c r="M52" s="107"/>
      <c r="N52" s="107">
        <v>435505.28</v>
      </c>
    </row>
    <row r="53" spans="1:14">
      <c r="A53" s="64" t="s">
        <v>61</v>
      </c>
      <c r="B53" s="107">
        <f>B325</f>
        <v>68.5</v>
      </c>
      <c r="C53" s="107">
        <f>C325</f>
        <v>276.87</v>
      </c>
      <c r="D53" s="107">
        <f>D325</f>
        <v>-147.94999999999999</v>
      </c>
      <c r="E53" s="107"/>
      <c r="F53" s="107">
        <f>F325</f>
        <v>-52636.74</v>
      </c>
      <c r="G53" s="107"/>
      <c r="H53" s="107"/>
      <c r="I53" s="107"/>
      <c r="J53" s="107"/>
      <c r="K53" s="107"/>
      <c r="L53" s="107"/>
      <c r="M53" s="107"/>
      <c r="N53" s="107">
        <v>-52439.32</v>
      </c>
    </row>
    <row r="54" spans="1:14">
      <c r="A54" s="64"/>
      <c r="B54" s="22"/>
      <c r="C54" s="22"/>
      <c r="D54" s="22"/>
      <c r="E54" s="22"/>
      <c r="F54" s="22"/>
      <c r="G54" s="22"/>
      <c r="H54" s="22"/>
      <c r="I54" s="22"/>
      <c r="J54" s="22"/>
      <c r="K54" s="22"/>
      <c r="L54" s="22"/>
      <c r="M54" s="22"/>
      <c r="N54" s="22"/>
    </row>
    <row r="55" spans="1:14" ht="15.75" thickBot="1">
      <c r="A55" s="64" t="s">
        <v>62</v>
      </c>
      <c r="B55" s="112">
        <f t="shared" ref="B55:L55" si="34">B327</f>
        <v>645780.13000000035</v>
      </c>
      <c r="C55" s="112">
        <f t="shared" si="34"/>
        <v>679451.05999999994</v>
      </c>
      <c r="D55" s="112">
        <f t="shared" si="34"/>
        <v>659756.73999999964</v>
      </c>
      <c r="E55" s="112">
        <f t="shared" si="34"/>
        <v>604362.31999999972</v>
      </c>
      <c r="F55" s="112">
        <f t="shared" si="34"/>
        <v>-718108.74999999965</v>
      </c>
      <c r="G55" s="112">
        <f t="shared" si="34"/>
        <v>625082.64000000071</v>
      </c>
      <c r="H55" s="112">
        <f t="shared" si="34"/>
        <v>627216.68000000017</v>
      </c>
      <c r="I55" s="112">
        <f t="shared" si="34"/>
        <v>702950.00999999978</v>
      </c>
      <c r="J55" s="112">
        <f t="shared" si="34"/>
        <v>605631.87000000011</v>
      </c>
      <c r="K55" s="112">
        <f t="shared" si="34"/>
        <v>527368.22999999975</v>
      </c>
      <c r="L55" s="112">
        <f t="shared" si="34"/>
        <v>-3088249.4300000006</v>
      </c>
      <c r="M55" s="112"/>
      <c r="N55" s="112">
        <v>1871241.5</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L57" si="35">B329</f>
        <v>-22525.319999999832</v>
      </c>
      <c r="C57" s="112">
        <f t="shared" si="35"/>
        <v>-6521.7299999999814</v>
      </c>
      <c r="D57" s="112">
        <f t="shared" si="35"/>
        <v>8276.7300000014948</v>
      </c>
      <c r="E57" s="112">
        <f t="shared" si="35"/>
        <v>-102549.65999999963</v>
      </c>
      <c r="F57" s="112">
        <f t="shared" si="35"/>
        <v>-78674.860000000219</v>
      </c>
      <c r="G57" s="112">
        <f t="shared" si="35"/>
        <v>-70823.610000000219</v>
      </c>
      <c r="H57" s="112">
        <f t="shared" si="35"/>
        <v>17757.179999999469</v>
      </c>
      <c r="I57" s="112">
        <f t="shared" si="35"/>
        <v>20641.790000000736</v>
      </c>
      <c r="J57" s="112">
        <f t="shared" si="35"/>
        <v>-3713.6100000002189</v>
      </c>
      <c r="K57" s="112">
        <f t="shared" si="35"/>
        <v>27955.88000000082</v>
      </c>
      <c r="L57" s="112">
        <f t="shared" si="35"/>
        <v>8182.3700000019744</v>
      </c>
      <c r="M57" s="112"/>
      <c r="N57" s="112">
        <v>-201994.84</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6">B333</f>
        <v>16614.2</v>
      </c>
      <c r="C59" s="112">
        <f t="shared" si="36"/>
        <v>16701.77</v>
      </c>
      <c r="D59" s="112">
        <f t="shared" si="36"/>
        <v>16475.39</v>
      </c>
      <c r="E59" s="112">
        <f t="shared" si="36"/>
        <v>655.21</v>
      </c>
      <c r="F59" s="112">
        <f t="shared" si="36"/>
        <v>63052.800000000003</v>
      </c>
      <c r="G59" s="112">
        <f t="shared" si="36"/>
        <v>23185.52</v>
      </c>
      <c r="H59" s="112">
        <f t="shared" si="36"/>
        <v>42153.41</v>
      </c>
      <c r="I59" s="112">
        <f t="shared" si="36"/>
        <v>120968.99</v>
      </c>
      <c r="J59" s="112">
        <f t="shared" si="36"/>
        <v>106629.77</v>
      </c>
      <c r="K59" s="112">
        <f t="shared" si="36"/>
        <v>146294.44</v>
      </c>
      <c r="L59" s="112">
        <f t="shared" si="36"/>
        <v>56030.669999999984</v>
      </c>
      <c r="M59" s="112">
        <f t="shared" si="36"/>
        <v>-58.23</v>
      </c>
      <c r="N59" s="112">
        <v>608703.93999999994</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7">B335</f>
        <v>-39139.519999999829</v>
      </c>
      <c r="C61" s="112">
        <f t="shared" si="37"/>
        <v>-23223.499999999982</v>
      </c>
      <c r="D61" s="112">
        <f t="shared" si="37"/>
        <v>-8198.6599999985046</v>
      </c>
      <c r="E61" s="112">
        <f t="shared" si="37"/>
        <v>-103204.86999999963</v>
      </c>
      <c r="F61" s="112">
        <f t="shared" si="37"/>
        <v>-141727.66000000021</v>
      </c>
      <c r="G61" s="112">
        <f t="shared" si="37"/>
        <v>-94009.130000000223</v>
      </c>
      <c r="H61" s="112">
        <f t="shared" si="37"/>
        <v>-24396.230000000534</v>
      </c>
      <c r="I61" s="112">
        <f t="shared" si="37"/>
        <v>-100327.19999999927</v>
      </c>
      <c r="J61" s="112">
        <f t="shared" si="37"/>
        <v>-110343.38000000022</v>
      </c>
      <c r="K61" s="112">
        <f t="shared" si="37"/>
        <v>-118338.55999999918</v>
      </c>
      <c r="L61" s="112">
        <f t="shared" si="37"/>
        <v>-47848.299999998009</v>
      </c>
      <c r="M61" s="112">
        <f t="shared" si="37"/>
        <v>58.23</v>
      </c>
      <c r="N61" s="112">
        <v>-810698.78</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281412.69</v>
      </c>
      <c r="C68" s="111">
        <v>263378.7</v>
      </c>
      <c r="D68" s="111">
        <v>249390.4</v>
      </c>
      <c r="E68" s="111">
        <v>237493.35</v>
      </c>
      <c r="F68" s="111">
        <v>236343.03</v>
      </c>
      <c r="G68" s="111">
        <v>234149.41</v>
      </c>
      <c r="H68" s="111">
        <v>230439.96</v>
      </c>
      <c r="I68" s="111">
        <v>230463.5</v>
      </c>
      <c r="J68" s="111">
        <v>243872.73</v>
      </c>
      <c r="K68" s="111">
        <v>279587.23</v>
      </c>
      <c r="L68" s="111">
        <v>-1218512.83</v>
      </c>
      <c r="M68" s="111"/>
      <c r="N68" s="111">
        <v>1268018.17</v>
      </c>
    </row>
    <row r="69" spans="1:14">
      <c r="A69" s="64" t="s">
        <v>67</v>
      </c>
      <c r="B69" s="107">
        <f t="shared" ref="B69:L69" si="38">SUM(B65:B68)</f>
        <v>281412.69</v>
      </c>
      <c r="C69" s="107">
        <f t="shared" si="38"/>
        <v>263378.7</v>
      </c>
      <c r="D69" s="107">
        <f t="shared" si="38"/>
        <v>249390.4</v>
      </c>
      <c r="E69" s="107">
        <f t="shared" si="38"/>
        <v>237493.35</v>
      </c>
      <c r="F69" s="107">
        <f t="shared" si="38"/>
        <v>236343.03</v>
      </c>
      <c r="G69" s="107">
        <f t="shared" si="38"/>
        <v>234149.41</v>
      </c>
      <c r="H69" s="107">
        <f t="shared" si="38"/>
        <v>230439.96</v>
      </c>
      <c r="I69" s="107">
        <f t="shared" si="38"/>
        <v>230463.5</v>
      </c>
      <c r="J69" s="107">
        <f t="shared" si="38"/>
        <v>243872.73</v>
      </c>
      <c r="K69" s="107">
        <f t="shared" si="38"/>
        <v>279587.23</v>
      </c>
      <c r="L69" s="107">
        <f t="shared" si="38"/>
        <v>-1218512.83</v>
      </c>
      <c r="M69" s="107"/>
      <c r="N69" s="107">
        <v>1268018.17</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20460.02</v>
      </c>
      <c r="C72" s="111">
        <v>15594.69</v>
      </c>
      <c r="D72" s="111">
        <v>13105.25</v>
      </c>
      <c r="E72" s="111">
        <v>15814.55</v>
      </c>
      <c r="F72" s="111">
        <v>10298.879999999999</v>
      </c>
      <c r="G72" s="111">
        <v>10926.58</v>
      </c>
      <c r="H72" s="111">
        <v>4422.6000000000004</v>
      </c>
      <c r="I72" s="111">
        <v>8331.01</v>
      </c>
      <c r="J72" s="111">
        <v>14025.5</v>
      </c>
      <c r="K72" s="111">
        <v>17509.05</v>
      </c>
      <c r="L72" s="111">
        <v>-55214.74</v>
      </c>
      <c r="M72" s="111"/>
      <c r="N72" s="111">
        <v>75273.39</v>
      </c>
    </row>
    <row r="73" spans="1:14">
      <c r="A73" s="64" t="s">
        <v>69</v>
      </c>
      <c r="B73" s="107">
        <f t="shared" ref="B73:L73" si="39">SUM(B70:B72)</f>
        <v>20460.02</v>
      </c>
      <c r="C73" s="107">
        <f t="shared" si="39"/>
        <v>15594.69</v>
      </c>
      <c r="D73" s="107">
        <f t="shared" si="39"/>
        <v>13105.25</v>
      </c>
      <c r="E73" s="107">
        <f t="shared" si="39"/>
        <v>15814.55</v>
      </c>
      <c r="F73" s="107">
        <f t="shared" si="39"/>
        <v>10298.879999999999</v>
      </c>
      <c r="G73" s="107">
        <f t="shared" si="39"/>
        <v>10926.58</v>
      </c>
      <c r="H73" s="107">
        <f t="shared" si="39"/>
        <v>4422.6000000000004</v>
      </c>
      <c r="I73" s="107">
        <f t="shared" si="39"/>
        <v>8331.01</v>
      </c>
      <c r="J73" s="107">
        <f t="shared" si="39"/>
        <v>14025.5</v>
      </c>
      <c r="K73" s="107">
        <f t="shared" si="39"/>
        <v>17509.05</v>
      </c>
      <c r="L73" s="107">
        <f t="shared" si="39"/>
        <v>-55214.74</v>
      </c>
      <c r="M73" s="107"/>
      <c r="N73" s="107">
        <v>75273.39</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127950.92</v>
      </c>
      <c r="C76" s="111">
        <v>120621.12</v>
      </c>
      <c r="D76" s="111">
        <v>101594.58</v>
      </c>
      <c r="E76" s="111">
        <v>75516.070000000007</v>
      </c>
      <c r="F76" s="111">
        <v>72257.11</v>
      </c>
      <c r="G76" s="111">
        <v>117488.1</v>
      </c>
      <c r="H76" s="111">
        <v>116232.39</v>
      </c>
      <c r="I76" s="111">
        <v>142224.10999999999</v>
      </c>
      <c r="J76" s="111">
        <v>131527.62</v>
      </c>
      <c r="K76" s="111">
        <v>68591.070000000007</v>
      </c>
      <c r="L76" s="111">
        <v>-576063.29</v>
      </c>
      <c r="M76" s="111"/>
      <c r="N76" s="111">
        <v>497939.8</v>
      </c>
    </row>
    <row r="77" spans="1:14">
      <c r="A77" s="64" t="s">
        <v>71</v>
      </c>
      <c r="B77" s="107">
        <f t="shared" ref="B77:L77" si="40">SUM(B74:B76)</f>
        <v>127950.92</v>
      </c>
      <c r="C77" s="107">
        <f t="shared" si="40"/>
        <v>120621.12</v>
      </c>
      <c r="D77" s="107">
        <f t="shared" si="40"/>
        <v>101594.58</v>
      </c>
      <c r="E77" s="107">
        <f t="shared" si="40"/>
        <v>75516.070000000007</v>
      </c>
      <c r="F77" s="107">
        <f t="shared" si="40"/>
        <v>72257.11</v>
      </c>
      <c r="G77" s="107">
        <f t="shared" si="40"/>
        <v>117488.1</v>
      </c>
      <c r="H77" s="107">
        <f t="shared" si="40"/>
        <v>116232.39</v>
      </c>
      <c r="I77" s="107">
        <f t="shared" si="40"/>
        <v>142224.10999999999</v>
      </c>
      <c r="J77" s="107">
        <f t="shared" si="40"/>
        <v>131527.62</v>
      </c>
      <c r="K77" s="107">
        <f t="shared" si="40"/>
        <v>68591.070000000007</v>
      </c>
      <c r="L77" s="107">
        <f t="shared" si="40"/>
        <v>-576063.29</v>
      </c>
      <c r="M77" s="107"/>
      <c r="N77" s="107">
        <v>497939.8</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124915.95</v>
      </c>
      <c r="C83" s="111">
        <v>149508.79</v>
      </c>
      <c r="D83" s="111">
        <v>166334.65</v>
      </c>
      <c r="E83" s="111">
        <v>84932.89</v>
      </c>
      <c r="F83" s="111">
        <v>80937.929999999993</v>
      </c>
      <c r="G83" s="111">
        <v>57813.57</v>
      </c>
      <c r="H83" s="111">
        <v>117868.15</v>
      </c>
      <c r="I83" s="111">
        <v>143659.41</v>
      </c>
      <c r="J83" s="111">
        <v>103867.38</v>
      </c>
      <c r="K83" s="111">
        <v>72758.95</v>
      </c>
      <c r="L83" s="111">
        <v>-495967.46</v>
      </c>
      <c r="M83" s="111"/>
      <c r="N83" s="111">
        <v>606630.21</v>
      </c>
    </row>
    <row r="84" spans="1:14">
      <c r="A84" s="64" t="s">
        <v>74</v>
      </c>
      <c r="B84" s="107">
        <f t="shared" ref="B84:L84" si="41">SUM(B81:B83)</f>
        <v>124915.95</v>
      </c>
      <c r="C84" s="107">
        <f t="shared" si="41"/>
        <v>149508.79</v>
      </c>
      <c r="D84" s="107">
        <f t="shared" si="41"/>
        <v>166334.65</v>
      </c>
      <c r="E84" s="107">
        <f t="shared" si="41"/>
        <v>84932.89</v>
      </c>
      <c r="F84" s="107">
        <f t="shared" si="41"/>
        <v>80937.929999999993</v>
      </c>
      <c r="G84" s="107">
        <f t="shared" si="41"/>
        <v>57813.57</v>
      </c>
      <c r="H84" s="107">
        <f t="shared" si="41"/>
        <v>117868.15</v>
      </c>
      <c r="I84" s="107">
        <f t="shared" si="41"/>
        <v>143659.41</v>
      </c>
      <c r="J84" s="107">
        <f t="shared" si="41"/>
        <v>103867.38</v>
      </c>
      <c r="K84" s="107">
        <f t="shared" si="41"/>
        <v>72758.95</v>
      </c>
      <c r="L84" s="107">
        <f t="shared" si="41"/>
        <v>-495967.46</v>
      </c>
      <c r="M84" s="107"/>
      <c r="N84" s="107">
        <v>606630.21</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23840</v>
      </c>
      <c r="C87" s="111">
        <v>24960</v>
      </c>
      <c r="D87" s="111">
        <v>38990</v>
      </c>
      <c r="E87" s="111">
        <v>30180</v>
      </c>
      <c r="F87" s="111">
        <v>31200</v>
      </c>
      <c r="G87" s="111">
        <v>38560</v>
      </c>
      <c r="H87" s="111">
        <v>33120</v>
      </c>
      <c r="I87" s="111">
        <v>37280</v>
      </c>
      <c r="J87" s="111">
        <v>44640</v>
      </c>
      <c r="K87" s="111">
        <v>56640</v>
      </c>
      <c r="L87" s="111">
        <v>-210240</v>
      </c>
      <c r="M87" s="111"/>
      <c r="N87" s="111">
        <v>149170</v>
      </c>
    </row>
    <row r="88" spans="1:14">
      <c r="A88" s="64" t="s">
        <v>76</v>
      </c>
      <c r="B88" s="107">
        <f t="shared" ref="B88:L88" si="42">SUM(B85:B87)</f>
        <v>23840</v>
      </c>
      <c r="C88" s="107">
        <f t="shared" si="42"/>
        <v>24960</v>
      </c>
      <c r="D88" s="107">
        <f t="shared" si="42"/>
        <v>38990</v>
      </c>
      <c r="E88" s="107">
        <f t="shared" si="42"/>
        <v>30180</v>
      </c>
      <c r="F88" s="107">
        <f t="shared" si="42"/>
        <v>31200</v>
      </c>
      <c r="G88" s="107">
        <f t="shared" si="42"/>
        <v>38560</v>
      </c>
      <c r="H88" s="107">
        <f t="shared" si="42"/>
        <v>33120</v>
      </c>
      <c r="I88" s="107">
        <f t="shared" si="42"/>
        <v>37280</v>
      </c>
      <c r="J88" s="107">
        <f t="shared" si="42"/>
        <v>44640</v>
      </c>
      <c r="K88" s="107">
        <f t="shared" si="42"/>
        <v>56640</v>
      </c>
      <c r="L88" s="107">
        <f t="shared" si="42"/>
        <v>-210240</v>
      </c>
      <c r="M88" s="107"/>
      <c r="N88" s="107">
        <v>149170</v>
      </c>
    </row>
    <row r="89" spans="1:14">
      <c r="A89" s="64"/>
      <c r="B89" s="113"/>
      <c r="C89" s="113"/>
      <c r="D89" s="113"/>
      <c r="E89" s="113"/>
      <c r="F89" s="113"/>
      <c r="G89" s="113"/>
      <c r="H89" s="113"/>
      <c r="I89" s="113"/>
      <c r="J89" s="113"/>
      <c r="K89" s="113"/>
      <c r="L89" s="113"/>
      <c r="M89" s="113"/>
      <c r="N89" s="113"/>
    </row>
    <row r="90" spans="1:14">
      <c r="A90" s="64" t="s">
        <v>42</v>
      </c>
      <c r="B90" s="107">
        <f t="shared" ref="B90:L90" si="43">SUM(B67:B89)-B69-B73-B77-B80-B84-B88</f>
        <v>578579.58000000019</v>
      </c>
      <c r="C90" s="107">
        <f t="shared" si="43"/>
        <v>574063.29999999993</v>
      </c>
      <c r="D90" s="107">
        <f t="shared" si="43"/>
        <v>569414.88</v>
      </c>
      <c r="E90" s="107">
        <f t="shared" si="43"/>
        <v>443936.86</v>
      </c>
      <c r="F90" s="107">
        <f t="shared" si="43"/>
        <v>431036.9499999999</v>
      </c>
      <c r="G90" s="107">
        <f t="shared" si="43"/>
        <v>458937.66</v>
      </c>
      <c r="H90" s="107">
        <f t="shared" si="43"/>
        <v>502083.1</v>
      </c>
      <c r="I90" s="107">
        <f t="shared" si="43"/>
        <v>561958.03</v>
      </c>
      <c r="J90" s="107">
        <f t="shared" si="43"/>
        <v>537933.23</v>
      </c>
      <c r="K90" s="107">
        <f t="shared" si="43"/>
        <v>495086.30000000005</v>
      </c>
      <c r="L90" s="107">
        <f t="shared" si="43"/>
        <v>-2555998.3200000003</v>
      </c>
      <c r="M90" s="107"/>
      <c r="N90" s="107">
        <v>2597031.5699999998</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-5496.48</v>
      </c>
      <c r="C95" s="111">
        <v>-6704.1</v>
      </c>
      <c r="D95" s="111">
        <v>-36134.15</v>
      </c>
      <c r="E95" s="111">
        <v>-22006.59</v>
      </c>
      <c r="F95" s="111">
        <v>-1236.68</v>
      </c>
      <c r="G95" s="111">
        <v>8373.81</v>
      </c>
      <c r="H95" s="111">
        <v>5197.43</v>
      </c>
      <c r="I95" s="111">
        <v>-53409.95</v>
      </c>
      <c r="J95" s="111">
        <v>-249.58</v>
      </c>
      <c r="K95" s="111">
        <v>11526.56</v>
      </c>
      <c r="L95" s="111">
        <v>28561.73</v>
      </c>
      <c r="M95" s="111"/>
      <c r="N95" s="111">
        <v>-71578</v>
      </c>
    </row>
    <row r="96" spans="1:14">
      <c r="A96" s="64" t="s">
        <v>67</v>
      </c>
      <c r="B96" s="107">
        <f t="shared" ref="B96:L96" si="44">SUM(B94:B95)</f>
        <v>-5496.48</v>
      </c>
      <c r="C96" s="107">
        <f t="shared" si="44"/>
        <v>-6704.1</v>
      </c>
      <c r="D96" s="107">
        <f t="shared" si="44"/>
        <v>-36134.15</v>
      </c>
      <c r="E96" s="107">
        <f t="shared" si="44"/>
        <v>-22006.59</v>
      </c>
      <c r="F96" s="107">
        <f t="shared" si="44"/>
        <v>-1236.68</v>
      </c>
      <c r="G96" s="107">
        <f t="shared" si="44"/>
        <v>8373.81</v>
      </c>
      <c r="H96" s="107">
        <f t="shared" si="44"/>
        <v>5197.43</v>
      </c>
      <c r="I96" s="107">
        <f t="shared" si="44"/>
        <v>-53409.95</v>
      </c>
      <c r="J96" s="107">
        <f t="shared" si="44"/>
        <v>-249.58</v>
      </c>
      <c r="K96" s="107">
        <f t="shared" si="44"/>
        <v>11526.56</v>
      </c>
      <c r="L96" s="107">
        <f t="shared" si="44"/>
        <v>28561.73</v>
      </c>
      <c r="M96" s="107"/>
      <c r="N96" s="107">
        <v>-71578</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3"/>
      <c r="C99" s="111">
        <v>553.35</v>
      </c>
      <c r="D99" s="111">
        <v>225.37</v>
      </c>
      <c r="E99" s="113"/>
      <c r="F99" s="113"/>
      <c r="G99" s="113"/>
      <c r="H99" s="113"/>
      <c r="I99" s="113"/>
      <c r="J99" s="111">
        <v>404.25</v>
      </c>
      <c r="K99" s="113"/>
      <c r="L99" s="111">
        <v>-404.25</v>
      </c>
      <c r="M99" s="113"/>
      <c r="N99" s="111">
        <v>778.72</v>
      </c>
    </row>
    <row r="100" spans="1:14">
      <c r="A100" s="64" t="s">
        <v>69</v>
      </c>
      <c r="B100" s="107"/>
      <c r="C100" s="107">
        <f>SUM(C97:C99)</f>
        <v>553.35</v>
      </c>
      <c r="D100" s="107">
        <f>SUM(D97:D99)</f>
        <v>225.37</v>
      </c>
      <c r="E100" s="107"/>
      <c r="F100" s="107"/>
      <c r="G100" s="107"/>
      <c r="H100" s="107"/>
      <c r="I100" s="107"/>
      <c r="J100" s="107">
        <f>SUM(J97:J99)</f>
        <v>404.25</v>
      </c>
      <c r="K100" s="107"/>
      <c r="L100" s="107">
        <f>SUM(L97:L99)</f>
        <v>-404.25</v>
      </c>
      <c r="M100" s="107"/>
      <c r="N100" s="107">
        <v>778.72</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-2859.66</v>
      </c>
      <c r="C103" s="111">
        <v>-1021.98</v>
      </c>
      <c r="D103" s="111">
        <v>1867.13</v>
      </c>
      <c r="E103" s="111">
        <v>-10324.379999999999</v>
      </c>
      <c r="F103" s="111">
        <v>-189.79</v>
      </c>
      <c r="G103" s="111">
        <v>4185.93</v>
      </c>
      <c r="H103" s="111">
        <v>-8331.32</v>
      </c>
      <c r="I103" s="111">
        <v>15880.95</v>
      </c>
      <c r="J103" s="111">
        <v>5867.13</v>
      </c>
      <c r="K103" s="111">
        <v>-24788.39</v>
      </c>
      <c r="L103" s="111">
        <v>7185.7</v>
      </c>
      <c r="M103" s="111"/>
      <c r="N103" s="111">
        <v>-12528.68</v>
      </c>
    </row>
    <row r="104" spans="1:14">
      <c r="A104" s="64" t="s">
        <v>71</v>
      </c>
      <c r="B104" s="107">
        <f t="shared" ref="B104:L104" si="45">SUM(B101:B103)</f>
        <v>-2859.66</v>
      </c>
      <c r="C104" s="107">
        <f t="shared" si="45"/>
        <v>-1021.98</v>
      </c>
      <c r="D104" s="107">
        <f t="shared" si="45"/>
        <v>1867.13</v>
      </c>
      <c r="E104" s="107">
        <f t="shared" si="45"/>
        <v>-10324.379999999999</v>
      </c>
      <c r="F104" s="107">
        <f t="shared" si="45"/>
        <v>-189.79</v>
      </c>
      <c r="G104" s="107">
        <f t="shared" si="45"/>
        <v>4185.93</v>
      </c>
      <c r="H104" s="107">
        <f t="shared" si="45"/>
        <v>-8331.32</v>
      </c>
      <c r="I104" s="107">
        <f t="shared" si="45"/>
        <v>15880.95</v>
      </c>
      <c r="J104" s="107">
        <f t="shared" si="45"/>
        <v>5867.13</v>
      </c>
      <c r="K104" s="107">
        <f t="shared" si="45"/>
        <v>-24788.39</v>
      </c>
      <c r="L104" s="107">
        <f t="shared" si="45"/>
        <v>7185.7</v>
      </c>
      <c r="M104" s="107"/>
      <c r="N104" s="107">
        <v>-12528.68</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818.04</v>
      </c>
      <c r="C110" s="111">
        <v>2740.18</v>
      </c>
      <c r="D110" s="111">
        <v>17919.34</v>
      </c>
      <c r="E110" s="111">
        <v>3419.03</v>
      </c>
      <c r="F110" s="111">
        <v>25.76</v>
      </c>
      <c r="G110" s="111">
        <v>2014.35</v>
      </c>
      <c r="H110" s="111">
        <v>-3073.95</v>
      </c>
      <c r="I110" s="111">
        <v>-11205</v>
      </c>
      <c r="J110" s="111">
        <v>-6120</v>
      </c>
      <c r="K110" s="111">
        <v>20819.59</v>
      </c>
      <c r="L110" s="111">
        <v>-2434.9899999999998</v>
      </c>
      <c r="M110" s="111"/>
      <c r="N110" s="111">
        <v>24922.35</v>
      </c>
    </row>
    <row r="111" spans="1:14">
      <c r="A111" s="64" t="s">
        <v>74</v>
      </c>
      <c r="B111" s="107">
        <f t="shared" ref="B111:L111" si="46">SUM(B108:B110)</f>
        <v>818.04</v>
      </c>
      <c r="C111" s="107">
        <f t="shared" si="46"/>
        <v>2740.18</v>
      </c>
      <c r="D111" s="107">
        <f t="shared" si="46"/>
        <v>17919.34</v>
      </c>
      <c r="E111" s="107">
        <f t="shared" si="46"/>
        <v>3419.03</v>
      </c>
      <c r="F111" s="107">
        <f t="shared" si="46"/>
        <v>25.76</v>
      </c>
      <c r="G111" s="107">
        <f t="shared" si="46"/>
        <v>2014.35</v>
      </c>
      <c r="H111" s="107">
        <f t="shared" si="46"/>
        <v>-3073.95</v>
      </c>
      <c r="I111" s="107">
        <f t="shared" si="46"/>
        <v>-11205</v>
      </c>
      <c r="J111" s="107">
        <f t="shared" si="46"/>
        <v>-6120</v>
      </c>
      <c r="K111" s="107">
        <f t="shared" si="46"/>
        <v>20819.59</v>
      </c>
      <c r="L111" s="107">
        <f t="shared" si="46"/>
        <v>-2434.9899999999998</v>
      </c>
      <c r="M111" s="107"/>
      <c r="N111" s="107">
        <v>24922.35</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1">
        <v>-13875.22</v>
      </c>
      <c r="C114" s="111">
        <v>10240</v>
      </c>
      <c r="D114" s="111">
        <v>20000</v>
      </c>
      <c r="E114" s="111">
        <v>17120</v>
      </c>
      <c r="F114" s="111">
        <v>1280</v>
      </c>
      <c r="G114" s="111">
        <v>-6080</v>
      </c>
      <c r="H114" s="111">
        <v>4960</v>
      </c>
      <c r="I114" s="111">
        <v>40960</v>
      </c>
      <c r="J114" s="111">
        <v>800</v>
      </c>
      <c r="K114" s="111">
        <v>-11200</v>
      </c>
      <c r="L114" s="111">
        <v>-29440</v>
      </c>
      <c r="M114" s="111"/>
      <c r="N114" s="111">
        <v>34764.78</v>
      </c>
    </row>
    <row r="115" spans="1:14">
      <c r="A115" s="64" t="s">
        <v>76</v>
      </c>
      <c r="B115" s="107">
        <f t="shared" ref="B115:L115" si="47">SUM(B112:B114)</f>
        <v>-13875.22</v>
      </c>
      <c r="C115" s="107">
        <f t="shared" si="47"/>
        <v>10240</v>
      </c>
      <c r="D115" s="107">
        <f t="shared" si="47"/>
        <v>20000</v>
      </c>
      <c r="E115" s="107">
        <f t="shared" si="47"/>
        <v>17120</v>
      </c>
      <c r="F115" s="107">
        <f t="shared" si="47"/>
        <v>1280</v>
      </c>
      <c r="G115" s="107">
        <f t="shared" si="47"/>
        <v>-6080</v>
      </c>
      <c r="H115" s="107">
        <f t="shared" si="47"/>
        <v>4960</v>
      </c>
      <c r="I115" s="107">
        <f t="shared" si="47"/>
        <v>40960</v>
      </c>
      <c r="J115" s="107">
        <f t="shared" si="47"/>
        <v>800</v>
      </c>
      <c r="K115" s="107">
        <f t="shared" si="47"/>
        <v>-11200</v>
      </c>
      <c r="L115" s="107">
        <f t="shared" si="47"/>
        <v>-29440</v>
      </c>
      <c r="M115" s="107"/>
      <c r="N115" s="107">
        <v>34764.78</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L117" si="48">SUM(B92:B116)-B96-B100-B104-B107-B111-B115</f>
        <v>-21413.32</v>
      </c>
      <c r="C117" s="107">
        <f t="shared" si="48"/>
        <v>5807.4500000000007</v>
      </c>
      <c r="D117" s="107">
        <f t="shared" si="48"/>
        <v>3877.6899999999987</v>
      </c>
      <c r="E117" s="107">
        <f t="shared" si="48"/>
        <v>-11791.939999999999</v>
      </c>
      <c r="F117" s="107">
        <f t="shared" si="48"/>
        <v>-120.70999999999958</v>
      </c>
      <c r="G117" s="107">
        <f t="shared" si="48"/>
        <v>8494.0899999999965</v>
      </c>
      <c r="H117" s="107">
        <f t="shared" si="48"/>
        <v>-1247.8400000000011</v>
      </c>
      <c r="I117" s="107">
        <f t="shared" si="48"/>
        <v>-7774</v>
      </c>
      <c r="J117" s="107">
        <f t="shared" si="48"/>
        <v>701.80000000000018</v>
      </c>
      <c r="K117" s="107">
        <f t="shared" si="48"/>
        <v>-3642.2400000000016</v>
      </c>
      <c r="L117" s="107">
        <f t="shared" si="48"/>
        <v>3468.1899999999878</v>
      </c>
      <c r="M117" s="107"/>
      <c r="N117" s="107">
        <v>-23640.83</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107">
        <v>2397.2199999999998</v>
      </c>
      <c r="C122" s="107">
        <v>-644.83000000000004</v>
      </c>
      <c r="D122" s="107">
        <v>-45</v>
      </c>
      <c r="E122" s="107">
        <v>582.36</v>
      </c>
      <c r="F122" s="22"/>
      <c r="G122" s="22"/>
      <c r="H122" s="107">
        <v>150.13999999999999</v>
      </c>
      <c r="I122" s="107">
        <v>-140.29</v>
      </c>
      <c r="J122" s="22"/>
      <c r="K122" s="22"/>
      <c r="L122" s="107">
        <v>-9.85</v>
      </c>
      <c r="M122" s="22"/>
      <c r="N122" s="107">
        <v>2289.75</v>
      </c>
    </row>
    <row r="123" spans="1:14">
      <c r="A123" s="64" t="s">
        <v>78</v>
      </c>
      <c r="B123" s="107">
        <v>4260</v>
      </c>
      <c r="C123" s="107">
        <v>4755</v>
      </c>
      <c r="D123" s="107">
        <v>5100</v>
      </c>
      <c r="E123" s="107">
        <v>3960</v>
      </c>
      <c r="F123" s="107">
        <v>3960</v>
      </c>
      <c r="G123" s="107">
        <v>3270</v>
      </c>
      <c r="H123" s="107">
        <v>-3420</v>
      </c>
      <c r="I123" s="107">
        <v>2010</v>
      </c>
      <c r="J123" s="107">
        <v>1890</v>
      </c>
      <c r="K123" s="107">
        <v>5355</v>
      </c>
      <c r="L123" s="107">
        <v>-9105</v>
      </c>
      <c r="M123" s="107"/>
      <c r="N123" s="107">
        <v>22035</v>
      </c>
    </row>
    <row r="124" spans="1:14">
      <c r="A124" s="64" t="s">
        <v>315</v>
      </c>
      <c r="B124" s="107">
        <v>7560</v>
      </c>
      <c r="C124" s="107">
        <v>7350</v>
      </c>
      <c r="D124" s="107">
        <v>7530</v>
      </c>
      <c r="E124" s="107">
        <v>6660</v>
      </c>
      <c r="F124" s="107">
        <v>5445</v>
      </c>
      <c r="G124" s="107">
        <v>3720</v>
      </c>
      <c r="H124" s="107">
        <v>-4770</v>
      </c>
      <c r="I124" s="107">
        <v>3660</v>
      </c>
      <c r="J124" s="107">
        <v>2385</v>
      </c>
      <c r="K124" s="107">
        <v>7005</v>
      </c>
      <c r="L124" s="107">
        <v>-12000</v>
      </c>
      <c r="M124" s="107"/>
      <c r="N124" s="107">
        <v>34545</v>
      </c>
    </row>
    <row r="125" spans="1:14">
      <c r="A125" s="64" t="s">
        <v>316</v>
      </c>
      <c r="B125" s="107">
        <v>1485</v>
      </c>
      <c r="C125" s="107">
        <v>2085</v>
      </c>
      <c r="D125" s="107">
        <v>2355</v>
      </c>
      <c r="E125" s="107">
        <v>1825</v>
      </c>
      <c r="F125" s="107">
        <v>1755</v>
      </c>
      <c r="G125" s="107">
        <v>1085</v>
      </c>
      <c r="H125" s="107">
        <v>-1050</v>
      </c>
      <c r="I125" s="107">
        <v>570</v>
      </c>
      <c r="J125" s="107">
        <v>1390</v>
      </c>
      <c r="K125" s="107">
        <v>2565</v>
      </c>
      <c r="L125" s="107">
        <v>-4560</v>
      </c>
      <c r="M125" s="107"/>
      <c r="N125" s="107">
        <v>9505</v>
      </c>
    </row>
    <row r="126" spans="1:14">
      <c r="A126" s="64" t="s">
        <v>80</v>
      </c>
      <c r="B126" s="22"/>
      <c r="C126" s="107">
        <v>220.09</v>
      </c>
      <c r="D126" s="22"/>
      <c r="E126" s="107">
        <v>317.85000000000002</v>
      </c>
      <c r="F126" s="107">
        <v>587.29999999999995</v>
      </c>
      <c r="G126" s="107">
        <v>838.01</v>
      </c>
      <c r="H126" s="107">
        <v>865.13</v>
      </c>
      <c r="I126" s="107">
        <v>990.21</v>
      </c>
      <c r="J126" s="22"/>
      <c r="K126" s="22"/>
      <c r="L126" s="107">
        <v>-2693.35</v>
      </c>
      <c r="M126" s="22"/>
      <c r="N126" s="107">
        <v>1125.24</v>
      </c>
    </row>
    <row r="127" spans="1:14">
      <c r="A127" s="64" t="s">
        <v>354</v>
      </c>
      <c r="B127" s="22"/>
      <c r="C127" s="22"/>
      <c r="D127" s="22"/>
      <c r="E127" s="22"/>
      <c r="F127" s="22"/>
      <c r="G127" s="22"/>
      <c r="H127" s="22"/>
      <c r="I127" s="22"/>
      <c r="J127" s="22"/>
      <c r="K127" s="22"/>
      <c r="L127" s="22"/>
      <c r="M127" s="22"/>
      <c r="N127" s="22"/>
    </row>
    <row r="128" spans="1:14">
      <c r="A128" s="64" t="s">
        <v>84</v>
      </c>
      <c r="B128" s="111">
        <v>-9042.2199999999993</v>
      </c>
      <c r="C128" s="111">
        <v>-8440.7800000000007</v>
      </c>
      <c r="D128" s="111">
        <v>-9615.52</v>
      </c>
      <c r="E128" s="111">
        <v>-8115.81</v>
      </c>
      <c r="F128" s="111">
        <v>-5567.1</v>
      </c>
      <c r="G128" s="111">
        <v>-5965.53</v>
      </c>
      <c r="H128" s="111">
        <v>45722.05</v>
      </c>
      <c r="I128" s="111">
        <v>-1099.8800000000001</v>
      </c>
      <c r="J128" s="111">
        <v>-1437.31</v>
      </c>
      <c r="K128" s="111">
        <v>-5968.98</v>
      </c>
      <c r="L128" s="111">
        <v>-31250.35</v>
      </c>
      <c r="M128" s="111"/>
      <c r="N128" s="111">
        <v>-40781.43</v>
      </c>
    </row>
    <row r="129" spans="1:14">
      <c r="A129" s="64" t="s">
        <v>85</v>
      </c>
      <c r="B129" s="107">
        <f t="shared" ref="B129:L129" si="49">SUM(B121:B128)</f>
        <v>6660</v>
      </c>
      <c r="C129" s="107">
        <f t="shared" si="49"/>
        <v>5324.48</v>
      </c>
      <c r="D129" s="107">
        <f t="shared" si="49"/>
        <v>5324.48</v>
      </c>
      <c r="E129" s="107">
        <f t="shared" si="49"/>
        <v>5229.4000000000005</v>
      </c>
      <c r="F129" s="107">
        <f t="shared" si="49"/>
        <v>6180.1999999999989</v>
      </c>
      <c r="G129" s="107">
        <f t="shared" si="49"/>
        <v>2947.4800000000005</v>
      </c>
      <c r="H129" s="107">
        <f t="shared" si="49"/>
        <v>37497.32</v>
      </c>
      <c r="I129" s="107">
        <f t="shared" si="49"/>
        <v>5990.04</v>
      </c>
      <c r="J129" s="107">
        <f t="shared" si="49"/>
        <v>4227.6900000000005</v>
      </c>
      <c r="K129" s="107">
        <f t="shared" si="49"/>
        <v>8956.02</v>
      </c>
      <c r="L129" s="107">
        <f t="shared" si="49"/>
        <v>-59618.549999999996</v>
      </c>
      <c r="M129" s="107"/>
      <c r="N129" s="107">
        <v>28718.560000000001</v>
      </c>
    </row>
    <row r="130" spans="1:14">
      <c r="A130" s="64"/>
      <c r="B130" s="22"/>
      <c r="C130" s="22"/>
      <c r="D130" s="22"/>
      <c r="E130" s="22"/>
      <c r="F130" s="22"/>
      <c r="G130" s="22"/>
      <c r="H130" s="22"/>
      <c r="I130" s="22"/>
      <c r="J130" s="22"/>
      <c r="K130" s="22"/>
      <c r="L130" s="22"/>
      <c r="M130" s="22"/>
      <c r="N130" s="22"/>
    </row>
    <row r="131" spans="1:14">
      <c r="A131" s="64" t="s">
        <v>20</v>
      </c>
      <c r="B131" s="22"/>
      <c r="C131" s="22"/>
      <c r="D131" s="22"/>
      <c r="E131" s="22"/>
      <c r="F131" s="22"/>
      <c r="G131" s="22"/>
      <c r="H131" s="22"/>
      <c r="I131" s="22"/>
      <c r="J131" s="22"/>
      <c r="K131" s="22"/>
      <c r="L131" s="22"/>
      <c r="M131" s="22"/>
      <c r="N131" s="22"/>
    </row>
    <row r="132" spans="1:14">
      <c r="A132" s="64" t="s">
        <v>317</v>
      </c>
      <c r="B132" s="107">
        <v>110.34</v>
      </c>
      <c r="C132" s="22"/>
      <c r="D132" s="22"/>
      <c r="E132" s="22"/>
      <c r="F132" s="22"/>
      <c r="G132" s="22"/>
      <c r="H132" s="22"/>
      <c r="I132" s="22"/>
      <c r="J132" s="22"/>
      <c r="K132" s="22"/>
      <c r="L132" s="22"/>
      <c r="M132" s="22"/>
      <c r="N132" s="107">
        <v>110.34</v>
      </c>
    </row>
    <row r="133" spans="1:14">
      <c r="A133" s="64" t="s">
        <v>320</v>
      </c>
      <c r="B133" s="22"/>
      <c r="C133" s="22"/>
      <c r="D133" s="22"/>
      <c r="E133" s="22"/>
      <c r="F133" s="107">
        <v>75</v>
      </c>
      <c r="G133" s="107">
        <v>180.11</v>
      </c>
      <c r="H133" s="22"/>
      <c r="I133" s="22"/>
      <c r="J133" s="22"/>
      <c r="K133" s="22"/>
      <c r="L133" s="107">
        <v>-180.11</v>
      </c>
      <c r="M133" s="22"/>
      <c r="N133" s="107">
        <v>75</v>
      </c>
    </row>
    <row r="134" spans="1:14">
      <c r="A134" s="64" t="s">
        <v>87</v>
      </c>
      <c r="B134" s="111">
        <v>-110.34</v>
      </c>
      <c r="C134" s="113"/>
      <c r="D134" s="113"/>
      <c r="E134" s="113"/>
      <c r="F134" s="111">
        <v>-75</v>
      </c>
      <c r="G134" s="111">
        <v>-180.11</v>
      </c>
      <c r="H134" s="113"/>
      <c r="I134" s="113"/>
      <c r="J134" s="113"/>
      <c r="K134" s="113"/>
      <c r="L134" s="111">
        <v>180.11</v>
      </c>
      <c r="M134" s="113"/>
      <c r="N134" s="111">
        <v>-185.34</v>
      </c>
    </row>
    <row r="135" spans="1:14">
      <c r="A135" s="64"/>
      <c r="B135" s="22"/>
      <c r="C135" s="22"/>
      <c r="D135" s="22"/>
      <c r="E135" s="22"/>
      <c r="F135" s="22"/>
      <c r="G135" s="22"/>
      <c r="H135" s="22"/>
      <c r="I135" s="22"/>
      <c r="J135" s="22"/>
      <c r="K135" s="22"/>
      <c r="L135" s="22"/>
      <c r="M135" s="22"/>
      <c r="N135" s="22"/>
    </row>
    <row r="136" spans="1:14">
      <c r="A136" s="64" t="s">
        <v>88</v>
      </c>
      <c r="B136" s="22"/>
      <c r="C136" s="22"/>
      <c r="D136" s="22"/>
      <c r="E136" s="22"/>
      <c r="F136" s="22"/>
      <c r="G136" s="22"/>
      <c r="H136" s="22"/>
      <c r="I136" s="22"/>
      <c r="J136" s="22"/>
      <c r="K136" s="22"/>
      <c r="L136" s="22"/>
      <c r="M136" s="22"/>
      <c r="N136" s="22"/>
    </row>
    <row r="137" spans="1:14">
      <c r="A137" s="64" t="s">
        <v>89</v>
      </c>
      <c r="B137" s="107">
        <v>9889.65</v>
      </c>
      <c r="C137" s="107">
        <v>7034.26</v>
      </c>
      <c r="D137" s="107">
        <v>3892.32</v>
      </c>
      <c r="E137" s="107">
        <v>5308.75</v>
      </c>
      <c r="F137" s="107">
        <v>2876.28</v>
      </c>
      <c r="G137" s="107">
        <v>5000.95</v>
      </c>
      <c r="H137" s="107">
        <v>12562.99</v>
      </c>
      <c r="I137" s="107">
        <v>14143.13</v>
      </c>
      <c r="J137" s="107">
        <v>8485.76</v>
      </c>
      <c r="K137" s="107">
        <v>2347.02</v>
      </c>
      <c r="L137" s="107">
        <v>-42539.85</v>
      </c>
      <c r="M137" s="107"/>
      <c r="N137" s="107">
        <v>29001.26</v>
      </c>
    </row>
    <row r="138" spans="1:14">
      <c r="A138" s="64" t="s">
        <v>90</v>
      </c>
      <c r="B138" s="107">
        <v>12435</v>
      </c>
      <c r="C138" s="107">
        <v>7500</v>
      </c>
      <c r="D138" s="107">
        <v>9540</v>
      </c>
      <c r="E138" s="107">
        <v>10725</v>
      </c>
      <c r="F138" s="107">
        <v>9390</v>
      </c>
      <c r="G138" s="107">
        <v>11160</v>
      </c>
      <c r="H138" s="107">
        <v>10725</v>
      </c>
      <c r="I138" s="107">
        <v>12255</v>
      </c>
      <c r="J138" s="107">
        <v>8085</v>
      </c>
      <c r="K138" s="107">
        <v>3510</v>
      </c>
      <c r="L138" s="107">
        <v>-45735</v>
      </c>
      <c r="M138" s="107"/>
      <c r="N138" s="107">
        <v>49590</v>
      </c>
    </row>
    <row r="139" spans="1:14">
      <c r="A139" s="64" t="s">
        <v>91</v>
      </c>
      <c r="B139" s="107">
        <v>12585</v>
      </c>
      <c r="C139" s="107">
        <v>9045</v>
      </c>
      <c r="D139" s="107">
        <v>11565</v>
      </c>
      <c r="E139" s="107">
        <v>9975</v>
      </c>
      <c r="F139" s="107">
        <v>9075</v>
      </c>
      <c r="G139" s="107">
        <v>10365</v>
      </c>
      <c r="H139" s="107">
        <v>8565</v>
      </c>
      <c r="I139" s="107">
        <v>16575</v>
      </c>
      <c r="J139" s="107">
        <v>13815</v>
      </c>
      <c r="K139" s="107">
        <v>5190</v>
      </c>
      <c r="L139" s="107">
        <v>-54510</v>
      </c>
      <c r="M139" s="107"/>
      <c r="N139" s="107">
        <v>52245</v>
      </c>
    </row>
    <row r="140" spans="1:14">
      <c r="A140" s="64" t="s">
        <v>92</v>
      </c>
      <c r="B140" s="107">
        <v>2800</v>
      </c>
      <c r="C140" s="107">
        <v>930</v>
      </c>
      <c r="D140" s="107">
        <v>10860</v>
      </c>
      <c r="E140" s="107">
        <v>12240</v>
      </c>
      <c r="F140" s="107">
        <v>10375</v>
      </c>
      <c r="G140" s="107">
        <v>9780</v>
      </c>
      <c r="H140" s="107">
        <v>11785</v>
      </c>
      <c r="I140" s="107">
        <v>10155</v>
      </c>
      <c r="J140" s="107">
        <v>12610</v>
      </c>
      <c r="K140" s="107">
        <v>6715</v>
      </c>
      <c r="L140" s="107">
        <v>-51045</v>
      </c>
      <c r="M140" s="22"/>
      <c r="N140" s="107">
        <v>37205</v>
      </c>
    </row>
    <row r="141" spans="1:14">
      <c r="A141" s="64" t="s">
        <v>94</v>
      </c>
      <c r="B141" s="107">
        <v>2250</v>
      </c>
      <c r="C141" s="107">
        <v>2250</v>
      </c>
      <c r="D141" s="107">
        <v>900</v>
      </c>
      <c r="E141" s="107">
        <v>520</v>
      </c>
      <c r="F141" s="107">
        <v>1560</v>
      </c>
      <c r="G141" s="107">
        <v>1800</v>
      </c>
      <c r="H141" s="107">
        <v>3150</v>
      </c>
      <c r="I141" s="107">
        <v>450</v>
      </c>
      <c r="J141" s="107">
        <v>2250</v>
      </c>
      <c r="K141" s="107">
        <v>450</v>
      </c>
      <c r="L141" s="107">
        <v>-8100</v>
      </c>
      <c r="M141" s="22"/>
      <c r="N141" s="107">
        <v>7480</v>
      </c>
    </row>
    <row r="142" spans="1:14">
      <c r="A142" s="64" t="s">
        <v>95</v>
      </c>
      <c r="B142" s="22"/>
      <c r="C142" s="107">
        <v>2701.95</v>
      </c>
      <c r="D142" s="107">
        <v>1305.07</v>
      </c>
      <c r="E142" s="107">
        <v>978.04</v>
      </c>
      <c r="F142" s="107">
        <v>1061.25</v>
      </c>
      <c r="G142" s="107">
        <v>1122.18</v>
      </c>
      <c r="H142" s="107">
        <v>1102.8699999999999</v>
      </c>
      <c r="I142" s="107">
        <v>2455.2800000000002</v>
      </c>
      <c r="J142" s="107">
        <v>2111.66</v>
      </c>
      <c r="K142" s="107">
        <v>365.03</v>
      </c>
      <c r="L142" s="107">
        <v>-7157.02</v>
      </c>
      <c r="M142" s="107"/>
      <c r="N142" s="107">
        <v>6046.31</v>
      </c>
    </row>
    <row r="143" spans="1:14">
      <c r="A143" s="64" t="s">
        <v>98</v>
      </c>
      <c r="B143" s="111">
        <v>-39959.65</v>
      </c>
      <c r="C143" s="111">
        <v>-29461.21</v>
      </c>
      <c r="D143" s="111">
        <v>-38062.39</v>
      </c>
      <c r="E143" s="111">
        <v>-39746.79</v>
      </c>
      <c r="F143" s="111">
        <v>-34337.53</v>
      </c>
      <c r="G143" s="111">
        <v>-39228.129999999997</v>
      </c>
      <c r="H143" s="111">
        <v>-47890.86</v>
      </c>
      <c r="I143" s="111">
        <v>-56033.41</v>
      </c>
      <c r="J143" s="111">
        <v>-47357.42</v>
      </c>
      <c r="K143" s="111">
        <v>-18577.05</v>
      </c>
      <c r="L143" s="111">
        <v>209086.87</v>
      </c>
      <c r="M143" s="111"/>
      <c r="N143" s="111">
        <v>-181567.57</v>
      </c>
    </row>
    <row r="144" spans="1:14">
      <c r="A144" s="64"/>
      <c r="B144" s="22"/>
      <c r="C144" s="22"/>
      <c r="D144" s="22"/>
      <c r="E144" s="22"/>
      <c r="F144" s="22"/>
      <c r="G144" s="22"/>
      <c r="H144" s="22"/>
      <c r="I144" s="22"/>
      <c r="J144" s="22"/>
      <c r="K144" s="22"/>
      <c r="L144" s="22"/>
      <c r="M144" s="22"/>
      <c r="N144" s="22"/>
    </row>
    <row r="145" spans="1:14">
      <c r="A145" s="64" t="s">
        <v>99</v>
      </c>
      <c r="B145" s="22"/>
      <c r="C145" s="22"/>
      <c r="D145" s="22"/>
      <c r="E145" s="22"/>
      <c r="F145" s="22"/>
      <c r="G145" s="22"/>
      <c r="H145" s="22"/>
      <c r="I145" s="22"/>
      <c r="J145" s="22"/>
      <c r="K145" s="22"/>
      <c r="L145" s="22"/>
      <c r="M145" s="22"/>
      <c r="N145" s="22"/>
    </row>
    <row r="146" spans="1:14">
      <c r="A146" s="64" t="s">
        <v>100</v>
      </c>
      <c r="B146" s="107">
        <v>6705</v>
      </c>
      <c r="C146" s="107">
        <v>8955</v>
      </c>
      <c r="D146" s="107">
        <v>10620</v>
      </c>
      <c r="E146" s="107">
        <v>10845</v>
      </c>
      <c r="F146" s="107">
        <v>12345</v>
      </c>
      <c r="G146" s="107">
        <v>10140</v>
      </c>
      <c r="H146" s="107">
        <v>1725</v>
      </c>
      <c r="I146" s="107">
        <v>6210</v>
      </c>
      <c r="J146" s="107">
        <v>7665</v>
      </c>
      <c r="K146" s="107">
        <v>17775</v>
      </c>
      <c r="L146" s="107">
        <v>-43515</v>
      </c>
      <c r="M146" s="107"/>
      <c r="N146" s="107">
        <v>49470</v>
      </c>
    </row>
    <row r="147" spans="1:14">
      <c r="A147" s="64" t="s">
        <v>101</v>
      </c>
      <c r="B147" s="107">
        <v>9465</v>
      </c>
      <c r="C147" s="107">
        <v>9900</v>
      </c>
      <c r="D147" s="107">
        <v>8715</v>
      </c>
      <c r="E147" s="107">
        <v>10230</v>
      </c>
      <c r="F147" s="107">
        <v>10485</v>
      </c>
      <c r="G147" s="107">
        <v>5535</v>
      </c>
      <c r="H147" s="107">
        <v>2520</v>
      </c>
      <c r="I147" s="107">
        <v>9840</v>
      </c>
      <c r="J147" s="107">
        <v>5235</v>
      </c>
      <c r="K147" s="107">
        <v>20055</v>
      </c>
      <c r="L147" s="107">
        <v>-43185</v>
      </c>
      <c r="M147" s="107"/>
      <c r="N147" s="107">
        <v>48795</v>
      </c>
    </row>
    <row r="148" spans="1:14">
      <c r="A148" s="64" t="s">
        <v>102</v>
      </c>
      <c r="B148" s="107">
        <v>3110</v>
      </c>
      <c r="C148" s="107">
        <v>4190</v>
      </c>
      <c r="D148" s="107">
        <v>6795</v>
      </c>
      <c r="E148" s="107">
        <v>4340</v>
      </c>
      <c r="F148" s="107">
        <v>6235</v>
      </c>
      <c r="G148" s="107">
        <v>7790</v>
      </c>
      <c r="H148" s="107">
        <v>-1860</v>
      </c>
      <c r="I148" s="107">
        <v>3340</v>
      </c>
      <c r="J148" s="107">
        <v>3910</v>
      </c>
      <c r="K148" s="107">
        <v>6005</v>
      </c>
      <c r="L148" s="107">
        <v>-19185</v>
      </c>
      <c r="M148" s="107"/>
      <c r="N148" s="107">
        <v>24670</v>
      </c>
    </row>
    <row r="149" spans="1:14">
      <c r="A149" s="64" t="s">
        <v>103</v>
      </c>
      <c r="B149" s="111">
        <v>-9348.27</v>
      </c>
      <c r="C149" s="111">
        <v>-10178.11</v>
      </c>
      <c r="D149" s="111">
        <v>-11007.68</v>
      </c>
      <c r="E149" s="111">
        <v>-12098.93</v>
      </c>
      <c r="F149" s="111">
        <v>-13144.38</v>
      </c>
      <c r="G149" s="111">
        <v>-10894.28</v>
      </c>
      <c r="H149" s="111">
        <v>-3085.08</v>
      </c>
      <c r="I149" s="111">
        <v>-10598.99</v>
      </c>
      <c r="J149" s="111">
        <v>-7989.67</v>
      </c>
      <c r="K149" s="111">
        <v>-20360.12</v>
      </c>
      <c r="L149" s="111">
        <v>52928.14</v>
      </c>
      <c r="M149" s="111"/>
      <c r="N149" s="111">
        <v>-55777.37</v>
      </c>
    </row>
    <row r="150" spans="1:14">
      <c r="A150" s="64" t="s">
        <v>104</v>
      </c>
      <c r="B150" s="107">
        <f t="shared" ref="B150:L150" si="50">SUM(B145:B149)</f>
        <v>9931.73</v>
      </c>
      <c r="C150" s="107">
        <f t="shared" si="50"/>
        <v>12866.89</v>
      </c>
      <c r="D150" s="107">
        <f t="shared" si="50"/>
        <v>15122.32</v>
      </c>
      <c r="E150" s="107">
        <f t="shared" si="50"/>
        <v>13316.07</v>
      </c>
      <c r="F150" s="107">
        <f t="shared" si="50"/>
        <v>15920.62</v>
      </c>
      <c r="G150" s="107">
        <f t="shared" si="50"/>
        <v>12570.72</v>
      </c>
      <c r="H150" s="107">
        <f t="shared" si="50"/>
        <v>-700.07999999999993</v>
      </c>
      <c r="I150" s="107">
        <f t="shared" si="50"/>
        <v>8791.01</v>
      </c>
      <c r="J150" s="107">
        <f t="shared" si="50"/>
        <v>8820.33</v>
      </c>
      <c r="K150" s="107">
        <f t="shared" si="50"/>
        <v>23474.880000000001</v>
      </c>
      <c r="L150" s="107">
        <f t="shared" si="50"/>
        <v>-52956.86</v>
      </c>
      <c r="M150" s="107"/>
      <c r="N150" s="107">
        <v>67157.63</v>
      </c>
    </row>
    <row r="151" spans="1:14">
      <c r="A151" s="64"/>
      <c r="B151" s="22"/>
      <c r="C151" s="22"/>
      <c r="D151" s="22"/>
      <c r="E151" s="22"/>
      <c r="F151" s="22"/>
      <c r="G151" s="22"/>
      <c r="H151" s="22"/>
      <c r="I151" s="22"/>
      <c r="J151" s="22"/>
      <c r="K151" s="22"/>
      <c r="L151" s="22"/>
      <c r="M151" s="22"/>
      <c r="N151" s="22"/>
    </row>
    <row r="152" spans="1:14">
      <c r="A152" s="64" t="s">
        <v>105</v>
      </c>
      <c r="B152" s="113"/>
      <c r="C152" s="113"/>
      <c r="D152" s="113"/>
      <c r="E152" s="113"/>
      <c r="F152" s="113"/>
      <c r="G152" s="113"/>
      <c r="H152" s="113"/>
      <c r="I152" s="113"/>
      <c r="J152" s="113"/>
      <c r="K152" s="113"/>
      <c r="L152" s="113"/>
      <c r="M152" s="113"/>
      <c r="N152" s="113"/>
    </row>
    <row r="153" spans="1:14">
      <c r="A153" s="64"/>
      <c r="B153" s="22"/>
      <c r="C153" s="22"/>
      <c r="D153" s="22"/>
      <c r="E153" s="22"/>
      <c r="F153" s="22"/>
      <c r="G153" s="22"/>
      <c r="H153" s="22"/>
      <c r="I153" s="22"/>
      <c r="J153" s="22"/>
      <c r="K153" s="22"/>
      <c r="L153" s="22"/>
      <c r="M153" s="22"/>
      <c r="N153" s="22"/>
    </row>
    <row r="154" spans="1:14">
      <c r="A154" s="64" t="s">
        <v>106</v>
      </c>
      <c r="B154" s="22"/>
      <c r="C154" s="22"/>
      <c r="D154" s="22"/>
      <c r="E154" s="22"/>
      <c r="F154" s="22"/>
      <c r="G154" s="22"/>
      <c r="H154" s="22"/>
      <c r="I154" s="22"/>
      <c r="J154" s="22"/>
      <c r="K154" s="22"/>
      <c r="L154" s="22"/>
      <c r="M154" s="22"/>
      <c r="N154" s="22"/>
    </row>
    <row r="155" spans="1:14">
      <c r="A155" s="64" t="s">
        <v>107</v>
      </c>
      <c r="B155" s="107">
        <v>22089.95</v>
      </c>
      <c r="C155" s="107">
        <v>21020.28</v>
      </c>
      <c r="D155" s="107">
        <v>13522.35</v>
      </c>
      <c r="E155" s="107">
        <v>5742.88</v>
      </c>
      <c r="F155" s="107">
        <v>13677.35</v>
      </c>
      <c r="G155" s="107">
        <v>8344.6200000000008</v>
      </c>
      <c r="H155" s="107">
        <v>19884.490000000002</v>
      </c>
      <c r="I155" s="107">
        <v>15225.86</v>
      </c>
      <c r="J155" s="107">
        <v>10979.25</v>
      </c>
      <c r="K155" s="107">
        <v>11777.83</v>
      </c>
      <c r="L155" s="107">
        <v>-66212.05</v>
      </c>
      <c r="M155" s="107"/>
      <c r="N155" s="107">
        <v>76052.81</v>
      </c>
    </row>
    <row r="156" spans="1:14">
      <c r="A156" s="64" t="s">
        <v>108</v>
      </c>
      <c r="B156" s="107">
        <v>30990</v>
      </c>
      <c r="C156" s="107">
        <v>29775</v>
      </c>
      <c r="D156" s="107">
        <v>23250</v>
      </c>
      <c r="E156" s="107">
        <v>21435</v>
      </c>
      <c r="F156" s="107">
        <v>21345</v>
      </c>
      <c r="G156" s="107">
        <v>19455</v>
      </c>
      <c r="H156" s="107">
        <v>33120</v>
      </c>
      <c r="I156" s="107">
        <v>21795</v>
      </c>
      <c r="J156" s="107">
        <v>31140</v>
      </c>
      <c r="K156" s="107">
        <v>9480</v>
      </c>
      <c r="L156" s="107">
        <v>-114990</v>
      </c>
      <c r="M156" s="107"/>
      <c r="N156" s="107">
        <v>126795</v>
      </c>
    </row>
    <row r="157" spans="1:14">
      <c r="A157" s="64" t="s">
        <v>109</v>
      </c>
      <c r="B157" s="107">
        <v>25965</v>
      </c>
      <c r="C157" s="107">
        <v>27600</v>
      </c>
      <c r="D157" s="107">
        <v>25020</v>
      </c>
      <c r="E157" s="107">
        <v>19890</v>
      </c>
      <c r="F157" s="107">
        <v>22395</v>
      </c>
      <c r="G157" s="107">
        <v>20415</v>
      </c>
      <c r="H157" s="107">
        <v>33465</v>
      </c>
      <c r="I157" s="107">
        <v>22200</v>
      </c>
      <c r="J157" s="107">
        <v>35295</v>
      </c>
      <c r="K157" s="107">
        <v>19695</v>
      </c>
      <c r="L157" s="107">
        <v>-131070</v>
      </c>
      <c r="M157" s="107"/>
      <c r="N157" s="107">
        <v>120870</v>
      </c>
    </row>
    <row r="158" spans="1:14">
      <c r="A158" s="64" t="s">
        <v>110</v>
      </c>
      <c r="B158" s="107">
        <v>6345</v>
      </c>
      <c r="C158" s="107">
        <v>2685</v>
      </c>
      <c r="D158" s="107">
        <v>15445</v>
      </c>
      <c r="E158" s="107">
        <v>12435</v>
      </c>
      <c r="F158" s="107">
        <v>11775</v>
      </c>
      <c r="G158" s="107">
        <v>5155</v>
      </c>
      <c r="H158" s="107">
        <v>19765</v>
      </c>
      <c r="I158" s="107">
        <v>16040</v>
      </c>
      <c r="J158" s="107">
        <v>14190</v>
      </c>
      <c r="K158" s="107">
        <v>5615</v>
      </c>
      <c r="L158" s="107">
        <v>-60765</v>
      </c>
      <c r="M158" s="107"/>
      <c r="N158" s="107">
        <v>48685</v>
      </c>
    </row>
    <row r="159" spans="1:14">
      <c r="A159" s="64" t="s">
        <v>111</v>
      </c>
      <c r="B159" s="22"/>
      <c r="C159" s="107">
        <v>1350</v>
      </c>
      <c r="D159" s="107">
        <v>4500</v>
      </c>
      <c r="E159" s="107">
        <v>1560</v>
      </c>
      <c r="F159" s="107">
        <v>520</v>
      </c>
      <c r="G159" s="107">
        <v>900</v>
      </c>
      <c r="H159" s="107">
        <v>1350</v>
      </c>
      <c r="I159" s="107">
        <v>900</v>
      </c>
      <c r="J159" s="107">
        <v>900</v>
      </c>
      <c r="K159" s="107">
        <v>1350</v>
      </c>
      <c r="L159" s="107">
        <v>-5400</v>
      </c>
      <c r="M159" s="107"/>
      <c r="N159" s="107">
        <v>7930</v>
      </c>
    </row>
    <row r="160" spans="1:14">
      <c r="A160" s="64" t="s">
        <v>112</v>
      </c>
      <c r="B160" s="22"/>
      <c r="C160" s="107">
        <v>2446.83</v>
      </c>
      <c r="D160" s="107">
        <v>958.7</v>
      </c>
      <c r="E160" s="107">
        <v>1280.3699999999999</v>
      </c>
      <c r="F160" s="107">
        <v>1162.18</v>
      </c>
      <c r="G160" s="107">
        <v>2153.6</v>
      </c>
      <c r="H160" s="107">
        <v>1720.02</v>
      </c>
      <c r="I160" s="107">
        <v>1972.4</v>
      </c>
      <c r="J160" s="107">
        <v>1642.26</v>
      </c>
      <c r="K160" s="107">
        <v>1842.51</v>
      </c>
      <c r="L160" s="107">
        <v>-9330.7900000000009</v>
      </c>
      <c r="M160" s="107"/>
      <c r="N160" s="107">
        <v>5848.08</v>
      </c>
    </row>
    <row r="161" spans="1:14">
      <c r="A161" s="64" t="s">
        <v>359</v>
      </c>
      <c r="B161" s="22"/>
      <c r="C161" s="22"/>
      <c r="D161" s="22"/>
      <c r="E161" s="22"/>
      <c r="F161" s="22"/>
      <c r="G161" s="107">
        <v>35</v>
      </c>
      <c r="H161" s="22"/>
      <c r="I161" s="22"/>
      <c r="J161" s="22"/>
      <c r="K161" s="22"/>
      <c r="L161" s="107">
        <v>-35</v>
      </c>
      <c r="M161" s="22"/>
      <c r="N161" s="107"/>
    </row>
    <row r="162" spans="1:14">
      <c r="A162" s="64" t="s">
        <v>115</v>
      </c>
      <c r="B162" s="111">
        <v>-91409.24</v>
      </c>
      <c r="C162" s="111">
        <v>-74129.289999999994</v>
      </c>
      <c r="D162" s="111">
        <v>-78826.22</v>
      </c>
      <c r="E162" s="111">
        <v>-55800.44</v>
      </c>
      <c r="F162" s="111">
        <v>-62884.13</v>
      </c>
      <c r="G162" s="111">
        <v>-40222.410000000003</v>
      </c>
      <c r="H162" s="111">
        <v>-74992.149999999994</v>
      </c>
      <c r="I162" s="111">
        <v>-75563.899999999994</v>
      </c>
      <c r="J162" s="111">
        <v>-75870.740000000005</v>
      </c>
      <c r="K162" s="111">
        <v>-54001.22</v>
      </c>
      <c r="L162" s="111">
        <v>320650.42</v>
      </c>
      <c r="M162" s="111"/>
      <c r="N162" s="111">
        <v>-363049.32</v>
      </c>
    </row>
    <row r="163" spans="1:14">
      <c r="A163" s="64" t="s">
        <v>116</v>
      </c>
      <c r="B163" s="107">
        <f t="shared" ref="B163:L163" si="51">SUM(B154:B162)</f>
        <v>-6019.2900000000081</v>
      </c>
      <c r="C163" s="107">
        <f t="shared" si="51"/>
        <v>10747.820000000007</v>
      </c>
      <c r="D163" s="107">
        <f t="shared" si="51"/>
        <v>3869.8300000000017</v>
      </c>
      <c r="E163" s="107">
        <f t="shared" si="51"/>
        <v>6542.8100000000049</v>
      </c>
      <c r="F163" s="107">
        <f t="shared" si="51"/>
        <v>7990.4000000000015</v>
      </c>
      <c r="G163" s="107">
        <f t="shared" si="51"/>
        <v>16235.809999999998</v>
      </c>
      <c r="H163" s="107">
        <f t="shared" si="51"/>
        <v>34312.360000000015</v>
      </c>
      <c r="I163" s="107">
        <f t="shared" si="51"/>
        <v>2569.3600000000006</v>
      </c>
      <c r="J163" s="107">
        <f t="shared" si="51"/>
        <v>18275.76999999999</v>
      </c>
      <c r="K163" s="107">
        <f t="shared" si="51"/>
        <v>-4240.8799999999974</v>
      </c>
      <c r="L163" s="107">
        <f t="shared" si="51"/>
        <v>-67152.419999999984</v>
      </c>
      <c r="M163" s="107"/>
      <c r="N163" s="107">
        <v>23131.57</v>
      </c>
    </row>
    <row r="164" spans="1:14">
      <c r="A164" s="64"/>
      <c r="B164" s="22"/>
      <c r="C164" s="22"/>
      <c r="D164" s="22"/>
      <c r="E164" s="22"/>
      <c r="F164" s="22"/>
      <c r="G164" s="22"/>
      <c r="H164" s="22"/>
      <c r="I164" s="22"/>
      <c r="J164" s="22"/>
      <c r="K164" s="22"/>
      <c r="L164" s="22"/>
      <c r="M164" s="22"/>
      <c r="N164" s="22"/>
    </row>
    <row r="165" spans="1:14">
      <c r="A165" s="64" t="s">
        <v>117</v>
      </c>
      <c r="B165" s="22"/>
      <c r="C165" s="22"/>
      <c r="D165" s="22"/>
      <c r="E165" s="22"/>
      <c r="F165" s="22"/>
      <c r="G165" s="22"/>
      <c r="H165" s="22"/>
      <c r="I165" s="22"/>
      <c r="J165" s="22"/>
      <c r="K165" s="22"/>
      <c r="L165" s="22"/>
      <c r="M165" s="22"/>
      <c r="N165" s="22"/>
    </row>
    <row r="166" spans="1:14">
      <c r="A166" s="64" t="s">
        <v>282</v>
      </c>
      <c r="B166" s="22"/>
      <c r="C166" s="22"/>
      <c r="D166" s="22"/>
      <c r="E166" s="22"/>
      <c r="F166" s="22"/>
      <c r="G166" s="22"/>
      <c r="H166" s="22"/>
      <c r="I166" s="22"/>
      <c r="J166" s="22"/>
      <c r="K166" s="22"/>
      <c r="L166" s="22"/>
      <c r="M166" s="22"/>
      <c r="N166" s="22"/>
    </row>
    <row r="167" spans="1:14">
      <c r="A167" s="64" t="s">
        <v>118</v>
      </c>
      <c r="B167" s="22"/>
      <c r="C167" s="22"/>
      <c r="D167" s="22"/>
      <c r="E167" s="22"/>
      <c r="F167" s="22"/>
      <c r="G167" s="22"/>
      <c r="H167" s="22"/>
      <c r="I167" s="107">
        <v>140.29</v>
      </c>
      <c r="J167" s="22"/>
      <c r="K167" s="22"/>
      <c r="L167" s="107">
        <v>-140.29</v>
      </c>
      <c r="M167" s="22"/>
      <c r="N167" s="107"/>
    </row>
    <row r="168" spans="1:14">
      <c r="A168" s="64" t="s">
        <v>119</v>
      </c>
      <c r="B168" s="22"/>
      <c r="C168" s="22"/>
      <c r="D168" s="22"/>
      <c r="E168" s="22"/>
      <c r="F168" s="22"/>
      <c r="G168" s="22"/>
      <c r="H168" s="22"/>
      <c r="I168" s="22"/>
      <c r="J168" s="22"/>
      <c r="K168" s="107">
        <v>90</v>
      </c>
      <c r="L168" s="107">
        <v>-90</v>
      </c>
      <c r="M168" s="107"/>
      <c r="N168" s="107"/>
    </row>
    <row r="169" spans="1:14">
      <c r="A169" s="64" t="s">
        <v>120</v>
      </c>
      <c r="B169" s="22"/>
      <c r="C169" s="22"/>
      <c r="D169" s="22"/>
      <c r="E169" s="22"/>
      <c r="F169" s="22"/>
      <c r="G169" s="22"/>
      <c r="H169" s="22"/>
      <c r="I169" s="22"/>
      <c r="J169" s="22"/>
      <c r="K169" s="107">
        <v>180</v>
      </c>
      <c r="L169" s="107">
        <v>-180</v>
      </c>
      <c r="M169" s="107"/>
      <c r="N169" s="107"/>
    </row>
    <row r="170" spans="1:14">
      <c r="A170" s="64" t="s">
        <v>122</v>
      </c>
      <c r="B170" s="22"/>
      <c r="C170" s="107">
        <v>74.44</v>
      </c>
      <c r="D170" s="22"/>
      <c r="E170" s="22"/>
      <c r="F170" s="22"/>
      <c r="G170" s="22"/>
      <c r="H170" s="22"/>
      <c r="I170" s="22"/>
      <c r="J170" s="22"/>
      <c r="K170" s="107">
        <v>111.03</v>
      </c>
      <c r="L170" s="107">
        <v>-111.03</v>
      </c>
      <c r="M170" s="22"/>
      <c r="N170" s="107">
        <v>74.44</v>
      </c>
    </row>
    <row r="171" spans="1:14">
      <c r="A171" s="64" t="s">
        <v>361</v>
      </c>
      <c r="B171" s="113"/>
      <c r="C171" s="113"/>
      <c r="D171" s="113"/>
      <c r="E171" s="113"/>
      <c r="F171" s="113"/>
      <c r="G171" s="111">
        <v>-35</v>
      </c>
      <c r="H171" s="113"/>
      <c r="I171" s="113"/>
      <c r="J171" s="113"/>
      <c r="K171" s="113"/>
      <c r="L171" s="111">
        <v>35</v>
      </c>
      <c r="M171" s="113"/>
      <c r="N171" s="111"/>
    </row>
    <row r="172" spans="1:14">
      <c r="A172" s="64" t="s">
        <v>127</v>
      </c>
      <c r="B172" s="107"/>
      <c r="C172" s="107">
        <f>SUM(C165:C171)</f>
        <v>74.44</v>
      </c>
      <c r="D172" s="107"/>
      <c r="E172" s="107"/>
      <c r="F172" s="107"/>
      <c r="G172" s="107">
        <f>SUM(G165:G171)</f>
        <v>-35</v>
      </c>
      <c r="H172" s="107"/>
      <c r="I172" s="107">
        <f>SUM(I165:I171)</f>
        <v>140.29</v>
      </c>
      <c r="J172" s="107"/>
      <c r="K172" s="107">
        <f>SUM(K165:K171)</f>
        <v>381.03</v>
      </c>
      <c r="L172" s="107">
        <f>SUM(L165:L171)</f>
        <v>-486.31999999999994</v>
      </c>
      <c r="M172" s="107"/>
      <c r="N172" s="107">
        <v>74.44</v>
      </c>
    </row>
    <row r="173" spans="1:14">
      <c r="A173" s="64"/>
      <c r="B173" s="22"/>
      <c r="C173" s="22"/>
      <c r="D173" s="22"/>
      <c r="E173" s="22"/>
      <c r="F173" s="22"/>
      <c r="G173" s="22"/>
      <c r="H173" s="22"/>
      <c r="I173" s="22"/>
      <c r="J173" s="22"/>
      <c r="K173" s="22"/>
      <c r="L173" s="22"/>
      <c r="M173" s="22"/>
      <c r="N173" s="22"/>
    </row>
    <row r="174" spans="1:14">
      <c r="A174" s="64" t="s">
        <v>47</v>
      </c>
      <c r="B174" s="107">
        <f t="shared" ref="B174:L174" si="52">SUM(B119:B173)-B129-0-0-B150-0-B163-B172</f>
        <v>10572.439999999999</v>
      </c>
      <c r="C174" s="107">
        <f t="shared" si="52"/>
        <v>29013.630000000008</v>
      </c>
      <c r="D174" s="107">
        <f t="shared" si="52"/>
        <v>24316.629999999997</v>
      </c>
      <c r="E174" s="107">
        <f t="shared" si="52"/>
        <v>25088.28</v>
      </c>
      <c r="F174" s="107">
        <f t="shared" si="52"/>
        <v>30091.22</v>
      </c>
      <c r="G174" s="107">
        <f t="shared" si="52"/>
        <v>31719.010000000017</v>
      </c>
      <c r="H174" s="107">
        <f t="shared" si="52"/>
        <v>71109.599999999991</v>
      </c>
      <c r="I174" s="107">
        <f t="shared" si="52"/>
        <v>17490.69999999999</v>
      </c>
      <c r="J174" s="107">
        <f t="shared" si="52"/>
        <v>31323.789999999994</v>
      </c>
      <c r="K174" s="107">
        <f t="shared" si="52"/>
        <v>28571.05</v>
      </c>
      <c r="L174" s="107">
        <f t="shared" si="52"/>
        <v>-180214.14999999997</v>
      </c>
      <c r="M174" s="107"/>
      <c r="N174" s="107">
        <v>119082.2</v>
      </c>
    </row>
    <row r="175" spans="1:14">
      <c r="A175" s="64"/>
      <c r="B175" s="22"/>
      <c r="C175" s="22"/>
      <c r="D175" s="22"/>
      <c r="E175" s="22"/>
      <c r="F175" s="22"/>
      <c r="G175" s="22"/>
      <c r="H175" s="22"/>
      <c r="I175" s="22"/>
      <c r="J175" s="22"/>
      <c r="K175" s="22"/>
      <c r="L175" s="22"/>
      <c r="M175" s="22"/>
      <c r="N175" s="22"/>
    </row>
    <row r="176" spans="1:14">
      <c r="A176" s="64" t="s">
        <v>48</v>
      </c>
      <c r="B176" s="22"/>
      <c r="C176" s="22"/>
      <c r="D176" s="22"/>
      <c r="E176" s="22"/>
      <c r="F176" s="22"/>
      <c r="G176" s="22"/>
      <c r="H176" s="22"/>
      <c r="I176" s="22"/>
      <c r="J176" s="22"/>
      <c r="K176" s="22"/>
      <c r="L176" s="22"/>
      <c r="M176" s="22"/>
      <c r="N176" s="22"/>
    </row>
    <row r="177" spans="1:14">
      <c r="A177" s="64" t="s">
        <v>326</v>
      </c>
      <c r="B177" s="107">
        <v>68.5</v>
      </c>
      <c r="C177" s="22"/>
      <c r="D177" s="22"/>
      <c r="E177" s="22"/>
      <c r="F177" s="22"/>
      <c r="G177" s="22"/>
      <c r="H177" s="22"/>
      <c r="I177" s="22"/>
      <c r="J177" s="22"/>
      <c r="K177" s="22"/>
      <c r="L177" s="22"/>
      <c r="M177" s="22"/>
      <c r="N177" s="107">
        <v>68.5</v>
      </c>
    </row>
    <row r="178" spans="1:14">
      <c r="A178" s="64" t="s">
        <v>132</v>
      </c>
      <c r="B178" s="107">
        <v>2641.61</v>
      </c>
      <c r="C178" s="22"/>
      <c r="D178" s="107">
        <v>206.86</v>
      </c>
      <c r="E178" s="107">
        <v>-1698.56</v>
      </c>
      <c r="F178" s="107">
        <v>-3367.02</v>
      </c>
      <c r="G178" s="107">
        <v>-5.25</v>
      </c>
      <c r="H178" s="107"/>
      <c r="I178" s="22"/>
      <c r="J178" s="107">
        <v>300</v>
      </c>
      <c r="K178" s="22"/>
      <c r="L178" s="107">
        <v>-294.75</v>
      </c>
      <c r="M178" s="107"/>
      <c r="N178" s="107">
        <v>-2217.11</v>
      </c>
    </row>
    <row r="179" spans="1:14">
      <c r="A179" s="64" t="s">
        <v>133</v>
      </c>
      <c r="B179" s="107">
        <v>35806</v>
      </c>
      <c r="C179" s="107">
        <v>47338</v>
      </c>
      <c r="D179" s="107">
        <v>55917</v>
      </c>
      <c r="E179" s="107">
        <v>46273</v>
      </c>
      <c r="F179" s="107">
        <v>142622</v>
      </c>
      <c r="G179" s="107">
        <v>31928</v>
      </c>
      <c r="H179" s="107">
        <v>31029</v>
      </c>
      <c r="I179" s="107">
        <v>30911</v>
      </c>
      <c r="J179" s="107">
        <v>31478</v>
      </c>
      <c r="K179" s="107">
        <v>35309</v>
      </c>
      <c r="L179" s="107">
        <v>-160655</v>
      </c>
      <c r="M179" s="107"/>
      <c r="N179" s="107">
        <v>327956</v>
      </c>
    </row>
    <row r="180" spans="1:14">
      <c r="A180" s="64" t="s">
        <v>360</v>
      </c>
      <c r="B180" s="107">
        <v>17000</v>
      </c>
      <c r="C180" s="107">
        <v>16700</v>
      </c>
      <c r="D180" s="107">
        <v>14300</v>
      </c>
      <c r="E180" s="22"/>
      <c r="F180" s="22"/>
      <c r="G180" s="107">
        <v>23185.52</v>
      </c>
      <c r="H180" s="107">
        <v>42000</v>
      </c>
      <c r="I180" s="107">
        <v>121000</v>
      </c>
      <c r="J180" s="107"/>
      <c r="K180" s="22"/>
      <c r="L180" s="107">
        <v>-186185.52</v>
      </c>
      <c r="M180" s="107"/>
      <c r="N180" s="107">
        <v>48000</v>
      </c>
    </row>
    <row r="181" spans="1:14">
      <c r="A181" s="64" t="s">
        <v>134</v>
      </c>
      <c r="B181" s="22"/>
      <c r="C181" s="107">
        <v>6.95</v>
      </c>
      <c r="D181" s="107">
        <v>0.41</v>
      </c>
      <c r="E181" s="107">
        <v>5.0199999999999996</v>
      </c>
      <c r="F181" s="107">
        <v>8.9499999999999993</v>
      </c>
      <c r="G181" s="22"/>
      <c r="H181" s="22"/>
      <c r="I181" s="107">
        <v>6.07</v>
      </c>
      <c r="J181" s="107">
        <v>181.44</v>
      </c>
      <c r="K181" s="22"/>
      <c r="L181" s="107">
        <v>-187.51</v>
      </c>
      <c r="M181" s="107"/>
      <c r="N181" s="107">
        <v>21.33</v>
      </c>
    </row>
    <row r="182" spans="1:14">
      <c r="A182" s="64" t="s">
        <v>396</v>
      </c>
      <c r="B182" s="22"/>
      <c r="C182" s="22"/>
      <c r="D182" s="22"/>
      <c r="E182" s="22"/>
      <c r="F182" s="107">
        <v>308781</v>
      </c>
      <c r="G182" s="22"/>
      <c r="H182" s="22"/>
      <c r="I182" s="22"/>
      <c r="J182" s="22"/>
      <c r="K182" s="22"/>
      <c r="L182" s="22"/>
      <c r="M182" s="22"/>
      <c r="N182" s="107">
        <v>308781</v>
      </c>
    </row>
    <row r="183" spans="1:14">
      <c r="A183" s="64" t="s">
        <v>397</v>
      </c>
      <c r="B183" s="113"/>
      <c r="C183" s="113"/>
      <c r="D183" s="113"/>
      <c r="E183" s="113"/>
      <c r="F183" s="111">
        <v>-1705836</v>
      </c>
      <c r="G183" s="113"/>
      <c r="H183" s="113"/>
      <c r="I183" s="113"/>
      <c r="J183" s="113"/>
      <c r="K183" s="113"/>
      <c r="L183" s="113"/>
      <c r="M183" s="113"/>
      <c r="N183" s="111">
        <v>-1705836</v>
      </c>
    </row>
    <row r="184" spans="1:14">
      <c r="A184" s="64" t="s">
        <v>135</v>
      </c>
      <c r="B184" s="107">
        <f t="shared" ref="B184:L184" si="53">SUM(B175:B183)</f>
        <v>55516.11</v>
      </c>
      <c r="C184" s="107">
        <f t="shared" si="53"/>
        <v>64044.95</v>
      </c>
      <c r="D184" s="107">
        <f t="shared" si="53"/>
        <v>70424.27</v>
      </c>
      <c r="E184" s="107">
        <f t="shared" si="53"/>
        <v>44579.46</v>
      </c>
      <c r="F184" s="107">
        <f t="shared" si="53"/>
        <v>-1257791.0699999998</v>
      </c>
      <c r="G184" s="107">
        <f t="shared" si="53"/>
        <v>55108.270000000004</v>
      </c>
      <c r="H184" s="107">
        <f t="shared" si="53"/>
        <v>73029</v>
      </c>
      <c r="I184" s="107">
        <f t="shared" si="53"/>
        <v>151917.07</v>
      </c>
      <c r="J184" s="107">
        <f t="shared" si="53"/>
        <v>31959.439999999999</v>
      </c>
      <c r="K184" s="107">
        <f t="shared" si="53"/>
        <v>35309</v>
      </c>
      <c r="L184" s="107">
        <f t="shared" si="53"/>
        <v>-347322.78</v>
      </c>
      <c r="M184" s="107"/>
      <c r="N184" s="107">
        <v>-1023226.28</v>
      </c>
    </row>
    <row r="185" spans="1:14">
      <c r="A185" s="64"/>
      <c r="B185" s="22"/>
      <c r="C185" s="22"/>
      <c r="D185" s="22"/>
      <c r="E185" s="22"/>
      <c r="F185" s="22"/>
      <c r="G185" s="22"/>
      <c r="H185" s="22"/>
      <c r="I185" s="22"/>
      <c r="J185" s="22"/>
      <c r="K185" s="22"/>
      <c r="L185" s="22"/>
      <c r="M185" s="22"/>
      <c r="N185" s="22"/>
    </row>
    <row r="186" spans="1:14" ht="15.75" thickBot="1">
      <c r="A186" s="64" t="s">
        <v>13</v>
      </c>
      <c r="B186" s="112">
        <f t="shared" ref="B186:L186" si="54">SUM(B67:B185)-B69-B73-B77-B80-B84-B88-B90-B96-B100-B104-B107-B111-B115-B117-B129-0-0-B150-0-B163-B172-B174-B184</f>
        <v>623254.81000000052</v>
      </c>
      <c r="C186" s="112">
        <f t="shared" si="54"/>
        <v>672929.33</v>
      </c>
      <c r="D186" s="112">
        <f t="shared" si="54"/>
        <v>668033.47000000114</v>
      </c>
      <c r="E186" s="112">
        <f t="shared" si="54"/>
        <v>501812.66000000009</v>
      </c>
      <c r="F186" s="112">
        <f t="shared" si="54"/>
        <v>-796783.60999999987</v>
      </c>
      <c r="G186" s="112">
        <f t="shared" si="54"/>
        <v>554259.03000000049</v>
      </c>
      <c r="H186" s="112">
        <f t="shared" si="54"/>
        <v>644973.85999999964</v>
      </c>
      <c r="I186" s="112">
        <f t="shared" si="54"/>
        <v>723591.80000000051</v>
      </c>
      <c r="J186" s="112">
        <f t="shared" si="54"/>
        <v>601918.25999999989</v>
      </c>
      <c r="K186" s="112">
        <f t="shared" si="54"/>
        <v>555324.11000000057</v>
      </c>
      <c r="L186" s="112">
        <f t="shared" si="54"/>
        <v>-3080067.0599999987</v>
      </c>
      <c r="M186" s="112"/>
      <c r="N186" s="112">
        <v>1669246.66</v>
      </c>
    </row>
    <row r="187" spans="1:14" ht="15.75" thickTop="1">
      <c r="A187" s="64"/>
      <c r="B187" s="22"/>
      <c r="C187" s="22"/>
      <c r="D187" s="22"/>
      <c r="E187" s="22"/>
      <c r="F187" s="22"/>
      <c r="G187" s="22"/>
      <c r="H187" s="22"/>
      <c r="I187" s="22"/>
      <c r="J187" s="22"/>
      <c r="K187" s="22"/>
      <c r="L187" s="22"/>
      <c r="M187" s="22"/>
      <c r="N187" s="22"/>
    </row>
    <row r="188" spans="1:14">
      <c r="A188" s="64"/>
      <c r="B188" s="22"/>
      <c r="C188" s="22"/>
      <c r="D188" s="22"/>
      <c r="E188" s="22"/>
      <c r="F188" s="22"/>
      <c r="G188" s="22"/>
      <c r="H188" s="22"/>
      <c r="I188" s="22"/>
      <c r="J188" s="22"/>
      <c r="K188" s="22"/>
      <c r="L188" s="22"/>
      <c r="M188" s="22"/>
      <c r="N188" s="22"/>
    </row>
    <row r="189" spans="1:14">
      <c r="A189" s="64" t="s">
        <v>14</v>
      </c>
      <c r="B189" s="22"/>
      <c r="C189" s="22"/>
      <c r="D189" s="22"/>
      <c r="E189" s="22"/>
      <c r="F189" s="22"/>
      <c r="G189" s="22"/>
      <c r="H189" s="22"/>
      <c r="I189" s="22"/>
      <c r="J189" s="22"/>
      <c r="K189" s="22"/>
      <c r="L189" s="22"/>
      <c r="M189" s="22"/>
      <c r="N189" s="22"/>
    </row>
    <row r="190" spans="1:14">
      <c r="A190" s="64"/>
      <c r="B190" s="22"/>
      <c r="C190" s="22"/>
      <c r="D190" s="22"/>
      <c r="E190" s="22"/>
      <c r="F190" s="22"/>
      <c r="G190" s="22"/>
      <c r="H190" s="22"/>
      <c r="I190" s="22"/>
      <c r="J190" s="22"/>
      <c r="K190" s="22"/>
      <c r="L190" s="22"/>
      <c r="M190" s="22"/>
      <c r="N190" s="22"/>
    </row>
    <row r="191" spans="1:14">
      <c r="A191" s="64" t="s">
        <v>136</v>
      </c>
      <c r="B191" s="22"/>
      <c r="C191" s="22"/>
      <c r="D191" s="22"/>
      <c r="E191" s="22"/>
      <c r="F191" s="22"/>
      <c r="G191" s="22"/>
      <c r="H191" s="22"/>
      <c r="I191" s="22"/>
      <c r="J191" s="22"/>
      <c r="K191" s="22"/>
      <c r="L191" s="22"/>
      <c r="M191" s="22"/>
      <c r="N191" s="22"/>
    </row>
    <row r="192" spans="1:14">
      <c r="A192" s="64" t="s">
        <v>137</v>
      </c>
      <c r="B192" s="107">
        <v>8675.2900000000009</v>
      </c>
      <c r="C192" s="107">
        <v>9588.4699999999993</v>
      </c>
      <c r="D192" s="107">
        <v>9759.35</v>
      </c>
      <c r="E192" s="107">
        <v>9484.6299999999992</v>
      </c>
      <c r="F192" s="107">
        <v>8496.17</v>
      </c>
      <c r="G192" s="107">
        <v>4112.6499999999996</v>
      </c>
      <c r="H192" s="107">
        <v>2445.0500000000002</v>
      </c>
      <c r="I192" s="107">
        <v>15178.57</v>
      </c>
      <c r="J192" s="107">
        <v>13571.43</v>
      </c>
      <c r="K192" s="107">
        <v>13357.14</v>
      </c>
      <c r="L192" s="107">
        <v>-48664.84</v>
      </c>
      <c r="M192" s="107"/>
      <c r="N192" s="107">
        <v>46003.91</v>
      </c>
    </row>
    <row r="193" spans="1:14">
      <c r="A193" s="64" t="s">
        <v>138</v>
      </c>
      <c r="B193" s="107">
        <v>36730.629999999997</v>
      </c>
      <c r="C193" s="107">
        <v>31050.48</v>
      </c>
      <c r="D193" s="107">
        <v>24284.7</v>
      </c>
      <c r="E193" s="107">
        <v>12903.21</v>
      </c>
      <c r="F193" s="107">
        <v>22626.2</v>
      </c>
      <c r="G193" s="107">
        <v>27698.77</v>
      </c>
      <c r="H193" s="107">
        <v>17664.25</v>
      </c>
      <c r="I193" s="107">
        <v>11670.22</v>
      </c>
      <c r="J193" s="107">
        <v>12496.07</v>
      </c>
      <c r="K193" s="107">
        <v>6816.36</v>
      </c>
      <c r="L193" s="107">
        <v>-76345.67</v>
      </c>
      <c r="M193" s="107"/>
      <c r="N193" s="107">
        <v>127595.22</v>
      </c>
    </row>
    <row r="194" spans="1:14">
      <c r="A194" s="64" t="s">
        <v>139</v>
      </c>
      <c r="B194" s="107">
        <v>83887.06</v>
      </c>
      <c r="C194" s="107">
        <v>88260.12</v>
      </c>
      <c r="D194" s="107">
        <v>109664.24</v>
      </c>
      <c r="E194" s="107">
        <v>65315.360000000001</v>
      </c>
      <c r="F194" s="107">
        <v>74884.649999999994</v>
      </c>
      <c r="G194" s="107">
        <v>52979.74</v>
      </c>
      <c r="H194" s="107">
        <v>56419.4</v>
      </c>
      <c r="I194" s="107">
        <v>61882.99</v>
      </c>
      <c r="J194" s="107">
        <v>60481.14</v>
      </c>
      <c r="K194" s="107">
        <v>53905.72</v>
      </c>
      <c r="L194" s="107">
        <v>-285668.99</v>
      </c>
      <c r="M194" s="107"/>
      <c r="N194" s="107">
        <v>422011.43</v>
      </c>
    </row>
    <row r="195" spans="1:14">
      <c r="A195" s="64" t="s">
        <v>140</v>
      </c>
      <c r="B195" s="107">
        <v>6328.54</v>
      </c>
      <c r="C195" s="107">
        <v>5904.63</v>
      </c>
      <c r="D195" s="107">
        <v>6653.73</v>
      </c>
      <c r="E195" s="107">
        <v>6893.35</v>
      </c>
      <c r="F195" s="107">
        <v>6423.83</v>
      </c>
      <c r="G195" s="107">
        <v>5430.59</v>
      </c>
      <c r="H195" s="107">
        <v>6687.11</v>
      </c>
      <c r="I195" s="107">
        <v>9981.5400000000009</v>
      </c>
      <c r="J195" s="107">
        <v>8764.73</v>
      </c>
      <c r="K195" s="107">
        <v>8512.49</v>
      </c>
      <c r="L195" s="107">
        <v>-39376.46</v>
      </c>
      <c r="M195" s="107"/>
      <c r="N195" s="107">
        <v>32204.080000000002</v>
      </c>
    </row>
    <row r="196" spans="1:14">
      <c r="A196" s="64" t="s">
        <v>141</v>
      </c>
      <c r="B196" s="107">
        <v>23387.13</v>
      </c>
      <c r="C196" s="107">
        <v>20568.48</v>
      </c>
      <c r="D196" s="107">
        <v>14146.13</v>
      </c>
      <c r="E196" s="107">
        <v>17633</v>
      </c>
      <c r="F196" s="107">
        <v>19564.240000000002</v>
      </c>
      <c r="G196" s="107">
        <v>21424.86</v>
      </c>
      <c r="H196" s="107">
        <v>18743.23</v>
      </c>
      <c r="I196" s="107">
        <v>23921.61</v>
      </c>
      <c r="J196" s="107">
        <v>17714.37</v>
      </c>
      <c r="K196" s="107">
        <v>17062.57</v>
      </c>
      <c r="L196" s="107">
        <v>-98866.64</v>
      </c>
      <c r="M196" s="107"/>
      <c r="N196" s="107">
        <v>95298.98</v>
      </c>
    </row>
    <row r="197" spans="1:14">
      <c r="A197" s="64" t="s">
        <v>142</v>
      </c>
      <c r="B197" s="107">
        <v>2470.9</v>
      </c>
      <c r="C197" s="107">
        <v>1528.52</v>
      </c>
      <c r="D197" s="107">
        <v>-214.54</v>
      </c>
      <c r="E197" s="22"/>
      <c r="F197" s="107">
        <v>113.47</v>
      </c>
      <c r="G197" s="22"/>
      <c r="H197" s="22"/>
      <c r="I197" s="22"/>
      <c r="J197" s="22"/>
      <c r="K197" s="22"/>
      <c r="L197" s="22"/>
      <c r="M197" s="22"/>
      <c r="N197" s="107">
        <v>3898.35</v>
      </c>
    </row>
    <row r="198" spans="1:14">
      <c r="A198" s="64" t="s">
        <v>143</v>
      </c>
      <c r="B198" s="107">
        <v>38866.129999999997</v>
      </c>
      <c r="C198" s="107">
        <v>43578.9</v>
      </c>
      <c r="D198" s="107">
        <v>48215.66</v>
      </c>
      <c r="E198" s="107">
        <v>42932.15</v>
      </c>
      <c r="F198" s="107">
        <v>39258.65</v>
      </c>
      <c r="G198" s="107">
        <v>51657.53</v>
      </c>
      <c r="H198" s="107">
        <v>47617.59</v>
      </c>
      <c r="I198" s="107">
        <v>54037.54</v>
      </c>
      <c r="J198" s="107">
        <v>37541.67</v>
      </c>
      <c r="K198" s="107">
        <v>25832.29</v>
      </c>
      <c r="L198" s="107">
        <v>-216686.62</v>
      </c>
      <c r="M198" s="107"/>
      <c r="N198" s="107">
        <v>212851.49</v>
      </c>
    </row>
    <row r="199" spans="1:14">
      <c r="A199" s="64" t="s">
        <v>144</v>
      </c>
      <c r="B199" s="107">
        <v>2736.54</v>
      </c>
      <c r="C199" s="107">
        <v>3602.78</v>
      </c>
      <c r="D199" s="107">
        <v>3657</v>
      </c>
      <c r="E199" s="107">
        <v>4088.57</v>
      </c>
      <c r="F199" s="107">
        <v>3714.43</v>
      </c>
      <c r="G199" s="107">
        <v>2811</v>
      </c>
      <c r="H199" s="107">
        <v>2349.7199999999998</v>
      </c>
      <c r="I199" s="107">
        <v>5386.46</v>
      </c>
      <c r="J199" s="107">
        <v>4625</v>
      </c>
      <c r="K199" s="107">
        <v>-1240.75</v>
      </c>
      <c r="L199" s="107">
        <v>-13931.43</v>
      </c>
      <c r="M199" s="107"/>
      <c r="N199" s="107">
        <v>17799.32</v>
      </c>
    </row>
    <row r="200" spans="1:14">
      <c r="A200" s="64" t="s">
        <v>145</v>
      </c>
      <c r="B200" s="107">
        <v>3786.67</v>
      </c>
      <c r="C200" s="107">
        <v>3469.72</v>
      </c>
      <c r="D200" s="107">
        <v>3773.52</v>
      </c>
      <c r="E200" s="107">
        <v>4106.92</v>
      </c>
      <c r="F200" s="107">
        <v>3185.65</v>
      </c>
      <c r="G200" s="107">
        <v>3390.78</v>
      </c>
      <c r="H200" s="107">
        <v>2950.37</v>
      </c>
      <c r="I200" s="107">
        <v>3994.61</v>
      </c>
      <c r="J200" s="107">
        <v>2700.33</v>
      </c>
      <c r="K200" s="107">
        <v>2428.14</v>
      </c>
      <c r="L200" s="107">
        <v>-15464.23</v>
      </c>
      <c r="M200" s="107"/>
      <c r="N200" s="107">
        <v>18322.48</v>
      </c>
    </row>
    <row r="201" spans="1:14">
      <c r="A201" s="64" t="s">
        <v>147</v>
      </c>
      <c r="B201" s="107">
        <v>3110.16</v>
      </c>
      <c r="C201" s="107">
        <v>2910.47</v>
      </c>
      <c r="D201" s="107">
        <v>2943.44</v>
      </c>
      <c r="E201" s="107">
        <v>3009.69</v>
      </c>
      <c r="F201" s="107">
        <v>2957.51</v>
      </c>
      <c r="G201" s="107">
        <v>2889.99</v>
      </c>
      <c r="H201" s="107">
        <v>2828.14</v>
      </c>
      <c r="I201" s="107">
        <v>2948.92</v>
      </c>
      <c r="J201" s="107">
        <v>2814.68</v>
      </c>
      <c r="K201" s="107">
        <v>3080.98</v>
      </c>
      <c r="L201" s="107">
        <v>-14562.71</v>
      </c>
      <c r="M201" s="107"/>
      <c r="N201" s="107">
        <v>14931.27</v>
      </c>
    </row>
    <row r="202" spans="1:14">
      <c r="A202" s="64" t="s">
        <v>148</v>
      </c>
      <c r="B202" s="107">
        <v>6549.33</v>
      </c>
      <c r="C202" s="107">
        <v>4333.5200000000004</v>
      </c>
      <c r="D202" s="107">
        <v>5555.3</v>
      </c>
      <c r="E202" s="107">
        <v>4135.18</v>
      </c>
      <c r="F202" s="107">
        <v>5326.39</v>
      </c>
      <c r="G202" s="107">
        <v>4796.04</v>
      </c>
      <c r="H202" s="107">
        <v>5249.25</v>
      </c>
      <c r="I202" s="107">
        <v>5359.47</v>
      </c>
      <c r="J202" s="107">
        <v>5333.57</v>
      </c>
      <c r="K202" s="107">
        <v>5669.99</v>
      </c>
      <c r="L202" s="107">
        <v>-26408.32</v>
      </c>
      <c r="M202" s="107"/>
      <c r="N202" s="107">
        <v>25899.72</v>
      </c>
    </row>
    <row r="203" spans="1:14">
      <c r="A203" s="64" t="s">
        <v>153</v>
      </c>
      <c r="B203" s="107">
        <v>5926.89</v>
      </c>
      <c r="C203" s="107">
        <v>4986.3900000000003</v>
      </c>
      <c r="D203" s="107">
        <v>6191.95</v>
      </c>
      <c r="E203" s="107">
        <v>6146.43</v>
      </c>
      <c r="F203" s="107">
        <v>4927.7299999999996</v>
      </c>
      <c r="G203" s="107">
        <v>5079.1899999999996</v>
      </c>
      <c r="H203" s="107">
        <v>4974.2700000000004</v>
      </c>
      <c r="I203" s="107">
        <v>6300.86</v>
      </c>
      <c r="J203" s="107">
        <v>4348.83</v>
      </c>
      <c r="K203" s="107">
        <v>5774.12</v>
      </c>
      <c r="L203" s="107">
        <v>-26477.27</v>
      </c>
      <c r="M203" s="107"/>
      <c r="N203" s="107">
        <v>28179.39</v>
      </c>
    </row>
    <row r="204" spans="1:14">
      <c r="A204" s="64" t="s">
        <v>154</v>
      </c>
      <c r="B204" s="107">
        <v>9964.2900000000009</v>
      </c>
      <c r="C204" s="107">
        <v>9642.85</v>
      </c>
      <c r="D204" s="107">
        <v>9964.2900000000009</v>
      </c>
      <c r="E204" s="107">
        <v>9642.86</v>
      </c>
      <c r="F204" s="107">
        <v>9514.2800000000007</v>
      </c>
      <c r="G204" s="107">
        <v>9514.2900000000009</v>
      </c>
      <c r="H204" s="107">
        <v>11755.5</v>
      </c>
      <c r="I204" s="107">
        <v>10645.63</v>
      </c>
      <c r="J204" s="107">
        <v>10302.209999999999</v>
      </c>
      <c r="K204" s="107">
        <v>10164.85</v>
      </c>
      <c r="L204" s="107">
        <v>-52382.48</v>
      </c>
      <c r="M204" s="107"/>
      <c r="N204" s="107">
        <v>48728.57</v>
      </c>
    </row>
    <row r="205" spans="1:14">
      <c r="A205" s="64" t="s">
        <v>155</v>
      </c>
      <c r="B205" s="111">
        <v>16887.060000000001</v>
      </c>
      <c r="C205" s="111">
        <v>16048.68</v>
      </c>
      <c r="D205" s="111">
        <v>19864.12</v>
      </c>
      <c r="E205" s="111">
        <v>19450.060000000001</v>
      </c>
      <c r="F205" s="111">
        <v>18623.560000000001</v>
      </c>
      <c r="G205" s="111">
        <v>19271.93</v>
      </c>
      <c r="H205" s="111">
        <v>18240.580000000002</v>
      </c>
      <c r="I205" s="111">
        <v>20720.62</v>
      </c>
      <c r="J205" s="111">
        <v>17304.009999999998</v>
      </c>
      <c r="K205" s="111">
        <v>19458.41</v>
      </c>
      <c r="L205" s="111">
        <v>-94995.55</v>
      </c>
      <c r="M205" s="111"/>
      <c r="N205" s="111">
        <v>90873.48</v>
      </c>
    </row>
    <row r="206" spans="1:14">
      <c r="A206" s="64" t="s">
        <v>156</v>
      </c>
      <c r="B206" s="107">
        <f t="shared" ref="B206:L206" si="55">SUM(B187:B205)</f>
        <v>249306.62000000002</v>
      </c>
      <c r="C206" s="107">
        <f t="shared" si="55"/>
        <v>245474.00999999998</v>
      </c>
      <c r="D206" s="107">
        <f t="shared" si="55"/>
        <v>264458.89</v>
      </c>
      <c r="E206" s="107">
        <f t="shared" si="55"/>
        <v>205741.41000000003</v>
      </c>
      <c r="F206" s="107">
        <f t="shared" si="55"/>
        <v>219616.76</v>
      </c>
      <c r="G206" s="107">
        <f t="shared" si="55"/>
        <v>211057.36000000002</v>
      </c>
      <c r="H206" s="107">
        <f t="shared" si="55"/>
        <v>197924.46000000002</v>
      </c>
      <c r="I206" s="107">
        <f t="shared" si="55"/>
        <v>232029.03999999998</v>
      </c>
      <c r="J206" s="107">
        <f t="shared" si="55"/>
        <v>197998.03999999995</v>
      </c>
      <c r="K206" s="107">
        <f t="shared" si="55"/>
        <v>170822.31</v>
      </c>
      <c r="L206" s="107">
        <f t="shared" si="55"/>
        <v>-1009831.21</v>
      </c>
      <c r="M206" s="107"/>
      <c r="N206" s="107">
        <v>1184597.69</v>
      </c>
    </row>
    <row r="207" spans="1:14">
      <c r="A207" s="64"/>
      <c r="B207" s="22"/>
      <c r="C207" s="22"/>
      <c r="D207" s="22"/>
      <c r="E207" s="22"/>
      <c r="F207" s="22"/>
      <c r="G207" s="22"/>
      <c r="H207" s="22"/>
      <c r="I207" s="22"/>
      <c r="J207" s="22"/>
      <c r="K207" s="22"/>
      <c r="L207" s="22"/>
      <c r="M207" s="22"/>
      <c r="N207" s="22"/>
    </row>
    <row r="208" spans="1:14">
      <c r="A208" s="64"/>
      <c r="B208" s="22"/>
      <c r="C208" s="22"/>
      <c r="D208" s="22"/>
      <c r="E208" s="22"/>
      <c r="F208" s="22"/>
      <c r="G208" s="22"/>
      <c r="H208" s="22"/>
      <c r="I208" s="22"/>
      <c r="J208" s="22"/>
      <c r="K208" s="22"/>
      <c r="L208" s="22"/>
      <c r="M208" s="22"/>
      <c r="N208" s="22"/>
    </row>
    <row r="209" spans="1:14">
      <c r="A209" s="64" t="s">
        <v>157</v>
      </c>
      <c r="B209" s="22"/>
      <c r="C209" s="22"/>
      <c r="D209" s="22"/>
      <c r="E209" s="22"/>
      <c r="F209" s="22"/>
      <c r="G209" s="22"/>
      <c r="H209" s="22"/>
      <c r="I209" s="22"/>
      <c r="J209" s="22"/>
      <c r="K209" s="22"/>
      <c r="L209" s="22"/>
      <c r="M209" s="22"/>
      <c r="N209" s="22"/>
    </row>
    <row r="210" spans="1:14">
      <c r="A210" s="64" t="s">
        <v>158</v>
      </c>
      <c r="B210" s="107">
        <v>11234.56</v>
      </c>
      <c r="C210" s="107">
        <v>6227.85</v>
      </c>
      <c r="D210" s="107">
        <v>458.33</v>
      </c>
      <c r="E210" s="107">
        <v>3747.5</v>
      </c>
      <c r="F210" s="107">
        <v>-21668.240000000002</v>
      </c>
      <c r="G210" s="107"/>
      <c r="H210" s="107"/>
      <c r="I210" s="107"/>
      <c r="J210" s="107"/>
      <c r="K210" s="107"/>
      <c r="L210" s="107"/>
      <c r="M210" s="107"/>
      <c r="N210" s="107"/>
    </row>
    <row r="211" spans="1:14">
      <c r="A211" s="64" t="s">
        <v>159</v>
      </c>
      <c r="B211" s="107">
        <v>1728.58</v>
      </c>
      <c r="C211" s="107">
        <v>506</v>
      </c>
      <c r="D211" s="22"/>
      <c r="E211" s="107">
        <v>317.92</v>
      </c>
      <c r="F211" s="107">
        <v>-3247.25</v>
      </c>
      <c r="G211" s="107"/>
      <c r="H211" s="107"/>
      <c r="I211" s="107"/>
      <c r="J211" s="107"/>
      <c r="K211" s="107"/>
      <c r="L211" s="107"/>
      <c r="M211" s="107"/>
      <c r="N211" s="107">
        <v>-694.75</v>
      </c>
    </row>
    <row r="212" spans="1:14">
      <c r="A212" s="64" t="s">
        <v>161</v>
      </c>
      <c r="B212" s="111">
        <v>607.72</v>
      </c>
      <c r="C212" s="111">
        <v>983.5</v>
      </c>
      <c r="D212" s="111">
        <v>525.47</v>
      </c>
      <c r="E212" s="111">
        <v>1295</v>
      </c>
      <c r="F212" s="111">
        <v>-6608.69</v>
      </c>
      <c r="G212" s="111"/>
      <c r="H212" s="111"/>
      <c r="I212" s="111"/>
      <c r="J212" s="111"/>
      <c r="K212" s="111"/>
      <c r="L212" s="111"/>
      <c r="M212" s="111"/>
      <c r="N212" s="111">
        <v>-3197</v>
      </c>
    </row>
    <row r="213" spans="1:14">
      <c r="A213" s="64" t="s">
        <v>162</v>
      </c>
      <c r="B213" s="107">
        <f>SUM(B207:B212)</f>
        <v>13570.859999999999</v>
      </c>
      <c r="C213" s="107">
        <f>SUM(C207:C212)</f>
        <v>7717.35</v>
      </c>
      <c r="D213" s="107">
        <f>SUM(D207:D212)</f>
        <v>983.8</v>
      </c>
      <c r="E213" s="107">
        <f>SUM(E207:E212)</f>
        <v>5360.42</v>
      </c>
      <c r="F213" s="107">
        <f>SUM(F207:F212)</f>
        <v>-31524.18</v>
      </c>
      <c r="G213" s="107"/>
      <c r="H213" s="107"/>
      <c r="I213" s="107"/>
      <c r="J213" s="107"/>
      <c r="K213" s="107"/>
      <c r="L213" s="107"/>
      <c r="M213" s="107"/>
      <c r="N213" s="107">
        <v>-3891.75</v>
      </c>
    </row>
    <row r="214" spans="1:14">
      <c r="A214" s="64"/>
      <c r="B214" s="22"/>
      <c r="C214" s="22"/>
      <c r="D214" s="22"/>
      <c r="E214" s="22"/>
      <c r="F214" s="22"/>
      <c r="G214" s="22"/>
      <c r="H214" s="22"/>
      <c r="I214" s="22"/>
      <c r="J214" s="22"/>
      <c r="K214" s="22"/>
      <c r="L214" s="22"/>
      <c r="M214" s="22"/>
      <c r="N214" s="22"/>
    </row>
    <row r="215" spans="1:14">
      <c r="A215" s="64" t="s">
        <v>163</v>
      </c>
      <c r="B215" s="22"/>
      <c r="C215" s="22"/>
      <c r="D215" s="22"/>
      <c r="E215" s="22"/>
      <c r="F215" s="22"/>
      <c r="G215" s="22"/>
      <c r="H215" s="22"/>
      <c r="I215" s="22"/>
      <c r="J215" s="22"/>
      <c r="K215" s="22"/>
      <c r="L215" s="22"/>
      <c r="M215" s="22"/>
      <c r="N215" s="22"/>
    </row>
    <row r="216" spans="1:14">
      <c r="A216" s="64" t="s">
        <v>164</v>
      </c>
      <c r="B216" s="107">
        <v>20912.169999999998</v>
      </c>
      <c r="C216" s="107">
        <v>20607.14</v>
      </c>
      <c r="D216" s="107">
        <v>22152.95</v>
      </c>
      <c r="E216" s="107">
        <v>17169.77</v>
      </c>
      <c r="F216" s="107">
        <v>19292.830000000002</v>
      </c>
      <c r="G216" s="107">
        <v>20720.02</v>
      </c>
      <c r="H216" s="107">
        <v>18898.669999999998</v>
      </c>
      <c r="I216" s="107">
        <v>19411.98</v>
      </c>
      <c r="J216" s="107">
        <v>17666.330000000002</v>
      </c>
      <c r="K216" s="107">
        <v>14102.13</v>
      </c>
      <c r="L216" s="107">
        <v>-90799.13</v>
      </c>
      <c r="M216" s="107"/>
      <c r="N216" s="107">
        <v>100134.86</v>
      </c>
    </row>
    <row r="217" spans="1:14">
      <c r="A217" s="64" t="s">
        <v>165</v>
      </c>
      <c r="B217" s="107">
        <v>531.02</v>
      </c>
      <c r="C217" s="107">
        <v>924.9</v>
      </c>
      <c r="D217" s="107">
        <v>-640.38</v>
      </c>
      <c r="E217" s="107">
        <v>312.79000000000002</v>
      </c>
      <c r="F217" s="107">
        <v>408.88</v>
      </c>
      <c r="G217" s="107">
        <v>6427.42</v>
      </c>
      <c r="H217" s="107">
        <v>1922.89</v>
      </c>
      <c r="I217" s="107">
        <v>-4079.89</v>
      </c>
      <c r="J217" s="107">
        <v>-1369.31</v>
      </c>
      <c r="K217" s="107">
        <v>304.20999999999998</v>
      </c>
      <c r="L217" s="107">
        <v>-3205.32</v>
      </c>
      <c r="M217" s="107"/>
      <c r="N217" s="107">
        <v>1537.21</v>
      </c>
    </row>
    <row r="218" spans="1:14">
      <c r="A218" s="64" t="s">
        <v>166</v>
      </c>
      <c r="B218" s="107">
        <v>293.72000000000003</v>
      </c>
      <c r="C218" s="107">
        <v>1689.83</v>
      </c>
      <c r="D218" s="107">
        <v>2418.92</v>
      </c>
      <c r="E218" s="107">
        <v>1639.03</v>
      </c>
      <c r="F218" s="107">
        <v>2151.8200000000002</v>
      </c>
      <c r="G218" s="107">
        <v>1187.99</v>
      </c>
      <c r="H218" s="107">
        <v>1390.58</v>
      </c>
      <c r="I218" s="107">
        <v>3212.1</v>
      </c>
      <c r="J218" s="107">
        <v>1320.16</v>
      </c>
      <c r="K218" s="107">
        <v>1393.98</v>
      </c>
      <c r="L218" s="107">
        <v>-8504.81</v>
      </c>
      <c r="M218" s="107"/>
      <c r="N218" s="107">
        <v>8193.32</v>
      </c>
    </row>
    <row r="219" spans="1:14">
      <c r="A219" s="64" t="s">
        <v>167</v>
      </c>
      <c r="B219" s="107">
        <v>12506.67</v>
      </c>
      <c r="C219" s="107">
        <v>983.16</v>
      </c>
      <c r="D219" s="107">
        <v>936.82</v>
      </c>
      <c r="E219" s="107">
        <v>432</v>
      </c>
      <c r="F219" s="107">
        <v>1939.11</v>
      </c>
      <c r="G219" s="107">
        <v>6280.17</v>
      </c>
      <c r="H219" s="107">
        <v>6733.02</v>
      </c>
      <c r="I219" s="107">
        <v>6401.25</v>
      </c>
      <c r="J219" s="107">
        <v>2704.38</v>
      </c>
      <c r="K219" s="107">
        <v>520.19000000000005</v>
      </c>
      <c r="L219" s="107">
        <v>-22639.01</v>
      </c>
      <c r="M219" s="107"/>
      <c r="N219" s="107">
        <v>16797.759999999998</v>
      </c>
    </row>
    <row r="220" spans="1:14">
      <c r="A220" s="64" t="s">
        <v>168</v>
      </c>
      <c r="B220" s="107">
        <v>-845.14</v>
      </c>
      <c r="C220" s="107">
        <v>6234.18</v>
      </c>
      <c r="D220" s="22"/>
      <c r="E220" s="107">
        <v>5867.97</v>
      </c>
      <c r="F220" s="107">
        <v>6396.67</v>
      </c>
      <c r="G220" s="107">
        <v>6396.65</v>
      </c>
      <c r="H220" s="22"/>
      <c r="I220" s="22"/>
      <c r="J220" s="22"/>
      <c r="K220" s="107">
        <v>8578.7199999999993</v>
      </c>
      <c r="L220" s="107">
        <v>-14975.37</v>
      </c>
      <c r="M220" s="107"/>
      <c r="N220" s="107">
        <v>17653.68</v>
      </c>
    </row>
    <row r="221" spans="1:14">
      <c r="A221" s="64" t="s">
        <v>169</v>
      </c>
      <c r="B221" s="107">
        <v>151.58000000000001</v>
      </c>
      <c r="C221" s="107">
        <v>2261.36</v>
      </c>
      <c r="D221" s="107">
        <v>1586.48</v>
      </c>
      <c r="E221" s="107">
        <v>2574.58</v>
      </c>
      <c r="F221" s="107">
        <v>1599.48</v>
      </c>
      <c r="G221" s="107">
        <v>6058.21</v>
      </c>
      <c r="H221" s="107">
        <v>5414.5</v>
      </c>
      <c r="I221" s="107">
        <v>772.05</v>
      </c>
      <c r="J221" s="107">
        <v>2130.88</v>
      </c>
      <c r="K221" s="107">
        <v>2097.11</v>
      </c>
      <c r="L221" s="107">
        <v>-16472.75</v>
      </c>
      <c r="M221" s="107"/>
      <c r="N221" s="107">
        <v>8173.48</v>
      </c>
    </row>
    <row r="222" spans="1:14">
      <c r="A222" s="64" t="s">
        <v>318</v>
      </c>
      <c r="B222" s="107">
        <v>1725</v>
      </c>
      <c r="C222" s="107">
        <v>9765</v>
      </c>
      <c r="D222" s="107">
        <v>9390</v>
      </c>
      <c r="E222" s="107">
        <v>18120</v>
      </c>
      <c r="F222" s="107">
        <v>26250</v>
      </c>
      <c r="G222" s="107">
        <v>39817.919999999998</v>
      </c>
      <c r="H222" s="107">
        <v>40440</v>
      </c>
      <c r="I222" s="107">
        <v>17920</v>
      </c>
      <c r="J222" s="107">
        <v>32453.99</v>
      </c>
      <c r="K222" s="107">
        <v>5385</v>
      </c>
      <c r="L222" s="107">
        <v>-136016.91</v>
      </c>
      <c r="M222" s="107"/>
      <c r="N222" s="107">
        <v>65250</v>
      </c>
    </row>
    <row r="223" spans="1:14">
      <c r="A223" s="64" t="s">
        <v>171</v>
      </c>
      <c r="B223" s="111">
        <v>1981.29</v>
      </c>
      <c r="C223" s="111">
        <v>1031.96</v>
      </c>
      <c r="D223" s="111">
        <v>114.7</v>
      </c>
      <c r="E223" s="111">
        <v>1062.92</v>
      </c>
      <c r="F223" s="111">
        <v>2916.25</v>
      </c>
      <c r="G223" s="111">
        <v>459.32</v>
      </c>
      <c r="H223" s="111">
        <v>146.16</v>
      </c>
      <c r="I223" s="111">
        <v>178.45</v>
      </c>
      <c r="J223" s="111">
        <v>972.19</v>
      </c>
      <c r="K223" s="111">
        <v>381.46</v>
      </c>
      <c r="L223" s="111">
        <v>-2137.58</v>
      </c>
      <c r="M223" s="111"/>
      <c r="N223" s="111">
        <v>7107.12</v>
      </c>
    </row>
    <row r="224" spans="1:14">
      <c r="A224" s="64" t="s">
        <v>16</v>
      </c>
      <c r="B224" s="107">
        <f t="shared" ref="B224:L224" si="56">SUM(B214:B223)</f>
        <v>37256.310000000005</v>
      </c>
      <c r="C224" s="107">
        <f t="shared" si="56"/>
        <v>43497.530000000006</v>
      </c>
      <c r="D224" s="107">
        <f t="shared" si="56"/>
        <v>35959.489999999991</v>
      </c>
      <c r="E224" s="107">
        <f t="shared" si="56"/>
        <v>47179.06</v>
      </c>
      <c r="F224" s="107">
        <f t="shared" si="56"/>
        <v>60955.040000000008</v>
      </c>
      <c r="G224" s="107">
        <f t="shared" si="56"/>
        <v>87347.700000000012</v>
      </c>
      <c r="H224" s="107">
        <f t="shared" si="56"/>
        <v>74945.820000000007</v>
      </c>
      <c r="I224" s="107">
        <f t="shared" si="56"/>
        <v>43815.939999999995</v>
      </c>
      <c r="J224" s="107">
        <f t="shared" si="56"/>
        <v>55878.62000000001</v>
      </c>
      <c r="K224" s="107">
        <f t="shared" si="56"/>
        <v>32762.799999999996</v>
      </c>
      <c r="L224" s="107">
        <f t="shared" si="56"/>
        <v>-294750.88000000006</v>
      </c>
      <c r="M224" s="107"/>
      <c r="N224" s="107">
        <v>224847.43</v>
      </c>
    </row>
    <row r="225" spans="1:14">
      <c r="A225" s="64"/>
      <c r="B225" s="22"/>
      <c r="C225" s="22"/>
      <c r="D225" s="22"/>
      <c r="E225" s="22"/>
      <c r="F225" s="22"/>
      <c r="G225" s="22"/>
      <c r="H225" s="22"/>
      <c r="I225" s="22"/>
      <c r="J225" s="22"/>
      <c r="K225" s="22"/>
      <c r="L225" s="22"/>
      <c r="M225" s="22"/>
      <c r="N225" s="22"/>
    </row>
    <row r="226" spans="1:14">
      <c r="A226" s="64" t="s">
        <v>17</v>
      </c>
      <c r="B226" s="22"/>
      <c r="C226" s="22"/>
      <c r="D226" s="22"/>
      <c r="E226" s="22"/>
      <c r="F226" s="22"/>
      <c r="G226" s="22"/>
      <c r="H226" s="22"/>
      <c r="I226" s="22"/>
      <c r="J226" s="22"/>
      <c r="K226" s="22"/>
      <c r="L226" s="22"/>
      <c r="M226" s="22"/>
      <c r="N226" s="22"/>
    </row>
    <row r="227" spans="1:14">
      <c r="A227" s="64" t="s">
        <v>172</v>
      </c>
      <c r="B227" s="107">
        <v>10041.719999999999</v>
      </c>
      <c r="C227" s="107">
        <v>29347.97</v>
      </c>
      <c r="D227" s="107">
        <v>10056.1</v>
      </c>
      <c r="E227" s="107">
        <v>9219.14</v>
      </c>
      <c r="F227" s="107">
        <v>14148.5</v>
      </c>
      <c r="G227" s="107">
        <v>8799.93</v>
      </c>
      <c r="H227" s="107">
        <v>24090.71</v>
      </c>
      <c r="I227" s="107">
        <v>21672.85</v>
      </c>
      <c r="J227" s="107">
        <v>18800</v>
      </c>
      <c r="K227" s="107">
        <v>13619.75</v>
      </c>
      <c r="L227" s="107">
        <v>-86983.24</v>
      </c>
      <c r="M227" s="107"/>
      <c r="N227" s="107">
        <v>72813.429999999993</v>
      </c>
    </row>
    <row r="228" spans="1:14">
      <c r="A228" s="64" t="s">
        <v>173</v>
      </c>
      <c r="B228" s="107">
        <v>17351.68</v>
      </c>
      <c r="C228" s="107">
        <v>15969.78</v>
      </c>
      <c r="D228" s="107">
        <v>14978.91</v>
      </c>
      <c r="E228" s="107">
        <v>14592.19</v>
      </c>
      <c r="F228" s="107">
        <v>15024.05</v>
      </c>
      <c r="G228" s="107">
        <v>13817.83</v>
      </c>
      <c r="H228" s="107">
        <v>13271.78</v>
      </c>
      <c r="I228" s="107">
        <v>15000</v>
      </c>
      <c r="J228" s="107">
        <v>14824.14</v>
      </c>
      <c r="K228" s="107">
        <v>14877.14</v>
      </c>
      <c r="L228" s="107">
        <v>-71790.89</v>
      </c>
      <c r="M228" s="107"/>
      <c r="N228" s="107">
        <v>77916.61</v>
      </c>
    </row>
    <row r="229" spans="1:14">
      <c r="A229" s="64" t="s">
        <v>174</v>
      </c>
      <c r="B229" s="107">
        <v>22911.17</v>
      </c>
      <c r="C229" s="107">
        <v>20139.259999999998</v>
      </c>
      <c r="D229" s="107">
        <v>20745.55</v>
      </c>
      <c r="E229" s="107">
        <v>18926.46</v>
      </c>
      <c r="F229" s="107">
        <v>18960.14</v>
      </c>
      <c r="G229" s="107">
        <v>16487.62</v>
      </c>
      <c r="H229" s="107">
        <v>16525.5</v>
      </c>
      <c r="I229" s="107">
        <v>22825.200000000001</v>
      </c>
      <c r="J229" s="107">
        <v>23425.25</v>
      </c>
      <c r="K229" s="107">
        <v>23133.93</v>
      </c>
      <c r="L229" s="107">
        <v>-102397.5</v>
      </c>
      <c r="M229" s="107"/>
      <c r="N229" s="107">
        <v>101682.58</v>
      </c>
    </row>
    <row r="230" spans="1:14">
      <c r="A230" s="64" t="s">
        <v>175</v>
      </c>
      <c r="B230" s="107">
        <v>1950.98</v>
      </c>
      <c r="C230" s="107">
        <v>5025.63</v>
      </c>
      <c r="D230" s="107">
        <v>10136.66</v>
      </c>
      <c r="E230" s="107">
        <v>9744.74</v>
      </c>
      <c r="F230" s="107">
        <v>9022.06</v>
      </c>
      <c r="G230" s="107">
        <v>8062.42</v>
      </c>
      <c r="H230" s="107">
        <v>7473.3</v>
      </c>
      <c r="I230" s="107">
        <v>7700.01</v>
      </c>
      <c r="J230" s="107">
        <v>7851.27</v>
      </c>
      <c r="K230" s="107">
        <v>7764.47</v>
      </c>
      <c r="L230" s="107">
        <v>-38851.47</v>
      </c>
      <c r="M230" s="107"/>
      <c r="N230" s="107">
        <v>35880.07</v>
      </c>
    </row>
    <row r="231" spans="1:14">
      <c r="A231" s="64" t="s">
        <v>176</v>
      </c>
      <c r="B231" s="107">
        <v>4970.99</v>
      </c>
      <c r="C231" s="107">
        <v>-197.56</v>
      </c>
      <c r="D231" s="107">
        <v>1361.93</v>
      </c>
      <c r="E231" s="107">
        <v>1248.58</v>
      </c>
      <c r="F231" s="107">
        <v>249.72</v>
      </c>
      <c r="G231" s="107">
        <v>1878.51</v>
      </c>
      <c r="H231" s="22"/>
      <c r="I231" s="22"/>
      <c r="J231" s="22"/>
      <c r="K231" s="22"/>
      <c r="L231" s="107">
        <v>-1878.51</v>
      </c>
      <c r="M231" s="22"/>
      <c r="N231" s="107">
        <v>7633.66</v>
      </c>
    </row>
    <row r="232" spans="1:14">
      <c r="A232" s="64" t="s">
        <v>177</v>
      </c>
      <c r="B232" s="107">
        <v>3818.34</v>
      </c>
      <c r="C232" s="107">
        <v>1229.6199999999999</v>
      </c>
      <c r="D232" s="107">
        <v>2868.95</v>
      </c>
      <c r="E232" s="107">
        <v>5156.37</v>
      </c>
      <c r="F232" s="107">
        <v>5327.01</v>
      </c>
      <c r="G232" s="107">
        <v>1890.21</v>
      </c>
      <c r="H232" s="107">
        <v>5585.21</v>
      </c>
      <c r="I232" s="107">
        <v>8845.2000000000007</v>
      </c>
      <c r="J232" s="107">
        <v>2244</v>
      </c>
      <c r="K232" s="107">
        <v>2054.0700000000002</v>
      </c>
      <c r="L232" s="107">
        <v>-20618.689999999999</v>
      </c>
      <c r="M232" s="107"/>
      <c r="N232" s="107">
        <v>18400.29</v>
      </c>
    </row>
    <row r="233" spans="1:14">
      <c r="A233" s="64" t="s">
        <v>178</v>
      </c>
      <c r="B233" s="107">
        <v>350</v>
      </c>
      <c r="C233" s="107">
        <v>560</v>
      </c>
      <c r="D233" s="107">
        <v>2216.98</v>
      </c>
      <c r="E233" s="107">
        <v>280</v>
      </c>
      <c r="F233" s="107">
        <v>430</v>
      </c>
      <c r="G233" s="107">
        <v>300</v>
      </c>
      <c r="H233" s="107">
        <v>930</v>
      </c>
      <c r="I233" s="107">
        <v>2206.21</v>
      </c>
      <c r="J233" s="107">
        <v>1756.82</v>
      </c>
      <c r="K233" s="107">
        <v>2882.2</v>
      </c>
      <c r="L233" s="107">
        <v>-8075.23</v>
      </c>
      <c r="M233" s="107"/>
      <c r="N233" s="107">
        <v>3836.98</v>
      </c>
    </row>
    <row r="234" spans="1:14">
      <c r="A234" s="64" t="s">
        <v>179</v>
      </c>
      <c r="B234" s="107">
        <v>3814.76</v>
      </c>
      <c r="C234" s="107">
        <v>4998.3900000000003</v>
      </c>
      <c r="D234" s="107">
        <v>6100.89</v>
      </c>
      <c r="E234" s="107">
        <v>10058.42</v>
      </c>
      <c r="F234" s="107">
        <v>5974.54</v>
      </c>
      <c r="G234" s="107">
        <v>3455.11</v>
      </c>
      <c r="H234" s="107">
        <v>2615.75</v>
      </c>
      <c r="I234" s="107">
        <v>4832.33</v>
      </c>
      <c r="J234" s="107">
        <v>3721.66</v>
      </c>
      <c r="K234" s="107">
        <v>6086.82</v>
      </c>
      <c r="L234" s="107">
        <v>-20711.669999999998</v>
      </c>
      <c r="M234" s="107"/>
      <c r="N234" s="107">
        <v>30947</v>
      </c>
    </row>
    <row r="235" spans="1:14">
      <c r="A235" s="64" t="s">
        <v>180</v>
      </c>
      <c r="B235" s="107">
        <v>1353.98</v>
      </c>
      <c r="C235" s="107">
        <v>5382.94</v>
      </c>
      <c r="D235" s="107">
        <v>1880.71</v>
      </c>
      <c r="E235" s="107">
        <v>1226.51</v>
      </c>
      <c r="F235" s="107">
        <v>1271.29</v>
      </c>
      <c r="G235" s="107">
        <v>1691.72</v>
      </c>
      <c r="H235" s="107">
        <v>994.92</v>
      </c>
      <c r="I235" s="107">
        <v>1264.46</v>
      </c>
      <c r="J235" s="107">
        <v>2376.59</v>
      </c>
      <c r="K235" s="107">
        <v>1475.28</v>
      </c>
      <c r="L235" s="107">
        <v>-7802.97</v>
      </c>
      <c r="M235" s="107"/>
      <c r="N235" s="107">
        <v>11115.43</v>
      </c>
    </row>
    <row r="236" spans="1:14">
      <c r="A236" s="64" t="s">
        <v>181</v>
      </c>
      <c r="B236" s="107">
        <v>1237.28</v>
      </c>
      <c r="C236" s="107">
        <v>3764.9</v>
      </c>
      <c r="D236" s="107">
        <v>1122.3900000000001</v>
      </c>
      <c r="E236" s="107">
        <v>2027.07</v>
      </c>
      <c r="F236" s="107">
        <v>1873.33</v>
      </c>
      <c r="G236" s="107">
        <v>2419.98</v>
      </c>
      <c r="H236" s="107">
        <v>2405.54</v>
      </c>
      <c r="I236" s="107">
        <v>2078.2199999999998</v>
      </c>
      <c r="J236" s="107">
        <v>2087.33</v>
      </c>
      <c r="K236" s="107">
        <v>1897.2</v>
      </c>
      <c r="L236" s="107">
        <v>-10888.27</v>
      </c>
      <c r="M236" s="107"/>
      <c r="N236" s="107">
        <v>10024.969999999999</v>
      </c>
    </row>
    <row r="237" spans="1:14">
      <c r="A237" s="64" t="s">
        <v>182</v>
      </c>
      <c r="B237" s="22"/>
      <c r="C237" s="107">
        <v>62.96</v>
      </c>
      <c r="D237" s="107">
        <v>187.18</v>
      </c>
      <c r="E237" s="107">
        <v>530.91</v>
      </c>
      <c r="F237" s="22"/>
      <c r="G237" s="22"/>
      <c r="H237" s="107">
        <v>218.14</v>
      </c>
      <c r="I237" s="107">
        <v>263.04000000000002</v>
      </c>
      <c r="J237" s="107">
        <v>263.04000000000002</v>
      </c>
      <c r="K237" s="22"/>
      <c r="L237" s="107">
        <v>-744.22</v>
      </c>
      <c r="M237" s="107"/>
      <c r="N237" s="107">
        <v>781.05</v>
      </c>
    </row>
    <row r="238" spans="1:14">
      <c r="A238" s="64" t="s">
        <v>183</v>
      </c>
      <c r="B238" s="107">
        <v>213.99</v>
      </c>
      <c r="C238" s="107">
        <v>168.68</v>
      </c>
      <c r="D238" s="107">
        <v>269.95999999999998</v>
      </c>
      <c r="E238" s="107">
        <v>559.09</v>
      </c>
      <c r="F238" s="107"/>
      <c r="G238" s="107">
        <v>12.54</v>
      </c>
      <c r="H238" s="107">
        <v>1190.97</v>
      </c>
      <c r="I238" s="107">
        <v>126.44</v>
      </c>
      <c r="J238" s="107"/>
      <c r="K238" s="107">
        <v>36.94</v>
      </c>
      <c r="L238" s="107">
        <v>-1366.89</v>
      </c>
      <c r="M238" s="107"/>
      <c r="N238" s="107">
        <v>1211.72</v>
      </c>
    </row>
    <row r="239" spans="1:14">
      <c r="A239" s="64" t="s">
        <v>184</v>
      </c>
      <c r="B239" s="111">
        <v>6279.81</v>
      </c>
      <c r="C239" s="111">
        <v>6768.32</v>
      </c>
      <c r="D239" s="111">
        <v>10590.69</v>
      </c>
      <c r="E239" s="111">
        <v>5822.23</v>
      </c>
      <c r="F239" s="111">
        <v>5752.34</v>
      </c>
      <c r="G239" s="111">
        <v>7391.68</v>
      </c>
      <c r="H239" s="111">
        <v>3853.16</v>
      </c>
      <c r="I239" s="111">
        <v>3700</v>
      </c>
      <c r="J239" s="111">
        <v>4904.1499999999996</v>
      </c>
      <c r="K239" s="111">
        <v>1499.82</v>
      </c>
      <c r="L239" s="111">
        <v>-21348.81</v>
      </c>
      <c r="M239" s="111"/>
      <c r="N239" s="111">
        <v>35213.39</v>
      </c>
    </row>
    <row r="240" spans="1:14">
      <c r="A240" s="64" t="s">
        <v>185</v>
      </c>
      <c r="B240" s="107">
        <f t="shared" ref="B240:L240" si="57">SUM(B225:B239)</f>
        <v>74294.700000000012</v>
      </c>
      <c r="C240" s="107">
        <f t="shared" si="57"/>
        <v>93220.889999999985</v>
      </c>
      <c r="D240" s="107">
        <f t="shared" si="57"/>
        <v>82516.900000000009</v>
      </c>
      <c r="E240" s="107">
        <f t="shared" si="57"/>
        <v>79391.710000000006</v>
      </c>
      <c r="F240" s="107">
        <f t="shared" si="57"/>
        <v>78032.98</v>
      </c>
      <c r="G240" s="107">
        <f t="shared" si="57"/>
        <v>66207.550000000017</v>
      </c>
      <c r="H240" s="107">
        <f t="shared" si="57"/>
        <v>79154.98</v>
      </c>
      <c r="I240" s="107">
        <f t="shared" si="57"/>
        <v>90513.96</v>
      </c>
      <c r="J240" s="107">
        <f t="shared" si="57"/>
        <v>82254.25</v>
      </c>
      <c r="K240" s="107">
        <f t="shared" si="57"/>
        <v>75327.62000000001</v>
      </c>
      <c r="L240" s="107">
        <f t="shared" si="57"/>
        <v>-393458.35999999993</v>
      </c>
      <c r="M240" s="107"/>
      <c r="N240" s="107">
        <v>407457.18</v>
      </c>
    </row>
    <row r="241" spans="1:14">
      <c r="A241" s="64"/>
      <c r="B241" s="22"/>
      <c r="C241" s="22"/>
      <c r="D241" s="22"/>
      <c r="E241" s="22"/>
      <c r="F241" s="22"/>
      <c r="G241" s="22"/>
      <c r="H241" s="22"/>
      <c r="I241" s="22"/>
      <c r="J241" s="22"/>
      <c r="K241" s="22"/>
      <c r="L241" s="22"/>
      <c r="M241" s="22"/>
      <c r="N241" s="22"/>
    </row>
    <row r="242" spans="1:14">
      <c r="A242" s="64" t="s">
        <v>186</v>
      </c>
      <c r="B242" s="22"/>
      <c r="C242" s="22"/>
      <c r="D242" s="22"/>
      <c r="E242" s="22"/>
      <c r="F242" s="22"/>
      <c r="G242" s="22"/>
      <c r="H242" s="22"/>
      <c r="I242" s="22"/>
      <c r="J242" s="22"/>
      <c r="K242" s="22"/>
      <c r="L242" s="22"/>
      <c r="M242" s="22"/>
      <c r="N242" s="22"/>
    </row>
    <row r="243" spans="1:14">
      <c r="A243" s="64" t="s">
        <v>187</v>
      </c>
      <c r="B243" s="107">
        <v>3500</v>
      </c>
      <c r="C243" s="107">
        <v>3500</v>
      </c>
      <c r="D243" s="107">
        <v>3500</v>
      </c>
      <c r="E243" s="107">
        <v>3500</v>
      </c>
      <c r="F243" s="107">
        <v>3500</v>
      </c>
      <c r="G243" s="107">
        <v>3500</v>
      </c>
      <c r="H243" s="107">
        <v>3500</v>
      </c>
      <c r="I243" s="107">
        <v>2500</v>
      </c>
      <c r="J243" s="107">
        <v>2500</v>
      </c>
      <c r="K243" s="107">
        <v>2500</v>
      </c>
      <c r="L243" s="107">
        <v>-14500</v>
      </c>
      <c r="M243" s="107"/>
      <c r="N243" s="107">
        <v>17500</v>
      </c>
    </row>
    <row r="244" spans="1:14">
      <c r="A244" s="64" t="s">
        <v>188</v>
      </c>
      <c r="B244" s="107">
        <v>1417.5</v>
      </c>
      <c r="C244" s="107">
        <v>1260</v>
      </c>
      <c r="D244" s="107">
        <v>927.5</v>
      </c>
      <c r="E244" s="107">
        <v>1201.67</v>
      </c>
      <c r="F244" s="107">
        <v>985.83</v>
      </c>
      <c r="G244" s="107">
        <v>1277.5</v>
      </c>
      <c r="H244" s="107">
        <v>1312.5</v>
      </c>
      <c r="I244" s="107">
        <v>1190</v>
      </c>
      <c r="J244" s="107">
        <v>1207.5</v>
      </c>
      <c r="K244" s="107">
        <v>1242.5</v>
      </c>
      <c r="L244" s="107">
        <v>-6230</v>
      </c>
      <c r="M244" s="107"/>
      <c r="N244" s="107">
        <v>5792.5</v>
      </c>
    </row>
    <row r="245" spans="1:14">
      <c r="A245" s="64" t="s">
        <v>190</v>
      </c>
      <c r="B245" s="107">
        <v>3270</v>
      </c>
      <c r="C245" s="107">
        <v>5260</v>
      </c>
      <c r="D245" s="107">
        <v>3265</v>
      </c>
      <c r="E245" s="107">
        <v>3150</v>
      </c>
      <c r="F245" s="107">
        <v>2325</v>
      </c>
      <c r="G245" s="107">
        <v>5450</v>
      </c>
      <c r="H245" s="107">
        <v>4170</v>
      </c>
      <c r="I245" s="107">
        <v>3150</v>
      </c>
      <c r="J245" s="107">
        <v>2875</v>
      </c>
      <c r="K245" s="107">
        <v>3110</v>
      </c>
      <c r="L245" s="107">
        <v>-18755</v>
      </c>
      <c r="M245" s="107"/>
      <c r="N245" s="107">
        <v>17270</v>
      </c>
    </row>
    <row r="246" spans="1:14">
      <c r="A246" s="64" t="s">
        <v>191</v>
      </c>
      <c r="B246" s="107">
        <v>12123.07</v>
      </c>
      <c r="C246" s="107">
        <v>11792.46</v>
      </c>
      <c r="D246" s="107">
        <v>12517.7</v>
      </c>
      <c r="E246" s="107">
        <v>12163.23</v>
      </c>
      <c r="F246" s="107">
        <v>13013.48</v>
      </c>
      <c r="G246" s="107">
        <v>11376.8</v>
      </c>
      <c r="H246" s="107">
        <v>11753.73</v>
      </c>
      <c r="I246" s="107">
        <v>10982.91</v>
      </c>
      <c r="J246" s="107">
        <v>11117.04</v>
      </c>
      <c r="K246" s="107">
        <v>9688.3799999999992</v>
      </c>
      <c r="L246" s="107">
        <v>-54918.86</v>
      </c>
      <c r="M246" s="107"/>
      <c r="N246" s="107">
        <v>61609.94</v>
      </c>
    </row>
    <row r="247" spans="1:14">
      <c r="A247" s="64" t="s">
        <v>192</v>
      </c>
      <c r="B247" s="107">
        <v>2884.1</v>
      </c>
      <c r="C247" s="107"/>
      <c r="D247" s="107">
        <v>1442.05</v>
      </c>
      <c r="E247" s="107">
        <v>1442.05</v>
      </c>
      <c r="F247" s="107">
        <v>1110.33</v>
      </c>
      <c r="G247" s="107">
        <v>1442.05</v>
      </c>
      <c r="H247" s="107">
        <v>1442.05</v>
      </c>
      <c r="I247" s="107">
        <v>1400</v>
      </c>
      <c r="J247" s="107">
        <v>1447.36</v>
      </c>
      <c r="K247" s="107">
        <v>1439.91</v>
      </c>
      <c r="L247" s="107">
        <v>-7171.37</v>
      </c>
      <c r="M247" s="107"/>
      <c r="N247" s="107">
        <v>6878.53</v>
      </c>
    </row>
    <row r="248" spans="1:14">
      <c r="A248" s="64" t="s">
        <v>193</v>
      </c>
      <c r="B248" s="107">
        <v>1748.42</v>
      </c>
      <c r="C248" s="107">
        <v>1193.75</v>
      </c>
      <c r="D248" s="107">
        <v>1642.68</v>
      </c>
      <c r="E248" s="107">
        <v>1674.7</v>
      </c>
      <c r="F248" s="107">
        <v>1439.6</v>
      </c>
      <c r="G248" s="107">
        <v>2118.2600000000002</v>
      </c>
      <c r="H248" s="107">
        <v>1891.75</v>
      </c>
      <c r="I248" s="107">
        <v>1835.91</v>
      </c>
      <c r="J248" s="107">
        <v>1706.59</v>
      </c>
      <c r="K248" s="107">
        <v>1612.46</v>
      </c>
      <c r="L248" s="107">
        <v>-9164.9699999999993</v>
      </c>
      <c r="M248" s="107"/>
      <c r="N248" s="107">
        <v>7699.15</v>
      </c>
    </row>
    <row r="249" spans="1:14">
      <c r="A249" s="64" t="s">
        <v>194</v>
      </c>
      <c r="B249" s="107">
        <v>1402.95</v>
      </c>
      <c r="C249" s="107">
        <v>1201.44</v>
      </c>
      <c r="D249" s="107">
        <v>993.58</v>
      </c>
      <c r="E249" s="107">
        <v>1698.17</v>
      </c>
      <c r="F249" s="107">
        <v>3303.68</v>
      </c>
      <c r="G249" s="107">
        <v>390.26</v>
      </c>
      <c r="H249" s="107">
        <v>1264.6099999999999</v>
      </c>
      <c r="I249" s="107">
        <v>3043.36</v>
      </c>
      <c r="J249" s="107">
        <v>3911.02</v>
      </c>
      <c r="K249" s="107">
        <v>1999.97</v>
      </c>
      <c r="L249" s="107">
        <v>-10609.22</v>
      </c>
      <c r="M249" s="107"/>
      <c r="N249" s="107">
        <v>8599.82</v>
      </c>
    </row>
    <row r="250" spans="1:14">
      <c r="A250" s="64" t="s">
        <v>195</v>
      </c>
      <c r="B250" s="107">
        <v>12203.02</v>
      </c>
      <c r="C250" s="107">
        <v>12203.02</v>
      </c>
      <c r="D250" s="107">
        <v>12203.02</v>
      </c>
      <c r="E250" s="107">
        <v>12203.02</v>
      </c>
      <c r="F250" s="107">
        <v>12203.02</v>
      </c>
      <c r="G250" s="107">
        <v>12203.02</v>
      </c>
      <c r="H250" s="107">
        <v>12203.02</v>
      </c>
      <c r="I250" s="107">
        <v>12203.02</v>
      </c>
      <c r="J250" s="107">
        <v>12203.02</v>
      </c>
      <c r="K250" s="107">
        <v>12935.2</v>
      </c>
      <c r="L250" s="107">
        <v>-61747.28</v>
      </c>
      <c r="M250" s="107"/>
      <c r="N250" s="107">
        <v>61015.1</v>
      </c>
    </row>
    <row r="251" spans="1:14">
      <c r="A251" s="64" t="s">
        <v>196</v>
      </c>
      <c r="B251" s="107">
        <v>8135.34</v>
      </c>
      <c r="C251" s="107">
        <v>8135.34</v>
      </c>
      <c r="D251" s="107">
        <v>8135.34</v>
      </c>
      <c r="E251" s="107">
        <v>8135.34</v>
      </c>
      <c r="F251" s="107">
        <v>8135.34</v>
      </c>
      <c r="G251" s="107">
        <v>8135.34</v>
      </c>
      <c r="H251" s="107">
        <v>8135.34</v>
      </c>
      <c r="I251" s="107">
        <v>8135.34</v>
      </c>
      <c r="J251" s="107">
        <v>8135.34</v>
      </c>
      <c r="K251" s="107">
        <v>8623.4599999999991</v>
      </c>
      <c r="L251" s="107">
        <v>-41164.82</v>
      </c>
      <c r="M251" s="107"/>
      <c r="N251" s="107">
        <v>40676.699999999997</v>
      </c>
    </row>
    <row r="252" spans="1:14">
      <c r="A252" s="64" t="s">
        <v>197</v>
      </c>
      <c r="B252" s="107">
        <v>38871.51</v>
      </c>
      <c r="C252" s="107">
        <v>38811.919999999998</v>
      </c>
      <c r="D252" s="107">
        <v>40251.370000000003</v>
      </c>
      <c r="E252" s="107">
        <v>40251.370000000003</v>
      </c>
      <c r="F252" s="107">
        <v>40634.699999999997</v>
      </c>
      <c r="G252" s="107">
        <v>39789.19</v>
      </c>
      <c r="H252" s="107">
        <v>40907.15</v>
      </c>
      <c r="I252" s="107">
        <v>39881.14</v>
      </c>
      <c r="J252" s="107">
        <v>42674.41</v>
      </c>
      <c r="K252" s="107">
        <v>40970.31</v>
      </c>
      <c r="L252" s="107">
        <v>-204222.2</v>
      </c>
      <c r="M252" s="107"/>
      <c r="N252" s="107">
        <v>198820.87</v>
      </c>
    </row>
    <row r="253" spans="1:14">
      <c r="A253" s="64" t="s">
        <v>198</v>
      </c>
      <c r="B253" s="107">
        <v>1317.23</v>
      </c>
      <c r="C253" s="107">
        <v>1317.23</v>
      </c>
      <c r="D253" s="107">
        <v>1317.23</v>
      </c>
      <c r="E253" s="107">
        <v>1344.7</v>
      </c>
      <c r="F253" s="107">
        <v>1317.23</v>
      </c>
      <c r="G253" s="107">
        <v>1289.76</v>
      </c>
      <c r="H253" s="107">
        <v>1317.23</v>
      </c>
      <c r="I253" s="107">
        <v>1317.23</v>
      </c>
      <c r="J253" s="107">
        <v>1317.23</v>
      </c>
      <c r="K253" s="107">
        <v>1482.07</v>
      </c>
      <c r="L253" s="107">
        <v>-6723.52</v>
      </c>
      <c r="M253" s="107"/>
      <c r="N253" s="107">
        <v>6613.62</v>
      </c>
    </row>
    <row r="254" spans="1:14">
      <c r="A254" s="64" t="s">
        <v>199</v>
      </c>
      <c r="B254" s="107">
        <v>442.5</v>
      </c>
      <c r="C254" s="107">
        <v>-73.75</v>
      </c>
      <c r="D254" s="107">
        <v>221.25</v>
      </c>
      <c r="E254" s="107">
        <v>243.75</v>
      </c>
      <c r="F254" s="107">
        <v>255</v>
      </c>
      <c r="G254" s="107">
        <v>300</v>
      </c>
      <c r="H254" s="107">
        <v>75</v>
      </c>
      <c r="I254" s="107">
        <v>100</v>
      </c>
      <c r="J254" s="107">
        <v>541.75</v>
      </c>
      <c r="K254" s="107">
        <v>556.75</v>
      </c>
      <c r="L254" s="107">
        <v>-1573.5</v>
      </c>
      <c r="M254" s="107"/>
      <c r="N254" s="107">
        <v>1088.75</v>
      </c>
    </row>
    <row r="255" spans="1:14">
      <c r="A255" s="64" t="s">
        <v>200</v>
      </c>
      <c r="B255" s="107">
        <v>8465.16</v>
      </c>
      <c r="C255" s="107">
        <v>1807.78</v>
      </c>
      <c r="D255" s="107">
        <v>1807.78</v>
      </c>
      <c r="E255" s="107">
        <v>2417.23</v>
      </c>
      <c r="F255" s="107">
        <v>2260.2600000000002</v>
      </c>
      <c r="G255" s="107">
        <v>1880.3</v>
      </c>
      <c r="H255" s="107">
        <v>2659.7</v>
      </c>
      <c r="I255" s="107">
        <v>2107.63</v>
      </c>
      <c r="J255" s="107">
        <v>1900</v>
      </c>
      <c r="K255" s="107">
        <v>1900</v>
      </c>
      <c r="L255" s="107">
        <v>-10447.629999999999</v>
      </c>
      <c r="M255" s="107"/>
      <c r="N255" s="107">
        <v>16758.21</v>
      </c>
    </row>
    <row r="256" spans="1:14">
      <c r="A256" s="64" t="s">
        <v>201</v>
      </c>
      <c r="B256" s="107">
        <v>768.85</v>
      </c>
      <c r="C256" s="107">
        <v>335.85</v>
      </c>
      <c r="D256" s="107">
        <v>335.85</v>
      </c>
      <c r="E256" s="107">
        <v>335.85</v>
      </c>
      <c r="F256" s="107">
        <v>310.25</v>
      </c>
      <c r="G256" s="107">
        <v>310.25</v>
      </c>
      <c r="H256" s="107">
        <v>310.25</v>
      </c>
      <c r="I256" s="107">
        <v>310.25</v>
      </c>
      <c r="J256" s="107">
        <v>310.25</v>
      </c>
      <c r="K256" s="107">
        <v>310.25</v>
      </c>
      <c r="L256" s="107">
        <v>-1551.25</v>
      </c>
      <c r="M256" s="107"/>
      <c r="N256" s="107">
        <v>2086.65</v>
      </c>
    </row>
    <row r="257" spans="1:14">
      <c r="A257" s="64" t="s">
        <v>202</v>
      </c>
      <c r="B257" s="22"/>
      <c r="C257" s="22"/>
      <c r="D257" s="22"/>
      <c r="E257" s="22"/>
      <c r="F257" s="107">
        <v>54</v>
      </c>
      <c r="G257" s="107"/>
      <c r="H257" s="22"/>
      <c r="I257" s="107">
        <v>4510</v>
      </c>
      <c r="J257" s="22"/>
      <c r="K257" s="107">
        <v>7688.22</v>
      </c>
      <c r="L257" s="107">
        <v>-12198.22</v>
      </c>
      <c r="M257" s="22"/>
      <c r="N257" s="107">
        <v>54</v>
      </c>
    </row>
    <row r="258" spans="1:14">
      <c r="A258" s="64" t="s">
        <v>203</v>
      </c>
      <c r="B258" s="107">
        <v>9995.8799999999992</v>
      </c>
      <c r="C258" s="107">
        <v>11031.24</v>
      </c>
      <c r="D258" s="107">
        <v>12133.71</v>
      </c>
      <c r="E258" s="107">
        <v>8539.27</v>
      </c>
      <c r="F258" s="107">
        <v>8804.98</v>
      </c>
      <c r="G258" s="107">
        <v>9685.26</v>
      </c>
      <c r="H258" s="107">
        <v>10714.29</v>
      </c>
      <c r="I258" s="107">
        <v>10453.5</v>
      </c>
      <c r="J258" s="107">
        <v>12254.25</v>
      </c>
      <c r="K258" s="107">
        <v>9395.57</v>
      </c>
      <c r="L258" s="107">
        <v>-52502.87</v>
      </c>
      <c r="M258" s="107"/>
      <c r="N258" s="107">
        <v>50505.08</v>
      </c>
    </row>
    <row r="259" spans="1:14">
      <c r="A259" s="64" t="s">
        <v>204</v>
      </c>
      <c r="B259" s="107">
        <v>29968</v>
      </c>
      <c r="C259" s="107">
        <v>30445</v>
      </c>
      <c r="D259" s="107">
        <v>29891</v>
      </c>
      <c r="E259" s="107">
        <v>22777</v>
      </c>
      <c r="F259" s="107">
        <v>-1374173</v>
      </c>
      <c r="G259" s="107">
        <v>24957</v>
      </c>
      <c r="H259" s="107">
        <v>28336</v>
      </c>
      <c r="I259" s="107">
        <v>28584</v>
      </c>
      <c r="J259" s="107">
        <v>28507</v>
      </c>
      <c r="K259" s="107">
        <v>26033</v>
      </c>
      <c r="L259" s="107">
        <v>-136417</v>
      </c>
      <c r="M259" s="107"/>
      <c r="N259" s="107">
        <v>-1261092</v>
      </c>
    </row>
    <row r="260" spans="1:14">
      <c r="A260" s="64" t="s">
        <v>205</v>
      </c>
      <c r="B260" s="107">
        <v>901.42</v>
      </c>
      <c r="C260" s="107">
        <v>1456.08</v>
      </c>
      <c r="D260" s="107">
        <v>1495.94</v>
      </c>
      <c r="E260" s="107">
        <v>904.52</v>
      </c>
      <c r="F260" s="107">
        <v>651.14</v>
      </c>
      <c r="G260" s="107">
        <v>617.01</v>
      </c>
      <c r="H260" s="107">
        <v>772.08</v>
      </c>
      <c r="I260" s="107">
        <v>1131.79</v>
      </c>
      <c r="J260" s="107">
        <v>626.55999999999995</v>
      </c>
      <c r="K260" s="107">
        <v>642.07000000000005</v>
      </c>
      <c r="L260" s="107">
        <v>-3789.51</v>
      </c>
      <c r="M260" s="107"/>
      <c r="N260" s="107">
        <v>5409.1</v>
      </c>
    </row>
    <row r="261" spans="1:14">
      <c r="A261" s="64" t="s">
        <v>206</v>
      </c>
      <c r="B261" s="111">
        <v>647.86</v>
      </c>
      <c r="C261" s="111">
        <v>344.8</v>
      </c>
      <c r="D261" s="111">
        <v>695.71</v>
      </c>
      <c r="E261" s="111">
        <v>1271.8499999999999</v>
      </c>
      <c r="F261" s="111">
        <v>659.55</v>
      </c>
      <c r="G261" s="111">
        <v>830.04</v>
      </c>
      <c r="H261" s="111">
        <v>527.75</v>
      </c>
      <c r="I261" s="111">
        <v>2251.2199999999998</v>
      </c>
      <c r="J261" s="111">
        <v>1263</v>
      </c>
      <c r="K261" s="111">
        <v>1882.29</v>
      </c>
      <c r="L261" s="111">
        <v>-6754.3</v>
      </c>
      <c r="M261" s="111"/>
      <c r="N261" s="111">
        <v>3619.77</v>
      </c>
    </row>
    <row r="262" spans="1:14">
      <c r="A262" s="64" t="s">
        <v>207</v>
      </c>
      <c r="B262" s="107">
        <f t="shared" ref="B262:L262" si="58">SUM(B241:B261)</f>
        <v>138062.81000000003</v>
      </c>
      <c r="C262" s="107">
        <f t="shared" si="58"/>
        <v>130022.16</v>
      </c>
      <c r="D262" s="107">
        <f t="shared" si="58"/>
        <v>132776.71</v>
      </c>
      <c r="E262" s="107">
        <f t="shared" si="58"/>
        <v>123253.72</v>
      </c>
      <c r="F262" s="107">
        <f t="shared" si="58"/>
        <v>-1273209.6100000001</v>
      </c>
      <c r="G262" s="107">
        <f t="shared" si="58"/>
        <v>125552.03999999998</v>
      </c>
      <c r="H262" s="107">
        <f t="shared" si="58"/>
        <v>131292.45000000001</v>
      </c>
      <c r="I262" s="107">
        <f t="shared" si="58"/>
        <v>135087.29999999999</v>
      </c>
      <c r="J262" s="107">
        <f t="shared" si="58"/>
        <v>134497.32</v>
      </c>
      <c r="K262" s="107">
        <f t="shared" si="58"/>
        <v>134012.41000000003</v>
      </c>
      <c r="L262" s="107">
        <f t="shared" si="58"/>
        <v>-660441.52</v>
      </c>
      <c r="M262" s="107"/>
      <c r="N262" s="107">
        <v>-749094.21</v>
      </c>
    </row>
    <row r="263" spans="1:14">
      <c r="A263" s="64"/>
      <c r="B263" s="22"/>
      <c r="C263" s="22"/>
      <c r="D263" s="22"/>
      <c r="E263" s="22"/>
      <c r="F263" s="22"/>
      <c r="G263" s="22"/>
      <c r="H263" s="22"/>
      <c r="I263" s="22"/>
      <c r="J263" s="22"/>
      <c r="K263" s="22"/>
      <c r="L263" s="22"/>
      <c r="M263" s="22"/>
      <c r="N263" s="22"/>
    </row>
    <row r="264" spans="1:14">
      <c r="A264" s="64" t="s">
        <v>15</v>
      </c>
      <c r="B264" s="22"/>
      <c r="C264" s="22"/>
      <c r="D264" s="22"/>
      <c r="E264" s="22"/>
      <c r="F264" s="22"/>
      <c r="G264" s="22"/>
      <c r="H264" s="22"/>
      <c r="I264" s="22"/>
      <c r="J264" s="22"/>
      <c r="K264" s="22"/>
      <c r="L264" s="22"/>
      <c r="M264" s="22"/>
      <c r="N264" s="22"/>
    </row>
    <row r="265" spans="1:14">
      <c r="A265" s="64" t="s">
        <v>208</v>
      </c>
      <c r="B265" s="107">
        <v>3803.87</v>
      </c>
      <c r="C265" s="107">
        <v>4302.5600000000004</v>
      </c>
      <c r="D265" s="107">
        <v>2156.44</v>
      </c>
      <c r="E265" s="107">
        <v>3310.01</v>
      </c>
      <c r="F265" s="107">
        <v>1015.37</v>
      </c>
      <c r="G265" s="107">
        <v>2889.35</v>
      </c>
      <c r="H265" s="107">
        <v>1443.7</v>
      </c>
      <c r="I265" s="107">
        <v>4123.16</v>
      </c>
      <c r="J265" s="107">
        <v>3321.25</v>
      </c>
      <c r="K265" s="107">
        <v>3554.72</v>
      </c>
      <c r="L265" s="107">
        <v>-15332.18</v>
      </c>
      <c r="M265" s="107"/>
      <c r="N265" s="107">
        <v>14588.25</v>
      </c>
    </row>
    <row r="266" spans="1:14">
      <c r="A266" s="64" t="s">
        <v>209</v>
      </c>
      <c r="B266" s="107">
        <v>1643.96</v>
      </c>
      <c r="C266" s="107">
        <v>6520.73</v>
      </c>
      <c r="D266" s="107">
        <v>-872.03</v>
      </c>
      <c r="E266" s="107">
        <v>672.6</v>
      </c>
      <c r="F266" s="107">
        <v>1186.67</v>
      </c>
      <c r="G266" s="107">
        <v>1469.19</v>
      </c>
      <c r="H266" s="107">
        <v>1223.69</v>
      </c>
      <c r="I266" s="107">
        <v>1115.78</v>
      </c>
      <c r="J266" s="107">
        <v>1301.4000000000001</v>
      </c>
      <c r="K266" s="107">
        <v>1139.96</v>
      </c>
      <c r="L266" s="107">
        <v>-6250.02</v>
      </c>
      <c r="M266" s="107"/>
      <c r="N266" s="107">
        <v>9151.93</v>
      </c>
    </row>
    <row r="267" spans="1:14">
      <c r="A267" s="64" t="s">
        <v>210</v>
      </c>
      <c r="B267" s="107">
        <v>395.85</v>
      </c>
      <c r="C267" s="107">
        <v>635</v>
      </c>
      <c r="D267" s="107">
        <v>395</v>
      </c>
      <c r="E267" s="107">
        <v>619.32000000000005</v>
      </c>
      <c r="F267" s="107">
        <v>1038.74</v>
      </c>
      <c r="G267" s="107">
        <v>101.42</v>
      </c>
      <c r="H267" s="107">
        <v>471.09</v>
      </c>
      <c r="I267" s="107">
        <v>439.34</v>
      </c>
      <c r="J267" s="107">
        <v>865</v>
      </c>
      <c r="K267" s="107">
        <v>432</v>
      </c>
      <c r="L267" s="107">
        <v>-2308.85</v>
      </c>
      <c r="M267" s="107"/>
      <c r="N267" s="107">
        <v>3083.91</v>
      </c>
    </row>
    <row r="268" spans="1:14">
      <c r="A268" s="64" t="s">
        <v>211</v>
      </c>
      <c r="B268" s="107">
        <v>113.95</v>
      </c>
      <c r="C268" s="107">
        <v>227.9</v>
      </c>
      <c r="D268" s="107">
        <v>113.95</v>
      </c>
      <c r="E268" s="107">
        <v>139</v>
      </c>
      <c r="F268" s="107">
        <v>227.9</v>
      </c>
      <c r="G268" s="107">
        <v>115.95</v>
      </c>
      <c r="H268" s="107">
        <v>115.95</v>
      </c>
      <c r="I268" s="107">
        <v>115.95</v>
      </c>
      <c r="J268" s="107">
        <v>2006.73</v>
      </c>
      <c r="K268" s="107">
        <v>2311.9499999999998</v>
      </c>
      <c r="L268" s="107">
        <v>-4666.53</v>
      </c>
      <c r="M268" s="22"/>
      <c r="N268" s="107">
        <v>822.7</v>
      </c>
    </row>
    <row r="269" spans="1:14">
      <c r="A269" s="64" t="s">
        <v>195</v>
      </c>
      <c r="B269" s="22"/>
      <c r="C269" s="22"/>
      <c r="D269" s="107">
        <v>80.180000000000007</v>
      </c>
      <c r="E269" s="22"/>
      <c r="F269" s="107">
        <v>106.11</v>
      </c>
      <c r="G269" s="107">
        <v>94.94</v>
      </c>
      <c r="H269" s="22"/>
      <c r="I269" s="22"/>
      <c r="J269" s="22"/>
      <c r="K269" s="22"/>
      <c r="L269" s="107">
        <v>-94.94</v>
      </c>
      <c r="M269" s="22"/>
      <c r="N269" s="107">
        <v>186.29</v>
      </c>
    </row>
    <row r="270" spans="1:14">
      <c r="A270" s="64" t="s">
        <v>212</v>
      </c>
      <c r="B270" s="22"/>
      <c r="C270" s="22"/>
      <c r="D270" s="22"/>
      <c r="E270" s="22"/>
      <c r="F270" s="107">
        <v>12.62</v>
      </c>
      <c r="G270" s="107">
        <v>135.52000000000001</v>
      </c>
      <c r="H270" s="22"/>
      <c r="I270" s="22"/>
      <c r="J270" s="107">
        <v>411.88</v>
      </c>
      <c r="K270" s="22"/>
      <c r="L270" s="107">
        <v>-547.4</v>
      </c>
      <c r="M270" s="22"/>
      <c r="N270" s="107">
        <v>12.62</v>
      </c>
    </row>
    <row r="271" spans="1:14">
      <c r="A271" s="64" t="s">
        <v>214</v>
      </c>
      <c r="B271" s="107">
        <v>189.04</v>
      </c>
      <c r="C271" s="107">
        <v>728.36</v>
      </c>
      <c r="D271" s="107">
        <v>92.64</v>
      </c>
      <c r="E271" s="107">
        <v>619.20000000000005</v>
      </c>
      <c r="F271" s="107">
        <v>468.41</v>
      </c>
      <c r="G271" s="107">
        <v>566.29</v>
      </c>
      <c r="H271" s="107"/>
      <c r="I271" s="107"/>
      <c r="J271" s="107">
        <v>492.01</v>
      </c>
      <c r="K271" s="107">
        <v>61.76</v>
      </c>
      <c r="L271" s="107">
        <v>-1120.06</v>
      </c>
      <c r="M271" s="107"/>
      <c r="N271" s="107">
        <v>2097.65</v>
      </c>
    </row>
    <row r="272" spans="1:14">
      <c r="A272" s="64" t="s">
        <v>215</v>
      </c>
      <c r="B272" s="22"/>
      <c r="C272" s="107">
        <v>93.58</v>
      </c>
      <c r="D272" s="107">
        <v>263.93</v>
      </c>
      <c r="E272" s="107">
        <v>225.19</v>
      </c>
      <c r="F272" s="107">
        <v>282.05</v>
      </c>
      <c r="G272" s="107">
        <v>235.86</v>
      </c>
      <c r="H272" s="107">
        <v>562.70000000000005</v>
      </c>
      <c r="I272" s="22"/>
      <c r="J272" s="107">
        <v>83.44</v>
      </c>
      <c r="K272" s="107">
        <v>64.33</v>
      </c>
      <c r="L272" s="107">
        <v>-946.33</v>
      </c>
      <c r="M272" s="22"/>
      <c r="N272" s="107">
        <v>864.75</v>
      </c>
    </row>
    <row r="273" spans="1:14">
      <c r="A273" s="64" t="s">
        <v>216</v>
      </c>
      <c r="B273" s="107">
        <v>107</v>
      </c>
      <c r="C273" s="107">
        <v>4016.73</v>
      </c>
      <c r="D273" s="107">
        <v>1412.75</v>
      </c>
      <c r="E273" s="107">
        <v>1570.1</v>
      </c>
      <c r="F273" s="107">
        <v>1154.06</v>
      </c>
      <c r="G273" s="107">
        <v>1389.16</v>
      </c>
      <c r="H273" s="107">
        <v>1436.35</v>
      </c>
      <c r="I273" s="107">
        <v>560.75</v>
      </c>
      <c r="J273" s="107">
        <v>485.55</v>
      </c>
      <c r="K273" s="107">
        <v>3621.12</v>
      </c>
      <c r="L273" s="107">
        <v>-7492.93</v>
      </c>
      <c r="M273" s="107"/>
      <c r="N273" s="107">
        <v>8260.64</v>
      </c>
    </row>
    <row r="274" spans="1:14">
      <c r="A274" s="64" t="s">
        <v>217</v>
      </c>
      <c r="B274" s="22"/>
      <c r="C274" s="107">
        <v>1861.6</v>
      </c>
      <c r="D274" s="107">
        <v>668.23</v>
      </c>
      <c r="E274" s="107">
        <v>779.87</v>
      </c>
      <c r="F274" s="22"/>
      <c r="G274" s="107">
        <v>351.99</v>
      </c>
      <c r="H274" s="22"/>
      <c r="I274" s="107"/>
      <c r="J274" s="107">
        <v>643.67999999999995</v>
      </c>
      <c r="K274" s="107">
        <v>441.71</v>
      </c>
      <c r="L274" s="107">
        <v>-1437.38</v>
      </c>
      <c r="M274" s="107"/>
      <c r="N274" s="107">
        <v>3309.7</v>
      </c>
    </row>
    <row r="275" spans="1:14">
      <c r="A275" s="64" t="s">
        <v>218</v>
      </c>
      <c r="B275" s="107">
        <v>810.9</v>
      </c>
      <c r="C275" s="107">
        <v>843.59</v>
      </c>
      <c r="D275" s="107">
        <v>756.5</v>
      </c>
      <c r="E275" s="107">
        <v>415.65</v>
      </c>
      <c r="F275" s="107">
        <v>630.01</v>
      </c>
      <c r="G275" s="107">
        <v>79.22</v>
      </c>
      <c r="H275" s="107">
        <v>277.64</v>
      </c>
      <c r="I275" s="107">
        <v>575.15</v>
      </c>
      <c r="J275" s="107">
        <v>300</v>
      </c>
      <c r="K275" s="107">
        <v>342.52</v>
      </c>
      <c r="L275" s="107">
        <v>-1574.53</v>
      </c>
      <c r="M275" s="107"/>
      <c r="N275" s="107">
        <v>3456.65</v>
      </c>
    </row>
    <row r="276" spans="1:14">
      <c r="A276" s="64" t="s">
        <v>219</v>
      </c>
      <c r="B276" s="107">
        <v>2464.11</v>
      </c>
      <c r="C276" s="107">
        <v>2875.69</v>
      </c>
      <c r="D276" s="107">
        <v>2235.69</v>
      </c>
      <c r="E276" s="107">
        <v>2043.74</v>
      </c>
      <c r="F276" s="107">
        <v>1180.55</v>
      </c>
      <c r="G276" s="107">
        <v>772.64</v>
      </c>
      <c r="H276" s="107">
        <v>1332.7</v>
      </c>
      <c r="I276" s="107">
        <v>2024.19</v>
      </c>
      <c r="J276" s="107">
        <v>1042.58</v>
      </c>
      <c r="K276" s="107">
        <v>989.06</v>
      </c>
      <c r="L276" s="107">
        <v>-6161.17</v>
      </c>
      <c r="M276" s="107"/>
      <c r="N276" s="107">
        <v>10799.78</v>
      </c>
    </row>
    <row r="277" spans="1:14">
      <c r="A277" s="64" t="s">
        <v>220</v>
      </c>
      <c r="B277" s="111">
        <v>258.86</v>
      </c>
      <c r="C277" s="111">
        <v>622.17999999999995</v>
      </c>
      <c r="D277" s="111">
        <v>157.87</v>
      </c>
      <c r="E277" s="111">
        <v>554.95000000000005</v>
      </c>
      <c r="F277" s="111">
        <v>610.33000000000004</v>
      </c>
      <c r="G277" s="111">
        <v>336</v>
      </c>
      <c r="H277" s="111">
        <v>282.74</v>
      </c>
      <c r="I277" s="111">
        <v>1732.39</v>
      </c>
      <c r="J277" s="111">
        <v>674.28</v>
      </c>
      <c r="K277" s="111">
        <v>491.45</v>
      </c>
      <c r="L277" s="111">
        <v>-3516.86</v>
      </c>
      <c r="M277" s="111"/>
      <c r="N277" s="111">
        <v>2204.19</v>
      </c>
    </row>
    <row r="278" spans="1:14">
      <c r="A278" s="64" t="s">
        <v>221</v>
      </c>
      <c r="B278" s="107">
        <f t="shared" ref="B278:L278" si="59">SUM(B263:B277)</f>
        <v>9787.5400000000009</v>
      </c>
      <c r="C278" s="107">
        <f t="shared" si="59"/>
        <v>22727.919999999998</v>
      </c>
      <c r="D278" s="107">
        <f t="shared" si="59"/>
        <v>7461.1500000000005</v>
      </c>
      <c r="E278" s="107">
        <f t="shared" si="59"/>
        <v>10949.630000000001</v>
      </c>
      <c r="F278" s="107">
        <f t="shared" si="59"/>
        <v>7912.8200000000006</v>
      </c>
      <c r="G278" s="107">
        <f t="shared" si="59"/>
        <v>8537.5299999999988</v>
      </c>
      <c r="H278" s="107">
        <f t="shared" si="59"/>
        <v>7146.5599999999995</v>
      </c>
      <c r="I278" s="107">
        <f t="shared" si="59"/>
        <v>10686.71</v>
      </c>
      <c r="J278" s="107">
        <f t="shared" si="59"/>
        <v>11627.8</v>
      </c>
      <c r="K278" s="107">
        <f t="shared" si="59"/>
        <v>13450.58</v>
      </c>
      <c r="L278" s="107">
        <f t="shared" si="59"/>
        <v>-51449.18</v>
      </c>
      <c r="M278" s="107"/>
      <c r="N278" s="107">
        <v>58839.06</v>
      </c>
    </row>
    <row r="279" spans="1:14">
      <c r="A279" s="64"/>
      <c r="B279" s="22"/>
      <c r="C279" s="22"/>
      <c r="D279" s="22"/>
      <c r="E279" s="22"/>
      <c r="F279" s="22"/>
      <c r="G279" s="22"/>
      <c r="H279" s="22"/>
      <c r="I279" s="22"/>
      <c r="J279" s="22"/>
      <c r="K279" s="22"/>
      <c r="L279" s="22"/>
      <c r="M279" s="22"/>
      <c r="N279" s="22"/>
    </row>
    <row r="280" spans="1:14">
      <c r="A280" s="64" t="s">
        <v>222</v>
      </c>
      <c r="B280" s="22"/>
      <c r="C280" s="22"/>
      <c r="D280" s="22"/>
      <c r="E280" s="22"/>
      <c r="F280" s="22"/>
      <c r="G280" s="22"/>
      <c r="H280" s="22"/>
      <c r="I280" s="22"/>
      <c r="J280" s="22"/>
      <c r="K280" s="22"/>
      <c r="L280" s="22"/>
      <c r="M280" s="22"/>
      <c r="N280" s="22"/>
    </row>
    <row r="281" spans="1:14">
      <c r="A281" s="64" t="s">
        <v>223</v>
      </c>
      <c r="B281" s="22"/>
      <c r="C281" s="107">
        <v>1050</v>
      </c>
      <c r="D281" s="22"/>
      <c r="E281" s="107">
        <v>576.26</v>
      </c>
      <c r="F281" s="107">
        <v>2449.21</v>
      </c>
      <c r="G281" s="22"/>
      <c r="H281" s="107">
        <v>2966.5</v>
      </c>
      <c r="I281" s="22"/>
      <c r="J281" s="22"/>
      <c r="K281" s="22"/>
      <c r="L281" s="107">
        <v>-2966.5</v>
      </c>
      <c r="M281" s="22"/>
      <c r="N281" s="107">
        <v>4075.47</v>
      </c>
    </row>
    <row r="282" spans="1:14">
      <c r="A282" s="64" t="s">
        <v>224</v>
      </c>
      <c r="B282" s="107">
        <v>1131.75</v>
      </c>
      <c r="C282" s="107">
        <v>7146.64</v>
      </c>
      <c r="D282" s="107">
        <v>12247.16</v>
      </c>
      <c r="E282" s="107">
        <v>6841.85</v>
      </c>
      <c r="F282" s="107">
        <v>10083.85</v>
      </c>
      <c r="G282" s="107">
        <v>2604.6</v>
      </c>
      <c r="H282" s="107">
        <v>5065.7</v>
      </c>
      <c r="I282" s="107">
        <v>2055.5100000000002</v>
      </c>
      <c r="J282" s="107">
        <v>468.6</v>
      </c>
      <c r="K282" s="107">
        <v>3578.67</v>
      </c>
      <c r="L282" s="107">
        <v>-13773.08</v>
      </c>
      <c r="M282" s="107"/>
      <c r="N282" s="107">
        <v>37451.25</v>
      </c>
    </row>
    <row r="283" spans="1:14">
      <c r="A283" s="64" t="s">
        <v>225</v>
      </c>
      <c r="B283" s="107">
        <v>78.75</v>
      </c>
      <c r="C283" s="107">
        <v>689.96</v>
      </c>
      <c r="D283" s="107">
        <v>1001.13</v>
      </c>
      <c r="E283" s="107">
        <v>1576.82</v>
      </c>
      <c r="F283" s="107">
        <v>197.45</v>
      </c>
      <c r="G283" s="22"/>
      <c r="H283" s="107">
        <v>924.3</v>
      </c>
      <c r="I283" s="107">
        <v>1270.93</v>
      </c>
      <c r="J283" s="22"/>
      <c r="K283" s="22"/>
      <c r="L283" s="107">
        <v>-2195.23</v>
      </c>
      <c r="M283" s="22"/>
      <c r="N283" s="107">
        <v>3544.11</v>
      </c>
    </row>
    <row r="284" spans="1:14">
      <c r="A284" s="64" t="s">
        <v>226</v>
      </c>
      <c r="B284" s="22"/>
      <c r="C284" s="107">
        <v>146.69999999999999</v>
      </c>
      <c r="D284" s="107">
        <v>349.55</v>
      </c>
      <c r="E284" s="107">
        <v>1610.23</v>
      </c>
      <c r="F284" s="107">
        <v>307.47000000000003</v>
      </c>
      <c r="G284" s="107">
        <v>89.91</v>
      </c>
      <c r="H284" s="107">
        <v>45.31</v>
      </c>
      <c r="I284" s="107">
        <v>1041.2</v>
      </c>
      <c r="J284" s="107">
        <v>138.4</v>
      </c>
      <c r="K284" s="107">
        <v>502.53</v>
      </c>
      <c r="L284" s="107">
        <v>-1817.35</v>
      </c>
      <c r="M284" s="107"/>
      <c r="N284" s="107">
        <v>2413.9499999999998</v>
      </c>
    </row>
    <row r="285" spans="1:14">
      <c r="A285" s="64" t="s">
        <v>227</v>
      </c>
      <c r="B285" s="111">
        <v>144.87</v>
      </c>
      <c r="C285" s="111">
        <v>151.99</v>
      </c>
      <c r="D285" s="111">
        <v>201.34</v>
      </c>
      <c r="E285" s="111">
        <v>2252.1</v>
      </c>
      <c r="F285" s="111">
        <v>1133.02</v>
      </c>
      <c r="G285" s="111">
        <v>1082.3</v>
      </c>
      <c r="H285" s="113"/>
      <c r="I285" s="111">
        <v>164.91</v>
      </c>
      <c r="J285" s="113"/>
      <c r="K285" s="113"/>
      <c r="L285" s="111">
        <v>-1247.21</v>
      </c>
      <c r="M285" s="113"/>
      <c r="N285" s="111">
        <v>3883.32</v>
      </c>
    </row>
    <row r="286" spans="1:14">
      <c r="A286" s="64" t="s">
        <v>229</v>
      </c>
      <c r="B286" s="107">
        <f t="shared" ref="B286:L286" si="60">SUM(B279:B285)</f>
        <v>1355.37</v>
      </c>
      <c r="C286" s="107">
        <f t="shared" si="60"/>
        <v>9185.2899999999991</v>
      </c>
      <c r="D286" s="107">
        <f t="shared" si="60"/>
        <v>13799.179999999998</v>
      </c>
      <c r="E286" s="107">
        <f t="shared" si="60"/>
        <v>12857.26</v>
      </c>
      <c r="F286" s="107">
        <f t="shared" si="60"/>
        <v>14171.000000000002</v>
      </c>
      <c r="G286" s="107">
        <f t="shared" si="60"/>
        <v>3776.8099999999995</v>
      </c>
      <c r="H286" s="107">
        <f t="shared" si="60"/>
        <v>9001.81</v>
      </c>
      <c r="I286" s="107">
        <f t="shared" si="60"/>
        <v>4532.55</v>
      </c>
      <c r="J286" s="107">
        <f t="shared" si="60"/>
        <v>607</v>
      </c>
      <c r="K286" s="107">
        <f t="shared" si="60"/>
        <v>4081.2</v>
      </c>
      <c r="L286" s="107">
        <f t="shared" si="60"/>
        <v>-21999.37</v>
      </c>
      <c r="M286" s="107"/>
      <c r="N286" s="107">
        <v>51368.1</v>
      </c>
    </row>
    <row r="287" spans="1:14">
      <c r="A287" s="64"/>
      <c r="B287" s="22"/>
      <c r="C287" s="22"/>
      <c r="D287" s="22"/>
      <c r="E287" s="22"/>
      <c r="F287" s="22"/>
      <c r="G287" s="22"/>
      <c r="H287" s="22"/>
      <c r="I287" s="22"/>
      <c r="J287" s="22"/>
      <c r="K287" s="22"/>
      <c r="L287" s="22"/>
      <c r="M287" s="22"/>
      <c r="N287" s="22"/>
    </row>
    <row r="288" spans="1:14">
      <c r="A288" s="64" t="s">
        <v>230</v>
      </c>
      <c r="B288" s="22"/>
      <c r="C288" s="22"/>
      <c r="D288" s="22"/>
      <c r="E288" s="22"/>
      <c r="F288" s="22"/>
      <c r="G288" s="22"/>
      <c r="H288" s="22"/>
      <c r="I288" s="22"/>
      <c r="J288" s="22"/>
      <c r="K288" s="22"/>
      <c r="L288" s="22"/>
      <c r="M288" s="22"/>
      <c r="N288" s="22"/>
    </row>
    <row r="289" spans="1:14">
      <c r="A289" s="64" t="s">
        <v>231</v>
      </c>
      <c r="B289" s="107">
        <v>6512.31</v>
      </c>
      <c r="C289" s="107">
        <v>6512.31</v>
      </c>
      <c r="D289" s="107">
        <v>6512.31</v>
      </c>
      <c r="E289" s="107">
        <v>6512.31</v>
      </c>
      <c r="F289" s="107">
        <v>-1463.19</v>
      </c>
      <c r="G289" s="107">
        <v>7012.31</v>
      </c>
      <c r="H289" s="107">
        <v>7012.31</v>
      </c>
      <c r="I289" s="107">
        <v>7012.31</v>
      </c>
      <c r="J289" s="107">
        <v>7012.31</v>
      </c>
      <c r="K289" s="107">
        <v>7012.31</v>
      </c>
      <c r="L289" s="107">
        <v>-35061.550000000003</v>
      </c>
      <c r="M289" s="107"/>
      <c r="N289" s="107">
        <v>24586.05</v>
      </c>
    </row>
    <row r="290" spans="1:14">
      <c r="A290" s="64" t="s">
        <v>234</v>
      </c>
      <c r="B290" s="22"/>
      <c r="C290" s="22"/>
      <c r="D290" s="22"/>
      <c r="E290" s="22"/>
      <c r="F290" s="107">
        <v>590</v>
      </c>
      <c r="G290" s="107">
        <v>66.67</v>
      </c>
      <c r="H290" s="22"/>
      <c r="I290" s="107"/>
      <c r="J290" s="22"/>
      <c r="K290" s="22"/>
      <c r="L290" s="107">
        <v>-66.67</v>
      </c>
      <c r="M290" s="22"/>
      <c r="N290" s="107">
        <v>590</v>
      </c>
    </row>
    <row r="291" spans="1:14">
      <c r="A291" s="64" t="s">
        <v>352</v>
      </c>
      <c r="B291" s="107">
        <v>963.25</v>
      </c>
      <c r="C291" s="22"/>
      <c r="D291" s="22"/>
      <c r="E291" s="22"/>
      <c r="F291" s="22"/>
      <c r="G291" s="107">
        <v>963.25</v>
      </c>
      <c r="H291" s="107">
        <v>963.25</v>
      </c>
      <c r="I291" s="107">
        <v>963.25</v>
      </c>
      <c r="J291" s="107">
        <v>963.25</v>
      </c>
      <c r="K291" s="107">
        <v>963.25</v>
      </c>
      <c r="L291" s="107">
        <v>-4816.25</v>
      </c>
      <c r="M291" s="107"/>
      <c r="N291" s="107">
        <v>963.25</v>
      </c>
    </row>
    <row r="292" spans="1:14">
      <c r="A292" s="64" t="s">
        <v>235</v>
      </c>
      <c r="B292" s="22"/>
      <c r="C292" s="107">
        <v>3880.88</v>
      </c>
      <c r="D292" s="22"/>
      <c r="E292" s="107">
        <v>600</v>
      </c>
      <c r="F292" s="107">
        <v>100</v>
      </c>
      <c r="G292" s="107">
        <v>799.5</v>
      </c>
      <c r="H292" s="107"/>
      <c r="I292" s="107"/>
      <c r="J292" s="107"/>
      <c r="K292" s="22"/>
      <c r="L292" s="107">
        <v>-799.5</v>
      </c>
      <c r="M292" s="22"/>
      <c r="N292" s="107">
        <v>4580.88</v>
      </c>
    </row>
    <row r="293" spans="1:14">
      <c r="A293" s="64" t="s">
        <v>228</v>
      </c>
      <c r="B293" s="113"/>
      <c r="C293" s="113"/>
      <c r="D293" s="113"/>
      <c r="E293" s="113"/>
      <c r="F293" s="111">
        <v>2025</v>
      </c>
      <c r="G293" s="113"/>
      <c r="H293" s="113"/>
      <c r="I293" s="113"/>
      <c r="J293" s="113"/>
      <c r="K293" s="113"/>
      <c r="L293" s="113"/>
      <c r="M293" s="113"/>
      <c r="N293" s="111">
        <v>2025</v>
      </c>
    </row>
    <row r="294" spans="1:14">
      <c r="A294" s="64" t="s">
        <v>236</v>
      </c>
      <c r="B294" s="107">
        <f t="shared" ref="B294:L294" si="61">SUM(B287:B293)</f>
        <v>7475.56</v>
      </c>
      <c r="C294" s="107">
        <f t="shared" si="61"/>
        <v>10393.19</v>
      </c>
      <c r="D294" s="107">
        <f t="shared" si="61"/>
        <v>6512.31</v>
      </c>
      <c r="E294" s="107">
        <f t="shared" si="61"/>
        <v>7112.31</v>
      </c>
      <c r="F294" s="107">
        <f t="shared" si="61"/>
        <v>1251.81</v>
      </c>
      <c r="G294" s="107">
        <f t="shared" si="61"/>
        <v>8841.73</v>
      </c>
      <c r="H294" s="107">
        <f t="shared" si="61"/>
        <v>7975.56</v>
      </c>
      <c r="I294" s="107">
        <f t="shared" si="61"/>
        <v>7975.56</v>
      </c>
      <c r="J294" s="107">
        <f t="shared" si="61"/>
        <v>7975.56</v>
      </c>
      <c r="K294" s="107">
        <f t="shared" si="61"/>
        <v>7975.56</v>
      </c>
      <c r="L294" s="107">
        <f t="shared" si="61"/>
        <v>-40743.97</v>
      </c>
      <c r="M294" s="107"/>
      <c r="N294" s="107">
        <v>32745.18</v>
      </c>
    </row>
    <row r="295" spans="1:14">
      <c r="A295" s="64"/>
      <c r="B295" s="22"/>
      <c r="C295" s="22"/>
      <c r="D295" s="22"/>
      <c r="E295" s="22"/>
      <c r="F295" s="22"/>
      <c r="G295" s="22"/>
      <c r="H295" s="22"/>
      <c r="I295" s="22"/>
      <c r="J295" s="22"/>
      <c r="K295" s="22"/>
      <c r="L295" s="22"/>
      <c r="M295" s="22"/>
      <c r="N295" s="22"/>
    </row>
    <row r="296" spans="1:14">
      <c r="A296" s="64" t="s">
        <v>237</v>
      </c>
      <c r="B296" s="22"/>
      <c r="C296" s="22"/>
      <c r="D296" s="22"/>
      <c r="E296" s="22"/>
      <c r="F296" s="22"/>
      <c r="G296" s="22"/>
      <c r="H296" s="22"/>
      <c r="I296" s="22"/>
      <c r="J296" s="22"/>
      <c r="K296" s="22"/>
      <c r="L296" s="22"/>
      <c r="M296" s="22"/>
      <c r="N296" s="22"/>
    </row>
    <row r="297" spans="1:14">
      <c r="A297" s="64" t="s">
        <v>375</v>
      </c>
      <c r="B297" s="107">
        <v>1094</v>
      </c>
      <c r="C297" s="22"/>
      <c r="D297" s="22"/>
      <c r="E297" s="22"/>
      <c r="F297" s="107">
        <v>23811</v>
      </c>
      <c r="G297" s="22"/>
      <c r="H297" s="22"/>
      <c r="I297" s="22"/>
      <c r="J297" s="22"/>
      <c r="K297" s="22"/>
      <c r="L297" s="22"/>
      <c r="M297" s="22"/>
      <c r="N297" s="107">
        <v>24905</v>
      </c>
    </row>
    <row r="298" spans="1:14">
      <c r="A298" s="64" t="s">
        <v>228</v>
      </c>
      <c r="B298" s="111">
        <v>11987</v>
      </c>
      <c r="C298" s="111">
        <v>12178</v>
      </c>
      <c r="D298" s="111">
        <v>11956</v>
      </c>
      <c r="E298" s="111">
        <v>9111</v>
      </c>
      <c r="F298" s="111">
        <v>134587</v>
      </c>
      <c r="G298" s="111">
        <v>9983</v>
      </c>
      <c r="H298" s="111">
        <v>16555.73</v>
      </c>
      <c r="I298" s="111">
        <v>11434</v>
      </c>
      <c r="J298" s="111">
        <v>11403</v>
      </c>
      <c r="K298" s="111">
        <v>10413</v>
      </c>
      <c r="L298" s="111">
        <v>-59788.73</v>
      </c>
      <c r="M298" s="111"/>
      <c r="N298" s="111">
        <v>179819</v>
      </c>
    </row>
    <row r="299" spans="1:14">
      <c r="A299" s="64" t="s">
        <v>238</v>
      </c>
      <c r="B299" s="107">
        <f t="shared" ref="B299:L299" si="62">SUM(B295:B298)</f>
        <v>13081</v>
      </c>
      <c r="C299" s="107">
        <f t="shared" si="62"/>
        <v>12178</v>
      </c>
      <c r="D299" s="107">
        <f t="shared" si="62"/>
        <v>11956</v>
      </c>
      <c r="E299" s="107">
        <f t="shared" si="62"/>
        <v>9111</v>
      </c>
      <c r="F299" s="107">
        <f t="shared" si="62"/>
        <v>158398</v>
      </c>
      <c r="G299" s="107">
        <f t="shared" si="62"/>
        <v>9983</v>
      </c>
      <c r="H299" s="107">
        <f t="shared" si="62"/>
        <v>16555.73</v>
      </c>
      <c r="I299" s="107">
        <f t="shared" si="62"/>
        <v>11434</v>
      </c>
      <c r="J299" s="107">
        <f t="shared" si="62"/>
        <v>11403</v>
      </c>
      <c r="K299" s="107">
        <f t="shared" si="62"/>
        <v>10413</v>
      </c>
      <c r="L299" s="107">
        <f t="shared" si="62"/>
        <v>-59788.73</v>
      </c>
      <c r="M299" s="107"/>
      <c r="N299" s="107">
        <v>204724</v>
      </c>
    </row>
    <row r="300" spans="1:14">
      <c r="A300" s="64"/>
      <c r="B300" s="22"/>
      <c r="C300" s="22"/>
      <c r="D300" s="22"/>
      <c r="E300" s="22"/>
      <c r="F300" s="22"/>
      <c r="G300" s="22"/>
      <c r="H300" s="22"/>
      <c r="I300" s="22"/>
      <c r="J300" s="22"/>
      <c r="K300" s="22"/>
      <c r="L300" s="22"/>
      <c r="M300" s="22"/>
      <c r="N300" s="22"/>
    </row>
    <row r="301" spans="1:14">
      <c r="A301" s="64" t="s">
        <v>239</v>
      </c>
      <c r="B301" s="22"/>
      <c r="C301" s="22"/>
      <c r="D301" s="22"/>
      <c r="E301" s="22"/>
      <c r="F301" s="22"/>
      <c r="G301" s="22"/>
      <c r="H301" s="22"/>
      <c r="I301" s="22"/>
      <c r="J301" s="22"/>
      <c r="K301" s="22"/>
      <c r="L301" s="22"/>
      <c r="M301" s="22"/>
      <c r="N301" s="22"/>
    </row>
    <row r="302" spans="1:14">
      <c r="A302" s="64" t="s">
        <v>240</v>
      </c>
      <c r="B302" s="107">
        <v>2702.87</v>
      </c>
      <c r="C302" s="107">
        <v>2702.87</v>
      </c>
      <c r="D302" s="107">
        <v>2702.87</v>
      </c>
      <c r="E302" s="107">
        <v>2702.87</v>
      </c>
      <c r="F302" s="107">
        <v>2702.87</v>
      </c>
      <c r="G302" s="107">
        <v>2702.82</v>
      </c>
      <c r="H302" s="107">
        <v>2702.87</v>
      </c>
      <c r="I302" s="107">
        <v>3755.61</v>
      </c>
      <c r="J302" s="107">
        <v>3229.24</v>
      </c>
      <c r="K302" s="107">
        <v>3229.24</v>
      </c>
      <c r="L302" s="107">
        <v>-15619.78</v>
      </c>
      <c r="M302" s="107"/>
      <c r="N302" s="107">
        <v>13514.35</v>
      </c>
    </row>
    <row r="303" spans="1:14">
      <c r="A303" s="64" t="s">
        <v>241</v>
      </c>
      <c r="B303" s="107">
        <v>138.59</v>
      </c>
      <c r="C303" s="107">
        <v>138.59</v>
      </c>
      <c r="D303" s="107">
        <v>138.59</v>
      </c>
      <c r="E303" s="107">
        <v>138.59</v>
      </c>
      <c r="F303" s="107">
        <v>138.58000000000001</v>
      </c>
      <c r="G303" s="107">
        <v>138.59</v>
      </c>
      <c r="H303" s="107">
        <v>138.59</v>
      </c>
      <c r="I303" s="107">
        <v>-138.59</v>
      </c>
      <c r="J303" s="22"/>
      <c r="K303" s="22"/>
      <c r="L303" s="107">
        <v>-138.59</v>
      </c>
      <c r="M303" s="22"/>
      <c r="N303" s="107">
        <v>692.94</v>
      </c>
    </row>
    <row r="304" spans="1:14">
      <c r="A304" s="64" t="s">
        <v>242</v>
      </c>
      <c r="B304" s="107">
        <v>6378.55</v>
      </c>
      <c r="C304" s="107">
        <v>6933.21</v>
      </c>
      <c r="D304" s="107">
        <v>6933.21</v>
      </c>
      <c r="E304" s="107">
        <v>6933.21</v>
      </c>
      <c r="F304" s="107">
        <v>6933.21</v>
      </c>
      <c r="G304" s="107">
        <v>7512.87</v>
      </c>
      <c r="H304" s="107">
        <v>6933.21</v>
      </c>
      <c r="I304" s="107">
        <v>6933.21</v>
      </c>
      <c r="J304" s="107">
        <v>6933.21</v>
      </c>
      <c r="K304" s="107">
        <v>6933.21</v>
      </c>
      <c r="L304" s="107">
        <v>-35245.71</v>
      </c>
      <c r="M304" s="107"/>
      <c r="N304" s="107">
        <v>34111.39</v>
      </c>
    </row>
    <row r="305" spans="1:14">
      <c r="A305" s="64" t="s">
        <v>284</v>
      </c>
      <c r="B305" s="22"/>
      <c r="C305" s="22"/>
      <c r="D305" s="22"/>
      <c r="E305" s="22"/>
      <c r="F305" s="107">
        <v>-4434</v>
      </c>
      <c r="G305" s="22"/>
      <c r="H305" s="107"/>
      <c r="I305" s="107">
        <v>63066.04</v>
      </c>
      <c r="J305" s="22"/>
      <c r="K305" s="107">
        <v>-25000</v>
      </c>
      <c r="L305" s="107">
        <v>-38066.04</v>
      </c>
      <c r="M305" s="22"/>
      <c r="N305" s="107">
        <v>-4434</v>
      </c>
    </row>
    <row r="306" spans="1:14">
      <c r="A306" s="64" t="s">
        <v>387</v>
      </c>
      <c r="B306" s="113"/>
      <c r="C306" s="113"/>
      <c r="D306" s="113"/>
      <c r="E306" s="113"/>
      <c r="F306" s="113"/>
      <c r="G306" s="113"/>
      <c r="H306" s="113"/>
      <c r="I306" s="113"/>
      <c r="J306" s="113"/>
      <c r="K306" s="113"/>
      <c r="L306" s="113"/>
      <c r="M306" s="113"/>
      <c r="N306" s="113"/>
    </row>
    <row r="307" spans="1:14">
      <c r="A307" s="64" t="s">
        <v>244</v>
      </c>
      <c r="B307" s="107">
        <f t="shared" ref="B307:L307" si="63">SUM(B300:B306)</f>
        <v>9220.01</v>
      </c>
      <c r="C307" s="107">
        <f t="shared" si="63"/>
        <v>9774.67</v>
      </c>
      <c r="D307" s="107">
        <f t="shared" si="63"/>
        <v>9774.67</v>
      </c>
      <c r="E307" s="107">
        <f t="shared" si="63"/>
        <v>9774.67</v>
      </c>
      <c r="F307" s="107">
        <f t="shared" si="63"/>
        <v>5340.66</v>
      </c>
      <c r="G307" s="107">
        <f t="shared" si="63"/>
        <v>10354.280000000001</v>
      </c>
      <c r="H307" s="107">
        <f t="shared" si="63"/>
        <v>9774.67</v>
      </c>
      <c r="I307" s="107">
        <f t="shared" si="63"/>
        <v>73616.27</v>
      </c>
      <c r="J307" s="107">
        <f t="shared" si="63"/>
        <v>10162.450000000001</v>
      </c>
      <c r="K307" s="107">
        <f t="shared" si="63"/>
        <v>-14837.55</v>
      </c>
      <c r="L307" s="107">
        <f t="shared" si="63"/>
        <v>-89070.12</v>
      </c>
      <c r="M307" s="107"/>
      <c r="N307" s="107">
        <v>43884.68</v>
      </c>
    </row>
    <row r="308" spans="1:14">
      <c r="A308" s="64"/>
      <c r="B308" s="22"/>
      <c r="C308" s="22"/>
      <c r="D308" s="22"/>
      <c r="E308" s="22"/>
      <c r="F308" s="22"/>
      <c r="G308" s="22"/>
      <c r="H308" s="22"/>
      <c r="I308" s="22"/>
      <c r="J308" s="22"/>
      <c r="K308" s="22"/>
      <c r="L308" s="22"/>
      <c r="M308" s="22"/>
      <c r="N308" s="22"/>
    </row>
    <row r="309" spans="1:14">
      <c r="A309" s="64" t="s">
        <v>245</v>
      </c>
      <c r="B309" s="22"/>
      <c r="C309" s="22"/>
      <c r="D309" s="22"/>
      <c r="E309" s="22"/>
      <c r="F309" s="22"/>
      <c r="G309" s="22"/>
      <c r="H309" s="22"/>
      <c r="I309" s="22"/>
      <c r="J309" s="22"/>
      <c r="K309" s="22"/>
      <c r="L309" s="22"/>
      <c r="M309" s="22"/>
      <c r="N309" s="22"/>
    </row>
    <row r="310" spans="1:14">
      <c r="A310" s="64" t="s">
        <v>246</v>
      </c>
      <c r="B310" s="107">
        <v>7879.18</v>
      </c>
      <c r="C310" s="107">
        <v>7879.18</v>
      </c>
      <c r="D310" s="107">
        <v>7879.18</v>
      </c>
      <c r="E310" s="107">
        <v>7879.18</v>
      </c>
      <c r="F310" s="107">
        <v>7879.38</v>
      </c>
      <c r="G310" s="107">
        <v>3939.69</v>
      </c>
      <c r="H310" s="107">
        <v>11799.31</v>
      </c>
      <c r="I310" s="107">
        <v>7869.5</v>
      </c>
      <c r="J310" s="107">
        <v>7869.5</v>
      </c>
      <c r="K310" s="107">
        <v>7869.5</v>
      </c>
      <c r="L310" s="107">
        <v>-39347.5</v>
      </c>
      <c r="M310" s="107"/>
      <c r="N310" s="107">
        <v>39396.1</v>
      </c>
    </row>
    <row r="311" spans="1:14">
      <c r="A311" s="64" t="s">
        <v>247</v>
      </c>
      <c r="B311" s="107">
        <v>5661.46</v>
      </c>
      <c r="C311" s="107">
        <v>5374</v>
      </c>
      <c r="D311" s="107">
        <v>5167.5200000000004</v>
      </c>
      <c r="E311" s="107">
        <v>4952.54</v>
      </c>
      <c r="F311" s="107">
        <v>4844.74</v>
      </c>
      <c r="G311" s="107">
        <v>2422.37</v>
      </c>
      <c r="H311" s="107">
        <v>6659.49</v>
      </c>
      <c r="I311" s="107">
        <v>4455.68</v>
      </c>
      <c r="J311" s="107">
        <v>4332.04</v>
      </c>
      <c r="K311" s="107">
        <v>4433.1400000000003</v>
      </c>
      <c r="L311" s="107">
        <v>-22302.720000000001</v>
      </c>
      <c r="M311" s="107"/>
      <c r="N311" s="107">
        <v>26000.26</v>
      </c>
    </row>
    <row r="312" spans="1:14">
      <c r="A312" s="64" t="s">
        <v>362</v>
      </c>
      <c r="B312" s="22"/>
      <c r="C312" s="22"/>
      <c r="D312" s="22"/>
      <c r="E312" s="22"/>
      <c r="F312" s="22"/>
      <c r="G312" s="22"/>
      <c r="H312" s="22"/>
      <c r="I312" s="22"/>
      <c r="J312" s="22"/>
      <c r="K312" s="22"/>
      <c r="L312" s="22"/>
      <c r="M312" s="22"/>
      <c r="N312" s="22"/>
    </row>
    <row r="313" spans="1:14">
      <c r="A313" s="64" t="s">
        <v>363</v>
      </c>
      <c r="B313" s="111">
        <v>-6770.32</v>
      </c>
      <c r="C313" s="111">
        <v>-6626.59</v>
      </c>
      <c r="D313" s="111">
        <v>-6523.35</v>
      </c>
      <c r="E313" s="111">
        <v>-6415.86</v>
      </c>
      <c r="F313" s="111">
        <v>-6362.06</v>
      </c>
      <c r="G313" s="113"/>
      <c r="H313" s="111">
        <v>-12410.43</v>
      </c>
      <c r="I313" s="111">
        <v>-6162.59</v>
      </c>
      <c r="J313" s="111">
        <v>-6100.77</v>
      </c>
      <c r="K313" s="111">
        <v>-6151.32</v>
      </c>
      <c r="L313" s="111">
        <v>30825.11</v>
      </c>
      <c r="M313" s="111"/>
      <c r="N313" s="111">
        <v>-32698.18</v>
      </c>
    </row>
    <row r="314" spans="1:14">
      <c r="A314" s="64" t="s">
        <v>250</v>
      </c>
      <c r="B314" s="107">
        <f t="shared" ref="B314:L314" si="64">SUM(B308:B313)</f>
        <v>6770.32</v>
      </c>
      <c r="C314" s="107">
        <f t="shared" si="64"/>
        <v>6626.59</v>
      </c>
      <c r="D314" s="107">
        <f t="shared" si="64"/>
        <v>6523.35</v>
      </c>
      <c r="E314" s="107">
        <f t="shared" si="64"/>
        <v>6415.8600000000015</v>
      </c>
      <c r="F314" s="107">
        <f t="shared" si="64"/>
        <v>6362.0599999999986</v>
      </c>
      <c r="G314" s="107">
        <f t="shared" si="64"/>
        <v>6362.0599999999995</v>
      </c>
      <c r="H314" s="107">
        <f t="shared" si="64"/>
        <v>6048.369999999999</v>
      </c>
      <c r="I314" s="107">
        <f t="shared" si="64"/>
        <v>6162.59</v>
      </c>
      <c r="J314" s="107">
        <f t="shared" si="64"/>
        <v>6100.77</v>
      </c>
      <c r="K314" s="107">
        <f t="shared" si="64"/>
        <v>6151.32</v>
      </c>
      <c r="L314" s="107">
        <f t="shared" si="64"/>
        <v>-30825.11</v>
      </c>
      <c r="M314" s="107"/>
      <c r="N314" s="107">
        <v>32698.18</v>
      </c>
    </row>
    <row r="315" spans="1:14">
      <c r="A315" s="64"/>
      <c r="B315" s="22"/>
      <c r="C315" s="22"/>
      <c r="D315" s="22"/>
      <c r="E315" s="22"/>
      <c r="F315" s="22"/>
      <c r="G315" s="22"/>
      <c r="H315" s="22"/>
      <c r="I315" s="22"/>
      <c r="J315" s="22"/>
      <c r="K315" s="22"/>
      <c r="L315" s="22"/>
      <c r="M315" s="22"/>
      <c r="N315" s="22"/>
    </row>
    <row r="316" spans="1:14">
      <c r="A316" s="64" t="s">
        <v>251</v>
      </c>
      <c r="B316" s="22"/>
      <c r="C316" s="22"/>
      <c r="D316" s="22"/>
      <c r="E316" s="22"/>
      <c r="F316" s="22"/>
      <c r="G316" s="22"/>
      <c r="H316" s="22"/>
      <c r="I316" s="22"/>
      <c r="J316" s="22"/>
      <c r="K316" s="22"/>
      <c r="L316" s="22"/>
      <c r="M316" s="22"/>
      <c r="N316" s="22"/>
    </row>
    <row r="317" spans="1:14">
      <c r="A317" s="64" t="s">
        <v>252</v>
      </c>
      <c r="B317" s="107">
        <v>85129</v>
      </c>
      <c r="C317" s="107">
        <v>87042.58</v>
      </c>
      <c r="D317" s="107">
        <v>87042.58</v>
      </c>
      <c r="E317" s="107">
        <v>87042.58</v>
      </c>
      <c r="F317" s="107">
        <v>87042.58</v>
      </c>
      <c r="G317" s="107">
        <v>87042.58</v>
      </c>
      <c r="H317" s="107">
        <v>87042.58</v>
      </c>
      <c r="I317" s="107">
        <v>87042.58</v>
      </c>
      <c r="J317" s="107">
        <v>87042.58</v>
      </c>
      <c r="K317" s="107">
        <v>87042.58</v>
      </c>
      <c r="L317" s="107">
        <v>-435212.9</v>
      </c>
      <c r="M317" s="107"/>
      <c r="N317" s="107">
        <v>433299.32</v>
      </c>
    </row>
    <row r="318" spans="1:14">
      <c r="A318" s="64" t="s">
        <v>253</v>
      </c>
      <c r="B318" s="107">
        <v>120.11</v>
      </c>
      <c r="C318" s="107">
        <v>120.11</v>
      </c>
      <c r="D318" s="107">
        <v>120.11</v>
      </c>
      <c r="E318" s="107">
        <v>120.11</v>
      </c>
      <c r="F318" s="107">
        <v>120.11</v>
      </c>
      <c r="G318" s="22"/>
      <c r="H318" s="22"/>
      <c r="I318" s="22"/>
      <c r="J318" s="107">
        <v>60.92</v>
      </c>
      <c r="K318" s="107">
        <v>60.92</v>
      </c>
      <c r="L318" s="107">
        <v>-121.84</v>
      </c>
      <c r="M318" s="107"/>
      <c r="N318" s="107">
        <v>600.54999999999995</v>
      </c>
    </row>
    <row r="319" spans="1:14">
      <c r="A319" s="64" t="s">
        <v>321</v>
      </c>
      <c r="B319" s="107">
        <v>209.23</v>
      </c>
      <c r="C319" s="22"/>
      <c r="D319" s="22"/>
      <c r="E319" s="22"/>
      <c r="F319" s="22"/>
      <c r="G319" s="22"/>
      <c r="H319" s="107">
        <v>300</v>
      </c>
      <c r="I319" s="22"/>
      <c r="J319" s="22"/>
      <c r="K319" s="22"/>
      <c r="L319" s="107">
        <v>-300</v>
      </c>
      <c r="M319" s="22"/>
      <c r="N319" s="107">
        <v>209.23</v>
      </c>
    </row>
    <row r="320" spans="1:14">
      <c r="A320" s="64" t="s">
        <v>254</v>
      </c>
      <c r="B320" s="111">
        <v>72.19</v>
      </c>
      <c r="C320" s="111">
        <v>1193.9000000000001</v>
      </c>
      <c r="D320" s="111">
        <v>19.55</v>
      </c>
      <c r="E320" s="111">
        <v>52.58</v>
      </c>
      <c r="F320" s="111">
        <v>57.96</v>
      </c>
      <c r="G320" s="111">
        <v>20</v>
      </c>
      <c r="H320" s="111">
        <v>53.69</v>
      </c>
      <c r="I320" s="111">
        <v>53.51</v>
      </c>
      <c r="J320" s="111">
        <v>23.56</v>
      </c>
      <c r="K320" s="111">
        <v>105.48</v>
      </c>
      <c r="L320" s="111">
        <v>-256.24</v>
      </c>
      <c r="M320" s="111"/>
      <c r="N320" s="111">
        <v>1396.18</v>
      </c>
    </row>
    <row r="321" spans="1:14">
      <c r="A321" s="64" t="s">
        <v>255</v>
      </c>
      <c r="B321" s="107">
        <f t="shared" ref="B321:L321" si="65">SUM(B315:B320)</f>
        <v>85530.53</v>
      </c>
      <c r="C321" s="107">
        <f t="shared" si="65"/>
        <v>88356.59</v>
      </c>
      <c r="D321" s="107">
        <f t="shared" si="65"/>
        <v>87182.24</v>
      </c>
      <c r="E321" s="107">
        <f t="shared" si="65"/>
        <v>87215.27</v>
      </c>
      <c r="F321" s="107">
        <f t="shared" si="65"/>
        <v>87220.650000000009</v>
      </c>
      <c r="G321" s="107">
        <f t="shared" si="65"/>
        <v>87062.58</v>
      </c>
      <c r="H321" s="107">
        <f t="shared" si="65"/>
        <v>87396.27</v>
      </c>
      <c r="I321" s="107">
        <f t="shared" si="65"/>
        <v>87096.09</v>
      </c>
      <c r="J321" s="107">
        <f t="shared" si="65"/>
        <v>87127.06</v>
      </c>
      <c r="K321" s="107">
        <f t="shared" si="65"/>
        <v>87208.98</v>
      </c>
      <c r="L321" s="107">
        <f t="shared" si="65"/>
        <v>-435890.98000000004</v>
      </c>
      <c r="M321" s="107"/>
      <c r="N321" s="107">
        <v>435505.28</v>
      </c>
    </row>
    <row r="322" spans="1:14">
      <c r="A322" s="64"/>
      <c r="B322" s="22"/>
      <c r="C322" s="22"/>
      <c r="D322" s="22"/>
      <c r="E322" s="22"/>
      <c r="F322" s="22"/>
      <c r="G322" s="22"/>
      <c r="H322" s="22"/>
      <c r="I322" s="22"/>
      <c r="J322" s="22"/>
      <c r="K322" s="22"/>
      <c r="L322" s="22"/>
      <c r="M322" s="22"/>
      <c r="N322" s="22"/>
    </row>
    <row r="323" spans="1:14">
      <c r="A323" s="64" t="s">
        <v>256</v>
      </c>
      <c r="B323" s="22"/>
      <c r="C323" s="22"/>
      <c r="D323" s="22"/>
      <c r="E323" s="22"/>
      <c r="F323" s="22"/>
      <c r="G323" s="22"/>
      <c r="H323" s="22"/>
      <c r="I323" s="22"/>
      <c r="J323" s="22"/>
      <c r="K323" s="22"/>
      <c r="L323" s="22"/>
      <c r="M323" s="22"/>
      <c r="N323" s="22"/>
    </row>
    <row r="324" spans="1:14">
      <c r="A324" s="64" t="s">
        <v>257</v>
      </c>
      <c r="B324" s="111">
        <v>68.5</v>
      </c>
      <c r="C324" s="111">
        <v>276.87</v>
      </c>
      <c r="D324" s="111">
        <v>-147.94999999999999</v>
      </c>
      <c r="E324" s="113"/>
      <c r="F324" s="111">
        <v>-52636.74</v>
      </c>
      <c r="G324" s="113"/>
      <c r="H324" s="113"/>
      <c r="I324" s="113"/>
      <c r="J324" s="113"/>
      <c r="K324" s="113"/>
      <c r="L324" s="113"/>
      <c r="M324" s="113"/>
      <c r="N324" s="111">
        <v>-52439.32</v>
      </c>
    </row>
    <row r="325" spans="1:14">
      <c r="A325" s="64" t="s">
        <v>258</v>
      </c>
      <c r="B325" s="107">
        <f>SUM(B322:B324)</f>
        <v>68.5</v>
      </c>
      <c r="C325" s="107">
        <f>SUM(C322:C324)</f>
        <v>276.87</v>
      </c>
      <c r="D325" s="107">
        <f>SUM(D322:D324)</f>
        <v>-147.94999999999999</v>
      </c>
      <c r="E325" s="107"/>
      <c r="F325" s="107">
        <f>SUM(F322:F324)</f>
        <v>-52636.74</v>
      </c>
      <c r="G325" s="107"/>
      <c r="H325" s="107"/>
      <c r="I325" s="107"/>
      <c r="J325" s="107"/>
      <c r="K325" s="107"/>
      <c r="L325" s="107"/>
      <c r="M325" s="107"/>
      <c r="N325" s="107">
        <v>-52439.32</v>
      </c>
    </row>
    <row r="326" spans="1:14">
      <c r="A326" s="64"/>
      <c r="B326" s="22"/>
      <c r="C326" s="22"/>
      <c r="D326" s="22"/>
      <c r="E326" s="22"/>
      <c r="F326" s="22"/>
      <c r="G326" s="22"/>
      <c r="H326" s="22"/>
      <c r="I326" s="22"/>
      <c r="J326" s="22"/>
      <c r="K326" s="22"/>
      <c r="L326" s="22"/>
      <c r="M326" s="22"/>
      <c r="N326" s="22"/>
    </row>
    <row r="327" spans="1:14" ht="15.75" thickBot="1">
      <c r="A327" s="64" t="s">
        <v>62</v>
      </c>
      <c r="B327" s="112">
        <f t="shared" ref="B327:L327" si="66">SUM(B189:B326)-B206-B213-B224-B240-B262-B278-B286-B294-B299-B307-B314-B321-B325</f>
        <v>645780.13000000035</v>
      </c>
      <c r="C327" s="112">
        <f t="shared" si="66"/>
        <v>679451.05999999994</v>
      </c>
      <c r="D327" s="112">
        <f t="shared" si="66"/>
        <v>659756.73999999964</v>
      </c>
      <c r="E327" s="112">
        <f t="shared" si="66"/>
        <v>604362.31999999972</v>
      </c>
      <c r="F327" s="112">
        <f t="shared" si="66"/>
        <v>-718108.74999999965</v>
      </c>
      <c r="G327" s="112">
        <f t="shared" si="66"/>
        <v>625082.64000000071</v>
      </c>
      <c r="H327" s="112">
        <f t="shared" si="66"/>
        <v>627216.68000000017</v>
      </c>
      <c r="I327" s="112">
        <f t="shared" si="66"/>
        <v>702950.00999999978</v>
      </c>
      <c r="J327" s="112">
        <f t="shared" si="66"/>
        <v>605631.87000000011</v>
      </c>
      <c r="K327" s="112">
        <f t="shared" si="66"/>
        <v>527368.22999999975</v>
      </c>
      <c r="L327" s="112">
        <f t="shared" si="66"/>
        <v>-3088249.4300000006</v>
      </c>
      <c r="M327" s="112"/>
      <c r="N327" s="112">
        <v>1871241.5</v>
      </c>
    </row>
    <row r="328" spans="1:14" ht="15.75" thickTop="1">
      <c r="A328" s="64"/>
      <c r="B328" s="22"/>
      <c r="C328" s="22"/>
      <c r="D328" s="22"/>
      <c r="E328" s="22"/>
      <c r="F328" s="22"/>
      <c r="G328" s="22"/>
      <c r="H328" s="22"/>
      <c r="I328" s="22"/>
      <c r="J328" s="22"/>
      <c r="K328" s="22"/>
      <c r="L328" s="22"/>
      <c r="M328" s="22"/>
      <c r="N328" s="22"/>
    </row>
    <row r="329" spans="1:14" ht="15.75" thickBot="1">
      <c r="A329" s="64" t="s">
        <v>259</v>
      </c>
      <c r="B329" s="112">
        <f t="shared" ref="B329:L329" si="67">+B186-B327</f>
        <v>-22525.319999999832</v>
      </c>
      <c r="C329" s="112">
        <f t="shared" si="67"/>
        <v>-6521.7299999999814</v>
      </c>
      <c r="D329" s="112">
        <f t="shared" si="67"/>
        <v>8276.7300000014948</v>
      </c>
      <c r="E329" s="112">
        <f t="shared" si="67"/>
        <v>-102549.65999999963</v>
      </c>
      <c r="F329" s="112">
        <f t="shared" si="67"/>
        <v>-78674.860000000219</v>
      </c>
      <c r="G329" s="112">
        <f t="shared" si="67"/>
        <v>-70823.610000000219</v>
      </c>
      <c r="H329" s="112">
        <f t="shared" si="67"/>
        <v>17757.179999999469</v>
      </c>
      <c r="I329" s="112">
        <f t="shared" si="67"/>
        <v>20641.790000000736</v>
      </c>
      <c r="J329" s="112">
        <f t="shared" si="67"/>
        <v>-3713.6100000002189</v>
      </c>
      <c r="K329" s="112">
        <f t="shared" si="67"/>
        <v>27955.88000000082</v>
      </c>
      <c r="L329" s="112">
        <f t="shared" si="67"/>
        <v>8182.3700000019744</v>
      </c>
      <c r="M329" s="112"/>
      <c r="N329" s="112">
        <v>-201994.84</v>
      </c>
    </row>
    <row r="330" spans="1:14" ht="15.75" thickTop="1">
      <c r="A330" s="64"/>
      <c r="B330" s="22"/>
      <c r="C330" s="22"/>
      <c r="D330" s="22"/>
      <c r="E330" s="22"/>
      <c r="F330" s="22"/>
      <c r="G330" s="22"/>
      <c r="H330" s="22"/>
      <c r="I330" s="22"/>
      <c r="J330" s="22"/>
      <c r="K330" s="22"/>
      <c r="L330" s="22"/>
      <c r="M330" s="22"/>
      <c r="N330" s="22"/>
    </row>
    <row r="331" spans="1:14">
      <c r="A331" s="64" t="s">
        <v>351</v>
      </c>
      <c r="B331" s="107">
        <v>16614.2</v>
      </c>
      <c r="C331" s="107">
        <v>16701.77</v>
      </c>
      <c r="D331" s="107">
        <v>16475.39</v>
      </c>
      <c r="E331" s="107">
        <v>655.21</v>
      </c>
      <c r="F331" s="107">
        <v>63052.800000000003</v>
      </c>
      <c r="G331" s="107">
        <v>23185.52</v>
      </c>
      <c r="H331" s="107">
        <v>42153.41</v>
      </c>
      <c r="I331" s="107">
        <v>120968.99</v>
      </c>
      <c r="J331" s="107">
        <v>106629.77</v>
      </c>
      <c r="K331" s="107">
        <v>146294.44</v>
      </c>
      <c r="L331" s="107">
        <v>-439232.13</v>
      </c>
      <c r="M331" s="107"/>
      <c r="N331" s="107">
        <v>113499.37</v>
      </c>
    </row>
    <row r="332" spans="1:14">
      <c r="A332" s="64" t="s">
        <v>418</v>
      </c>
      <c r="B332" s="113"/>
      <c r="C332" s="113"/>
      <c r="D332" s="113"/>
      <c r="E332" s="113"/>
      <c r="F332" s="113"/>
      <c r="G332" s="113"/>
      <c r="H332" s="113"/>
      <c r="I332" s="113"/>
      <c r="J332" s="113"/>
      <c r="K332" s="113"/>
      <c r="L332" s="111">
        <v>495262.8</v>
      </c>
      <c r="M332" s="111">
        <v>-58.23</v>
      </c>
      <c r="N332" s="111">
        <v>495204.57</v>
      </c>
    </row>
    <row r="333" spans="1:14">
      <c r="A333" s="64" t="s">
        <v>64</v>
      </c>
      <c r="B333" s="107">
        <f t="shared" ref="B333:M333" si="68">SUM(B330:B332)</f>
        <v>16614.2</v>
      </c>
      <c r="C333" s="107">
        <f t="shared" si="68"/>
        <v>16701.77</v>
      </c>
      <c r="D333" s="107">
        <f t="shared" si="68"/>
        <v>16475.39</v>
      </c>
      <c r="E333" s="107">
        <f t="shared" si="68"/>
        <v>655.21</v>
      </c>
      <c r="F333" s="107">
        <f t="shared" si="68"/>
        <v>63052.800000000003</v>
      </c>
      <c r="G333" s="107">
        <f t="shared" si="68"/>
        <v>23185.52</v>
      </c>
      <c r="H333" s="107">
        <f t="shared" si="68"/>
        <v>42153.41</v>
      </c>
      <c r="I333" s="107">
        <f t="shared" si="68"/>
        <v>120968.99</v>
      </c>
      <c r="J333" s="107">
        <f t="shared" si="68"/>
        <v>106629.77</v>
      </c>
      <c r="K333" s="107">
        <f t="shared" si="68"/>
        <v>146294.44</v>
      </c>
      <c r="L333" s="107">
        <f t="shared" si="68"/>
        <v>56030.669999999984</v>
      </c>
      <c r="M333" s="107">
        <f t="shared" si="68"/>
        <v>-58.23</v>
      </c>
      <c r="N333" s="107">
        <v>608703.93999999994</v>
      </c>
    </row>
    <row r="334" spans="1:14">
      <c r="A334" s="64"/>
      <c r="B334" s="22"/>
      <c r="C334" s="22"/>
      <c r="D334" s="22"/>
      <c r="E334" s="22"/>
      <c r="F334" s="22"/>
      <c r="G334" s="22"/>
      <c r="H334" s="22"/>
      <c r="I334" s="22"/>
      <c r="J334" s="22"/>
      <c r="K334" s="22"/>
      <c r="L334" s="22"/>
      <c r="M334" s="22"/>
      <c r="N334" s="22"/>
    </row>
    <row r="335" spans="1:14" ht="15.75" thickBot="1">
      <c r="A335" s="64" t="s">
        <v>22</v>
      </c>
      <c r="B335" s="112">
        <f t="shared" ref="B335:M335" si="69">+B329-B333</f>
        <v>-39139.519999999829</v>
      </c>
      <c r="C335" s="112">
        <f t="shared" si="69"/>
        <v>-23223.499999999982</v>
      </c>
      <c r="D335" s="112">
        <f t="shared" si="69"/>
        <v>-8198.6599999985046</v>
      </c>
      <c r="E335" s="112">
        <f t="shared" si="69"/>
        <v>-103204.86999999963</v>
      </c>
      <c r="F335" s="112">
        <f t="shared" si="69"/>
        <v>-141727.66000000021</v>
      </c>
      <c r="G335" s="112">
        <f t="shared" si="69"/>
        <v>-94009.130000000223</v>
      </c>
      <c r="H335" s="112">
        <f t="shared" si="69"/>
        <v>-24396.230000000534</v>
      </c>
      <c r="I335" s="112">
        <f t="shared" si="69"/>
        <v>-100327.19999999927</v>
      </c>
      <c r="J335" s="112">
        <f t="shared" si="69"/>
        <v>-110343.38000000022</v>
      </c>
      <c r="K335" s="112">
        <f t="shared" si="69"/>
        <v>-118338.55999999918</v>
      </c>
      <c r="L335" s="112">
        <f t="shared" si="69"/>
        <v>-47848.299999998009</v>
      </c>
      <c r="M335" s="112">
        <f t="shared" si="69"/>
        <v>58.23</v>
      </c>
      <c r="N335" s="112">
        <v>-810698.78</v>
      </c>
    </row>
    <row r="336" spans="1:14" ht="15.75" thickTop="1">
      <c r="A336" s="64"/>
      <c r="B336" s="22"/>
      <c r="C336" s="22"/>
      <c r="D336" s="22"/>
      <c r="E336" s="22"/>
      <c r="F336" s="22"/>
      <c r="G336" s="22"/>
      <c r="H336" s="22"/>
      <c r="I336" s="22"/>
      <c r="J336" s="22"/>
      <c r="K336" s="22"/>
      <c r="L336" s="22"/>
      <c r="M336" s="22"/>
      <c r="N336" s="22"/>
    </row>
    <row r="337" spans="1:14">
      <c r="A337" s="64"/>
      <c r="B337" s="22"/>
      <c r="C337" s="22"/>
      <c r="D337" s="22"/>
      <c r="E337" s="22"/>
      <c r="F337" s="22"/>
      <c r="G337" s="22"/>
      <c r="H337" s="22"/>
      <c r="I337" s="22"/>
      <c r="J337" s="22"/>
      <c r="K337" s="22"/>
      <c r="L337" s="22"/>
      <c r="M337" s="22"/>
      <c r="N337" s="22"/>
    </row>
    <row r="338" spans="1:14">
      <c r="A338" s="64" t="s">
        <v>260</v>
      </c>
      <c r="B338" s="22"/>
      <c r="C338" s="22"/>
      <c r="D338" s="22"/>
      <c r="E338" s="22"/>
      <c r="F338" s="22"/>
      <c r="G338" s="22"/>
      <c r="H338" s="22"/>
      <c r="I338" s="22"/>
      <c r="J338" s="22"/>
      <c r="K338" s="22"/>
      <c r="L338" s="22"/>
      <c r="M338" s="22"/>
      <c r="N338" s="22"/>
    </row>
    <row r="339" spans="1:14">
      <c r="A339" s="64"/>
      <c r="B339" s="22"/>
      <c r="C339" s="22"/>
      <c r="D339" s="22"/>
      <c r="E339" s="22"/>
      <c r="F339" s="22"/>
      <c r="G339" s="22"/>
      <c r="H339" s="22"/>
      <c r="I339" s="22"/>
      <c r="J339" s="22"/>
      <c r="K339" s="22"/>
      <c r="L339" s="22"/>
      <c r="M339" s="22"/>
      <c r="N339" s="22"/>
    </row>
    <row r="340" spans="1:14">
      <c r="A340" s="64" t="s">
        <v>19</v>
      </c>
      <c r="B340" s="22"/>
      <c r="C340" s="22"/>
      <c r="D340" s="22"/>
      <c r="E340" s="22"/>
      <c r="F340" s="22"/>
      <c r="G340" s="22"/>
      <c r="H340" s="22"/>
      <c r="I340" s="22"/>
      <c r="J340" s="22"/>
      <c r="K340" s="22"/>
      <c r="L340" s="22"/>
      <c r="M340" s="22"/>
      <c r="N340" s="22"/>
    </row>
    <row r="341" spans="1:14">
      <c r="A341" s="64" t="s">
        <v>261</v>
      </c>
      <c r="B341" s="107">
        <v>-48</v>
      </c>
      <c r="C341" s="107">
        <v>-64</v>
      </c>
      <c r="D341" s="107">
        <v>-126</v>
      </c>
      <c r="E341" s="107">
        <v>-110</v>
      </c>
      <c r="F341" s="107">
        <v>-10</v>
      </c>
      <c r="G341" s="107">
        <v>37</v>
      </c>
      <c r="H341" s="107">
        <v>-16</v>
      </c>
      <c r="I341" s="107">
        <v>-257</v>
      </c>
      <c r="J341" s="107">
        <v>-12</v>
      </c>
      <c r="K341" s="107">
        <v>67</v>
      </c>
      <c r="L341" s="107">
        <v>-677</v>
      </c>
      <c r="M341" s="107">
        <v>1</v>
      </c>
      <c r="N341" s="107">
        <v>-1215</v>
      </c>
    </row>
    <row r="342" spans="1:14">
      <c r="A342" s="64" t="s">
        <v>66</v>
      </c>
      <c r="B342" s="111">
        <v>1514</v>
      </c>
      <c r="C342" s="111">
        <v>1387</v>
      </c>
      <c r="D342" s="111">
        <v>1393</v>
      </c>
      <c r="E342" s="111">
        <v>1342</v>
      </c>
      <c r="F342" s="111">
        <v>1361</v>
      </c>
      <c r="G342" s="111">
        <v>1350</v>
      </c>
      <c r="H342" s="111">
        <v>1312</v>
      </c>
      <c r="I342" s="111">
        <v>1307</v>
      </c>
      <c r="J342" s="111">
        <v>1331</v>
      </c>
      <c r="K342" s="111">
        <v>1493</v>
      </c>
      <c r="L342" s="111">
        <v>1433</v>
      </c>
      <c r="M342" s="111">
        <v>-8226</v>
      </c>
      <c r="N342" s="111">
        <v>6997</v>
      </c>
    </row>
    <row r="343" spans="1:14">
      <c r="A343" s="64" t="s">
        <v>85</v>
      </c>
      <c r="B343" s="107">
        <f t="shared" ref="B343:M343" si="70">SUM(B340:B342)</f>
        <v>1466</v>
      </c>
      <c r="C343" s="107">
        <f t="shared" si="70"/>
        <v>1323</v>
      </c>
      <c r="D343" s="107">
        <f t="shared" si="70"/>
        <v>1267</v>
      </c>
      <c r="E343" s="107">
        <f t="shared" si="70"/>
        <v>1232</v>
      </c>
      <c r="F343" s="107">
        <f t="shared" si="70"/>
        <v>1351</v>
      </c>
      <c r="G343" s="107">
        <f t="shared" si="70"/>
        <v>1387</v>
      </c>
      <c r="H343" s="107">
        <f t="shared" si="70"/>
        <v>1296</v>
      </c>
      <c r="I343" s="107">
        <f t="shared" si="70"/>
        <v>1050</v>
      </c>
      <c r="J343" s="107">
        <f t="shared" si="70"/>
        <v>1319</v>
      </c>
      <c r="K343" s="107">
        <f t="shared" si="70"/>
        <v>1560</v>
      </c>
      <c r="L343" s="107">
        <f t="shared" si="70"/>
        <v>756</v>
      </c>
      <c r="M343" s="107">
        <f t="shared" si="70"/>
        <v>-8225</v>
      </c>
      <c r="N343" s="107">
        <v>5782</v>
      </c>
    </row>
    <row r="344" spans="1:14">
      <c r="A344" s="64"/>
      <c r="B344" s="22"/>
      <c r="C344" s="22"/>
      <c r="D344" s="22"/>
      <c r="E344" s="22"/>
      <c r="F344" s="22"/>
      <c r="G344" s="22"/>
      <c r="H344" s="22"/>
      <c r="I344" s="22"/>
      <c r="J344" s="22"/>
      <c r="K344" s="22"/>
      <c r="L344" s="22"/>
      <c r="M344" s="22"/>
      <c r="N344" s="22"/>
    </row>
    <row r="345" spans="1:14">
      <c r="A345" s="64" t="s">
        <v>20</v>
      </c>
      <c r="B345" s="22"/>
      <c r="C345" s="22"/>
      <c r="D345" s="22"/>
      <c r="E345" s="22"/>
      <c r="F345" s="22"/>
      <c r="G345" s="22"/>
      <c r="H345" s="22"/>
      <c r="I345" s="22"/>
      <c r="J345" s="22"/>
      <c r="K345" s="22"/>
      <c r="L345" s="22"/>
      <c r="M345" s="22"/>
      <c r="N345" s="22"/>
    </row>
    <row r="346" spans="1:14">
      <c r="A346" s="64" t="s">
        <v>261</v>
      </c>
      <c r="B346" s="22"/>
      <c r="C346" s="22"/>
      <c r="D346" s="107">
        <v>1</v>
      </c>
      <c r="E346" s="22"/>
      <c r="F346" s="22"/>
      <c r="G346" s="22"/>
      <c r="H346" s="22"/>
      <c r="I346" s="22"/>
      <c r="J346" s="107">
        <v>3</v>
      </c>
      <c r="K346" s="22"/>
      <c r="L346" s="107">
        <v>-77</v>
      </c>
      <c r="M346" s="22"/>
      <c r="N346" s="107">
        <v>-73</v>
      </c>
    </row>
    <row r="347" spans="1:14">
      <c r="A347" s="64" t="s">
        <v>66</v>
      </c>
      <c r="B347" s="111">
        <v>103</v>
      </c>
      <c r="C347" s="111">
        <v>75</v>
      </c>
      <c r="D347" s="111">
        <v>62</v>
      </c>
      <c r="E347" s="111">
        <v>73</v>
      </c>
      <c r="F347" s="111">
        <v>58</v>
      </c>
      <c r="G347" s="111">
        <v>60</v>
      </c>
      <c r="H347" s="111">
        <v>28</v>
      </c>
      <c r="I347" s="111">
        <v>47</v>
      </c>
      <c r="J347" s="111">
        <v>80</v>
      </c>
      <c r="K347" s="111">
        <v>98</v>
      </c>
      <c r="L347" s="111">
        <v>60</v>
      </c>
      <c r="M347" s="111">
        <v>-373</v>
      </c>
      <c r="N347" s="111">
        <v>371</v>
      </c>
    </row>
    <row r="348" spans="1:14">
      <c r="A348" s="64" t="s">
        <v>262</v>
      </c>
      <c r="B348" s="107">
        <f t="shared" ref="B348:M348" si="71">SUM(B344:B347)</f>
        <v>103</v>
      </c>
      <c r="C348" s="107">
        <f t="shared" si="71"/>
        <v>75</v>
      </c>
      <c r="D348" s="107">
        <f t="shared" si="71"/>
        <v>63</v>
      </c>
      <c r="E348" s="107">
        <f t="shared" si="71"/>
        <v>73</v>
      </c>
      <c r="F348" s="107">
        <f t="shared" si="71"/>
        <v>58</v>
      </c>
      <c r="G348" s="107">
        <f t="shared" si="71"/>
        <v>60</v>
      </c>
      <c r="H348" s="107">
        <f t="shared" si="71"/>
        <v>28</v>
      </c>
      <c r="I348" s="107">
        <f t="shared" si="71"/>
        <v>47</v>
      </c>
      <c r="J348" s="107">
        <f t="shared" si="71"/>
        <v>83</v>
      </c>
      <c r="K348" s="107">
        <f t="shared" si="71"/>
        <v>98</v>
      </c>
      <c r="L348" s="107">
        <f t="shared" si="71"/>
        <v>-17</v>
      </c>
      <c r="M348" s="107">
        <f t="shared" si="71"/>
        <v>-373</v>
      </c>
      <c r="N348" s="107">
        <v>298</v>
      </c>
    </row>
    <row r="349" spans="1:14">
      <c r="A349" s="64"/>
      <c r="B349" s="22"/>
      <c r="C349" s="22"/>
      <c r="D349" s="22"/>
      <c r="E349" s="22"/>
      <c r="F349" s="22"/>
      <c r="G349" s="22"/>
      <c r="H349" s="22"/>
      <c r="I349" s="22"/>
      <c r="J349" s="22"/>
      <c r="K349" s="22"/>
      <c r="L349" s="22"/>
      <c r="M349" s="22"/>
      <c r="N349" s="22"/>
    </row>
    <row r="350" spans="1:14">
      <c r="A350" s="64" t="s">
        <v>263</v>
      </c>
      <c r="B350" s="22"/>
      <c r="C350" s="22"/>
      <c r="D350" s="22"/>
      <c r="E350" s="22"/>
      <c r="F350" s="22"/>
      <c r="G350" s="22"/>
      <c r="H350" s="22"/>
      <c r="I350" s="22"/>
      <c r="J350" s="22"/>
      <c r="K350" s="22"/>
      <c r="L350" s="22"/>
      <c r="M350" s="22"/>
      <c r="N350" s="22"/>
    </row>
    <row r="351" spans="1:14">
      <c r="A351" s="64" t="s">
        <v>261</v>
      </c>
      <c r="B351" s="107">
        <v>-1</v>
      </c>
      <c r="C351" s="22"/>
      <c r="D351" s="22"/>
      <c r="E351" s="107">
        <v>-8</v>
      </c>
      <c r="F351" s="22"/>
      <c r="G351" s="22"/>
      <c r="H351" s="107">
        <v>-8</v>
      </c>
      <c r="I351" s="107">
        <v>26</v>
      </c>
      <c r="J351" s="22"/>
      <c r="K351" s="107">
        <v>-48</v>
      </c>
      <c r="L351" s="22"/>
      <c r="M351" s="107">
        <v>-1</v>
      </c>
      <c r="N351" s="107">
        <v>-40</v>
      </c>
    </row>
    <row r="352" spans="1:14">
      <c r="A352" s="64" t="s">
        <v>66</v>
      </c>
      <c r="B352" s="111">
        <v>186</v>
      </c>
      <c r="C352" s="111">
        <v>172</v>
      </c>
      <c r="D352" s="111">
        <v>146</v>
      </c>
      <c r="E352" s="111">
        <v>124</v>
      </c>
      <c r="F352" s="111">
        <v>125</v>
      </c>
      <c r="G352" s="111">
        <v>186</v>
      </c>
      <c r="H352" s="111">
        <v>176</v>
      </c>
      <c r="I352" s="111">
        <v>227</v>
      </c>
      <c r="J352" s="111">
        <v>199</v>
      </c>
      <c r="K352" s="111">
        <v>103</v>
      </c>
      <c r="L352" s="111">
        <v>88</v>
      </c>
      <c r="M352" s="111">
        <v>-979</v>
      </c>
      <c r="N352" s="111">
        <v>753</v>
      </c>
    </row>
    <row r="353" spans="1:14">
      <c r="A353" s="64" t="s">
        <v>264</v>
      </c>
      <c r="B353" s="107">
        <f t="shared" ref="B353:M353" si="72">SUM(B349:B352)</f>
        <v>185</v>
      </c>
      <c r="C353" s="107">
        <f t="shared" si="72"/>
        <v>172</v>
      </c>
      <c r="D353" s="107">
        <f t="shared" si="72"/>
        <v>146</v>
      </c>
      <c r="E353" s="107">
        <f t="shared" si="72"/>
        <v>116</v>
      </c>
      <c r="F353" s="107">
        <f t="shared" si="72"/>
        <v>125</v>
      </c>
      <c r="G353" s="107">
        <f t="shared" si="72"/>
        <v>186</v>
      </c>
      <c r="H353" s="107">
        <f t="shared" si="72"/>
        <v>168</v>
      </c>
      <c r="I353" s="107">
        <f t="shared" si="72"/>
        <v>253</v>
      </c>
      <c r="J353" s="107">
        <f t="shared" si="72"/>
        <v>199</v>
      </c>
      <c r="K353" s="107">
        <f t="shared" si="72"/>
        <v>55</v>
      </c>
      <c r="L353" s="107">
        <f t="shared" si="72"/>
        <v>88</v>
      </c>
      <c r="M353" s="107">
        <f t="shared" si="72"/>
        <v>-980</v>
      </c>
      <c r="N353" s="107">
        <v>713</v>
      </c>
    </row>
    <row r="354" spans="1:14">
      <c r="A354" s="64"/>
      <c r="B354" s="22"/>
      <c r="C354" s="22"/>
      <c r="D354" s="22"/>
      <c r="E354" s="22"/>
      <c r="F354" s="22"/>
      <c r="G354" s="22"/>
      <c r="H354" s="22"/>
      <c r="I354" s="22"/>
      <c r="J354" s="22"/>
      <c r="K354" s="22"/>
      <c r="L354" s="22"/>
      <c r="M354" s="22"/>
      <c r="N354" s="22"/>
    </row>
    <row r="355" spans="1:14">
      <c r="A355" s="64" t="s">
        <v>265</v>
      </c>
      <c r="B355" s="113"/>
      <c r="C355" s="113"/>
      <c r="D355" s="113"/>
      <c r="E355" s="113"/>
      <c r="F355" s="113"/>
      <c r="G355" s="113"/>
      <c r="H355" s="113"/>
      <c r="I355" s="113"/>
      <c r="J355" s="113"/>
      <c r="K355" s="113"/>
      <c r="L355" s="113"/>
      <c r="M355" s="113"/>
      <c r="N355" s="113"/>
    </row>
    <row r="356" spans="1:14">
      <c r="A356" s="64" t="s">
        <v>319</v>
      </c>
      <c r="B356" s="107"/>
      <c r="C356" s="107"/>
      <c r="D356" s="107"/>
      <c r="E356" s="107"/>
      <c r="F356" s="107"/>
      <c r="G356" s="107"/>
      <c r="H356" s="107"/>
      <c r="I356" s="107"/>
      <c r="J356" s="107"/>
      <c r="K356" s="107"/>
      <c r="L356" s="107"/>
      <c r="M356" s="107"/>
      <c r="N356" s="107"/>
    </row>
    <row r="357" spans="1:14">
      <c r="A357" s="64"/>
      <c r="B357" s="22"/>
      <c r="C357" s="22"/>
      <c r="D357" s="22"/>
      <c r="E357" s="22"/>
      <c r="F357" s="22"/>
      <c r="G357" s="22"/>
      <c r="H357" s="22"/>
      <c r="I357" s="22"/>
      <c r="J357" s="22"/>
      <c r="K357" s="22"/>
      <c r="L357" s="22"/>
      <c r="M357" s="22"/>
      <c r="N357" s="22"/>
    </row>
    <row r="358" spans="1:14">
      <c r="A358" s="64" t="s">
        <v>106</v>
      </c>
      <c r="B358" s="22"/>
      <c r="C358" s="22"/>
      <c r="D358" s="22"/>
      <c r="E358" s="22"/>
      <c r="F358" s="22"/>
      <c r="G358" s="22"/>
      <c r="H358" s="22"/>
      <c r="I358" s="22"/>
      <c r="J358" s="22"/>
      <c r="K358" s="22"/>
      <c r="L358" s="22"/>
      <c r="M358" s="22"/>
      <c r="N358" s="22"/>
    </row>
    <row r="359" spans="1:14">
      <c r="A359" s="64" t="s">
        <v>261</v>
      </c>
      <c r="B359" s="22"/>
      <c r="C359" s="22"/>
      <c r="D359" s="22"/>
      <c r="E359" s="107">
        <v>5</v>
      </c>
      <c r="F359" s="22"/>
      <c r="G359" s="107">
        <v>1</v>
      </c>
      <c r="H359" s="107">
        <v>-6</v>
      </c>
      <c r="I359" s="107">
        <v>-26</v>
      </c>
      <c r="J359" s="107">
        <v>-4</v>
      </c>
      <c r="K359" s="107">
        <v>50</v>
      </c>
      <c r="L359" s="107">
        <v>6</v>
      </c>
      <c r="M359" s="22"/>
      <c r="N359" s="107">
        <v>26</v>
      </c>
    </row>
    <row r="360" spans="1:14">
      <c r="A360" s="64" t="s">
        <v>66</v>
      </c>
      <c r="B360" s="111">
        <v>307</v>
      </c>
      <c r="C360" s="111">
        <v>326</v>
      </c>
      <c r="D360" s="111">
        <v>348</v>
      </c>
      <c r="E360" s="111">
        <v>193</v>
      </c>
      <c r="F360" s="111">
        <v>205</v>
      </c>
      <c r="G360" s="111">
        <v>175</v>
      </c>
      <c r="H360" s="111">
        <v>312</v>
      </c>
      <c r="I360" s="111">
        <v>312</v>
      </c>
      <c r="J360" s="111">
        <v>211</v>
      </c>
      <c r="K360" s="111">
        <v>180</v>
      </c>
      <c r="L360" s="111">
        <v>142</v>
      </c>
      <c r="M360" s="111">
        <v>-1332</v>
      </c>
      <c r="N360" s="111">
        <v>1379</v>
      </c>
    </row>
    <row r="361" spans="1:14">
      <c r="A361" s="64" t="s">
        <v>116</v>
      </c>
      <c r="B361" s="107">
        <f t="shared" ref="B361:M361" si="73">SUM(B357:B360)</f>
        <v>307</v>
      </c>
      <c r="C361" s="107">
        <f t="shared" si="73"/>
        <v>326</v>
      </c>
      <c r="D361" s="107">
        <f t="shared" si="73"/>
        <v>348</v>
      </c>
      <c r="E361" s="107">
        <f t="shared" si="73"/>
        <v>198</v>
      </c>
      <c r="F361" s="107">
        <f t="shared" si="73"/>
        <v>205</v>
      </c>
      <c r="G361" s="107">
        <f t="shared" si="73"/>
        <v>176</v>
      </c>
      <c r="H361" s="107">
        <f t="shared" si="73"/>
        <v>306</v>
      </c>
      <c r="I361" s="107">
        <f t="shared" si="73"/>
        <v>286</v>
      </c>
      <c r="J361" s="107">
        <f t="shared" si="73"/>
        <v>207</v>
      </c>
      <c r="K361" s="107">
        <f t="shared" si="73"/>
        <v>230</v>
      </c>
      <c r="L361" s="107">
        <f t="shared" si="73"/>
        <v>148</v>
      </c>
      <c r="M361" s="107">
        <f t="shared" si="73"/>
        <v>-1332</v>
      </c>
      <c r="N361" s="107">
        <v>1405</v>
      </c>
    </row>
    <row r="362" spans="1:14">
      <c r="A362" s="64"/>
      <c r="B362" s="22"/>
      <c r="C362" s="22"/>
      <c r="D362" s="22"/>
      <c r="E362" s="22"/>
      <c r="F362" s="22"/>
      <c r="G362" s="22"/>
      <c r="H362" s="22"/>
      <c r="I362" s="22"/>
      <c r="J362" s="22"/>
      <c r="K362" s="22"/>
      <c r="L362" s="22"/>
      <c r="M362" s="22"/>
      <c r="N362" s="22"/>
    </row>
    <row r="363" spans="1:14">
      <c r="A363" s="64" t="s">
        <v>117</v>
      </c>
      <c r="B363" s="22"/>
      <c r="C363" s="22"/>
      <c r="D363" s="22"/>
      <c r="E363" s="22"/>
      <c r="F363" s="22"/>
      <c r="G363" s="22"/>
      <c r="H363" s="22"/>
      <c r="I363" s="22"/>
      <c r="J363" s="22"/>
      <c r="K363" s="22"/>
      <c r="L363" s="22"/>
      <c r="M363" s="22"/>
      <c r="N363" s="22"/>
    </row>
    <row r="364" spans="1:14">
      <c r="A364" s="64" t="s">
        <v>261</v>
      </c>
      <c r="B364" s="107">
        <v>48</v>
      </c>
      <c r="C364" s="107">
        <v>64</v>
      </c>
      <c r="D364" s="107">
        <v>125</v>
      </c>
      <c r="E364" s="107">
        <v>107</v>
      </c>
      <c r="F364" s="107">
        <v>8</v>
      </c>
      <c r="G364" s="107">
        <v>-38</v>
      </c>
      <c r="H364" s="107">
        <v>31</v>
      </c>
      <c r="I364" s="107">
        <v>256</v>
      </c>
      <c r="J364" s="107">
        <v>5</v>
      </c>
      <c r="K364" s="107">
        <v>-70</v>
      </c>
      <c r="L364" s="107">
        <v>747</v>
      </c>
      <c r="M364" s="107">
        <v>-1</v>
      </c>
      <c r="N364" s="107">
        <v>1282</v>
      </c>
    </row>
    <row r="365" spans="1:14">
      <c r="A365" s="64" t="s">
        <v>66</v>
      </c>
      <c r="B365" s="111">
        <v>149</v>
      </c>
      <c r="C365" s="111">
        <v>156</v>
      </c>
      <c r="D365" s="111">
        <v>234</v>
      </c>
      <c r="E365" s="111">
        <v>188</v>
      </c>
      <c r="F365" s="111">
        <v>195</v>
      </c>
      <c r="G365" s="111">
        <v>241</v>
      </c>
      <c r="H365" s="111">
        <v>207</v>
      </c>
      <c r="I365" s="111">
        <v>233</v>
      </c>
      <c r="J365" s="111">
        <v>279</v>
      </c>
      <c r="K365" s="111">
        <v>354</v>
      </c>
      <c r="L365" s="111">
        <v>424</v>
      </c>
      <c r="M365" s="111">
        <v>-1738</v>
      </c>
      <c r="N365" s="111">
        <v>922</v>
      </c>
    </row>
    <row r="366" spans="1:14">
      <c r="A366" s="64" t="s">
        <v>127</v>
      </c>
      <c r="B366" s="107">
        <f t="shared" ref="B366:M366" si="74">SUM(B362:B365)</f>
        <v>197</v>
      </c>
      <c r="C366" s="107">
        <f t="shared" si="74"/>
        <v>220</v>
      </c>
      <c r="D366" s="107">
        <f t="shared" si="74"/>
        <v>359</v>
      </c>
      <c r="E366" s="107">
        <f t="shared" si="74"/>
        <v>295</v>
      </c>
      <c r="F366" s="107">
        <f t="shared" si="74"/>
        <v>203</v>
      </c>
      <c r="G366" s="107">
        <f t="shared" si="74"/>
        <v>203</v>
      </c>
      <c r="H366" s="107">
        <f t="shared" si="74"/>
        <v>238</v>
      </c>
      <c r="I366" s="107">
        <f t="shared" si="74"/>
        <v>489</v>
      </c>
      <c r="J366" s="107">
        <f t="shared" si="74"/>
        <v>284</v>
      </c>
      <c r="K366" s="107">
        <f t="shared" si="74"/>
        <v>284</v>
      </c>
      <c r="L366" s="107">
        <f t="shared" si="74"/>
        <v>1171</v>
      </c>
      <c r="M366" s="107">
        <f t="shared" si="74"/>
        <v>-1739</v>
      </c>
      <c r="N366" s="107">
        <v>2204</v>
      </c>
    </row>
    <row r="367" spans="1:14">
      <c r="A367" s="64"/>
      <c r="B367" s="22"/>
      <c r="C367" s="22"/>
      <c r="D367" s="22"/>
      <c r="E367" s="22"/>
      <c r="F367" s="22"/>
      <c r="G367" s="22"/>
      <c r="H367" s="22"/>
      <c r="I367" s="22"/>
      <c r="J367" s="22"/>
      <c r="K367" s="22"/>
      <c r="L367" s="22"/>
      <c r="M367" s="22"/>
      <c r="N367" s="22"/>
    </row>
    <row r="368" spans="1:14" ht="15.75" thickBot="1">
      <c r="A368" s="64" t="s">
        <v>266</v>
      </c>
      <c r="B368" s="112">
        <f t="shared" ref="B368:M368" si="75">SUM(B338:B367)-B343-B348-B353-B356-B361-B366</f>
        <v>2258</v>
      </c>
      <c r="C368" s="112">
        <f t="shared" si="75"/>
        <v>2116</v>
      </c>
      <c r="D368" s="112">
        <f t="shared" si="75"/>
        <v>2183</v>
      </c>
      <c r="E368" s="112">
        <f t="shared" si="75"/>
        <v>1914</v>
      </c>
      <c r="F368" s="112">
        <f t="shared" si="75"/>
        <v>1942</v>
      </c>
      <c r="G368" s="112">
        <f t="shared" si="75"/>
        <v>2012</v>
      </c>
      <c r="H368" s="112">
        <f t="shared" si="75"/>
        <v>2036</v>
      </c>
      <c r="I368" s="112">
        <f t="shared" si="75"/>
        <v>2125</v>
      </c>
      <c r="J368" s="112">
        <f t="shared" si="75"/>
        <v>2092</v>
      </c>
      <c r="K368" s="112">
        <f t="shared" si="75"/>
        <v>2227</v>
      </c>
      <c r="L368" s="112">
        <f t="shared" si="75"/>
        <v>2146</v>
      </c>
      <c r="M368" s="112">
        <f t="shared" si="75"/>
        <v>-12649</v>
      </c>
      <c r="N368" s="112">
        <v>10402</v>
      </c>
    </row>
    <row r="369" spans="1:14" ht="15.75" thickTop="1">
      <c r="A369" s="64"/>
      <c r="B369" s="22"/>
      <c r="C369" s="22"/>
      <c r="D369" s="22"/>
      <c r="E369" s="22"/>
      <c r="F369" s="22"/>
      <c r="G369" s="22"/>
      <c r="H369" s="22"/>
      <c r="I369" s="22"/>
      <c r="J369" s="22"/>
      <c r="K369" s="22"/>
      <c r="L369" s="22"/>
      <c r="M369" s="22"/>
      <c r="N369" s="22"/>
    </row>
    <row r="370" spans="1:14" hidden="1">
      <c r="A370" s="64"/>
      <c r="B370" s="107">
        <v>39139.519999999997</v>
      </c>
      <c r="C370" s="107">
        <v>23223.5</v>
      </c>
      <c r="D370" s="107">
        <v>8198.66</v>
      </c>
      <c r="E370" s="107">
        <v>103204.87</v>
      </c>
      <c r="F370" s="107">
        <v>141727.66</v>
      </c>
      <c r="G370" s="107">
        <v>94009.13</v>
      </c>
      <c r="H370" s="107">
        <v>24396.23</v>
      </c>
      <c r="I370" s="107">
        <v>100327.2</v>
      </c>
      <c r="J370" s="107">
        <v>110343.38</v>
      </c>
      <c r="K370" s="107">
        <v>118338.56</v>
      </c>
      <c r="L370" s="107">
        <v>47848.3</v>
      </c>
      <c r="M370" s="107">
        <v>-58.23</v>
      </c>
      <c r="N370" s="107">
        <v>810698.78</v>
      </c>
    </row>
    <row r="371" spans="1:14">
      <c r="A371" s="64"/>
      <c r="B371" s="22"/>
      <c r="C371" s="22"/>
      <c r="D371" s="22"/>
      <c r="E371" s="22"/>
      <c r="F371" s="22"/>
      <c r="G371" s="22"/>
      <c r="H371" s="22"/>
      <c r="I371" s="22"/>
      <c r="J371" s="22"/>
      <c r="K371" s="22"/>
      <c r="L371" s="22"/>
      <c r="M371" s="22"/>
      <c r="N371" s="22"/>
    </row>
    <row r="372" spans="1:14" hidden="1">
      <c r="A372" s="64" t="s">
        <v>267</v>
      </c>
      <c r="B372" s="107">
        <f t="shared" ref="B372:M372" si="76">B342+B347+B352+B360+B365</f>
        <v>2259</v>
      </c>
      <c r="C372" s="107">
        <f t="shared" si="76"/>
        <v>2116</v>
      </c>
      <c r="D372" s="107">
        <f t="shared" si="76"/>
        <v>2183</v>
      </c>
      <c r="E372" s="107">
        <f t="shared" si="76"/>
        <v>1920</v>
      </c>
      <c r="F372" s="107">
        <f t="shared" si="76"/>
        <v>1944</v>
      </c>
      <c r="G372" s="107">
        <f t="shared" si="76"/>
        <v>2012</v>
      </c>
      <c r="H372" s="107">
        <f t="shared" si="76"/>
        <v>2035</v>
      </c>
      <c r="I372" s="107">
        <f t="shared" si="76"/>
        <v>2126</v>
      </c>
      <c r="J372" s="107">
        <f t="shared" si="76"/>
        <v>2100</v>
      </c>
      <c r="K372" s="107">
        <f t="shared" si="76"/>
        <v>2228</v>
      </c>
      <c r="L372" s="107">
        <f t="shared" si="76"/>
        <v>2147</v>
      </c>
      <c r="M372" s="107">
        <f t="shared" si="76"/>
        <v>-12648</v>
      </c>
      <c r="N372" s="107">
        <v>10422</v>
      </c>
    </row>
    <row r="373" spans="1:14">
      <c r="A373" s="64"/>
      <c r="B373" s="22"/>
      <c r="C373" s="22"/>
      <c r="D373" s="22"/>
      <c r="E373" s="22"/>
      <c r="F373" s="22"/>
      <c r="G373" s="22"/>
      <c r="H373" s="22"/>
      <c r="I373" s="22"/>
      <c r="J373" s="22"/>
      <c r="K373" s="22"/>
      <c r="L373" s="22"/>
      <c r="M373" s="22"/>
      <c r="N373" s="22"/>
    </row>
  </sheetData>
  <pageMargins left="0.75" right="0.75" top="0.75" bottom="0.75" header="0.03" footer="0.03"/>
  <pageSetup scale="46" fitToHeight="0" pageOrder="overThenDown" orientation="landscape" r:id="rId1"/>
  <headerFooter>
    <oddHeader>&amp;L&amp;C&amp;"Arial,Regular"&amp;9&amp;K000000HMG Park Manorof McKinney, LLC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12289"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2289" r:id="rId5" name="FPMExcelClientSheetOptionstb1"/>
      </mc:Fallback>
    </mc:AlternateContent>
  </control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N254"/>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38</v>
      </c>
      <c r="B4" s="114">
        <f t="shared" ref="B4:M4" si="0">B246</f>
        <v>1786</v>
      </c>
      <c r="C4" s="114">
        <f t="shared" si="0"/>
        <v>1710</v>
      </c>
      <c r="D4" s="114">
        <f t="shared" si="0"/>
        <v>974</v>
      </c>
      <c r="E4" s="114">
        <f t="shared" si="0"/>
        <v>1672</v>
      </c>
      <c r="F4" s="114">
        <f t="shared" si="0"/>
        <v>1767</v>
      </c>
      <c r="G4" s="114">
        <f t="shared" si="0"/>
        <v>1760</v>
      </c>
      <c r="H4" s="114">
        <f t="shared" si="0"/>
        <v>1621</v>
      </c>
      <c r="I4" s="114">
        <f t="shared" si="0"/>
        <v>1822</v>
      </c>
      <c r="J4" s="114">
        <f t="shared" si="0"/>
        <v>1783</v>
      </c>
      <c r="K4" s="114">
        <f t="shared" si="0"/>
        <v>1841</v>
      </c>
      <c r="L4" s="114">
        <f t="shared" si="0"/>
        <v>1876</v>
      </c>
      <c r="M4" s="114">
        <f t="shared" si="0"/>
        <v>1969</v>
      </c>
      <c r="N4" s="114">
        <v>20581</v>
      </c>
    </row>
    <row r="5" spans="1:14" ht="15.75" thickBot="1">
      <c r="A5" s="64" t="s">
        <v>39</v>
      </c>
      <c r="B5" s="112">
        <f t="shared" ref="B5:M5" si="1">B253</f>
        <v>1786</v>
      </c>
      <c r="C5" s="112">
        <f t="shared" si="1"/>
        <v>1710</v>
      </c>
      <c r="D5" s="112">
        <f t="shared" si="1"/>
        <v>974</v>
      </c>
      <c r="E5" s="112">
        <f t="shared" si="1"/>
        <v>1672</v>
      </c>
      <c r="F5" s="112">
        <f t="shared" si="1"/>
        <v>1767</v>
      </c>
      <c r="G5" s="112">
        <f t="shared" si="1"/>
        <v>1760</v>
      </c>
      <c r="H5" s="112">
        <f t="shared" si="1"/>
        <v>1621</v>
      </c>
      <c r="I5" s="112">
        <f t="shared" si="1"/>
        <v>1822</v>
      </c>
      <c r="J5" s="112">
        <f t="shared" si="1"/>
        <v>1783</v>
      </c>
      <c r="K5" s="112">
        <f t="shared" si="1"/>
        <v>1841</v>
      </c>
      <c r="L5" s="112">
        <f t="shared" si="1"/>
        <v>1876</v>
      </c>
      <c r="M5" s="112">
        <f t="shared" si="1"/>
        <v>1969</v>
      </c>
      <c r="N5" s="112">
        <v>20581</v>
      </c>
    </row>
    <row r="6" spans="1:14" ht="15.75" thickTop="1">
      <c r="A6" s="64"/>
      <c r="B6" s="22"/>
      <c r="C6" s="22"/>
      <c r="D6" s="22"/>
      <c r="E6" s="22"/>
      <c r="F6" s="22"/>
      <c r="G6" s="22"/>
      <c r="H6" s="22"/>
      <c r="I6" s="22"/>
      <c r="J6" s="22"/>
      <c r="K6" s="22"/>
      <c r="L6" s="22"/>
      <c r="M6" s="22"/>
      <c r="N6" s="22"/>
    </row>
    <row r="7" spans="1:14">
      <c r="A7" s="64" t="s">
        <v>40</v>
      </c>
      <c r="B7" s="22"/>
      <c r="C7" s="22"/>
      <c r="D7" s="22"/>
      <c r="E7" s="22"/>
      <c r="F7" s="22"/>
      <c r="G7" s="22"/>
      <c r="H7" s="22"/>
      <c r="I7" s="22"/>
      <c r="J7" s="22"/>
      <c r="K7" s="22"/>
      <c r="L7" s="22"/>
      <c r="M7" s="22"/>
      <c r="N7" s="22"/>
    </row>
    <row r="8" spans="1:14">
      <c r="A8" s="64"/>
      <c r="B8" s="22"/>
      <c r="C8" s="22"/>
      <c r="D8" s="22"/>
      <c r="E8" s="22"/>
      <c r="F8" s="22"/>
      <c r="G8" s="22"/>
      <c r="H8" s="22"/>
      <c r="I8" s="22"/>
      <c r="J8" s="22"/>
      <c r="K8" s="22"/>
      <c r="L8" s="22"/>
      <c r="M8" s="22"/>
      <c r="N8" s="22"/>
    </row>
    <row r="9" spans="1:14">
      <c r="A9" s="64" t="s">
        <v>41</v>
      </c>
      <c r="B9" s="22"/>
      <c r="C9" s="22"/>
      <c r="D9" s="22"/>
      <c r="E9" s="22"/>
      <c r="F9" s="22"/>
      <c r="G9" s="22"/>
      <c r="H9" s="22"/>
      <c r="I9" s="22"/>
      <c r="J9" s="22"/>
      <c r="K9" s="22"/>
      <c r="L9" s="22"/>
      <c r="M9" s="22"/>
      <c r="N9" s="22"/>
    </row>
    <row r="10" spans="1:14">
      <c r="A10" s="64" t="s">
        <v>38</v>
      </c>
      <c r="B10" s="111">
        <f t="shared" ref="B10:M10" si="2">B65</f>
        <v>121121.5</v>
      </c>
      <c r="C10" s="111">
        <f t="shared" si="2"/>
        <v>117127.5</v>
      </c>
      <c r="D10" s="111">
        <f t="shared" si="2"/>
        <v>115377.5</v>
      </c>
      <c r="E10" s="111">
        <f t="shared" si="2"/>
        <v>119982.5</v>
      </c>
      <c r="F10" s="111">
        <f t="shared" si="2"/>
        <v>120816.69</v>
      </c>
      <c r="G10" s="111">
        <f t="shared" si="2"/>
        <v>126033.1</v>
      </c>
      <c r="H10" s="111">
        <f t="shared" si="2"/>
        <v>126349.69</v>
      </c>
      <c r="I10" s="111">
        <f t="shared" si="2"/>
        <v>129957.11</v>
      </c>
      <c r="J10" s="111">
        <f t="shared" si="2"/>
        <v>131413.41</v>
      </c>
      <c r="K10" s="111">
        <f t="shared" si="2"/>
        <v>132965.99</v>
      </c>
      <c r="L10" s="111">
        <f t="shared" si="2"/>
        <v>138993.49</v>
      </c>
      <c r="M10" s="111">
        <f t="shared" si="2"/>
        <v>142377.42000000001</v>
      </c>
      <c r="N10" s="111">
        <v>1522515.9</v>
      </c>
    </row>
    <row r="11" spans="1:14">
      <c r="A11" s="64" t="s">
        <v>42</v>
      </c>
      <c r="B11" s="107">
        <f t="shared" ref="B11:M11" si="3">B67</f>
        <v>121121.5</v>
      </c>
      <c r="C11" s="107">
        <f t="shared" si="3"/>
        <v>117127.5</v>
      </c>
      <c r="D11" s="107">
        <f t="shared" si="3"/>
        <v>115377.5</v>
      </c>
      <c r="E11" s="107">
        <f t="shared" si="3"/>
        <v>119982.5</v>
      </c>
      <c r="F11" s="107">
        <f t="shared" si="3"/>
        <v>120816.69</v>
      </c>
      <c r="G11" s="107">
        <f t="shared" si="3"/>
        <v>126033.1</v>
      </c>
      <c r="H11" s="107">
        <f t="shared" si="3"/>
        <v>126349.69</v>
      </c>
      <c r="I11" s="107">
        <f t="shared" si="3"/>
        <v>129957.11</v>
      </c>
      <c r="J11" s="107">
        <f t="shared" si="3"/>
        <v>131413.41</v>
      </c>
      <c r="K11" s="107">
        <f t="shared" si="3"/>
        <v>132965.99</v>
      </c>
      <c r="L11" s="107">
        <f t="shared" si="3"/>
        <v>138993.49</v>
      </c>
      <c r="M11" s="107">
        <f t="shared" si="3"/>
        <v>142377.42000000001</v>
      </c>
      <c r="N11" s="107">
        <v>1522515.9</v>
      </c>
    </row>
    <row r="12" spans="1:14">
      <c r="A12" s="64"/>
      <c r="B12" s="22"/>
      <c r="C12" s="22"/>
      <c r="D12" s="22"/>
      <c r="E12" s="22"/>
      <c r="F12" s="22"/>
      <c r="G12" s="22"/>
      <c r="H12" s="22"/>
      <c r="I12" s="22"/>
      <c r="J12" s="22"/>
      <c r="K12" s="22"/>
      <c r="L12" s="22"/>
      <c r="M12" s="22"/>
      <c r="N12" s="22"/>
    </row>
    <row r="13" spans="1:14">
      <c r="A13" s="64" t="s">
        <v>43</v>
      </c>
      <c r="B13" s="22"/>
      <c r="C13" s="22"/>
      <c r="D13" s="22"/>
      <c r="E13" s="22"/>
      <c r="F13" s="22"/>
      <c r="G13" s="22"/>
      <c r="H13" s="22"/>
      <c r="I13" s="22"/>
      <c r="J13" s="22"/>
      <c r="K13" s="22"/>
      <c r="L13" s="22"/>
      <c r="M13" s="22"/>
      <c r="N13" s="22"/>
    </row>
    <row r="14" spans="1:14">
      <c r="A14" s="64" t="s">
        <v>38</v>
      </c>
      <c r="B14" s="111">
        <f>B88</f>
        <v>-0.1</v>
      </c>
      <c r="C14" s="111"/>
      <c r="D14" s="111"/>
      <c r="E14" s="111"/>
      <c r="F14" s="111"/>
      <c r="G14" s="111"/>
      <c r="H14" s="111"/>
      <c r="I14" s="111">
        <f>I88</f>
        <v>-0.01</v>
      </c>
      <c r="J14" s="111"/>
      <c r="K14" s="111"/>
      <c r="L14" s="111"/>
      <c r="M14" s="111"/>
      <c r="N14" s="111">
        <v>-0.11</v>
      </c>
    </row>
    <row r="15" spans="1:14">
      <c r="A15" s="64" t="s">
        <v>44</v>
      </c>
      <c r="B15" s="107">
        <f>B90</f>
        <v>-0.1</v>
      </c>
      <c r="C15" s="107"/>
      <c r="D15" s="107"/>
      <c r="E15" s="107"/>
      <c r="F15" s="107"/>
      <c r="G15" s="107"/>
      <c r="H15" s="107"/>
      <c r="I15" s="107">
        <f>I90</f>
        <v>-0.01</v>
      </c>
      <c r="J15" s="107"/>
      <c r="K15" s="107"/>
      <c r="L15" s="107"/>
      <c r="M15" s="107"/>
      <c r="N15" s="107">
        <v>-0.11</v>
      </c>
    </row>
    <row r="16" spans="1:14">
      <c r="A16" s="64"/>
      <c r="B16" s="22"/>
      <c r="C16" s="22"/>
      <c r="D16" s="22"/>
      <c r="E16" s="22"/>
      <c r="F16" s="22"/>
      <c r="G16" s="22"/>
      <c r="H16" s="22"/>
      <c r="I16" s="22"/>
      <c r="J16" s="22"/>
      <c r="K16" s="22"/>
      <c r="L16" s="22"/>
      <c r="M16" s="22"/>
      <c r="N16" s="22"/>
    </row>
    <row r="17" spans="1:14">
      <c r="A17" s="64" t="s">
        <v>45</v>
      </c>
      <c r="B17" s="22"/>
      <c r="C17" s="22"/>
      <c r="D17" s="22"/>
      <c r="E17" s="22"/>
      <c r="F17" s="22"/>
      <c r="G17" s="22"/>
      <c r="H17" s="22"/>
      <c r="I17" s="22"/>
      <c r="J17" s="22"/>
      <c r="K17" s="22"/>
      <c r="L17" s="22"/>
      <c r="M17" s="22"/>
      <c r="N17" s="22"/>
    </row>
    <row r="18" spans="1:14">
      <c r="A18" s="64" t="s">
        <v>38</v>
      </c>
      <c r="B18" s="111">
        <f>B110</f>
        <v>0.1</v>
      </c>
      <c r="C18" s="111"/>
      <c r="D18" s="111"/>
      <c r="E18" s="111"/>
      <c r="F18" s="111"/>
      <c r="G18" s="111"/>
      <c r="H18" s="111"/>
      <c r="I18" s="111"/>
      <c r="J18" s="111"/>
      <c r="K18" s="111"/>
      <c r="L18" s="111"/>
      <c r="M18" s="111"/>
      <c r="N18" s="111">
        <v>0.1</v>
      </c>
    </row>
    <row r="19" spans="1:14">
      <c r="A19" s="64" t="s">
        <v>47</v>
      </c>
      <c r="B19" s="107">
        <f>B112</f>
        <v>0.1</v>
      </c>
      <c r="C19" s="107"/>
      <c r="D19" s="107"/>
      <c r="E19" s="107"/>
      <c r="F19" s="107"/>
      <c r="G19" s="107"/>
      <c r="H19" s="107"/>
      <c r="I19" s="107"/>
      <c r="J19" s="107"/>
      <c r="K19" s="107"/>
      <c r="L19" s="107"/>
      <c r="M19" s="107"/>
      <c r="N19" s="107">
        <v>0.1</v>
      </c>
    </row>
    <row r="20" spans="1:14">
      <c r="A20" s="64"/>
      <c r="B20" s="22"/>
      <c r="C20" s="22"/>
      <c r="D20" s="22"/>
      <c r="E20" s="22"/>
      <c r="F20" s="22"/>
      <c r="G20" s="22"/>
      <c r="H20" s="22"/>
      <c r="I20" s="22"/>
      <c r="J20" s="22"/>
      <c r="K20" s="22"/>
      <c r="L20" s="22"/>
      <c r="M20" s="22"/>
      <c r="N20" s="22"/>
    </row>
    <row r="21" spans="1:14">
      <c r="A21" s="64" t="s">
        <v>48</v>
      </c>
      <c r="B21" s="107">
        <f t="shared" ref="B21:M21" si="4">B120</f>
        <v>3790</v>
      </c>
      <c r="C21" s="107">
        <f t="shared" si="4"/>
        <v>1936.11</v>
      </c>
      <c r="D21" s="107">
        <f t="shared" si="4"/>
        <v>901.43</v>
      </c>
      <c r="E21" s="107">
        <f t="shared" si="4"/>
        <v>3912</v>
      </c>
      <c r="F21" s="107">
        <f t="shared" si="4"/>
        <v>3843.56</v>
      </c>
      <c r="G21" s="107">
        <f t="shared" si="4"/>
        <v>13970.8</v>
      </c>
      <c r="H21" s="107">
        <f t="shared" si="4"/>
        <v>-2817.29</v>
      </c>
      <c r="I21" s="107">
        <f t="shared" si="4"/>
        <v>3666.86</v>
      </c>
      <c r="J21" s="107">
        <f t="shared" si="4"/>
        <v>1177</v>
      </c>
      <c r="K21" s="107">
        <f t="shared" si="4"/>
        <v>4702</v>
      </c>
      <c r="L21" s="107">
        <f t="shared" si="4"/>
        <v>4802</v>
      </c>
      <c r="M21" s="107">
        <f t="shared" si="4"/>
        <v>3165</v>
      </c>
      <c r="N21" s="107">
        <v>43049.47</v>
      </c>
    </row>
    <row r="22" spans="1:14">
      <c r="A22" s="64"/>
      <c r="B22" s="22"/>
      <c r="C22" s="22"/>
      <c r="D22" s="22"/>
      <c r="E22" s="22"/>
      <c r="F22" s="22"/>
      <c r="G22" s="22"/>
      <c r="H22" s="22"/>
      <c r="I22" s="22"/>
      <c r="J22" s="22"/>
      <c r="K22" s="22"/>
      <c r="L22" s="22"/>
      <c r="M22" s="22"/>
      <c r="N22" s="22"/>
    </row>
    <row r="23" spans="1:14" ht="15.75" thickBot="1">
      <c r="A23" s="64" t="s">
        <v>13</v>
      </c>
      <c r="B23" s="112">
        <f t="shared" ref="B23:M23" si="5">B122</f>
        <v>124911.5</v>
      </c>
      <c r="C23" s="112">
        <f t="shared" si="5"/>
        <v>119063.60999999997</v>
      </c>
      <c r="D23" s="112">
        <f t="shared" si="5"/>
        <v>116278.93</v>
      </c>
      <c r="E23" s="112">
        <f t="shared" si="5"/>
        <v>123894.5</v>
      </c>
      <c r="F23" s="112">
        <f t="shared" si="5"/>
        <v>124660.25</v>
      </c>
      <c r="G23" s="112">
        <f t="shared" si="5"/>
        <v>140003.90000000005</v>
      </c>
      <c r="H23" s="112">
        <f t="shared" si="5"/>
        <v>123532.40000000004</v>
      </c>
      <c r="I23" s="112">
        <f t="shared" si="5"/>
        <v>133623.96000000002</v>
      </c>
      <c r="J23" s="112">
        <f t="shared" si="5"/>
        <v>132590.40999999995</v>
      </c>
      <c r="K23" s="112">
        <f t="shared" si="5"/>
        <v>137667.99</v>
      </c>
      <c r="L23" s="112">
        <f t="shared" si="5"/>
        <v>143795.49</v>
      </c>
      <c r="M23" s="112">
        <f t="shared" si="5"/>
        <v>145542.41999999995</v>
      </c>
      <c r="N23" s="112">
        <v>1565565.36</v>
      </c>
    </row>
    <row r="24" spans="1:14" ht="15.75" thickTop="1">
      <c r="A24" s="64"/>
      <c r="B24" s="22"/>
      <c r="C24" s="22"/>
      <c r="D24" s="22"/>
      <c r="E24" s="22"/>
      <c r="F24" s="22"/>
      <c r="G24" s="22"/>
      <c r="H24" s="22"/>
      <c r="I24" s="22"/>
      <c r="J24" s="22"/>
      <c r="K24" s="22"/>
      <c r="L24" s="22"/>
      <c r="M24" s="22"/>
      <c r="N24" s="22"/>
    </row>
    <row r="25" spans="1:14">
      <c r="A25" s="64" t="s">
        <v>14</v>
      </c>
      <c r="B25" s="22"/>
      <c r="C25" s="22"/>
      <c r="D25" s="22"/>
      <c r="E25" s="22"/>
      <c r="F25" s="22"/>
      <c r="G25" s="22"/>
      <c r="H25" s="22"/>
      <c r="I25" s="22"/>
      <c r="J25" s="22"/>
      <c r="K25" s="22"/>
      <c r="L25" s="22"/>
      <c r="M25" s="22"/>
      <c r="N25" s="22"/>
    </row>
    <row r="26" spans="1:14">
      <c r="A26" s="64" t="s">
        <v>49</v>
      </c>
      <c r="B26" s="107">
        <f t="shared" ref="B26:M26" si="6">B136</f>
        <v>28366.54</v>
      </c>
      <c r="C26" s="107">
        <f t="shared" si="6"/>
        <v>26748.199999999997</v>
      </c>
      <c r="D26" s="107">
        <f t="shared" si="6"/>
        <v>27959.809999999998</v>
      </c>
      <c r="E26" s="107">
        <f t="shared" si="6"/>
        <v>27706.43</v>
      </c>
      <c r="F26" s="107">
        <f t="shared" si="6"/>
        <v>30654.639999999996</v>
      </c>
      <c r="G26" s="107">
        <f t="shared" si="6"/>
        <v>27019.429999999997</v>
      </c>
      <c r="H26" s="107">
        <f t="shared" si="6"/>
        <v>26007.89</v>
      </c>
      <c r="I26" s="107">
        <f t="shared" si="6"/>
        <v>29586.97</v>
      </c>
      <c r="J26" s="107">
        <f t="shared" si="6"/>
        <v>28446.850000000002</v>
      </c>
      <c r="K26" s="107">
        <f t="shared" si="6"/>
        <v>26455.73</v>
      </c>
      <c r="L26" s="107">
        <f t="shared" si="6"/>
        <v>27761.930000000004</v>
      </c>
      <c r="M26" s="107">
        <f t="shared" si="6"/>
        <v>28585.83</v>
      </c>
      <c r="N26" s="107">
        <v>335300.25</v>
      </c>
    </row>
    <row r="27" spans="1:14">
      <c r="A27" s="64" t="s">
        <v>51</v>
      </c>
      <c r="B27" s="107">
        <f t="shared" ref="B27:M27" si="7">B149</f>
        <v>4601.09</v>
      </c>
      <c r="C27" s="107">
        <f t="shared" si="7"/>
        <v>4329.58</v>
      </c>
      <c r="D27" s="107">
        <f t="shared" si="7"/>
        <v>2621.1800000000003</v>
      </c>
      <c r="E27" s="107">
        <f t="shared" si="7"/>
        <v>5829.65</v>
      </c>
      <c r="F27" s="107">
        <f t="shared" si="7"/>
        <v>9236.49</v>
      </c>
      <c r="G27" s="107">
        <f t="shared" si="7"/>
        <v>4138.62</v>
      </c>
      <c r="H27" s="107">
        <f t="shared" si="7"/>
        <v>3476.88</v>
      </c>
      <c r="I27" s="107">
        <f t="shared" si="7"/>
        <v>3028.02</v>
      </c>
      <c r="J27" s="107">
        <f t="shared" si="7"/>
        <v>3454.2000000000003</v>
      </c>
      <c r="K27" s="107">
        <f t="shared" si="7"/>
        <v>4657.88</v>
      </c>
      <c r="L27" s="107">
        <f t="shared" si="7"/>
        <v>4701.5300000000007</v>
      </c>
      <c r="M27" s="107">
        <f t="shared" si="7"/>
        <v>4294.68</v>
      </c>
      <c r="N27" s="107">
        <v>54369.8</v>
      </c>
    </row>
    <row r="28" spans="1:14">
      <c r="A28" s="64" t="s">
        <v>53</v>
      </c>
      <c r="B28" s="107">
        <f t="shared" ref="B28:M28" si="8">B167</f>
        <v>26880.469999999998</v>
      </c>
      <c r="C28" s="107">
        <f t="shared" si="8"/>
        <v>30395.499999999996</v>
      </c>
      <c r="D28" s="107">
        <f t="shared" si="8"/>
        <v>24629.37</v>
      </c>
      <c r="E28" s="107">
        <f t="shared" si="8"/>
        <v>24934.25</v>
      </c>
      <c r="F28" s="107">
        <f t="shared" si="8"/>
        <v>24260.9</v>
      </c>
      <c r="G28" s="107">
        <f t="shared" si="8"/>
        <v>27385.120000000003</v>
      </c>
      <c r="H28" s="107">
        <f t="shared" si="8"/>
        <v>19886.11</v>
      </c>
      <c r="I28" s="107">
        <f t="shared" si="8"/>
        <v>28998.53</v>
      </c>
      <c r="J28" s="107">
        <f t="shared" si="8"/>
        <v>23244.51</v>
      </c>
      <c r="K28" s="107">
        <f t="shared" si="8"/>
        <v>24915.98</v>
      </c>
      <c r="L28" s="107">
        <f t="shared" si="8"/>
        <v>25626.41</v>
      </c>
      <c r="M28" s="107">
        <f t="shared" si="8"/>
        <v>28596.43</v>
      </c>
      <c r="N28" s="107">
        <v>309753.58</v>
      </c>
    </row>
    <row r="29" spans="1:14">
      <c r="A29" s="64" t="s">
        <v>54</v>
      </c>
      <c r="B29" s="107">
        <f t="shared" ref="B29:M29" si="9">B178</f>
        <v>13404.320000000002</v>
      </c>
      <c r="C29" s="107">
        <f t="shared" si="9"/>
        <v>12394.939999999999</v>
      </c>
      <c r="D29" s="107">
        <f t="shared" si="9"/>
        <v>15264.02</v>
      </c>
      <c r="E29" s="107">
        <f t="shared" si="9"/>
        <v>10809.169999999998</v>
      </c>
      <c r="F29" s="107">
        <f t="shared" si="9"/>
        <v>13334.859999999999</v>
      </c>
      <c r="G29" s="107">
        <f t="shared" si="9"/>
        <v>14242.579999999998</v>
      </c>
      <c r="H29" s="107">
        <f t="shared" si="9"/>
        <v>12024.369999999999</v>
      </c>
      <c r="I29" s="107">
        <f t="shared" si="9"/>
        <v>13778.4</v>
      </c>
      <c r="J29" s="107">
        <f t="shared" si="9"/>
        <v>14813.3</v>
      </c>
      <c r="K29" s="107">
        <f t="shared" si="9"/>
        <v>16623.050000000003</v>
      </c>
      <c r="L29" s="107">
        <f t="shared" si="9"/>
        <v>14381.1</v>
      </c>
      <c r="M29" s="107">
        <f t="shared" si="9"/>
        <v>17106.110000000004</v>
      </c>
      <c r="N29" s="107">
        <v>168176.22</v>
      </c>
    </row>
    <row r="30" spans="1:14">
      <c r="A30" s="64" t="s">
        <v>55</v>
      </c>
      <c r="B30" s="107">
        <f t="shared" ref="B30:M30" si="10">B184</f>
        <v>1226.19</v>
      </c>
      <c r="C30" s="107">
        <f t="shared" si="10"/>
        <v>292.39999999999998</v>
      </c>
      <c r="D30" s="107">
        <f t="shared" si="10"/>
        <v>444.86999999999995</v>
      </c>
      <c r="E30" s="107">
        <f t="shared" si="10"/>
        <v>237.58</v>
      </c>
      <c r="F30" s="107">
        <f t="shared" si="10"/>
        <v>273.11</v>
      </c>
      <c r="G30" s="107">
        <f t="shared" si="10"/>
        <v>275.24</v>
      </c>
      <c r="H30" s="107">
        <f t="shared" si="10"/>
        <v>320.45</v>
      </c>
      <c r="I30" s="107">
        <f t="shared" si="10"/>
        <v>315.39999999999998</v>
      </c>
      <c r="J30" s="107">
        <f t="shared" si="10"/>
        <v>333.05</v>
      </c>
      <c r="K30" s="107">
        <f t="shared" si="10"/>
        <v>316.29000000000002</v>
      </c>
      <c r="L30" s="107">
        <f t="shared" si="10"/>
        <v>379.11</v>
      </c>
      <c r="M30" s="107">
        <f t="shared" si="10"/>
        <v>435.11</v>
      </c>
      <c r="N30" s="107">
        <v>4848.8</v>
      </c>
    </row>
    <row r="31" spans="1:14">
      <c r="A31" s="64" t="s">
        <v>56</v>
      </c>
      <c r="B31" s="107">
        <f t="shared" ref="B31:M31" si="11">B190</f>
        <v>4830.68</v>
      </c>
      <c r="C31" s="107">
        <f t="shared" si="11"/>
        <v>4881.93</v>
      </c>
      <c r="D31" s="107">
        <f t="shared" si="11"/>
        <v>4830.68</v>
      </c>
      <c r="E31" s="107">
        <f t="shared" si="11"/>
        <v>4830.68</v>
      </c>
      <c r="F31" s="107">
        <f t="shared" si="11"/>
        <v>777.1</v>
      </c>
      <c r="G31" s="107">
        <f t="shared" si="11"/>
        <v>5322.35</v>
      </c>
      <c r="H31" s="107">
        <f t="shared" si="11"/>
        <v>4960.68</v>
      </c>
      <c r="I31" s="107">
        <f t="shared" si="11"/>
        <v>4830.68</v>
      </c>
      <c r="J31" s="107">
        <f t="shared" si="11"/>
        <v>5433.68</v>
      </c>
      <c r="K31" s="107">
        <f t="shared" si="11"/>
        <v>4830.68</v>
      </c>
      <c r="L31" s="107">
        <f t="shared" si="11"/>
        <v>4830.68</v>
      </c>
      <c r="M31" s="107">
        <f t="shared" si="11"/>
        <v>4830.68</v>
      </c>
      <c r="N31" s="107">
        <v>55190.5</v>
      </c>
    </row>
    <row r="32" spans="1:14">
      <c r="A32" s="64" t="s">
        <v>58</v>
      </c>
      <c r="B32" s="107">
        <f t="shared" ref="B32:M32" si="12">B200</f>
        <v>3646.82</v>
      </c>
      <c r="C32" s="107">
        <f t="shared" si="12"/>
        <v>3618.2000000000003</v>
      </c>
      <c r="D32" s="107">
        <f t="shared" si="12"/>
        <v>3594.94</v>
      </c>
      <c r="E32" s="107">
        <f t="shared" si="12"/>
        <v>3594.94</v>
      </c>
      <c r="F32" s="107">
        <f t="shared" si="12"/>
        <v>3594.94</v>
      </c>
      <c r="G32" s="107">
        <f t="shared" si="12"/>
        <v>4033.74</v>
      </c>
      <c r="H32" s="107">
        <f t="shared" si="12"/>
        <v>2811.11</v>
      </c>
      <c r="I32" s="107">
        <f t="shared" si="12"/>
        <v>3441.25</v>
      </c>
      <c r="J32" s="107">
        <f t="shared" si="12"/>
        <v>3789.18</v>
      </c>
      <c r="K32" s="107">
        <f t="shared" si="12"/>
        <v>3544.18</v>
      </c>
      <c r="L32" s="107">
        <f t="shared" si="12"/>
        <v>3544.18</v>
      </c>
      <c r="M32" s="107">
        <f t="shared" si="12"/>
        <v>3544.18</v>
      </c>
      <c r="N32" s="107">
        <v>42757.66</v>
      </c>
    </row>
    <row r="33" spans="1:14">
      <c r="A33" s="64" t="s">
        <v>59</v>
      </c>
      <c r="B33" s="107">
        <f t="shared" ref="B33:M33" si="13">B208</f>
        <v>2901.78</v>
      </c>
      <c r="C33" s="107">
        <f t="shared" si="13"/>
        <v>3087.63</v>
      </c>
      <c r="D33" s="107">
        <f t="shared" si="13"/>
        <v>3026.3300000000004</v>
      </c>
      <c r="E33" s="107">
        <f t="shared" si="13"/>
        <v>3057.95</v>
      </c>
      <c r="F33" s="107">
        <f t="shared" si="13"/>
        <v>3492.5699999999993</v>
      </c>
      <c r="G33" s="107">
        <f t="shared" si="13"/>
        <v>3445.3499999999995</v>
      </c>
      <c r="H33" s="107">
        <f t="shared" si="13"/>
        <v>3115.1299999999997</v>
      </c>
      <c r="I33" s="107">
        <f t="shared" si="13"/>
        <v>3308.83</v>
      </c>
      <c r="J33" s="107">
        <f t="shared" si="13"/>
        <v>3466.61</v>
      </c>
      <c r="K33" s="107">
        <f t="shared" si="13"/>
        <v>3393.27</v>
      </c>
      <c r="L33" s="107">
        <f t="shared" si="13"/>
        <v>3378.4900000000002</v>
      </c>
      <c r="M33" s="107">
        <f t="shared" si="13"/>
        <v>3388.9900000000002</v>
      </c>
      <c r="N33" s="107">
        <v>39062.93</v>
      </c>
    </row>
    <row r="34" spans="1:14">
      <c r="A34" s="64" t="s">
        <v>60</v>
      </c>
      <c r="B34" s="107">
        <f t="shared" ref="B34:M34" si="14">B214</f>
        <v>34545.07</v>
      </c>
      <c r="C34" s="107">
        <f t="shared" si="14"/>
        <v>35444.949999999997</v>
      </c>
      <c r="D34" s="107">
        <f t="shared" si="14"/>
        <v>35444.949999999997</v>
      </c>
      <c r="E34" s="107">
        <f t="shared" si="14"/>
        <v>35444.949999999997</v>
      </c>
      <c r="F34" s="107">
        <f t="shared" si="14"/>
        <v>35474.949999999997</v>
      </c>
      <c r="G34" s="107">
        <f t="shared" si="14"/>
        <v>35343.86</v>
      </c>
      <c r="H34" s="107">
        <f t="shared" si="14"/>
        <v>35343.86</v>
      </c>
      <c r="I34" s="107">
        <f t="shared" si="14"/>
        <v>35343.86</v>
      </c>
      <c r="J34" s="107">
        <f t="shared" si="14"/>
        <v>35395.129999999997</v>
      </c>
      <c r="K34" s="107">
        <f t="shared" si="14"/>
        <v>35395.129999999997</v>
      </c>
      <c r="L34" s="107">
        <f t="shared" si="14"/>
        <v>35395.129999999997</v>
      </c>
      <c r="M34" s="107">
        <f t="shared" si="14"/>
        <v>38629.799999999996</v>
      </c>
      <c r="N34" s="107">
        <v>427201.64</v>
      </c>
    </row>
    <row r="35" spans="1:14">
      <c r="A35" s="64"/>
      <c r="B35" s="22"/>
      <c r="C35" s="22"/>
      <c r="D35" s="22"/>
      <c r="E35" s="22"/>
      <c r="F35" s="22"/>
      <c r="G35" s="22"/>
      <c r="H35" s="22"/>
      <c r="I35" s="22"/>
      <c r="J35" s="22"/>
      <c r="K35" s="22"/>
      <c r="L35" s="22"/>
      <c r="M35" s="22"/>
      <c r="N35" s="22"/>
    </row>
    <row r="36" spans="1:14" ht="15.75" thickBot="1">
      <c r="A36" s="64" t="s">
        <v>62</v>
      </c>
      <c r="B36" s="112">
        <f t="shared" ref="B36:M36" si="15">B218</f>
        <v>120402.95999999996</v>
      </c>
      <c r="C36" s="112">
        <f t="shared" si="15"/>
        <v>121193.32999999997</v>
      </c>
      <c r="D36" s="112">
        <f t="shared" si="15"/>
        <v>117816.14999999992</v>
      </c>
      <c r="E36" s="112">
        <f t="shared" si="15"/>
        <v>116445.59999999996</v>
      </c>
      <c r="F36" s="112">
        <f t="shared" si="15"/>
        <v>121099.55999999998</v>
      </c>
      <c r="G36" s="112">
        <f t="shared" si="15"/>
        <v>121206.29</v>
      </c>
      <c r="H36" s="112">
        <f t="shared" si="15"/>
        <v>107946.48000000003</v>
      </c>
      <c r="I36" s="112">
        <f t="shared" si="15"/>
        <v>122631.93999999999</v>
      </c>
      <c r="J36" s="112">
        <f t="shared" si="15"/>
        <v>118376.50999999995</v>
      </c>
      <c r="K36" s="112">
        <f t="shared" si="15"/>
        <v>120132.18999999994</v>
      </c>
      <c r="L36" s="112">
        <f t="shared" si="15"/>
        <v>119998.56</v>
      </c>
      <c r="M36" s="112">
        <f t="shared" si="15"/>
        <v>129411.80999999997</v>
      </c>
      <c r="N36" s="112">
        <v>1436661.38</v>
      </c>
    </row>
    <row r="37" spans="1:14" ht="15.75" thickTop="1">
      <c r="A37" s="64"/>
      <c r="B37" s="22"/>
      <c r="C37" s="22"/>
      <c r="D37" s="22"/>
      <c r="E37" s="22"/>
      <c r="F37" s="22"/>
      <c r="G37" s="22"/>
      <c r="H37" s="22"/>
      <c r="I37" s="22"/>
      <c r="J37" s="22"/>
      <c r="K37" s="22"/>
      <c r="L37" s="22"/>
      <c r="M37" s="22"/>
      <c r="N37" s="22"/>
    </row>
    <row r="38" spans="1:14" ht="15.75" thickBot="1">
      <c r="A38" s="64" t="s">
        <v>63</v>
      </c>
      <c r="B38" s="112">
        <f t="shared" ref="B38:M38" si="16">B220</f>
        <v>4508.5400000000373</v>
      </c>
      <c r="C38" s="112">
        <f t="shared" si="16"/>
        <v>-2129.7200000000012</v>
      </c>
      <c r="D38" s="112">
        <f t="shared" si="16"/>
        <v>-1537.2199999999284</v>
      </c>
      <c r="E38" s="112">
        <f t="shared" si="16"/>
        <v>7448.9000000000378</v>
      </c>
      <c r="F38" s="112">
        <f t="shared" si="16"/>
        <v>3560.6900000000169</v>
      </c>
      <c r="G38" s="112">
        <f t="shared" si="16"/>
        <v>18797.610000000059</v>
      </c>
      <c r="H38" s="112">
        <f t="shared" si="16"/>
        <v>15585.920000000013</v>
      </c>
      <c r="I38" s="112">
        <f t="shared" si="16"/>
        <v>10992.020000000033</v>
      </c>
      <c r="J38" s="112">
        <f t="shared" si="16"/>
        <v>14213.899999999994</v>
      </c>
      <c r="K38" s="112">
        <f t="shared" si="16"/>
        <v>17535.800000000047</v>
      </c>
      <c r="L38" s="112">
        <f t="shared" si="16"/>
        <v>23796.929999999993</v>
      </c>
      <c r="M38" s="112">
        <f t="shared" si="16"/>
        <v>16130.609999999986</v>
      </c>
      <c r="N38" s="112">
        <v>128903.98</v>
      </c>
    </row>
    <row r="39" spans="1:14" ht="15.75" thickTop="1">
      <c r="A39" s="64"/>
      <c r="B39" s="22"/>
      <c r="C39" s="22"/>
      <c r="D39" s="22"/>
      <c r="E39" s="22"/>
      <c r="F39" s="22"/>
      <c r="G39" s="22"/>
      <c r="H39" s="22"/>
      <c r="I39" s="22"/>
      <c r="J39" s="22"/>
      <c r="K39" s="22"/>
      <c r="L39" s="22"/>
      <c r="M39" s="22"/>
      <c r="N39" s="22"/>
    </row>
    <row r="40" spans="1:14" ht="15.75" thickBot="1">
      <c r="A40" s="64" t="s">
        <v>64</v>
      </c>
      <c r="B40" s="112">
        <f>B223</f>
        <v>1003.83</v>
      </c>
      <c r="C40" s="112"/>
      <c r="D40" s="112"/>
      <c r="E40" s="112"/>
      <c r="F40" s="112">
        <f>F223</f>
        <v>64.489999999999995</v>
      </c>
      <c r="G40" s="112"/>
      <c r="H40" s="112"/>
      <c r="I40" s="112"/>
      <c r="J40" s="112"/>
      <c r="K40" s="112"/>
      <c r="L40" s="112"/>
      <c r="M40" s="112"/>
      <c r="N40" s="112">
        <v>1068.32</v>
      </c>
    </row>
    <row r="41" spans="1:14" ht="15.75" thickTop="1">
      <c r="A41" s="64"/>
      <c r="B41" s="22"/>
      <c r="C41" s="22"/>
      <c r="D41" s="22"/>
      <c r="E41" s="22"/>
      <c r="F41" s="22"/>
      <c r="G41" s="22"/>
      <c r="H41" s="22"/>
      <c r="I41" s="22"/>
      <c r="J41" s="22"/>
      <c r="K41" s="22"/>
      <c r="L41" s="22"/>
      <c r="M41" s="22"/>
      <c r="N41" s="22"/>
    </row>
    <row r="42" spans="1:14" ht="15.75" thickBot="1">
      <c r="A42" s="64" t="s">
        <v>22</v>
      </c>
      <c r="B42" s="112">
        <f t="shared" ref="B42:M42" si="17">B225</f>
        <v>3504.7100000000373</v>
      </c>
      <c r="C42" s="112">
        <f t="shared" si="17"/>
        <v>-2129.7200000000012</v>
      </c>
      <c r="D42" s="112">
        <f t="shared" si="17"/>
        <v>-1537.2199999999284</v>
      </c>
      <c r="E42" s="112">
        <f t="shared" si="17"/>
        <v>7448.9000000000378</v>
      </c>
      <c r="F42" s="112">
        <f t="shared" si="17"/>
        <v>3496.2000000000171</v>
      </c>
      <c r="G42" s="112">
        <f t="shared" si="17"/>
        <v>18797.610000000059</v>
      </c>
      <c r="H42" s="112">
        <f t="shared" si="17"/>
        <v>15585.920000000013</v>
      </c>
      <c r="I42" s="112">
        <f t="shared" si="17"/>
        <v>10992.020000000033</v>
      </c>
      <c r="J42" s="112">
        <f t="shared" si="17"/>
        <v>14213.899999999994</v>
      </c>
      <c r="K42" s="112">
        <f t="shared" si="17"/>
        <v>17535.800000000047</v>
      </c>
      <c r="L42" s="112">
        <f t="shared" si="17"/>
        <v>23796.929999999993</v>
      </c>
      <c r="M42" s="112">
        <f t="shared" si="17"/>
        <v>16130.609999999986</v>
      </c>
      <c r="N42" s="112">
        <v>127835.66</v>
      </c>
    </row>
    <row r="43" spans="1:14" ht="15.75" thickTop="1">
      <c r="A43" s="64"/>
      <c r="B43" s="22"/>
      <c r="C43" s="22"/>
      <c r="D43" s="22"/>
      <c r="E43" s="22"/>
      <c r="F43" s="22"/>
      <c r="G43" s="22"/>
      <c r="H43" s="22"/>
      <c r="I43" s="22"/>
      <c r="J43" s="22"/>
      <c r="K43" s="22"/>
      <c r="L43" s="22"/>
      <c r="M43" s="22"/>
      <c r="N43" s="22"/>
    </row>
    <row r="44" spans="1:14">
      <c r="A44" s="64" t="s">
        <v>40</v>
      </c>
      <c r="B44" s="22"/>
      <c r="C44" s="22"/>
      <c r="D44" s="22"/>
      <c r="E44" s="22"/>
      <c r="F44" s="22"/>
      <c r="G44" s="22"/>
      <c r="H44" s="22"/>
      <c r="I44" s="22"/>
      <c r="J44" s="22"/>
      <c r="K44" s="22"/>
      <c r="L44" s="22"/>
      <c r="M44" s="22"/>
      <c r="N44" s="22"/>
    </row>
    <row r="45" spans="1:14">
      <c r="A45" s="64"/>
      <c r="B45" s="22"/>
      <c r="C45" s="22"/>
      <c r="D45" s="22"/>
      <c r="E45" s="22"/>
      <c r="F45" s="22"/>
      <c r="G45" s="22"/>
      <c r="H45" s="22"/>
      <c r="I45" s="22"/>
      <c r="J45" s="22"/>
      <c r="K45" s="22"/>
      <c r="L45" s="22"/>
      <c r="M45" s="22"/>
      <c r="N45" s="22"/>
    </row>
    <row r="46" spans="1:14">
      <c r="A46" s="64" t="s">
        <v>41</v>
      </c>
      <c r="B46" s="22"/>
      <c r="C46" s="22"/>
      <c r="D46" s="22"/>
      <c r="E46" s="22"/>
      <c r="F46" s="22"/>
      <c r="G46" s="22"/>
      <c r="H46" s="22"/>
      <c r="I46" s="22"/>
      <c r="J46" s="22"/>
      <c r="K46" s="22"/>
      <c r="L46" s="22"/>
      <c r="M46" s="22"/>
      <c r="N46" s="22"/>
    </row>
    <row r="47" spans="1:14">
      <c r="A47" s="64"/>
      <c r="B47" s="22"/>
      <c r="C47" s="22"/>
      <c r="D47" s="22"/>
      <c r="E47" s="22"/>
      <c r="F47" s="22"/>
      <c r="G47" s="22"/>
      <c r="H47" s="22"/>
      <c r="I47" s="22"/>
      <c r="J47" s="22"/>
      <c r="K47" s="22"/>
      <c r="L47" s="22"/>
      <c r="M47" s="22"/>
      <c r="N47" s="22"/>
    </row>
    <row r="48" spans="1:14">
      <c r="A48" s="64" t="s">
        <v>65</v>
      </c>
      <c r="B48" s="113"/>
      <c r="C48" s="113"/>
      <c r="D48" s="113"/>
      <c r="E48" s="113"/>
      <c r="F48" s="113"/>
      <c r="G48" s="113"/>
      <c r="H48" s="113"/>
      <c r="I48" s="113"/>
      <c r="J48" s="113"/>
      <c r="K48" s="113"/>
      <c r="L48" s="113"/>
      <c r="M48" s="113"/>
      <c r="N48" s="113"/>
    </row>
    <row r="49" spans="1:14">
      <c r="A49" s="64" t="s">
        <v>67</v>
      </c>
      <c r="B49" s="107"/>
      <c r="C49" s="107"/>
      <c r="D49" s="107"/>
      <c r="E49" s="107"/>
      <c r="F49" s="107"/>
      <c r="G49" s="107"/>
      <c r="H49" s="107"/>
      <c r="I49" s="107"/>
      <c r="J49" s="107"/>
      <c r="K49" s="107"/>
      <c r="L49" s="107"/>
      <c r="M49" s="107"/>
      <c r="N49" s="107"/>
    </row>
    <row r="50" spans="1:14">
      <c r="A50" s="64"/>
      <c r="B50" s="22"/>
      <c r="C50" s="22"/>
      <c r="D50" s="22"/>
      <c r="E50" s="22"/>
      <c r="F50" s="22"/>
      <c r="G50" s="22"/>
      <c r="H50" s="22"/>
      <c r="I50" s="22"/>
      <c r="J50" s="22"/>
      <c r="K50" s="22"/>
      <c r="L50" s="22"/>
      <c r="M50" s="22"/>
      <c r="N50" s="22"/>
    </row>
    <row r="51" spans="1:14">
      <c r="A51" s="64" t="s">
        <v>68</v>
      </c>
      <c r="B51" s="113"/>
      <c r="C51" s="113"/>
      <c r="D51" s="113"/>
      <c r="E51" s="113"/>
      <c r="F51" s="113"/>
      <c r="G51" s="113"/>
      <c r="H51" s="113"/>
      <c r="I51" s="113"/>
      <c r="J51" s="113"/>
      <c r="K51" s="113"/>
      <c r="L51" s="113"/>
      <c r="M51" s="113"/>
      <c r="N51" s="113"/>
    </row>
    <row r="52" spans="1:14">
      <c r="A52" s="64" t="s">
        <v>69</v>
      </c>
      <c r="B52" s="107"/>
      <c r="C52" s="107"/>
      <c r="D52" s="107"/>
      <c r="E52" s="107"/>
      <c r="F52" s="107"/>
      <c r="G52" s="107"/>
      <c r="H52" s="107"/>
      <c r="I52" s="107"/>
      <c r="J52" s="107"/>
      <c r="K52" s="107"/>
      <c r="L52" s="107"/>
      <c r="M52" s="107"/>
      <c r="N52" s="107"/>
    </row>
    <row r="53" spans="1:14">
      <c r="A53" s="64"/>
      <c r="B53" s="22"/>
      <c r="C53" s="22"/>
      <c r="D53" s="22"/>
      <c r="E53" s="22"/>
      <c r="F53" s="22"/>
      <c r="G53" s="22"/>
      <c r="H53" s="22"/>
      <c r="I53" s="22"/>
      <c r="J53" s="22"/>
      <c r="K53" s="22"/>
      <c r="L53" s="22"/>
      <c r="M53" s="22"/>
      <c r="N53" s="22"/>
    </row>
    <row r="54" spans="1:14">
      <c r="A54" s="64" t="s">
        <v>70</v>
      </c>
      <c r="B54" s="113"/>
      <c r="C54" s="113"/>
      <c r="D54" s="113"/>
      <c r="E54" s="113"/>
      <c r="F54" s="113"/>
      <c r="G54" s="113"/>
      <c r="H54" s="113"/>
      <c r="I54" s="113"/>
      <c r="J54" s="113"/>
      <c r="K54" s="113"/>
      <c r="L54" s="113"/>
      <c r="M54" s="113"/>
      <c r="N54" s="113"/>
    </row>
    <row r="55" spans="1:14">
      <c r="A55" s="64" t="s">
        <v>71</v>
      </c>
      <c r="B55" s="107"/>
      <c r="C55" s="107"/>
      <c r="D55" s="107"/>
      <c r="E55" s="107"/>
      <c r="F55" s="107"/>
      <c r="G55" s="107"/>
      <c r="H55" s="107"/>
      <c r="I55" s="107"/>
      <c r="J55" s="107"/>
      <c r="K55" s="107"/>
      <c r="L55" s="107"/>
      <c r="M55" s="107"/>
      <c r="N55" s="107"/>
    </row>
    <row r="56" spans="1:14">
      <c r="A56" s="64"/>
      <c r="B56" s="22"/>
      <c r="C56" s="22"/>
      <c r="D56" s="22"/>
      <c r="E56" s="22"/>
      <c r="F56" s="22"/>
      <c r="G56" s="22"/>
      <c r="H56" s="22"/>
      <c r="I56" s="22"/>
      <c r="J56" s="22"/>
      <c r="K56" s="22"/>
      <c r="L56" s="22"/>
      <c r="M56" s="22"/>
      <c r="N56" s="22"/>
    </row>
    <row r="57" spans="1:14">
      <c r="A57" s="64" t="s">
        <v>72</v>
      </c>
      <c r="B57" s="113"/>
      <c r="C57" s="113"/>
      <c r="D57" s="113"/>
      <c r="E57" s="113"/>
      <c r="F57" s="113"/>
      <c r="G57" s="113"/>
      <c r="H57" s="113"/>
      <c r="I57" s="113"/>
      <c r="J57" s="113"/>
      <c r="K57" s="113"/>
      <c r="L57" s="113"/>
      <c r="M57" s="113"/>
      <c r="N57" s="113"/>
    </row>
    <row r="58" spans="1:14">
      <c r="A58" s="64" t="s">
        <v>314</v>
      </c>
      <c r="B58" s="107"/>
      <c r="C58" s="107"/>
      <c r="D58" s="107"/>
      <c r="E58" s="107"/>
      <c r="F58" s="107"/>
      <c r="G58" s="107"/>
      <c r="H58" s="107"/>
      <c r="I58" s="107"/>
      <c r="J58" s="107"/>
      <c r="K58" s="107"/>
      <c r="L58" s="107"/>
      <c r="M58" s="107"/>
      <c r="N58" s="107"/>
    </row>
    <row r="59" spans="1:14">
      <c r="A59" s="64"/>
      <c r="B59" s="22"/>
      <c r="C59" s="22"/>
      <c r="D59" s="22"/>
      <c r="E59" s="22"/>
      <c r="F59" s="22"/>
      <c r="G59" s="22"/>
      <c r="H59" s="22"/>
      <c r="I59" s="22"/>
      <c r="J59" s="22"/>
      <c r="K59" s="22"/>
      <c r="L59" s="22"/>
      <c r="M59" s="22"/>
      <c r="N59" s="22"/>
    </row>
    <row r="60" spans="1:14">
      <c r="A60" s="64" t="s">
        <v>73</v>
      </c>
      <c r="B60" s="113"/>
      <c r="C60" s="113"/>
      <c r="D60" s="113"/>
      <c r="E60" s="113"/>
      <c r="F60" s="113"/>
      <c r="G60" s="113"/>
      <c r="H60" s="113"/>
      <c r="I60" s="113"/>
      <c r="J60" s="113"/>
      <c r="K60" s="113"/>
      <c r="L60" s="113"/>
      <c r="M60" s="113"/>
      <c r="N60" s="113"/>
    </row>
    <row r="61" spans="1:14">
      <c r="A61" s="64" t="s">
        <v>74</v>
      </c>
      <c r="B61" s="107"/>
      <c r="C61" s="107"/>
      <c r="D61" s="107"/>
      <c r="E61" s="107"/>
      <c r="F61" s="107"/>
      <c r="G61" s="107"/>
      <c r="H61" s="107"/>
      <c r="I61" s="107"/>
      <c r="J61" s="107"/>
      <c r="K61" s="107"/>
      <c r="L61" s="107"/>
      <c r="M61" s="107"/>
      <c r="N61" s="107"/>
    </row>
    <row r="62" spans="1:14">
      <c r="A62" s="64"/>
      <c r="B62" s="22"/>
      <c r="C62" s="22"/>
      <c r="D62" s="22"/>
      <c r="E62" s="22"/>
      <c r="F62" s="22"/>
      <c r="G62" s="22"/>
      <c r="H62" s="22"/>
      <c r="I62" s="22"/>
      <c r="J62" s="22"/>
      <c r="K62" s="22"/>
      <c r="L62" s="22"/>
      <c r="M62" s="22"/>
      <c r="N62" s="22"/>
    </row>
    <row r="63" spans="1:14">
      <c r="A63" s="64" t="s">
        <v>75</v>
      </c>
      <c r="B63" s="22"/>
      <c r="C63" s="22"/>
      <c r="D63" s="22"/>
      <c r="E63" s="22"/>
      <c r="F63" s="22"/>
      <c r="G63" s="22"/>
      <c r="H63" s="22"/>
      <c r="I63" s="22"/>
      <c r="J63" s="22"/>
      <c r="K63" s="22"/>
      <c r="L63" s="22"/>
      <c r="M63" s="22"/>
      <c r="N63" s="22"/>
    </row>
    <row r="64" spans="1:14">
      <c r="A64" s="64" t="s">
        <v>66</v>
      </c>
      <c r="B64" s="111">
        <v>121121.5</v>
      </c>
      <c r="C64" s="111">
        <v>117127.5</v>
      </c>
      <c r="D64" s="111">
        <v>115377.5</v>
      </c>
      <c r="E64" s="111">
        <v>119982.5</v>
      </c>
      <c r="F64" s="111">
        <v>120816.69</v>
      </c>
      <c r="G64" s="111">
        <v>126033.1</v>
      </c>
      <c r="H64" s="111">
        <v>126349.69</v>
      </c>
      <c r="I64" s="111">
        <v>129957.11</v>
      </c>
      <c r="J64" s="111">
        <v>131413.41</v>
      </c>
      <c r="K64" s="111">
        <v>132965.99</v>
      </c>
      <c r="L64" s="111">
        <v>138993.49</v>
      </c>
      <c r="M64" s="111">
        <v>142377.42000000001</v>
      </c>
      <c r="N64" s="111">
        <v>1522515.9</v>
      </c>
    </row>
    <row r="65" spans="1:14">
      <c r="A65" s="64" t="s">
        <v>76</v>
      </c>
      <c r="B65" s="107">
        <f t="shared" ref="B65:M65" si="18">SUM(B62:B64)</f>
        <v>121121.5</v>
      </c>
      <c r="C65" s="107">
        <f t="shared" si="18"/>
        <v>117127.5</v>
      </c>
      <c r="D65" s="107">
        <f t="shared" si="18"/>
        <v>115377.5</v>
      </c>
      <c r="E65" s="107">
        <f t="shared" si="18"/>
        <v>119982.5</v>
      </c>
      <c r="F65" s="107">
        <f t="shared" si="18"/>
        <v>120816.69</v>
      </c>
      <c r="G65" s="107">
        <f t="shared" si="18"/>
        <v>126033.1</v>
      </c>
      <c r="H65" s="107">
        <f t="shared" si="18"/>
        <v>126349.69</v>
      </c>
      <c r="I65" s="107">
        <f t="shared" si="18"/>
        <v>129957.11</v>
      </c>
      <c r="J65" s="107">
        <f t="shared" si="18"/>
        <v>131413.41</v>
      </c>
      <c r="K65" s="107">
        <f t="shared" si="18"/>
        <v>132965.99</v>
      </c>
      <c r="L65" s="107">
        <f t="shared" si="18"/>
        <v>138993.49</v>
      </c>
      <c r="M65" s="107">
        <f t="shared" si="18"/>
        <v>142377.42000000001</v>
      </c>
      <c r="N65" s="107">
        <v>1522515.9</v>
      </c>
    </row>
    <row r="66" spans="1:14">
      <c r="A66" s="64"/>
      <c r="B66" s="113"/>
      <c r="C66" s="113"/>
      <c r="D66" s="113"/>
      <c r="E66" s="113"/>
      <c r="F66" s="113"/>
      <c r="G66" s="113"/>
      <c r="H66" s="113"/>
      <c r="I66" s="113"/>
      <c r="J66" s="113"/>
      <c r="K66" s="113"/>
      <c r="L66" s="113"/>
      <c r="M66" s="113"/>
      <c r="N66" s="113"/>
    </row>
    <row r="67" spans="1:14">
      <c r="A67" s="64" t="s">
        <v>42</v>
      </c>
      <c r="B67" s="107">
        <f t="shared" ref="B67:M67" si="19">SUM(B48:B66)-B49-B52-B55-B58-B61-B65</f>
        <v>121121.5</v>
      </c>
      <c r="C67" s="107">
        <f t="shared" si="19"/>
        <v>117127.5</v>
      </c>
      <c r="D67" s="107">
        <f t="shared" si="19"/>
        <v>115377.5</v>
      </c>
      <c r="E67" s="107">
        <f t="shared" si="19"/>
        <v>119982.5</v>
      </c>
      <c r="F67" s="107">
        <f t="shared" si="19"/>
        <v>120816.69</v>
      </c>
      <c r="G67" s="107">
        <f t="shared" si="19"/>
        <v>126033.1</v>
      </c>
      <c r="H67" s="107">
        <f t="shared" si="19"/>
        <v>126349.69</v>
      </c>
      <c r="I67" s="107">
        <f t="shared" si="19"/>
        <v>129957.11</v>
      </c>
      <c r="J67" s="107">
        <f t="shared" si="19"/>
        <v>131413.41</v>
      </c>
      <c r="K67" s="107">
        <f t="shared" si="19"/>
        <v>132965.99</v>
      </c>
      <c r="L67" s="107">
        <f t="shared" si="19"/>
        <v>138993.49</v>
      </c>
      <c r="M67" s="107">
        <f t="shared" si="19"/>
        <v>142377.42000000001</v>
      </c>
      <c r="N67" s="107">
        <v>1522515.9</v>
      </c>
    </row>
    <row r="68" spans="1:14">
      <c r="A68" s="64"/>
      <c r="B68" s="22"/>
      <c r="C68" s="22"/>
      <c r="D68" s="22"/>
      <c r="E68" s="22"/>
      <c r="F68" s="22"/>
      <c r="G68" s="22"/>
      <c r="H68" s="22"/>
      <c r="I68" s="22"/>
      <c r="J68" s="22"/>
      <c r="K68" s="22"/>
      <c r="L68" s="22"/>
      <c r="M68" s="22"/>
      <c r="N68" s="22"/>
    </row>
    <row r="69" spans="1:14">
      <c r="A69" s="64" t="s">
        <v>43</v>
      </c>
      <c r="B69" s="22"/>
      <c r="C69" s="22"/>
      <c r="D69" s="22"/>
      <c r="E69" s="22"/>
      <c r="F69" s="22"/>
      <c r="G69" s="22"/>
      <c r="H69" s="22"/>
      <c r="I69" s="22"/>
      <c r="J69" s="22"/>
      <c r="K69" s="22"/>
      <c r="L69" s="22"/>
      <c r="M69" s="22"/>
      <c r="N69" s="22"/>
    </row>
    <row r="70" spans="1:14">
      <c r="A70" s="64"/>
      <c r="B70" s="22"/>
      <c r="C70" s="22"/>
      <c r="D70" s="22"/>
      <c r="E70" s="22"/>
      <c r="F70" s="22"/>
      <c r="G70" s="22"/>
      <c r="H70" s="22"/>
      <c r="I70" s="22"/>
      <c r="J70" s="22"/>
      <c r="K70" s="22"/>
      <c r="L70" s="22"/>
      <c r="M70" s="22"/>
      <c r="N70" s="22"/>
    </row>
    <row r="71" spans="1:14">
      <c r="A71" s="64" t="s">
        <v>65</v>
      </c>
      <c r="B71" s="113"/>
      <c r="C71" s="113"/>
      <c r="D71" s="113"/>
      <c r="E71" s="113"/>
      <c r="F71" s="113"/>
      <c r="G71" s="113"/>
      <c r="H71" s="113"/>
      <c r="I71" s="113"/>
      <c r="J71" s="113"/>
      <c r="K71" s="113"/>
      <c r="L71" s="113"/>
      <c r="M71" s="113"/>
      <c r="N71" s="113"/>
    </row>
    <row r="72" spans="1:14">
      <c r="A72" s="64" t="s">
        <v>67</v>
      </c>
      <c r="B72" s="107"/>
      <c r="C72" s="107"/>
      <c r="D72" s="107"/>
      <c r="E72" s="107"/>
      <c r="F72" s="107"/>
      <c r="G72" s="107"/>
      <c r="H72" s="107"/>
      <c r="I72" s="107"/>
      <c r="J72" s="107"/>
      <c r="K72" s="107"/>
      <c r="L72" s="107"/>
      <c r="M72" s="107"/>
      <c r="N72" s="107"/>
    </row>
    <row r="73" spans="1:14">
      <c r="A73" s="64"/>
      <c r="B73" s="22"/>
      <c r="C73" s="22"/>
      <c r="D73" s="22"/>
      <c r="E73" s="22"/>
      <c r="F73" s="22"/>
      <c r="G73" s="22"/>
      <c r="H73" s="22"/>
      <c r="I73" s="22"/>
      <c r="J73" s="22"/>
      <c r="K73" s="22"/>
      <c r="L73" s="22"/>
      <c r="M73" s="22"/>
      <c r="N73" s="22"/>
    </row>
    <row r="74" spans="1:14">
      <c r="A74" s="64" t="s">
        <v>68</v>
      </c>
      <c r="B74" s="113"/>
      <c r="C74" s="113"/>
      <c r="D74" s="113"/>
      <c r="E74" s="113"/>
      <c r="F74" s="113"/>
      <c r="G74" s="113"/>
      <c r="H74" s="113"/>
      <c r="I74" s="113"/>
      <c r="J74" s="113"/>
      <c r="K74" s="113"/>
      <c r="L74" s="113"/>
      <c r="M74" s="113"/>
      <c r="N74" s="113"/>
    </row>
    <row r="75" spans="1:14">
      <c r="A75" s="64" t="s">
        <v>69</v>
      </c>
      <c r="B75" s="107"/>
      <c r="C75" s="107"/>
      <c r="D75" s="107"/>
      <c r="E75" s="107"/>
      <c r="F75" s="107"/>
      <c r="G75" s="107"/>
      <c r="H75" s="107"/>
      <c r="I75" s="107"/>
      <c r="J75" s="107"/>
      <c r="K75" s="107"/>
      <c r="L75" s="107"/>
      <c r="M75" s="107"/>
      <c r="N75" s="107"/>
    </row>
    <row r="76" spans="1:14">
      <c r="A76" s="64"/>
      <c r="B76" s="22"/>
      <c r="C76" s="22"/>
      <c r="D76" s="22"/>
      <c r="E76" s="22"/>
      <c r="F76" s="22"/>
      <c r="G76" s="22"/>
      <c r="H76" s="22"/>
      <c r="I76" s="22"/>
      <c r="J76" s="22"/>
      <c r="K76" s="22"/>
      <c r="L76" s="22"/>
      <c r="M76" s="22"/>
      <c r="N76" s="22"/>
    </row>
    <row r="77" spans="1:14">
      <c r="A77" s="64" t="s">
        <v>70</v>
      </c>
      <c r="B77" s="113"/>
      <c r="C77" s="113"/>
      <c r="D77" s="113"/>
      <c r="E77" s="113"/>
      <c r="F77" s="113"/>
      <c r="G77" s="113"/>
      <c r="H77" s="113"/>
      <c r="I77" s="113"/>
      <c r="J77" s="113"/>
      <c r="K77" s="113"/>
      <c r="L77" s="113"/>
      <c r="M77" s="113"/>
      <c r="N77" s="113"/>
    </row>
    <row r="78" spans="1:14">
      <c r="A78" s="64" t="s">
        <v>71</v>
      </c>
      <c r="B78" s="107"/>
      <c r="C78" s="107"/>
      <c r="D78" s="107"/>
      <c r="E78" s="107"/>
      <c r="F78" s="107"/>
      <c r="G78" s="107"/>
      <c r="H78" s="107"/>
      <c r="I78" s="107"/>
      <c r="J78" s="107"/>
      <c r="K78" s="107"/>
      <c r="L78" s="107"/>
      <c r="M78" s="107"/>
      <c r="N78" s="107"/>
    </row>
    <row r="79" spans="1:14">
      <c r="A79" s="64"/>
      <c r="B79" s="22"/>
      <c r="C79" s="22"/>
      <c r="D79" s="22"/>
      <c r="E79" s="22"/>
      <c r="F79" s="22"/>
      <c r="G79" s="22"/>
      <c r="H79" s="22"/>
      <c r="I79" s="22"/>
      <c r="J79" s="22"/>
      <c r="K79" s="22"/>
      <c r="L79" s="22"/>
      <c r="M79" s="22"/>
      <c r="N79" s="22"/>
    </row>
    <row r="80" spans="1:14">
      <c r="A80" s="64" t="s">
        <v>72</v>
      </c>
      <c r="B80" s="113"/>
      <c r="C80" s="113"/>
      <c r="D80" s="113"/>
      <c r="E80" s="113"/>
      <c r="F80" s="113"/>
      <c r="G80" s="113"/>
      <c r="H80" s="113"/>
      <c r="I80" s="113"/>
      <c r="J80" s="113"/>
      <c r="K80" s="113"/>
      <c r="L80" s="113"/>
      <c r="M80" s="113"/>
      <c r="N80" s="113"/>
    </row>
    <row r="81" spans="1:14">
      <c r="A81" s="64" t="s">
        <v>314</v>
      </c>
      <c r="B81" s="107"/>
      <c r="C81" s="107"/>
      <c r="D81" s="107"/>
      <c r="E81" s="107"/>
      <c r="F81" s="107"/>
      <c r="G81" s="107"/>
      <c r="H81" s="107"/>
      <c r="I81" s="107"/>
      <c r="J81" s="107"/>
      <c r="K81" s="107"/>
      <c r="L81" s="107"/>
      <c r="M81" s="107"/>
      <c r="N81" s="107"/>
    </row>
    <row r="82" spans="1:14">
      <c r="A82" s="64"/>
      <c r="B82" s="22"/>
      <c r="C82" s="22"/>
      <c r="D82" s="22"/>
      <c r="E82" s="22"/>
      <c r="F82" s="22"/>
      <c r="G82" s="22"/>
      <c r="H82" s="22"/>
      <c r="I82" s="22"/>
      <c r="J82" s="22"/>
      <c r="K82" s="22"/>
      <c r="L82" s="22"/>
      <c r="M82" s="22"/>
      <c r="N82" s="22"/>
    </row>
    <row r="83" spans="1:14">
      <c r="A83" s="64" t="s">
        <v>73</v>
      </c>
      <c r="B83" s="113"/>
      <c r="C83" s="113"/>
      <c r="D83" s="113"/>
      <c r="E83" s="113"/>
      <c r="F83" s="113"/>
      <c r="G83" s="113"/>
      <c r="H83" s="113"/>
      <c r="I83" s="113"/>
      <c r="J83" s="113"/>
      <c r="K83" s="113"/>
      <c r="L83" s="113"/>
      <c r="M83" s="113"/>
      <c r="N83" s="113"/>
    </row>
    <row r="84" spans="1:14">
      <c r="A84" s="64" t="s">
        <v>74</v>
      </c>
      <c r="B84" s="107"/>
      <c r="C84" s="107"/>
      <c r="D84" s="107"/>
      <c r="E84" s="107"/>
      <c r="F84" s="107"/>
      <c r="G84" s="107"/>
      <c r="H84" s="107"/>
      <c r="I84" s="107"/>
      <c r="J84" s="107"/>
      <c r="K84" s="107"/>
      <c r="L84" s="107"/>
      <c r="M84" s="107"/>
      <c r="N84" s="107"/>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-0.1</v>
      </c>
      <c r="C87" s="113"/>
      <c r="D87" s="113"/>
      <c r="E87" s="113"/>
      <c r="F87" s="113"/>
      <c r="G87" s="113"/>
      <c r="H87" s="113"/>
      <c r="I87" s="111">
        <v>-0.01</v>
      </c>
      <c r="J87" s="113"/>
      <c r="K87" s="113"/>
      <c r="L87" s="113"/>
      <c r="M87" s="113"/>
      <c r="N87" s="111">
        <v>-0.11</v>
      </c>
    </row>
    <row r="88" spans="1:14">
      <c r="A88" s="64" t="s">
        <v>76</v>
      </c>
      <c r="B88" s="107">
        <f>SUM(B85:B87)</f>
        <v>-0.1</v>
      </c>
      <c r="C88" s="107"/>
      <c r="D88" s="107"/>
      <c r="E88" s="107"/>
      <c r="F88" s="107"/>
      <c r="G88" s="107"/>
      <c r="H88" s="107"/>
      <c r="I88" s="107">
        <f>SUM(I85:I87)</f>
        <v>-0.01</v>
      </c>
      <c r="J88" s="107"/>
      <c r="K88" s="107"/>
      <c r="L88" s="107"/>
      <c r="M88" s="107"/>
      <c r="N88" s="107">
        <v>-0.11</v>
      </c>
    </row>
    <row r="89" spans="1:14">
      <c r="A89" s="64"/>
      <c r="B89" s="113"/>
      <c r="C89" s="113"/>
      <c r="D89" s="113"/>
      <c r="E89" s="113"/>
      <c r="F89" s="113"/>
      <c r="G89" s="113"/>
      <c r="H89" s="113"/>
      <c r="I89" s="113"/>
      <c r="J89" s="113"/>
      <c r="K89" s="113"/>
      <c r="L89" s="113"/>
      <c r="M89" s="113"/>
      <c r="N89" s="113"/>
    </row>
    <row r="90" spans="1:14">
      <c r="A90" s="64" t="s">
        <v>44</v>
      </c>
      <c r="B90" s="107">
        <f>SUM(B69:B89)-B72-B75-B78-B81-B84-B88</f>
        <v>-0.1</v>
      </c>
      <c r="C90" s="107"/>
      <c r="D90" s="107"/>
      <c r="E90" s="107"/>
      <c r="F90" s="107"/>
      <c r="G90" s="107"/>
      <c r="H90" s="107"/>
      <c r="I90" s="107">
        <f>SUM(I69:I89)-I72-I75-I78-I81-I84-I88</f>
        <v>-0.01</v>
      </c>
      <c r="J90" s="107"/>
      <c r="K90" s="107"/>
      <c r="L90" s="107"/>
      <c r="M90" s="107"/>
      <c r="N90" s="107">
        <v>-0.11</v>
      </c>
    </row>
    <row r="91" spans="1:14">
      <c r="A91" s="64"/>
      <c r="B91" s="22"/>
      <c r="C91" s="22"/>
      <c r="D91" s="22"/>
      <c r="E91" s="22"/>
      <c r="F91" s="22"/>
      <c r="G91" s="22"/>
      <c r="H91" s="22"/>
      <c r="I91" s="22"/>
      <c r="J91" s="22"/>
      <c r="K91" s="22"/>
      <c r="L91" s="22"/>
      <c r="M91" s="22"/>
      <c r="N91" s="22"/>
    </row>
    <row r="92" spans="1:14">
      <c r="A92" s="64" t="s">
        <v>45</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19</v>
      </c>
      <c r="B94" s="22"/>
      <c r="C94" s="22"/>
      <c r="D94" s="22"/>
      <c r="E94" s="22"/>
      <c r="F94" s="22"/>
      <c r="G94" s="22"/>
      <c r="H94" s="22"/>
      <c r="I94" s="22"/>
      <c r="J94" s="22"/>
      <c r="K94" s="22"/>
      <c r="L94" s="22"/>
      <c r="M94" s="22"/>
      <c r="N94" s="22"/>
    </row>
    <row r="95" spans="1:14">
      <c r="A95" s="64" t="s">
        <v>354</v>
      </c>
      <c r="B95" s="113"/>
      <c r="C95" s="113"/>
      <c r="D95" s="113"/>
      <c r="E95" s="113"/>
      <c r="F95" s="113"/>
      <c r="G95" s="113"/>
      <c r="H95" s="113"/>
      <c r="I95" s="113"/>
      <c r="J95" s="113"/>
      <c r="K95" s="113"/>
      <c r="L95" s="113"/>
      <c r="M95" s="113"/>
      <c r="N95" s="113"/>
    </row>
    <row r="96" spans="1:14">
      <c r="A96" s="64"/>
      <c r="B96" s="22"/>
      <c r="C96" s="22"/>
      <c r="D96" s="22"/>
      <c r="E96" s="22"/>
      <c r="F96" s="22"/>
      <c r="G96" s="22"/>
      <c r="H96" s="22"/>
      <c r="I96" s="22"/>
      <c r="J96" s="22"/>
      <c r="K96" s="22"/>
      <c r="L96" s="22"/>
      <c r="M96" s="22"/>
      <c r="N96" s="22"/>
    </row>
    <row r="97" spans="1:14">
      <c r="A97" s="64" t="s">
        <v>20</v>
      </c>
      <c r="B97" s="113"/>
      <c r="C97" s="113"/>
      <c r="D97" s="113"/>
      <c r="E97" s="113"/>
      <c r="F97" s="113"/>
      <c r="G97" s="113"/>
      <c r="H97" s="113"/>
      <c r="I97" s="113"/>
      <c r="J97" s="113"/>
      <c r="K97" s="113"/>
      <c r="L97" s="113"/>
      <c r="M97" s="113"/>
      <c r="N97" s="113"/>
    </row>
    <row r="98" spans="1:14">
      <c r="A98" s="64"/>
      <c r="B98" s="22"/>
      <c r="C98" s="22"/>
      <c r="D98" s="22"/>
      <c r="E98" s="22"/>
      <c r="F98" s="22"/>
      <c r="G98" s="22"/>
      <c r="H98" s="22"/>
      <c r="I98" s="22"/>
      <c r="J98" s="22"/>
      <c r="K98" s="22"/>
      <c r="L98" s="22"/>
      <c r="M98" s="22"/>
      <c r="N98" s="22"/>
    </row>
    <row r="99" spans="1:14">
      <c r="A99" s="64" t="s">
        <v>88</v>
      </c>
      <c r="B99" s="113"/>
      <c r="C99" s="113"/>
      <c r="D99" s="113"/>
      <c r="E99" s="113"/>
      <c r="F99" s="113"/>
      <c r="G99" s="113"/>
      <c r="H99" s="113"/>
      <c r="I99" s="113"/>
      <c r="J99" s="113"/>
      <c r="K99" s="113"/>
      <c r="L99" s="113"/>
      <c r="M99" s="113"/>
      <c r="N99" s="113"/>
    </row>
    <row r="100" spans="1:14">
      <c r="A100" s="64"/>
      <c r="B100" s="22"/>
      <c r="C100" s="22"/>
      <c r="D100" s="22"/>
      <c r="E100" s="22"/>
      <c r="F100" s="22"/>
      <c r="G100" s="22"/>
      <c r="H100" s="22"/>
      <c r="I100" s="22"/>
      <c r="J100" s="22"/>
      <c r="K100" s="22"/>
      <c r="L100" s="22"/>
      <c r="M100" s="22"/>
      <c r="N100" s="22"/>
    </row>
    <row r="101" spans="1:14">
      <c r="A101" s="64" t="s">
        <v>99</v>
      </c>
      <c r="B101" s="113"/>
      <c r="C101" s="113"/>
      <c r="D101" s="113"/>
      <c r="E101" s="113"/>
      <c r="F101" s="113"/>
      <c r="G101" s="113"/>
      <c r="H101" s="113"/>
      <c r="I101" s="113"/>
      <c r="J101" s="113"/>
      <c r="K101" s="113"/>
      <c r="L101" s="113"/>
      <c r="M101" s="113"/>
      <c r="N101" s="113"/>
    </row>
    <row r="102" spans="1:14">
      <c r="A102" s="64"/>
      <c r="B102" s="22"/>
      <c r="C102" s="22"/>
      <c r="D102" s="22"/>
      <c r="E102" s="22"/>
      <c r="F102" s="22"/>
      <c r="G102" s="22"/>
      <c r="H102" s="22"/>
      <c r="I102" s="22"/>
      <c r="J102" s="22"/>
      <c r="K102" s="22"/>
      <c r="L102" s="22"/>
      <c r="M102" s="22"/>
      <c r="N102" s="22"/>
    </row>
    <row r="103" spans="1:14">
      <c r="A103" s="64" t="s">
        <v>105</v>
      </c>
      <c r="B103" s="113"/>
      <c r="C103" s="113"/>
      <c r="D103" s="113"/>
      <c r="E103" s="113"/>
      <c r="F103" s="113"/>
      <c r="G103" s="113"/>
      <c r="H103" s="113"/>
      <c r="I103" s="113"/>
      <c r="J103" s="113"/>
      <c r="K103" s="113"/>
      <c r="L103" s="113"/>
      <c r="M103" s="113"/>
      <c r="N103" s="113"/>
    </row>
    <row r="104" spans="1:14">
      <c r="A104" s="64"/>
      <c r="B104" s="22"/>
      <c r="C104" s="22"/>
      <c r="D104" s="22"/>
      <c r="E104" s="22"/>
      <c r="F104" s="22"/>
      <c r="G104" s="22"/>
      <c r="H104" s="22"/>
      <c r="I104" s="22"/>
      <c r="J104" s="22"/>
      <c r="K104" s="22"/>
      <c r="L104" s="22"/>
      <c r="M104" s="22"/>
      <c r="N104" s="22"/>
    </row>
    <row r="105" spans="1:14">
      <c r="A105" s="64" t="s">
        <v>106</v>
      </c>
      <c r="B105" s="113"/>
      <c r="C105" s="113"/>
      <c r="D105" s="113"/>
      <c r="E105" s="113"/>
      <c r="F105" s="113"/>
      <c r="G105" s="113"/>
      <c r="H105" s="113"/>
      <c r="I105" s="113"/>
      <c r="J105" s="113"/>
      <c r="K105" s="113"/>
      <c r="L105" s="113"/>
      <c r="M105" s="113"/>
      <c r="N105" s="113"/>
    </row>
    <row r="106" spans="1:14">
      <c r="A106" s="64"/>
      <c r="B106" s="22"/>
      <c r="C106" s="22"/>
      <c r="D106" s="22"/>
      <c r="E106" s="22"/>
      <c r="F106" s="22"/>
      <c r="G106" s="22"/>
      <c r="H106" s="22"/>
      <c r="I106" s="22"/>
      <c r="J106" s="22"/>
      <c r="K106" s="22"/>
      <c r="L106" s="22"/>
      <c r="M106" s="22"/>
      <c r="N106" s="22"/>
    </row>
    <row r="107" spans="1:14">
      <c r="A107" s="64" t="s">
        <v>117</v>
      </c>
      <c r="B107" s="22"/>
      <c r="C107" s="22"/>
      <c r="D107" s="22"/>
      <c r="E107" s="22"/>
      <c r="F107" s="22"/>
      <c r="G107" s="22"/>
      <c r="H107" s="22"/>
      <c r="I107" s="22"/>
      <c r="J107" s="22"/>
      <c r="K107" s="22"/>
      <c r="L107" s="22"/>
      <c r="M107" s="22"/>
      <c r="N107" s="22"/>
    </row>
    <row r="108" spans="1:14">
      <c r="A108" s="64" t="s">
        <v>282</v>
      </c>
      <c r="B108" s="22"/>
      <c r="C108" s="22"/>
      <c r="D108" s="22"/>
      <c r="E108" s="22"/>
      <c r="F108" s="22"/>
      <c r="G108" s="22"/>
      <c r="H108" s="22"/>
      <c r="I108" s="22"/>
      <c r="J108" s="22"/>
      <c r="K108" s="22"/>
      <c r="L108" s="22"/>
      <c r="M108" s="22"/>
      <c r="N108" s="22"/>
    </row>
    <row r="109" spans="1:14">
      <c r="A109" s="64" t="s">
        <v>126</v>
      </c>
      <c r="B109" s="111">
        <v>0.1</v>
      </c>
      <c r="C109" s="113"/>
      <c r="D109" s="113"/>
      <c r="E109" s="113"/>
      <c r="F109" s="113"/>
      <c r="G109" s="113"/>
      <c r="H109" s="113"/>
      <c r="I109" s="113"/>
      <c r="J109" s="113"/>
      <c r="K109" s="113"/>
      <c r="L109" s="113"/>
      <c r="M109" s="113"/>
      <c r="N109" s="111">
        <v>0.1</v>
      </c>
    </row>
    <row r="110" spans="1:14">
      <c r="A110" s="64" t="s">
        <v>127</v>
      </c>
      <c r="B110" s="107">
        <f>SUM(B107:B109)</f>
        <v>0.1</v>
      </c>
      <c r="C110" s="107"/>
      <c r="D110" s="107"/>
      <c r="E110" s="107"/>
      <c r="F110" s="107"/>
      <c r="G110" s="107"/>
      <c r="H110" s="107"/>
      <c r="I110" s="107"/>
      <c r="J110" s="107"/>
      <c r="K110" s="107"/>
      <c r="L110" s="107"/>
      <c r="M110" s="107"/>
      <c r="N110" s="107">
        <v>0.1</v>
      </c>
    </row>
    <row r="111" spans="1:14">
      <c r="A111" s="64"/>
      <c r="B111" s="22"/>
      <c r="C111" s="22"/>
      <c r="D111" s="22"/>
      <c r="E111" s="22"/>
      <c r="F111" s="22"/>
      <c r="G111" s="22"/>
      <c r="H111" s="22"/>
      <c r="I111" s="22"/>
      <c r="J111" s="22"/>
      <c r="K111" s="22"/>
      <c r="L111" s="22"/>
      <c r="M111" s="22"/>
      <c r="N111" s="22"/>
    </row>
    <row r="112" spans="1:14">
      <c r="A112" s="64" t="s">
        <v>47</v>
      </c>
      <c r="B112" s="107">
        <f>SUM(B92:B111)-0-0-0-0-0-0-B110</f>
        <v>0.1</v>
      </c>
      <c r="C112" s="107"/>
      <c r="D112" s="107"/>
      <c r="E112" s="107"/>
      <c r="F112" s="107"/>
      <c r="G112" s="107"/>
      <c r="H112" s="107"/>
      <c r="I112" s="107"/>
      <c r="J112" s="107"/>
      <c r="K112" s="107"/>
      <c r="L112" s="107"/>
      <c r="M112" s="107"/>
      <c r="N112" s="107">
        <v>0.1</v>
      </c>
    </row>
    <row r="113" spans="1:14">
      <c r="A113" s="64"/>
      <c r="B113" s="22"/>
      <c r="C113" s="22"/>
      <c r="D113" s="22"/>
      <c r="E113" s="22"/>
      <c r="F113" s="22"/>
      <c r="G113" s="22"/>
      <c r="H113" s="22"/>
      <c r="I113" s="22"/>
      <c r="J113" s="22"/>
      <c r="K113" s="22"/>
      <c r="L113" s="22"/>
      <c r="M113" s="22"/>
      <c r="N113" s="22"/>
    </row>
    <row r="114" spans="1:14">
      <c r="A114" s="64" t="s">
        <v>48</v>
      </c>
      <c r="B114" s="22"/>
      <c r="C114" s="22"/>
      <c r="D114" s="22"/>
      <c r="E114" s="22"/>
      <c r="F114" s="22"/>
      <c r="G114" s="22"/>
      <c r="H114" s="22"/>
      <c r="I114" s="22"/>
      <c r="J114" s="22"/>
      <c r="K114" s="22"/>
      <c r="L114" s="22"/>
      <c r="M114" s="22"/>
      <c r="N114" s="22"/>
    </row>
    <row r="115" spans="1:14">
      <c r="A115" s="64" t="s">
        <v>128</v>
      </c>
      <c r="B115" s="107">
        <v>240</v>
      </c>
      <c r="C115" s="107">
        <v>612</v>
      </c>
      <c r="D115" s="107">
        <v>600</v>
      </c>
      <c r="E115" s="107">
        <v>612</v>
      </c>
      <c r="F115" s="107">
        <v>552</v>
      </c>
      <c r="G115" s="107">
        <v>7548.77</v>
      </c>
      <c r="H115" s="107">
        <v>-6142.29</v>
      </c>
      <c r="I115" s="107">
        <v>816</v>
      </c>
      <c r="J115" s="107">
        <v>852</v>
      </c>
      <c r="K115" s="107">
        <v>852</v>
      </c>
      <c r="L115" s="107">
        <v>708</v>
      </c>
      <c r="M115" s="107">
        <v>840</v>
      </c>
      <c r="N115" s="107">
        <v>8090.48</v>
      </c>
    </row>
    <row r="116" spans="1:14">
      <c r="A116" s="64" t="s">
        <v>129</v>
      </c>
      <c r="B116" s="107">
        <v>100</v>
      </c>
      <c r="C116" s="107">
        <v>100</v>
      </c>
      <c r="D116" s="107">
        <v>100</v>
      </c>
      <c r="E116" s="107">
        <v>100</v>
      </c>
      <c r="F116" s="107">
        <v>100</v>
      </c>
      <c r="G116" s="107">
        <v>100</v>
      </c>
      <c r="H116" s="107">
        <v>100</v>
      </c>
      <c r="I116" s="107">
        <v>100</v>
      </c>
      <c r="J116" s="107">
        <v>100</v>
      </c>
      <c r="K116" s="107">
        <v>100</v>
      </c>
      <c r="L116" s="107">
        <v>100</v>
      </c>
      <c r="M116" s="107">
        <v>100</v>
      </c>
      <c r="N116" s="107">
        <v>1200</v>
      </c>
    </row>
    <row r="117" spans="1:14">
      <c r="A117" s="64" t="s">
        <v>131</v>
      </c>
      <c r="B117" s="107">
        <v>200</v>
      </c>
      <c r="C117" s="107">
        <v>200</v>
      </c>
      <c r="D117" s="107">
        <v>200</v>
      </c>
      <c r="E117" s="107">
        <v>200</v>
      </c>
      <c r="F117" s="107">
        <v>150</v>
      </c>
      <c r="G117" s="107">
        <v>175</v>
      </c>
      <c r="H117" s="107">
        <v>225</v>
      </c>
      <c r="I117" s="107">
        <v>225</v>
      </c>
      <c r="J117" s="107">
        <v>225</v>
      </c>
      <c r="K117" s="107">
        <v>250</v>
      </c>
      <c r="L117" s="107">
        <v>250</v>
      </c>
      <c r="M117" s="107">
        <v>225</v>
      </c>
      <c r="N117" s="107">
        <v>2525</v>
      </c>
    </row>
    <row r="118" spans="1:14">
      <c r="A118" s="64" t="s">
        <v>132</v>
      </c>
      <c r="B118" s="107">
        <v>3250</v>
      </c>
      <c r="C118" s="107">
        <v>1024.1099999999999</v>
      </c>
      <c r="D118" s="22"/>
      <c r="E118" s="107">
        <v>3000</v>
      </c>
      <c r="F118" s="107">
        <v>3041.56</v>
      </c>
      <c r="G118" s="107">
        <v>6147.03</v>
      </c>
      <c r="H118" s="107">
        <v>3000</v>
      </c>
      <c r="I118" s="107">
        <v>2525.86</v>
      </c>
      <c r="J118" s="22"/>
      <c r="K118" s="107">
        <v>3500</v>
      </c>
      <c r="L118" s="107">
        <v>3744</v>
      </c>
      <c r="M118" s="107">
        <v>2000</v>
      </c>
      <c r="N118" s="107">
        <v>31232.560000000001</v>
      </c>
    </row>
    <row r="119" spans="1:14">
      <c r="A119" s="64" t="s">
        <v>134</v>
      </c>
      <c r="B119" s="113"/>
      <c r="C119" s="113"/>
      <c r="D119" s="111">
        <v>1.43</v>
      </c>
      <c r="E119" s="113"/>
      <c r="F119" s="113"/>
      <c r="G119" s="113"/>
      <c r="H119" s="113"/>
      <c r="I119" s="113"/>
      <c r="J119" s="113"/>
      <c r="K119" s="113"/>
      <c r="L119" s="113"/>
      <c r="M119" s="113"/>
      <c r="N119" s="111">
        <v>1.43</v>
      </c>
    </row>
    <row r="120" spans="1:14">
      <c r="A120" s="64" t="s">
        <v>135</v>
      </c>
      <c r="B120" s="107">
        <f t="shared" ref="B120:M120" si="20">SUM(B113:B119)</f>
        <v>3790</v>
      </c>
      <c r="C120" s="107">
        <f t="shared" si="20"/>
        <v>1936.11</v>
      </c>
      <c r="D120" s="107">
        <f t="shared" si="20"/>
        <v>901.43</v>
      </c>
      <c r="E120" s="107">
        <f t="shared" si="20"/>
        <v>3912</v>
      </c>
      <c r="F120" s="107">
        <f t="shared" si="20"/>
        <v>3843.56</v>
      </c>
      <c r="G120" s="107">
        <f t="shared" si="20"/>
        <v>13970.8</v>
      </c>
      <c r="H120" s="107">
        <f t="shared" si="20"/>
        <v>-2817.29</v>
      </c>
      <c r="I120" s="107">
        <f t="shared" si="20"/>
        <v>3666.86</v>
      </c>
      <c r="J120" s="107">
        <f t="shared" si="20"/>
        <v>1177</v>
      </c>
      <c r="K120" s="107">
        <f t="shared" si="20"/>
        <v>4702</v>
      </c>
      <c r="L120" s="107">
        <f t="shared" si="20"/>
        <v>4802</v>
      </c>
      <c r="M120" s="107">
        <f t="shared" si="20"/>
        <v>3165</v>
      </c>
      <c r="N120" s="107">
        <v>43049.47</v>
      </c>
    </row>
    <row r="121" spans="1:14">
      <c r="A121" s="64"/>
      <c r="B121" s="22"/>
      <c r="C121" s="22"/>
      <c r="D121" s="22"/>
      <c r="E121" s="22"/>
      <c r="F121" s="22"/>
      <c r="G121" s="22"/>
      <c r="H121" s="22"/>
      <c r="I121" s="22"/>
      <c r="J121" s="22"/>
      <c r="K121" s="22"/>
      <c r="L121" s="22"/>
      <c r="M121" s="22"/>
      <c r="N121" s="22"/>
    </row>
    <row r="122" spans="1:14" ht="15.75" thickBot="1">
      <c r="A122" s="64" t="s">
        <v>13</v>
      </c>
      <c r="B122" s="112">
        <f t="shared" ref="B122:M122" si="21">SUM(B48:B121)-B49-B52-B55-B58-B61-B65-B67-B72-B75-B78-B81-B84-B88-B90-0-0-0-0-0-0-B110-B112-B120</f>
        <v>124911.5</v>
      </c>
      <c r="C122" s="112">
        <f t="shared" si="21"/>
        <v>119063.60999999997</v>
      </c>
      <c r="D122" s="112">
        <f t="shared" si="21"/>
        <v>116278.93</v>
      </c>
      <c r="E122" s="112">
        <f t="shared" si="21"/>
        <v>123894.5</v>
      </c>
      <c r="F122" s="112">
        <f t="shared" si="21"/>
        <v>124660.25</v>
      </c>
      <c r="G122" s="112">
        <f t="shared" si="21"/>
        <v>140003.90000000005</v>
      </c>
      <c r="H122" s="112">
        <f t="shared" si="21"/>
        <v>123532.40000000004</v>
      </c>
      <c r="I122" s="112">
        <f t="shared" si="21"/>
        <v>133623.96000000002</v>
      </c>
      <c r="J122" s="112">
        <f t="shared" si="21"/>
        <v>132590.40999999995</v>
      </c>
      <c r="K122" s="112">
        <f t="shared" si="21"/>
        <v>137667.99</v>
      </c>
      <c r="L122" s="112">
        <f t="shared" si="21"/>
        <v>143795.49</v>
      </c>
      <c r="M122" s="112">
        <f t="shared" si="21"/>
        <v>145542.41999999995</v>
      </c>
      <c r="N122" s="112">
        <v>1565565.36</v>
      </c>
    </row>
    <row r="123" spans="1:14" ht="15.75" thickTop="1">
      <c r="A123" s="64"/>
      <c r="B123" s="22"/>
      <c r="C123" s="22"/>
      <c r="D123" s="22"/>
      <c r="E123" s="22"/>
      <c r="F123" s="22"/>
      <c r="G123" s="22"/>
      <c r="H123" s="22"/>
      <c r="I123" s="22"/>
      <c r="J123" s="22"/>
      <c r="K123" s="22"/>
      <c r="L123" s="22"/>
      <c r="M123" s="22"/>
      <c r="N123" s="22"/>
    </row>
    <row r="124" spans="1:14">
      <c r="A124" s="64"/>
      <c r="B124" s="22"/>
      <c r="C124" s="22"/>
      <c r="D124" s="22"/>
      <c r="E124" s="22"/>
      <c r="F124" s="22"/>
      <c r="G124" s="22"/>
      <c r="H124" s="22"/>
      <c r="I124" s="22"/>
      <c r="J124" s="22"/>
      <c r="K124" s="22"/>
      <c r="L124" s="22"/>
      <c r="M124" s="22"/>
      <c r="N124" s="22"/>
    </row>
    <row r="125" spans="1:14">
      <c r="A125" s="64" t="s">
        <v>14</v>
      </c>
      <c r="B125" s="22"/>
      <c r="C125" s="22"/>
      <c r="D125" s="22"/>
      <c r="E125" s="22"/>
      <c r="F125" s="22"/>
      <c r="G125" s="22"/>
      <c r="H125" s="22"/>
      <c r="I125" s="22"/>
      <c r="J125" s="22"/>
      <c r="K125" s="22"/>
      <c r="L125" s="22"/>
      <c r="M125" s="22"/>
      <c r="N125" s="22"/>
    </row>
    <row r="126" spans="1:14">
      <c r="A126" s="64"/>
      <c r="B126" s="22"/>
      <c r="C126" s="22"/>
      <c r="D126" s="22"/>
      <c r="E126" s="22"/>
      <c r="F126" s="22"/>
      <c r="G126" s="22"/>
      <c r="H126" s="22"/>
      <c r="I126" s="22"/>
      <c r="J126" s="22"/>
      <c r="K126" s="22"/>
      <c r="L126" s="22"/>
      <c r="M126" s="22"/>
      <c r="N126" s="22"/>
    </row>
    <row r="127" spans="1:14">
      <c r="A127" s="64" t="s">
        <v>136</v>
      </c>
      <c r="B127" s="22"/>
      <c r="C127" s="22"/>
      <c r="D127" s="22"/>
      <c r="E127" s="22"/>
      <c r="F127" s="22"/>
      <c r="G127" s="22"/>
      <c r="H127" s="22"/>
      <c r="I127" s="22"/>
      <c r="J127" s="22"/>
      <c r="K127" s="22"/>
      <c r="L127" s="22"/>
      <c r="M127" s="22"/>
      <c r="N127" s="22"/>
    </row>
    <row r="128" spans="1:14">
      <c r="A128" s="64" t="s">
        <v>145</v>
      </c>
      <c r="B128" s="107">
        <v>3280.9</v>
      </c>
      <c r="C128" s="107">
        <v>2713.53</v>
      </c>
      <c r="D128" s="107">
        <v>3248.57</v>
      </c>
      <c r="E128" s="107">
        <v>3317.18</v>
      </c>
      <c r="F128" s="107">
        <v>2347.5700000000002</v>
      </c>
      <c r="G128" s="107">
        <v>3195.54</v>
      </c>
      <c r="H128" s="107">
        <v>3020.7</v>
      </c>
      <c r="I128" s="107">
        <v>3229.92</v>
      </c>
      <c r="J128" s="107">
        <v>3162.56</v>
      </c>
      <c r="K128" s="107">
        <v>3194.62</v>
      </c>
      <c r="L128" s="107">
        <v>3318.57</v>
      </c>
      <c r="M128" s="107">
        <v>3181.74</v>
      </c>
      <c r="N128" s="107">
        <v>37211.4</v>
      </c>
    </row>
    <row r="129" spans="1:14">
      <c r="A129" s="64" t="s">
        <v>146</v>
      </c>
      <c r="B129" s="107">
        <v>1231.1500000000001</v>
      </c>
      <c r="C129" s="107">
        <v>1048.5</v>
      </c>
      <c r="D129" s="107">
        <v>226</v>
      </c>
      <c r="E129" s="107">
        <v>1987</v>
      </c>
      <c r="F129" s="107">
        <v>850</v>
      </c>
      <c r="G129" s="107">
        <v>1237.71</v>
      </c>
      <c r="H129" s="107">
        <v>1079.95</v>
      </c>
      <c r="I129" s="107">
        <v>-73.290000000000006</v>
      </c>
      <c r="J129" s="22"/>
      <c r="K129" s="22"/>
      <c r="L129" s="22"/>
      <c r="M129" s="22"/>
      <c r="N129" s="107">
        <v>7587.02</v>
      </c>
    </row>
    <row r="130" spans="1:14">
      <c r="A130" s="64" t="s">
        <v>150</v>
      </c>
      <c r="B130" s="107">
        <v>4421.88</v>
      </c>
      <c r="C130" s="107">
        <v>3934.17</v>
      </c>
      <c r="D130" s="107">
        <v>4403.16</v>
      </c>
      <c r="E130" s="107">
        <v>4351.43</v>
      </c>
      <c r="F130" s="107">
        <v>4101.18</v>
      </c>
      <c r="G130" s="107">
        <v>2327.0700000000002</v>
      </c>
      <c r="H130" s="107">
        <v>2103.86</v>
      </c>
      <c r="I130" s="107">
        <v>3450.98</v>
      </c>
      <c r="J130" s="107">
        <v>2869.98</v>
      </c>
      <c r="K130" s="107">
        <v>2055.17</v>
      </c>
      <c r="L130" s="107">
        <v>3609.73</v>
      </c>
      <c r="M130" s="107">
        <v>2436.94</v>
      </c>
      <c r="N130" s="107">
        <v>40065.550000000003</v>
      </c>
    </row>
    <row r="131" spans="1:14">
      <c r="A131" s="64" t="s">
        <v>151</v>
      </c>
      <c r="B131" s="107">
        <v>2903.33</v>
      </c>
      <c r="C131" s="107">
        <v>3156.94</v>
      </c>
      <c r="D131" s="107">
        <v>3254.21</v>
      </c>
      <c r="E131" s="107">
        <v>2719.32</v>
      </c>
      <c r="F131" s="107">
        <v>2777.7</v>
      </c>
      <c r="G131" s="107">
        <v>2985.22</v>
      </c>
      <c r="H131" s="107">
        <v>2257.63</v>
      </c>
      <c r="I131" s="107">
        <v>3348.15</v>
      </c>
      <c r="J131" s="107">
        <v>2389.85</v>
      </c>
      <c r="K131" s="107">
        <v>2353.27</v>
      </c>
      <c r="L131" s="107">
        <v>3152.42</v>
      </c>
      <c r="M131" s="107">
        <v>3239.3</v>
      </c>
      <c r="N131" s="107">
        <v>34537.339999999997</v>
      </c>
    </row>
    <row r="132" spans="1:14">
      <c r="A132" s="64" t="s">
        <v>152</v>
      </c>
      <c r="B132" s="107">
        <v>9644.3799999999992</v>
      </c>
      <c r="C132" s="107">
        <v>8599.0400000000009</v>
      </c>
      <c r="D132" s="107">
        <v>8813.4599999999991</v>
      </c>
      <c r="E132" s="107">
        <v>9184.98</v>
      </c>
      <c r="F132" s="107">
        <v>11230.97</v>
      </c>
      <c r="G132" s="107">
        <v>11185.31</v>
      </c>
      <c r="H132" s="107">
        <v>9673.85</v>
      </c>
      <c r="I132" s="107">
        <v>10484.5</v>
      </c>
      <c r="J132" s="107">
        <v>10073.870000000001</v>
      </c>
      <c r="K132" s="107">
        <v>10450.27</v>
      </c>
      <c r="L132" s="107">
        <v>10770.18</v>
      </c>
      <c r="M132" s="107">
        <v>10825.68</v>
      </c>
      <c r="N132" s="107">
        <v>120936.49</v>
      </c>
    </row>
    <row r="133" spans="1:14">
      <c r="A133" s="64" t="s">
        <v>153</v>
      </c>
      <c r="B133" s="107">
        <v>1768.06</v>
      </c>
      <c r="C133" s="107">
        <v>2213.9899999999998</v>
      </c>
      <c r="D133" s="107">
        <v>2390.5500000000002</v>
      </c>
      <c r="E133" s="107">
        <v>1823.66</v>
      </c>
      <c r="F133" s="107">
        <v>2485.7399999999998</v>
      </c>
      <c r="G133" s="107">
        <v>881.62</v>
      </c>
      <c r="H133" s="107">
        <v>1407.47</v>
      </c>
      <c r="I133" s="107">
        <v>2431.2199999999998</v>
      </c>
      <c r="J133" s="107">
        <v>3351.69</v>
      </c>
      <c r="K133" s="107">
        <v>2474.16</v>
      </c>
      <c r="L133" s="107">
        <v>1503.59</v>
      </c>
      <c r="M133" s="107">
        <v>3375.72</v>
      </c>
      <c r="N133" s="107">
        <v>26107.47</v>
      </c>
    </row>
    <row r="134" spans="1:14">
      <c r="A134" s="64" t="s">
        <v>154</v>
      </c>
      <c r="B134" s="107">
        <v>4989.34</v>
      </c>
      <c r="C134" s="107">
        <v>4520.6000000000004</v>
      </c>
      <c r="D134" s="107">
        <v>5190.29</v>
      </c>
      <c r="E134" s="107">
        <v>4022.86</v>
      </c>
      <c r="F134" s="107">
        <v>6471.48</v>
      </c>
      <c r="G134" s="107">
        <v>4955.8900000000003</v>
      </c>
      <c r="H134" s="107">
        <v>6188</v>
      </c>
      <c r="I134" s="107">
        <v>5190.28</v>
      </c>
      <c r="J134" s="107">
        <v>5022.8599999999997</v>
      </c>
      <c r="K134" s="107">
        <v>4955.8900000000003</v>
      </c>
      <c r="L134" s="107">
        <v>5122.1099999999997</v>
      </c>
      <c r="M134" s="107">
        <v>5032</v>
      </c>
      <c r="N134" s="107">
        <v>61661.599999999999</v>
      </c>
    </row>
    <row r="135" spans="1:14">
      <c r="A135" s="64" t="s">
        <v>155</v>
      </c>
      <c r="B135" s="111">
        <v>127.5</v>
      </c>
      <c r="C135" s="111">
        <v>561.42999999999995</v>
      </c>
      <c r="D135" s="111">
        <v>433.57</v>
      </c>
      <c r="E135" s="111">
        <v>300</v>
      </c>
      <c r="F135" s="111">
        <v>390</v>
      </c>
      <c r="G135" s="111">
        <v>251.07</v>
      </c>
      <c r="H135" s="111">
        <v>276.43</v>
      </c>
      <c r="I135" s="111">
        <v>1525.21</v>
      </c>
      <c r="J135" s="111">
        <v>1576.04</v>
      </c>
      <c r="K135" s="111">
        <v>972.35</v>
      </c>
      <c r="L135" s="111">
        <v>285.33</v>
      </c>
      <c r="M135" s="111">
        <v>494.45</v>
      </c>
      <c r="N135" s="111">
        <v>7193.38</v>
      </c>
    </row>
    <row r="136" spans="1:14">
      <c r="A136" s="64" t="s">
        <v>156</v>
      </c>
      <c r="B136" s="107">
        <f t="shared" ref="B136:M136" si="22">SUM(B123:B135)</f>
        <v>28366.54</v>
      </c>
      <c r="C136" s="107">
        <f t="shared" si="22"/>
        <v>26748.199999999997</v>
      </c>
      <c r="D136" s="107">
        <f t="shared" si="22"/>
        <v>27959.809999999998</v>
      </c>
      <c r="E136" s="107">
        <f t="shared" si="22"/>
        <v>27706.43</v>
      </c>
      <c r="F136" s="107">
        <f t="shared" si="22"/>
        <v>30654.639999999996</v>
      </c>
      <c r="G136" s="107">
        <f t="shared" si="22"/>
        <v>27019.429999999997</v>
      </c>
      <c r="H136" s="107">
        <f t="shared" si="22"/>
        <v>26007.89</v>
      </c>
      <c r="I136" s="107">
        <f t="shared" si="22"/>
        <v>29586.97</v>
      </c>
      <c r="J136" s="107">
        <f t="shared" si="22"/>
        <v>28446.850000000002</v>
      </c>
      <c r="K136" s="107">
        <f t="shared" si="22"/>
        <v>26455.73</v>
      </c>
      <c r="L136" s="107">
        <f t="shared" si="22"/>
        <v>27761.930000000004</v>
      </c>
      <c r="M136" s="107">
        <f t="shared" si="22"/>
        <v>28585.83</v>
      </c>
      <c r="N136" s="107">
        <v>335300.25</v>
      </c>
    </row>
    <row r="137" spans="1:14">
      <c r="A137" s="64"/>
      <c r="B137" s="22"/>
      <c r="C137" s="22"/>
      <c r="D137" s="22"/>
      <c r="E137" s="22"/>
      <c r="F137" s="22"/>
      <c r="G137" s="22"/>
      <c r="H137" s="22"/>
      <c r="I137" s="22"/>
      <c r="J137" s="22"/>
      <c r="K137" s="22"/>
      <c r="L137" s="22"/>
      <c r="M137" s="22"/>
      <c r="N137" s="22"/>
    </row>
    <row r="138" spans="1:14">
      <c r="A138" s="64"/>
      <c r="B138" s="22"/>
      <c r="C138" s="22"/>
      <c r="D138" s="22"/>
      <c r="E138" s="22"/>
      <c r="F138" s="22"/>
      <c r="G138" s="22"/>
      <c r="H138" s="22"/>
      <c r="I138" s="22"/>
      <c r="J138" s="22"/>
      <c r="K138" s="22"/>
      <c r="L138" s="22"/>
      <c r="M138" s="22"/>
      <c r="N138" s="22"/>
    </row>
    <row r="139" spans="1:14">
      <c r="A139" s="64" t="s">
        <v>157</v>
      </c>
      <c r="B139" s="113"/>
      <c r="C139" s="113"/>
      <c r="D139" s="113"/>
      <c r="E139" s="113"/>
      <c r="F139" s="113"/>
      <c r="G139" s="113"/>
      <c r="H139" s="113"/>
      <c r="I139" s="113"/>
      <c r="J139" s="113"/>
      <c r="K139" s="113"/>
      <c r="L139" s="113"/>
      <c r="M139" s="113"/>
      <c r="N139" s="113"/>
    </row>
    <row r="140" spans="1:14">
      <c r="A140" s="64"/>
      <c r="B140" s="22"/>
      <c r="C140" s="22"/>
      <c r="D140" s="22"/>
      <c r="E140" s="22"/>
      <c r="F140" s="22"/>
      <c r="G140" s="22"/>
      <c r="H140" s="22"/>
      <c r="I140" s="22"/>
      <c r="J140" s="22"/>
      <c r="K140" s="22"/>
      <c r="L140" s="22"/>
      <c r="M140" s="22"/>
      <c r="N140" s="22"/>
    </row>
    <row r="141" spans="1:14">
      <c r="A141" s="64" t="s">
        <v>163</v>
      </c>
      <c r="B141" s="22"/>
      <c r="C141" s="22"/>
      <c r="D141" s="22"/>
      <c r="E141" s="22"/>
      <c r="F141" s="22"/>
      <c r="G141" s="22"/>
      <c r="H141" s="22"/>
      <c r="I141" s="22"/>
      <c r="J141" s="22"/>
      <c r="K141" s="22"/>
      <c r="L141" s="22"/>
      <c r="M141" s="22"/>
      <c r="N141" s="22"/>
    </row>
    <row r="142" spans="1:14">
      <c r="A142" s="64" t="s">
        <v>164</v>
      </c>
      <c r="B142" s="107">
        <v>2261.5</v>
      </c>
      <c r="C142" s="107">
        <v>2121.5</v>
      </c>
      <c r="D142" s="107">
        <v>2088.09</v>
      </c>
      <c r="E142" s="107">
        <v>2216.2199999999998</v>
      </c>
      <c r="F142" s="107">
        <v>2638.88</v>
      </c>
      <c r="G142" s="107">
        <v>2134.41</v>
      </c>
      <c r="H142" s="107">
        <v>2045.87</v>
      </c>
      <c r="I142" s="107">
        <v>2256.66</v>
      </c>
      <c r="J142" s="107">
        <v>2200.0700000000002</v>
      </c>
      <c r="K142" s="107">
        <v>2140.71</v>
      </c>
      <c r="L142" s="107">
        <v>2252.7600000000002</v>
      </c>
      <c r="M142" s="107">
        <v>2312.3000000000002</v>
      </c>
      <c r="N142" s="107">
        <v>26668.97</v>
      </c>
    </row>
    <row r="143" spans="1:14">
      <c r="A143" s="64" t="s">
        <v>165</v>
      </c>
      <c r="B143" s="107">
        <v>182.66</v>
      </c>
      <c r="C143" s="107">
        <v>151.15</v>
      </c>
      <c r="D143" s="107">
        <v>136.38</v>
      </c>
      <c r="E143" s="107">
        <v>172.85</v>
      </c>
      <c r="F143" s="107">
        <v>230.77</v>
      </c>
      <c r="G143" s="107">
        <v>713.22</v>
      </c>
      <c r="H143" s="107">
        <v>488.16</v>
      </c>
      <c r="I143" s="107">
        <v>448</v>
      </c>
      <c r="J143" s="107">
        <v>414.4</v>
      </c>
      <c r="K143" s="107">
        <v>315.32</v>
      </c>
      <c r="L143" s="107">
        <v>268.8</v>
      </c>
      <c r="M143" s="107">
        <v>253.77</v>
      </c>
      <c r="N143" s="107">
        <v>3775.48</v>
      </c>
    </row>
    <row r="144" spans="1:14">
      <c r="A144" s="64" t="s">
        <v>166</v>
      </c>
      <c r="B144" s="107">
        <v>215.92</v>
      </c>
      <c r="C144" s="107">
        <v>351.68</v>
      </c>
      <c r="D144" s="107">
        <v>315.92</v>
      </c>
      <c r="E144" s="107">
        <v>188.39</v>
      </c>
      <c r="F144" s="107">
        <v>411.48</v>
      </c>
      <c r="G144" s="107">
        <v>-30.33</v>
      </c>
      <c r="H144" s="107">
        <v>121.48</v>
      </c>
      <c r="I144" s="107">
        <v>166</v>
      </c>
      <c r="J144" s="107">
        <v>290.13</v>
      </c>
      <c r="K144" s="107">
        <v>428.7</v>
      </c>
      <c r="L144" s="107">
        <v>256.72000000000003</v>
      </c>
      <c r="M144" s="107">
        <v>-157.13999999999999</v>
      </c>
      <c r="N144" s="107">
        <v>2558.9499999999998</v>
      </c>
    </row>
    <row r="145" spans="1:14">
      <c r="A145" s="64" t="s">
        <v>167</v>
      </c>
      <c r="B145" s="107">
        <v>116.57</v>
      </c>
      <c r="C145" s="107">
        <v>373.69</v>
      </c>
      <c r="D145" s="107">
        <v>57.79</v>
      </c>
      <c r="E145" s="107">
        <v>239.4</v>
      </c>
      <c r="F145" s="107">
        <v>3414.45</v>
      </c>
      <c r="G145" s="107">
        <v>-504</v>
      </c>
      <c r="H145" s="107">
        <v>749.49</v>
      </c>
      <c r="I145" s="107">
        <v>157.36000000000001</v>
      </c>
      <c r="J145" s="107">
        <v>225.6</v>
      </c>
      <c r="K145" s="107">
        <v>-75.2</v>
      </c>
      <c r="L145" s="107">
        <v>112</v>
      </c>
      <c r="M145" s="107">
        <v>862.15</v>
      </c>
      <c r="N145" s="107">
        <v>5729.3</v>
      </c>
    </row>
    <row r="146" spans="1:14">
      <c r="A146" s="64" t="s">
        <v>168</v>
      </c>
      <c r="B146" s="22"/>
      <c r="C146" s="107">
        <v>920.8</v>
      </c>
      <c r="D146" s="22"/>
      <c r="E146" s="107">
        <v>1027.25</v>
      </c>
      <c r="F146" s="107">
        <v>505.8</v>
      </c>
      <c r="G146" s="107">
        <v>940.7</v>
      </c>
      <c r="H146" s="22"/>
      <c r="I146" s="22"/>
      <c r="J146" s="22"/>
      <c r="K146" s="107">
        <v>1292.3499999999999</v>
      </c>
      <c r="L146" s="107">
        <v>-438.75</v>
      </c>
      <c r="M146" s="107">
        <v>745.6</v>
      </c>
      <c r="N146" s="107">
        <v>4993.75</v>
      </c>
    </row>
    <row r="147" spans="1:14">
      <c r="A147" s="64" t="s">
        <v>169</v>
      </c>
      <c r="B147" s="107">
        <v>574.44000000000005</v>
      </c>
      <c r="C147" s="107">
        <v>410.76</v>
      </c>
      <c r="D147" s="107">
        <v>23</v>
      </c>
      <c r="E147" s="107">
        <v>745.54</v>
      </c>
      <c r="F147" s="107">
        <v>-214.89</v>
      </c>
      <c r="G147" s="107">
        <v>448.17</v>
      </c>
      <c r="H147" s="107">
        <v>71.88</v>
      </c>
      <c r="I147" s="22"/>
      <c r="J147" s="107">
        <v>324</v>
      </c>
      <c r="K147" s="107">
        <v>556</v>
      </c>
      <c r="L147" s="22"/>
      <c r="M147" s="107">
        <v>278</v>
      </c>
      <c r="N147" s="107">
        <v>3216.9</v>
      </c>
    </row>
    <row r="148" spans="1:14">
      <c r="A148" s="64" t="s">
        <v>171</v>
      </c>
      <c r="B148" s="111">
        <v>1250</v>
      </c>
      <c r="C148" s="113"/>
      <c r="D148" s="113"/>
      <c r="E148" s="111">
        <v>1240</v>
      </c>
      <c r="F148" s="111">
        <v>2250</v>
      </c>
      <c r="G148" s="111">
        <v>436.45</v>
      </c>
      <c r="H148" s="113"/>
      <c r="I148" s="113"/>
      <c r="J148" s="113"/>
      <c r="K148" s="113"/>
      <c r="L148" s="111">
        <v>2250</v>
      </c>
      <c r="M148" s="113"/>
      <c r="N148" s="111">
        <v>7426.45</v>
      </c>
    </row>
    <row r="149" spans="1:14">
      <c r="A149" s="64" t="s">
        <v>16</v>
      </c>
      <c r="B149" s="107">
        <f t="shared" ref="B149:M149" si="23">SUM(B140:B148)</f>
        <v>4601.09</v>
      </c>
      <c r="C149" s="107">
        <f t="shared" si="23"/>
        <v>4329.58</v>
      </c>
      <c r="D149" s="107">
        <f t="shared" si="23"/>
        <v>2621.1800000000003</v>
      </c>
      <c r="E149" s="107">
        <f t="shared" si="23"/>
        <v>5829.65</v>
      </c>
      <c r="F149" s="107">
        <f t="shared" si="23"/>
        <v>9236.49</v>
      </c>
      <c r="G149" s="107">
        <f t="shared" si="23"/>
        <v>4138.62</v>
      </c>
      <c r="H149" s="107">
        <f t="shared" si="23"/>
        <v>3476.88</v>
      </c>
      <c r="I149" s="107">
        <f t="shared" si="23"/>
        <v>3028.02</v>
      </c>
      <c r="J149" s="107">
        <f t="shared" si="23"/>
        <v>3454.2000000000003</v>
      </c>
      <c r="K149" s="107">
        <f t="shared" si="23"/>
        <v>4657.88</v>
      </c>
      <c r="L149" s="107">
        <f t="shared" si="23"/>
        <v>4701.5300000000007</v>
      </c>
      <c r="M149" s="107">
        <f t="shared" si="23"/>
        <v>4294.68</v>
      </c>
      <c r="N149" s="107">
        <v>54369.8</v>
      </c>
    </row>
    <row r="150" spans="1:14">
      <c r="A150" s="64"/>
      <c r="B150" s="22"/>
      <c r="C150" s="22"/>
      <c r="D150" s="22"/>
      <c r="E150" s="22"/>
      <c r="F150" s="22"/>
      <c r="G150" s="22"/>
      <c r="H150" s="22"/>
      <c r="I150" s="22"/>
      <c r="J150" s="22"/>
      <c r="K150" s="22"/>
      <c r="L150" s="22"/>
      <c r="M150" s="22"/>
      <c r="N150" s="22"/>
    </row>
    <row r="151" spans="1:14">
      <c r="A151" s="64" t="s">
        <v>17</v>
      </c>
      <c r="B151" s="113"/>
      <c r="C151" s="113"/>
      <c r="D151" s="113"/>
      <c r="E151" s="113"/>
      <c r="F151" s="113"/>
      <c r="G151" s="113"/>
      <c r="H151" s="113"/>
      <c r="I151" s="113"/>
      <c r="J151" s="113"/>
      <c r="K151" s="113"/>
      <c r="L151" s="113"/>
      <c r="M151" s="113"/>
      <c r="N151" s="113"/>
    </row>
    <row r="152" spans="1:14">
      <c r="A152" s="64"/>
      <c r="B152" s="22"/>
      <c r="C152" s="22"/>
      <c r="D152" s="22"/>
      <c r="E152" s="22"/>
      <c r="F152" s="22"/>
      <c r="G152" s="22"/>
      <c r="H152" s="22"/>
      <c r="I152" s="22"/>
      <c r="J152" s="22"/>
      <c r="K152" s="22"/>
      <c r="L152" s="22"/>
      <c r="M152" s="22"/>
      <c r="N152" s="22"/>
    </row>
    <row r="153" spans="1:14">
      <c r="A153" s="64" t="s">
        <v>186</v>
      </c>
      <c r="B153" s="22"/>
      <c r="C153" s="22"/>
      <c r="D153" s="22"/>
      <c r="E153" s="22"/>
      <c r="F153" s="22"/>
      <c r="G153" s="22"/>
      <c r="H153" s="22"/>
      <c r="I153" s="22"/>
      <c r="J153" s="22"/>
      <c r="K153" s="22"/>
      <c r="L153" s="22"/>
      <c r="M153" s="22"/>
      <c r="N153" s="22"/>
    </row>
    <row r="154" spans="1:14">
      <c r="A154" s="64" t="s">
        <v>191</v>
      </c>
      <c r="B154" s="107">
        <v>13034.56</v>
      </c>
      <c r="C154" s="107">
        <v>10707.77</v>
      </c>
      <c r="D154" s="107">
        <v>10247.93</v>
      </c>
      <c r="E154" s="107">
        <v>9962.2000000000007</v>
      </c>
      <c r="F154" s="107">
        <v>6439.71</v>
      </c>
      <c r="G154" s="107">
        <v>8994.2199999999993</v>
      </c>
      <c r="H154" s="107">
        <v>5714.88</v>
      </c>
      <c r="I154" s="107">
        <v>6112.23</v>
      </c>
      <c r="J154" s="107">
        <v>7270.95</v>
      </c>
      <c r="K154" s="107">
        <v>7102.56</v>
      </c>
      <c r="L154" s="107">
        <v>8712</v>
      </c>
      <c r="M154" s="107"/>
      <c r="N154" s="107">
        <v>94299.01</v>
      </c>
    </row>
    <row r="155" spans="1:14">
      <c r="A155" s="64" t="s">
        <v>415</v>
      </c>
      <c r="B155" s="22"/>
      <c r="C155" s="22"/>
      <c r="D155" s="22"/>
      <c r="E155" s="22"/>
      <c r="F155" s="22"/>
      <c r="G155" s="22"/>
      <c r="H155" s="22"/>
      <c r="I155" s="22"/>
      <c r="J155" s="22"/>
      <c r="K155" s="22"/>
      <c r="L155" s="22"/>
      <c r="M155" s="107">
        <v>7634.48</v>
      </c>
      <c r="N155" s="107">
        <v>7634.48</v>
      </c>
    </row>
    <row r="156" spans="1:14">
      <c r="A156" s="64" t="s">
        <v>416</v>
      </c>
      <c r="B156" s="22"/>
      <c r="C156" s="22"/>
      <c r="D156" s="22"/>
      <c r="E156" s="22"/>
      <c r="F156" s="22"/>
      <c r="G156" s="22"/>
      <c r="H156" s="22"/>
      <c r="I156" s="22"/>
      <c r="J156" s="22"/>
      <c r="K156" s="22"/>
      <c r="L156" s="22"/>
      <c r="M156" s="107">
        <v>413.46</v>
      </c>
      <c r="N156" s="107">
        <v>413.46</v>
      </c>
    </row>
    <row r="157" spans="1:14">
      <c r="A157" s="64" t="s">
        <v>417</v>
      </c>
      <c r="B157" s="22"/>
      <c r="C157" s="22"/>
      <c r="D157" s="22"/>
      <c r="E157" s="22"/>
      <c r="F157" s="22"/>
      <c r="G157" s="22"/>
      <c r="H157" s="22"/>
      <c r="I157" s="22"/>
      <c r="J157" s="22"/>
      <c r="K157" s="22"/>
      <c r="L157" s="22"/>
      <c r="M157" s="107">
        <v>1985.22</v>
      </c>
      <c r="N157" s="107">
        <v>1985.22</v>
      </c>
    </row>
    <row r="158" spans="1:14">
      <c r="A158" s="64" t="s">
        <v>192</v>
      </c>
      <c r="B158" s="107">
        <v>1060.1500000000001</v>
      </c>
      <c r="C158" s="107">
        <v>1060.1500000000001</v>
      </c>
      <c r="D158" s="107">
        <v>1060.1500000000001</v>
      </c>
      <c r="E158" s="107">
        <v>1060.1500000000001</v>
      </c>
      <c r="F158" s="107">
        <v>1060.1500000000001</v>
      </c>
      <c r="G158" s="107">
        <v>1060.1500000000001</v>
      </c>
      <c r="H158" s="107">
        <v>1060.1500000000001</v>
      </c>
      <c r="I158" s="107">
        <v>1039.3599999999999</v>
      </c>
      <c r="J158" s="107">
        <v>1039.3599999999999</v>
      </c>
      <c r="K158" s="107">
        <v>1039.3599999999999</v>
      </c>
      <c r="L158" s="107">
        <v>1039.3599999999999</v>
      </c>
      <c r="M158" s="107">
        <v>1039.3599999999999</v>
      </c>
      <c r="N158" s="107">
        <v>12617.85</v>
      </c>
    </row>
    <row r="159" spans="1:14">
      <c r="A159" s="64" t="s">
        <v>193</v>
      </c>
      <c r="B159" s="107">
        <v>423.98</v>
      </c>
      <c r="C159" s="107">
        <v>427.23</v>
      </c>
      <c r="D159" s="107">
        <v>427.65</v>
      </c>
      <c r="E159" s="107">
        <v>424.71</v>
      </c>
      <c r="F159" s="107">
        <v>426.67</v>
      </c>
      <c r="G159" s="107">
        <v>419.84</v>
      </c>
      <c r="H159" s="107">
        <v>404.31</v>
      </c>
      <c r="I159" s="107">
        <v>425.23</v>
      </c>
      <c r="J159" s="107">
        <v>426.29</v>
      </c>
      <c r="K159" s="107">
        <v>425.05</v>
      </c>
      <c r="L159" s="107">
        <v>428</v>
      </c>
      <c r="M159" s="107">
        <v>430.4</v>
      </c>
      <c r="N159" s="107">
        <v>5089.3599999999997</v>
      </c>
    </row>
    <row r="160" spans="1:14">
      <c r="A160" s="64" t="s">
        <v>194</v>
      </c>
      <c r="B160" s="107">
        <v>2440.2399999999998</v>
      </c>
      <c r="C160" s="107">
        <v>4888.0600000000004</v>
      </c>
      <c r="D160" s="107">
        <v>2369.0100000000002</v>
      </c>
      <c r="E160" s="107">
        <v>1906.69</v>
      </c>
      <c r="F160" s="107">
        <v>3413.3</v>
      </c>
      <c r="G160" s="107">
        <v>2810.17</v>
      </c>
      <c r="H160" s="107">
        <v>207.11</v>
      </c>
      <c r="I160" s="107">
        <v>5653.49</v>
      </c>
      <c r="J160" s="107">
        <v>2581.4499999999998</v>
      </c>
      <c r="K160" s="107">
        <v>2205.33</v>
      </c>
      <c r="L160" s="107">
        <v>2350.4299999999998</v>
      </c>
      <c r="M160" s="107">
        <v>2948.07</v>
      </c>
      <c r="N160" s="107">
        <v>33773.35</v>
      </c>
    </row>
    <row r="161" spans="1:14">
      <c r="A161" s="64" t="s">
        <v>198</v>
      </c>
      <c r="B161" s="107">
        <v>423.51</v>
      </c>
      <c r="C161" s="107">
        <v>423.51</v>
      </c>
      <c r="D161" s="107">
        <v>423.51</v>
      </c>
      <c r="E161" s="107">
        <v>423.51</v>
      </c>
      <c r="F161" s="107">
        <v>423.51</v>
      </c>
      <c r="G161" s="107">
        <v>483.92</v>
      </c>
      <c r="H161" s="107">
        <v>464.8</v>
      </c>
      <c r="I161" s="107">
        <v>500.03</v>
      </c>
      <c r="J161" s="107">
        <v>457</v>
      </c>
      <c r="K161" s="107">
        <v>457</v>
      </c>
      <c r="L161" s="107">
        <v>457</v>
      </c>
      <c r="M161" s="107">
        <v>457</v>
      </c>
      <c r="N161" s="107">
        <v>5394.3</v>
      </c>
    </row>
    <row r="162" spans="1:14">
      <c r="A162" s="64" t="s">
        <v>200</v>
      </c>
      <c r="B162" s="107">
        <v>648.52</v>
      </c>
      <c r="C162" s="107">
        <v>1093.52</v>
      </c>
      <c r="D162" s="107">
        <v>553.52</v>
      </c>
      <c r="E162" s="107">
        <v>567.5</v>
      </c>
      <c r="F162" s="107">
        <v>442.5</v>
      </c>
      <c r="G162" s="107">
        <v>277.5</v>
      </c>
      <c r="H162" s="107">
        <v>-165</v>
      </c>
      <c r="I162" s="107">
        <v>1870.89</v>
      </c>
      <c r="J162" s="107">
        <v>590.89</v>
      </c>
      <c r="K162" s="107">
        <v>3299.98</v>
      </c>
      <c r="L162" s="107">
        <v>440</v>
      </c>
      <c r="M162" s="107">
        <v>1769.39</v>
      </c>
      <c r="N162" s="107">
        <v>11389.21</v>
      </c>
    </row>
    <row r="163" spans="1:14">
      <c r="A163" s="64" t="s">
        <v>201</v>
      </c>
      <c r="B163" s="107">
        <v>192.37</v>
      </c>
      <c r="C163" s="107">
        <v>192.37</v>
      </c>
      <c r="D163" s="107">
        <v>192.37</v>
      </c>
      <c r="E163" s="107">
        <v>192.37</v>
      </c>
      <c r="F163" s="107">
        <v>192.37</v>
      </c>
      <c r="G163" s="107">
        <v>192.37</v>
      </c>
      <c r="H163" s="107">
        <v>192.37</v>
      </c>
      <c r="I163" s="107">
        <v>192.37</v>
      </c>
      <c r="J163" s="107">
        <v>201.11</v>
      </c>
      <c r="K163" s="107">
        <v>201.11</v>
      </c>
      <c r="L163" s="107">
        <v>201.11</v>
      </c>
      <c r="M163" s="107">
        <v>200</v>
      </c>
      <c r="N163" s="107">
        <v>2342.29</v>
      </c>
    </row>
    <row r="164" spans="1:14">
      <c r="A164" s="64" t="s">
        <v>203</v>
      </c>
      <c r="B164" s="107">
        <v>1291.08</v>
      </c>
      <c r="C164" s="107">
        <v>3481.55</v>
      </c>
      <c r="D164" s="107">
        <v>1435.84</v>
      </c>
      <c r="E164" s="107">
        <v>1421.34</v>
      </c>
      <c r="F164" s="107">
        <v>3042.39</v>
      </c>
      <c r="G164" s="107">
        <v>1208.8</v>
      </c>
      <c r="H164" s="107">
        <v>2504.75</v>
      </c>
      <c r="I164" s="107">
        <v>3493.6</v>
      </c>
      <c r="J164" s="107">
        <v>1842.33</v>
      </c>
      <c r="K164" s="107">
        <v>1044.68</v>
      </c>
      <c r="L164" s="107">
        <v>1123.82</v>
      </c>
      <c r="M164" s="107">
        <v>1181.31</v>
      </c>
      <c r="N164" s="107">
        <v>23071.49</v>
      </c>
    </row>
    <row r="165" spans="1:14">
      <c r="A165" s="64" t="s">
        <v>204</v>
      </c>
      <c r="B165" s="107">
        <v>6246</v>
      </c>
      <c r="C165" s="107">
        <v>5953</v>
      </c>
      <c r="D165" s="107">
        <v>5814</v>
      </c>
      <c r="E165" s="107">
        <v>6195</v>
      </c>
      <c r="F165" s="107">
        <v>6233</v>
      </c>
      <c r="G165" s="107">
        <v>7000</v>
      </c>
      <c r="H165" s="107">
        <v>6177</v>
      </c>
      <c r="I165" s="107">
        <v>6681</v>
      </c>
      <c r="J165" s="107">
        <v>6630</v>
      </c>
      <c r="K165" s="107">
        <v>6883</v>
      </c>
      <c r="L165" s="107">
        <v>7190</v>
      </c>
      <c r="M165" s="107">
        <v>7277</v>
      </c>
      <c r="N165" s="107">
        <v>78279</v>
      </c>
    </row>
    <row r="166" spans="1:14">
      <c r="A166" s="64" t="s">
        <v>206</v>
      </c>
      <c r="B166" s="111">
        <v>1120.06</v>
      </c>
      <c r="C166" s="111">
        <v>2168.34</v>
      </c>
      <c r="D166" s="111">
        <v>2105.39</v>
      </c>
      <c r="E166" s="111">
        <v>2780.78</v>
      </c>
      <c r="F166" s="111">
        <v>2587.3000000000002</v>
      </c>
      <c r="G166" s="111">
        <v>4938.1499999999996</v>
      </c>
      <c r="H166" s="111">
        <v>3325.74</v>
      </c>
      <c r="I166" s="111">
        <v>3030.33</v>
      </c>
      <c r="J166" s="111">
        <v>2205.13</v>
      </c>
      <c r="K166" s="111">
        <v>2257.91</v>
      </c>
      <c r="L166" s="111">
        <v>3684.69</v>
      </c>
      <c r="M166" s="111">
        <v>3260.74</v>
      </c>
      <c r="N166" s="111">
        <v>33464.559999999998</v>
      </c>
    </row>
    <row r="167" spans="1:14">
      <c r="A167" s="64" t="s">
        <v>207</v>
      </c>
      <c r="B167" s="107">
        <f t="shared" ref="B167:M167" si="24">SUM(B152:B166)</f>
        <v>26880.469999999998</v>
      </c>
      <c r="C167" s="107">
        <f t="shared" si="24"/>
        <v>30395.499999999996</v>
      </c>
      <c r="D167" s="107">
        <f t="shared" si="24"/>
        <v>24629.37</v>
      </c>
      <c r="E167" s="107">
        <f t="shared" si="24"/>
        <v>24934.25</v>
      </c>
      <c r="F167" s="107">
        <f t="shared" si="24"/>
        <v>24260.9</v>
      </c>
      <c r="G167" s="107">
        <f t="shared" si="24"/>
        <v>27385.120000000003</v>
      </c>
      <c r="H167" s="107">
        <f t="shared" si="24"/>
        <v>19886.11</v>
      </c>
      <c r="I167" s="107">
        <f t="shared" si="24"/>
        <v>28998.53</v>
      </c>
      <c r="J167" s="107">
        <f t="shared" si="24"/>
        <v>23244.51</v>
      </c>
      <c r="K167" s="107">
        <f t="shared" si="24"/>
        <v>24915.98</v>
      </c>
      <c r="L167" s="107">
        <f t="shared" si="24"/>
        <v>25626.41</v>
      </c>
      <c r="M167" s="107">
        <f t="shared" si="24"/>
        <v>28596.43</v>
      </c>
      <c r="N167" s="107">
        <v>309753.58</v>
      </c>
    </row>
    <row r="168" spans="1:14">
      <c r="A168" s="64"/>
      <c r="B168" s="22"/>
      <c r="C168" s="22"/>
      <c r="D168" s="22"/>
      <c r="E168" s="22"/>
      <c r="F168" s="22"/>
      <c r="G168" s="22"/>
      <c r="H168" s="22"/>
      <c r="I168" s="22"/>
      <c r="J168" s="22"/>
      <c r="K168" s="22"/>
      <c r="L168" s="22"/>
      <c r="M168" s="22"/>
      <c r="N168" s="22"/>
    </row>
    <row r="169" spans="1:14">
      <c r="A169" s="64" t="s">
        <v>15</v>
      </c>
      <c r="B169" s="22"/>
      <c r="C169" s="22"/>
      <c r="D169" s="22"/>
      <c r="E169" s="22"/>
      <c r="F169" s="22"/>
      <c r="G169" s="22"/>
      <c r="H169" s="22"/>
      <c r="I169" s="22"/>
      <c r="J169" s="22"/>
      <c r="K169" s="22"/>
      <c r="L169" s="22"/>
      <c r="M169" s="22"/>
      <c r="N169" s="22"/>
    </row>
    <row r="170" spans="1:14">
      <c r="A170" s="64" t="s">
        <v>210</v>
      </c>
      <c r="B170" s="107">
        <v>314.04000000000002</v>
      </c>
      <c r="C170" s="107">
        <v>324.67</v>
      </c>
      <c r="D170" s="107">
        <v>230.75</v>
      </c>
      <c r="E170" s="107">
        <v>222.45</v>
      </c>
      <c r="F170" s="107">
        <v>131.96</v>
      </c>
      <c r="G170" s="107">
        <v>662.79</v>
      </c>
      <c r="H170" s="107">
        <v>348.56</v>
      </c>
      <c r="I170" s="107">
        <v>563.39</v>
      </c>
      <c r="J170" s="107">
        <v>600.94000000000005</v>
      </c>
      <c r="K170" s="107">
        <v>173.58</v>
      </c>
      <c r="L170" s="107">
        <v>217.54</v>
      </c>
      <c r="M170" s="107">
        <v>626.22</v>
      </c>
      <c r="N170" s="107">
        <v>4416.8900000000003</v>
      </c>
    </row>
    <row r="171" spans="1:14">
      <c r="A171" s="64" t="s">
        <v>195</v>
      </c>
      <c r="B171" s="107">
        <v>394.16</v>
      </c>
      <c r="C171" s="107">
        <v>336.46</v>
      </c>
      <c r="D171" s="107">
        <v>416.72</v>
      </c>
      <c r="E171" s="107">
        <v>317.48</v>
      </c>
      <c r="F171" s="107">
        <v>360.6</v>
      </c>
      <c r="G171" s="107">
        <v>390.78</v>
      </c>
      <c r="H171" s="107">
        <v>735.05</v>
      </c>
      <c r="I171" s="107">
        <v>347.91</v>
      </c>
      <c r="J171" s="107">
        <v>425.32</v>
      </c>
      <c r="K171" s="107">
        <v>509.11</v>
      </c>
      <c r="L171" s="107">
        <v>935.49</v>
      </c>
      <c r="M171" s="107">
        <v>601.88</v>
      </c>
      <c r="N171" s="107">
        <v>5770.96</v>
      </c>
    </row>
    <row r="172" spans="1:14">
      <c r="A172" s="64" t="s">
        <v>213</v>
      </c>
      <c r="B172" s="107">
        <v>9160.01</v>
      </c>
      <c r="C172" s="107">
        <v>9313.27</v>
      </c>
      <c r="D172" s="107">
        <v>11061.08</v>
      </c>
      <c r="E172" s="107">
        <v>8348.25</v>
      </c>
      <c r="F172" s="107">
        <v>9395.69</v>
      </c>
      <c r="G172" s="107">
        <v>11070.43</v>
      </c>
      <c r="H172" s="107">
        <v>9003.81</v>
      </c>
      <c r="I172" s="107">
        <v>10838.71</v>
      </c>
      <c r="J172" s="107">
        <v>10482.17</v>
      </c>
      <c r="K172" s="107">
        <v>12973.57</v>
      </c>
      <c r="L172" s="107">
        <v>10532.6</v>
      </c>
      <c r="M172" s="107">
        <v>11678.78</v>
      </c>
      <c r="N172" s="107">
        <v>123858.37</v>
      </c>
    </row>
    <row r="173" spans="1:14">
      <c r="A173" s="64" t="s">
        <v>215</v>
      </c>
      <c r="B173" s="107">
        <v>1324.61</v>
      </c>
      <c r="C173" s="107">
        <v>839.5</v>
      </c>
      <c r="D173" s="107">
        <v>1088.81</v>
      </c>
      <c r="E173" s="107">
        <v>790.05</v>
      </c>
      <c r="F173" s="107">
        <v>888.41</v>
      </c>
      <c r="G173" s="107">
        <v>952.14</v>
      </c>
      <c r="H173" s="107">
        <v>1566.73</v>
      </c>
      <c r="I173" s="107">
        <v>1246.54</v>
      </c>
      <c r="J173" s="107">
        <v>1047.94</v>
      </c>
      <c r="K173" s="107">
        <v>1452.35</v>
      </c>
      <c r="L173" s="107">
        <v>1783.87</v>
      </c>
      <c r="M173" s="107">
        <v>1424.52</v>
      </c>
      <c r="N173" s="107">
        <v>14405.47</v>
      </c>
    </row>
    <row r="174" spans="1:14">
      <c r="A174" s="64" t="s">
        <v>216</v>
      </c>
      <c r="B174" s="107">
        <v>884.33</v>
      </c>
      <c r="C174" s="107">
        <v>732.29</v>
      </c>
      <c r="D174" s="107">
        <v>1816.61</v>
      </c>
      <c r="E174" s="107">
        <v>746.33</v>
      </c>
      <c r="F174" s="107">
        <v>1480.41</v>
      </c>
      <c r="G174" s="107">
        <v>904.47</v>
      </c>
      <c r="H174" s="107">
        <v>215.99</v>
      </c>
      <c r="I174" s="107">
        <v>235.63</v>
      </c>
      <c r="J174" s="107">
        <v>601.39</v>
      </c>
      <c r="K174" s="107">
        <v>579.1</v>
      </c>
      <c r="L174" s="107">
        <v>703.02</v>
      </c>
      <c r="M174" s="107">
        <v>1721.95</v>
      </c>
      <c r="N174" s="107">
        <v>10621.52</v>
      </c>
    </row>
    <row r="175" spans="1:14">
      <c r="A175" s="64" t="s">
        <v>217</v>
      </c>
      <c r="B175" s="107">
        <v>912.75</v>
      </c>
      <c r="C175" s="107">
        <v>586.51</v>
      </c>
      <c r="D175" s="107">
        <v>199.86</v>
      </c>
      <c r="E175" s="22"/>
      <c r="F175" s="22"/>
      <c r="G175" s="22"/>
      <c r="H175" s="22"/>
      <c r="I175" s="22"/>
      <c r="J175" s="107">
        <v>1325.72</v>
      </c>
      <c r="K175" s="107">
        <v>639</v>
      </c>
      <c r="L175" s="22"/>
      <c r="M175" s="107">
        <v>480.91</v>
      </c>
      <c r="N175" s="107">
        <v>4144.75</v>
      </c>
    </row>
    <row r="176" spans="1:14">
      <c r="A176" s="64" t="s">
        <v>219</v>
      </c>
      <c r="B176" s="107">
        <v>223.37</v>
      </c>
      <c r="C176" s="107">
        <v>54.43</v>
      </c>
      <c r="D176" s="107">
        <v>362.9</v>
      </c>
      <c r="E176" s="107">
        <v>295.98</v>
      </c>
      <c r="F176" s="107">
        <v>723.47</v>
      </c>
      <c r="G176" s="107">
        <v>133.21</v>
      </c>
      <c r="H176" s="107">
        <v>30.91</v>
      </c>
      <c r="I176" s="107">
        <v>133.6</v>
      </c>
      <c r="J176" s="107">
        <v>140.22</v>
      </c>
      <c r="K176" s="107">
        <v>132.32</v>
      </c>
      <c r="L176" s="107">
        <v>80.87</v>
      </c>
      <c r="M176" s="107">
        <v>409.9</v>
      </c>
      <c r="N176" s="107">
        <v>2721.18</v>
      </c>
    </row>
    <row r="177" spans="1:14">
      <c r="A177" s="64" t="s">
        <v>220</v>
      </c>
      <c r="B177" s="111">
        <v>191.05</v>
      </c>
      <c r="C177" s="111">
        <v>207.81</v>
      </c>
      <c r="D177" s="111">
        <v>87.29</v>
      </c>
      <c r="E177" s="111">
        <v>88.63</v>
      </c>
      <c r="F177" s="111">
        <v>354.32</v>
      </c>
      <c r="G177" s="111">
        <v>128.76</v>
      </c>
      <c r="H177" s="111">
        <v>123.32</v>
      </c>
      <c r="I177" s="111">
        <v>412.62</v>
      </c>
      <c r="J177" s="111">
        <v>189.6</v>
      </c>
      <c r="K177" s="111">
        <v>164.02</v>
      </c>
      <c r="L177" s="111">
        <v>127.71</v>
      </c>
      <c r="M177" s="111">
        <v>161.94999999999999</v>
      </c>
      <c r="N177" s="111">
        <v>2237.08</v>
      </c>
    </row>
    <row r="178" spans="1:14">
      <c r="A178" s="64" t="s">
        <v>221</v>
      </c>
      <c r="B178" s="107">
        <f t="shared" ref="B178:M178" si="25">SUM(B168:B177)</f>
        <v>13404.320000000002</v>
      </c>
      <c r="C178" s="107">
        <f t="shared" si="25"/>
        <v>12394.939999999999</v>
      </c>
      <c r="D178" s="107">
        <f t="shared" si="25"/>
        <v>15264.02</v>
      </c>
      <c r="E178" s="107">
        <f t="shared" si="25"/>
        <v>10809.169999999998</v>
      </c>
      <c r="F178" s="107">
        <f t="shared" si="25"/>
        <v>13334.859999999999</v>
      </c>
      <c r="G178" s="107">
        <f t="shared" si="25"/>
        <v>14242.579999999998</v>
      </c>
      <c r="H178" s="107">
        <f t="shared" si="25"/>
        <v>12024.369999999999</v>
      </c>
      <c r="I178" s="107">
        <f t="shared" si="25"/>
        <v>13778.4</v>
      </c>
      <c r="J178" s="107">
        <f t="shared" si="25"/>
        <v>14813.3</v>
      </c>
      <c r="K178" s="107">
        <f t="shared" si="25"/>
        <v>16623.050000000003</v>
      </c>
      <c r="L178" s="107">
        <f t="shared" si="25"/>
        <v>14381.1</v>
      </c>
      <c r="M178" s="107">
        <f t="shared" si="25"/>
        <v>17106.110000000004</v>
      </c>
      <c r="N178" s="107">
        <v>168176.22</v>
      </c>
    </row>
    <row r="179" spans="1:14">
      <c r="A179" s="64"/>
      <c r="B179" s="22"/>
      <c r="C179" s="22"/>
      <c r="D179" s="22"/>
      <c r="E179" s="22"/>
      <c r="F179" s="22"/>
      <c r="G179" s="22"/>
      <c r="H179" s="22"/>
      <c r="I179" s="22"/>
      <c r="J179" s="22"/>
      <c r="K179" s="22"/>
      <c r="L179" s="22"/>
      <c r="M179" s="22"/>
      <c r="N179" s="22"/>
    </row>
    <row r="180" spans="1:14">
      <c r="A180" s="64" t="s">
        <v>222</v>
      </c>
      <c r="B180" s="22"/>
      <c r="C180" s="22"/>
      <c r="D180" s="22"/>
      <c r="E180" s="22"/>
      <c r="F180" s="22"/>
      <c r="G180" s="22"/>
      <c r="H180" s="22"/>
      <c r="I180" s="22"/>
      <c r="J180" s="22"/>
      <c r="K180" s="22"/>
      <c r="L180" s="22"/>
      <c r="M180" s="22"/>
      <c r="N180" s="22"/>
    </row>
    <row r="181" spans="1:14">
      <c r="A181" s="64" t="s">
        <v>225</v>
      </c>
      <c r="B181" s="107">
        <v>1226.19</v>
      </c>
      <c r="C181" s="107">
        <v>292.39999999999998</v>
      </c>
      <c r="D181" s="107">
        <v>394.84</v>
      </c>
      <c r="E181" s="107">
        <v>237.58</v>
      </c>
      <c r="F181" s="107">
        <v>273.11</v>
      </c>
      <c r="G181" s="107">
        <v>275.24</v>
      </c>
      <c r="H181" s="107">
        <v>320.45</v>
      </c>
      <c r="I181" s="107">
        <v>315.39999999999998</v>
      </c>
      <c r="J181" s="107">
        <v>333.05</v>
      </c>
      <c r="K181" s="107">
        <v>316.29000000000002</v>
      </c>
      <c r="L181" s="107">
        <v>364.68</v>
      </c>
      <c r="M181" s="107">
        <v>435.11</v>
      </c>
      <c r="N181" s="107">
        <v>4784.34</v>
      </c>
    </row>
    <row r="182" spans="1:14">
      <c r="A182" s="64" t="s">
        <v>226</v>
      </c>
      <c r="B182" s="22"/>
      <c r="C182" s="22"/>
      <c r="D182" s="107">
        <v>36.08</v>
      </c>
      <c r="E182" s="22"/>
      <c r="F182" s="22"/>
      <c r="G182" s="22"/>
      <c r="H182" s="22"/>
      <c r="I182" s="22"/>
      <c r="J182" s="22"/>
      <c r="K182" s="22"/>
      <c r="L182" s="107">
        <v>14.43</v>
      </c>
      <c r="M182" s="22"/>
      <c r="N182" s="107">
        <v>50.51</v>
      </c>
    </row>
    <row r="183" spans="1:14">
      <c r="A183" s="64" t="s">
        <v>227</v>
      </c>
      <c r="B183" s="113"/>
      <c r="C183" s="113"/>
      <c r="D183" s="111">
        <v>13.95</v>
      </c>
      <c r="E183" s="113"/>
      <c r="F183" s="113"/>
      <c r="G183" s="113"/>
      <c r="H183" s="113"/>
      <c r="I183" s="113"/>
      <c r="J183" s="113"/>
      <c r="K183" s="113"/>
      <c r="L183" s="113"/>
      <c r="M183" s="113"/>
      <c r="N183" s="111">
        <v>13.95</v>
      </c>
    </row>
    <row r="184" spans="1:14">
      <c r="A184" s="64" t="s">
        <v>229</v>
      </c>
      <c r="B184" s="107">
        <f t="shared" ref="B184:M184" si="26">SUM(B179:B183)</f>
        <v>1226.19</v>
      </c>
      <c r="C184" s="107">
        <f t="shared" si="26"/>
        <v>292.39999999999998</v>
      </c>
      <c r="D184" s="107">
        <f t="shared" si="26"/>
        <v>444.86999999999995</v>
      </c>
      <c r="E184" s="107">
        <f t="shared" si="26"/>
        <v>237.58</v>
      </c>
      <c r="F184" s="107">
        <f t="shared" si="26"/>
        <v>273.11</v>
      </c>
      <c r="G184" s="107">
        <f t="shared" si="26"/>
        <v>275.24</v>
      </c>
      <c r="H184" s="107">
        <f t="shared" si="26"/>
        <v>320.45</v>
      </c>
      <c r="I184" s="107">
        <f t="shared" si="26"/>
        <v>315.39999999999998</v>
      </c>
      <c r="J184" s="107">
        <f t="shared" si="26"/>
        <v>333.05</v>
      </c>
      <c r="K184" s="107">
        <f t="shared" si="26"/>
        <v>316.29000000000002</v>
      </c>
      <c r="L184" s="107">
        <f t="shared" si="26"/>
        <v>379.11</v>
      </c>
      <c r="M184" s="107">
        <f t="shared" si="26"/>
        <v>435.11</v>
      </c>
      <c r="N184" s="107">
        <v>4848.8</v>
      </c>
    </row>
    <row r="185" spans="1:14">
      <c r="A185" s="64"/>
      <c r="B185" s="22"/>
      <c r="C185" s="22"/>
      <c r="D185" s="22"/>
      <c r="E185" s="22"/>
      <c r="F185" s="22"/>
      <c r="G185" s="22"/>
      <c r="H185" s="22"/>
      <c r="I185" s="22"/>
      <c r="J185" s="22"/>
      <c r="K185" s="22"/>
      <c r="L185" s="22"/>
      <c r="M185" s="22"/>
      <c r="N185" s="22"/>
    </row>
    <row r="186" spans="1:14">
      <c r="A186" s="64" t="s">
        <v>230</v>
      </c>
      <c r="B186" s="22"/>
      <c r="C186" s="22"/>
      <c r="D186" s="22"/>
      <c r="E186" s="22"/>
      <c r="F186" s="22"/>
      <c r="G186" s="22"/>
      <c r="H186" s="22"/>
      <c r="I186" s="22"/>
      <c r="J186" s="22"/>
      <c r="K186" s="22"/>
      <c r="L186" s="22"/>
      <c r="M186" s="22"/>
      <c r="N186" s="22"/>
    </row>
    <row r="187" spans="1:14">
      <c r="A187" s="64" t="s">
        <v>231</v>
      </c>
      <c r="B187" s="107">
        <v>4830.68</v>
      </c>
      <c r="C187" s="107">
        <v>4830.68</v>
      </c>
      <c r="D187" s="107">
        <v>4830.68</v>
      </c>
      <c r="E187" s="107">
        <v>4830.68</v>
      </c>
      <c r="F187" s="107">
        <v>777.1</v>
      </c>
      <c r="G187" s="107">
        <v>4830.68</v>
      </c>
      <c r="H187" s="107">
        <v>4830.68</v>
      </c>
      <c r="I187" s="107">
        <v>4830.68</v>
      </c>
      <c r="J187" s="107">
        <v>4830.68</v>
      </c>
      <c r="K187" s="107">
        <v>4830.68</v>
      </c>
      <c r="L187" s="107">
        <v>4830.68</v>
      </c>
      <c r="M187" s="107">
        <v>4830.68</v>
      </c>
      <c r="N187" s="107">
        <v>53914.58</v>
      </c>
    </row>
    <row r="188" spans="1:14">
      <c r="A188" s="64" t="s">
        <v>234</v>
      </c>
      <c r="B188" s="22"/>
      <c r="C188" s="107">
        <v>51.25</v>
      </c>
      <c r="D188" s="22"/>
      <c r="E188" s="22"/>
      <c r="F188" s="107"/>
      <c r="G188" s="107">
        <v>491.67</v>
      </c>
      <c r="H188" s="107">
        <v>130</v>
      </c>
      <c r="I188" s="22"/>
      <c r="J188" s="107">
        <v>505</v>
      </c>
      <c r="K188" s="22"/>
      <c r="L188" s="22"/>
      <c r="M188" s="22"/>
      <c r="N188" s="107">
        <v>1177.92</v>
      </c>
    </row>
    <row r="189" spans="1:14">
      <c r="A189" s="64" t="s">
        <v>235</v>
      </c>
      <c r="B189" s="113"/>
      <c r="C189" s="113"/>
      <c r="D189" s="113"/>
      <c r="E189" s="113"/>
      <c r="F189" s="113"/>
      <c r="G189" s="113"/>
      <c r="H189" s="113"/>
      <c r="I189" s="113"/>
      <c r="J189" s="111">
        <v>98</v>
      </c>
      <c r="K189" s="113"/>
      <c r="L189" s="113"/>
      <c r="M189" s="113"/>
      <c r="N189" s="111">
        <v>98</v>
      </c>
    </row>
    <row r="190" spans="1:14">
      <c r="A190" s="64" t="s">
        <v>236</v>
      </c>
      <c r="B190" s="107">
        <f t="shared" ref="B190:M190" si="27">SUM(B185:B189)</f>
        <v>4830.68</v>
      </c>
      <c r="C190" s="107">
        <f t="shared" si="27"/>
        <v>4881.93</v>
      </c>
      <c r="D190" s="107">
        <f t="shared" si="27"/>
        <v>4830.68</v>
      </c>
      <c r="E190" s="107">
        <f t="shared" si="27"/>
        <v>4830.68</v>
      </c>
      <c r="F190" s="107">
        <f t="shared" si="27"/>
        <v>777.1</v>
      </c>
      <c r="G190" s="107">
        <f t="shared" si="27"/>
        <v>5322.35</v>
      </c>
      <c r="H190" s="107">
        <f t="shared" si="27"/>
        <v>4960.68</v>
      </c>
      <c r="I190" s="107">
        <f t="shared" si="27"/>
        <v>4830.68</v>
      </c>
      <c r="J190" s="107">
        <f t="shared" si="27"/>
        <v>5433.68</v>
      </c>
      <c r="K190" s="107">
        <f t="shared" si="27"/>
        <v>4830.68</v>
      </c>
      <c r="L190" s="107">
        <f t="shared" si="27"/>
        <v>4830.68</v>
      </c>
      <c r="M190" s="107">
        <f t="shared" si="27"/>
        <v>4830.68</v>
      </c>
      <c r="N190" s="107">
        <v>55190.5</v>
      </c>
    </row>
    <row r="191" spans="1:14">
      <c r="A191" s="64"/>
      <c r="B191" s="22"/>
      <c r="C191" s="22"/>
      <c r="D191" s="22"/>
      <c r="E191" s="22"/>
      <c r="F191" s="22"/>
      <c r="G191" s="22"/>
      <c r="H191" s="22"/>
      <c r="I191" s="22"/>
      <c r="J191" s="22"/>
      <c r="K191" s="22"/>
      <c r="L191" s="22"/>
      <c r="M191" s="22"/>
      <c r="N191" s="22"/>
    </row>
    <row r="192" spans="1:14">
      <c r="A192" s="64" t="s">
        <v>237</v>
      </c>
      <c r="B192" s="113"/>
      <c r="C192" s="113"/>
      <c r="D192" s="113"/>
      <c r="E192" s="113"/>
      <c r="F192" s="113"/>
      <c r="G192" s="113"/>
      <c r="H192" s="113"/>
      <c r="I192" s="113"/>
      <c r="J192" s="113"/>
      <c r="K192" s="113"/>
      <c r="L192" s="113"/>
      <c r="M192" s="113"/>
      <c r="N192" s="113"/>
    </row>
    <row r="193" spans="1:14">
      <c r="A193" s="64"/>
      <c r="B193" s="22"/>
      <c r="C193" s="22"/>
      <c r="D193" s="22"/>
      <c r="E193" s="22"/>
      <c r="F193" s="22"/>
      <c r="G193" s="22"/>
      <c r="H193" s="22"/>
      <c r="I193" s="22"/>
      <c r="J193" s="22"/>
      <c r="K193" s="22"/>
      <c r="L193" s="22"/>
      <c r="M193" s="22"/>
      <c r="N193" s="22"/>
    </row>
    <row r="194" spans="1:14">
      <c r="A194" s="64" t="s">
        <v>239</v>
      </c>
      <c r="B194" s="22"/>
      <c r="C194" s="22"/>
      <c r="D194" s="22"/>
      <c r="E194" s="22"/>
      <c r="F194" s="22"/>
      <c r="G194" s="22"/>
      <c r="H194" s="22"/>
      <c r="I194" s="22"/>
      <c r="J194" s="22"/>
      <c r="K194" s="22"/>
      <c r="L194" s="22"/>
      <c r="M194" s="22"/>
      <c r="N194" s="22"/>
    </row>
    <row r="195" spans="1:14">
      <c r="A195" s="64" t="s">
        <v>240</v>
      </c>
      <c r="B195" s="107">
        <v>2274.69</v>
      </c>
      <c r="C195" s="107">
        <v>2274.69</v>
      </c>
      <c r="D195" s="107">
        <v>2274.69</v>
      </c>
      <c r="E195" s="107">
        <v>2274.69</v>
      </c>
      <c r="F195" s="107">
        <v>2274.69</v>
      </c>
      <c r="G195" s="107">
        <v>2274.6799999999998</v>
      </c>
      <c r="H195" s="107">
        <v>2274.69</v>
      </c>
      <c r="I195" s="107">
        <v>3160.67</v>
      </c>
      <c r="J195" s="107">
        <v>2717.68</v>
      </c>
      <c r="K195" s="107">
        <v>2717.68</v>
      </c>
      <c r="L195" s="107">
        <v>2717.68</v>
      </c>
      <c r="M195" s="107">
        <v>2717.68</v>
      </c>
      <c r="N195" s="107">
        <v>29954.21</v>
      </c>
    </row>
    <row r="196" spans="1:14">
      <c r="A196" s="64" t="s">
        <v>241</v>
      </c>
      <c r="B196" s="107">
        <v>127.92</v>
      </c>
      <c r="C196" s="107">
        <v>127.92</v>
      </c>
      <c r="D196" s="107">
        <v>127.92</v>
      </c>
      <c r="E196" s="107">
        <v>127.92</v>
      </c>
      <c r="F196" s="107">
        <v>127.92</v>
      </c>
      <c r="G196" s="107">
        <v>127.92</v>
      </c>
      <c r="H196" s="107">
        <v>127.92</v>
      </c>
      <c r="I196" s="107">
        <v>-127.92</v>
      </c>
      <c r="J196" s="22"/>
      <c r="K196" s="22"/>
      <c r="L196" s="22"/>
      <c r="M196" s="22"/>
      <c r="N196" s="107">
        <v>767.52</v>
      </c>
    </row>
    <row r="197" spans="1:14">
      <c r="A197" s="64" t="s">
        <v>242</v>
      </c>
      <c r="B197" s="107">
        <v>483.36</v>
      </c>
      <c r="C197" s="107">
        <v>408.5</v>
      </c>
      <c r="D197" s="107">
        <v>408.5</v>
      </c>
      <c r="E197" s="107">
        <v>408.5</v>
      </c>
      <c r="F197" s="107">
        <v>408.5</v>
      </c>
      <c r="G197" s="107">
        <v>988.16</v>
      </c>
      <c r="H197" s="107">
        <v>408.5</v>
      </c>
      <c r="I197" s="107">
        <v>408.5</v>
      </c>
      <c r="J197" s="107">
        <v>408.5</v>
      </c>
      <c r="K197" s="107">
        <v>408.5</v>
      </c>
      <c r="L197" s="107">
        <v>408.5</v>
      </c>
      <c r="M197" s="107">
        <v>408.5</v>
      </c>
      <c r="N197" s="107">
        <v>5556.52</v>
      </c>
    </row>
    <row r="198" spans="1:14">
      <c r="A198" s="64" t="s">
        <v>243</v>
      </c>
      <c r="B198" s="107">
        <v>760.85</v>
      </c>
      <c r="C198" s="107">
        <v>807.09</v>
      </c>
      <c r="D198" s="107">
        <v>783.83</v>
      </c>
      <c r="E198" s="107">
        <v>783.83</v>
      </c>
      <c r="F198" s="107">
        <v>783.83</v>
      </c>
      <c r="G198" s="107">
        <v>642.98</v>
      </c>
      <c r="H198" s="107"/>
      <c r="I198" s="22"/>
      <c r="J198" s="107">
        <v>663</v>
      </c>
      <c r="K198" s="107">
        <v>418</v>
      </c>
      <c r="L198" s="107">
        <v>418</v>
      </c>
      <c r="M198" s="107">
        <v>418</v>
      </c>
      <c r="N198" s="107">
        <v>6479.41</v>
      </c>
    </row>
    <row r="199" spans="1:14">
      <c r="A199" s="64" t="s">
        <v>387</v>
      </c>
      <c r="B199" s="113"/>
      <c r="C199" s="113"/>
      <c r="D199" s="113"/>
      <c r="E199" s="113"/>
      <c r="F199" s="113"/>
      <c r="G199" s="113"/>
      <c r="H199" s="113"/>
      <c r="I199" s="113"/>
      <c r="J199" s="113"/>
      <c r="K199" s="113"/>
      <c r="L199" s="113"/>
      <c r="M199" s="113"/>
      <c r="N199" s="113"/>
    </row>
    <row r="200" spans="1:14">
      <c r="A200" s="64" t="s">
        <v>244</v>
      </c>
      <c r="B200" s="107">
        <f t="shared" ref="B200:M200" si="28">SUM(B193:B199)</f>
        <v>3646.82</v>
      </c>
      <c r="C200" s="107">
        <f t="shared" si="28"/>
        <v>3618.2000000000003</v>
      </c>
      <c r="D200" s="107">
        <f t="shared" si="28"/>
        <v>3594.94</v>
      </c>
      <c r="E200" s="107">
        <f t="shared" si="28"/>
        <v>3594.94</v>
      </c>
      <c r="F200" s="107">
        <f t="shared" si="28"/>
        <v>3594.94</v>
      </c>
      <c r="G200" s="107">
        <f t="shared" si="28"/>
        <v>4033.74</v>
      </c>
      <c r="H200" s="107">
        <f t="shared" si="28"/>
        <v>2811.11</v>
      </c>
      <c r="I200" s="107">
        <f t="shared" si="28"/>
        <v>3441.25</v>
      </c>
      <c r="J200" s="107">
        <f t="shared" si="28"/>
        <v>3789.18</v>
      </c>
      <c r="K200" s="107">
        <f t="shared" si="28"/>
        <v>3544.18</v>
      </c>
      <c r="L200" s="107">
        <f t="shared" si="28"/>
        <v>3544.18</v>
      </c>
      <c r="M200" s="107">
        <f t="shared" si="28"/>
        <v>3544.18</v>
      </c>
      <c r="N200" s="107">
        <v>42757.66</v>
      </c>
    </row>
    <row r="201" spans="1:14">
      <c r="A201" s="64"/>
      <c r="B201" s="22"/>
      <c r="C201" s="22"/>
      <c r="D201" s="22"/>
      <c r="E201" s="22"/>
      <c r="F201" s="22"/>
      <c r="G201" s="22"/>
      <c r="H201" s="22"/>
      <c r="I201" s="22"/>
      <c r="J201" s="22"/>
      <c r="K201" s="22"/>
      <c r="L201" s="22"/>
      <c r="M201" s="22"/>
      <c r="N201" s="22"/>
    </row>
    <row r="202" spans="1:14">
      <c r="A202" s="64" t="s">
        <v>245</v>
      </c>
      <c r="B202" s="22"/>
      <c r="C202" s="22"/>
      <c r="D202" s="22"/>
      <c r="E202" s="22"/>
      <c r="F202" s="22"/>
      <c r="G202" s="22"/>
      <c r="H202" s="22"/>
      <c r="I202" s="22"/>
      <c r="J202" s="22"/>
      <c r="K202" s="22"/>
      <c r="L202" s="22"/>
      <c r="M202" s="22"/>
      <c r="N202" s="22"/>
    </row>
    <row r="203" spans="1:14">
      <c r="A203" s="64" t="s">
        <v>246</v>
      </c>
      <c r="B203" s="107">
        <v>2261.61</v>
      </c>
      <c r="C203" s="107">
        <v>2462.83</v>
      </c>
      <c r="D203" s="107">
        <v>2401.5300000000002</v>
      </c>
      <c r="E203" s="107">
        <v>2440.2399999999998</v>
      </c>
      <c r="F203" s="107">
        <v>2881.93</v>
      </c>
      <c r="G203" s="107">
        <v>2881.93</v>
      </c>
      <c r="H203" s="107">
        <v>2422.89</v>
      </c>
      <c r="I203" s="107">
        <v>2664.49</v>
      </c>
      <c r="J203" s="107">
        <v>2828.91</v>
      </c>
      <c r="K203" s="107">
        <v>2771.37</v>
      </c>
      <c r="L203" s="107">
        <v>2771.37</v>
      </c>
      <c r="M203" s="107">
        <v>2771.37</v>
      </c>
      <c r="N203" s="107">
        <v>31560.47</v>
      </c>
    </row>
    <row r="204" spans="1:14">
      <c r="A204" s="64" t="s">
        <v>247</v>
      </c>
      <c r="B204" s="107">
        <v>543.73</v>
      </c>
      <c r="C204" s="107">
        <v>528.36</v>
      </c>
      <c r="D204" s="107">
        <v>528.36</v>
      </c>
      <c r="E204" s="107">
        <v>521.27</v>
      </c>
      <c r="F204" s="107">
        <v>514.17999999999995</v>
      </c>
      <c r="G204" s="107">
        <v>514.17999999999995</v>
      </c>
      <c r="H204" s="107">
        <v>548.38</v>
      </c>
      <c r="I204" s="107">
        <v>547.79</v>
      </c>
      <c r="J204" s="107">
        <v>541.15</v>
      </c>
      <c r="K204" s="107">
        <v>541.15</v>
      </c>
      <c r="L204" s="107">
        <v>541.15</v>
      </c>
      <c r="M204" s="107">
        <v>551.65</v>
      </c>
      <c r="N204" s="107">
        <v>6421.35</v>
      </c>
    </row>
    <row r="205" spans="1:14">
      <c r="A205" s="64" t="s">
        <v>285</v>
      </c>
      <c r="B205" s="107">
        <v>49.19</v>
      </c>
      <c r="C205" s="107">
        <v>49.19</v>
      </c>
      <c r="D205" s="107">
        <v>49.19</v>
      </c>
      <c r="E205" s="107">
        <v>49.19</v>
      </c>
      <c r="F205" s="107">
        <v>49.24</v>
      </c>
      <c r="G205" s="107">
        <v>49.24</v>
      </c>
      <c r="H205" s="107">
        <v>49.14</v>
      </c>
      <c r="I205" s="107">
        <v>49.19</v>
      </c>
      <c r="J205" s="107">
        <v>49.19</v>
      </c>
      <c r="K205" s="107">
        <v>49.19</v>
      </c>
      <c r="L205" s="107">
        <v>49.19</v>
      </c>
      <c r="M205" s="107">
        <v>49.19</v>
      </c>
      <c r="N205" s="107">
        <v>590.33000000000004</v>
      </c>
    </row>
    <row r="206" spans="1:14">
      <c r="A206" s="64" t="s">
        <v>248</v>
      </c>
      <c r="B206" s="107">
        <v>47.25</v>
      </c>
      <c r="C206" s="107">
        <v>47.25</v>
      </c>
      <c r="D206" s="107">
        <v>47.25</v>
      </c>
      <c r="E206" s="107">
        <v>47.25</v>
      </c>
      <c r="F206" s="107">
        <v>47.22</v>
      </c>
      <c r="G206" s="22"/>
      <c r="H206" s="107">
        <v>94.72</v>
      </c>
      <c r="I206" s="107">
        <v>47.36</v>
      </c>
      <c r="J206" s="107">
        <v>47.36</v>
      </c>
      <c r="K206" s="107">
        <v>31.56</v>
      </c>
      <c r="L206" s="107">
        <v>16.78</v>
      </c>
      <c r="M206" s="107">
        <v>16.78</v>
      </c>
      <c r="N206" s="107">
        <v>490.78</v>
      </c>
    </row>
    <row r="207" spans="1:14">
      <c r="A207" s="64" t="s">
        <v>362</v>
      </c>
      <c r="B207" s="113"/>
      <c r="C207" s="113"/>
      <c r="D207" s="113"/>
      <c r="E207" s="113"/>
      <c r="F207" s="113"/>
      <c r="G207" s="113"/>
      <c r="H207" s="113"/>
      <c r="I207" s="113"/>
      <c r="J207" s="113"/>
      <c r="K207" s="113"/>
      <c r="L207" s="113"/>
      <c r="M207" s="113"/>
      <c r="N207" s="113"/>
    </row>
    <row r="208" spans="1:14">
      <c r="A208" s="64" t="s">
        <v>250</v>
      </c>
      <c r="B208" s="107">
        <f t="shared" ref="B208:M208" si="29">SUM(B201:B207)</f>
        <v>2901.78</v>
      </c>
      <c r="C208" s="107">
        <f t="shared" si="29"/>
        <v>3087.63</v>
      </c>
      <c r="D208" s="107">
        <f t="shared" si="29"/>
        <v>3026.3300000000004</v>
      </c>
      <c r="E208" s="107">
        <f t="shared" si="29"/>
        <v>3057.95</v>
      </c>
      <c r="F208" s="107">
        <f t="shared" si="29"/>
        <v>3492.5699999999993</v>
      </c>
      <c r="G208" s="107">
        <f t="shared" si="29"/>
        <v>3445.3499999999995</v>
      </c>
      <c r="H208" s="107">
        <f t="shared" si="29"/>
        <v>3115.1299999999997</v>
      </c>
      <c r="I208" s="107">
        <f t="shared" si="29"/>
        <v>3308.83</v>
      </c>
      <c r="J208" s="107">
        <f t="shared" si="29"/>
        <v>3466.61</v>
      </c>
      <c r="K208" s="107">
        <f t="shared" si="29"/>
        <v>3393.27</v>
      </c>
      <c r="L208" s="107">
        <f t="shared" si="29"/>
        <v>3378.4900000000002</v>
      </c>
      <c r="M208" s="107">
        <f t="shared" si="29"/>
        <v>3388.9900000000002</v>
      </c>
      <c r="N208" s="107">
        <v>39062.93</v>
      </c>
    </row>
    <row r="209" spans="1:14">
      <c r="A209" s="64"/>
      <c r="B209" s="22"/>
      <c r="C209" s="22"/>
      <c r="D209" s="22"/>
      <c r="E209" s="22"/>
      <c r="F209" s="22"/>
      <c r="G209" s="22"/>
      <c r="H209" s="22"/>
      <c r="I209" s="22"/>
      <c r="J209" s="22"/>
      <c r="K209" s="22"/>
      <c r="L209" s="22"/>
      <c r="M209" s="22"/>
      <c r="N209" s="22"/>
    </row>
    <row r="210" spans="1:14">
      <c r="A210" s="64" t="s">
        <v>251</v>
      </c>
      <c r="B210" s="22"/>
      <c r="C210" s="22"/>
      <c r="D210" s="22"/>
      <c r="E210" s="22"/>
      <c r="F210" s="22"/>
      <c r="G210" s="22"/>
      <c r="H210" s="22"/>
      <c r="I210" s="22"/>
      <c r="J210" s="22"/>
      <c r="K210" s="22"/>
      <c r="L210" s="22"/>
      <c r="M210" s="22"/>
      <c r="N210" s="22"/>
    </row>
    <row r="211" spans="1:14">
      <c r="A211" s="64" t="s">
        <v>252</v>
      </c>
      <c r="B211" s="107">
        <v>34443.980000000003</v>
      </c>
      <c r="C211" s="107">
        <v>35343.86</v>
      </c>
      <c r="D211" s="107">
        <v>35343.86</v>
      </c>
      <c r="E211" s="107">
        <v>35343.86</v>
      </c>
      <c r="F211" s="107">
        <v>35343.86</v>
      </c>
      <c r="G211" s="107">
        <v>35343.86</v>
      </c>
      <c r="H211" s="107">
        <v>35343.86</v>
      </c>
      <c r="I211" s="107">
        <v>35343.86</v>
      </c>
      <c r="J211" s="107">
        <v>35343.86</v>
      </c>
      <c r="K211" s="107">
        <v>35343.86</v>
      </c>
      <c r="L211" s="107">
        <v>35343.86</v>
      </c>
      <c r="M211" s="107">
        <v>38578.53</v>
      </c>
      <c r="N211" s="107">
        <v>426461.11</v>
      </c>
    </row>
    <row r="212" spans="1:14">
      <c r="A212" s="64" t="s">
        <v>253</v>
      </c>
      <c r="B212" s="107">
        <v>101.09</v>
      </c>
      <c r="C212" s="107">
        <v>101.09</v>
      </c>
      <c r="D212" s="107">
        <v>101.09</v>
      </c>
      <c r="E212" s="107">
        <v>101.09</v>
      </c>
      <c r="F212" s="107">
        <v>101.09</v>
      </c>
      <c r="G212" s="107"/>
      <c r="H212" s="22"/>
      <c r="I212" s="22"/>
      <c r="J212" s="107">
        <v>51.27</v>
      </c>
      <c r="K212" s="107">
        <v>51.27</v>
      </c>
      <c r="L212" s="107">
        <v>51.27</v>
      </c>
      <c r="M212" s="107">
        <v>51.27</v>
      </c>
      <c r="N212" s="107">
        <v>710.53</v>
      </c>
    </row>
    <row r="213" spans="1:14">
      <c r="A213" s="64" t="s">
        <v>254</v>
      </c>
      <c r="B213" s="113"/>
      <c r="C213" s="113"/>
      <c r="D213" s="113"/>
      <c r="E213" s="113"/>
      <c r="F213" s="111">
        <v>30</v>
      </c>
      <c r="G213" s="113"/>
      <c r="H213" s="113"/>
      <c r="I213" s="113"/>
      <c r="J213" s="113"/>
      <c r="K213" s="113"/>
      <c r="L213" s="113"/>
      <c r="M213" s="113"/>
      <c r="N213" s="111">
        <v>30</v>
      </c>
    </row>
    <row r="214" spans="1:14">
      <c r="A214" s="64" t="s">
        <v>255</v>
      </c>
      <c r="B214" s="107">
        <f t="shared" ref="B214:M214" si="30">SUM(B209:B213)</f>
        <v>34545.07</v>
      </c>
      <c r="C214" s="107">
        <f t="shared" si="30"/>
        <v>35444.949999999997</v>
      </c>
      <c r="D214" s="107">
        <f t="shared" si="30"/>
        <v>35444.949999999997</v>
      </c>
      <c r="E214" s="107">
        <f t="shared" si="30"/>
        <v>35444.949999999997</v>
      </c>
      <c r="F214" s="107">
        <f t="shared" si="30"/>
        <v>35474.949999999997</v>
      </c>
      <c r="G214" s="107">
        <f t="shared" si="30"/>
        <v>35343.86</v>
      </c>
      <c r="H214" s="107">
        <f t="shared" si="30"/>
        <v>35343.86</v>
      </c>
      <c r="I214" s="107">
        <f t="shared" si="30"/>
        <v>35343.86</v>
      </c>
      <c r="J214" s="107">
        <f t="shared" si="30"/>
        <v>35395.129999999997</v>
      </c>
      <c r="K214" s="107">
        <f t="shared" si="30"/>
        <v>35395.129999999997</v>
      </c>
      <c r="L214" s="107">
        <f t="shared" si="30"/>
        <v>35395.129999999997</v>
      </c>
      <c r="M214" s="107">
        <f t="shared" si="30"/>
        <v>38629.799999999996</v>
      </c>
      <c r="N214" s="107">
        <v>427201.64</v>
      </c>
    </row>
    <row r="215" spans="1:14">
      <c r="A215" s="64"/>
      <c r="B215" s="22"/>
      <c r="C215" s="22"/>
      <c r="D215" s="22"/>
      <c r="E215" s="22"/>
      <c r="F215" s="22"/>
      <c r="G215" s="22"/>
      <c r="H215" s="22"/>
      <c r="I215" s="22"/>
      <c r="J215" s="22"/>
      <c r="K215" s="22"/>
      <c r="L215" s="22"/>
      <c r="M215" s="22"/>
      <c r="N215" s="22"/>
    </row>
    <row r="216" spans="1:14">
      <c r="A216" s="64" t="s">
        <v>256</v>
      </c>
      <c r="B216" s="113"/>
      <c r="C216" s="113"/>
      <c r="D216" s="113"/>
      <c r="E216" s="113"/>
      <c r="F216" s="113"/>
      <c r="G216" s="113"/>
      <c r="H216" s="113"/>
      <c r="I216" s="113"/>
      <c r="J216" s="113"/>
      <c r="K216" s="113"/>
      <c r="L216" s="113"/>
      <c r="M216" s="113"/>
      <c r="N216" s="113"/>
    </row>
    <row r="217" spans="1:14">
      <c r="A217" s="64"/>
      <c r="B217" s="22"/>
      <c r="C217" s="22"/>
      <c r="D217" s="22"/>
      <c r="E217" s="22"/>
      <c r="F217" s="22"/>
      <c r="G217" s="22"/>
      <c r="H217" s="22"/>
      <c r="I217" s="22"/>
      <c r="J217" s="22"/>
      <c r="K217" s="22"/>
      <c r="L217" s="22"/>
      <c r="M217" s="22"/>
      <c r="N217" s="22"/>
    </row>
    <row r="218" spans="1:14" ht="15.75" thickBot="1">
      <c r="A218" s="64" t="s">
        <v>62</v>
      </c>
      <c r="B218" s="112">
        <f t="shared" ref="B218:M218" si="31">SUM(B125:B217)-B136-0-B149-0-B167-B178-B184-B190-0-B200-B208-B214-0</f>
        <v>120402.95999999996</v>
      </c>
      <c r="C218" s="112">
        <f t="shared" si="31"/>
        <v>121193.32999999997</v>
      </c>
      <c r="D218" s="112">
        <f t="shared" si="31"/>
        <v>117816.14999999992</v>
      </c>
      <c r="E218" s="112">
        <f t="shared" si="31"/>
        <v>116445.59999999996</v>
      </c>
      <c r="F218" s="112">
        <f t="shared" si="31"/>
        <v>121099.55999999998</v>
      </c>
      <c r="G218" s="112">
        <f t="shared" si="31"/>
        <v>121206.29</v>
      </c>
      <c r="H218" s="112">
        <f t="shared" si="31"/>
        <v>107946.48000000003</v>
      </c>
      <c r="I218" s="112">
        <f t="shared" si="31"/>
        <v>122631.93999999999</v>
      </c>
      <c r="J218" s="112">
        <f t="shared" si="31"/>
        <v>118376.50999999995</v>
      </c>
      <c r="K218" s="112">
        <f t="shared" si="31"/>
        <v>120132.18999999994</v>
      </c>
      <c r="L218" s="112">
        <f t="shared" si="31"/>
        <v>119998.56</v>
      </c>
      <c r="M218" s="112">
        <f t="shared" si="31"/>
        <v>129411.80999999997</v>
      </c>
      <c r="N218" s="112">
        <v>1436661.38</v>
      </c>
    </row>
    <row r="219" spans="1:14" ht="15.75" thickTop="1">
      <c r="A219" s="64"/>
      <c r="B219" s="22"/>
      <c r="C219" s="22"/>
      <c r="D219" s="22"/>
      <c r="E219" s="22"/>
      <c r="F219" s="22"/>
      <c r="G219" s="22"/>
      <c r="H219" s="22"/>
      <c r="I219" s="22"/>
      <c r="J219" s="22"/>
      <c r="K219" s="22"/>
      <c r="L219" s="22"/>
      <c r="M219" s="22"/>
      <c r="N219" s="22"/>
    </row>
    <row r="220" spans="1:14" ht="15.75" thickBot="1">
      <c r="A220" s="64" t="s">
        <v>259</v>
      </c>
      <c r="B220" s="112">
        <f t="shared" ref="B220:M220" si="32">+B122-B218</f>
        <v>4508.5400000000373</v>
      </c>
      <c r="C220" s="112">
        <f t="shared" si="32"/>
        <v>-2129.7200000000012</v>
      </c>
      <c r="D220" s="112">
        <f t="shared" si="32"/>
        <v>-1537.2199999999284</v>
      </c>
      <c r="E220" s="112">
        <f t="shared" si="32"/>
        <v>7448.9000000000378</v>
      </c>
      <c r="F220" s="112">
        <f t="shared" si="32"/>
        <v>3560.6900000000169</v>
      </c>
      <c r="G220" s="112">
        <f t="shared" si="32"/>
        <v>18797.610000000059</v>
      </c>
      <c r="H220" s="112">
        <f t="shared" si="32"/>
        <v>15585.920000000013</v>
      </c>
      <c r="I220" s="112">
        <f t="shared" si="32"/>
        <v>10992.020000000033</v>
      </c>
      <c r="J220" s="112">
        <f t="shared" si="32"/>
        <v>14213.899999999994</v>
      </c>
      <c r="K220" s="112">
        <f t="shared" si="32"/>
        <v>17535.800000000047</v>
      </c>
      <c r="L220" s="112">
        <f t="shared" si="32"/>
        <v>23796.929999999993</v>
      </c>
      <c r="M220" s="112">
        <f t="shared" si="32"/>
        <v>16130.609999999986</v>
      </c>
      <c r="N220" s="112">
        <v>128903.98</v>
      </c>
    </row>
    <row r="221" spans="1:14" ht="15.75" thickTop="1">
      <c r="A221" s="64"/>
      <c r="B221" s="22"/>
      <c r="C221" s="22"/>
      <c r="D221" s="22"/>
      <c r="E221" s="22"/>
      <c r="F221" s="22"/>
      <c r="G221" s="22"/>
      <c r="H221" s="22"/>
      <c r="I221" s="22"/>
      <c r="J221" s="22"/>
      <c r="K221" s="22"/>
      <c r="L221" s="22"/>
      <c r="M221" s="22"/>
      <c r="N221" s="22"/>
    </row>
    <row r="222" spans="1:14">
      <c r="A222" s="64" t="s">
        <v>351</v>
      </c>
      <c r="B222" s="111">
        <v>1003.83</v>
      </c>
      <c r="C222" s="113"/>
      <c r="D222" s="113"/>
      <c r="E222" s="113"/>
      <c r="F222" s="111">
        <v>64.489999999999995</v>
      </c>
      <c r="G222" s="113"/>
      <c r="H222" s="113"/>
      <c r="I222" s="113"/>
      <c r="J222" s="113"/>
      <c r="K222" s="113"/>
      <c r="L222" s="113"/>
      <c r="M222" s="113"/>
      <c r="N222" s="111">
        <v>1068.32</v>
      </c>
    </row>
    <row r="223" spans="1:14">
      <c r="A223" s="64" t="s">
        <v>64</v>
      </c>
      <c r="B223" s="107">
        <f>SUM(B221:B222)</f>
        <v>1003.83</v>
      </c>
      <c r="C223" s="107"/>
      <c r="D223" s="107"/>
      <c r="E223" s="107"/>
      <c r="F223" s="107">
        <f>SUM(F221:F222)</f>
        <v>64.489999999999995</v>
      </c>
      <c r="G223" s="107"/>
      <c r="H223" s="107"/>
      <c r="I223" s="107"/>
      <c r="J223" s="107"/>
      <c r="K223" s="107"/>
      <c r="L223" s="107"/>
      <c r="M223" s="107"/>
      <c r="N223" s="107">
        <v>1068.32</v>
      </c>
    </row>
    <row r="224" spans="1:14">
      <c r="A224" s="64"/>
      <c r="B224" s="22"/>
      <c r="C224" s="22"/>
      <c r="D224" s="22"/>
      <c r="E224" s="22"/>
      <c r="F224" s="22"/>
      <c r="G224" s="22"/>
      <c r="H224" s="22"/>
      <c r="I224" s="22"/>
      <c r="J224" s="22"/>
      <c r="K224" s="22"/>
      <c r="L224" s="22"/>
      <c r="M224" s="22"/>
      <c r="N224" s="22"/>
    </row>
    <row r="225" spans="1:14" ht="15.75" thickBot="1">
      <c r="A225" s="64" t="s">
        <v>22</v>
      </c>
      <c r="B225" s="112">
        <f t="shared" ref="B225:M225" si="33">+B220-B223</f>
        <v>3504.7100000000373</v>
      </c>
      <c r="C225" s="112">
        <f t="shared" si="33"/>
        <v>-2129.7200000000012</v>
      </c>
      <c r="D225" s="112">
        <f t="shared" si="33"/>
        <v>-1537.2199999999284</v>
      </c>
      <c r="E225" s="112">
        <f t="shared" si="33"/>
        <v>7448.9000000000378</v>
      </c>
      <c r="F225" s="112">
        <f t="shared" si="33"/>
        <v>3496.2000000000171</v>
      </c>
      <c r="G225" s="112">
        <f t="shared" si="33"/>
        <v>18797.610000000059</v>
      </c>
      <c r="H225" s="112">
        <f t="shared" si="33"/>
        <v>15585.920000000013</v>
      </c>
      <c r="I225" s="112">
        <f t="shared" si="33"/>
        <v>10992.020000000033</v>
      </c>
      <c r="J225" s="112">
        <f t="shared" si="33"/>
        <v>14213.899999999994</v>
      </c>
      <c r="K225" s="112">
        <f t="shared" si="33"/>
        <v>17535.800000000047</v>
      </c>
      <c r="L225" s="112">
        <f t="shared" si="33"/>
        <v>23796.929999999993</v>
      </c>
      <c r="M225" s="112">
        <f t="shared" si="33"/>
        <v>16130.609999999986</v>
      </c>
      <c r="N225" s="112">
        <v>127835.66</v>
      </c>
    </row>
    <row r="226" spans="1:14" ht="15.75" thickTop="1">
      <c r="A226" s="64"/>
      <c r="B226" s="22"/>
      <c r="C226" s="22"/>
      <c r="D226" s="22"/>
      <c r="E226" s="22"/>
      <c r="F226" s="22"/>
      <c r="G226" s="22"/>
      <c r="H226" s="22"/>
      <c r="I226" s="22"/>
      <c r="J226" s="22"/>
      <c r="K226" s="22"/>
      <c r="L226" s="22"/>
      <c r="M226" s="22"/>
      <c r="N226" s="22"/>
    </row>
    <row r="227" spans="1:14">
      <c r="A227" s="64"/>
      <c r="B227" s="22"/>
      <c r="C227" s="22"/>
      <c r="D227" s="22"/>
      <c r="E227" s="22"/>
      <c r="F227" s="22"/>
      <c r="G227" s="22"/>
      <c r="H227" s="22"/>
      <c r="I227" s="22"/>
      <c r="J227" s="22"/>
      <c r="K227" s="22"/>
      <c r="L227" s="22"/>
      <c r="M227" s="22"/>
      <c r="N227" s="22"/>
    </row>
    <row r="228" spans="1:14">
      <c r="A228" s="64" t="s">
        <v>260</v>
      </c>
      <c r="B228" s="22"/>
      <c r="C228" s="22"/>
      <c r="D228" s="22"/>
      <c r="E228" s="22"/>
      <c r="F228" s="22"/>
      <c r="G228" s="22"/>
      <c r="H228" s="22"/>
      <c r="I228" s="22"/>
      <c r="J228" s="22"/>
      <c r="K228" s="22"/>
      <c r="L228" s="22"/>
      <c r="M228" s="22"/>
      <c r="N228" s="22"/>
    </row>
    <row r="229" spans="1:14">
      <c r="A229" s="64"/>
      <c r="B229" s="22"/>
      <c r="C229" s="22"/>
      <c r="D229" s="22"/>
      <c r="E229" s="22"/>
      <c r="F229" s="22"/>
      <c r="G229" s="22"/>
      <c r="H229" s="22"/>
      <c r="I229" s="22"/>
      <c r="J229" s="22"/>
      <c r="K229" s="22"/>
      <c r="L229" s="22"/>
      <c r="M229" s="22"/>
      <c r="N229" s="22"/>
    </row>
    <row r="230" spans="1:14">
      <c r="A230" s="64" t="s">
        <v>19</v>
      </c>
      <c r="B230" s="113"/>
      <c r="C230" s="113"/>
      <c r="D230" s="113"/>
      <c r="E230" s="113"/>
      <c r="F230" s="113"/>
      <c r="G230" s="113"/>
      <c r="H230" s="113"/>
      <c r="I230" s="113"/>
      <c r="J230" s="113"/>
      <c r="K230" s="113"/>
      <c r="L230" s="113"/>
      <c r="M230" s="113"/>
      <c r="N230" s="113"/>
    </row>
    <row r="231" spans="1:14">
      <c r="A231" s="64" t="s">
        <v>85</v>
      </c>
      <c r="B231" s="107"/>
      <c r="C231" s="107"/>
      <c r="D231" s="107"/>
      <c r="E231" s="107"/>
      <c r="F231" s="107"/>
      <c r="G231" s="107"/>
      <c r="H231" s="107"/>
      <c r="I231" s="107"/>
      <c r="J231" s="107"/>
      <c r="K231" s="107"/>
      <c r="L231" s="107"/>
      <c r="M231" s="107"/>
      <c r="N231" s="107"/>
    </row>
    <row r="232" spans="1:14">
      <c r="A232" s="64"/>
      <c r="B232" s="22"/>
      <c r="C232" s="22"/>
      <c r="D232" s="22"/>
      <c r="E232" s="22"/>
      <c r="F232" s="22"/>
      <c r="G232" s="22"/>
      <c r="H232" s="22"/>
      <c r="I232" s="22"/>
      <c r="J232" s="22"/>
      <c r="K232" s="22"/>
      <c r="L232" s="22"/>
      <c r="M232" s="22"/>
      <c r="N232" s="22"/>
    </row>
    <row r="233" spans="1:14">
      <c r="A233" s="64" t="s">
        <v>20</v>
      </c>
      <c r="B233" s="113"/>
      <c r="C233" s="113"/>
      <c r="D233" s="113"/>
      <c r="E233" s="113"/>
      <c r="F233" s="113"/>
      <c r="G233" s="113"/>
      <c r="H233" s="113"/>
      <c r="I233" s="113"/>
      <c r="J233" s="113"/>
      <c r="K233" s="113"/>
      <c r="L233" s="113"/>
      <c r="M233" s="113"/>
      <c r="N233" s="113"/>
    </row>
    <row r="234" spans="1:14">
      <c r="A234" s="64" t="s">
        <v>262</v>
      </c>
      <c r="B234" s="107"/>
      <c r="C234" s="107"/>
      <c r="D234" s="107"/>
      <c r="E234" s="107"/>
      <c r="F234" s="107"/>
      <c r="G234" s="107"/>
      <c r="H234" s="107"/>
      <c r="I234" s="107"/>
      <c r="J234" s="107"/>
      <c r="K234" s="107"/>
      <c r="L234" s="107"/>
      <c r="M234" s="107"/>
      <c r="N234" s="107"/>
    </row>
    <row r="235" spans="1:14">
      <c r="A235" s="64"/>
      <c r="B235" s="22"/>
      <c r="C235" s="22"/>
      <c r="D235" s="22"/>
      <c r="E235" s="22"/>
      <c r="F235" s="22"/>
      <c r="G235" s="22"/>
      <c r="H235" s="22"/>
      <c r="I235" s="22"/>
      <c r="J235" s="22"/>
      <c r="K235" s="22"/>
      <c r="L235" s="22"/>
      <c r="M235" s="22"/>
      <c r="N235" s="22"/>
    </row>
    <row r="236" spans="1:14">
      <c r="A236" s="64" t="s">
        <v>263</v>
      </c>
      <c r="B236" s="113"/>
      <c r="C236" s="113"/>
      <c r="D236" s="113"/>
      <c r="E236" s="113"/>
      <c r="F236" s="113"/>
      <c r="G236" s="113"/>
      <c r="H236" s="113"/>
      <c r="I236" s="113"/>
      <c r="J236" s="113"/>
      <c r="K236" s="113"/>
      <c r="L236" s="113"/>
      <c r="M236" s="113"/>
      <c r="N236" s="113"/>
    </row>
    <row r="237" spans="1:14">
      <c r="A237" s="64" t="s">
        <v>264</v>
      </c>
      <c r="B237" s="107"/>
      <c r="C237" s="107"/>
      <c r="D237" s="107"/>
      <c r="E237" s="107"/>
      <c r="F237" s="107"/>
      <c r="G237" s="107"/>
      <c r="H237" s="107"/>
      <c r="I237" s="107"/>
      <c r="J237" s="107"/>
      <c r="K237" s="107"/>
      <c r="L237" s="107"/>
      <c r="M237" s="107"/>
      <c r="N237" s="107"/>
    </row>
    <row r="238" spans="1:14">
      <c r="A238" s="64"/>
      <c r="B238" s="22"/>
      <c r="C238" s="22"/>
      <c r="D238" s="22"/>
      <c r="E238" s="22"/>
      <c r="F238" s="22"/>
      <c r="G238" s="22"/>
      <c r="H238" s="22"/>
      <c r="I238" s="22"/>
      <c r="J238" s="22"/>
      <c r="K238" s="22"/>
      <c r="L238" s="22"/>
      <c r="M238" s="22"/>
      <c r="N238" s="22"/>
    </row>
    <row r="239" spans="1:14">
      <c r="A239" s="64" t="s">
        <v>265</v>
      </c>
      <c r="B239" s="113"/>
      <c r="C239" s="113"/>
      <c r="D239" s="113"/>
      <c r="E239" s="113"/>
      <c r="F239" s="113"/>
      <c r="G239" s="113"/>
      <c r="H239" s="113"/>
      <c r="I239" s="113"/>
      <c r="J239" s="113"/>
      <c r="K239" s="113"/>
      <c r="L239" s="113"/>
      <c r="M239" s="113"/>
      <c r="N239" s="113"/>
    </row>
    <row r="240" spans="1:14">
      <c r="A240" s="64" t="s">
        <v>319</v>
      </c>
      <c r="B240" s="107"/>
      <c r="C240" s="107"/>
      <c r="D240" s="107"/>
      <c r="E240" s="107"/>
      <c r="F240" s="107"/>
      <c r="G240" s="107"/>
      <c r="H240" s="107"/>
      <c r="I240" s="107"/>
      <c r="J240" s="107"/>
      <c r="K240" s="107"/>
      <c r="L240" s="107"/>
      <c r="M240" s="107"/>
      <c r="N240" s="107"/>
    </row>
    <row r="241" spans="1:14">
      <c r="A241" s="64"/>
      <c r="B241" s="22"/>
      <c r="C241" s="22"/>
      <c r="D241" s="22"/>
      <c r="E241" s="22"/>
      <c r="F241" s="22"/>
      <c r="G241" s="22"/>
      <c r="H241" s="22"/>
      <c r="I241" s="22"/>
      <c r="J241" s="22"/>
      <c r="K241" s="22"/>
      <c r="L241" s="22"/>
      <c r="M241" s="22"/>
      <c r="N241" s="22"/>
    </row>
    <row r="242" spans="1:14">
      <c r="A242" s="64" t="s">
        <v>106</v>
      </c>
      <c r="B242" s="113"/>
      <c r="C242" s="113"/>
      <c r="D242" s="113"/>
      <c r="E242" s="113"/>
      <c r="F242" s="113"/>
      <c r="G242" s="113"/>
      <c r="H242" s="113"/>
      <c r="I242" s="113"/>
      <c r="J242" s="113"/>
      <c r="K242" s="113"/>
      <c r="L242" s="113"/>
      <c r="M242" s="113"/>
      <c r="N242" s="113"/>
    </row>
    <row r="243" spans="1:14">
      <c r="A243" s="64" t="s">
        <v>116</v>
      </c>
      <c r="B243" s="107"/>
      <c r="C243" s="107"/>
      <c r="D243" s="107"/>
      <c r="E243" s="107"/>
      <c r="F243" s="107"/>
      <c r="G243" s="107"/>
      <c r="H243" s="107"/>
      <c r="I243" s="107"/>
      <c r="J243" s="107"/>
      <c r="K243" s="107"/>
      <c r="L243" s="107"/>
      <c r="M243" s="107"/>
      <c r="N243" s="107"/>
    </row>
    <row r="244" spans="1:14">
      <c r="A244" s="64"/>
      <c r="B244" s="22"/>
      <c r="C244" s="22"/>
      <c r="D244" s="22"/>
      <c r="E244" s="22"/>
      <c r="F244" s="22"/>
      <c r="G244" s="22"/>
      <c r="H244" s="22"/>
      <c r="I244" s="22"/>
      <c r="J244" s="22"/>
      <c r="K244" s="22"/>
      <c r="L244" s="22"/>
      <c r="M244" s="22"/>
      <c r="N244" s="22"/>
    </row>
    <row r="245" spans="1:14">
      <c r="A245" s="64" t="s">
        <v>117</v>
      </c>
      <c r="B245" s="22"/>
      <c r="C245" s="22"/>
      <c r="D245" s="22"/>
      <c r="E245" s="22"/>
      <c r="F245" s="22"/>
      <c r="G245" s="22"/>
      <c r="H245" s="22"/>
      <c r="I245" s="22"/>
      <c r="J245" s="22"/>
      <c r="K245" s="22"/>
      <c r="L245" s="22"/>
      <c r="M245" s="22"/>
      <c r="N245" s="22"/>
    </row>
    <row r="246" spans="1:14">
      <c r="A246" s="64" t="s">
        <v>66</v>
      </c>
      <c r="B246" s="111">
        <v>1786</v>
      </c>
      <c r="C246" s="111">
        <v>1710</v>
      </c>
      <c r="D246" s="111">
        <v>974</v>
      </c>
      <c r="E246" s="111">
        <v>1672</v>
      </c>
      <c r="F246" s="111">
        <v>1767</v>
      </c>
      <c r="G246" s="111">
        <v>1760</v>
      </c>
      <c r="H246" s="111">
        <v>1621</v>
      </c>
      <c r="I246" s="111">
        <v>1822</v>
      </c>
      <c r="J246" s="111">
        <v>1783</v>
      </c>
      <c r="K246" s="111">
        <v>1841</v>
      </c>
      <c r="L246" s="111">
        <v>1876</v>
      </c>
      <c r="M246" s="111">
        <v>1969</v>
      </c>
      <c r="N246" s="111">
        <v>20581</v>
      </c>
    </row>
    <row r="247" spans="1:14">
      <c r="A247" s="64" t="s">
        <v>127</v>
      </c>
      <c r="B247" s="107">
        <f t="shared" ref="B247:M247" si="34">SUM(B244:B246)</f>
        <v>1786</v>
      </c>
      <c r="C247" s="107">
        <f t="shared" si="34"/>
        <v>1710</v>
      </c>
      <c r="D247" s="107">
        <f t="shared" si="34"/>
        <v>974</v>
      </c>
      <c r="E247" s="107">
        <f t="shared" si="34"/>
        <v>1672</v>
      </c>
      <c r="F247" s="107">
        <f t="shared" si="34"/>
        <v>1767</v>
      </c>
      <c r="G247" s="107">
        <f t="shared" si="34"/>
        <v>1760</v>
      </c>
      <c r="H247" s="107">
        <f t="shared" si="34"/>
        <v>1621</v>
      </c>
      <c r="I247" s="107">
        <f t="shared" si="34"/>
        <v>1822</v>
      </c>
      <c r="J247" s="107">
        <f t="shared" si="34"/>
        <v>1783</v>
      </c>
      <c r="K247" s="107">
        <f t="shared" si="34"/>
        <v>1841</v>
      </c>
      <c r="L247" s="107">
        <f t="shared" si="34"/>
        <v>1876</v>
      </c>
      <c r="M247" s="107">
        <f t="shared" si="34"/>
        <v>1969</v>
      </c>
      <c r="N247" s="107">
        <v>20581</v>
      </c>
    </row>
    <row r="248" spans="1:14">
      <c r="A248" s="64"/>
      <c r="B248" s="22"/>
      <c r="C248" s="22"/>
      <c r="D248" s="22"/>
      <c r="E248" s="22"/>
      <c r="F248" s="22"/>
      <c r="G248" s="22"/>
      <c r="H248" s="22"/>
      <c r="I248" s="22"/>
      <c r="J248" s="22"/>
      <c r="K248" s="22"/>
      <c r="L248" s="22"/>
      <c r="M248" s="22"/>
      <c r="N248" s="22"/>
    </row>
    <row r="249" spans="1:14" ht="15.75" thickBot="1">
      <c r="A249" s="64" t="s">
        <v>266</v>
      </c>
      <c r="B249" s="112">
        <f t="shared" ref="B249:M249" si="35">SUM(B228:B248)-B231-B234-B237-B240-B243-B247</f>
        <v>1786</v>
      </c>
      <c r="C249" s="112">
        <f t="shared" si="35"/>
        <v>1710</v>
      </c>
      <c r="D249" s="112">
        <f t="shared" si="35"/>
        <v>974</v>
      </c>
      <c r="E249" s="112">
        <f t="shared" si="35"/>
        <v>1672</v>
      </c>
      <c r="F249" s="112">
        <f t="shared" si="35"/>
        <v>1767</v>
      </c>
      <c r="G249" s="112">
        <f t="shared" si="35"/>
        <v>1760</v>
      </c>
      <c r="H249" s="112">
        <f t="shared" si="35"/>
        <v>1621</v>
      </c>
      <c r="I249" s="112">
        <f t="shared" si="35"/>
        <v>1822</v>
      </c>
      <c r="J249" s="112">
        <f t="shared" si="35"/>
        <v>1783</v>
      </c>
      <c r="K249" s="112">
        <f t="shared" si="35"/>
        <v>1841</v>
      </c>
      <c r="L249" s="112">
        <f t="shared" si="35"/>
        <v>1876</v>
      </c>
      <c r="M249" s="112">
        <f t="shared" si="35"/>
        <v>1969</v>
      </c>
      <c r="N249" s="112">
        <v>20581</v>
      </c>
    </row>
    <row r="250" spans="1:14" ht="15.75" thickTop="1">
      <c r="A250" s="64"/>
      <c r="B250" s="22"/>
      <c r="C250" s="22"/>
      <c r="D250" s="22"/>
      <c r="E250" s="22"/>
      <c r="F250" s="22"/>
      <c r="G250" s="22"/>
      <c r="H250" s="22"/>
      <c r="I250" s="22"/>
      <c r="J250" s="22"/>
      <c r="K250" s="22"/>
      <c r="L250" s="22"/>
      <c r="M250" s="22"/>
      <c r="N250" s="22"/>
    </row>
    <row r="251" spans="1:14" hidden="1">
      <c r="A251" s="64"/>
      <c r="B251" s="107">
        <v>-3504.71</v>
      </c>
      <c r="C251" s="107">
        <v>2129.7199999999998</v>
      </c>
      <c r="D251" s="107">
        <v>1537.22</v>
      </c>
      <c r="E251" s="107">
        <v>-7448.9</v>
      </c>
      <c r="F251" s="107">
        <v>-3496.2</v>
      </c>
      <c r="G251" s="107">
        <v>-18797.61</v>
      </c>
      <c r="H251" s="107">
        <v>-15585.92</v>
      </c>
      <c r="I251" s="107">
        <v>-10992.02</v>
      </c>
      <c r="J251" s="107">
        <v>-14213.9</v>
      </c>
      <c r="K251" s="107">
        <v>-17535.8</v>
      </c>
      <c r="L251" s="107">
        <v>-23796.93</v>
      </c>
      <c r="M251" s="107">
        <v>-16130.61</v>
      </c>
      <c r="N251" s="107">
        <v>-127835.66</v>
      </c>
    </row>
    <row r="252" spans="1:14">
      <c r="A252" s="64"/>
      <c r="B252" s="22"/>
      <c r="C252" s="22"/>
      <c r="D252" s="22"/>
      <c r="E252" s="22"/>
      <c r="F252" s="22"/>
      <c r="G252" s="22"/>
      <c r="H252" s="22"/>
      <c r="I252" s="22"/>
      <c r="J252" s="22"/>
      <c r="K252" s="22"/>
      <c r="L252" s="22"/>
      <c r="M252" s="22"/>
      <c r="N252" s="22"/>
    </row>
    <row r="253" spans="1:14" hidden="1">
      <c r="A253" s="64" t="s">
        <v>267</v>
      </c>
      <c r="B253" s="107">
        <f t="shared" ref="B253:M253" si="36">0+0+0+0+B246</f>
        <v>1786</v>
      </c>
      <c r="C253" s="107">
        <f t="shared" si="36"/>
        <v>1710</v>
      </c>
      <c r="D253" s="107">
        <f t="shared" si="36"/>
        <v>974</v>
      </c>
      <c r="E253" s="107">
        <f t="shared" si="36"/>
        <v>1672</v>
      </c>
      <c r="F253" s="107">
        <f t="shared" si="36"/>
        <v>1767</v>
      </c>
      <c r="G253" s="107">
        <f t="shared" si="36"/>
        <v>1760</v>
      </c>
      <c r="H253" s="107">
        <f t="shared" si="36"/>
        <v>1621</v>
      </c>
      <c r="I253" s="107">
        <f t="shared" si="36"/>
        <v>1822</v>
      </c>
      <c r="J253" s="107">
        <f t="shared" si="36"/>
        <v>1783</v>
      </c>
      <c r="K253" s="107">
        <f t="shared" si="36"/>
        <v>1841</v>
      </c>
      <c r="L253" s="107">
        <f t="shared" si="36"/>
        <v>1876</v>
      </c>
      <c r="M253" s="107">
        <f t="shared" si="36"/>
        <v>1969</v>
      </c>
      <c r="N253" s="107">
        <v>20581</v>
      </c>
    </row>
    <row r="254" spans="1:14">
      <c r="A254" s="64"/>
      <c r="B254" s="22"/>
      <c r="C254" s="22"/>
      <c r="D254" s="22"/>
      <c r="E254" s="22"/>
      <c r="F254" s="22"/>
      <c r="G254" s="22"/>
      <c r="H254" s="22"/>
      <c r="I254" s="22"/>
      <c r="J254" s="22"/>
      <c r="K254" s="22"/>
      <c r="L254" s="22"/>
      <c r="M254" s="22"/>
      <c r="N254" s="22"/>
    </row>
  </sheetData>
  <pageMargins left="0.75" right="0.75" top="0.75" bottom="0.75" header="0.03" footer="0.03"/>
  <pageSetup scale="46" fitToHeight="0" pageOrder="overThenDown" orientation="landscape" r:id="rId1"/>
  <headerFooter>
    <oddHeader>&amp;L&amp;C&amp;"Arial,Regular"&amp;9&amp;K000000HMG Senior Living Lawrence, LLC 
Trailing 12 Months&amp;R</oddHeader>
  </headerFooter>
  <rowBreaks count="1" manualBreakCount="1">
    <brk id="43" max="16383" man="1"/>
  </rowBreaks>
  <customProperties>
    <customPr name="EpmWorksheetKeyString_GUID" r:id="rId2"/>
  </customProperties>
  <drawing r:id="rId3"/>
  <legacyDrawing r:id="rId4"/>
  <controls>
    <mc:AlternateContent xmlns:mc="http://schemas.openxmlformats.org/markup-compatibility/2006">
      <mc:Choice Requires="x14">
        <control shapeId="16385"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6385" r:id="rId5" name="FPMExcelClientSheetOptionstb1"/>
      </mc:Fallback>
    </mc:AlternateContent>
  </control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N250"/>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38</v>
      </c>
      <c r="B4" s="114">
        <f t="shared" ref="B4:M4" si="0">B241</f>
        <v>1193</v>
      </c>
      <c r="C4" s="114">
        <f t="shared" si="0"/>
        <v>1200</v>
      </c>
      <c r="D4" s="114">
        <f t="shared" si="0"/>
        <v>1240</v>
      </c>
      <c r="E4" s="114">
        <f t="shared" si="0"/>
        <v>1200</v>
      </c>
      <c r="F4" s="114">
        <f t="shared" si="0"/>
        <v>1209</v>
      </c>
      <c r="G4" s="114">
        <f t="shared" si="0"/>
        <v>1209</v>
      </c>
      <c r="H4" s="114">
        <f t="shared" si="0"/>
        <v>1092</v>
      </c>
      <c r="I4" s="114">
        <f t="shared" si="0"/>
        <v>1240</v>
      </c>
      <c r="J4" s="114">
        <f t="shared" si="0"/>
        <v>1140</v>
      </c>
      <c r="K4" s="114">
        <f t="shared" si="0"/>
        <v>1271</v>
      </c>
      <c r="L4" s="114">
        <f t="shared" si="0"/>
        <v>1260</v>
      </c>
      <c r="M4" s="114">
        <f t="shared" si="0"/>
        <v>1209</v>
      </c>
      <c r="N4" s="114">
        <v>14463</v>
      </c>
    </row>
    <row r="5" spans="1:14" ht="15.75" thickBot="1">
      <c r="A5" s="64" t="s">
        <v>39</v>
      </c>
      <c r="B5" s="112">
        <f t="shared" ref="B5:M5" si="1">B249</f>
        <v>1193</v>
      </c>
      <c r="C5" s="112">
        <f t="shared" si="1"/>
        <v>1200</v>
      </c>
      <c r="D5" s="112">
        <f t="shared" si="1"/>
        <v>1240</v>
      </c>
      <c r="E5" s="112">
        <f t="shared" si="1"/>
        <v>1200</v>
      </c>
      <c r="F5" s="112">
        <f t="shared" si="1"/>
        <v>1209</v>
      </c>
      <c r="G5" s="112">
        <f t="shared" si="1"/>
        <v>1209</v>
      </c>
      <c r="H5" s="112">
        <f t="shared" si="1"/>
        <v>1092</v>
      </c>
      <c r="I5" s="112">
        <f t="shared" si="1"/>
        <v>1240</v>
      </c>
      <c r="J5" s="112">
        <f t="shared" si="1"/>
        <v>1140</v>
      </c>
      <c r="K5" s="112">
        <f t="shared" si="1"/>
        <v>1271</v>
      </c>
      <c r="L5" s="112">
        <f t="shared" si="1"/>
        <v>1260</v>
      </c>
      <c r="M5" s="112">
        <f t="shared" si="1"/>
        <v>1209</v>
      </c>
      <c r="N5" s="112">
        <v>14463</v>
      </c>
    </row>
    <row r="6" spans="1:14" ht="15.75" thickTop="1">
      <c r="A6" s="64"/>
      <c r="B6" s="22"/>
      <c r="C6" s="22"/>
      <c r="D6" s="22"/>
      <c r="E6" s="22"/>
      <c r="F6" s="22"/>
      <c r="G6" s="22"/>
      <c r="H6" s="22"/>
      <c r="I6" s="22"/>
      <c r="J6" s="22"/>
      <c r="K6" s="22"/>
      <c r="L6" s="22"/>
      <c r="M6" s="22"/>
      <c r="N6" s="22"/>
    </row>
    <row r="7" spans="1:14">
      <c r="A7" s="64" t="s">
        <v>40</v>
      </c>
      <c r="B7" s="22"/>
      <c r="C7" s="22"/>
      <c r="D7" s="22"/>
      <c r="E7" s="22"/>
      <c r="F7" s="22"/>
      <c r="G7" s="22"/>
      <c r="H7" s="22"/>
      <c r="I7" s="22"/>
      <c r="J7" s="22"/>
      <c r="K7" s="22"/>
      <c r="L7" s="22"/>
      <c r="M7" s="22"/>
      <c r="N7" s="22"/>
    </row>
    <row r="8" spans="1:14">
      <c r="A8" s="64"/>
      <c r="B8" s="22"/>
      <c r="C8" s="22"/>
      <c r="D8" s="22"/>
      <c r="E8" s="22"/>
      <c r="F8" s="22"/>
      <c r="G8" s="22"/>
      <c r="H8" s="22"/>
      <c r="I8" s="22"/>
      <c r="J8" s="22"/>
      <c r="K8" s="22"/>
      <c r="L8" s="22"/>
      <c r="M8" s="22"/>
      <c r="N8" s="22"/>
    </row>
    <row r="9" spans="1:14">
      <c r="A9" s="64" t="s">
        <v>41</v>
      </c>
      <c r="B9" s="22"/>
      <c r="C9" s="22"/>
      <c r="D9" s="22"/>
      <c r="E9" s="22"/>
      <c r="F9" s="22"/>
      <c r="G9" s="22"/>
      <c r="H9" s="22"/>
      <c r="I9" s="22"/>
      <c r="J9" s="22"/>
      <c r="K9" s="22"/>
      <c r="L9" s="22"/>
      <c r="M9" s="22"/>
      <c r="N9" s="22"/>
    </row>
    <row r="10" spans="1:14">
      <c r="A10" s="64" t="s">
        <v>38</v>
      </c>
      <c r="B10" s="111">
        <f t="shared" ref="B10:M10" si="2">B65</f>
        <v>71066.8</v>
      </c>
      <c r="C10" s="111">
        <f t="shared" si="2"/>
        <v>75950</v>
      </c>
      <c r="D10" s="111">
        <f t="shared" si="2"/>
        <v>76350</v>
      </c>
      <c r="E10" s="111">
        <f t="shared" si="2"/>
        <v>75950</v>
      </c>
      <c r="F10" s="111">
        <f t="shared" si="2"/>
        <v>73950</v>
      </c>
      <c r="G10" s="111">
        <f t="shared" si="2"/>
        <v>73950</v>
      </c>
      <c r="H10" s="111">
        <f t="shared" si="2"/>
        <v>74550</v>
      </c>
      <c r="I10" s="111">
        <f t="shared" si="2"/>
        <v>77635</v>
      </c>
      <c r="J10" s="111">
        <f t="shared" si="2"/>
        <v>73660</v>
      </c>
      <c r="K10" s="111">
        <f t="shared" si="2"/>
        <v>80560</v>
      </c>
      <c r="L10" s="111">
        <f t="shared" si="2"/>
        <v>81385</v>
      </c>
      <c r="M10" s="111">
        <f t="shared" si="2"/>
        <v>75810</v>
      </c>
      <c r="N10" s="111">
        <v>910816.8</v>
      </c>
    </row>
    <row r="11" spans="1:14">
      <c r="A11" s="64" t="s">
        <v>42</v>
      </c>
      <c r="B11" s="107">
        <f t="shared" ref="B11:M11" si="3">B67</f>
        <v>71066.8</v>
      </c>
      <c r="C11" s="107">
        <f t="shared" si="3"/>
        <v>75950</v>
      </c>
      <c r="D11" s="107">
        <f t="shared" si="3"/>
        <v>76350</v>
      </c>
      <c r="E11" s="107">
        <f t="shared" si="3"/>
        <v>75950</v>
      </c>
      <c r="F11" s="107">
        <f t="shared" si="3"/>
        <v>73950</v>
      </c>
      <c r="G11" s="107">
        <f t="shared" si="3"/>
        <v>73950</v>
      </c>
      <c r="H11" s="107">
        <f t="shared" si="3"/>
        <v>74550</v>
      </c>
      <c r="I11" s="107">
        <f t="shared" si="3"/>
        <v>77635</v>
      </c>
      <c r="J11" s="107">
        <f t="shared" si="3"/>
        <v>73660</v>
      </c>
      <c r="K11" s="107">
        <f t="shared" si="3"/>
        <v>80560</v>
      </c>
      <c r="L11" s="107">
        <f t="shared" si="3"/>
        <v>81385</v>
      </c>
      <c r="M11" s="107">
        <f t="shared" si="3"/>
        <v>75810</v>
      </c>
      <c r="N11" s="107">
        <v>910816.8</v>
      </c>
    </row>
    <row r="12" spans="1:14">
      <c r="A12" s="64"/>
      <c r="B12" s="22"/>
      <c r="C12" s="22"/>
      <c r="D12" s="22"/>
      <c r="E12" s="22"/>
      <c r="F12" s="22"/>
      <c r="G12" s="22"/>
      <c r="H12" s="22"/>
      <c r="I12" s="22"/>
      <c r="J12" s="22"/>
      <c r="K12" s="22"/>
      <c r="L12" s="22"/>
      <c r="M12" s="22"/>
      <c r="N12" s="22"/>
    </row>
    <row r="13" spans="1:14">
      <c r="A13" s="64" t="s">
        <v>43</v>
      </c>
      <c r="B13" s="22"/>
      <c r="C13" s="22"/>
      <c r="D13" s="22"/>
      <c r="E13" s="22"/>
      <c r="F13" s="22"/>
      <c r="G13" s="22"/>
      <c r="H13" s="22"/>
      <c r="I13" s="22"/>
      <c r="J13" s="22"/>
      <c r="K13" s="22"/>
      <c r="L13" s="22"/>
      <c r="M13" s="22"/>
      <c r="N13" s="22"/>
    </row>
    <row r="14" spans="1:14">
      <c r="A14" s="64" t="s">
        <v>38</v>
      </c>
      <c r="B14" s="111">
        <f>B88</f>
        <v>-0.81</v>
      </c>
      <c r="C14" s="111"/>
      <c r="D14" s="111">
        <f>D88</f>
        <v>25</v>
      </c>
      <c r="E14" s="111">
        <f>E88</f>
        <v>50</v>
      </c>
      <c r="F14" s="111">
        <f>F88</f>
        <v>-19.21</v>
      </c>
      <c r="G14" s="111"/>
      <c r="H14" s="111"/>
      <c r="I14" s="111"/>
      <c r="J14" s="111"/>
      <c r="K14" s="111"/>
      <c r="L14" s="111"/>
      <c r="M14" s="111">
        <f>M88</f>
        <v>250</v>
      </c>
      <c r="N14" s="111">
        <v>304.98</v>
      </c>
    </row>
    <row r="15" spans="1:14">
      <c r="A15" s="64" t="s">
        <v>44</v>
      </c>
      <c r="B15" s="107">
        <f>B90</f>
        <v>-0.81</v>
      </c>
      <c r="C15" s="107"/>
      <c r="D15" s="107">
        <f>D90</f>
        <v>25</v>
      </c>
      <c r="E15" s="107">
        <f>E90</f>
        <v>50</v>
      </c>
      <c r="F15" s="107">
        <f>F90</f>
        <v>-19.21</v>
      </c>
      <c r="G15" s="107"/>
      <c r="H15" s="107"/>
      <c r="I15" s="107"/>
      <c r="J15" s="107"/>
      <c r="K15" s="107"/>
      <c r="L15" s="107"/>
      <c r="M15" s="107">
        <f>M90</f>
        <v>250</v>
      </c>
      <c r="N15" s="107">
        <v>304.98</v>
      </c>
    </row>
    <row r="16" spans="1:14">
      <c r="A16" s="64"/>
      <c r="B16" s="22"/>
      <c r="C16" s="22"/>
      <c r="D16" s="22"/>
      <c r="E16" s="22"/>
      <c r="F16" s="22"/>
      <c r="G16" s="22"/>
      <c r="H16" s="22"/>
      <c r="I16" s="22"/>
      <c r="J16" s="22"/>
      <c r="K16" s="22"/>
      <c r="L16" s="22"/>
      <c r="M16" s="22"/>
      <c r="N16" s="22"/>
    </row>
    <row r="17" spans="1:14">
      <c r="A17" s="64" t="s">
        <v>45</v>
      </c>
      <c r="B17" s="113"/>
      <c r="C17" s="113"/>
      <c r="D17" s="113"/>
      <c r="E17" s="113"/>
      <c r="F17" s="113"/>
      <c r="G17" s="113"/>
      <c r="H17" s="113"/>
      <c r="I17" s="113"/>
      <c r="J17" s="113"/>
      <c r="K17" s="113"/>
      <c r="L17" s="113"/>
      <c r="M17" s="113"/>
      <c r="N17" s="113"/>
    </row>
    <row r="18" spans="1:14">
      <c r="A18" s="64"/>
      <c r="B18" s="22"/>
      <c r="C18" s="22"/>
      <c r="D18" s="22"/>
      <c r="E18" s="22"/>
      <c r="F18" s="22"/>
      <c r="G18" s="22"/>
      <c r="H18" s="22"/>
      <c r="I18" s="22"/>
      <c r="J18" s="22"/>
      <c r="K18" s="22"/>
      <c r="L18" s="22"/>
      <c r="M18" s="22"/>
      <c r="N18" s="22"/>
    </row>
    <row r="19" spans="1:14">
      <c r="A19" s="64" t="s">
        <v>48</v>
      </c>
      <c r="B19" s="107">
        <f t="shared" ref="B19:M19" si="4">B116</f>
        <v>3425.81</v>
      </c>
      <c r="C19" s="107">
        <f t="shared" si="4"/>
        <v>1850</v>
      </c>
      <c r="D19" s="107">
        <f t="shared" si="4"/>
        <v>425</v>
      </c>
      <c r="E19" s="107">
        <f t="shared" si="4"/>
        <v>3540</v>
      </c>
      <c r="F19" s="107">
        <f t="shared" si="4"/>
        <v>425</v>
      </c>
      <c r="G19" s="107">
        <f t="shared" si="4"/>
        <v>5000</v>
      </c>
      <c r="H19" s="107">
        <f t="shared" si="4"/>
        <v>1225</v>
      </c>
      <c r="I19" s="107">
        <f t="shared" si="4"/>
        <v>2835</v>
      </c>
      <c r="J19" s="107">
        <f t="shared" si="4"/>
        <v>7075</v>
      </c>
      <c r="K19" s="107">
        <f t="shared" si="4"/>
        <v>3980</v>
      </c>
      <c r="L19" s="107">
        <f t="shared" si="4"/>
        <v>3216.64</v>
      </c>
      <c r="M19" s="107">
        <f t="shared" si="4"/>
        <v>755</v>
      </c>
      <c r="N19" s="107">
        <v>33752.449999999997</v>
      </c>
    </row>
    <row r="20" spans="1:14">
      <c r="A20" s="64"/>
      <c r="B20" s="22"/>
      <c r="C20" s="22"/>
      <c r="D20" s="22"/>
      <c r="E20" s="22"/>
      <c r="F20" s="22"/>
      <c r="G20" s="22"/>
      <c r="H20" s="22"/>
      <c r="I20" s="22"/>
      <c r="J20" s="22"/>
      <c r="K20" s="22"/>
      <c r="L20" s="22"/>
      <c r="M20" s="22"/>
      <c r="N20" s="22"/>
    </row>
    <row r="21" spans="1:14" ht="15.75" thickBot="1">
      <c r="A21" s="64" t="s">
        <v>13</v>
      </c>
      <c r="B21" s="112">
        <f t="shared" ref="B21:M21" si="5">B118</f>
        <v>74491.800000000032</v>
      </c>
      <c r="C21" s="112">
        <f t="shared" si="5"/>
        <v>77800</v>
      </c>
      <c r="D21" s="112">
        <f t="shared" si="5"/>
        <v>76800</v>
      </c>
      <c r="E21" s="112">
        <f t="shared" si="5"/>
        <v>79540</v>
      </c>
      <c r="F21" s="112">
        <f t="shared" si="5"/>
        <v>74355.790000000037</v>
      </c>
      <c r="G21" s="112">
        <f t="shared" si="5"/>
        <v>78950</v>
      </c>
      <c r="H21" s="112">
        <f t="shared" si="5"/>
        <v>75775</v>
      </c>
      <c r="I21" s="112">
        <f t="shared" si="5"/>
        <v>80470</v>
      </c>
      <c r="J21" s="112">
        <f t="shared" si="5"/>
        <v>80735</v>
      </c>
      <c r="K21" s="112">
        <f t="shared" si="5"/>
        <v>84540</v>
      </c>
      <c r="L21" s="112">
        <f t="shared" si="5"/>
        <v>84601.640000000029</v>
      </c>
      <c r="M21" s="112">
        <f t="shared" si="5"/>
        <v>76815</v>
      </c>
      <c r="N21" s="112">
        <v>944874.23</v>
      </c>
    </row>
    <row r="22" spans="1:14" ht="15.75" thickTop="1">
      <c r="A22" s="64"/>
      <c r="B22" s="22"/>
      <c r="C22" s="22"/>
      <c r="D22" s="22"/>
      <c r="E22" s="22"/>
      <c r="F22" s="22"/>
      <c r="G22" s="22"/>
      <c r="H22" s="22"/>
      <c r="I22" s="22"/>
      <c r="J22" s="22"/>
      <c r="K22" s="22"/>
      <c r="L22" s="22"/>
      <c r="M22" s="22"/>
      <c r="N22" s="22"/>
    </row>
    <row r="23" spans="1:14">
      <c r="A23" s="64" t="s">
        <v>14</v>
      </c>
      <c r="B23" s="22"/>
      <c r="C23" s="22"/>
      <c r="D23" s="22"/>
      <c r="E23" s="22"/>
      <c r="F23" s="22"/>
      <c r="G23" s="22"/>
      <c r="H23" s="22"/>
      <c r="I23" s="22"/>
      <c r="J23" s="22"/>
      <c r="K23" s="22"/>
      <c r="L23" s="22"/>
      <c r="M23" s="22"/>
      <c r="N23" s="22"/>
    </row>
    <row r="24" spans="1:14">
      <c r="A24" s="64" t="s">
        <v>49</v>
      </c>
      <c r="B24" s="107">
        <f t="shared" ref="B24:M24" si="6">B130</f>
        <v>21163.149999999998</v>
      </c>
      <c r="C24" s="107">
        <f t="shared" si="6"/>
        <v>20259.079999999998</v>
      </c>
      <c r="D24" s="107">
        <f t="shared" si="6"/>
        <v>21330.7</v>
      </c>
      <c r="E24" s="107">
        <f t="shared" si="6"/>
        <v>19001.91</v>
      </c>
      <c r="F24" s="107">
        <f t="shared" si="6"/>
        <v>19346.849999999999</v>
      </c>
      <c r="G24" s="107">
        <f t="shared" si="6"/>
        <v>19075.900000000001</v>
      </c>
      <c r="H24" s="107">
        <f t="shared" si="6"/>
        <v>19190.120000000003</v>
      </c>
      <c r="I24" s="107">
        <f t="shared" si="6"/>
        <v>21746.34</v>
      </c>
      <c r="J24" s="107">
        <f t="shared" si="6"/>
        <v>20785.5</v>
      </c>
      <c r="K24" s="107">
        <f t="shared" si="6"/>
        <v>19524.45</v>
      </c>
      <c r="L24" s="107">
        <f t="shared" si="6"/>
        <v>21162.05</v>
      </c>
      <c r="M24" s="107">
        <f t="shared" si="6"/>
        <v>21282.95</v>
      </c>
      <c r="N24" s="107">
        <v>243869</v>
      </c>
    </row>
    <row r="25" spans="1:14">
      <c r="A25" s="64" t="s">
        <v>51</v>
      </c>
      <c r="B25" s="107">
        <f t="shared" ref="B25:M25" si="7">B143</f>
        <v>1626.5</v>
      </c>
      <c r="C25" s="107">
        <f t="shared" si="7"/>
        <v>3440.62</v>
      </c>
      <c r="D25" s="107">
        <f t="shared" si="7"/>
        <v>2963.75</v>
      </c>
      <c r="E25" s="107">
        <f t="shared" si="7"/>
        <v>5385.65</v>
      </c>
      <c r="F25" s="107">
        <f t="shared" si="7"/>
        <v>6159.45</v>
      </c>
      <c r="G25" s="107">
        <f t="shared" si="7"/>
        <v>5483.13</v>
      </c>
      <c r="H25" s="107">
        <f t="shared" si="7"/>
        <v>3404.04</v>
      </c>
      <c r="I25" s="107">
        <f t="shared" si="7"/>
        <v>3170.9100000000003</v>
      </c>
      <c r="J25" s="107">
        <f t="shared" si="7"/>
        <v>3237.71</v>
      </c>
      <c r="K25" s="107">
        <f t="shared" si="7"/>
        <v>5314.6500000000005</v>
      </c>
      <c r="L25" s="107">
        <f t="shared" si="7"/>
        <v>3787.0899999999997</v>
      </c>
      <c r="M25" s="107">
        <f t="shared" si="7"/>
        <v>4427.0400000000009</v>
      </c>
      <c r="N25" s="107">
        <v>48400.54</v>
      </c>
    </row>
    <row r="26" spans="1:14">
      <c r="A26" s="64" t="s">
        <v>52</v>
      </c>
      <c r="B26" s="107">
        <f>B147</f>
        <v>-18.02</v>
      </c>
      <c r="C26" s="107"/>
      <c r="D26" s="107"/>
      <c r="E26" s="107"/>
      <c r="F26" s="107"/>
      <c r="G26" s="107"/>
      <c r="H26" s="107"/>
      <c r="I26" s="107"/>
      <c r="J26" s="107"/>
      <c r="K26" s="107"/>
      <c r="L26" s="107"/>
      <c r="M26" s="107"/>
      <c r="N26" s="107">
        <v>-18.02</v>
      </c>
    </row>
    <row r="27" spans="1:14">
      <c r="A27" s="64" t="s">
        <v>53</v>
      </c>
      <c r="B27" s="107">
        <f t="shared" ref="B27:M27" si="8">B164</f>
        <v>17895.060000000001</v>
      </c>
      <c r="C27" s="107">
        <f t="shared" si="8"/>
        <v>18484.53</v>
      </c>
      <c r="D27" s="107">
        <f t="shared" si="8"/>
        <v>17528.22</v>
      </c>
      <c r="E27" s="107">
        <f t="shared" si="8"/>
        <v>20425.27</v>
      </c>
      <c r="F27" s="107">
        <f t="shared" si="8"/>
        <v>11907.79</v>
      </c>
      <c r="G27" s="107">
        <f t="shared" si="8"/>
        <v>16427.150000000001</v>
      </c>
      <c r="H27" s="107">
        <f t="shared" si="8"/>
        <v>12955.029999999999</v>
      </c>
      <c r="I27" s="107">
        <f t="shared" si="8"/>
        <v>18914.07</v>
      </c>
      <c r="J27" s="107">
        <f t="shared" si="8"/>
        <v>20066.96</v>
      </c>
      <c r="K27" s="107">
        <f t="shared" si="8"/>
        <v>23355.07</v>
      </c>
      <c r="L27" s="107">
        <f t="shared" si="8"/>
        <v>17947.16</v>
      </c>
      <c r="M27" s="107">
        <f t="shared" si="8"/>
        <v>18320.079999999998</v>
      </c>
      <c r="N27" s="107">
        <v>214226.39</v>
      </c>
    </row>
    <row r="28" spans="1:14">
      <c r="A28" s="64" t="s">
        <v>54</v>
      </c>
      <c r="B28" s="107">
        <f t="shared" ref="B28:M28" si="9">B174</f>
        <v>8953.6799999999985</v>
      </c>
      <c r="C28" s="107">
        <f t="shared" si="9"/>
        <v>6738.9499999999989</v>
      </c>
      <c r="D28" s="107">
        <f t="shared" si="9"/>
        <v>7029.9500000000007</v>
      </c>
      <c r="E28" s="107">
        <f t="shared" si="9"/>
        <v>5753.7500000000009</v>
      </c>
      <c r="F28" s="107">
        <f t="shared" si="9"/>
        <v>6374.54</v>
      </c>
      <c r="G28" s="107">
        <f t="shared" si="9"/>
        <v>8735.77</v>
      </c>
      <c r="H28" s="107">
        <f t="shared" si="9"/>
        <v>6534.41</v>
      </c>
      <c r="I28" s="107">
        <f t="shared" si="9"/>
        <v>9243.909999999998</v>
      </c>
      <c r="J28" s="107">
        <f t="shared" si="9"/>
        <v>7348.7199999999984</v>
      </c>
      <c r="K28" s="107">
        <f t="shared" si="9"/>
        <v>9252.18</v>
      </c>
      <c r="L28" s="107">
        <f t="shared" si="9"/>
        <v>7496.04</v>
      </c>
      <c r="M28" s="107">
        <f t="shared" si="9"/>
        <v>7110.62</v>
      </c>
      <c r="N28" s="107">
        <v>90572.52</v>
      </c>
    </row>
    <row r="29" spans="1:14">
      <c r="A29" s="64" t="s">
        <v>55</v>
      </c>
      <c r="B29" s="107"/>
      <c r="C29" s="107">
        <f>C178</f>
        <v>73.010000000000005</v>
      </c>
      <c r="D29" s="107">
        <f>D178</f>
        <v>911.4</v>
      </c>
      <c r="E29" s="107">
        <f>E178</f>
        <v>191.28</v>
      </c>
      <c r="F29" s="107"/>
      <c r="G29" s="107"/>
      <c r="H29" s="107">
        <f>H178</f>
        <v>20</v>
      </c>
      <c r="I29" s="107">
        <f>I178</f>
        <v>40</v>
      </c>
      <c r="J29" s="107"/>
      <c r="K29" s="107"/>
      <c r="L29" s="107"/>
      <c r="M29" s="107">
        <f>M178</f>
        <v>40</v>
      </c>
      <c r="N29" s="107">
        <v>1275.69</v>
      </c>
    </row>
    <row r="30" spans="1:14">
      <c r="A30" s="64" t="s">
        <v>56</v>
      </c>
      <c r="B30" s="107">
        <f t="shared" ref="B30:M30" si="10">B184</f>
        <v>2566.13</v>
      </c>
      <c r="C30" s="107">
        <f t="shared" si="10"/>
        <v>2624.32</v>
      </c>
      <c r="D30" s="107">
        <f t="shared" si="10"/>
        <v>2556.13</v>
      </c>
      <c r="E30" s="107">
        <f t="shared" si="10"/>
        <v>2566.13</v>
      </c>
      <c r="F30" s="107">
        <f t="shared" si="10"/>
        <v>3278.11</v>
      </c>
      <c r="G30" s="107">
        <f t="shared" si="10"/>
        <v>2632.8</v>
      </c>
      <c r="H30" s="107">
        <f t="shared" si="10"/>
        <v>2958.63</v>
      </c>
      <c r="I30" s="107">
        <f t="shared" si="10"/>
        <v>2616.13</v>
      </c>
      <c r="J30" s="107">
        <f t="shared" si="10"/>
        <v>2796.13</v>
      </c>
      <c r="K30" s="107">
        <f t="shared" si="10"/>
        <v>2566.13</v>
      </c>
      <c r="L30" s="107">
        <f t="shared" si="10"/>
        <v>2566.13</v>
      </c>
      <c r="M30" s="107">
        <f t="shared" si="10"/>
        <v>2566.13</v>
      </c>
      <c r="N30" s="107">
        <v>32292.9</v>
      </c>
    </row>
    <row r="31" spans="1:14">
      <c r="A31" s="64" t="s">
        <v>57</v>
      </c>
      <c r="B31" s="107"/>
      <c r="C31" s="107"/>
      <c r="D31" s="107">
        <f>D188</f>
        <v>6540.99</v>
      </c>
      <c r="E31" s="107"/>
      <c r="F31" s="107"/>
      <c r="G31" s="107"/>
      <c r="H31" s="107"/>
      <c r="I31" s="107"/>
      <c r="J31" s="107"/>
      <c r="K31" s="107"/>
      <c r="L31" s="107"/>
      <c r="M31" s="107"/>
      <c r="N31" s="107">
        <v>6540.99</v>
      </c>
    </row>
    <row r="32" spans="1:14">
      <c r="A32" s="64" t="s">
        <v>58</v>
      </c>
      <c r="B32" s="107">
        <f t="shared" ref="B32:M32" si="11">B196</f>
        <v>3399.59</v>
      </c>
      <c r="C32" s="107">
        <f t="shared" si="11"/>
        <v>3374.9100000000003</v>
      </c>
      <c r="D32" s="107">
        <f t="shared" si="11"/>
        <v>3348.2000000000003</v>
      </c>
      <c r="E32" s="107">
        <f t="shared" si="11"/>
        <v>3348.2000000000003</v>
      </c>
      <c r="F32" s="107">
        <f t="shared" si="11"/>
        <v>3348.1800000000003</v>
      </c>
      <c r="G32" s="107">
        <f t="shared" si="11"/>
        <v>3824.7</v>
      </c>
      <c r="H32" s="107">
        <f t="shared" si="11"/>
        <v>2771.53</v>
      </c>
      <c r="I32" s="107">
        <f t="shared" si="11"/>
        <v>3437.83</v>
      </c>
      <c r="J32" s="107">
        <f t="shared" si="11"/>
        <v>3590.68</v>
      </c>
      <c r="K32" s="107">
        <f t="shared" si="11"/>
        <v>3410.68</v>
      </c>
      <c r="L32" s="107">
        <f t="shared" si="11"/>
        <v>3410.68</v>
      </c>
      <c r="M32" s="107">
        <f t="shared" si="11"/>
        <v>3410.68</v>
      </c>
      <c r="N32" s="107">
        <v>40675.86</v>
      </c>
    </row>
    <row r="33" spans="1:14">
      <c r="A33" s="64" t="s">
        <v>59</v>
      </c>
      <c r="B33" s="107">
        <f t="shared" ref="B33:M33" si="12">B203</f>
        <v>2828.02</v>
      </c>
      <c r="C33" s="107">
        <f t="shared" si="12"/>
        <v>2878.9700000000003</v>
      </c>
      <c r="D33" s="107">
        <f t="shared" si="12"/>
        <v>2848.27</v>
      </c>
      <c r="E33" s="107">
        <f t="shared" si="12"/>
        <v>2834.84</v>
      </c>
      <c r="F33" s="107">
        <f t="shared" si="12"/>
        <v>2940.6799999999994</v>
      </c>
      <c r="G33" s="107">
        <f t="shared" si="12"/>
        <v>2940.6799999999994</v>
      </c>
      <c r="H33" s="107">
        <f t="shared" si="12"/>
        <v>2773.2599999999998</v>
      </c>
      <c r="I33" s="107">
        <f t="shared" si="12"/>
        <v>3134.35</v>
      </c>
      <c r="J33" s="107">
        <f t="shared" si="12"/>
        <v>2902.1</v>
      </c>
      <c r="K33" s="107">
        <f t="shared" si="12"/>
        <v>2902.1</v>
      </c>
      <c r="L33" s="107">
        <f t="shared" si="12"/>
        <v>2902.1</v>
      </c>
      <c r="M33" s="107">
        <f t="shared" si="12"/>
        <v>2880.1200000000003</v>
      </c>
      <c r="N33" s="107">
        <v>34765.49</v>
      </c>
    </row>
    <row r="34" spans="1:14">
      <c r="A34" s="64" t="s">
        <v>60</v>
      </c>
      <c r="B34" s="107">
        <f t="shared" ref="B34:M34" si="13">B209</f>
        <v>30460.09</v>
      </c>
      <c r="C34" s="107">
        <f t="shared" si="13"/>
        <v>31277.670000000002</v>
      </c>
      <c r="D34" s="107">
        <f t="shared" si="13"/>
        <v>31284.920000000002</v>
      </c>
      <c r="E34" s="107">
        <f t="shared" si="13"/>
        <v>31259.030000000002</v>
      </c>
      <c r="F34" s="107">
        <f t="shared" si="13"/>
        <v>31250.940000000002</v>
      </c>
      <c r="G34" s="107">
        <f t="shared" si="13"/>
        <v>31153.980000000003</v>
      </c>
      <c r="H34" s="107">
        <f t="shared" si="13"/>
        <v>31149.010000000002</v>
      </c>
      <c r="I34" s="107">
        <f t="shared" si="13"/>
        <v>31146.58</v>
      </c>
      <c r="J34" s="107">
        <f t="shared" si="13"/>
        <v>32788.100000000006</v>
      </c>
      <c r="K34" s="107">
        <f t="shared" si="13"/>
        <v>31199.24</v>
      </c>
      <c r="L34" s="107">
        <f t="shared" si="13"/>
        <v>31199.780000000002</v>
      </c>
      <c r="M34" s="107">
        <f t="shared" si="13"/>
        <v>33942.18</v>
      </c>
      <c r="N34" s="107">
        <v>378111.52</v>
      </c>
    </row>
    <row r="35" spans="1:14">
      <c r="A35" s="64"/>
      <c r="B35" s="22"/>
      <c r="C35" s="22"/>
      <c r="D35" s="22"/>
      <c r="E35" s="22"/>
      <c r="F35" s="22"/>
      <c r="G35" s="22"/>
      <c r="H35" s="22"/>
      <c r="I35" s="22"/>
      <c r="J35" s="22"/>
      <c r="K35" s="22"/>
      <c r="L35" s="22"/>
      <c r="M35" s="22"/>
      <c r="N35" s="22"/>
    </row>
    <row r="36" spans="1:14" ht="15.75" thickBot="1">
      <c r="A36" s="64" t="s">
        <v>62</v>
      </c>
      <c r="B36" s="112">
        <f t="shared" ref="B36:M36" si="14">B213</f>
        <v>88874.2</v>
      </c>
      <c r="C36" s="112">
        <f t="shared" si="14"/>
        <v>89152.060000000041</v>
      </c>
      <c r="D36" s="112">
        <f t="shared" si="14"/>
        <v>96342.529999999984</v>
      </c>
      <c r="E36" s="112">
        <f t="shared" si="14"/>
        <v>90766.059999999954</v>
      </c>
      <c r="F36" s="112">
        <f t="shared" si="14"/>
        <v>84606.53999999995</v>
      </c>
      <c r="G36" s="112">
        <f t="shared" si="14"/>
        <v>90274.110000000015</v>
      </c>
      <c r="H36" s="112">
        <f t="shared" si="14"/>
        <v>81756.03</v>
      </c>
      <c r="I36" s="112">
        <f t="shared" si="14"/>
        <v>93450.120000000024</v>
      </c>
      <c r="J36" s="112">
        <f t="shared" si="14"/>
        <v>93515.9</v>
      </c>
      <c r="K36" s="112">
        <f t="shared" si="14"/>
        <v>97524.500000000015</v>
      </c>
      <c r="L36" s="112">
        <f t="shared" si="14"/>
        <v>90471.030000000013</v>
      </c>
      <c r="M36" s="112">
        <f t="shared" si="14"/>
        <v>93979.800000000017</v>
      </c>
      <c r="N36" s="112">
        <v>1090712.8799999999</v>
      </c>
    </row>
    <row r="37" spans="1:14" ht="15.75" thickTop="1">
      <c r="A37" s="64"/>
      <c r="B37" s="22"/>
      <c r="C37" s="22"/>
      <c r="D37" s="22"/>
      <c r="E37" s="22"/>
      <c r="F37" s="22"/>
      <c r="G37" s="22"/>
      <c r="H37" s="22"/>
      <c r="I37" s="22"/>
      <c r="J37" s="22"/>
      <c r="K37" s="22"/>
      <c r="L37" s="22"/>
      <c r="M37" s="22"/>
      <c r="N37" s="22"/>
    </row>
    <row r="38" spans="1:14" ht="15.75" thickBot="1">
      <c r="A38" s="64" t="s">
        <v>63</v>
      </c>
      <c r="B38" s="112">
        <f t="shared" ref="B38:M38" si="15">B215</f>
        <v>-14382.399999999965</v>
      </c>
      <c r="C38" s="112">
        <f t="shared" si="15"/>
        <v>-11352.060000000041</v>
      </c>
      <c r="D38" s="112">
        <f t="shared" si="15"/>
        <v>-19542.529999999984</v>
      </c>
      <c r="E38" s="112">
        <f t="shared" si="15"/>
        <v>-11226.059999999954</v>
      </c>
      <c r="F38" s="112">
        <f t="shared" si="15"/>
        <v>-10250.749999999913</v>
      </c>
      <c r="G38" s="112">
        <f t="shared" si="15"/>
        <v>-11324.110000000015</v>
      </c>
      <c r="H38" s="112">
        <f t="shared" si="15"/>
        <v>-5981.0299999999988</v>
      </c>
      <c r="I38" s="112">
        <f t="shared" si="15"/>
        <v>-12980.120000000024</v>
      </c>
      <c r="J38" s="112">
        <f t="shared" si="15"/>
        <v>-12780.899999999994</v>
      </c>
      <c r="K38" s="112">
        <f t="shared" si="15"/>
        <v>-12984.500000000015</v>
      </c>
      <c r="L38" s="112">
        <f t="shared" si="15"/>
        <v>-5869.3899999999849</v>
      </c>
      <c r="M38" s="112">
        <f t="shared" si="15"/>
        <v>-17164.800000000017</v>
      </c>
      <c r="N38" s="112">
        <v>-145838.65</v>
      </c>
    </row>
    <row r="39" spans="1:14" ht="15.75" thickTop="1">
      <c r="A39" s="64"/>
      <c r="B39" s="22"/>
      <c r="C39" s="22"/>
      <c r="D39" s="22"/>
      <c r="E39" s="22"/>
      <c r="F39" s="22"/>
      <c r="G39" s="22"/>
      <c r="H39" s="22"/>
      <c r="I39" s="22"/>
      <c r="J39" s="22"/>
      <c r="K39" s="22"/>
      <c r="L39" s="22"/>
      <c r="M39" s="22"/>
      <c r="N39" s="22"/>
    </row>
    <row r="40" spans="1:14" ht="15.75" thickBot="1">
      <c r="A40" s="64" t="s">
        <v>64</v>
      </c>
      <c r="B40" s="112">
        <f>B218</f>
        <v>15.37</v>
      </c>
      <c r="C40" s="112"/>
      <c r="D40" s="112"/>
      <c r="E40" s="112">
        <f>E218</f>
        <v>76.48</v>
      </c>
      <c r="F40" s="112">
        <f>F218</f>
        <v>538.28</v>
      </c>
      <c r="G40" s="112"/>
      <c r="H40" s="112"/>
      <c r="I40" s="112"/>
      <c r="J40" s="112"/>
      <c r="K40" s="112"/>
      <c r="L40" s="112"/>
      <c r="M40" s="112"/>
      <c r="N40" s="112">
        <v>630.13</v>
      </c>
    </row>
    <row r="41" spans="1:14" ht="15.75" thickTop="1">
      <c r="A41" s="64"/>
      <c r="B41" s="22"/>
      <c r="C41" s="22"/>
      <c r="D41" s="22"/>
      <c r="E41" s="22"/>
      <c r="F41" s="22"/>
      <c r="G41" s="22"/>
      <c r="H41" s="22"/>
      <c r="I41" s="22"/>
      <c r="J41" s="22"/>
      <c r="K41" s="22"/>
      <c r="L41" s="22"/>
      <c r="M41" s="22"/>
      <c r="N41" s="22"/>
    </row>
    <row r="42" spans="1:14" ht="15.75" thickBot="1">
      <c r="A42" s="64" t="s">
        <v>22</v>
      </c>
      <c r="B42" s="112">
        <f t="shared" ref="B42:M42" si="16">B220</f>
        <v>-14397.769999999966</v>
      </c>
      <c r="C42" s="112">
        <f t="shared" si="16"/>
        <v>-11352.060000000041</v>
      </c>
      <c r="D42" s="112">
        <f t="shared" si="16"/>
        <v>-19542.529999999984</v>
      </c>
      <c r="E42" s="112">
        <f t="shared" si="16"/>
        <v>-11302.539999999954</v>
      </c>
      <c r="F42" s="112">
        <f t="shared" si="16"/>
        <v>-10789.029999999913</v>
      </c>
      <c r="G42" s="112">
        <f t="shared" si="16"/>
        <v>-11324.110000000015</v>
      </c>
      <c r="H42" s="112">
        <f t="shared" si="16"/>
        <v>-5981.0299999999988</v>
      </c>
      <c r="I42" s="112">
        <f t="shared" si="16"/>
        <v>-12980.120000000024</v>
      </c>
      <c r="J42" s="112">
        <f t="shared" si="16"/>
        <v>-12780.899999999994</v>
      </c>
      <c r="K42" s="112">
        <f t="shared" si="16"/>
        <v>-12984.500000000015</v>
      </c>
      <c r="L42" s="112">
        <f t="shared" si="16"/>
        <v>-5869.3899999999849</v>
      </c>
      <c r="M42" s="112">
        <f t="shared" si="16"/>
        <v>-17164.800000000017</v>
      </c>
      <c r="N42" s="112">
        <v>-146468.78</v>
      </c>
    </row>
    <row r="43" spans="1:14" ht="15.75" thickTop="1">
      <c r="A43" s="64"/>
      <c r="B43" s="22"/>
      <c r="C43" s="22"/>
      <c r="D43" s="22"/>
      <c r="E43" s="22"/>
      <c r="F43" s="22"/>
      <c r="G43" s="22"/>
      <c r="H43" s="22"/>
      <c r="I43" s="22"/>
      <c r="J43" s="22"/>
      <c r="K43" s="22"/>
      <c r="L43" s="22"/>
      <c r="M43" s="22"/>
      <c r="N43" s="22"/>
    </row>
    <row r="44" spans="1:14">
      <c r="A44" s="64" t="s">
        <v>40</v>
      </c>
      <c r="B44" s="22"/>
      <c r="C44" s="22"/>
      <c r="D44" s="22"/>
      <c r="E44" s="22"/>
      <c r="F44" s="22"/>
      <c r="G44" s="22"/>
      <c r="H44" s="22"/>
      <c r="I44" s="22"/>
      <c r="J44" s="22"/>
      <c r="K44" s="22"/>
      <c r="L44" s="22"/>
      <c r="M44" s="22"/>
      <c r="N44" s="22"/>
    </row>
    <row r="45" spans="1:14">
      <c r="A45" s="64"/>
      <c r="B45" s="22"/>
      <c r="C45" s="22"/>
      <c r="D45" s="22"/>
      <c r="E45" s="22"/>
      <c r="F45" s="22"/>
      <c r="G45" s="22"/>
      <c r="H45" s="22"/>
      <c r="I45" s="22"/>
      <c r="J45" s="22"/>
      <c r="K45" s="22"/>
      <c r="L45" s="22"/>
      <c r="M45" s="22"/>
      <c r="N45" s="22"/>
    </row>
    <row r="46" spans="1:14">
      <c r="A46" s="64" t="s">
        <v>41</v>
      </c>
      <c r="B46" s="22"/>
      <c r="C46" s="22"/>
      <c r="D46" s="22"/>
      <c r="E46" s="22"/>
      <c r="F46" s="22"/>
      <c r="G46" s="22"/>
      <c r="H46" s="22"/>
      <c r="I46" s="22"/>
      <c r="J46" s="22"/>
      <c r="K46" s="22"/>
      <c r="L46" s="22"/>
      <c r="M46" s="22"/>
      <c r="N46" s="22"/>
    </row>
    <row r="47" spans="1:14">
      <c r="A47" s="64"/>
      <c r="B47" s="22"/>
      <c r="C47" s="22"/>
      <c r="D47" s="22"/>
      <c r="E47" s="22"/>
      <c r="F47" s="22"/>
      <c r="G47" s="22"/>
      <c r="H47" s="22"/>
      <c r="I47" s="22"/>
      <c r="J47" s="22"/>
      <c r="K47" s="22"/>
      <c r="L47" s="22"/>
      <c r="M47" s="22"/>
      <c r="N47" s="22"/>
    </row>
    <row r="48" spans="1:14">
      <c r="A48" s="64" t="s">
        <v>65</v>
      </c>
      <c r="B48" s="113"/>
      <c r="C48" s="113"/>
      <c r="D48" s="113"/>
      <c r="E48" s="113"/>
      <c r="F48" s="113"/>
      <c r="G48" s="113"/>
      <c r="H48" s="113"/>
      <c r="I48" s="113"/>
      <c r="J48" s="113"/>
      <c r="K48" s="113"/>
      <c r="L48" s="113"/>
      <c r="M48" s="113"/>
      <c r="N48" s="113"/>
    </row>
    <row r="49" spans="1:14">
      <c r="A49" s="64" t="s">
        <v>67</v>
      </c>
      <c r="B49" s="107"/>
      <c r="C49" s="107"/>
      <c r="D49" s="107"/>
      <c r="E49" s="107"/>
      <c r="F49" s="107"/>
      <c r="G49" s="107"/>
      <c r="H49" s="107"/>
      <c r="I49" s="107"/>
      <c r="J49" s="107"/>
      <c r="K49" s="107"/>
      <c r="L49" s="107"/>
      <c r="M49" s="107"/>
      <c r="N49" s="107"/>
    </row>
    <row r="50" spans="1:14">
      <c r="A50" s="64"/>
      <c r="B50" s="22"/>
      <c r="C50" s="22"/>
      <c r="D50" s="22"/>
      <c r="E50" s="22"/>
      <c r="F50" s="22"/>
      <c r="G50" s="22"/>
      <c r="H50" s="22"/>
      <c r="I50" s="22"/>
      <c r="J50" s="22"/>
      <c r="K50" s="22"/>
      <c r="L50" s="22"/>
      <c r="M50" s="22"/>
      <c r="N50" s="22"/>
    </row>
    <row r="51" spans="1:14">
      <c r="A51" s="64" t="s">
        <v>68</v>
      </c>
      <c r="B51" s="113"/>
      <c r="C51" s="113"/>
      <c r="D51" s="113"/>
      <c r="E51" s="113"/>
      <c r="F51" s="113"/>
      <c r="G51" s="113"/>
      <c r="H51" s="113"/>
      <c r="I51" s="113"/>
      <c r="J51" s="113"/>
      <c r="K51" s="113"/>
      <c r="L51" s="113"/>
      <c r="M51" s="113"/>
      <c r="N51" s="113"/>
    </row>
    <row r="52" spans="1:14">
      <c r="A52" s="64" t="s">
        <v>69</v>
      </c>
      <c r="B52" s="107"/>
      <c r="C52" s="107"/>
      <c r="D52" s="107"/>
      <c r="E52" s="107"/>
      <c r="F52" s="107"/>
      <c r="G52" s="107"/>
      <c r="H52" s="107"/>
      <c r="I52" s="107"/>
      <c r="J52" s="107"/>
      <c r="K52" s="107"/>
      <c r="L52" s="107"/>
      <c r="M52" s="107"/>
      <c r="N52" s="107"/>
    </row>
    <row r="53" spans="1:14">
      <c r="A53" s="64"/>
      <c r="B53" s="22"/>
      <c r="C53" s="22"/>
      <c r="D53" s="22"/>
      <c r="E53" s="22"/>
      <c r="F53" s="22"/>
      <c r="G53" s="22"/>
      <c r="H53" s="22"/>
      <c r="I53" s="22"/>
      <c r="J53" s="22"/>
      <c r="K53" s="22"/>
      <c r="L53" s="22"/>
      <c r="M53" s="22"/>
      <c r="N53" s="22"/>
    </row>
    <row r="54" spans="1:14">
      <c r="A54" s="64" t="s">
        <v>70</v>
      </c>
      <c r="B54" s="113"/>
      <c r="C54" s="113"/>
      <c r="D54" s="113"/>
      <c r="E54" s="113"/>
      <c r="F54" s="113"/>
      <c r="G54" s="113"/>
      <c r="H54" s="113"/>
      <c r="I54" s="113"/>
      <c r="J54" s="113"/>
      <c r="K54" s="113"/>
      <c r="L54" s="113"/>
      <c r="M54" s="113"/>
      <c r="N54" s="113"/>
    </row>
    <row r="55" spans="1:14">
      <c r="A55" s="64" t="s">
        <v>71</v>
      </c>
      <c r="B55" s="107"/>
      <c r="C55" s="107"/>
      <c r="D55" s="107"/>
      <c r="E55" s="107"/>
      <c r="F55" s="107"/>
      <c r="G55" s="107"/>
      <c r="H55" s="107"/>
      <c r="I55" s="107"/>
      <c r="J55" s="107"/>
      <c r="K55" s="107"/>
      <c r="L55" s="107"/>
      <c r="M55" s="107"/>
      <c r="N55" s="107"/>
    </row>
    <row r="56" spans="1:14">
      <c r="A56" s="64"/>
      <c r="B56" s="22"/>
      <c r="C56" s="22"/>
      <c r="D56" s="22"/>
      <c r="E56" s="22"/>
      <c r="F56" s="22"/>
      <c r="G56" s="22"/>
      <c r="H56" s="22"/>
      <c r="I56" s="22"/>
      <c r="J56" s="22"/>
      <c r="K56" s="22"/>
      <c r="L56" s="22"/>
      <c r="M56" s="22"/>
      <c r="N56" s="22"/>
    </row>
    <row r="57" spans="1:14">
      <c r="A57" s="64" t="s">
        <v>72</v>
      </c>
      <c r="B57" s="113"/>
      <c r="C57" s="113"/>
      <c r="D57" s="113"/>
      <c r="E57" s="113"/>
      <c r="F57" s="113"/>
      <c r="G57" s="113"/>
      <c r="H57" s="113"/>
      <c r="I57" s="113"/>
      <c r="J57" s="113"/>
      <c r="K57" s="113"/>
      <c r="L57" s="113"/>
      <c r="M57" s="113"/>
      <c r="N57" s="113"/>
    </row>
    <row r="58" spans="1:14">
      <c r="A58" s="64" t="s">
        <v>314</v>
      </c>
      <c r="B58" s="107"/>
      <c r="C58" s="107"/>
      <c r="D58" s="107"/>
      <c r="E58" s="107"/>
      <c r="F58" s="107"/>
      <c r="G58" s="107"/>
      <c r="H58" s="107"/>
      <c r="I58" s="107"/>
      <c r="J58" s="107"/>
      <c r="K58" s="107"/>
      <c r="L58" s="107"/>
      <c r="M58" s="107"/>
      <c r="N58" s="107"/>
    </row>
    <row r="59" spans="1:14">
      <c r="A59" s="64"/>
      <c r="B59" s="22"/>
      <c r="C59" s="22"/>
      <c r="D59" s="22"/>
      <c r="E59" s="22"/>
      <c r="F59" s="22"/>
      <c r="G59" s="22"/>
      <c r="H59" s="22"/>
      <c r="I59" s="22"/>
      <c r="J59" s="22"/>
      <c r="K59" s="22"/>
      <c r="L59" s="22"/>
      <c r="M59" s="22"/>
      <c r="N59" s="22"/>
    </row>
    <row r="60" spans="1:14">
      <c r="A60" s="64" t="s">
        <v>73</v>
      </c>
      <c r="B60" s="113"/>
      <c r="C60" s="113"/>
      <c r="D60" s="113"/>
      <c r="E60" s="113"/>
      <c r="F60" s="113"/>
      <c r="G60" s="113"/>
      <c r="H60" s="113"/>
      <c r="I60" s="113"/>
      <c r="J60" s="113"/>
      <c r="K60" s="113"/>
      <c r="L60" s="113"/>
      <c r="M60" s="113"/>
      <c r="N60" s="113"/>
    </row>
    <row r="61" spans="1:14">
      <c r="A61" s="64" t="s">
        <v>74</v>
      </c>
      <c r="B61" s="107"/>
      <c r="C61" s="107"/>
      <c r="D61" s="107"/>
      <c r="E61" s="107"/>
      <c r="F61" s="107"/>
      <c r="G61" s="107"/>
      <c r="H61" s="107"/>
      <c r="I61" s="107"/>
      <c r="J61" s="107"/>
      <c r="K61" s="107"/>
      <c r="L61" s="107"/>
      <c r="M61" s="107"/>
      <c r="N61" s="107"/>
    </row>
    <row r="62" spans="1:14">
      <c r="A62" s="64"/>
      <c r="B62" s="22"/>
      <c r="C62" s="22"/>
      <c r="D62" s="22"/>
      <c r="E62" s="22"/>
      <c r="F62" s="22"/>
      <c r="G62" s="22"/>
      <c r="H62" s="22"/>
      <c r="I62" s="22"/>
      <c r="J62" s="22"/>
      <c r="K62" s="22"/>
      <c r="L62" s="22"/>
      <c r="M62" s="22"/>
      <c r="N62" s="22"/>
    </row>
    <row r="63" spans="1:14">
      <c r="A63" s="64" t="s">
        <v>75</v>
      </c>
      <c r="B63" s="22"/>
      <c r="C63" s="22"/>
      <c r="D63" s="22"/>
      <c r="E63" s="22"/>
      <c r="F63" s="22"/>
      <c r="G63" s="22"/>
      <c r="H63" s="22"/>
      <c r="I63" s="22"/>
      <c r="J63" s="22"/>
      <c r="K63" s="22"/>
      <c r="L63" s="22"/>
      <c r="M63" s="22"/>
      <c r="N63" s="22"/>
    </row>
    <row r="64" spans="1:14">
      <c r="A64" s="64" t="s">
        <v>66</v>
      </c>
      <c r="B64" s="111">
        <v>71066.8</v>
      </c>
      <c r="C64" s="111">
        <v>75950</v>
      </c>
      <c r="D64" s="111">
        <v>76350</v>
      </c>
      <c r="E64" s="111">
        <v>75950</v>
      </c>
      <c r="F64" s="111">
        <v>73950</v>
      </c>
      <c r="G64" s="111">
        <v>73950</v>
      </c>
      <c r="H64" s="111">
        <v>74550</v>
      </c>
      <c r="I64" s="111">
        <v>77635</v>
      </c>
      <c r="J64" s="111">
        <v>73660</v>
      </c>
      <c r="K64" s="111">
        <v>80560</v>
      </c>
      <c r="L64" s="111">
        <v>81385</v>
      </c>
      <c r="M64" s="111">
        <v>75810</v>
      </c>
      <c r="N64" s="111">
        <v>910816.8</v>
      </c>
    </row>
    <row r="65" spans="1:14">
      <c r="A65" s="64" t="s">
        <v>76</v>
      </c>
      <c r="B65" s="107">
        <f t="shared" ref="B65:M65" si="17">SUM(B62:B64)</f>
        <v>71066.8</v>
      </c>
      <c r="C65" s="107">
        <f t="shared" si="17"/>
        <v>75950</v>
      </c>
      <c r="D65" s="107">
        <f t="shared" si="17"/>
        <v>76350</v>
      </c>
      <c r="E65" s="107">
        <f t="shared" si="17"/>
        <v>75950</v>
      </c>
      <c r="F65" s="107">
        <f t="shared" si="17"/>
        <v>73950</v>
      </c>
      <c r="G65" s="107">
        <f t="shared" si="17"/>
        <v>73950</v>
      </c>
      <c r="H65" s="107">
        <f t="shared" si="17"/>
        <v>74550</v>
      </c>
      <c r="I65" s="107">
        <f t="shared" si="17"/>
        <v>77635</v>
      </c>
      <c r="J65" s="107">
        <f t="shared" si="17"/>
        <v>73660</v>
      </c>
      <c r="K65" s="107">
        <f t="shared" si="17"/>
        <v>80560</v>
      </c>
      <c r="L65" s="107">
        <f t="shared" si="17"/>
        <v>81385</v>
      </c>
      <c r="M65" s="107">
        <f t="shared" si="17"/>
        <v>75810</v>
      </c>
      <c r="N65" s="107">
        <v>910816.8</v>
      </c>
    </row>
    <row r="66" spans="1:14">
      <c r="A66" s="64"/>
      <c r="B66" s="113"/>
      <c r="C66" s="113"/>
      <c r="D66" s="113"/>
      <c r="E66" s="113"/>
      <c r="F66" s="113"/>
      <c r="G66" s="113"/>
      <c r="H66" s="113"/>
      <c r="I66" s="113"/>
      <c r="J66" s="113"/>
      <c r="K66" s="113"/>
      <c r="L66" s="113"/>
      <c r="M66" s="113"/>
      <c r="N66" s="113"/>
    </row>
    <row r="67" spans="1:14">
      <c r="A67" s="64" t="s">
        <v>42</v>
      </c>
      <c r="B67" s="107">
        <f t="shared" ref="B67:M67" si="18">SUM(B48:B66)-B49-B52-B55-B58-B61-B65</f>
        <v>71066.8</v>
      </c>
      <c r="C67" s="107">
        <f t="shared" si="18"/>
        <v>75950</v>
      </c>
      <c r="D67" s="107">
        <f t="shared" si="18"/>
        <v>76350</v>
      </c>
      <c r="E67" s="107">
        <f t="shared" si="18"/>
        <v>75950</v>
      </c>
      <c r="F67" s="107">
        <f t="shared" si="18"/>
        <v>73950</v>
      </c>
      <c r="G67" s="107">
        <f t="shared" si="18"/>
        <v>73950</v>
      </c>
      <c r="H67" s="107">
        <f t="shared" si="18"/>
        <v>74550</v>
      </c>
      <c r="I67" s="107">
        <f t="shared" si="18"/>
        <v>77635</v>
      </c>
      <c r="J67" s="107">
        <f t="shared" si="18"/>
        <v>73660</v>
      </c>
      <c r="K67" s="107">
        <f t="shared" si="18"/>
        <v>80560</v>
      </c>
      <c r="L67" s="107">
        <f t="shared" si="18"/>
        <v>81385</v>
      </c>
      <c r="M67" s="107">
        <f t="shared" si="18"/>
        <v>75810</v>
      </c>
      <c r="N67" s="107">
        <v>910816.8</v>
      </c>
    </row>
    <row r="68" spans="1:14">
      <c r="A68" s="64"/>
      <c r="B68" s="22"/>
      <c r="C68" s="22"/>
      <c r="D68" s="22"/>
      <c r="E68" s="22"/>
      <c r="F68" s="22"/>
      <c r="G68" s="22"/>
      <c r="H68" s="22"/>
      <c r="I68" s="22"/>
      <c r="J68" s="22"/>
      <c r="K68" s="22"/>
      <c r="L68" s="22"/>
      <c r="M68" s="22"/>
      <c r="N68" s="22"/>
    </row>
    <row r="69" spans="1:14">
      <c r="A69" s="64" t="s">
        <v>43</v>
      </c>
      <c r="B69" s="22"/>
      <c r="C69" s="22"/>
      <c r="D69" s="22"/>
      <c r="E69" s="22"/>
      <c r="F69" s="22"/>
      <c r="G69" s="22"/>
      <c r="H69" s="22"/>
      <c r="I69" s="22"/>
      <c r="J69" s="22"/>
      <c r="K69" s="22"/>
      <c r="L69" s="22"/>
      <c r="M69" s="22"/>
      <c r="N69" s="22"/>
    </row>
    <row r="70" spans="1:14">
      <c r="A70" s="64"/>
      <c r="B70" s="22"/>
      <c r="C70" s="22"/>
      <c r="D70" s="22"/>
      <c r="E70" s="22"/>
      <c r="F70" s="22"/>
      <c r="G70" s="22"/>
      <c r="H70" s="22"/>
      <c r="I70" s="22"/>
      <c r="J70" s="22"/>
      <c r="K70" s="22"/>
      <c r="L70" s="22"/>
      <c r="M70" s="22"/>
      <c r="N70" s="22"/>
    </row>
    <row r="71" spans="1:14">
      <c r="A71" s="64" t="s">
        <v>65</v>
      </c>
      <c r="B71" s="113"/>
      <c r="C71" s="113"/>
      <c r="D71" s="113"/>
      <c r="E71" s="113"/>
      <c r="F71" s="113"/>
      <c r="G71" s="113"/>
      <c r="H71" s="113"/>
      <c r="I71" s="113"/>
      <c r="J71" s="113"/>
      <c r="K71" s="113"/>
      <c r="L71" s="113"/>
      <c r="M71" s="113"/>
      <c r="N71" s="113"/>
    </row>
    <row r="72" spans="1:14">
      <c r="A72" s="64" t="s">
        <v>67</v>
      </c>
      <c r="B72" s="107"/>
      <c r="C72" s="107"/>
      <c r="D72" s="107"/>
      <c r="E72" s="107"/>
      <c r="F72" s="107"/>
      <c r="G72" s="107"/>
      <c r="H72" s="107"/>
      <c r="I72" s="107"/>
      <c r="J72" s="107"/>
      <c r="K72" s="107"/>
      <c r="L72" s="107"/>
      <c r="M72" s="107"/>
      <c r="N72" s="107"/>
    </row>
    <row r="73" spans="1:14">
      <c r="A73" s="64"/>
      <c r="B73" s="22"/>
      <c r="C73" s="22"/>
      <c r="D73" s="22"/>
      <c r="E73" s="22"/>
      <c r="F73" s="22"/>
      <c r="G73" s="22"/>
      <c r="H73" s="22"/>
      <c r="I73" s="22"/>
      <c r="J73" s="22"/>
      <c r="K73" s="22"/>
      <c r="L73" s="22"/>
      <c r="M73" s="22"/>
      <c r="N73" s="22"/>
    </row>
    <row r="74" spans="1:14">
      <c r="A74" s="64" t="s">
        <v>68</v>
      </c>
      <c r="B74" s="113"/>
      <c r="C74" s="113"/>
      <c r="D74" s="113"/>
      <c r="E74" s="113"/>
      <c r="F74" s="113"/>
      <c r="G74" s="113"/>
      <c r="H74" s="113"/>
      <c r="I74" s="113"/>
      <c r="J74" s="113"/>
      <c r="K74" s="113"/>
      <c r="L74" s="113"/>
      <c r="M74" s="113"/>
      <c r="N74" s="113"/>
    </row>
    <row r="75" spans="1:14">
      <c r="A75" s="64" t="s">
        <v>69</v>
      </c>
      <c r="B75" s="107"/>
      <c r="C75" s="107"/>
      <c r="D75" s="107"/>
      <c r="E75" s="107"/>
      <c r="F75" s="107"/>
      <c r="G75" s="107"/>
      <c r="H75" s="107"/>
      <c r="I75" s="107"/>
      <c r="J75" s="107"/>
      <c r="K75" s="107"/>
      <c r="L75" s="107"/>
      <c r="M75" s="107"/>
      <c r="N75" s="107"/>
    </row>
    <row r="76" spans="1:14">
      <c r="A76" s="64"/>
      <c r="B76" s="22"/>
      <c r="C76" s="22"/>
      <c r="D76" s="22"/>
      <c r="E76" s="22"/>
      <c r="F76" s="22"/>
      <c r="G76" s="22"/>
      <c r="H76" s="22"/>
      <c r="I76" s="22"/>
      <c r="J76" s="22"/>
      <c r="K76" s="22"/>
      <c r="L76" s="22"/>
      <c r="M76" s="22"/>
      <c r="N76" s="22"/>
    </row>
    <row r="77" spans="1:14">
      <c r="A77" s="64" t="s">
        <v>70</v>
      </c>
      <c r="B77" s="113"/>
      <c r="C77" s="113"/>
      <c r="D77" s="113"/>
      <c r="E77" s="113"/>
      <c r="F77" s="113"/>
      <c r="G77" s="113"/>
      <c r="H77" s="113"/>
      <c r="I77" s="113"/>
      <c r="J77" s="113"/>
      <c r="K77" s="113"/>
      <c r="L77" s="113"/>
      <c r="M77" s="113"/>
      <c r="N77" s="113"/>
    </row>
    <row r="78" spans="1:14">
      <c r="A78" s="64" t="s">
        <v>71</v>
      </c>
      <c r="B78" s="107"/>
      <c r="C78" s="107"/>
      <c r="D78" s="107"/>
      <c r="E78" s="107"/>
      <c r="F78" s="107"/>
      <c r="G78" s="107"/>
      <c r="H78" s="107"/>
      <c r="I78" s="107"/>
      <c r="J78" s="107"/>
      <c r="K78" s="107"/>
      <c r="L78" s="107"/>
      <c r="M78" s="107"/>
      <c r="N78" s="107"/>
    </row>
    <row r="79" spans="1:14">
      <c r="A79" s="64"/>
      <c r="B79" s="22"/>
      <c r="C79" s="22"/>
      <c r="D79" s="22"/>
      <c r="E79" s="22"/>
      <c r="F79" s="22"/>
      <c r="G79" s="22"/>
      <c r="H79" s="22"/>
      <c r="I79" s="22"/>
      <c r="J79" s="22"/>
      <c r="K79" s="22"/>
      <c r="L79" s="22"/>
      <c r="M79" s="22"/>
      <c r="N79" s="22"/>
    </row>
    <row r="80" spans="1:14">
      <c r="A80" s="64" t="s">
        <v>72</v>
      </c>
      <c r="B80" s="113"/>
      <c r="C80" s="113"/>
      <c r="D80" s="113"/>
      <c r="E80" s="113"/>
      <c r="F80" s="113"/>
      <c r="G80" s="113"/>
      <c r="H80" s="113"/>
      <c r="I80" s="113"/>
      <c r="J80" s="113"/>
      <c r="K80" s="113"/>
      <c r="L80" s="113"/>
      <c r="M80" s="113"/>
      <c r="N80" s="113"/>
    </row>
    <row r="81" spans="1:14">
      <c r="A81" s="64" t="s">
        <v>314</v>
      </c>
      <c r="B81" s="107"/>
      <c r="C81" s="107"/>
      <c r="D81" s="107"/>
      <c r="E81" s="107"/>
      <c r="F81" s="107"/>
      <c r="G81" s="107"/>
      <c r="H81" s="107"/>
      <c r="I81" s="107"/>
      <c r="J81" s="107"/>
      <c r="K81" s="107"/>
      <c r="L81" s="107"/>
      <c r="M81" s="107"/>
      <c r="N81" s="107"/>
    </row>
    <row r="82" spans="1:14">
      <c r="A82" s="64"/>
      <c r="B82" s="22"/>
      <c r="C82" s="22"/>
      <c r="D82" s="22"/>
      <c r="E82" s="22"/>
      <c r="F82" s="22"/>
      <c r="G82" s="22"/>
      <c r="H82" s="22"/>
      <c r="I82" s="22"/>
      <c r="J82" s="22"/>
      <c r="K82" s="22"/>
      <c r="L82" s="22"/>
      <c r="M82" s="22"/>
      <c r="N82" s="22"/>
    </row>
    <row r="83" spans="1:14">
      <c r="A83" s="64" t="s">
        <v>73</v>
      </c>
      <c r="B83" s="113"/>
      <c r="C83" s="113"/>
      <c r="D83" s="113"/>
      <c r="E83" s="113"/>
      <c r="F83" s="113"/>
      <c r="G83" s="113"/>
      <c r="H83" s="113"/>
      <c r="I83" s="113"/>
      <c r="J83" s="113"/>
      <c r="K83" s="113"/>
      <c r="L83" s="113"/>
      <c r="M83" s="113"/>
      <c r="N83" s="113"/>
    </row>
    <row r="84" spans="1:14">
      <c r="A84" s="64" t="s">
        <v>74</v>
      </c>
      <c r="B84" s="107"/>
      <c r="C84" s="107"/>
      <c r="D84" s="107"/>
      <c r="E84" s="107"/>
      <c r="F84" s="107"/>
      <c r="G84" s="107"/>
      <c r="H84" s="107"/>
      <c r="I84" s="107"/>
      <c r="J84" s="107"/>
      <c r="K84" s="107"/>
      <c r="L84" s="107"/>
      <c r="M84" s="107"/>
      <c r="N84" s="107"/>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-0.81</v>
      </c>
      <c r="C87" s="113"/>
      <c r="D87" s="111">
        <v>25</v>
      </c>
      <c r="E87" s="111">
        <v>50</v>
      </c>
      <c r="F87" s="111">
        <v>-19.21</v>
      </c>
      <c r="G87" s="113"/>
      <c r="H87" s="113"/>
      <c r="I87" s="113"/>
      <c r="J87" s="113"/>
      <c r="K87" s="113"/>
      <c r="L87" s="113"/>
      <c r="M87" s="111">
        <v>250</v>
      </c>
      <c r="N87" s="111">
        <v>304.98</v>
      </c>
    </row>
    <row r="88" spans="1:14">
      <c r="A88" s="64" t="s">
        <v>76</v>
      </c>
      <c r="B88" s="107">
        <f>SUM(B85:B87)</f>
        <v>-0.81</v>
      </c>
      <c r="C88" s="107"/>
      <c r="D88" s="107">
        <f>SUM(D85:D87)</f>
        <v>25</v>
      </c>
      <c r="E88" s="107">
        <f>SUM(E85:E87)</f>
        <v>50</v>
      </c>
      <c r="F88" s="107">
        <f>SUM(F85:F87)</f>
        <v>-19.21</v>
      </c>
      <c r="G88" s="107"/>
      <c r="H88" s="107"/>
      <c r="I88" s="107"/>
      <c r="J88" s="107"/>
      <c r="K88" s="107"/>
      <c r="L88" s="107"/>
      <c r="M88" s="107">
        <f>SUM(M85:M87)</f>
        <v>250</v>
      </c>
      <c r="N88" s="107">
        <v>304.98</v>
      </c>
    </row>
    <row r="89" spans="1:14">
      <c r="A89" s="64"/>
      <c r="B89" s="113"/>
      <c r="C89" s="113"/>
      <c r="D89" s="113"/>
      <c r="E89" s="113"/>
      <c r="F89" s="113"/>
      <c r="G89" s="113"/>
      <c r="H89" s="113"/>
      <c r="I89" s="113"/>
      <c r="J89" s="113"/>
      <c r="K89" s="113"/>
      <c r="L89" s="113"/>
      <c r="M89" s="113"/>
      <c r="N89" s="113"/>
    </row>
    <row r="90" spans="1:14">
      <c r="A90" s="64" t="s">
        <v>44</v>
      </c>
      <c r="B90" s="107">
        <f>SUM(B69:B89)-B72-B75-B78-B81-B84-B88</f>
        <v>-0.81</v>
      </c>
      <c r="C90" s="107"/>
      <c r="D90" s="107">
        <f>SUM(D69:D89)-D72-D75-D78-D81-D84-D88</f>
        <v>25</v>
      </c>
      <c r="E90" s="107">
        <f>SUM(E69:E89)-E72-E75-E78-E81-E84-E88</f>
        <v>50</v>
      </c>
      <c r="F90" s="107">
        <f>SUM(F69:F89)-F72-F75-F78-F81-F84-F88</f>
        <v>-19.21</v>
      </c>
      <c r="G90" s="107"/>
      <c r="H90" s="107"/>
      <c r="I90" s="107"/>
      <c r="J90" s="107"/>
      <c r="K90" s="107"/>
      <c r="L90" s="107"/>
      <c r="M90" s="107">
        <f>SUM(M69:M89)-M72-M75-M78-M81-M84-M88</f>
        <v>250</v>
      </c>
      <c r="N90" s="107">
        <v>304.98</v>
      </c>
    </row>
    <row r="91" spans="1:14">
      <c r="A91" s="64"/>
      <c r="B91" s="22"/>
      <c r="C91" s="22"/>
      <c r="D91" s="22"/>
      <c r="E91" s="22"/>
      <c r="F91" s="22"/>
      <c r="G91" s="22"/>
      <c r="H91" s="22"/>
      <c r="I91" s="22"/>
      <c r="J91" s="22"/>
      <c r="K91" s="22"/>
      <c r="L91" s="22"/>
      <c r="M91" s="22"/>
      <c r="N91" s="22"/>
    </row>
    <row r="92" spans="1:14">
      <c r="A92" s="64" t="s">
        <v>45</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19</v>
      </c>
      <c r="B94" s="22"/>
      <c r="C94" s="22"/>
      <c r="D94" s="22"/>
      <c r="E94" s="22"/>
      <c r="F94" s="22"/>
      <c r="G94" s="22"/>
      <c r="H94" s="22"/>
      <c r="I94" s="22"/>
      <c r="J94" s="22"/>
      <c r="K94" s="22"/>
      <c r="L94" s="22"/>
      <c r="M94" s="22"/>
      <c r="N94" s="22"/>
    </row>
    <row r="95" spans="1:14">
      <c r="A95" s="64" t="s">
        <v>354</v>
      </c>
      <c r="B95" s="113"/>
      <c r="C95" s="113"/>
      <c r="D95" s="113"/>
      <c r="E95" s="113"/>
      <c r="F95" s="113"/>
      <c r="G95" s="113"/>
      <c r="H95" s="113"/>
      <c r="I95" s="113"/>
      <c r="J95" s="113"/>
      <c r="K95" s="113"/>
      <c r="L95" s="113"/>
      <c r="M95" s="113"/>
      <c r="N95" s="113"/>
    </row>
    <row r="96" spans="1:14">
      <c r="A96" s="64"/>
      <c r="B96" s="22"/>
      <c r="C96" s="22"/>
      <c r="D96" s="22"/>
      <c r="E96" s="22"/>
      <c r="F96" s="22"/>
      <c r="G96" s="22"/>
      <c r="H96" s="22"/>
      <c r="I96" s="22"/>
      <c r="J96" s="22"/>
      <c r="K96" s="22"/>
      <c r="L96" s="22"/>
      <c r="M96" s="22"/>
      <c r="N96" s="22"/>
    </row>
    <row r="97" spans="1:14">
      <c r="A97" s="64" t="s">
        <v>20</v>
      </c>
      <c r="B97" s="113"/>
      <c r="C97" s="113"/>
      <c r="D97" s="113"/>
      <c r="E97" s="113"/>
      <c r="F97" s="113"/>
      <c r="G97" s="113"/>
      <c r="H97" s="113"/>
      <c r="I97" s="113"/>
      <c r="J97" s="113"/>
      <c r="K97" s="113"/>
      <c r="L97" s="113"/>
      <c r="M97" s="113"/>
      <c r="N97" s="113"/>
    </row>
    <row r="98" spans="1:14">
      <c r="A98" s="64"/>
      <c r="B98" s="22"/>
      <c r="C98" s="22"/>
      <c r="D98" s="22"/>
      <c r="E98" s="22"/>
      <c r="F98" s="22"/>
      <c r="G98" s="22"/>
      <c r="H98" s="22"/>
      <c r="I98" s="22"/>
      <c r="J98" s="22"/>
      <c r="K98" s="22"/>
      <c r="L98" s="22"/>
      <c r="M98" s="22"/>
      <c r="N98" s="22"/>
    </row>
    <row r="99" spans="1:14">
      <c r="A99" s="64" t="s">
        <v>88</v>
      </c>
      <c r="B99" s="113"/>
      <c r="C99" s="113"/>
      <c r="D99" s="113"/>
      <c r="E99" s="113"/>
      <c r="F99" s="113"/>
      <c r="G99" s="113"/>
      <c r="H99" s="113"/>
      <c r="I99" s="113"/>
      <c r="J99" s="113"/>
      <c r="K99" s="113"/>
      <c r="L99" s="113"/>
      <c r="M99" s="113"/>
      <c r="N99" s="113"/>
    </row>
    <row r="100" spans="1:14">
      <c r="A100" s="64"/>
      <c r="B100" s="22"/>
      <c r="C100" s="22"/>
      <c r="D100" s="22"/>
      <c r="E100" s="22"/>
      <c r="F100" s="22"/>
      <c r="G100" s="22"/>
      <c r="H100" s="22"/>
      <c r="I100" s="22"/>
      <c r="J100" s="22"/>
      <c r="K100" s="22"/>
      <c r="L100" s="22"/>
      <c r="M100" s="22"/>
      <c r="N100" s="22"/>
    </row>
    <row r="101" spans="1:14">
      <c r="A101" s="64" t="s">
        <v>99</v>
      </c>
      <c r="B101" s="113"/>
      <c r="C101" s="113"/>
      <c r="D101" s="113"/>
      <c r="E101" s="113"/>
      <c r="F101" s="113"/>
      <c r="G101" s="113"/>
      <c r="H101" s="113"/>
      <c r="I101" s="113"/>
      <c r="J101" s="113"/>
      <c r="K101" s="113"/>
      <c r="L101" s="113"/>
      <c r="M101" s="113"/>
      <c r="N101" s="113"/>
    </row>
    <row r="102" spans="1:14">
      <c r="A102" s="64"/>
      <c r="B102" s="22"/>
      <c r="C102" s="22"/>
      <c r="D102" s="22"/>
      <c r="E102" s="22"/>
      <c r="F102" s="22"/>
      <c r="G102" s="22"/>
      <c r="H102" s="22"/>
      <c r="I102" s="22"/>
      <c r="J102" s="22"/>
      <c r="K102" s="22"/>
      <c r="L102" s="22"/>
      <c r="M102" s="22"/>
      <c r="N102" s="22"/>
    </row>
    <row r="103" spans="1:14">
      <c r="A103" s="64" t="s">
        <v>105</v>
      </c>
      <c r="B103" s="113"/>
      <c r="C103" s="113"/>
      <c r="D103" s="113"/>
      <c r="E103" s="113"/>
      <c r="F103" s="113"/>
      <c r="G103" s="113"/>
      <c r="H103" s="113"/>
      <c r="I103" s="113"/>
      <c r="J103" s="113"/>
      <c r="K103" s="113"/>
      <c r="L103" s="113"/>
      <c r="M103" s="113"/>
      <c r="N103" s="113"/>
    </row>
    <row r="104" spans="1:14">
      <c r="A104" s="64"/>
      <c r="B104" s="22"/>
      <c r="C104" s="22"/>
      <c r="D104" s="22"/>
      <c r="E104" s="22"/>
      <c r="F104" s="22"/>
      <c r="G104" s="22"/>
      <c r="H104" s="22"/>
      <c r="I104" s="22"/>
      <c r="J104" s="22"/>
      <c r="K104" s="22"/>
      <c r="L104" s="22"/>
      <c r="M104" s="22"/>
      <c r="N104" s="22"/>
    </row>
    <row r="105" spans="1:14">
      <c r="A105" s="64" t="s">
        <v>106</v>
      </c>
      <c r="B105" s="113"/>
      <c r="C105" s="113"/>
      <c r="D105" s="113"/>
      <c r="E105" s="113"/>
      <c r="F105" s="113"/>
      <c r="G105" s="113"/>
      <c r="H105" s="113"/>
      <c r="I105" s="113"/>
      <c r="J105" s="113"/>
      <c r="K105" s="113"/>
      <c r="L105" s="113"/>
      <c r="M105" s="113"/>
      <c r="N105" s="113"/>
    </row>
    <row r="106" spans="1:14">
      <c r="A106" s="64"/>
      <c r="B106" s="22"/>
      <c r="C106" s="22"/>
      <c r="D106" s="22"/>
      <c r="E106" s="22"/>
      <c r="F106" s="22"/>
      <c r="G106" s="22"/>
      <c r="H106" s="22"/>
      <c r="I106" s="22"/>
      <c r="J106" s="22"/>
      <c r="K106" s="22"/>
      <c r="L106" s="22"/>
      <c r="M106" s="22"/>
      <c r="N106" s="22"/>
    </row>
    <row r="107" spans="1:14">
      <c r="A107" s="64" t="s">
        <v>117</v>
      </c>
      <c r="B107" s="22"/>
      <c r="C107" s="22"/>
      <c r="D107" s="22"/>
      <c r="E107" s="22"/>
      <c r="F107" s="22"/>
      <c r="G107" s="22"/>
      <c r="H107" s="22"/>
      <c r="I107" s="22"/>
      <c r="J107" s="22"/>
      <c r="K107" s="22"/>
      <c r="L107" s="22"/>
      <c r="M107" s="22"/>
      <c r="N107" s="22"/>
    </row>
    <row r="108" spans="1:14">
      <c r="A108" s="64" t="s">
        <v>282</v>
      </c>
      <c r="B108" s="113"/>
      <c r="C108" s="113"/>
      <c r="D108" s="113"/>
      <c r="E108" s="113"/>
      <c r="F108" s="113"/>
      <c r="G108" s="113"/>
      <c r="H108" s="113"/>
      <c r="I108" s="113"/>
      <c r="J108" s="113"/>
      <c r="K108" s="113"/>
      <c r="L108" s="113"/>
      <c r="M108" s="113"/>
      <c r="N108" s="113"/>
    </row>
    <row r="109" spans="1:14">
      <c r="A109" s="64"/>
      <c r="B109" s="22"/>
      <c r="C109" s="22"/>
      <c r="D109" s="22"/>
      <c r="E109" s="22"/>
      <c r="F109" s="22"/>
      <c r="G109" s="22"/>
      <c r="H109" s="22"/>
      <c r="I109" s="22"/>
      <c r="J109" s="22"/>
      <c r="K109" s="22"/>
      <c r="L109" s="22"/>
      <c r="M109" s="22"/>
      <c r="N109" s="22"/>
    </row>
    <row r="110" spans="1:14">
      <c r="A110" s="64"/>
      <c r="B110" s="22"/>
      <c r="C110" s="22"/>
      <c r="D110" s="22"/>
      <c r="E110" s="22"/>
      <c r="F110" s="22"/>
      <c r="G110" s="22"/>
      <c r="H110" s="22"/>
      <c r="I110" s="22"/>
      <c r="J110" s="22"/>
      <c r="K110" s="22"/>
      <c r="L110" s="22"/>
      <c r="M110" s="22"/>
      <c r="N110" s="22"/>
    </row>
    <row r="111" spans="1:14">
      <c r="A111" s="64" t="s">
        <v>48</v>
      </c>
      <c r="B111" s="22"/>
      <c r="C111" s="22"/>
      <c r="D111" s="22"/>
      <c r="E111" s="22"/>
      <c r="F111" s="22"/>
      <c r="G111" s="22"/>
      <c r="H111" s="22"/>
      <c r="I111" s="22"/>
      <c r="J111" s="22"/>
      <c r="K111" s="22"/>
      <c r="L111" s="22"/>
      <c r="M111" s="22"/>
      <c r="N111" s="22"/>
    </row>
    <row r="112" spans="1:14">
      <c r="A112" s="64" t="s">
        <v>128</v>
      </c>
      <c r="B112" s="22"/>
      <c r="C112" s="22"/>
      <c r="D112" s="22"/>
      <c r="E112" s="22"/>
      <c r="F112" s="22"/>
      <c r="G112" s="107">
        <v>100</v>
      </c>
      <c r="H112" s="22"/>
      <c r="I112" s="22"/>
      <c r="J112" s="22"/>
      <c r="K112" s="22"/>
      <c r="L112" s="22"/>
      <c r="M112" s="22"/>
      <c r="N112" s="107">
        <v>100</v>
      </c>
    </row>
    <row r="113" spans="1:14">
      <c r="A113" s="64" t="s">
        <v>129</v>
      </c>
      <c r="B113" s="107">
        <v>200</v>
      </c>
      <c r="C113" s="107">
        <v>200</v>
      </c>
      <c r="D113" s="107">
        <v>200</v>
      </c>
      <c r="E113" s="107">
        <v>200</v>
      </c>
      <c r="F113" s="107">
        <v>200</v>
      </c>
      <c r="G113" s="107">
        <v>200</v>
      </c>
      <c r="H113" s="22"/>
      <c r="I113" s="107">
        <v>400</v>
      </c>
      <c r="J113" s="107">
        <v>200</v>
      </c>
      <c r="K113" s="22"/>
      <c r="L113" s="107">
        <v>200</v>
      </c>
      <c r="M113" s="22"/>
      <c r="N113" s="107">
        <v>2000</v>
      </c>
    </row>
    <row r="114" spans="1:14">
      <c r="A114" s="64" t="s">
        <v>131</v>
      </c>
      <c r="B114" s="107">
        <v>225.81</v>
      </c>
      <c r="C114" s="107">
        <v>150</v>
      </c>
      <c r="D114" s="107">
        <v>225</v>
      </c>
      <c r="E114" s="107">
        <v>175</v>
      </c>
      <c r="F114" s="107">
        <v>225</v>
      </c>
      <c r="G114" s="107">
        <v>200</v>
      </c>
      <c r="H114" s="107">
        <v>225</v>
      </c>
      <c r="I114" s="107">
        <v>150</v>
      </c>
      <c r="J114" s="107">
        <v>250</v>
      </c>
      <c r="K114" s="107">
        <v>275</v>
      </c>
      <c r="L114" s="107">
        <v>275</v>
      </c>
      <c r="M114" s="107">
        <v>275</v>
      </c>
      <c r="N114" s="107">
        <v>2650.81</v>
      </c>
    </row>
    <row r="115" spans="1:14">
      <c r="A115" s="64" t="s">
        <v>132</v>
      </c>
      <c r="B115" s="111">
        <v>3000</v>
      </c>
      <c r="C115" s="111">
        <v>1500</v>
      </c>
      <c r="D115" s="113"/>
      <c r="E115" s="111">
        <v>3165</v>
      </c>
      <c r="F115" s="113"/>
      <c r="G115" s="111">
        <v>4500</v>
      </c>
      <c r="H115" s="111">
        <v>1000</v>
      </c>
      <c r="I115" s="111">
        <v>2285</v>
      </c>
      <c r="J115" s="111">
        <v>6625</v>
      </c>
      <c r="K115" s="111">
        <v>3705</v>
      </c>
      <c r="L115" s="111">
        <v>2741.64</v>
      </c>
      <c r="M115" s="111">
        <v>480</v>
      </c>
      <c r="N115" s="111">
        <v>29001.64</v>
      </c>
    </row>
    <row r="116" spans="1:14">
      <c r="A116" s="64" t="s">
        <v>135</v>
      </c>
      <c r="B116" s="107">
        <f t="shared" ref="B116:M116" si="19">SUM(B110:B115)</f>
        <v>3425.81</v>
      </c>
      <c r="C116" s="107">
        <f t="shared" si="19"/>
        <v>1850</v>
      </c>
      <c r="D116" s="107">
        <f t="shared" si="19"/>
        <v>425</v>
      </c>
      <c r="E116" s="107">
        <f t="shared" si="19"/>
        <v>3540</v>
      </c>
      <c r="F116" s="107">
        <f t="shared" si="19"/>
        <v>425</v>
      </c>
      <c r="G116" s="107">
        <f t="shared" si="19"/>
        <v>5000</v>
      </c>
      <c r="H116" s="107">
        <f t="shared" si="19"/>
        <v>1225</v>
      </c>
      <c r="I116" s="107">
        <f t="shared" si="19"/>
        <v>2835</v>
      </c>
      <c r="J116" s="107">
        <f t="shared" si="19"/>
        <v>7075</v>
      </c>
      <c r="K116" s="107">
        <f t="shared" si="19"/>
        <v>3980</v>
      </c>
      <c r="L116" s="107">
        <f t="shared" si="19"/>
        <v>3216.64</v>
      </c>
      <c r="M116" s="107">
        <f t="shared" si="19"/>
        <v>755</v>
      </c>
      <c r="N116" s="107">
        <v>33752.449999999997</v>
      </c>
    </row>
    <row r="117" spans="1:14">
      <c r="A117" s="64"/>
      <c r="B117" s="22"/>
      <c r="C117" s="22"/>
      <c r="D117" s="22"/>
      <c r="E117" s="22"/>
      <c r="F117" s="22"/>
      <c r="G117" s="22"/>
      <c r="H117" s="22"/>
      <c r="I117" s="22"/>
      <c r="J117" s="22"/>
      <c r="K117" s="22"/>
      <c r="L117" s="22"/>
      <c r="M117" s="22"/>
      <c r="N117" s="22"/>
    </row>
    <row r="118" spans="1:14" ht="15.75" thickBot="1">
      <c r="A118" s="64" t="s">
        <v>13</v>
      </c>
      <c r="B118" s="112">
        <f t="shared" ref="B118:M118" si="20">SUM(B48:B117)-B49-B52-B55-B58-B61-B65-B67-B72-B75-B78-B81-B84-B88-B90-0-0-0-0-0-0-0-0-B116</f>
        <v>74491.800000000032</v>
      </c>
      <c r="C118" s="112">
        <f t="shared" si="20"/>
        <v>77800</v>
      </c>
      <c r="D118" s="112">
        <f t="shared" si="20"/>
        <v>76800</v>
      </c>
      <c r="E118" s="112">
        <f t="shared" si="20"/>
        <v>79540</v>
      </c>
      <c r="F118" s="112">
        <f t="shared" si="20"/>
        <v>74355.790000000037</v>
      </c>
      <c r="G118" s="112">
        <f t="shared" si="20"/>
        <v>78950</v>
      </c>
      <c r="H118" s="112">
        <f t="shared" si="20"/>
        <v>75775</v>
      </c>
      <c r="I118" s="112">
        <f t="shared" si="20"/>
        <v>80470</v>
      </c>
      <c r="J118" s="112">
        <f t="shared" si="20"/>
        <v>80735</v>
      </c>
      <c r="K118" s="112">
        <f t="shared" si="20"/>
        <v>84540</v>
      </c>
      <c r="L118" s="112">
        <f t="shared" si="20"/>
        <v>84601.640000000029</v>
      </c>
      <c r="M118" s="112">
        <f t="shared" si="20"/>
        <v>76815</v>
      </c>
      <c r="N118" s="112">
        <v>944874.23</v>
      </c>
    </row>
    <row r="119" spans="1:14" ht="15.75" thickTop="1">
      <c r="A119" s="64"/>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14</v>
      </c>
      <c r="B121" s="22"/>
      <c r="C121" s="22"/>
      <c r="D121" s="22"/>
      <c r="E121" s="22"/>
      <c r="F121" s="22"/>
      <c r="G121" s="22"/>
      <c r="H121" s="22"/>
      <c r="I121" s="22"/>
      <c r="J121" s="22"/>
      <c r="K121" s="22"/>
      <c r="L121" s="22"/>
      <c r="M121" s="22"/>
      <c r="N121" s="22"/>
    </row>
    <row r="122" spans="1:14">
      <c r="A122" s="64"/>
      <c r="B122" s="22"/>
      <c r="C122" s="22"/>
      <c r="D122" s="22"/>
      <c r="E122" s="22"/>
      <c r="F122" s="22"/>
      <c r="G122" s="22"/>
      <c r="H122" s="22"/>
      <c r="I122" s="22"/>
      <c r="J122" s="22"/>
      <c r="K122" s="22"/>
      <c r="L122" s="22"/>
      <c r="M122" s="22"/>
      <c r="N122" s="22"/>
    </row>
    <row r="123" spans="1:14">
      <c r="A123" s="64" t="s">
        <v>136</v>
      </c>
      <c r="B123" s="22"/>
      <c r="C123" s="22"/>
      <c r="D123" s="22"/>
      <c r="E123" s="22"/>
      <c r="F123" s="22"/>
      <c r="G123" s="22"/>
      <c r="H123" s="22"/>
      <c r="I123" s="22"/>
      <c r="J123" s="22"/>
      <c r="K123" s="22"/>
      <c r="L123" s="22"/>
      <c r="M123" s="22"/>
      <c r="N123" s="22"/>
    </row>
    <row r="124" spans="1:14">
      <c r="A124" s="64" t="s">
        <v>145</v>
      </c>
      <c r="B124" s="107">
        <v>2781.57</v>
      </c>
      <c r="C124" s="107">
        <v>2707</v>
      </c>
      <c r="D124" s="107">
        <v>2749.72</v>
      </c>
      <c r="E124" s="107">
        <v>2803.71</v>
      </c>
      <c r="F124" s="107">
        <v>2133</v>
      </c>
      <c r="G124" s="107">
        <v>2379.86</v>
      </c>
      <c r="H124" s="107">
        <v>2429.4299999999998</v>
      </c>
      <c r="I124" s="107">
        <v>2971.58</v>
      </c>
      <c r="J124" s="107">
        <v>2771.19</v>
      </c>
      <c r="K124" s="107">
        <v>2543.0300000000002</v>
      </c>
      <c r="L124" s="107">
        <v>2851.46</v>
      </c>
      <c r="M124" s="107">
        <v>2451.5</v>
      </c>
      <c r="N124" s="107">
        <v>31573.05</v>
      </c>
    </row>
    <row r="125" spans="1:14">
      <c r="A125" s="64" t="s">
        <v>150</v>
      </c>
      <c r="B125" s="107">
        <v>1849.77</v>
      </c>
      <c r="C125" s="107">
        <v>1779.84</v>
      </c>
      <c r="D125" s="107">
        <v>1895.93</v>
      </c>
      <c r="E125" s="107">
        <v>1850.35</v>
      </c>
      <c r="F125" s="107">
        <v>1694.59</v>
      </c>
      <c r="G125" s="107">
        <v>514.05999999999995</v>
      </c>
      <c r="H125" s="107">
        <v>888.5</v>
      </c>
      <c r="I125" s="107">
        <v>1286.6199999999999</v>
      </c>
      <c r="J125" s="107">
        <v>1191.92</v>
      </c>
      <c r="K125" s="107">
        <v>1013.99</v>
      </c>
      <c r="L125" s="107">
        <v>1273.6300000000001</v>
      </c>
      <c r="M125" s="107">
        <v>1457.61</v>
      </c>
      <c r="N125" s="107">
        <v>16696.810000000001</v>
      </c>
    </row>
    <row r="126" spans="1:14">
      <c r="A126" s="64" t="s">
        <v>152</v>
      </c>
      <c r="B126" s="107">
        <v>7361.4</v>
      </c>
      <c r="C126" s="107">
        <v>6761.72</v>
      </c>
      <c r="D126" s="107">
        <v>7155.95</v>
      </c>
      <c r="E126" s="107">
        <v>5826.26</v>
      </c>
      <c r="F126" s="107">
        <v>7136.04</v>
      </c>
      <c r="G126" s="107">
        <v>8420.23</v>
      </c>
      <c r="H126" s="107">
        <v>7603.76</v>
      </c>
      <c r="I126" s="107">
        <v>7932.1</v>
      </c>
      <c r="J126" s="107">
        <v>7566.22</v>
      </c>
      <c r="K126" s="107">
        <v>7963.82</v>
      </c>
      <c r="L126" s="107">
        <v>8563.2800000000007</v>
      </c>
      <c r="M126" s="107">
        <v>7945.07</v>
      </c>
      <c r="N126" s="107">
        <v>90235.85</v>
      </c>
    </row>
    <row r="127" spans="1:14">
      <c r="A127" s="64" t="s">
        <v>153</v>
      </c>
      <c r="B127" s="107">
        <v>2466.6999999999998</v>
      </c>
      <c r="C127" s="107">
        <v>2295</v>
      </c>
      <c r="D127" s="107">
        <v>2642.15</v>
      </c>
      <c r="E127" s="107">
        <v>1935.53</v>
      </c>
      <c r="F127" s="107">
        <v>2458.8000000000002</v>
      </c>
      <c r="G127" s="107">
        <v>1470.94</v>
      </c>
      <c r="H127" s="107">
        <v>2143.9299999999998</v>
      </c>
      <c r="I127" s="107">
        <v>2287.23</v>
      </c>
      <c r="J127" s="107">
        <v>2167.23</v>
      </c>
      <c r="K127" s="107">
        <v>1860.43</v>
      </c>
      <c r="L127" s="107">
        <v>1675.28</v>
      </c>
      <c r="M127" s="107">
        <v>2012.69</v>
      </c>
      <c r="N127" s="107">
        <v>25415.91</v>
      </c>
    </row>
    <row r="128" spans="1:14">
      <c r="A128" s="64" t="s">
        <v>154</v>
      </c>
      <c r="B128" s="107">
        <v>5385.14</v>
      </c>
      <c r="C128" s="107">
        <v>5381.15</v>
      </c>
      <c r="D128" s="107">
        <v>5544.57</v>
      </c>
      <c r="E128" s="107">
        <v>5365.71</v>
      </c>
      <c r="F128" s="107">
        <v>4292.57</v>
      </c>
      <c r="G128" s="107">
        <v>4986.17</v>
      </c>
      <c r="H128" s="107">
        <v>5008</v>
      </c>
      <c r="I128" s="107">
        <v>5544.58</v>
      </c>
      <c r="J128" s="107">
        <v>5365.71</v>
      </c>
      <c r="K128" s="107">
        <v>4793.37</v>
      </c>
      <c r="L128" s="107">
        <v>4864.92</v>
      </c>
      <c r="M128" s="107">
        <v>5660.05</v>
      </c>
      <c r="N128" s="107">
        <v>62191.94</v>
      </c>
    </row>
    <row r="129" spans="1:14">
      <c r="A129" s="64" t="s">
        <v>155</v>
      </c>
      <c r="B129" s="111">
        <v>1318.57</v>
      </c>
      <c r="C129" s="111">
        <v>1334.37</v>
      </c>
      <c r="D129" s="111">
        <v>1342.38</v>
      </c>
      <c r="E129" s="111">
        <v>1220.3499999999999</v>
      </c>
      <c r="F129" s="111">
        <v>1631.85</v>
      </c>
      <c r="G129" s="111">
        <v>1304.6400000000001</v>
      </c>
      <c r="H129" s="111">
        <v>1116.5</v>
      </c>
      <c r="I129" s="111">
        <v>1724.23</v>
      </c>
      <c r="J129" s="111">
        <v>1723.23</v>
      </c>
      <c r="K129" s="111">
        <v>1349.81</v>
      </c>
      <c r="L129" s="111">
        <v>1933.48</v>
      </c>
      <c r="M129" s="111">
        <v>1756.03</v>
      </c>
      <c r="N129" s="111">
        <v>17755.439999999999</v>
      </c>
    </row>
    <row r="130" spans="1:14">
      <c r="A130" s="64" t="s">
        <v>156</v>
      </c>
      <c r="B130" s="107">
        <f t="shared" ref="B130:M130" si="21">SUM(B119:B129)</f>
        <v>21163.149999999998</v>
      </c>
      <c r="C130" s="107">
        <f t="shared" si="21"/>
        <v>20259.079999999998</v>
      </c>
      <c r="D130" s="107">
        <f t="shared" si="21"/>
        <v>21330.7</v>
      </c>
      <c r="E130" s="107">
        <f t="shared" si="21"/>
        <v>19001.91</v>
      </c>
      <c r="F130" s="107">
        <f t="shared" si="21"/>
        <v>19346.849999999999</v>
      </c>
      <c r="G130" s="107">
        <f t="shared" si="21"/>
        <v>19075.900000000001</v>
      </c>
      <c r="H130" s="107">
        <f t="shared" si="21"/>
        <v>19190.120000000003</v>
      </c>
      <c r="I130" s="107">
        <f t="shared" si="21"/>
        <v>21746.34</v>
      </c>
      <c r="J130" s="107">
        <f t="shared" si="21"/>
        <v>20785.5</v>
      </c>
      <c r="K130" s="107">
        <f t="shared" si="21"/>
        <v>19524.45</v>
      </c>
      <c r="L130" s="107">
        <f t="shared" si="21"/>
        <v>21162.05</v>
      </c>
      <c r="M130" s="107">
        <f t="shared" si="21"/>
        <v>21282.95</v>
      </c>
      <c r="N130" s="107">
        <v>243869</v>
      </c>
    </row>
    <row r="131" spans="1:14">
      <c r="A131" s="64"/>
      <c r="B131" s="22"/>
      <c r="C131" s="22"/>
      <c r="D131" s="22"/>
      <c r="E131" s="22"/>
      <c r="F131" s="22"/>
      <c r="G131" s="22"/>
      <c r="H131" s="22"/>
      <c r="I131" s="22"/>
      <c r="J131" s="22"/>
      <c r="K131" s="22"/>
      <c r="L131" s="22"/>
      <c r="M131" s="22"/>
      <c r="N131" s="22"/>
    </row>
    <row r="132" spans="1:14">
      <c r="A132" s="64"/>
      <c r="B132" s="22"/>
      <c r="C132" s="22"/>
      <c r="D132" s="22"/>
      <c r="E132" s="22"/>
      <c r="F132" s="22"/>
      <c r="G132" s="22"/>
      <c r="H132" s="22"/>
      <c r="I132" s="22"/>
      <c r="J132" s="22"/>
      <c r="K132" s="22"/>
      <c r="L132" s="22"/>
      <c r="M132" s="22"/>
      <c r="N132" s="22"/>
    </row>
    <row r="133" spans="1:14">
      <c r="A133" s="64" t="s">
        <v>157</v>
      </c>
      <c r="B133" s="113"/>
      <c r="C133" s="113"/>
      <c r="D133" s="113"/>
      <c r="E133" s="113"/>
      <c r="F133" s="113"/>
      <c r="G133" s="113"/>
      <c r="H133" s="113"/>
      <c r="I133" s="113"/>
      <c r="J133" s="113"/>
      <c r="K133" s="113"/>
      <c r="L133" s="113"/>
      <c r="M133" s="113"/>
      <c r="N133" s="113"/>
    </row>
    <row r="134" spans="1:14">
      <c r="A134" s="64"/>
      <c r="B134" s="22"/>
      <c r="C134" s="22"/>
      <c r="D134" s="22"/>
      <c r="E134" s="22"/>
      <c r="F134" s="22"/>
      <c r="G134" s="22"/>
      <c r="H134" s="22"/>
      <c r="I134" s="22"/>
      <c r="J134" s="22"/>
      <c r="K134" s="22"/>
      <c r="L134" s="22"/>
      <c r="M134" s="22"/>
      <c r="N134" s="22"/>
    </row>
    <row r="135" spans="1:14">
      <c r="A135" s="64" t="s">
        <v>163</v>
      </c>
      <c r="B135" s="22"/>
      <c r="C135" s="22"/>
      <c r="D135" s="22"/>
      <c r="E135" s="22"/>
      <c r="F135" s="22"/>
      <c r="G135" s="22"/>
      <c r="H135" s="22"/>
      <c r="I135" s="22"/>
      <c r="J135" s="22"/>
      <c r="K135" s="22"/>
      <c r="L135" s="22"/>
      <c r="M135" s="22"/>
      <c r="N135" s="22"/>
    </row>
    <row r="136" spans="1:14">
      <c r="A136" s="64" t="s">
        <v>164</v>
      </c>
      <c r="B136" s="107">
        <v>1563.02</v>
      </c>
      <c r="C136" s="107">
        <v>1524.75</v>
      </c>
      <c r="D136" s="107">
        <v>1574.92</v>
      </c>
      <c r="E136" s="107">
        <v>1528.81</v>
      </c>
      <c r="F136" s="107">
        <v>1580.12</v>
      </c>
      <c r="G136" s="107">
        <v>1618.8</v>
      </c>
      <c r="H136" s="107">
        <v>1422.86</v>
      </c>
      <c r="I136" s="107">
        <v>1587.29</v>
      </c>
      <c r="J136" s="107">
        <v>1530.14</v>
      </c>
      <c r="K136" s="107">
        <v>1584.45</v>
      </c>
      <c r="L136" s="107">
        <v>1590.04</v>
      </c>
      <c r="M136" s="107">
        <v>1656.96</v>
      </c>
      <c r="N136" s="107">
        <v>18762.16</v>
      </c>
    </row>
    <row r="137" spans="1:14">
      <c r="A137" s="64" t="s">
        <v>165</v>
      </c>
      <c r="B137" s="107">
        <v>160.55000000000001</v>
      </c>
      <c r="C137" s="107">
        <v>119.46</v>
      </c>
      <c r="D137" s="107">
        <v>109.8</v>
      </c>
      <c r="E137" s="107">
        <v>89.27</v>
      </c>
      <c r="F137" s="107">
        <v>87.2</v>
      </c>
      <c r="G137" s="107">
        <v>438.84</v>
      </c>
      <c r="H137" s="107">
        <v>271.85000000000002</v>
      </c>
      <c r="I137" s="107">
        <v>261.52</v>
      </c>
      <c r="J137" s="107">
        <v>194.8</v>
      </c>
      <c r="K137" s="107">
        <v>183.67</v>
      </c>
      <c r="L137" s="107">
        <v>137.85</v>
      </c>
      <c r="M137" s="107">
        <v>124.4</v>
      </c>
      <c r="N137" s="107">
        <v>2179.21</v>
      </c>
    </row>
    <row r="138" spans="1:14">
      <c r="A138" s="64" t="s">
        <v>166</v>
      </c>
      <c r="B138" s="107">
        <v>-353.07</v>
      </c>
      <c r="C138" s="107">
        <v>1168.4100000000001</v>
      </c>
      <c r="D138" s="107">
        <v>1035.03</v>
      </c>
      <c r="E138" s="107">
        <v>1172</v>
      </c>
      <c r="F138" s="107">
        <v>1542.22</v>
      </c>
      <c r="G138" s="107">
        <v>983.28</v>
      </c>
      <c r="H138" s="107">
        <v>1334.77</v>
      </c>
      <c r="I138" s="107">
        <v>1250.95</v>
      </c>
      <c r="J138" s="107">
        <v>1262.21</v>
      </c>
      <c r="K138" s="107">
        <v>1290.67</v>
      </c>
      <c r="L138" s="107">
        <v>1402.34</v>
      </c>
      <c r="M138" s="107">
        <v>1200.1500000000001</v>
      </c>
      <c r="N138" s="107">
        <v>13288.96</v>
      </c>
    </row>
    <row r="139" spans="1:14">
      <c r="A139" s="64" t="s">
        <v>167</v>
      </c>
      <c r="B139" s="107">
        <v>192</v>
      </c>
      <c r="C139" s="22"/>
      <c r="D139" s="22"/>
      <c r="E139" s="107">
        <v>507.43</v>
      </c>
      <c r="F139" s="107">
        <v>241.35</v>
      </c>
      <c r="G139" s="107">
        <v>1162.51</v>
      </c>
      <c r="H139" s="107">
        <v>247.42</v>
      </c>
      <c r="I139" s="107">
        <v>-7.71</v>
      </c>
      <c r="J139" s="22"/>
      <c r="K139" s="107">
        <v>912.23</v>
      </c>
      <c r="L139" s="107">
        <v>738.97</v>
      </c>
      <c r="M139" s="107">
        <v>504.97</v>
      </c>
      <c r="N139" s="107">
        <v>4499.17</v>
      </c>
    </row>
    <row r="140" spans="1:14">
      <c r="A140" s="64" t="s">
        <v>168</v>
      </c>
      <c r="B140" s="22"/>
      <c r="C140" s="107">
        <v>628</v>
      </c>
      <c r="D140" s="22"/>
      <c r="E140" s="107">
        <v>657.5</v>
      </c>
      <c r="F140" s="107">
        <v>811.7</v>
      </c>
      <c r="G140" s="107">
        <v>811.7</v>
      </c>
      <c r="H140" s="22"/>
      <c r="I140" s="22"/>
      <c r="J140" s="22"/>
      <c r="K140" s="107">
        <v>973.07</v>
      </c>
      <c r="L140" s="107">
        <v>-82.11</v>
      </c>
      <c r="M140" s="107">
        <v>640.55999999999995</v>
      </c>
      <c r="N140" s="107">
        <v>4440.42</v>
      </c>
    </row>
    <row r="141" spans="1:14">
      <c r="A141" s="64" t="s">
        <v>169</v>
      </c>
      <c r="B141" s="107">
        <v>64</v>
      </c>
      <c r="C141" s="22"/>
      <c r="D141" s="107">
        <v>244</v>
      </c>
      <c r="E141" s="107">
        <v>1430.64</v>
      </c>
      <c r="F141" s="107">
        <v>1396.86</v>
      </c>
      <c r="G141" s="107">
        <v>468</v>
      </c>
      <c r="H141" s="107">
        <v>127.14</v>
      </c>
      <c r="I141" s="107">
        <v>78.86</v>
      </c>
      <c r="J141" s="107">
        <v>250.56</v>
      </c>
      <c r="K141" s="107">
        <v>370.56</v>
      </c>
      <c r="L141" s="22"/>
      <c r="M141" s="107">
        <v>300</v>
      </c>
      <c r="N141" s="107">
        <v>4730.62</v>
      </c>
    </row>
    <row r="142" spans="1:14">
      <c r="A142" s="64" t="s">
        <v>171</v>
      </c>
      <c r="B142" s="113"/>
      <c r="C142" s="113"/>
      <c r="D142" s="113"/>
      <c r="E142" s="113"/>
      <c r="F142" s="111">
        <v>500</v>
      </c>
      <c r="G142" s="113"/>
      <c r="H142" s="113"/>
      <c r="I142" s="113"/>
      <c r="J142" s="113"/>
      <c r="K142" s="113"/>
      <c r="L142" s="113"/>
      <c r="M142" s="113"/>
      <c r="N142" s="111">
        <v>500</v>
      </c>
    </row>
    <row r="143" spans="1:14">
      <c r="A143" s="64" t="s">
        <v>16</v>
      </c>
      <c r="B143" s="107">
        <f t="shared" ref="B143:M143" si="22">SUM(B134:B142)</f>
        <v>1626.5</v>
      </c>
      <c r="C143" s="107">
        <f t="shared" si="22"/>
        <v>3440.62</v>
      </c>
      <c r="D143" s="107">
        <f t="shared" si="22"/>
        <v>2963.75</v>
      </c>
      <c r="E143" s="107">
        <f t="shared" si="22"/>
        <v>5385.65</v>
      </c>
      <c r="F143" s="107">
        <f t="shared" si="22"/>
        <v>6159.45</v>
      </c>
      <c r="G143" s="107">
        <f t="shared" si="22"/>
        <v>5483.13</v>
      </c>
      <c r="H143" s="107">
        <f t="shared" si="22"/>
        <v>3404.04</v>
      </c>
      <c r="I143" s="107">
        <f t="shared" si="22"/>
        <v>3170.9100000000003</v>
      </c>
      <c r="J143" s="107">
        <f t="shared" si="22"/>
        <v>3237.71</v>
      </c>
      <c r="K143" s="107">
        <f t="shared" si="22"/>
        <v>5314.6500000000005</v>
      </c>
      <c r="L143" s="107">
        <f t="shared" si="22"/>
        <v>3787.0899999999997</v>
      </c>
      <c r="M143" s="107">
        <f t="shared" si="22"/>
        <v>4427.0400000000009</v>
      </c>
      <c r="N143" s="107">
        <v>48400.54</v>
      </c>
    </row>
    <row r="144" spans="1:14">
      <c r="A144" s="64"/>
      <c r="B144" s="22"/>
      <c r="C144" s="22"/>
      <c r="D144" s="22"/>
      <c r="E144" s="22"/>
      <c r="F144" s="22"/>
      <c r="G144" s="22"/>
      <c r="H144" s="22"/>
      <c r="I144" s="22"/>
      <c r="J144" s="22"/>
      <c r="K144" s="22"/>
      <c r="L144" s="22"/>
      <c r="M144" s="22"/>
      <c r="N144" s="22"/>
    </row>
    <row r="145" spans="1:14">
      <c r="A145" s="64" t="s">
        <v>17</v>
      </c>
      <c r="B145" s="22"/>
      <c r="C145" s="22"/>
      <c r="D145" s="22"/>
      <c r="E145" s="22"/>
      <c r="F145" s="22"/>
      <c r="G145" s="22"/>
      <c r="H145" s="22"/>
      <c r="I145" s="22"/>
      <c r="J145" s="22"/>
      <c r="K145" s="22"/>
      <c r="L145" s="22"/>
      <c r="M145" s="22"/>
      <c r="N145" s="22"/>
    </row>
    <row r="146" spans="1:14">
      <c r="A146" s="64" t="s">
        <v>180</v>
      </c>
      <c r="B146" s="111">
        <v>-18.02</v>
      </c>
      <c r="C146" s="113"/>
      <c r="D146" s="113"/>
      <c r="E146" s="111"/>
      <c r="F146" s="113"/>
      <c r="G146" s="113"/>
      <c r="H146" s="113"/>
      <c r="I146" s="113"/>
      <c r="J146" s="113"/>
      <c r="K146" s="113"/>
      <c r="L146" s="113"/>
      <c r="M146" s="113"/>
      <c r="N146" s="111">
        <v>-18.02</v>
      </c>
    </row>
    <row r="147" spans="1:14">
      <c r="A147" s="64" t="s">
        <v>185</v>
      </c>
      <c r="B147" s="107">
        <f>SUM(B144:B146)</f>
        <v>-18.02</v>
      </c>
      <c r="C147" s="107"/>
      <c r="D147" s="107"/>
      <c r="E147" s="107"/>
      <c r="F147" s="107"/>
      <c r="G147" s="107"/>
      <c r="H147" s="107"/>
      <c r="I147" s="107"/>
      <c r="J147" s="107"/>
      <c r="K147" s="107"/>
      <c r="L147" s="107"/>
      <c r="M147" s="107"/>
      <c r="N147" s="107">
        <v>-18.02</v>
      </c>
    </row>
    <row r="148" spans="1:14">
      <c r="A148" s="64"/>
      <c r="B148" s="22"/>
      <c r="C148" s="22"/>
      <c r="D148" s="22"/>
      <c r="E148" s="22"/>
      <c r="F148" s="22"/>
      <c r="G148" s="22"/>
      <c r="H148" s="22"/>
      <c r="I148" s="22"/>
      <c r="J148" s="22"/>
      <c r="K148" s="22"/>
      <c r="L148" s="22"/>
      <c r="M148" s="22"/>
      <c r="N148" s="22"/>
    </row>
    <row r="149" spans="1:14">
      <c r="A149" s="64" t="s">
        <v>186</v>
      </c>
      <c r="B149" s="22"/>
      <c r="C149" s="22"/>
      <c r="D149" s="22"/>
      <c r="E149" s="22"/>
      <c r="F149" s="22"/>
      <c r="G149" s="22"/>
      <c r="H149" s="22"/>
      <c r="I149" s="22"/>
      <c r="J149" s="22"/>
      <c r="K149" s="22"/>
      <c r="L149" s="22"/>
      <c r="M149" s="22"/>
      <c r="N149" s="22"/>
    </row>
    <row r="150" spans="1:14">
      <c r="A150" s="64" t="s">
        <v>191</v>
      </c>
      <c r="B150" s="107">
        <v>8248.9500000000007</v>
      </c>
      <c r="C150" s="107">
        <v>8735.17</v>
      </c>
      <c r="D150" s="107">
        <v>8631.5</v>
      </c>
      <c r="E150" s="107">
        <v>9431.36</v>
      </c>
      <c r="F150" s="107">
        <v>6282.77</v>
      </c>
      <c r="G150" s="107">
        <v>5924.2</v>
      </c>
      <c r="H150" s="107">
        <v>5260.39</v>
      </c>
      <c r="I150" s="107">
        <v>7327.83</v>
      </c>
      <c r="J150" s="107">
        <v>6616.44</v>
      </c>
      <c r="K150" s="107">
        <v>6782.77</v>
      </c>
      <c r="L150" s="107">
        <v>7652.03</v>
      </c>
      <c r="M150" s="107"/>
      <c r="N150" s="107">
        <v>80893.41</v>
      </c>
    </row>
    <row r="151" spans="1:14">
      <c r="A151" s="64" t="s">
        <v>415</v>
      </c>
      <c r="B151" s="22"/>
      <c r="C151" s="22"/>
      <c r="D151" s="22"/>
      <c r="E151" s="22"/>
      <c r="F151" s="22"/>
      <c r="G151" s="22"/>
      <c r="H151" s="22"/>
      <c r="I151" s="22"/>
      <c r="J151" s="22"/>
      <c r="K151" s="22"/>
      <c r="L151" s="22"/>
      <c r="M151" s="107">
        <v>5414.29</v>
      </c>
      <c r="N151" s="107">
        <v>5414.29</v>
      </c>
    </row>
    <row r="152" spans="1:14">
      <c r="A152" s="64" t="s">
        <v>416</v>
      </c>
      <c r="B152" s="22"/>
      <c r="C152" s="22"/>
      <c r="D152" s="22"/>
      <c r="E152" s="22"/>
      <c r="F152" s="22"/>
      <c r="G152" s="22"/>
      <c r="H152" s="22"/>
      <c r="I152" s="22"/>
      <c r="J152" s="22"/>
      <c r="K152" s="22"/>
      <c r="L152" s="22"/>
      <c r="M152" s="107">
        <v>2221.62</v>
      </c>
      <c r="N152" s="107">
        <v>2221.62</v>
      </c>
    </row>
    <row r="153" spans="1:14">
      <c r="A153" s="64" t="s">
        <v>417</v>
      </c>
      <c r="B153" s="22"/>
      <c r="C153" s="22"/>
      <c r="D153" s="22"/>
      <c r="E153" s="22"/>
      <c r="F153" s="22"/>
      <c r="G153" s="22"/>
      <c r="H153" s="22"/>
      <c r="I153" s="22"/>
      <c r="J153" s="22"/>
      <c r="K153" s="22"/>
      <c r="L153" s="22"/>
      <c r="M153" s="107">
        <v>697.83</v>
      </c>
      <c r="N153" s="107">
        <v>697.83</v>
      </c>
    </row>
    <row r="154" spans="1:14">
      <c r="A154" s="64" t="s">
        <v>192</v>
      </c>
      <c r="B154" s="107">
        <v>461.74</v>
      </c>
      <c r="C154" s="107">
        <v>1152.78</v>
      </c>
      <c r="D154" s="107">
        <v>336.59</v>
      </c>
      <c r="E154" s="107">
        <v>411.59</v>
      </c>
      <c r="F154" s="107">
        <v>386.59</v>
      </c>
      <c r="G154" s="107">
        <v>361.59</v>
      </c>
      <c r="H154" s="107">
        <v>514.51</v>
      </c>
      <c r="I154" s="107">
        <v>389.51</v>
      </c>
      <c r="J154" s="107">
        <v>539.51</v>
      </c>
      <c r="K154" s="107">
        <v>464.51</v>
      </c>
      <c r="L154" s="107">
        <v>439.51</v>
      </c>
      <c r="M154" s="107">
        <v>514.51</v>
      </c>
      <c r="N154" s="107">
        <v>5972.94</v>
      </c>
    </row>
    <row r="155" spans="1:14">
      <c r="A155" s="64" t="s">
        <v>193</v>
      </c>
      <c r="B155" s="107">
        <v>1228.8800000000001</v>
      </c>
      <c r="C155" s="107">
        <v>1109.3</v>
      </c>
      <c r="D155" s="107">
        <v>1109.1099999999999</v>
      </c>
      <c r="E155" s="107">
        <v>1208.8800000000001</v>
      </c>
      <c r="F155" s="107">
        <v>-1580.18</v>
      </c>
      <c r="G155" s="107">
        <v>988.06</v>
      </c>
      <c r="H155" s="107">
        <v>865.52</v>
      </c>
      <c r="I155" s="107">
        <v>886.56</v>
      </c>
      <c r="J155" s="107">
        <v>681.39</v>
      </c>
      <c r="K155" s="107">
        <v>780.48</v>
      </c>
      <c r="L155" s="107">
        <v>743.07</v>
      </c>
      <c r="M155" s="107">
        <v>803.46</v>
      </c>
      <c r="N155" s="107">
        <v>8824.5300000000007</v>
      </c>
    </row>
    <row r="156" spans="1:14">
      <c r="A156" s="64" t="s">
        <v>194</v>
      </c>
      <c r="B156" s="107">
        <v>2259.17</v>
      </c>
      <c r="C156" s="107">
        <v>802.76</v>
      </c>
      <c r="D156" s="107">
        <v>320.76</v>
      </c>
      <c r="E156" s="107">
        <v>3092.62</v>
      </c>
      <c r="F156" s="107">
        <v>1809.42</v>
      </c>
      <c r="G156" s="107">
        <v>2575.2399999999998</v>
      </c>
      <c r="H156" s="107"/>
      <c r="I156" s="107">
        <v>924.25</v>
      </c>
      <c r="J156" s="107">
        <v>3986.2</v>
      </c>
      <c r="K156" s="107">
        <v>7344.4</v>
      </c>
      <c r="L156" s="107">
        <v>1376.39</v>
      </c>
      <c r="M156" s="107">
        <v>852.94</v>
      </c>
      <c r="N156" s="107">
        <v>25344.15</v>
      </c>
    </row>
    <row r="157" spans="1:14">
      <c r="A157" s="64" t="s">
        <v>198</v>
      </c>
      <c r="B157" s="107">
        <v>230</v>
      </c>
      <c r="C157" s="107">
        <v>230</v>
      </c>
      <c r="D157" s="107">
        <v>230</v>
      </c>
      <c r="E157" s="107">
        <v>230</v>
      </c>
      <c r="F157" s="107">
        <v>242</v>
      </c>
      <c r="G157" s="107">
        <v>242</v>
      </c>
      <c r="H157" s="107">
        <v>242</v>
      </c>
      <c r="I157" s="107">
        <v>300</v>
      </c>
      <c r="J157" s="107">
        <v>254</v>
      </c>
      <c r="K157" s="107">
        <v>254</v>
      </c>
      <c r="L157" s="107">
        <v>254</v>
      </c>
      <c r="M157" s="107">
        <v>254</v>
      </c>
      <c r="N157" s="107">
        <v>2962</v>
      </c>
    </row>
    <row r="158" spans="1:14">
      <c r="A158" s="64" t="s">
        <v>200</v>
      </c>
      <c r="B158" s="107">
        <v>250</v>
      </c>
      <c r="C158" s="107">
        <v>250</v>
      </c>
      <c r="D158" s="107">
        <v>250</v>
      </c>
      <c r="E158" s="107">
        <v>250</v>
      </c>
      <c r="F158" s="107">
        <v>250</v>
      </c>
      <c r="G158" s="107">
        <v>425</v>
      </c>
      <c r="H158" s="107">
        <v>435</v>
      </c>
      <c r="I158" s="107">
        <v>435</v>
      </c>
      <c r="J158" s="107">
        <v>485</v>
      </c>
      <c r="K158" s="107">
        <v>200</v>
      </c>
      <c r="L158" s="107">
        <v>325</v>
      </c>
      <c r="M158" s="107">
        <v>325</v>
      </c>
      <c r="N158" s="107">
        <v>3880</v>
      </c>
    </row>
    <row r="159" spans="1:14">
      <c r="A159" s="64" t="s">
        <v>201</v>
      </c>
      <c r="B159" s="107">
        <v>114.19</v>
      </c>
      <c r="C159" s="107">
        <v>114.19</v>
      </c>
      <c r="D159" s="107">
        <v>114.19</v>
      </c>
      <c r="E159" s="107">
        <v>114.19</v>
      </c>
      <c r="F159" s="107">
        <v>115.25</v>
      </c>
      <c r="G159" s="107">
        <v>113.66</v>
      </c>
      <c r="H159" s="107">
        <v>114.19</v>
      </c>
      <c r="I159" s="107">
        <v>114.19</v>
      </c>
      <c r="J159" s="107">
        <v>125.06</v>
      </c>
      <c r="K159" s="107">
        <v>125.06</v>
      </c>
      <c r="L159" s="107">
        <v>125.06</v>
      </c>
      <c r="M159" s="107">
        <v>125.06</v>
      </c>
      <c r="N159" s="107">
        <v>1414.29</v>
      </c>
    </row>
    <row r="160" spans="1:14">
      <c r="A160" s="64" t="s">
        <v>202</v>
      </c>
      <c r="B160" s="22"/>
      <c r="C160" s="22"/>
      <c r="D160" s="22"/>
      <c r="E160" s="22"/>
      <c r="F160" s="22"/>
      <c r="G160" s="22"/>
      <c r="H160" s="22"/>
      <c r="I160" s="107">
        <v>350</v>
      </c>
      <c r="J160" s="22"/>
      <c r="K160" s="22"/>
      <c r="L160" s="22"/>
      <c r="M160" s="22"/>
      <c r="N160" s="107">
        <v>350</v>
      </c>
    </row>
    <row r="161" spans="1:14">
      <c r="A161" s="64" t="s">
        <v>203</v>
      </c>
      <c r="B161" s="107">
        <v>1285.5</v>
      </c>
      <c r="C161" s="107">
        <v>1013.64</v>
      </c>
      <c r="D161" s="107">
        <v>971.07</v>
      </c>
      <c r="E161" s="107">
        <v>1033.32</v>
      </c>
      <c r="F161" s="107">
        <v>379.02</v>
      </c>
      <c r="G161" s="107">
        <v>1124.93</v>
      </c>
      <c r="H161" s="107">
        <v>1116.92</v>
      </c>
      <c r="I161" s="107">
        <v>1204.83</v>
      </c>
      <c r="J161" s="107">
        <v>1107.1199999999999</v>
      </c>
      <c r="K161" s="107">
        <v>1070.8</v>
      </c>
      <c r="L161" s="107">
        <v>1037.53</v>
      </c>
      <c r="M161" s="107">
        <v>1073.74</v>
      </c>
      <c r="N161" s="107">
        <v>12418.42</v>
      </c>
    </row>
    <row r="162" spans="1:14">
      <c r="A162" s="64" t="s">
        <v>204</v>
      </c>
      <c r="B162" s="107">
        <v>3725</v>
      </c>
      <c r="C162" s="107">
        <v>3890</v>
      </c>
      <c r="D162" s="107">
        <v>3840</v>
      </c>
      <c r="E162" s="107">
        <v>3977</v>
      </c>
      <c r="F162" s="107">
        <v>3719</v>
      </c>
      <c r="G162" s="107">
        <v>3948</v>
      </c>
      <c r="H162" s="107">
        <v>3784</v>
      </c>
      <c r="I162" s="107">
        <v>4024</v>
      </c>
      <c r="J162" s="107">
        <v>4037</v>
      </c>
      <c r="K162" s="107">
        <v>4227</v>
      </c>
      <c r="L162" s="107">
        <v>4230</v>
      </c>
      <c r="M162" s="107">
        <v>3841</v>
      </c>
      <c r="N162" s="107">
        <v>47242</v>
      </c>
    </row>
    <row r="163" spans="1:14">
      <c r="A163" s="64" t="s">
        <v>206</v>
      </c>
      <c r="B163" s="111">
        <v>91.63</v>
      </c>
      <c r="C163" s="111">
        <v>1186.69</v>
      </c>
      <c r="D163" s="111">
        <v>1725</v>
      </c>
      <c r="E163" s="111">
        <v>676.31</v>
      </c>
      <c r="F163" s="111">
        <v>303.92</v>
      </c>
      <c r="G163" s="111">
        <v>724.47</v>
      </c>
      <c r="H163" s="111">
        <v>622.5</v>
      </c>
      <c r="I163" s="111">
        <v>2957.9</v>
      </c>
      <c r="J163" s="111">
        <v>2235.2399999999998</v>
      </c>
      <c r="K163" s="111">
        <v>2106.0500000000002</v>
      </c>
      <c r="L163" s="111">
        <v>1764.57</v>
      </c>
      <c r="M163" s="111">
        <v>2196.63</v>
      </c>
      <c r="N163" s="111">
        <v>16590.91</v>
      </c>
    </row>
    <row r="164" spans="1:14">
      <c r="A164" s="64" t="s">
        <v>207</v>
      </c>
      <c r="B164" s="107">
        <f t="shared" ref="B164:M164" si="23">SUM(B148:B163)</f>
        <v>17895.060000000001</v>
      </c>
      <c r="C164" s="107">
        <f t="shared" si="23"/>
        <v>18484.53</v>
      </c>
      <c r="D164" s="107">
        <f t="shared" si="23"/>
        <v>17528.22</v>
      </c>
      <c r="E164" s="107">
        <f t="shared" si="23"/>
        <v>20425.27</v>
      </c>
      <c r="F164" s="107">
        <f t="shared" si="23"/>
        <v>11907.79</v>
      </c>
      <c r="G164" s="107">
        <f t="shared" si="23"/>
        <v>16427.150000000001</v>
      </c>
      <c r="H164" s="107">
        <f t="shared" si="23"/>
        <v>12955.029999999999</v>
      </c>
      <c r="I164" s="107">
        <f t="shared" si="23"/>
        <v>18914.07</v>
      </c>
      <c r="J164" s="107">
        <f t="shared" si="23"/>
        <v>20066.96</v>
      </c>
      <c r="K164" s="107">
        <f t="shared" si="23"/>
        <v>23355.07</v>
      </c>
      <c r="L164" s="107">
        <f t="shared" si="23"/>
        <v>17947.16</v>
      </c>
      <c r="M164" s="107">
        <f t="shared" si="23"/>
        <v>18320.079999999998</v>
      </c>
      <c r="N164" s="107">
        <v>214226.39</v>
      </c>
    </row>
    <row r="165" spans="1:14">
      <c r="A165" s="64"/>
      <c r="B165" s="22"/>
      <c r="C165" s="22"/>
      <c r="D165" s="22"/>
      <c r="E165" s="22"/>
      <c r="F165" s="22"/>
      <c r="G165" s="22"/>
      <c r="H165" s="22"/>
      <c r="I165" s="22"/>
      <c r="J165" s="22"/>
      <c r="K165" s="22"/>
      <c r="L165" s="22"/>
      <c r="M165" s="22"/>
      <c r="N165" s="22"/>
    </row>
    <row r="166" spans="1:14">
      <c r="A166" s="64" t="s">
        <v>15</v>
      </c>
      <c r="B166" s="22"/>
      <c r="C166" s="22"/>
      <c r="D166" s="22"/>
      <c r="E166" s="22"/>
      <c r="F166" s="22"/>
      <c r="G166" s="22"/>
      <c r="H166" s="22"/>
      <c r="I166" s="22"/>
      <c r="J166" s="22"/>
      <c r="K166" s="22"/>
      <c r="L166" s="22"/>
      <c r="M166" s="22"/>
      <c r="N166" s="22"/>
    </row>
    <row r="167" spans="1:14">
      <c r="A167" s="64" t="s">
        <v>210</v>
      </c>
      <c r="B167" s="107">
        <v>291.63</v>
      </c>
      <c r="C167" s="107">
        <v>340.39</v>
      </c>
      <c r="D167" s="107">
        <v>354.62</v>
      </c>
      <c r="E167" s="107">
        <v>111.39</v>
      </c>
      <c r="F167" s="107">
        <v>316.89999999999998</v>
      </c>
      <c r="G167" s="107">
        <v>174.8</v>
      </c>
      <c r="H167" s="107">
        <v>274.75</v>
      </c>
      <c r="I167" s="107">
        <v>291.79000000000002</v>
      </c>
      <c r="J167" s="107">
        <v>386.56</v>
      </c>
      <c r="K167" s="107">
        <v>356.58</v>
      </c>
      <c r="L167" s="107">
        <v>281.68</v>
      </c>
      <c r="M167" s="107">
        <v>225.14</v>
      </c>
      <c r="N167" s="107">
        <v>3406.23</v>
      </c>
    </row>
    <row r="168" spans="1:14">
      <c r="A168" s="64" t="s">
        <v>195</v>
      </c>
      <c r="B168" s="107">
        <v>184.34</v>
      </c>
      <c r="C168" s="107">
        <v>90.55</v>
      </c>
      <c r="D168" s="107">
        <v>132.69</v>
      </c>
      <c r="E168" s="107">
        <v>252.34</v>
      </c>
      <c r="F168" s="107">
        <v>107.96</v>
      </c>
      <c r="G168" s="107">
        <v>138.21</v>
      </c>
      <c r="H168" s="107">
        <v>131.99</v>
      </c>
      <c r="I168" s="107">
        <v>216.26</v>
      </c>
      <c r="J168" s="107">
        <v>113.21</v>
      </c>
      <c r="K168" s="107">
        <v>127.78</v>
      </c>
      <c r="L168" s="107">
        <v>183.16</v>
      </c>
      <c r="M168" s="107">
        <v>142.82</v>
      </c>
      <c r="N168" s="107">
        <v>1821.31</v>
      </c>
    </row>
    <row r="169" spans="1:14">
      <c r="A169" s="64" t="s">
        <v>213</v>
      </c>
      <c r="B169" s="107">
        <v>7401.68</v>
      </c>
      <c r="C169" s="107">
        <v>5192.3999999999996</v>
      </c>
      <c r="D169" s="107">
        <v>5155</v>
      </c>
      <c r="E169" s="107">
        <v>4694.2</v>
      </c>
      <c r="F169" s="107">
        <v>4489.79</v>
      </c>
      <c r="G169" s="107">
        <v>7272.51</v>
      </c>
      <c r="H169" s="107">
        <v>4545.1000000000004</v>
      </c>
      <c r="I169" s="107">
        <v>6556.57</v>
      </c>
      <c r="J169" s="107">
        <v>5409.94</v>
      </c>
      <c r="K169" s="107">
        <v>7418.72</v>
      </c>
      <c r="L169" s="107">
        <v>6171.79</v>
      </c>
      <c r="M169" s="107">
        <v>5914.08</v>
      </c>
      <c r="N169" s="107">
        <v>70221.78</v>
      </c>
    </row>
    <row r="170" spans="1:14">
      <c r="A170" s="64" t="s">
        <v>215</v>
      </c>
      <c r="B170" s="107">
        <v>555.02</v>
      </c>
      <c r="C170" s="107">
        <v>754.42</v>
      </c>
      <c r="D170" s="107">
        <v>405.81</v>
      </c>
      <c r="E170" s="107">
        <v>296.35000000000002</v>
      </c>
      <c r="F170" s="107">
        <v>355.02</v>
      </c>
      <c r="G170" s="107">
        <v>526.20000000000005</v>
      </c>
      <c r="H170" s="107">
        <v>326.94</v>
      </c>
      <c r="I170" s="107">
        <v>449.19</v>
      </c>
      <c r="J170" s="107">
        <v>264.48</v>
      </c>
      <c r="K170" s="107">
        <v>563.37</v>
      </c>
      <c r="L170" s="107">
        <v>225.43</v>
      </c>
      <c r="M170" s="107">
        <v>238.52</v>
      </c>
      <c r="N170" s="107">
        <v>4960.75</v>
      </c>
    </row>
    <row r="171" spans="1:14">
      <c r="A171" s="64" t="s">
        <v>216</v>
      </c>
      <c r="B171" s="107">
        <v>301.64</v>
      </c>
      <c r="C171" s="107">
        <v>201.53</v>
      </c>
      <c r="D171" s="107">
        <v>786.33</v>
      </c>
      <c r="E171" s="107">
        <v>319.68</v>
      </c>
      <c r="F171" s="107">
        <v>531.04999999999995</v>
      </c>
      <c r="G171" s="107">
        <v>436.2</v>
      </c>
      <c r="H171" s="107">
        <v>886.06</v>
      </c>
      <c r="I171" s="107">
        <v>1194.3800000000001</v>
      </c>
      <c r="J171" s="107">
        <v>892.23</v>
      </c>
      <c r="K171" s="107">
        <v>436.09</v>
      </c>
      <c r="L171" s="107">
        <v>391.08</v>
      </c>
      <c r="M171" s="107">
        <v>481.82</v>
      </c>
      <c r="N171" s="107">
        <v>6858.09</v>
      </c>
    </row>
    <row r="172" spans="1:14">
      <c r="A172" s="64" t="s">
        <v>219</v>
      </c>
      <c r="B172" s="107">
        <v>90.9</v>
      </c>
      <c r="C172" s="107">
        <v>62.24</v>
      </c>
      <c r="D172" s="107">
        <v>89.07</v>
      </c>
      <c r="E172" s="22"/>
      <c r="F172" s="107">
        <v>184.73</v>
      </c>
      <c r="G172" s="107">
        <v>135.32</v>
      </c>
      <c r="H172" s="107">
        <v>150.4</v>
      </c>
      <c r="I172" s="107">
        <v>337.91</v>
      </c>
      <c r="J172" s="22"/>
      <c r="K172" s="107">
        <v>164.48</v>
      </c>
      <c r="L172" s="107">
        <v>134.94</v>
      </c>
      <c r="M172" s="22"/>
      <c r="N172" s="107">
        <v>1349.99</v>
      </c>
    </row>
    <row r="173" spans="1:14">
      <c r="A173" s="64" t="s">
        <v>220</v>
      </c>
      <c r="B173" s="111">
        <v>128.47</v>
      </c>
      <c r="C173" s="111">
        <v>97.42</v>
      </c>
      <c r="D173" s="111">
        <v>106.43</v>
      </c>
      <c r="E173" s="111">
        <v>79.790000000000006</v>
      </c>
      <c r="F173" s="111">
        <v>389.09</v>
      </c>
      <c r="G173" s="111">
        <v>52.53</v>
      </c>
      <c r="H173" s="111">
        <v>219.17</v>
      </c>
      <c r="I173" s="111">
        <v>197.81</v>
      </c>
      <c r="J173" s="111">
        <v>282.3</v>
      </c>
      <c r="K173" s="111">
        <v>185.16</v>
      </c>
      <c r="L173" s="111">
        <v>107.96</v>
      </c>
      <c r="M173" s="111">
        <v>108.24</v>
      </c>
      <c r="N173" s="111">
        <v>1954.37</v>
      </c>
    </row>
    <row r="174" spans="1:14">
      <c r="A174" s="64" t="s">
        <v>221</v>
      </c>
      <c r="B174" s="107">
        <f t="shared" ref="B174:M174" si="24">SUM(B165:B173)</f>
        <v>8953.6799999999985</v>
      </c>
      <c r="C174" s="107">
        <f t="shared" si="24"/>
        <v>6738.9499999999989</v>
      </c>
      <c r="D174" s="107">
        <f t="shared" si="24"/>
        <v>7029.9500000000007</v>
      </c>
      <c r="E174" s="107">
        <f t="shared" si="24"/>
        <v>5753.7500000000009</v>
      </c>
      <c r="F174" s="107">
        <f t="shared" si="24"/>
        <v>6374.54</v>
      </c>
      <c r="G174" s="107">
        <f t="shared" si="24"/>
        <v>8735.77</v>
      </c>
      <c r="H174" s="107">
        <f t="shared" si="24"/>
        <v>6534.41</v>
      </c>
      <c r="I174" s="107">
        <f t="shared" si="24"/>
        <v>9243.909999999998</v>
      </c>
      <c r="J174" s="107">
        <f t="shared" si="24"/>
        <v>7348.7199999999984</v>
      </c>
      <c r="K174" s="107">
        <f t="shared" si="24"/>
        <v>9252.18</v>
      </c>
      <c r="L174" s="107">
        <f t="shared" si="24"/>
        <v>7496.04</v>
      </c>
      <c r="M174" s="107">
        <f t="shared" si="24"/>
        <v>7110.62</v>
      </c>
      <c r="N174" s="107">
        <v>90572.52</v>
      </c>
    </row>
    <row r="175" spans="1:14">
      <c r="A175" s="64"/>
      <c r="B175" s="22"/>
      <c r="C175" s="22"/>
      <c r="D175" s="22"/>
      <c r="E175" s="22"/>
      <c r="F175" s="22"/>
      <c r="G175" s="22"/>
      <c r="H175" s="22"/>
      <c r="I175" s="22"/>
      <c r="J175" s="22"/>
      <c r="K175" s="22"/>
      <c r="L175" s="22"/>
      <c r="M175" s="22"/>
      <c r="N175" s="22"/>
    </row>
    <row r="176" spans="1:14">
      <c r="A176" s="64" t="s">
        <v>222</v>
      </c>
      <c r="B176" s="22"/>
      <c r="C176" s="22"/>
      <c r="D176" s="22"/>
      <c r="E176" s="22"/>
      <c r="F176" s="22"/>
      <c r="G176" s="22"/>
      <c r="H176" s="22"/>
      <c r="I176" s="22"/>
      <c r="J176" s="22"/>
      <c r="K176" s="22"/>
      <c r="L176" s="22"/>
      <c r="M176" s="22"/>
      <c r="N176" s="22"/>
    </row>
    <row r="177" spans="1:14">
      <c r="A177" s="64" t="s">
        <v>225</v>
      </c>
      <c r="B177" s="113"/>
      <c r="C177" s="111">
        <v>73.010000000000005</v>
      </c>
      <c r="D177" s="111">
        <v>911.4</v>
      </c>
      <c r="E177" s="111">
        <v>191.28</v>
      </c>
      <c r="F177" s="113"/>
      <c r="G177" s="113"/>
      <c r="H177" s="111">
        <v>20</v>
      </c>
      <c r="I177" s="111">
        <v>40</v>
      </c>
      <c r="J177" s="113"/>
      <c r="K177" s="113"/>
      <c r="L177" s="113"/>
      <c r="M177" s="111">
        <v>40</v>
      </c>
      <c r="N177" s="111">
        <v>1275.69</v>
      </c>
    </row>
    <row r="178" spans="1:14">
      <c r="A178" s="64" t="s">
        <v>229</v>
      </c>
      <c r="B178" s="107"/>
      <c r="C178" s="107">
        <f>SUM(C175:C177)</f>
        <v>73.010000000000005</v>
      </c>
      <c r="D178" s="107">
        <f>SUM(D175:D177)</f>
        <v>911.4</v>
      </c>
      <c r="E178" s="107">
        <f>SUM(E175:E177)</f>
        <v>191.28</v>
      </c>
      <c r="F178" s="107"/>
      <c r="G178" s="107"/>
      <c r="H178" s="107">
        <f>SUM(H175:H177)</f>
        <v>20</v>
      </c>
      <c r="I178" s="107">
        <f>SUM(I175:I177)</f>
        <v>40</v>
      </c>
      <c r="J178" s="107"/>
      <c r="K178" s="107"/>
      <c r="L178" s="107"/>
      <c r="M178" s="107">
        <f>SUM(M175:M177)</f>
        <v>40</v>
      </c>
      <c r="N178" s="107">
        <v>1275.69</v>
      </c>
    </row>
    <row r="179" spans="1:14">
      <c r="A179" s="64"/>
      <c r="B179" s="22"/>
      <c r="C179" s="22"/>
      <c r="D179" s="22"/>
      <c r="E179" s="22"/>
      <c r="F179" s="22"/>
      <c r="G179" s="22"/>
      <c r="H179" s="22"/>
      <c r="I179" s="22"/>
      <c r="J179" s="22"/>
      <c r="K179" s="22"/>
      <c r="L179" s="22"/>
      <c r="M179" s="22"/>
      <c r="N179" s="22"/>
    </row>
    <row r="180" spans="1:14">
      <c r="A180" s="64" t="s">
        <v>230</v>
      </c>
      <c r="B180" s="22"/>
      <c r="C180" s="22"/>
      <c r="D180" s="22"/>
      <c r="E180" s="22"/>
      <c r="F180" s="22"/>
      <c r="G180" s="22"/>
      <c r="H180" s="22"/>
      <c r="I180" s="22"/>
      <c r="J180" s="22"/>
      <c r="K180" s="22"/>
      <c r="L180" s="22"/>
      <c r="M180" s="22"/>
      <c r="N180" s="22"/>
    </row>
    <row r="181" spans="1:14">
      <c r="A181" s="64" t="s">
        <v>231</v>
      </c>
      <c r="B181" s="107">
        <v>2566.13</v>
      </c>
      <c r="C181" s="107">
        <v>2566.13</v>
      </c>
      <c r="D181" s="107">
        <v>2566.13</v>
      </c>
      <c r="E181" s="107">
        <v>2566.13</v>
      </c>
      <c r="F181" s="107">
        <v>2847.31</v>
      </c>
      <c r="G181" s="107">
        <v>2566.13</v>
      </c>
      <c r="H181" s="107">
        <v>2566.13</v>
      </c>
      <c r="I181" s="107">
        <v>2566.13</v>
      </c>
      <c r="J181" s="107">
        <v>2566.13</v>
      </c>
      <c r="K181" s="107">
        <v>2566.13</v>
      </c>
      <c r="L181" s="107">
        <v>2566.13</v>
      </c>
      <c r="M181" s="107">
        <v>2566.13</v>
      </c>
      <c r="N181" s="107">
        <v>31074.74</v>
      </c>
    </row>
    <row r="182" spans="1:14">
      <c r="A182" s="64" t="s">
        <v>232</v>
      </c>
      <c r="B182" s="22"/>
      <c r="C182" s="22"/>
      <c r="D182" s="22"/>
      <c r="E182" s="22"/>
      <c r="F182" s="107">
        <v>430.8</v>
      </c>
      <c r="G182" s="22"/>
      <c r="H182" s="22"/>
      <c r="I182" s="22"/>
      <c r="J182" s="22"/>
      <c r="K182" s="22"/>
      <c r="L182" s="22"/>
      <c r="M182" s="22"/>
      <c r="N182" s="107">
        <v>430.8</v>
      </c>
    </row>
    <row r="183" spans="1:14">
      <c r="A183" s="64" t="s">
        <v>234</v>
      </c>
      <c r="B183" s="113"/>
      <c r="C183" s="111">
        <v>58.19</v>
      </c>
      <c r="D183" s="111">
        <v>-10</v>
      </c>
      <c r="E183" s="111"/>
      <c r="F183" s="113"/>
      <c r="G183" s="111">
        <v>66.67</v>
      </c>
      <c r="H183" s="111">
        <v>392.5</v>
      </c>
      <c r="I183" s="111">
        <v>50</v>
      </c>
      <c r="J183" s="111">
        <v>230</v>
      </c>
      <c r="K183" s="113"/>
      <c r="L183" s="113"/>
      <c r="M183" s="113"/>
      <c r="N183" s="111">
        <v>787.36</v>
      </c>
    </row>
    <row r="184" spans="1:14">
      <c r="A184" s="64" t="s">
        <v>236</v>
      </c>
      <c r="B184" s="107">
        <f t="shared" ref="B184:M184" si="25">SUM(B179:B183)</f>
        <v>2566.13</v>
      </c>
      <c r="C184" s="107">
        <f t="shared" si="25"/>
        <v>2624.32</v>
      </c>
      <c r="D184" s="107">
        <f t="shared" si="25"/>
        <v>2556.13</v>
      </c>
      <c r="E184" s="107">
        <f t="shared" si="25"/>
        <v>2566.13</v>
      </c>
      <c r="F184" s="107">
        <f t="shared" si="25"/>
        <v>3278.11</v>
      </c>
      <c r="G184" s="107">
        <f t="shared" si="25"/>
        <v>2632.8</v>
      </c>
      <c r="H184" s="107">
        <f t="shared" si="25"/>
        <v>2958.63</v>
      </c>
      <c r="I184" s="107">
        <f t="shared" si="25"/>
        <v>2616.13</v>
      </c>
      <c r="J184" s="107">
        <f t="shared" si="25"/>
        <v>2796.13</v>
      </c>
      <c r="K184" s="107">
        <f t="shared" si="25"/>
        <v>2566.13</v>
      </c>
      <c r="L184" s="107">
        <f t="shared" si="25"/>
        <v>2566.13</v>
      </c>
      <c r="M184" s="107">
        <f t="shared" si="25"/>
        <v>2566.13</v>
      </c>
      <c r="N184" s="107">
        <v>32292.9</v>
      </c>
    </row>
    <row r="185" spans="1:14">
      <c r="A185" s="64"/>
      <c r="B185" s="22"/>
      <c r="C185" s="22"/>
      <c r="D185" s="22"/>
      <c r="E185" s="22"/>
      <c r="F185" s="22"/>
      <c r="G185" s="22"/>
      <c r="H185" s="22"/>
      <c r="I185" s="22"/>
      <c r="J185" s="22"/>
      <c r="K185" s="22"/>
      <c r="L185" s="22"/>
      <c r="M185" s="22"/>
      <c r="N185" s="22"/>
    </row>
    <row r="186" spans="1:14">
      <c r="A186" s="64" t="s">
        <v>237</v>
      </c>
      <c r="B186" s="22"/>
      <c r="C186" s="22"/>
      <c r="D186" s="22"/>
      <c r="E186" s="22"/>
      <c r="F186" s="22"/>
      <c r="G186" s="22"/>
      <c r="H186" s="22"/>
      <c r="I186" s="22"/>
      <c r="J186" s="22"/>
      <c r="K186" s="22"/>
      <c r="L186" s="22"/>
      <c r="M186" s="22"/>
      <c r="N186" s="22"/>
    </row>
    <row r="187" spans="1:14">
      <c r="A187" s="64" t="s">
        <v>228</v>
      </c>
      <c r="B187" s="113"/>
      <c r="C187" s="113"/>
      <c r="D187" s="111">
        <v>6540.99</v>
      </c>
      <c r="E187" s="113"/>
      <c r="F187" s="113"/>
      <c r="G187" s="113"/>
      <c r="H187" s="113"/>
      <c r="I187" s="113"/>
      <c r="J187" s="113"/>
      <c r="K187" s="113"/>
      <c r="L187" s="113"/>
      <c r="M187" s="113"/>
      <c r="N187" s="111">
        <v>6540.99</v>
      </c>
    </row>
    <row r="188" spans="1:14">
      <c r="A188" s="64" t="s">
        <v>238</v>
      </c>
      <c r="B188" s="107"/>
      <c r="C188" s="107"/>
      <c r="D188" s="107">
        <f>SUM(D185:D187)</f>
        <v>6540.99</v>
      </c>
      <c r="E188" s="107"/>
      <c r="F188" s="107"/>
      <c r="G188" s="107"/>
      <c r="H188" s="107"/>
      <c r="I188" s="107"/>
      <c r="J188" s="107"/>
      <c r="K188" s="107"/>
      <c r="L188" s="107"/>
      <c r="M188" s="107"/>
      <c r="N188" s="107">
        <v>6540.99</v>
      </c>
    </row>
    <row r="189" spans="1:14">
      <c r="A189" s="64"/>
      <c r="B189" s="22"/>
      <c r="C189" s="22"/>
      <c r="D189" s="22"/>
      <c r="E189" s="22"/>
      <c r="F189" s="22"/>
      <c r="G189" s="22"/>
      <c r="H189" s="22"/>
      <c r="I189" s="22"/>
      <c r="J189" s="22"/>
      <c r="K189" s="22"/>
      <c r="L189" s="22"/>
      <c r="M189" s="22"/>
      <c r="N189" s="22"/>
    </row>
    <row r="190" spans="1:14">
      <c r="A190" s="64" t="s">
        <v>239</v>
      </c>
      <c r="B190" s="22"/>
      <c r="C190" s="22"/>
      <c r="D190" s="22"/>
      <c r="E190" s="22"/>
      <c r="F190" s="22"/>
      <c r="G190" s="22"/>
      <c r="H190" s="22"/>
      <c r="I190" s="22"/>
      <c r="J190" s="22"/>
      <c r="K190" s="22"/>
      <c r="L190" s="22"/>
      <c r="M190" s="22"/>
      <c r="N190" s="22"/>
    </row>
    <row r="191" spans="1:14">
      <c r="A191" s="64" t="s">
        <v>240</v>
      </c>
      <c r="B191" s="107">
        <v>2274.69</v>
      </c>
      <c r="C191" s="107">
        <v>2274.69</v>
      </c>
      <c r="D191" s="107">
        <v>2274.69</v>
      </c>
      <c r="E191" s="107">
        <v>2274.69</v>
      </c>
      <c r="F191" s="107">
        <v>2274.67</v>
      </c>
      <c r="G191" s="107">
        <v>2274.67</v>
      </c>
      <c r="H191" s="107">
        <v>2274.69</v>
      </c>
      <c r="I191" s="107">
        <v>3160.67</v>
      </c>
      <c r="J191" s="107">
        <v>2717.68</v>
      </c>
      <c r="K191" s="107">
        <v>2717.68</v>
      </c>
      <c r="L191" s="107">
        <v>2717.68</v>
      </c>
      <c r="M191" s="107">
        <v>2717.68</v>
      </c>
      <c r="N191" s="107">
        <v>29954.18</v>
      </c>
    </row>
    <row r="192" spans="1:14">
      <c r="A192" s="64" t="s">
        <v>241</v>
      </c>
      <c r="B192" s="107">
        <v>109.84</v>
      </c>
      <c r="C192" s="107">
        <v>109.84</v>
      </c>
      <c r="D192" s="107">
        <v>109.84</v>
      </c>
      <c r="E192" s="107">
        <v>109.84</v>
      </c>
      <c r="F192" s="107">
        <v>109.84</v>
      </c>
      <c r="G192" s="107">
        <v>109.84</v>
      </c>
      <c r="H192" s="107">
        <v>109.84</v>
      </c>
      <c r="I192" s="107">
        <v>-109.84</v>
      </c>
      <c r="J192" s="22"/>
      <c r="K192" s="22"/>
      <c r="L192" s="22"/>
      <c r="M192" s="22"/>
      <c r="N192" s="107">
        <v>659.04</v>
      </c>
    </row>
    <row r="193" spans="1:14">
      <c r="A193" s="64" t="s">
        <v>242</v>
      </c>
      <c r="B193" s="107">
        <v>457.92</v>
      </c>
      <c r="C193" s="107">
        <v>387</v>
      </c>
      <c r="D193" s="107">
        <v>387</v>
      </c>
      <c r="E193" s="107">
        <v>387</v>
      </c>
      <c r="F193" s="107">
        <v>387</v>
      </c>
      <c r="G193" s="107">
        <v>966.66</v>
      </c>
      <c r="H193" s="107">
        <v>387</v>
      </c>
      <c r="I193" s="107">
        <v>387</v>
      </c>
      <c r="J193" s="107">
        <v>387</v>
      </c>
      <c r="K193" s="107">
        <v>387</v>
      </c>
      <c r="L193" s="107">
        <v>387</v>
      </c>
      <c r="M193" s="107">
        <v>387</v>
      </c>
      <c r="N193" s="107">
        <v>5294.58</v>
      </c>
    </row>
    <row r="194" spans="1:14">
      <c r="A194" s="64" t="s">
        <v>243</v>
      </c>
      <c r="B194" s="107">
        <v>557.14</v>
      </c>
      <c r="C194" s="107">
        <v>603.38</v>
      </c>
      <c r="D194" s="107">
        <v>576.66999999999996</v>
      </c>
      <c r="E194" s="107">
        <v>576.66999999999996</v>
      </c>
      <c r="F194" s="107">
        <v>576.66999999999996</v>
      </c>
      <c r="G194" s="107">
        <v>473.53</v>
      </c>
      <c r="H194" s="107"/>
      <c r="I194" s="22"/>
      <c r="J194" s="107">
        <v>486</v>
      </c>
      <c r="K194" s="107">
        <v>306</v>
      </c>
      <c r="L194" s="107">
        <v>306</v>
      </c>
      <c r="M194" s="107">
        <v>306</v>
      </c>
      <c r="N194" s="107">
        <v>4768.0600000000004</v>
      </c>
    </row>
    <row r="195" spans="1:14">
      <c r="A195" s="64" t="s">
        <v>387</v>
      </c>
      <c r="B195" s="113"/>
      <c r="C195" s="113"/>
      <c r="D195" s="113"/>
      <c r="E195" s="113"/>
      <c r="F195" s="113"/>
      <c r="G195" s="113"/>
      <c r="H195" s="113"/>
      <c r="I195" s="113"/>
      <c r="J195" s="113"/>
      <c r="K195" s="113"/>
      <c r="L195" s="113"/>
      <c r="M195" s="113"/>
      <c r="N195" s="113"/>
    </row>
    <row r="196" spans="1:14">
      <c r="A196" s="64" t="s">
        <v>244</v>
      </c>
      <c r="B196" s="107">
        <f t="shared" ref="B196:M196" si="26">SUM(B189:B195)</f>
        <v>3399.59</v>
      </c>
      <c r="C196" s="107">
        <f t="shared" si="26"/>
        <v>3374.9100000000003</v>
      </c>
      <c r="D196" s="107">
        <f t="shared" si="26"/>
        <v>3348.2000000000003</v>
      </c>
      <c r="E196" s="107">
        <f t="shared" si="26"/>
        <v>3348.2000000000003</v>
      </c>
      <c r="F196" s="107">
        <f t="shared" si="26"/>
        <v>3348.1800000000003</v>
      </c>
      <c r="G196" s="107">
        <f t="shared" si="26"/>
        <v>3824.7</v>
      </c>
      <c r="H196" s="107">
        <f t="shared" si="26"/>
        <v>2771.53</v>
      </c>
      <c r="I196" s="107">
        <f t="shared" si="26"/>
        <v>3437.83</v>
      </c>
      <c r="J196" s="107">
        <f t="shared" si="26"/>
        <v>3590.68</v>
      </c>
      <c r="K196" s="107">
        <f t="shared" si="26"/>
        <v>3410.68</v>
      </c>
      <c r="L196" s="107">
        <f t="shared" si="26"/>
        <v>3410.68</v>
      </c>
      <c r="M196" s="107">
        <f t="shared" si="26"/>
        <v>3410.68</v>
      </c>
      <c r="N196" s="107">
        <v>40675.86</v>
      </c>
    </row>
    <row r="197" spans="1:14">
      <c r="A197" s="64"/>
      <c r="B197" s="22"/>
      <c r="C197" s="22"/>
      <c r="D197" s="22"/>
      <c r="E197" s="22"/>
      <c r="F197" s="22"/>
      <c r="G197" s="22"/>
      <c r="H197" s="22"/>
      <c r="I197" s="22"/>
      <c r="J197" s="22"/>
      <c r="K197" s="22"/>
      <c r="L197" s="22"/>
      <c r="M197" s="22"/>
      <c r="N197" s="22"/>
    </row>
    <row r="198" spans="1:14">
      <c r="A198" s="64" t="s">
        <v>245</v>
      </c>
      <c r="B198" s="22"/>
      <c r="C198" s="22"/>
      <c r="D198" s="22"/>
      <c r="E198" s="22"/>
      <c r="F198" s="22"/>
      <c r="G198" s="22"/>
      <c r="H198" s="22"/>
      <c r="I198" s="22"/>
      <c r="J198" s="22"/>
      <c r="K198" s="22"/>
      <c r="L198" s="22"/>
      <c r="M198" s="22"/>
      <c r="N198" s="22"/>
    </row>
    <row r="199" spans="1:14">
      <c r="A199" s="64" t="s">
        <v>246</v>
      </c>
      <c r="B199" s="107">
        <v>2238.33</v>
      </c>
      <c r="C199" s="107">
        <v>2289.2800000000002</v>
      </c>
      <c r="D199" s="107">
        <v>2258.58</v>
      </c>
      <c r="E199" s="107">
        <v>2245.15</v>
      </c>
      <c r="F199" s="107">
        <v>2350.7199999999998</v>
      </c>
      <c r="G199" s="107">
        <v>2350.7199999999998</v>
      </c>
      <c r="H199" s="107">
        <v>2184.36</v>
      </c>
      <c r="I199" s="107">
        <v>2544.92</v>
      </c>
      <c r="J199" s="107">
        <v>2312.67</v>
      </c>
      <c r="K199" s="107">
        <v>2312.67</v>
      </c>
      <c r="L199" s="107">
        <v>2312.67</v>
      </c>
      <c r="M199" s="107">
        <v>2312.67</v>
      </c>
      <c r="N199" s="107">
        <v>27712.74</v>
      </c>
    </row>
    <row r="200" spans="1:14">
      <c r="A200" s="64" t="s">
        <v>247</v>
      </c>
      <c r="B200" s="107">
        <v>540.5</v>
      </c>
      <c r="C200" s="107">
        <v>540.5</v>
      </c>
      <c r="D200" s="107">
        <v>540.5</v>
      </c>
      <c r="E200" s="107">
        <v>540.5</v>
      </c>
      <c r="F200" s="107">
        <v>540.72</v>
      </c>
      <c r="G200" s="107">
        <v>540.72</v>
      </c>
      <c r="H200" s="107">
        <v>539.76</v>
      </c>
      <c r="I200" s="107">
        <v>540.24</v>
      </c>
      <c r="J200" s="107">
        <v>540.24</v>
      </c>
      <c r="K200" s="107">
        <v>540.24</v>
      </c>
      <c r="L200" s="107">
        <v>540.24</v>
      </c>
      <c r="M200" s="107">
        <v>518.26</v>
      </c>
      <c r="N200" s="107">
        <v>6462.42</v>
      </c>
    </row>
    <row r="201" spans="1:14">
      <c r="A201" s="64" t="s">
        <v>285</v>
      </c>
      <c r="B201" s="107">
        <v>49.19</v>
      </c>
      <c r="C201" s="107">
        <v>49.19</v>
      </c>
      <c r="D201" s="107">
        <v>49.19</v>
      </c>
      <c r="E201" s="107">
        <v>49.19</v>
      </c>
      <c r="F201" s="107">
        <v>49.24</v>
      </c>
      <c r="G201" s="107">
        <v>49.24</v>
      </c>
      <c r="H201" s="107">
        <v>49.14</v>
      </c>
      <c r="I201" s="107">
        <v>49.19</v>
      </c>
      <c r="J201" s="107">
        <v>49.19</v>
      </c>
      <c r="K201" s="107">
        <v>49.19</v>
      </c>
      <c r="L201" s="107">
        <v>49.19</v>
      </c>
      <c r="M201" s="107">
        <v>49.19</v>
      </c>
      <c r="N201" s="107">
        <v>590.33000000000004</v>
      </c>
    </row>
    <row r="202" spans="1:14">
      <c r="A202" s="64" t="s">
        <v>362</v>
      </c>
      <c r="B202" s="113"/>
      <c r="C202" s="113"/>
      <c r="D202" s="113"/>
      <c r="E202" s="113"/>
      <c r="F202" s="113"/>
      <c r="G202" s="113"/>
      <c r="H202" s="113"/>
      <c r="I202" s="113"/>
      <c r="J202" s="113"/>
      <c r="K202" s="113"/>
      <c r="L202" s="113"/>
      <c r="M202" s="113"/>
      <c r="N202" s="113"/>
    </row>
    <row r="203" spans="1:14">
      <c r="A203" s="64" t="s">
        <v>250</v>
      </c>
      <c r="B203" s="107">
        <f t="shared" ref="B203:M203" si="27">SUM(B197:B202)</f>
        <v>2828.02</v>
      </c>
      <c r="C203" s="107">
        <f t="shared" si="27"/>
        <v>2878.9700000000003</v>
      </c>
      <c r="D203" s="107">
        <f t="shared" si="27"/>
        <v>2848.27</v>
      </c>
      <c r="E203" s="107">
        <f t="shared" si="27"/>
        <v>2834.84</v>
      </c>
      <c r="F203" s="107">
        <f t="shared" si="27"/>
        <v>2940.6799999999994</v>
      </c>
      <c r="G203" s="107">
        <f t="shared" si="27"/>
        <v>2940.6799999999994</v>
      </c>
      <c r="H203" s="107">
        <f t="shared" si="27"/>
        <v>2773.2599999999998</v>
      </c>
      <c r="I203" s="107">
        <f t="shared" si="27"/>
        <v>3134.35</v>
      </c>
      <c r="J203" s="107">
        <f t="shared" si="27"/>
        <v>2902.1</v>
      </c>
      <c r="K203" s="107">
        <f t="shared" si="27"/>
        <v>2902.1</v>
      </c>
      <c r="L203" s="107">
        <f t="shared" si="27"/>
        <v>2902.1</v>
      </c>
      <c r="M203" s="107">
        <f t="shared" si="27"/>
        <v>2880.1200000000003</v>
      </c>
      <c r="N203" s="107">
        <v>34765.49</v>
      </c>
    </row>
    <row r="204" spans="1:14">
      <c r="A204" s="64"/>
      <c r="B204" s="22"/>
      <c r="C204" s="22"/>
      <c r="D204" s="22"/>
      <c r="E204" s="22"/>
      <c r="F204" s="22"/>
      <c r="G204" s="22"/>
      <c r="H204" s="22"/>
      <c r="I204" s="22"/>
      <c r="J204" s="22"/>
      <c r="K204" s="22"/>
      <c r="L204" s="22"/>
      <c r="M204" s="22"/>
      <c r="N204" s="22"/>
    </row>
    <row r="205" spans="1:14">
      <c r="A205" s="64" t="s">
        <v>251</v>
      </c>
      <c r="B205" s="22"/>
      <c r="C205" s="22"/>
      <c r="D205" s="22"/>
      <c r="E205" s="22"/>
      <c r="F205" s="22"/>
      <c r="G205" s="22"/>
      <c r="H205" s="22"/>
      <c r="I205" s="22"/>
      <c r="J205" s="22"/>
      <c r="K205" s="22"/>
      <c r="L205" s="22"/>
      <c r="M205" s="22"/>
      <c r="N205" s="22"/>
    </row>
    <row r="206" spans="1:14">
      <c r="A206" s="64" t="s">
        <v>252</v>
      </c>
      <c r="B206" s="107">
        <v>30329</v>
      </c>
      <c r="C206" s="107">
        <v>31146.58</v>
      </c>
      <c r="D206" s="107">
        <v>31146.58</v>
      </c>
      <c r="E206" s="107">
        <v>31146.58</v>
      </c>
      <c r="F206" s="107">
        <v>31146.58</v>
      </c>
      <c r="G206" s="107">
        <v>31146.58</v>
      </c>
      <c r="H206" s="107">
        <v>31146.58</v>
      </c>
      <c r="I206" s="107">
        <v>31146.58</v>
      </c>
      <c r="J206" s="107">
        <v>31146.58</v>
      </c>
      <c r="K206" s="107">
        <v>31146.58</v>
      </c>
      <c r="L206" s="107">
        <v>31146.58</v>
      </c>
      <c r="M206" s="107">
        <v>33860.910000000003</v>
      </c>
      <c r="N206" s="107">
        <v>375655.71</v>
      </c>
    </row>
    <row r="207" spans="1:14">
      <c r="A207" s="64" t="s">
        <v>253</v>
      </c>
      <c r="B207" s="107">
        <v>101.09</v>
      </c>
      <c r="C207" s="107">
        <v>101.09</v>
      </c>
      <c r="D207" s="107">
        <v>101.09</v>
      </c>
      <c r="E207" s="107">
        <v>101.09</v>
      </c>
      <c r="F207" s="107">
        <v>101.09</v>
      </c>
      <c r="G207" s="22"/>
      <c r="H207" s="22"/>
      <c r="I207" s="22"/>
      <c r="J207" s="107">
        <v>51.27</v>
      </c>
      <c r="K207" s="107">
        <v>51.27</v>
      </c>
      <c r="L207" s="107">
        <v>51.27</v>
      </c>
      <c r="M207" s="107">
        <v>51.27</v>
      </c>
      <c r="N207" s="107">
        <v>710.53</v>
      </c>
    </row>
    <row r="208" spans="1:14">
      <c r="A208" s="64" t="s">
        <v>254</v>
      </c>
      <c r="B208" s="111">
        <v>30</v>
      </c>
      <c r="C208" s="111">
        <v>30</v>
      </c>
      <c r="D208" s="111">
        <v>37.25</v>
      </c>
      <c r="E208" s="111">
        <v>11.36</v>
      </c>
      <c r="F208" s="111">
        <v>3.27</v>
      </c>
      <c r="G208" s="111">
        <v>7.4</v>
      </c>
      <c r="H208" s="111">
        <v>2.4300000000000002</v>
      </c>
      <c r="I208" s="113"/>
      <c r="J208" s="111">
        <v>1590.25</v>
      </c>
      <c r="K208" s="111">
        <v>1.39</v>
      </c>
      <c r="L208" s="111">
        <v>1.93</v>
      </c>
      <c r="M208" s="111">
        <v>30</v>
      </c>
      <c r="N208" s="111">
        <v>1745.28</v>
      </c>
    </row>
    <row r="209" spans="1:14">
      <c r="A209" s="64" t="s">
        <v>255</v>
      </c>
      <c r="B209" s="107">
        <f t="shared" ref="B209:M209" si="28">SUM(B204:B208)</f>
        <v>30460.09</v>
      </c>
      <c r="C209" s="107">
        <f t="shared" si="28"/>
        <v>31277.670000000002</v>
      </c>
      <c r="D209" s="107">
        <f t="shared" si="28"/>
        <v>31284.920000000002</v>
      </c>
      <c r="E209" s="107">
        <f t="shared" si="28"/>
        <v>31259.030000000002</v>
      </c>
      <c r="F209" s="107">
        <f t="shared" si="28"/>
        <v>31250.940000000002</v>
      </c>
      <c r="G209" s="107">
        <f t="shared" si="28"/>
        <v>31153.980000000003</v>
      </c>
      <c r="H209" s="107">
        <f t="shared" si="28"/>
        <v>31149.010000000002</v>
      </c>
      <c r="I209" s="107">
        <f t="shared" si="28"/>
        <v>31146.58</v>
      </c>
      <c r="J209" s="107">
        <f t="shared" si="28"/>
        <v>32788.100000000006</v>
      </c>
      <c r="K209" s="107">
        <f t="shared" si="28"/>
        <v>31199.24</v>
      </c>
      <c r="L209" s="107">
        <f t="shared" si="28"/>
        <v>31199.780000000002</v>
      </c>
      <c r="M209" s="107">
        <f t="shared" si="28"/>
        <v>33942.18</v>
      </c>
      <c r="N209" s="107">
        <v>378111.52</v>
      </c>
    </row>
    <row r="210" spans="1:14">
      <c r="A210" s="64"/>
      <c r="B210" s="22"/>
      <c r="C210" s="22"/>
      <c r="D210" s="22"/>
      <c r="E210" s="22"/>
      <c r="F210" s="22"/>
      <c r="G210" s="22"/>
      <c r="H210" s="22"/>
      <c r="I210" s="22"/>
      <c r="J210" s="22"/>
      <c r="K210" s="22"/>
      <c r="L210" s="22"/>
      <c r="M210" s="22"/>
      <c r="N210" s="22"/>
    </row>
    <row r="211" spans="1:14">
      <c r="A211" s="64" t="s">
        <v>256</v>
      </c>
      <c r="B211" s="113"/>
      <c r="C211" s="113"/>
      <c r="D211" s="113"/>
      <c r="E211" s="113"/>
      <c r="F211" s="113"/>
      <c r="G211" s="113"/>
      <c r="H211" s="113"/>
      <c r="I211" s="113"/>
      <c r="J211" s="113"/>
      <c r="K211" s="113"/>
      <c r="L211" s="113"/>
      <c r="M211" s="113"/>
      <c r="N211" s="113"/>
    </row>
    <row r="212" spans="1:14">
      <c r="A212" s="64"/>
      <c r="B212" s="22"/>
      <c r="C212" s="22"/>
      <c r="D212" s="22"/>
      <c r="E212" s="22"/>
      <c r="F212" s="22"/>
      <c r="G212" s="22"/>
      <c r="H212" s="22"/>
      <c r="I212" s="22"/>
      <c r="J212" s="22"/>
      <c r="K212" s="22"/>
      <c r="L212" s="22"/>
      <c r="M212" s="22"/>
      <c r="N212" s="22"/>
    </row>
    <row r="213" spans="1:14" ht="15.75" thickBot="1">
      <c r="A213" s="64" t="s">
        <v>62</v>
      </c>
      <c r="B213" s="112">
        <f t="shared" ref="B213:M213" si="29">SUM(B121:B212)-B130-0-B143-B147-B164-B174-B178-B184-B188-B196-B203-B209-0</f>
        <v>88874.2</v>
      </c>
      <c r="C213" s="112">
        <f t="shared" si="29"/>
        <v>89152.060000000041</v>
      </c>
      <c r="D213" s="112">
        <f t="shared" si="29"/>
        <v>96342.529999999984</v>
      </c>
      <c r="E213" s="112">
        <f t="shared" si="29"/>
        <v>90766.059999999954</v>
      </c>
      <c r="F213" s="112">
        <f t="shared" si="29"/>
        <v>84606.53999999995</v>
      </c>
      <c r="G213" s="112">
        <f t="shared" si="29"/>
        <v>90274.110000000015</v>
      </c>
      <c r="H213" s="112">
        <f t="shared" si="29"/>
        <v>81756.03</v>
      </c>
      <c r="I213" s="112">
        <f t="shared" si="29"/>
        <v>93450.120000000024</v>
      </c>
      <c r="J213" s="112">
        <f t="shared" si="29"/>
        <v>93515.9</v>
      </c>
      <c r="K213" s="112">
        <f t="shared" si="29"/>
        <v>97524.500000000015</v>
      </c>
      <c r="L213" s="112">
        <f t="shared" si="29"/>
        <v>90471.030000000013</v>
      </c>
      <c r="M213" s="112">
        <f t="shared" si="29"/>
        <v>93979.800000000017</v>
      </c>
      <c r="N213" s="112">
        <v>1090712.8799999999</v>
      </c>
    </row>
    <row r="214" spans="1:14" ht="15.75" thickTop="1">
      <c r="A214" s="64"/>
      <c r="B214" s="22"/>
      <c r="C214" s="22"/>
      <c r="D214" s="22"/>
      <c r="E214" s="22"/>
      <c r="F214" s="22"/>
      <c r="G214" s="22"/>
      <c r="H214" s="22"/>
      <c r="I214" s="22"/>
      <c r="J214" s="22"/>
      <c r="K214" s="22"/>
      <c r="L214" s="22"/>
      <c r="M214" s="22"/>
      <c r="N214" s="22"/>
    </row>
    <row r="215" spans="1:14" ht="15.75" thickBot="1">
      <c r="A215" s="64" t="s">
        <v>259</v>
      </c>
      <c r="B215" s="112">
        <f t="shared" ref="B215:M215" si="30">+B118-B213</f>
        <v>-14382.399999999965</v>
      </c>
      <c r="C215" s="112">
        <f t="shared" si="30"/>
        <v>-11352.060000000041</v>
      </c>
      <c r="D215" s="112">
        <f t="shared" si="30"/>
        <v>-19542.529999999984</v>
      </c>
      <c r="E215" s="112">
        <f t="shared" si="30"/>
        <v>-11226.059999999954</v>
      </c>
      <c r="F215" s="112">
        <f t="shared" si="30"/>
        <v>-10250.749999999913</v>
      </c>
      <c r="G215" s="112">
        <f t="shared" si="30"/>
        <v>-11324.110000000015</v>
      </c>
      <c r="H215" s="112">
        <f t="shared" si="30"/>
        <v>-5981.0299999999988</v>
      </c>
      <c r="I215" s="112">
        <f t="shared" si="30"/>
        <v>-12980.120000000024</v>
      </c>
      <c r="J215" s="112">
        <f t="shared" si="30"/>
        <v>-12780.899999999994</v>
      </c>
      <c r="K215" s="112">
        <f t="shared" si="30"/>
        <v>-12984.500000000015</v>
      </c>
      <c r="L215" s="112">
        <f t="shared" si="30"/>
        <v>-5869.3899999999849</v>
      </c>
      <c r="M215" s="112">
        <f t="shared" si="30"/>
        <v>-17164.800000000017</v>
      </c>
      <c r="N215" s="112">
        <v>-145838.65</v>
      </c>
    </row>
    <row r="216" spans="1:14" ht="15.75" thickTop="1">
      <c r="A216" s="64"/>
      <c r="B216" s="22"/>
      <c r="C216" s="22"/>
      <c r="D216" s="22"/>
      <c r="E216" s="22"/>
      <c r="F216" s="22"/>
      <c r="G216" s="22"/>
      <c r="H216" s="22"/>
      <c r="I216" s="22"/>
      <c r="J216" s="22"/>
      <c r="K216" s="22"/>
      <c r="L216" s="22"/>
      <c r="M216" s="22"/>
      <c r="N216" s="22"/>
    </row>
    <row r="217" spans="1:14">
      <c r="A217" s="64" t="s">
        <v>351</v>
      </c>
      <c r="B217" s="111">
        <v>15.37</v>
      </c>
      <c r="C217" s="113"/>
      <c r="D217" s="113"/>
      <c r="E217" s="111">
        <v>76.48</v>
      </c>
      <c r="F217" s="111">
        <v>538.28</v>
      </c>
      <c r="G217" s="113"/>
      <c r="H217" s="113"/>
      <c r="I217" s="113"/>
      <c r="J217" s="113"/>
      <c r="K217" s="113"/>
      <c r="L217" s="113"/>
      <c r="M217" s="113"/>
      <c r="N217" s="111">
        <v>630.13</v>
      </c>
    </row>
    <row r="218" spans="1:14">
      <c r="A218" s="64" t="s">
        <v>64</v>
      </c>
      <c r="B218" s="107">
        <f>SUM(B216:B217)</f>
        <v>15.37</v>
      </c>
      <c r="C218" s="107"/>
      <c r="D218" s="107"/>
      <c r="E218" s="107">
        <f>SUM(E216:E217)</f>
        <v>76.48</v>
      </c>
      <c r="F218" s="107">
        <f>SUM(F216:F217)</f>
        <v>538.28</v>
      </c>
      <c r="G218" s="107"/>
      <c r="H218" s="107"/>
      <c r="I218" s="107"/>
      <c r="J218" s="107"/>
      <c r="K218" s="107"/>
      <c r="L218" s="107"/>
      <c r="M218" s="107"/>
      <c r="N218" s="107">
        <v>630.13</v>
      </c>
    </row>
    <row r="219" spans="1:14">
      <c r="A219" s="64"/>
      <c r="B219" s="22"/>
      <c r="C219" s="22"/>
      <c r="D219" s="22"/>
      <c r="E219" s="22"/>
      <c r="F219" s="22"/>
      <c r="G219" s="22"/>
      <c r="H219" s="22"/>
      <c r="I219" s="22"/>
      <c r="J219" s="22"/>
      <c r="K219" s="22"/>
      <c r="L219" s="22"/>
      <c r="M219" s="22"/>
      <c r="N219" s="22"/>
    </row>
    <row r="220" spans="1:14" ht="15.75" thickBot="1">
      <c r="A220" s="64" t="s">
        <v>22</v>
      </c>
      <c r="B220" s="112">
        <f t="shared" ref="B220:M220" si="31">+B215-B218</f>
        <v>-14397.769999999966</v>
      </c>
      <c r="C220" s="112">
        <f t="shared" si="31"/>
        <v>-11352.060000000041</v>
      </c>
      <c r="D220" s="112">
        <f t="shared" si="31"/>
        <v>-19542.529999999984</v>
      </c>
      <c r="E220" s="112">
        <f t="shared" si="31"/>
        <v>-11302.539999999954</v>
      </c>
      <c r="F220" s="112">
        <f t="shared" si="31"/>
        <v>-10789.029999999913</v>
      </c>
      <c r="G220" s="112">
        <f t="shared" si="31"/>
        <v>-11324.110000000015</v>
      </c>
      <c r="H220" s="112">
        <f t="shared" si="31"/>
        <v>-5981.0299999999988</v>
      </c>
      <c r="I220" s="112">
        <f t="shared" si="31"/>
        <v>-12980.120000000024</v>
      </c>
      <c r="J220" s="112">
        <f t="shared" si="31"/>
        <v>-12780.899999999994</v>
      </c>
      <c r="K220" s="112">
        <f t="shared" si="31"/>
        <v>-12984.500000000015</v>
      </c>
      <c r="L220" s="112">
        <f t="shared" si="31"/>
        <v>-5869.3899999999849</v>
      </c>
      <c r="M220" s="112">
        <f t="shared" si="31"/>
        <v>-17164.800000000017</v>
      </c>
      <c r="N220" s="112">
        <v>-146468.78</v>
      </c>
    </row>
    <row r="221" spans="1:14" ht="15.75" thickTop="1">
      <c r="A221" s="64"/>
      <c r="B221" s="22"/>
      <c r="C221" s="22"/>
      <c r="D221" s="22"/>
      <c r="E221" s="22"/>
      <c r="F221" s="22"/>
      <c r="G221" s="22"/>
      <c r="H221" s="22"/>
      <c r="I221" s="22"/>
      <c r="J221" s="22"/>
      <c r="K221" s="22"/>
      <c r="L221" s="22"/>
      <c r="M221" s="22"/>
      <c r="N221" s="22"/>
    </row>
    <row r="222" spans="1:14">
      <c r="A222" s="64"/>
      <c r="B222" s="22"/>
      <c r="C222" s="22"/>
      <c r="D222" s="22"/>
      <c r="E222" s="22"/>
      <c r="F222" s="22"/>
      <c r="G222" s="22"/>
      <c r="H222" s="22"/>
      <c r="I222" s="22"/>
      <c r="J222" s="22"/>
      <c r="K222" s="22"/>
      <c r="L222" s="22"/>
      <c r="M222" s="22"/>
      <c r="N222" s="22"/>
    </row>
    <row r="223" spans="1:14">
      <c r="A223" s="64" t="s">
        <v>260</v>
      </c>
      <c r="B223" s="22"/>
      <c r="C223" s="22"/>
      <c r="D223" s="22"/>
      <c r="E223" s="22"/>
      <c r="F223" s="22"/>
      <c r="G223" s="22"/>
      <c r="H223" s="22"/>
      <c r="I223" s="22"/>
      <c r="J223" s="22"/>
      <c r="K223" s="22"/>
      <c r="L223" s="22"/>
      <c r="M223" s="22"/>
      <c r="N223" s="22"/>
    </row>
    <row r="224" spans="1:14">
      <c r="A224" s="64"/>
      <c r="B224" s="22"/>
      <c r="C224" s="22"/>
      <c r="D224" s="22"/>
      <c r="E224" s="22"/>
      <c r="F224" s="22"/>
      <c r="G224" s="22"/>
      <c r="H224" s="22"/>
      <c r="I224" s="22"/>
      <c r="J224" s="22"/>
      <c r="K224" s="22"/>
      <c r="L224" s="22"/>
      <c r="M224" s="22"/>
      <c r="N224" s="22"/>
    </row>
    <row r="225" spans="1:14">
      <c r="A225" s="64" t="s">
        <v>19</v>
      </c>
      <c r="B225" s="113"/>
      <c r="C225" s="113"/>
      <c r="D225" s="113"/>
      <c r="E225" s="113"/>
      <c r="F225" s="113"/>
      <c r="G225" s="113"/>
      <c r="H225" s="113"/>
      <c r="I225" s="113"/>
      <c r="J225" s="113"/>
      <c r="K225" s="113"/>
      <c r="L225" s="113"/>
      <c r="M225" s="113"/>
      <c r="N225" s="113"/>
    </row>
    <row r="226" spans="1:14">
      <c r="A226" s="64" t="s">
        <v>85</v>
      </c>
      <c r="B226" s="107"/>
      <c r="C226" s="107"/>
      <c r="D226" s="107"/>
      <c r="E226" s="107"/>
      <c r="F226" s="107"/>
      <c r="G226" s="107"/>
      <c r="H226" s="107"/>
      <c r="I226" s="107"/>
      <c r="J226" s="107"/>
      <c r="K226" s="107"/>
      <c r="L226" s="107"/>
      <c r="M226" s="107"/>
      <c r="N226" s="107"/>
    </row>
    <row r="227" spans="1:14">
      <c r="A227" s="64"/>
      <c r="B227" s="22"/>
      <c r="C227" s="22"/>
      <c r="D227" s="22"/>
      <c r="E227" s="22"/>
      <c r="F227" s="22"/>
      <c r="G227" s="22"/>
      <c r="H227" s="22"/>
      <c r="I227" s="22"/>
      <c r="J227" s="22"/>
      <c r="K227" s="22"/>
      <c r="L227" s="22"/>
      <c r="M227" s="22"/>
      <c r="N227" s="22"/>
    </row>
    <row r="228" spans="1:14">
      <c r="A228" s="64" t="s">
        <v>20</v>
      </c>
      <c r="B228" s="113"/>
      <c r="C228" s="113"/>
      <c r="D228" s="113"/>
      <c r="E228" s="113"/>
      <c r="F228" s="113"/>
      <c r="G228" s="113"/>
      <c r="H228" s="113"/>
      <c r="I228" s="113"/>
      <c r="J228" s="113"/>
      <c r="K228" s="113"/>
      <c r="L228" s="113"/>
      <c r="M228" s="113"/>
      <c r="N228" s="113"/>
    </row>
    <row r="229" spans="1:14">
      <c r="A229" s="64" t="s">
        <v>262</v>
      </c>
      <c r="B229" s="107"/>
      <c r="C229" s="107"/>
      <c r="D229" s="107"/>
      <c r="E229" s="107"/>
      <c r="F229" s="107"/>
      <c r="G229" s="107"/>
      <c r="H229" s="107"/>
      <c r="I229" s="107"/>
      <c r="J229" s="107"/>
      <c r="K229" s="107"/>
      <c r="L229" s="107"/>
      <c r="M229" s="107"/>
      <c r="N229" s="107"/>
    </row>
    <row r="230" spans="1:14">
      <c r="A230" s="64"/>
      <c r="B230" s="22"/>
      <c r="C230" s="22"/>
      <c r="D230" s="22"/>
      <c r="E230" s="22"/>
      <c r="F230" s="22"/>
      <c r="G230" s="22"/>
      <c r="H230" s="22"/>
      <c r="I230" s="22"/>
      <c r="J230" s="22"/>
      <c r="K230" s="22"/>
      <c r="L230" s="22"/>
      <c r="M230" s="22"/>
      <c r="N230" s="22"/>
    </row>
    <row r="231" spans="1:14">
      <c r="A231" s="64" t="s">
        <v>263</v>
      </c>
      <c r="B231" s="113"/>
      <c r="C231" s="113"/>
      <c r="D231" s="113"/>
      <c r="E231" s="113"/>
      <c r="F231" s="113"/>
      <c r="G231" s="113"/>
      <c r="H231" s="113"/>
      <c r="I231" s="113"/>
      <c r="J231" s="113"/>
      <c r="K231" s="113"/>
      <c r="L231" s="113"/>
      <c r="M231" s="113"/>
      <c r="N231" s="113"/>
    </row>
    <row r="232" spans="1:14">
      <c r="A232" s="64" t="s">
        <v>264</v>
      </c>
      <c r="B232" s="107"/>
      <c r="C232" s="107"/>
      <c r="D232" s="107"/>
      <c r="E232" s="107"/>
      <c r="F232" s="107"/>
      <c r="G232" s="107"/>
      <c r="H232" s="107"/>
      <c r="I232" s="107"/>
      <c r="J232" s="107"/>
      <c r="K232" s="107"/>
      <c r="L232" s="107"/>
      <c r="M232" s="107"/>
      <c r="N232" s="107"/>
    </row>
    <row r="233" spans="1:14">
      <c r="A233" s="64"/>
      <c r="B233" s="22"/>
      <c r="C233" s="22"/>
      <c r="D233" s="22"/>
      <c r="E233" s="22"/>
      <c r="F233" s="22"/>
      <c r="G233" s="22"/>
      <c r="H233" s="22"/>
      <c r="I233" s="22"/>
      <c r="J233" s="22"/>
      <c r="K233" s="22"/>
      <c r="L233" s="22"/>
      <c r="M233" s="22"/>
      <c r="N233" s="22"/>
    </row>
    <row r="234" spans="1:14">
      <c r="A234" s="64" t="s">
        <v>265</v>
      </c>
      <c r="B234" s="113"/>
      <c r="C234" s="113"/>
      <c r="D234" s="113"/>
      <c r="E234" s="113"/>
      <c r="F234" s="113"/>
      <c r="G234" s="113"/>
      <c r="H234" s="113"/>
      <c r="I234" s="113"/>
      <c r="J234" s="113"/>
      <c r="K234" s="113"/>
      <c r="L234" s="113"/>
      <c r="M234" s="113"/>
      <c r="N234" s="113"/>
    </row>
    <row r="235" spans="1:14">
      <c r="A235" s="64" t="s">
        <v>319</v>
      </c>
      <c r="B235" s="107"/>
      <c r="C235" s="107"/>
      <c r="D235" s="107"/>
      <c r="E235" s="107"/>
      <c r="F235" s="107"/>
      <c r="G235" s="107"/>
      <c r="H235" s="107"/>
      <c r="I235" s="107"/>
      <c r="J235" s="107"/>
      <c r="K235" s="107"/>
      <c r="L235" s="107"/>
      <c r="M235" s="107"/>
      <c r="N235" s="107"/>
    </row>
    <row r="236" spans="1:14">
      <c r="A236" s="64"/>
      <c r="B236" s="22"/>
      <c r="C236" s="22"/>
      <c r="D236" s="22"/>
      <c r="E236" s="22"/>
      <c r="F236" s="22"/>
      <c r="G236" s="22"/>
      <c r="H236" s="22"/>
      <c r="I236" s="22"/>
      <c r="J236" s="22"/>
      <c r="K236" s="22"/>
      <c r="L236" s="22"/>
      <c r="M236" s="22"/>
      <c r="N236" s="22"/>
    </row>
    <row r="237" spans="1:14">
      <c r="A237" s="64" t="s">
        <v>106</v>
      </c>
      <c r="B237" s="113"/>
      <c r="C237" s="113"/>
      <c r="D237" s="113"/>
      <c r="E237" s="113"/>
      <c r="F237" s="113"/>
      <c r="G237" s="113"/>
      <c r="H237" s="113"/>
      <c r="I237" s="113"/>
      <c r="J237" s="113"/>
      <c r="K237" s="113"/>
      <c r="L237" s="113"/>
      <c r="M237" s="113"/>
      <c r="N237" s="113"/>
    </row>
    <row r="238" spans="1:14">
      <c r="A238" s="64" t="s">
        <v>116</v>
      </c>
      <c r="B238" s="107"/>
      <c r="C238" s="107"/>
      <c r="D238" s="107"/>
      <c r="E238" s="107"/>
      <c r="F238" s="107"/>
      <c r="G238" s="107"/>
      <c r="H238" s="107"/>
      <c r="I238" s="107"/>
      <c r="J238" s="107"/>
      <c r="K238" s="107"/>
      <c r="L238" s="107"/>
      <c r="M238" s="107"/>
      <c r="N238" s="107"/>
    </row>
    <row r="239" spans="1:14">
      <c r="A239" s="64"/>
      <c r="B239" s="22"/>
      <c r="C239" s="22"/>
      <c r="D239" s="22"/>
      <c r="E239" s="22"/>
      <c r="F239" s="22"/>
      <c r="G239" s="22"/>
      <c r="H239" s="22"/>
      <c r="I239" s="22"/>
      <c r="J239" s="22"/>
      <c r="K239" s="22"/>
      <c r="L239" s="22"/>
      <c r="M239" s="22"/>
      <c r="N239" s="22"/>
    </row>
    <row r="240" spans="1:14">
      <c r="A240" s="64" t="s">
        <v>117</v>
      </c>
      <c r="B240" s="22"/>
      <c r="C240" s="22"/>
      <c r="D240" s="22"/>
      <c r="E240" s="22"/>
      <c r="F240" s="22"/>
      <c r="G240" s="22"/>
      <c r="H240" s="22"/>
      <c r="I240" s="22"/>
      <c r="J240" s="22"/>
      <c r="K240" s="22"/>
      <c r="L240" s="22"/>
      <c r="M240" s="22"/>
      <c r="N240" s="22"/>
    </row>
    <row r="241" spans="1:14">
      <c r="A241" s="64" t="s">
        <v>66</v>
      </c>
      <c r="B241" s="111">
        <v>1193</v>
      </c>
      <c r="C241" s="111">
        <v>1200</v>
      </c>
      <c r="D241" s="111">
        <v>1240</v>
      </c>
      <c r="E241" s="111">
        <v>1200</v>
      </c>
      <c r="F241" s="111">
        <v>1209</v>
      </c>
      <c r="G241" s="111">
        <v>1209</v>
      </c>
      <c r="H241" s="111">
        <v>1092</v>
      </c>
      <c r="I241" s="111">
        <v>1240</v>
      </c>
      <c r="J241" s="111">
        <v>1140</v>
      </c>
      <c r="K241" s="111">
        <v>1271</v>
      </c>
      <c r="L241" s="111">
        <v>1260</v>
      </c>
      <c r="M241" s="111">
        <v>1209</v>
      </c>
      <c r="N241" s="111">
        <v>14463</v>
      </c>
    </row>
    <row r="242" spans="1:14">
      <c r="A242" s="64" t="s">
        <v>127</v>
      </c>
      <c r="B242" s="107">
        <f t="shared" ref="B242:M242" si="32">SUM(B239:B241)</f>
        <v>1193</v>
      </c>
      <c r="C242" s="107">
        <f t="shared" si="32"/>
        <v>1200</v>
      </c>
      <c r="D242" s="107">
        <f t="shared" si="32"/>
        <v>1240</v>
      </c>
      <c r="E242" s="107">
        <f t="shared" si="32"/>
        <v>1200</v>
      </c>
      <c r="F242" s="107">
        <f t="shared" si="32"/>
        <v>1209</v>
      </c>
      <c r="G242" s="107">
        <f t="shared" si="32"/>
        <v>1209</v>
      </c>
      <c r="H242" s="107">
        <f t="shared" si="32"/>
        <v>1092</v>
      </c>
      <c r="I242" s="107">
        <f t="shared" si="32"/>
        <v>1240</v>
      </c>
      <c r="J242" s="107">
        <f t="shared" si="32"/>
        <v>1140</v>
      </c>
      <c r="K242" s="107">
        <f t="shared" si="32"/>
        <v>1271</v>
      </c>
      <c r="L242" s="107">
        <f t="shared" si="32"/>
        <v>1260</v>
      </c>
      <c r="M242" s="107">
        <f t="shared" si="32"/>
        <v>1209</v>
      </c>
      <c r="N242" s="107">
        <v>14463</v>
      </c>
    </row>
    <row r="243" spans="1:14">
      <c r="A243" s="64"/>
      <c r="B243" s="22"/>
      <c r="C243" s="22"/>
      <c r="D243" s="22"/>
      <c r="E243" s="22"/>
      <c r="F243" s="22"/>
      <c r="G243" s="22"/>
      <c r="H243" s="22"/>
      <c r="I243" s="22"/>
      <c r="J243" s="22"/>
      <c r="K243" s="22"/>
      <c r="L243" s="22"/>
      <c r="M243" s="22"/>
      <c r="N243" s="22"/>
    </row>
    <row r="244" spans="1:14" ht="15.75" thickBot="1">
      <c r="A244" s="64" t="s">
        <v>266</v>
      </c>
      <c r="B244" s="112">
        <f t="shared" ref="B244:M244" si="33">SUM(B223:B243)-B226-B229-B232-B235-B238-B242</f>
        <v>1193</v>
      </c>
      <c r="C244" s="112">
        <f t="shared" si="33"/>
        <v>1200</v>
      </c>
      <c r="D244" s="112">
        <f t="shared" si="33"/>
        <v>1240</v>
      </c>
      <c r="E244" s="112">
        <f t="shared" si="33"/>
        <v>1200</v>
      </c>
      <c r="F244" s="112">
        <f t="shared" si="33"/>
        <v>1209</v>
      </c>
      <c r="G244" s="112">
        <f t="shared" si="33"/>
        <v>1209</v>
      </c>
      <c r="H244" s="112">
        <f t="shared" si="33"/>
        <v>1092</v>
      </c>
      <c r="I244" s="112">
        <f t="shared" si="33"/>
        <v>1240</v>
      </c>
      <c r="J244" s="112">
        <f t="shared" si="33"/>
        <v>1140</v>
      </c>
      <c r="K244" s="112">
        <f t="shared" si="33"/>
        <v>1271</v>
      </c>
      <c r="L244" s="112">
        <f t="shared" si="33"/>
        <v>1260</v>
      </c>
      <c r="M244" s="112">
        <f t="shared" si="33"/>
        <v>1209</v>
      </c>
      <c r="N244" s="112">
        <v>14463</v>
      </c>
    </row>
    <row r="245" spans="1:14" ht="15.75" thickTop="1">
      <c r="A245" s="64"/>
      <c r="B245" s="22"/>
      <c r="C245" s="22"/>
      <c r="D245" s="22"/>
      <c r="E245" s="22"/>
      <c r="F245" s="22"/>
      <c r="G245" s="22"/>
      <c r="H245" s="22"/>
      <c r="I245" s="22"/>
      <c r="J245" s="22"/>
      <c r="K245" s="22"/>
      <c r="L245" s="22"/>
      <c r="M245" s="22"/>
      <c r="N245" s="22"/>
    </row>
    <row r="246" spans="1:14" hidden="1">
      <c r="A246" s="64"/>
      <c r="B246" s="107">
        <v>14397.77</v>
      </c>
      <c r="C246" s="107">
        <v>11352.06</v>
      </c>
      <c r="D246" s="107">
        <v>19542.53</v>
      </c>
      <c r="E246" s="107">
        <v>11302.54</v>
      </c>
      <c r="F246" s="107">
        <v>10769.82</v>
      </c>
      <c r="G246" s="107">
        <v>11324.11</v>
      </c>
      <c r="H246" s="107">
        <v>5981.03</v>
      </c>
      <c r="I246" s="107">
        <v>12980.12</v>
      </c>
      <c r="J246" s="107">
        <v>12780.9</v>
      </c>
      <c r="K246" s="107">
        <v>12984.5</v>
      </c>
      <c r="L246" s="107">
        <v>5869.39</v>
      </c>
      <c r="M246" s="107">
        <v>17164.8</v>
      </c>
      <c r="N246" s="107">
        <v>146449.57</v>
      </c>
    </row>
    <row r="247" spans="1:14">
      <c r="A247" s="64" t="s">
        <v>356</v>
      </c>
      <c r="B247" s="107"/>
      <c r="C247" s="107"/>
      <c r="D247" s="107"/>
      <c r="E247" s="107"/>
      <c r="F247" s="107">
        <f>F246+F220</f>
        <v>-19.209999999913634</v>
      </c>
      <c r="G247" s="107"/>
      <c r="H247" s="107"/>
      <c r="I247" s="107"/>
      <c r="J247" s="107"/>
      <c r="K247" s="107"/>
      <c r="L247" s="107"/>
      <c r="M247" s="107"/>
      <c r="N247" s="107">
        <v>-19.21</v>
      </c>
    </row>
    <row r="248" spans="1:14">
      <c r="A248" s="64"/>
      <c r="B248" s="22"/>
      <c r="C248" s="22"/>
      <c r="D248" s="22"/>
      <c r="E248" s="22"/>
      <c r="F248" s="22"/>
      <c r="G248" s="22"/>
      <c r="H248" s="22"/>
      <c r="I248" s="22"/>
      <c r="J248" s="22"/>
      <c r="K248" s="22"/>
      <c r="L248" s="22"/>
      <c r="M248" s="22"/>
      <c r="N248" s="22"/>
    </row>
    <row r="249" spans="1:14" hidden="1">
      <c r="A249" s="64" t="s">
        <v>267</v>
      </c>
      <c r="B249" s="107">
        <f t="shared" ref="B249:M249" si="34">0+0+0+0+B241</f>
        <v>1193</v>
      </c>
      <c r="C249" s="107">
        <f t="shared" si="34"/>
        <v>1200</v>
      </c>
      <c r="D249" s="107">
        <f t="shared" si="34"/>
        <v>1240</v>
      </c>
      <c r="E249" s="107">
        <f t="shared" si="34"/>
        <v>1200</v>
      </c>
      <c r="F249" s="107">
        <f t="shared" si="34"/>
        <v>1209</v>
      </c>
      <c r="G249" s="107">
        <f t="shared" si="34"/>
        <v>1209</v>
      </c>
      <c r="H249" s="107">
        <f t="shared" si="34"/>
        <v>1092</v>
      </c>
      <c r="I249" s="107">
        <f t="shared" si="34"/>
        <v>1240</v>
      </c>
      <c r="J249" s="107">
        <f t="shared" si="34"/>
        <v>1140</v>
      </c>
      <c r="K249" s="107">
        <f t="shared" si="34"/>
        <v>1271</v>
      </c>
      <c r="L249" s="107">
        <f t="shared" si="34"/>
        <v>1260</v>
      </c>
      <c r="M249" s="107">
        <f t="shared" si="34"/>
        <v>1209</v>
      </c>
      <c r="N249" s="107">
        <v>14463</v>
      </c>
    </row>
    <row r="250" spans="1:14">
      <c r="A250" s="64"/>
      <c r="B250" s="22"/>
      <c r="C250" s="22"/>
      <c r="D250" s="22"/>
      <c r="E250" s="22"/>
      <c r="F250" s="22"/>
      <c r="G250" s="22"/>
      <c r="H250" s="22"/>
      <c r="I250" s="22"/>
      <c r="J250" s="22"/>
      <c r="K250" s="22"/>
      <c r="L250" s="22"/>
      <c r="M250" s="22"/>
      <c r="N250" s="22"/>
    </row>
  </sheetData>
  <pageMargins left="0.75" right="0.75" top="0.75" bottom="0.75" header="0.03" footer="0.03"/>
  <pageSetup scale="46" fitToHeight="0" pageOrder="overThenDown" orientation="landscape" r:id="rId1"/>
  <headerFooter>
    <oddHeader>&amp;L&amp;C&amp;"Arial,Regular"&amp;9&amp;K000000HMG Senior Living Salina, LLC 
Trailing 12 Months&amp;R</oddHeader>
  </headerFooter>
  <rowBreaks count="1" manualBreakCount="1">
    <brk id="43" max="16383" man="1"/>
  </rowBreaks>
  <customProperties>
    <customPr name="EpmWorksheetKeyString_GUID" r:id="rId2"/>
  </customProperties>
  <drawing r:id="rId3"/>
  <legacyDrawing r:id="rId4"/>
  <controls>
    <mc:AlternateContent xmlns:mc="http://schemas.openxmlformats.org/markup-compatibility/2006">
      <mc:Choice Requires="x14">
        <control shapeId="17409"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7409" r:id="rId5" name="FPMExcelClientSheetOptionstb1"/>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N257"/>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38</v>
      </c>
      <c r="B4" s="114">
        <f t="shared" ref="B4:M4" si="0">B249</f>
        <v>1499</v>
      </c>
      <c r="C4" s="114">
        <f t="shared" si="0"/>
        <v>1380</v>
      </c>
      <c r="D4" s="114">
        <f t="shared" si="0"/>
        <v>1519</v>
      </c>
      <c r="E4" s="114">
        <f t="shared" si="0"/>
        <v>1530</v>
      </c>
      <c r="F4" s="114">
        <f t="shared" si="0"/>
        <v>1612</v>
      </c>
      <c r="G4" s="114">
        <f t="shared" si="0"/>
        <v>1659</v>
      </c>
      <c r="H4" s="114">
        <f t="shared" si="0"/>
        <v>1458</v>
      </c>
      <c r="I4" s="114">
        <f t="shared" si="0"/>
        <v>1674</v>
      </c>
      <c r="J4" s="114">
        <f t="shared" si="0"/>
        <v>1590</v>
      </c>
      <c r="K4" s="114">
        <f t="shared" si="0"/>
        <v>1674</v>
      </c>
      <c r="L4" s="114">
        <f t="shared" si="0"/>
        <v>1650</v>
      </c>
      <c r="M4" s="114">
        <f t="shared" si="0"/>
        <v>1705</v>
      </c>
      <c r="N4" s="114">
        <v>18950</v>
      </c>
    </row>
    <row r="5" spans="1:14" ht="15.75" thickBot="1">
      <c r="A5" s="64" t="s">
        <v>39</v>
      </c>
      <c r="B5" s="112">
        <f t="shared" ref="B5:M5" si="1">B256</f>
        <v>1499</v>
      </c>
      <c r="C5" s="112">
        <f t="shared" si="1"/>
        <v>1380</v>
      </c>
      <c r="D5" s="112">
        <f t="shared" si="1"/>
        <v>1519</v>
      </c>
      <c r="E5" s="112">
        <f t="shared" si="1"/>
        <v>1530</v>
      </c>
      <c r="F5" s="112">
        <f t="shared" si="1"/>
        <v>1612</v>
      </c>
      <c r="G5" s="112">
        <f t="shared" si="1"/>
        <v>1659</v>
      </c>
      <c r="H5" s="112">
        <f t="shared" si="1"/>
        <v>1458</v>
      </c>
      <c r="I5" s="112">
        <f t="shared" si="1"/>
        <v>1674</v>
      </c>
      <c r="J5" s="112">
        <f t="shared" si="1"/>
        <v>1590</v>
      </c>
      <c r="K5" s="112">
        <f t="shared" si="1"/>
        <v>1674</v>
      </c>
      <c r="L5" s="112">
        <f t="shared" si="1"/>
        <v>1650</v>
      </c>
      <c r="M5" s="112">
        <f t="shared" si="1"/>
        <v>1705</v>
      </c>
      <c r="N5" s="112">
        <v>18950</v>
      </c>
    </row>
    <row r="6" spans="1:14" ht="15.75" thickTop="1">
      <c r="A6" s="64"/>
      <c r="B6" s="22"/>
      <c r="C6" s="22"/>
      <c r="D6" s="22"/>
      <c r="E6" s="22"/>
      <c r="F6" s="22"/>
      <c r="G6" s="22"/>
      <c r="H6" s="22"/>
      <c r="I6" s="22"/>
      <c r="J6" s="22"/>
      <c r="K6" s="22"/>
      <c r="L6" s="22"/>
      <c r="M6" s="22"/>
      <c r="N6" s="22"/>
    </row>
    <row r="7" spans="1:14">
      <c r="A7" s="64" t="s">
        <v>40</v>
      </c>
      <c r="B7" s="22"/>
      <c r="C7" s="22"/>
      <c r="D7" s="22"/>
      <c r="E7" s="22"/>
      <c r="F7" s="22"/>
      <c r="G7" s="22"/>
      <c r="H7" s="22"/>
      <c r="I7" s="22"/>
      <c r="J7" s="22"/>
      <c r="K7" s="22"/>
      <c r="L7" s="22"/>
      <c r="M7" s="22"/>
      <c r="N7" s="22"/>
    </row>
    <row r="8" spans="1:14">
      <c r="A8" s="64"/>
      <c r="B8" s="22"/>
      <c r="C8" s="22"/>
      <c r="D8" s="22"/>
      <c r="E8" s="22"/>
      <c r="F8" s="22"/>
      <c r="G8" s="22"/>
      <c r="H8" s="22"/>
      <c r="I8" s="22"/>
      <c r="J8" s="22"/>
      <c r="K8" s="22"/>
      <c r="L8" s="22"/>
      <c r="M8" s="22"/>
      <c r="N8" s="22"/>
    </row>
    <row r="9" spans="1:14">
      <c r="A9" s="64" t="s">
        <v>41</v>
      </c>
      <c r="B9" s="22"/>
      <c r="C9" s="22"/>
      <c r="D9" s="22"/>
      <c r="E9" s="22"/>
      <c r="F9" s="22"/>
      <c r="G9" s="22"/>
      <c r="H9" s="22"/>
      <c r="I9" s="22"/>
      <c r="J9" s="22"/>
      <c r="K9" s="22"/>
      <c r="L9" s="22"/>
      <c r="M9" s="22"/>
      <c r="N9" s="22"/>
    </row>
    <row r="10" spans="1:14">
      <c r="A10" s="64" t="s">
        <v>38</v>
      </c>
      <c r="B10" s="111">
        <f t="shared" ref="B10:M10" si="2">B65</f>
        <v>87468.23</v>
      </c>
      <c r="C10" s="111">
        <f t="shared" si="2"/>
        <v>87968.23</v>
      </c>
      <c r="D10" s="111">
        <f t="shared" si="2"/>
        <v>94405.31</v>
      </c>
      <c r="E10" s="111">
        <f t="shared" si="2"/>
        <v>96715</v>
      </c>
      <c r="F10" s="111">
        <f t="shared" si="2"/>
        <v>100165</v>
      </c>
      <c r="G10" s="111">
        <f t="shared" si="2"/>
        <v>102113.42</v>
      </c>
      <c r="H10" s="111">
        <f t="shared" si="2"/>
        <v>99715.71</v>
      </c>
      <c r="I10" s="111">
        <f t="shared" si="2"/>
        <v>105440</v>
      </c>
      <c r="J10" s="111">
        <f t="shared" si="2"/>
        <v>101815</v>
      </c>
      <c r="K10" s="111">
        <f t="shared" si="2"/>
        <v>103915</v>
      </c>
      <c r="L10" s="111">
        <f t="shared" si="2"/>
        <v>106114.9</v>
      </c>
      <c r="M10" s="111">
        <f t="shared" si="2"/>
        <v>102165</v>
      </c>
      <c r="N10" s="111">
        <v>1188000.8</v>
      </c>
    </row>
    <row r="11" spans="1:14">
      <c r="A11" s="64" t="s">
        <v>42</v>
      </c>
      <c r="B11" s="107">
        <f t="shared" ref="B11:M11" si="3">B67</f>
        <v>87468.23</v>
      </c>
      <c r="C11" s="107">
        <f t="shared" si="3"/>
        <v>87968.23</v>
      </c>
      <c r="D11" s="107">
        <f t="shared" si="3"/>
        <v>94405.31</v>
      </c>
      <c r="E11" s="107">
        <f t="shared" si="3"/>
        <v>96715</v>
      </c>
      <c r="F11" s="107">
        <f t="shared" si="3"/>
        <v>100165</v>
      </c>
      <c r="G11" s="107">
        <f t="shared" si="3"/>
        <v>102113.42</v>
      </c>
      <c r="H11" s="107">
        <f t="shared" si="3"/>
        <v>99715.71</v>
      </c>
      <c r="I11" s="107">
        <f t="shared" si="3"/>
        <v>105440</v>
      </c>
      <c r="J11" s="107">
        <f t="shared" si="3"/>
        <v>101815</v>
      </c>
      <c r="K11" s="107">
        <f t="shared" si="3"/>
        <v>103915</v>
      </c>
      <c r="L11" s="107">
        <f t="shared" si="3"/>
        <v>106114.9</v>
      </c>
      <c r="M11" s="107">
        <f t="shared" si="3"/>
        <v>102165</v>
      </c>
      <c r="N11" s="107">
        <v>1188000.8</v>
      </c>
    </row>
    <row r="12" spans="1:14">
      <c r="A12" s="64"/>
      <c r="B12" s="22"/>
      <c r="C12" s="22"/>
      <c r="D12" s="22"/>
      <c r="E12" s="22"/>
      <c r="F12" s="22"/>
      <c r="G12" s="22"/>
      <c r="H12" s="22"/>
      <c r="I12" s="22"/>
      <c r="J12" s="22"/>
      <c r="K12" s="22"/>
      <c r="L12" s="22"/>
      <c r="M12" s="22"/>
      <c r="N12" s="22"/>
    </row>
    <row r="13" spans="1:14">
      <c r="A13" s="64" t="s">
        <v>43</v>
      </c>
      <c r="B13" s="22"/>
      <c r="C13" s="22"/>
      <c r="D13" s="22"/>
      <c r="E13" s="22"/>
      <c r="F13" s="22"/>
      <c r="G13" s="22"/>
      <c r="H13" s="22"/>
      <c r="I13" s="22"/>
      <c r="J13" s="22"/>
      <c r="K13" s="22"/>
      <c r="L13" s="22"/>
      <c r="M13" s="22"/>
      <c r="N13" s="22"/>
    </row>
    <row r="14" spans="1:14">
      <c r="A14" s="64" t="s">
        <v>38</v>
      </c>
      <c r="B14" s="111">
        <f>B88</f>
        <v>-12.08</v>
      </c>
      <c r="C14" s="111"/>
      <c r="D14" s="111">
        <f>D88</f>
        <v>50.17</v>
      </c>
      <c r="E14" s="111">
        <f>E88</f>
        <v>-31.5</v>
      </c>
      <c r="F14" s="111"/>
      <c r="G14" s="111">
        <f>G88</f>
        <v>-22.88</v>
      </c>
      <c r="H14" s="111">
        <f>H88</f>
        <v>-63.87</v>
      </c>
      <c r="I14" s="111"/>
      <c r="J14" s="111"/>
      <c r="K14" s="111"/>
      <c r="L14" s="111"/>
      <c r="M14" s="111">
        <f>M88</f>
        <v>1630.6</v>
      </c>
      <c r="N14" s="111">
        <v>1550.44</v>
      </c>
    </row>
    <row r="15" spans="1:14">
      <c r="A15" s="64" t="s">
        <v>44</v>
      </c>
      <c r="B15" s="107">
        <f>B90</f>
        <v>-12.08</v>
      </c>
      <c r="C15" s="107"/>
      <c r="D15" s="107">
        <f>D90</f>
        <v>50.17</v>
      </c>
      <c r="E15" s="107">
        <f>E90</f>
        <v>-31.5</v>
      </c>
      <c r="F15" s="107"/>
      <c r="G15" s="107">
        <f>G90</f>
        <v>-22.88</v>
      </c>
      <c r="H15" s="107">
        <f>H90</f>
        <v>-63.87</v>
      </c>
      <c r="I15" s="107"/>
      <c r="J15" s="107"/>
      <c r="K15" s="107"/>
      <c r="L15" s="107"/>
      <c r="M15" s="107">
        <f>M90</f>
        <v>1630.6</v>
      </c>
      <c r="N15" s="107">
        <v>1550.44</v>
      </c>
    </row>
    <row r="16" spans="1:14">
      <c r="A16" s="64"/>
      <c r="B16" s="22"/>
      <c r="C16" s="22"/>
      <c r="D16" s="22"/>
      <c r="E16" s="22"/>
      <c r="F16" s="22"/>
      <c r="G16" s="22"/>
      <c r="H16" s="22"/>
      <c r="I16" s="22"/>
      <c r="J16" s="22"/>
      <c r="K16" s="22"/>
      <c r="L16" s="22"/>
      <c r="M16" s="22"/>
      <c r="N16" s="22"/>
    </row>
    <row r="17" spans="1:14">
      <c r="A17" s="64" t="s">
        <v>45</v>
      </c>
      <c r="B17" s="22"/>
      <c r="C17" s="22"/>
      <c r="D17" s="22"/>
      <c r="E17" s="22"/>
      <c r="F17" s="22"/>
      <c r="G17" s="22"/>
      <c r="H17" s="22"/>
      <c r="I17" s="22"/>
      <c r="J17" s="22"/>
      <c r="K17" s="22"/>
      <c r="L17" s="22"/>
      <c r="M17" s="22"/>
      <c r="N17" s="22"/>
    </row>
    <row r="18" spans="1:14">
      <c r="A18" s="64" t="s">
        <v>38</v>
      </c>
      <c r="B18" s="111">
        <f>B110</f>
        <v>12.08</v>
      </c>
      <c r="C18" s="111">
        <f>C110</f>
        <v>0.97</v>
      </c>
      <c r="D18" s="111">
        <f>D110</f>
        <v>-0.97</v>
      </c>
      <c r="E18" s="111"/>
      <c r="F18" s="111"/>
      <c r="G18" s="111"/>
      <c r="H18" s="111"/>
      <c r="I18" s="111"/>
      <c r="J18" s="111"/>
      <c r="K18" s="111"/>
      <c r="L18" s="111"/>
      <c r="M18" s="111">
        <f>M110</f>
        <v>250</v>
      </c>
      <c r="N18" s="111">
        <v>262.08</v>
      </c>
    </row>
    <row r="19" spans="1:14">
      <c r="A19" s="64" t="s">
        <v>47</v>
      </c>
      <c r="B19" s="107">
        <f>B112</f>
        <v>12.08</v>
      </c>
      <c r="C19" s="107">
        <f>C112</f>
        <v>0.97</v>
      </c>
      <c r="D19" s="107">
        <f>D112</f>
        <v>-0.97</v>
      </c>
      <c r="E19" s="107"/>
      <c r="F19" s="107"/>
      <c r="G19" s="107"/>
      <c r="H19" s="107"/>
      <c r="I19" s="107"/>
      <c r="J19" s="107"/>
      <c r="K19" s="107"/>
      <c r="L19" s="107"/>
      <c r="M19" s="107">
        <f>M112</f>
        <v>250</v>
      </c>
      <c r="N19" s="107">
        <v>262.08</v>
      </c>
    </row>
    <row r="20" spans="1:14">
      <c r="A20" s="64"/>
      <c r="B20" s="22"/>
      <c r="C20" s="22"/>
      <c r="D20" s="22"/>
      <c r="E20" s="22"/>
      <c r="F20" s="22"/>
      <c r="G20" s="22"/>
      <c r="H20" s="22"/>
      <c r="I20" s="22"/>
      <c r="J20" s="22"/>
      <c r="K20" s="22"/>
      <c r="L20" s="22"/>
      <c r="M20" s="22"/>
      <c r="N20" s="22"/>
    </row>
    <row r="21" spans="1:14">
      <c r="A21" s="64" t="s">
        <v>48</v>
      </c>
      <c r="B21" s="107">
        <f t="shared" ref="B21:M21" si="4">B119</f>
        <v>1157.3399999999999</v>
      </c>
      <c r="C21" s="107">
        <f t="shared" si="4"/>
        <v>4362.3600000000006</v>
      </c>
      <c r="D21" s="107">
        <f t="shared" si="4"/>
        <v>4949.03</v>
      </c>
      <c r="E21" s="107">
        <f t="shared" si="4"/>
        <v>2571.5</v>
      </c>
      <c r="F21" s="107">
        <f t="shared" si="4"/>
        <v>2420</v>
      </c>
      <c r="G21" s="107">
        <f t="shared" si="4"/>
        <v>2445</v>
      </c>
      <c r="H21" s="107">
        <f t="shared" si="4"/>
        <v>10605.03</v>
      </c>
      <c r="I21" s="107">
        <f t="shared" si="4"/>
        <v>4615</v>
      </c>
      <c r="J21" s="107">
        <f t="shared" si="4"/>
        <v>4435</v>
      </c>
      <c r="K21" s="107">
        <f t="shared" si="4"/>
        <v>1390.8600000000001</v>
      </c>
      <c r="L21" s="107">
        <f t="shared" si="4"/>
        <v>4295.42</v>
      </c>
      <c r="M21" s="107">
        <f t="shared" si="4"/>
        <v>2678.53</v>
      </c>
      <c r="N21" s="107">
        <v>45925.07</v>
      </c>
    </row>
    <row r="22" spans="1:14">
      <c r="A22" s="64"/>
      <c r="B22" s="22"/>
      <c r="C22" s="22"/>
      <c r="D22" s="22"/>
      <c r="E22" s="22"/>
      <c r="F22" s="22"/>
      <c r="G22" s="22"/>
      <c r="H22" s="22"/>
      <c r="I22" s="22"/>
      <c r="J22" s="22"/>
      <c r="K22" s="22"/>
      <c r="L22" s="22"/>
      <c r="M22" s="22"/>
      <c r="N22" s="22"/>
    </row>
    <row r="23" spans="1:14" ht="15.75" thickBot="1">
      <c r="A23" s="64" t="s">
        <v>13</v>
      </c>
      <c r="B23" s="112">
        <f t="shared" ref="B23:M23" si="5">B121</f>
        <v>88625.57000000008</v>
      </c>
      <c r="C23" s="112">
        <f t="shared" si="5"/>
        <v>92331.55999999991</v>
      </c>
      <c r="D23" s="112">
        <f t="shared" si="5"/>
        <v>99403.540000000095</v>
      </c>
      <c r="E23" s="112">
        <f t="shared" si="5"/>
        <v>99255</v>
      </c>
      <c r="F23" s="112">
        <f t="shared" si="5"/>
        <v>102585</v>
      </c>
      <c r="G23" s="112">
        <f t="shared" si="5"/>
        <v>104535.54000000002</v>
      </c>
      <c r="H23" s="112">
        <f t="shared" si="5"/>
        <v>110256.86999999998</v>
      </c>
      <c r="I23" s="112">
        <f t="shared" si="5"/>
        <v>110055</v>
      </c>
      <c r="J23" s="112">
        <f t="shared" si="5"/>
        <v>106250</v>
      </c>
      <c r="K23" s="112">
        <f t="shared" si="5"/>
        <v>105305.85999999997</v>
      </c>
      <c r="L23" s="112">
        <f t="shared" si="5"/>
        <v>110410.31999999993</v>
      </c>
      <c r="M23" s="112">
        <f t="shared" si="5"/>
        <v>106724.12999999998</v>
      </c>
      <c r="N23" s="112">
        <v>1235738.3899999999</v>
      </c>
    </row>
    <row r="24" spans="1:14" ht="15.75" thickTop="1">
      <c r="A24" s="64"/>
      <c r="B24" s="22"/>
      <c r="C24" s="22"/>
      <c r="D24" s="22"/>
      <c r="E24" s="22"/>
      <c r="F24" s="22"/>
      <c r="G24" s="22"/>
      <c r="H24" s="22"/>
      <c r="I24" s="22"/>
      <c r="J24" s="22"/>
      <c r="K24" s="22"/>
      <c r="L24" s="22"/>
      <c r="M24" s="22"/>
      <c r="N24" s="22"/>
    </row>
    <row r="25" spans="1:14">
      <c r="A25" s="64" t="s">
        <v>14</v>
      </c>
      <c r="B25" s="22"/>
      <c r="C25" s="22"/>
      <c r="D25" s="22"/>
      <c r="E25" s="22"/>
      <c r="F25" s="22"/>
      <c r="G25" s="22"/>
      <c r="H25" s="22"/>
      <c r="I25" s="22"/>
      <c r="J25" s="22"/>
      <c r="K25" s="22"/>
      <c r="L25" s="22"/>
      <c r="M25" s="22"/>
      <c r="N25" s="22"/>
    </row>
    <row r="26" spans="1:14">
      <c r="A26" s="64" t="s">
        <v>49</v>
      </c>
      <c r="B26" s="107">
        <f t="shared" ref="B26:M26" si="6">B134</f>
        <v>24339.55</v>
      </c>
      <c r="C26" s="107">
        <f t="shared" si="6"/>
        <v>22533.940000000002</v>
      </c>
      <c r="D26" s="107">
        <f t="shared" si="6"/>
        <v>24406.010000000002</v>
      </c>
      <c r="E26" s="107">
        <f t="shared" si="6"/>
        <v>22775.3</v>
      </c>
      <c r="F26" s="107">
        <f t="shared" si="6"/>
        <v>22399.289999999997</v>
      </c>
      <c r="G26" s="107">
        <f t="shared" si="6"/>
        <v>24463.49</v>
      </c>
      <c r="H26" s="107">
        <f t="shared" si="6"/>
        <v>22982.880000000001</v>
      </c>
      <c r="I26" s="107">
        <f t="shared" si="6"/>
        <v>26116.9</v>
      </c>
      <c r="J26" s="107">
        <f t="shared" si="6"/>
        <v>22661.61</v>
      </c>
      <c r="K26" s="107">
        <f t="shared" si="6"/>
        <v>22996.3</v>
      </c>
      <c r="L26" s="107">
        <f t="shared" si="6"/>
        <v>27931.119999999999</v>
      </c>
      <c r="M26" s="107">
        <f t="shared" si="6"/>
        <v>27863.59</v>
      </c>
      <c r="N26" s="107">
        <v>291469.98</v>
      </c>
    </row>
    <row r="27" spans="1:14">
      <c r="A27" s="64" t="s">
        <v>51</v>
      </c>
      <c r="B27" s="107">
        <f t="shared" ref="B27:M27" si="7">B147</f>
        <v>4015.9300000000003</v>
      </c>
      <c r="C27" s="107">
        <f t="shared" si="7"/>
        <v>4203.84</v>
      </c>
      <c r="D27" s="107">
        <f t="shared" si="7"/>
        <v>3766.9100000000003</v>
      </c>
      <c r="E27" s="107">
        <f t="shared" si="7"/>
        <v>5922.1900000000005</v>
      </c>
      <c r="F27" s="107">
        <f t="shared" si="7"/>
        <v>7024.6799999999994</v>
      </c>
      <c r="G27" s="107">
        <f t="shared" si="7"/>
        <v>5958.5</v>
      </c>
      <c r="H27" s="107">
        <f t="shared" si="7"/>
        <v>3189.4300000000003</v>
      </c>
      <c r="I27" s="107">
        <f t="shared" si="7"/>
        <v>5326.58</v>
      </c>
      <c r="J27" s="107">
        <f t="shared" si="7"/>
        <v>6128.6</v>
      </c>
      <c r="K27" s="107">
        <f t="shared" si="7"/>
        <v>8582.5999999999985</v>
      </c>
      <c r="L27" s="107">
        <f t="shared" si="7"/>
        <v>3015.3500000000004</v>
      </c>
      <c r="M27" s="107">
        <f t="shared" si="7"/>
        <v>5063.97</v>
      </c>
      <c r="N27" s="107">
        <v>62198.58</v>
      </c>
    </row>
    <row r="28" spans="1:14">
      <c r="A28" s="64" t="s">
        <v>53</v>
      </c>
      <c r="B28" s="107">
        <f t="shared" ref="B28:M28" si="8">B167</f>
        <v>17963.689999999999</v>
      </c>
      <c r="C28" s="107">
        <f t="shared" si="8"/>
        <v>20484.72</v>
      </c>
      <c r="D28" s="107">
        <f t="shared" si="8"/>
        <v>19018.2</v>
      </c>
      <c r="E28" s="107">
        <f t="shared" si="8"/>
        <v>16654.7</v>
      </c>
      <c r="F28" s="107">
        <f t="shared" si="8"/>
        <v>19605.329999999998</v>
      </c>
      <c r="G28" s="107">
        <f t="shared" si="8"/>
        <v>20182.510000000002</v>
      </c>
      <c r="H28" s="107">
        <f t="shared" si="8"/>
        <v>16983.23</v>
      </c>
      <c r="I28" s="107">
        <f t="shared" si="8"/>
        <v>13724.69</v>
      </c>
      <c r="J28" s="107">
        <f t="shared" si="8"/>
        <v>21342.9</v>
      </c>
      <c r="K28" s="107">
        <f t="shared" si="8"/>
        <v>17192.800000000003</v>
      </c>
      <c r="L28" s="107">
        <f t="shared" si="8"/>
        <v>18495.079999999998</v>
      </c>
      <c r="M28" s="107">
        <f t="shared" si="8"/>
        <v>24088.920000000002</v>
      </c>
      <c r="N28" s="107">
        <v>225736.77</v>
      </c>
    </row>
    <row r="29" spans="1:14">
      <c r="A29" s="64" t="s">
        <v>54</v>
      </c>
      <c r="B29" s="107">
        <f t="shared" ref="B29:M29" si="9">B180</f>
        <v>13257.330000000002</v>
      </c>
      <c r="C29" s="107">
        <f t="shared" si="9"/>
        <v>9153.2100000000009</v>
      </c>
      <c r="D29" s="107">
        <f t="shared" si="9"/>
        <v>7733.1299999999992</v>
      </c>
      <c r="E29" s="107">
        <f t="shared" si="9"/>
        <v>9694.6099999999988</v>
      </c>
      <c r="F29" s="107">
        <f t="shared" si="9"/>
        <v>12670.179999999998</v>
      </c>
      <c r="G29" s="107">
        <f t="shared" si="9"/>
        <v>7131.0199999999995</v>
      </c>
      <c r="H29" s="107">
        <f t="shared" si="9"/>
        <v>9850.39</v>
      </c>
      <c r="I29" s="107">
        <f t="shared" si="9"/>
        <v>8589.19</v>
      </c>
      <c r="J29" s="107">
        <f t="shared" si="9"/>
        <v>13485.380000000001</v>
      </c>
      <c r="K29" s="107">
        <f t="shared" si="9"/>
        <v>12943.249999999998</v>
      </c>
      <c r="L29" s="107">
        <f t="shared" si="9"/>
        <v>16613.289999999997</v>
      </c>
      <c r="M29" s="107">
        <f t="shared" si="9"/>
        <v>11862.71</v>
      </c>
      <c r="N29" s="107">
        <v>132983.69</v>
      </c>
    </row>
    <row r="30" spans="1:14">
      <c r="A30" s="64" t="s">
        <v>55</v>
      </c>
      <c r="B30" s="107">
        <f t="shared" ref="B30:M30" si="10">B186</f>
        <v>403.92</v>
      </c>
      <c r="C30" s="107">
        <f t="shared" si="10"/>
        <v>401.91</v>
      </c>
      <c r="D30" s="107">
        <f t="shared" si="10"/>
        <v>1317.07</v>
      </c>
      <c r="E30" s="107">
        <f t="shared" si="10"/>
        <v>379.78999999999996</v>
      </c>
      <c r="F30" s="107">
        <f t="shared" si="10"/>
        <v>206.29000000000002</v>
      </c>
      <c r="G30" s="107">
        <f t="shared" si="10"/>
        <v>160.4</v>
      </c>
      <c r="H30" s="107">
        <f t="shared" si="10"/>
        <v>365.28999999999996</v>
      </c>
      <c r="I30" s="107">
        <f t="shared" si="10"/>
        <v>821.31000000000006</v>
      </c>
      <c r="J30" s="107">
        <f t="shared" si="10"/>
        <v>365.49</v>
      </c>
      <c r="K30" s="107">
        <f t="shared" si="10"/>
        <v>986.2600000000001</v>
      </c>
      <c r="L30" s="107">
        <f t="shared" si="10"/>
        <v>1403.38</v>
      </c>
      <c r="M30" s="107">
        <f t="shared" si="10"/>
        <v>927.9899999999999</v>
      </c>
      <c r="N30" s="107">
        <v>7739.1</v>
      </c>
    </row>
    <row r="31" spans="1:14">
      <c r="A31" s="64" t="s">
        <v>56</v>
      </c>
      <c r="B31" s="107">
        <f t="shared" ref="B31:M31" si="11">B193</f>
        <v>4030.73</v>
      </c>
      <c r="C31" s="107">
        <f t="shared" si="11"/>
        <v>4030.73</v>
      </c>
      <c r="D31" s="107">
        <f t="shared" si="11"/>
        <v>4116.2</v>
      </c>
      <c r="E31" s="107">
        <f t="shared" si="11"/>
        <v>4066.2</v>
      </c>
      <c r="F31" s="107">
        <f t="shared" si="11"/>
        <v>4682.91</v>
      </c>
      <c r="G31" s="107">
        <f t="shared" si="11"/>
        <v>4097.3999999999996</v>
      </c>
      <c r="H31" s="107">
        <f t="shared" si="11"/>
        <v>4423.2299999999996</v>
      </c>
      <c r="I31" s="107">
        <f t="shared" si="11"/>
        <v>4030.73</v>
      </c>
      <c r="J31" s="107">
        <f t="shared" si="11"/>
        <v>4260.7299999999996</v>
      </c>
      <c r="K31" s="107">
        <f t="shared" si="11"/>
        <v>4030.73</v>
      </c>
      <c r="L31" s="107">
        <f t="shared" si="11"/>
        <v>4030.73</v>
      </c>
      <c r="M31" s="107">
        <f t="shared" si="11"/>
        <v>4130.7299999999996</v>
      </c>
      <c r="N31" s="107">
        <v>49931.05</v>
      </c>
    </row>
    <row r="32" spans="1:14">
      <c r="A32" s="64" t="s">
        <v>58</v>
      </c>
      <c r="B32" s="107">
        <f t="shared" ref="B32:M32" si="12">B203</f>
        <v>3489.9600000000005</v>
      </c>
      <c r="C32" s="107">
        <f t="shared" si="12"/>
        <v>3456.09</v>
      </c>
      <c r="D32" s="107">
        <f t="shared" si="12"/>
        <v>3428.94</v>
      </c>
      <c r="E32" s="107">
        <f t="shared" si="12"/>
        <v>3428.94</v>
      </c>
      <c r="F32" s="107">
        <f t="shared" si="12"/>
        <v>3428.93</v>
      </c>
      <c r="G32" s="107">
        <f t="shared" si="12"/>
        <v>3908.1400000000003</v>
      </c>
      <c r="H32" s="107">
        <f t="shared" si="12"/>
        <v>2866.28</v>
      </c>
      <c r="I32" s="107">
        <f t="shared" si="12"/>
        <v>3443.42</v>
      </c>
      <c r="J32" s="107">
        <f t="shared" si="12"/>
        <v>3219.35</v>
      </c>
      <c r="K32" s="107">
        <f t="shared" si="12"/>
        <v>3864.35</v>
      </c>
      <c r="L32" s="107">
        <f t="shared" si="12"/>
        <v>3453.85</v>
      </c>
      <c r="M32" s="107">
        <f t="shared" si="12"/>
        <v>3453.85</v>
      </c>
      <c r="N32" s="107">
        <v>41442.1</v>
      </c>
    </row>
    <row r="33" spans="1:14">
      <c r="A33" s="64" t="s">
        <v>59</v>
      </c>
      <c r="B33" s="107">
        <f t="shared" ref="B33:M33" si="13">B210</f>
        <v>2701.86</v>
      </c>
      <c r="C33" s="107">
        <f t="shared" si="13"/>
        <v>2730.7599999999998</v>
      </c>
      <c r="D33" s="107">
        <f t="shared" si="13"/>
        <v>2661.06</v>
      </c>
      <c r="E33" s="107">
        <f t="shared" si="13"/>
        <v>2661.06</v>
      </c>
      <c r="F33" s="107">
        <f t="shared" si="13"/>
        <v>2714.72</v>
      </c>
      <c r="G33" s="107">
        <f t="shared" si="13"/>
        <v>2714.7499999999995</v>
      </c>
      <c r="H33" s="107">
        <f t="shared" si="13"/>
        <v>2708.11</v>
      </c>
      <c r="I33" s="107">
        <f t="shared" si="13"/>
        <v>2755.59</v>
      </c>
      <c r="J33" s="107">
        <f t="shared" si="13"/>
        <v>3087.5</v>
      </c>
      <c r="K33" s="107">
        <f t="shared" si="13"/>
        <v>2812.58</v>
      </c>
      <c r="L33" s="107">
        <f t="shared" si="13"/>
        <v>2873.94</v>
      </c>
      <c r="M33" s="107">
        <f t="shared" si="13"/>
        <v>2767.36</v>
      </c>
      <c r="N33" s="107">
        <v>33189.29</v>
      </c>
    </row>
    <row r="34" spans="1:14">
      <c r="A34" s="64" t="s">
        <v>60</v>
      </c>
      <c r="B34" s="107">
        <f t="shared" ref="B34:M34" si="14">B216</f>
        <v>33531.469999999994</v>
      </c>
      <c r="C34" s="107">
        <f t="shared" si="14"/>
        <v>34414.239999999998</v>
      </c>
      <c r="D34" s="107">
        <f t="shared" si="14"/>
        <v>34409.67</v>
      </c>
      <c r="E34" s="107">
        <f t="shared" si="14"/>
        <v>34409.67</v>
      </c>
      <c r="F34" s="107">
        <f t="shared" si="14"/>
        <v>34411.040000000001</v>
      </c>
      <c r="G34" s="107">
        <f t="shared" si="14"/>
        <v>34308.58</v>
      </c>
      <c r="H34" s="107">
        <f t="shared" si="14"/>
        <v>34308.58</v>
      </c>
      <c r="I34" s="107">
        <f t="shared" si="14"/>
        <v>34393.86</v>
      </c>
      <c r="J34" s="107">
        <f t="shared" si="14"/>
        <v>36193.57</v>
      </c>
      <c r="K34" s="107">
        <f t="shared" si="14"/>
        <v>34369.839999999997</v>
      </c>
      <c r="L34" s="107">
        <f t="shared" si="14"/>
        <v>34359.85</v>
      </c>
      <c r="M34" s="107">
        <f t="shared" si="14"/>
        <v>37446.719999999994</v>
      </c>
      <c r="N34" s="107">
        <v>416557.09</v>
      </c>
    </row>
    <row r="35" spans="1:14">
      <c r="A35" s="64"/>
      <c r="B35" s="22"/>
      <c r="C35" s="22"/>
      <c r="D35" s="22"/>
      <c r="E35" s="22"/>
      <c r="F35" s="22"/>
      <c r="G35" s="22"/>
      <c r="H35" s="22"/>
      <c r="I35" s="22"/>
      <c r="J35" s="22"/>
      <c r="K35" s="22"/>
      <c r="L35" s="22"/>
      <c r="M35" s="22"/>
      <c r="N35" s="22"/>
    </row>
    <row r="36" spans="1:14" ht="15.75" thickBot="1">
      <c r="A36" s="64" t="s">
        <v>62</v>
      </c>
      <c r="B36" s="112">
        <f t="shared" ref="B36:M36" si="15">B220</f>
        <v>103734.44</v>
      </c>
      <c r="C36" s="112">
        <f t="shared" si="15"/>
        <v>101409.44000000003</v>
      </c>
      <c r="D36" s="112">
        <f t="shared" si="15"/>
        <v>100857.18999999996</v>
      </c>
      <c r="E36" s="112">
        <f t="shared" si="15"/>
        <v>99992.460000000036</v>
      </c>
      <c r="F36" s="112">
        <f t="shared" si="15"/>
        <v>107143.37</v>
      </c>
      <c r="G36" s="112">
        <f t="shared" si="15"/>
        <v>102924.79000000002</v>
      </c>
      <c r="H36" s="112">
        <f t="shared" si="15"/>
        <v>97677.419999999969</v>
      </c>
      <c r="I36" s="112">
        <f t="shared" si="15"/>
        <v>99202.270000000033</v>
      </c>
      <c r="J36" s="112">
        <f t="shared" si="15"/>
        <v>110745.13</v>
      </c>
      <c r="K36" s="112">
        <f t="shared" si="15"/>
        <v>107778.70999999996</v>
      </c>
      <c r="L36" s="112">
        <f t="shared" si="15"/>
        <v>112176.59000000003</v>
      </c>
      <c r="M36" s="112">
        <f t="shared" si="15"/>
        <v>117605.84</v>
      </c>
      <c r="N36" s="112">
        <v>1261247.6499999999</v>
      </c>
    </row>
    <row r="37" spans="1:14" ht="15.75" thickTop="1">
      <c r="A37" s="64"/>
      <c r="B37" s="22"/>
      <c r="C37" s="22"/>
      <c r="D37" s="22"/>
      <c r="E37" s="22"/>
      <c r="F37" s="22"/>
      <c r="G37" s="22"/>
      <c r="H37" s="22"/>
      <c r="I37" s="22"/>
      <c r="J37" s="22"/>
      <c r="K37" s="22"/>
      <c r="L37" s="22"/>
      <c r="M37" s="22"/>
      <c r="N37" s="22"/>
    </row>
    <row r="38" spans="1:14" ht="15.75" thickBot="1">
      <c r="A38" s="64" t="s">
        <v>63</v>
      </c>
      <c r="B38" s="112">
        <f t="shared" ref="B38:M38" si="16">B222</f>
        <v>-15108.869999999923</v>
      </c>
      <c r="C38" s="112">
        <f t="shared" si="16"/>
        <v>-9077.8800000001211</v>
      </c>
      <c r="D38" s="112">
        <f t="shared" si="16"/>
        <v>-1453.6499999998632</v>
      </c>
      <c r="E38" s="112">
        <f t="shared" si="16"/>
        <v>-737.46000000003551</v>
      </c>
      <c r="F38" s="112">
        <f t="shared" si="16"/>
        <v>-4558.3699999999953</v>
      </c>
      <c r="G38" s="112">
        <f t="shared" si="16"/>
        <v>1610.75</v>
      </c>
      <c r="H38" s="112">
        <f t="shared" si="16"/>
        <v>12579.450000000012</v>
      </c>
      <c r="I38" s="112">
        <f t="shared" si="16"/>
        <v>10852.729999999967</v>
      </c>
      <c r="J38" s="112">
        <f t="shared" si="16"/>
        <v>-4495.1300000000047</v>
      </c>
      <c r="K38" s="112">
        <f t="shared" si="16"/>
        <v>-2472.8499999999913</v>
      </c>
      <c r="L38" s="112">
        <f t="shared" si="16"/>
        <v>-1766.2700000000914</v>
      </c>
      <c r="M38" s="112">
        <f t="shared" si="16"/>
        <v>-10881.710000000021</v>
      </c>
      <c r="N38" s="112">
        <v>-25509.26</v>
      </c>
    </row>
    <row r="39" spans="1:14" ht="15.75" thickTop="1">
      <c r="A39" s="64"/>
      <c r="B39" s="22"/>
      <c r="C39" s="22"/>
      <c r="D39" s="22"/>
      <c r="E39" s="22"/>
      <c r="F39" s="22"/>
      <c r="G39" s="22"/>
      <c r="H39" s="22"/>
      <c r="I39" s="22"/>
      <c r="J39" s="22"/>
      <c r="K39" s="22"/>
      <c r="L39" s="22"/>
      <c r="M39" s="22"/>
      <c r="N39" s="22"/>
    </row>
    <row r="40" spans="1:14" ht="15.75" thickBot="1">
      <c r="A40" s="64" t="s">
        <v>64</v>
      </c>
      <c r="B40" s="112">
        <f t="shared" ref="B40:H40" si="17">B225</f>
        <v>2122.5</v>
      </c>
      <c r="C40" s="112">
        <f t="shared" si="17"/>
        <v>1597.5</v>
      </c>
      <c r="D40" s="112">
        <f t="shared" si="17"/>
        <v>1662.5</v>
      </c>
      <c r="E40" s="112">
        <f t="shared" si="17"/>
        <v>1607.75</v>
      </c>
      <c r="F40" s="112">
        <f t="shared" si="17"/>
        <v>5405.84</v>
      </c>
      <c r="G40" s="112">
        <f t="shared" si="17"/>
        <v>60</v>
      </c>
      <c r="H40" s="112">
        <f t="shared" si="17"/>
        <v>66.91</v>
      </c>
      <c r="I40" s="112"/>
      <c r="J40" s="112">
        <f>J225</f>
        <v>81.94</v>
      </c>
      <c r="K40" s="112"/>
      <c r="L40" s="112"/>
      <c r="M40" s="112"/>
      <c r="N40" s="112">
        <v>12604.94</v>
      </c>
    </row>
    <row r="41" spans="1:14" ht="15.75" thickTop="1">
      <c r="A41" s="64"/>
      <c r="B41" s="22"/>
      <c r="C41" s="22"/>
      <c r="D41" s="22"/>
      <c r="E41" s="22"/>
      <c r="F41" s="22"/>
      <c r="G41" s="22"/>
      <c r="H41" s="22"/>
      <c r="I41" s="22"/>
      <c r="J41" s="22"/>
      <c r="K41" s="22"/>
      <c r="L41" s="22"/>
      <c r="M41" s="22"/>
      <c r="N41" s="22"/>
    </row>
    <row r="42" spans="1:14" ht="15.75" thickBot="1">
      <c r="A42" s="64" t="s">
        <v>22</v>
      </c>
      <c r="B42" s="112">
        <f t="shared" ref="B42:M42" si="18">B227</f>
        <v>-17231.369999999923</v>
      </c>
      <c r="C42" s="112">
        <f t="shared" si="18"/>
        <v>-10675.380000000121</v>
      </c>
      <c r="D42" s="112">
        <f t="shared" si="18"/>
        <v>-3116.1499999998632</v>
      </c>
      <c r="E42" s="112">
        <f t="shared" si="18"/>
        <v>-2345.2100000000355</v>
      </c>
      <c r="F42" s="112">
        <f t="shared" si="18"/>
        <v>-9964.2099999999955</v>
      </c>
      <c r="G42" s="112">
        <f t="shared" si="18"/>
        <v>1550.75</v>
      </c>
      <c r="H42" s="112">
        <f t="shared" si="18"/>
        <v>12512.540000000012</v>
      </c>
      <c r="I42" s="112">
        <f t="shared" si="18"/>
        <v>10852.729999999967</v>
      </c>
      <c r="J42" s="112">
        <f t="shared" si="18"/>
        <v>-4577.0700000000043</v>
      </c>
      <c r="K42" s="112">
        <f t="shared" si="18"/>
        <v>-2472.8499999999913</v>
      </c>
      <c r="L42" s="112">
        <f t="shared" si="18"/>
        <v>-1766.2700000000914</v>
      </c>
      <c r="M42" s="112">
        <f t="shared" si="18"/>
        <v>-10881.710000000021</v>
      </c>
      <c r="N42" s="112">
        <v>-38114.199999999997</v>
      </c>
    </row>
    <row r="43" spans="1:14" ht="15.75" thickTop="1">
      <c r="A43" s="64"/>
      <c r="B43" s="22"/>
      <c r="C43" s="22"/>
      <c r="D43" s="22"/>
      <c r="E43" s="22"/>
      <c r="F43" s="22"/>
      <c r="G43" s="22"/>
      <c r="H43" s="22"/>
      <c r="I43" s="22"/>
      <c r="J43" s="22"/>
      <c r="K43" s="22"/>
      <c r="L43" s="22"/>
      <c r="M43" s="22"/>
      <c r="N43" s="22"/>
    </row>
    <row r="44" spans="1:14">
      <c r="A44" s="64" t="s">
        <v>40</v>
      </c>
      <c r="B44" s="22"/>
      <c r="C44" s="22"/>
      <c r="D44" s="22"/>
      <c r="E44" s="22"/>
      <c r="F44" s="22"/>
      <c r="G44" s="22"/>
      <c r="H44" s="22"/>
      <c r="I44" s="22"/>
      <c r="J44" s="22"/>
      <c r="K44" s="22"/>
      <c r="L44" s="22"/>
      <c r="M44" s="22"/>
      <c r="N44" s="22"/>
    </row>
    <row r="45" spans="1:14">
      <c r="A45" s="64"/>
      <c r="B45" s="22"/>
      <c r="C45" s="22"/>
      <c r="D45" s="22"/>
      <c r="E45" s="22"/>
      <c r="F45" s="22"/>
      <c r="G45" s="22"/>
      <c r="H45" s="22"/>
      <c r="I45" s="22"/>
      <c r="J45" s="22"/>
      <c r="K45" s="22"/>
      <c r="L45" s="22"/>
      <c r="M45" s="22"/>
      <c r="N45" s="22"/>
    </row>
    <row r="46" spans="1:14">
      <c r="A46" s="64" t="s">
        <v>41</v>
      </c>
      <c r="B46" s="22"/>
      <c r="C46" s="22"/>
      <c r="D46" s="22"/>
      <c r="E46" s="22"/>
      <c r="F46" s="22"/>
      <c r="G46" s="22"/>
      <c r="H46" s="22"/>
      <c r="I46" s="22"/>
      <c r="J46" s="22"/>
      <c r="K46" s="22"/>
      <c r="L46" s="22"/>
      <c r="M46" s="22"/>
      <c r="N46" s="22"/>
    </row>
    <row r="47" spans="1:14">
      <c r="A47" s="64"/>
      <c r="B47" s="22"/>
      <c r="C47" s="22"/>
      <c r="D47" s="22"/>
      <c r="E47" s="22"/>
      <c r="F47" s="22"/>
      <c r="G47" s="22"/>
      <c r="H47" s="22"/>
      <c r="I47" s="22"/>
      <c r="J47" s="22"/>
      <c r="K47" s="22"/>
      <c r="L47" s="22"/>
      <c r="M47" s="22"/>
      <c r="N47" s="22"/>
    </row>
    <row r="48" spans="1:14">
      <c r="A48" s="64" t="s">
        <v>65</v>
      </c>
      <c r="B48" s="113"/>
      <c r="C48" s="113"/>
      <c r="D48" s="113"/>
      <c r="E48" s="113"/>
      <c r="F48" s="113"/>
      <c r="G48" s="113"/>
      <c r="H48" s="113"/>
      <c r="I48" s="113"/>
      <c r="J48" s="113"/>
      <c r="K48" s="113"/>
      <c r="L48" s="113"/>
      <c r="M48" s="113"/>
      <c r="N48" s="113"/>
    </row>
    <row r="49" spans="1:14">
      <c r="A49" s="64" t="s">
        <v>67</v>
      </c>
      <c r="B49" s="107"/>
      <c r="C49" s="107"/>
      <c r="D49" s="107"/>
      <c r="E49" s="107"/>
      <c r="F49" s="107"/>
      <c r="G49" s="107"/>
      <c r="H49" s="107"/>
      <c r="I49" s="107"/>
      <c r="J49" s="107"/>
      <c r="K49" s="107"/>
      <c r="L49" s="107"/>
      <c r="M49" s="107"/>
      <c r="N49" s="107"/>
    </row>
    <row r="50" spans="1:14">
      <c r="A50" s="64"/>
      <c r="B50" s="22"/>
      <c r="C50" s="22"/>
      <c r="D50" s="22"/>
      <c r="E50" s="22"/>
      <c r="F50" s="22"/>
      <c r="G50" s="22"/>
      <c r="H50" s="22"/>
      <c r="I50" s="22"/>
      <c r="J50" s="22"/>
      <c r="K50" s="22"/>
      <c r="L50" s="22"/>
      <c r="M50" s="22"/>
      <c r="N50" s="22"/>
    </row>
    <row r="51" spans="1:14">
      <c r="A51" s="64" t="s">
        <v>68</v>
      </c>
      <c r="B51" s="113"/>
      <c r="C51" s="113"/>
      <c r="D51" s="113"/>
      <c r="E51" s="113"/>
      <c r="F51" s="113"/>
      <c r="G51" s="113"/>
      <c r="H51" s="113"/>
      <c r="I51" s="113"/>
      <c r="J51" s="113"/>
      <c r="K51" s="113"/>
      <c r="L51" s="113"/>
      <c r="M51" s="113"/>
      <c r="N51" s="113"/>
    </row>
    <row r="52" spans="1:14">
      <c r="A52" s="64" t="s">
        <v>69</v>
      </c>
      <c r="B52" s="107"/>
      <c r="C52" s="107"/>
      <c r="D52" s="107"/>
      <c r="E52" s="107"/>
      <c r="F52" s="107"/>
      <c r="G52" s="107"/>
      <c r="H52" s="107"/>
      <c r="I52" s="107"/>
      <c r="J52" s="107"/>
      <c r="K52" s="107"/>
      <c r="L52" s="107"/>
      <c r="M52" s="107"/>
      <c r="N52" s="107"/>
    </row>
    <row r="53" spans="1:14">
      <c r="A53" s="64"/>
      <c r="B53" s="22"/>
      <c r="C53" s="22"/>
      <c r="D53" s="22"/>
      <c r="E53" s="22"/>
      <c r="F53" s="22"/>
      <c r="G53" s="22"/>
      <c r="H53" s="22"/>
      <c r="I53" s="22"/>
      <c r="J53" s="22"/>
      <c r="K53" s="22"/>
      <c r="L53" s="22"/>
      <c r="M53" s="22"/>
      <c r="N53" s="22"/>
    </row>
    <row r="54" spans="1:14">
      <c r="A54" s="64" t="s">
        <v>70</v>
      </c>
      <c r="B54" s="113"/>
      <c r="C54" s="113"/>
      <c r="D54" s="113"/>
      <c r="E54" s="113"/>
      <c r="F54" s="113"/>
      <c r="G54" s="113"/>
      <c r="H54" s="113"/>
      <c r="I54" s="113"/>
      <c r="J54" s="113"/>
      <c r="K54" s="113"/>
      <c r="L54" s="113"/>
      <c r="M54" s="113"/>
      <c r="N54" s="113"/>
    </row>
    <row r="55" spans="1:14">
      <c r="A55" s="64" t="s">
        <v>71</v>
      </c>
      <c r="B55" s="107"/>
      <c r="C55" s="107"/>
      <c r="D55" s="107"/>
      <c r="E55" s="107"/>
      <c r="F55" s="107"/>
      <c r="G55" s="107"/>
      <c r="H55" s="107"/>
      <c r="I55" s="107"/>
      <c r="J55" s="107"/>
      <c r="K55" s="107"/>
      <c r="L55" s="107"/>
      <c r="M55" s="107"/>
      <c r="N55" s="107"/>
    </row>
    <row r="56" spans="1:14">
      <c r="A56" s="64"/>
      <c r="B56" s="22"/>
      <c r="C56" s="22"/>
      <c r="D56" s="22"/>
      <c r="E56" s="22"/>
      <c r="F56" s="22"/>
      <c r="G56" s="22"/>
      <c r="H56" s="22"/>
      <c r="I56" s="22"/>
      <c r="J56" s="22"/>
      <c r="K56" s="22"/>
      <c r="L56" s="22"/>
      <c r="M56" s="22"/>
      <c r="N56" s="22"/>
    </row>
    <row r="57" spans="1:14">
      <c r="A57" s="64" t="s">
        <v>72</v>
      </c>
      <c r="B57" s="113"/>
      <c r="C57" s="113"/>
      <c r="D57" s="113"/>
      <c r="E57" s="113"/>
      <c r="F57" s="113"/>
      <c r="G57" s="113"/>
      <c r="H57" s="113"/>
      <c r="I57" s="113"/>
      <c r="J57" s="113"/>
      <c r="K57" s="113"/>
      <c r="L57" s="113"/>
      <c r="M57" s="113"/>
      <c r="N57" s="113"/>
    </row>
    <row r="58" spans="1:14">
      <c r="A58" s="64" t="s">
        <v>314</v>
      </c>
      <c r="B58" s="107"/>
      <c r="C58" s="107"/>
      <c r="D58" s="107"/>
      <c r="E58" s="107"/>
      <c r="F58" s="107"/>
      <c r="G58" s="107"/>
      <c r="H58" s="107"/>
      <c r="I58" s="107"/>
      <c r="J58" s="107"/>
      <c r="K58" s="107"/>
      <c r="L58" s="107"/>
      <c r="M58" s="107"/>
      <c r="N58" s="107"/>
    </row>
    <row r="59" spans="1:14">
      <c r="A59" s="64"/>
      <c r="B59" s="22"/>
      <c r="C59" s="22"/>
      <c r="D59" s="22"/>
      <c r="E59" s="22"/>
      <c r="F59" s="22"/>
      <c r="G59" s="22"/>
      <c r="H59" s="22"/>
      <c r="I59" s="22"/>
      <c r="J59" s="22"/>
      <c r="K59" s="22"/>
      <c r="L59" s="22"/>
      <c r="M59" s="22"/>
      <c r="N59" s="22"/>
    </row>
    <row r="60" spans="1:14">
      <c r="A60" s="64" t="s">
        <v>73</v>
      </c>
      <c r="B60" s="113"/>
      <c r="C60" s="113"/>
      <c r="D60" s="113"/>
      <c r="E60" s="113"/>
      <c r="F60" s="113"/>
      <c r="G60" s="113"/>
      <c r="H60" s="113"/>
      <c r="I60" s="113"/>
      <c r="J60" s="113"/>
      <c r="K60" s="113"/>
      <c r="L60" s="113"/>
      <c r="M60" s="113"/>
      <c r="N60" s="113"/>
    </row>
    <row r="61" spans="1:14">
      <c r="A61" s="64" t="s">
        <v>74</v>
      </c>
      <c r="B61" s="107"/>
      <c r="C61" s="107"/>
      <c r="D61" s="107"/>
      <c r="E61" s="107"/>
      <c r="F61" s="107"/>
      <c r="G61" s="107"/>
      <c r="H61" s="107"/>
      <c r="I61" s="107"/>
      <c r="J61" s="107"/>
      <c r="K61" s="107"/>
      <c r="L61" s="107"/>
      <c r="M61" s="107"/>
      <c r="N61" s="107"/>
    </row>
    <row r="62" spans="1:14">
      <c r="A62" s="64"/>
      <c r="B62" s="22"/>
      <c r="C62" s="22"/>
      <c r="D62" s="22"/>
      <c r="E62" s="22"/>
      <c r="F62" s="22"/>
      <c r="G62" s="22"/>
      <c r="H62" s="22"/>
      <c r="I62" s="22"/>
      <c r="J62" s="22"/>
      <c r="K62" s="22"/>
      <c r="L62" s="22"/>
      <c r="M62" s="22"/>
      <c r="N62" s="22"/>
    </row>
    <row r="63" spans="1:14">
      <c r="A63" s="64" t="s">
        <v>75</v>
      </c>
      <c r="B63" s="22"/>
      <c r="C63" s="22"/>
      <c r="D63" s="22"/>
      <c r="E63" s="22"/>
      <c r="F63" s="22"/>
      <c r="G63" s="22"/>
      <c r="H63" s="22"/>
      <c r="I63" s="22"/>
      <c r="J63" s="22"/>
      <c r="K63" s="22"/>
      <c r="L63" s="22"/>
      <c r="M63" s="22"/>
      <c r="N63" s="22"/>
    </row>
    <row r="64" spans="1:14">
      <c r="A64" s="64" t="s">
        <v>66</v>
      </c>
      <c r="B64" s="111">
        <v>87468.23</v>
      </c>
      <c r="C64" s="111">
        <v>87968.23</v>
      </c>
      <c r="D64" s="111">
        <v>94405.31</v>
      </c>
      <c r="E64" s="111">
        <v>96715</v>
      </c>
      <c r="F64" s="111">
        <v>100165</v>
      </c>
      <c r="G64" s="111">
        <v>102113.42</v>
      </c>
      <c r="H64" s="111">
        <v>99715.71</v>
      </c>
      <c r="I64" s="111">
        <v>105440</v>
      </c>
      <c r="J64" s="111">
        <v>101815</v>
      </c>
      <c r="K64" s="111">
        <v>103915</v>
      </c>
      <c r="L64" s="111">
        <v>106114.9</v>
      </c>
      <c r="M64" s="111">
        <v>102165</v>
      </c>
      <c r="N64" s="111">
        <v>1188000.8</v>
      </c>
    </row>
    <row r="65" spans="1:14">
      <c r="A65" s="64" t="s">
        <v>76</v>
      </c>
      <c r="B65" s="107">
        <f t="shared" ref="B65:M65" si="19">SUM(B62:B64)</f>
        <v>87468.23</v>
      </c>
      <c r="C65" s="107">
        <f t="shared" si="19"/>
        <v>87968.23</v>
      </c>
      <c r="D65" s="107">
        <f t="shared" si="19"/>
        <v>94405.31</v>
      </c>
      <c r="E65" s="107">
        <f t="shared" si="19"/>
        <v>96715</v>
      </c>
      <c r="F65" s="107">
        <f t="shared" si="19"/>
        <v>100165</v>
      </c>
      <c r="G65" s="107">
        <f t="shared" si="19"/>
        <v>102113.42</v>
      </c>
      <c r="H65" s="107">
        <f t="shared" si="19"/>
        <v>99715.71</v>
      </c>
      <c r="I65" s="107">
        <f t="shared" si="19"/>
        <v>105440</v>
      </c>
      <c r="J65" s="107">
        <f t="shared" si="19"/>
        <v>101815</v>
      </c>
      <c r="K65" s="107">
        <f t="shared" si="19"/>
        <v>103915</v>
      </c>
      <c r="L65" s="107">
        <f t="shared" si="19"/>
        <v>106114.9</v>
      </c>
      <c r="M65" s="107">
        <f t="shared" si="19"/>
        <v>102165</v>
      </c>
      <c r="N65" s="107">
        <v>1188000.8</v>
      </c>
    </row>
    <row r="66" spans="1:14">
      <c r="A66" s="64"/>
      <c r="B66" s="113"/>
      <c r="C66" s="113"/>
      <c r="D66" s="113"/>
      <c r="E66" s="113"/>
      <c r="F66" s="113"/>
      <c r="G66" s="113"/>
      <c r="H66" s="113"/>
      <c r="I66" s="113"/>
      <c r="J66" s="113"/>
      <c r="K66" s="113"/>
      <c r="L66" s="113"/>
      <c r="M66" s="113"/>
      <c r="N66" s="113"/>
    </row>
    <row r="67" spans="1:14">
      <c r="A67" s="64" t="s">
        <v>42</v>
      </c>
      <c r="B67" s="107">
        <f t="shared" ref="B67:M67" si="20">SUM(B48:B66)-B49-B52-B55-B58-B61-B65</f>
        <v>87468.23</v>
      </c>
      <c r="C67" s="107">
        <f t="shared" si="20"/>
        <v>87968.23</v>
      </c>
      <c r="D67" s="107">
        <f t="shared" si="20"/>
        <v>94405.31</v>
      </c>
      <c r="E67" s="107">
        <f t="shared" si="20"/>
        <v>96715</v>
      </c>
      <c r="F67" s="107">
        <f t="shared" si="20"/>
        <v>100165</v>
      </c>
      <c r="G67" s="107">
        <f t="shared" si="20"/>
        <v>102113.42</v>
      </c>
      <c r="H67" s="107">
        <f t="shared" si="20"/>
        <v>99715.71</v>
      </c>
      <c r="I67" s="107">
        <f t="shared" si="20"/>
        <v>105440</v>
      </c>
      <c r="J67" s="107">
        <f t="shared" si="20"/>
        <v>101815</v>
      </c>
      <c r="K67" s="107">
        <f t="shared" si="20"/>
        <v>103915</v>
      </c>
      <c r="L67" s="107">
        <f t="shared" si="20"/>
        <v>106114.9</v>
      </c>
      <c r="M67" s="107">
        <f t="shared" si="20"/>
        <v>102165</v>
      </c>
      <c r="N67" s="107">
        <v>1188000.8</v>
      </c>
    </row>
    <row r="68" spans="1:14">
      <c r="A68" s="64"/>
      <c r="B68" s="22"/>
      <c r="C68" s="22"/>
      <c r="D68" s="22"/>
      <c r="E68" s="22"/>
      <c r="F68" s="22"/>
      <c r="G68" s="22"/>
      <c r="H68" s="22"/>
      <c r="I68" s="22"/>
      <c r="J68" s="22"/>
      <c r="K68" s="22"/>
      <c r="L68" s="22"/>
      <c r="M68" s="22"/>
      <c r="N68" s="22"/>
    </row>
    <row r="69" spans="1:14">
      <c r="A69" s="64" t="s">
        <v>43</v>
      </c>
      <c r="B69" s="22"/>
      <c r="C69" s="22"/>
      <c r="D69" s="22"/>
      <c r="E69" s="22"/>
      <c r="F69" s="22"/>
      <c r="G69" s="22"/>
      <c r="H69" s="22"/>
      <c r="I69" s="22"/>
      <c r="J69" s="22"/>
      <c r="K69" s="22"/>
      <c r="L69" s="22"/>
      <c r="M69" s="22"/>
      <c r="N69" s="22"/>
    </row>
    <row r="70" spans="1:14">
      <c r="A70" s="64"/>
      <c r="B70" s="22"/>
      <c r="C70" s="22"/>
      <c r="D70" s="22"/>
      <c r="E70" s="22"/>
      <c r="F70" s="22"/>
      <c r="G70" s="22"/>
      <c r="H70" s="22"/>
      <c r="I70" s="22"/>
      <c r="J70" s="22"/>
      <c r="K70" s="22"/>
      <c r="L70" s="22"/>
      <c r="M70" s="22"/>
      <c r="N70" s="22"/>
    </row>
    <row r="71" spans="1:14">
      <c r="A71" s="64" t="s">
        <v>65</v>
      </c>
      <c r="B71" s="113"/>
      <c r="C71" s="113"/>
      <c r="D71" s="113"/>
      <c r="E71" s="113"/>
      <c r="F71" s="113"/>
      <c r="G71" s="113"/>
      <c r="H71" s="113"/>
      <c r="I71" s="113"/>
      <c r="J71" s="113"/>
      <c r="K71" s="113"/>
      <c r="L71" s="113"/>
      <c r="M71" s="113"/>
      <c r="N71" s="113"/>
    </row>
    <row r="72" spans="1:14">
      <c r="A72" s="64" t="s">
        <v>67</v>
      </c>
      <c r="B72" s="107"/>
      <c r="C72" s="107"/>
      <c r="D72" s="107"/>
      <c r="E72" s="107"/>
      <c r="F72" s="107"/>
      <c r="G72" s="107"/>
      <c r="H72" s="107"/>
      <c r="I72" s="107"/>
      <c r="J72" s="107"/>
      <c r="K72" s="107"/>
      <c r="L72" s="107"/>
      <c r="M72" s="107"/>
      <c r="N72" s="107"/>
    </row>
    <row r="73" spans="1:14">
      <c r="A73" s="64"/>
      <c r="B73" s="22"/>
      <c r="C73" s="22"/>
      <c r="D73" s="22"/>
      <c r="E73" s="22"/>
      <c r="F73" s="22"/>
      <c r="G73" s="22"/>
      <c r="H73" s="22"/>
      <c r="I73" s="22"/>
      <c r="J73" s="22"/>
      <c r="K73" s="22"/>
      <c r="L73" s="22"/>
      <c r="M73" s="22"/>
      <c r="N73" s="22"/>
    </row>
    <row r="74" spans="1:14">
      <c r="A74" s="64" t="s">
        <v>68</v>
      </c>
      <c r="B74" s="113"/>
      <c r="C74" s="113"/>
      <c r="D74" s="113"/>
      <c r="E74" s="113"/>
      <c r="F74" s="113"/>
      <c r="G74" s="113"/>
      <c r="H74" s="113"/>
      <c r="I74" s="113"/>
      <c r="J74" s="113"/>
      <c r="K74" s="113"/>
      <c r="L74" s="113"/>
      <c r="M74" s="113"/>
      <c r="N74" s="113"/>
    </row>
    <row r="75" spans="1:14">
      <c r="A75" s="64" t="s">
        <v>69</v>
      </c>
      <c r="B75" s="107"/>
      <c r="C75" s="107"/>
      <c r="D75" s="107"/>
      <c r="E75" s="107"/>
      <c r="F75" s="107"/>
      <c r="G75" s="107"/>
      <c r="H75" s="107"/>
      <c r="I75" s="107"/>
      <c r="J75" s="107"/>
      <c r="K75" s="107"/>
      <c r="L75" s="107"/>
      <c r="M75" s="107"/>
      <c r="N75" s="107"/>
    </row>
    <row r="76" spans="1:14">
      <c r="A76" s="64"/>
      <c r="B76" s="22"/>
      <c r="C76" s="22"/>
      <c r="D76" s="22"/>
      <c r="E76" s="22"/>
      <c r="F76" s="22"/>
      <c r="G76" s="22"/>
      <c r="H76" s="22"/>
      <c r="I76" s="22"/>
      <c r="J76" s="22"/>
      <c r="K76" s="22"/>
      <c r="L76" s="22"/>
      <c r="M76" s="22"/>
      <c r="N76" s="22"/>
    </row>
    <row r="77" spans="1:14">
      <c r="A77" s="64" t="s">
        <v>70</v>
      </c>
      <c r="B77" s="113"/>
      <c r="C77" s="113"/>
      <c r="D77" s="113"/>
      <c r="E77" s="113"/>
      <c r="F77" s="113"/>
      <c r="G77" s="113"/>
      <c r="H77" s="113"/>
      <c r="I77" s="113"/>
      <c r="J77" s="113"/>
      <c r="K77" s="113"/>
      <c r="L77" s="113"/>
      <c r="M77" s="113"/>
      <c r="N77" s="113"/>
    </row>
    <row r="78" spans="1:14">
      <c r="A78" s="64" t="s">
        <v>71</v>
      </c>
      <c r="B78" s="107"/>
      <c r="C78" s="107"/>
      <c r="D78" s="107"/>
      <c r="E78" s="107"/>
      <c r="F78" s="107"/>
      <c r="G78" s="107"/>
      <c r="H78" s="107"/>
      <c r="I78" s="107"/>
      <c r="J78" s="107"/>
      <c r="K78" s="107"/>
      <c r="L78" s="107"/>
      <c r="M78" s="107"/>
      <c r="N78" s="107"/>
    </row>
    <row r="79" spans="1:14">
      <c r="A79" s="64"/>
      <c r="B79" s="22"/>
      <c r="C79" s="22"/>
      <c r="D79" s="22"/>
      <c r="E79" s="22"/>
      <c r="F79" s="22"/>
      <c r="G79" s="22"/>
      <c r="H79" s="22"/>
      <c r="I79" s="22"/>
      <c r="J79" s="22"/>
      <c r="K79" s="22"/>
      <c r="L79" s="22"/>
      <c r="M79" s="22"/>
      <c r="N79" s="22"/>
    </row>
    <row r="80" spans="1:14">
      <c r="A80" s="64" t="s">
        <v>72</v>
      </c>
      <c r="B80" s="113"/>
      <c r="C80" s="113"/>
      <c r="D80" s="113"/>
      <c r="E80" s="113"/>
      <c r="F80" s="113"/>
      <c r="G80" s="113"/>
      <c r="H80" s="113"/>
      <c r="I80" s="113"/>
      <c r="J80" s="113"/>
      <c r="K80" s="113"/>
      <c r="L80" s="113"/>
      <c r="M80" s="113"/>
      <c r="N80" s="113"/>
    </row>
    <row r="81" spans="1:14">
      <c r="A81" s="64" t="s">
        <v>314</v>
      </c>
      <c r="B81" s="107"/>
      <c r="C81" s="107"/>
      <c r="D81" s="107"/>
      <c r="E81" s="107"/>
      <c r="F81" s="107"/>
      <c r="G81" s="107"/>
      <c r="H81" s="107"/>
      <c r="I81" s="107"/>
      <c r="J81" s="107"/>
      <c r="K81" s="107"/>
      <c r="L81" s="107"/>
      <c r="M81" s="107"/>
      <c r="N81" s="107"/>
    </row>
    <row r="82" spans="1:14">
      <c r="A82" s="64"/>
      <c r="B82" s="22"/>
      <c r="C82" s="22"/>
      <c r="D82" s="22"/>
      <c r="E82" s="22"/>
      <c r="F82" s="22"/>
      <c r="G82" s="22"/>
      <c r="H82" s="22"/>
      <c r="I82" s="22"/>
      <c r="J82" s="22"/>
      <c r="K82" s="22"/>
      <c r="L82" s="22"/>
      <c r="M82" s="22"/>
      <c r="N82" s="22"/>
    </row>
    <row r="83" spans="1:14">
      <c r="A83" s="64" t="s">
        <v>73</v>
      </c>
      <c r="B83" s="113"/>
      <c r="C83" s="113"/>
      <c r="D83" s="113"/>
      <c r="E83" s="113"/>
      <c r="F83" s="113"/>
      <c r="G83" s="113"/>
      <c r="H83" s="113"/>
      <c r="I83" s="113"/>
      <c r="J83" s="113"/>
      <c r="K83" s="113"/>
      <c r="L83" s="113"/>
      <c r="M83" s="113"/>
      <c r="N83" s="113"/>
    </row>
    <row r="84" spans="1:14">
      <c r="A84" s="64" t="s">
        <v>74</v>
      </c>
      <c r="B84" s="107"/>
      <c r="C84" s="107"/>
      <c r="D84" s="107"/>
      <c r="E84" s="107"/>
      <c r="F84" s="107"/>
      <c r="G84" s="107"/>
      <c r="H84" s="107"/>
      <c r="I84" s="107"/>
      <c r="J84" s="107"/>
      <c r="K84" s="107"/>
      <c r="L84" s="107"/>
      <c r="M84" s="107"/>
      <c r="N84" s="107"/>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-12.08</v>
      </c>
      <c r="C87" s="113"/>
      <c r="D87" s="111">
        <v>50.17</v>
      </c>
      <c r="E87" s="111">
        <v>-31.5</v>
      </c>
      <c r="F87" s="113"/>
      <c r="G87" s="111">
        <v>-22.88</v>
      </c>
      <c r="H87" s="111">
        <v>-63.87</v>
      </c>
      <c r="I87" s="113"/>
      <c r="J87" s="113"/>
      <c r="K87" s="113"/>
      <c r="L87" s="113"/>
      <c r="M87" s="111">
        <v>1630.6</v>
      </c>
      <c r="N87" s="111">
        <v>1550.44</v>
      </c>
    </row>
    <row r="88" spans="1:14">
      <c r="A88" s="64" t="s">
        <v>76</v>
      </c>
      <c r="B88" s="107">
        <f>SUM(B85:B87)</f>
        <v>-12.08</v>
      </c>
      <c r="C88" s="107"/>
      <c r="D88" s="107">
        <f>SUM(D85:D87)</f>
        <v>50.17</v>
      </c>
      <c r="E88" s="107">
        <f>SUM(E85:E87)</f>
        <v>-31.5</v>
      </c>
      <c r="F88" s="107"/>
      <c r="G88" s="107">
        <f>SUM(G85:G87)</f>
        <v>-22.88</v>
      </c>
      <c r="H88" s="107">
        <f>SUM(H85:H87)</f>
        <v>-63.87</v>
      </c>
      <c r="I88" s="107"/>
      <c r="J88" s="107"/>
      <c r="K88" s="107"/>
      <c r="L88" s="107"/>
      <c r="M88" s="107">
        <f>SUM(M85:M87)</f>
        <v>1630.6</v>
      </c>
      <c r="N88" s="107">
        <v>1550.44</v>
      </c>
    </row>
    <row r="89" spans="1:14">
      <c r="A89" s="64"/>
      <c r="B89" s="113"/>
      <c r="C89" s="113"/>
      <c r="D89" s="113"/>
      <c r="E89" s="113"/>
      <c r="F89" s="113"/>
      <c r="G89" s="113"/>
      <c r="H89" s="113"/>
      <c r="I89" s="113"/>
      <c r="J89" s="113"/>
      <c r="K89" s="113"/>
      <c r="L89" s="113"/>
      <c r="M89" s="113"/>
      <c r="N89" s="113"/>
    </row>
    <row r="90" spans="1:14">
      <c r="A90" s="64" t="s">
        <v>44</v>
      </c>
      <c r="B90" s="107">
        <f>SUM(B69:B89)-B72-B75-B78-B81-B84-B88</f>
        <v>-12.08</v>
      </c>
      <c r="C90" s="107"/>
      <c r="D90" s="107">
        <f>SUM(D69:D89)-D72-D75-D78-D81-D84-D88</f>
        <v>50.17</v>
      </c>
      <c r="E90" s="107">
        <f>SUM(E69:E89)-E72-E75-E78-E81-E84-E88</f>
        <v>-31.5</v>
      </c>
      <c r="F90" s="107"/>
      <c r="G90" s="107">
        <f>SUM(G69:G89)-G72-G75-G78-G81-G84-G88</f>
        <v>-22.88</v>
      </c>
      <c r="H90" s="107">
        <f>SUM(H69:H89)-H72-H75-H78-H81-H84-H88</f>
        <v>-63.87</v>
      </c>
      <c r="I90" s="107"/>
      <c r="J90" s="107"/>
      <c r="K90" s="107"/>
      <c r="L90" s="107"/>
      <c r="M90" s="107">
        <f>SUM(M69:M89)-M72-M75-M78-M81-M84-M88</f>
        <v>1630.6</v>
      </c>
      <c r="N90" s="107">
        <v>1550.44</v>
      </c>
    </row>
    <row r="91" spans="1:14">
      <c r="A91" s="64"/>
      <c r="B91" s="22"/>
      <c r="C91" s="22"/>
      <c r="D91" s="22"/>
      <c r="E91" s="22"/>
      <c r="F91" s="22"/>
      <c r="G91" s="22"/>
      <c r="H91" s="22"/>
      <c r="I91" s="22"/>
      <c r="J91" s="22"/>
      <c r="K91" s="22"/>
      <c r="L91" s="22"/>
      <c r="M91" s="22"/>
      <c r="N91" s="22"/>
    </row>
    <row r="92" spans="1:14">
      <c r="A92" s="64" t="s">
        <v>45</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19</v>
      </c>
      <c r="B94" s="22"/>
      <c r="C94" s="22"/>
      <c r="D94" s="22"/>
      <c r="E94" s="22"/>
      <c r="F94" s="22"/>
      <c r="G94" s="22"/>
      <c r="H94" s="22"/>
      <c r="I94" s="22"/>
      <c r="J94" s="22"/>
      <c r="K94" s="22"/>
      <c r="L94" s="22"/>
      <c r="M94" s="22"/>
      <c r="N94" s="22"/>
    </row>
    <row r="95" spans="1:14">
      <c r="A95" s="64" t="s">
        <v>354</v>
      </c>
      <c r="B95" s="113"/>
      <c r="C95" s="113"/>
      <c r="D95" s="113"/>
      <c r="E95" s="113"/>
      <c r="F95" s="113"/>
      <c r="G95" s="113"/>
      <c r="H95" s="113"/>
      <c r="I95" s="113"/>
      <c r="J95" s="113"/>
      <c r="K95" s="113"/>
      <c r="L95" s="113"/>
      <c r="M95" s="113"/>
      <c r="N95" s="113"/>
    </row>
    <row r="96" spans="1:14">
      <c r="A96" s="64"/>
      <c r="B96" s="22"/>
      <c r="C96" s="22"/>
      <c r="D96" s="22"/>
      <c r="E96" s="22"/>
      <c r="F96" s="22"/>
      <c r="G96" s="22"/>
      <c r="H96" s="22"/>
      <c r="I96" s="22"/>
      <c r="J96" s="22"/>
      <c r="K96" s="22"/>
      <c r="L96" s="22"/>
      <c r="M96" s="22"/>
      <c r="N96" s="22"/>
    </row>
    <row r="97" spans="1:14">
      <c r="A97" s="64" t="s">
        <v>20</v>
      </c>
      <c r="B97" s="113"/>
      <c r="C97" s="113"/>
      <c r="D97" s="113"/>
      <c r="E97" s="113"/>
      <c r="F97" s="113"/>
      <c r="G97" s="113"/>
      <c r="H97" s="113"/>
      <c r="I97" s="113"/>
      <c r="J97" s="113"/>
      <c r="K97" s="113"/>
      <c r="L97" s="113"/>
      <c r="M97" s="113"/>
      <c r="N97" s="113"/>
    </row>
    <row r="98" spans="1:14">
      <c r="A98" s="64"/>
      <c r="B98" s="22"/>
      <c r="C98" s="22"/>
      <c r="D98" s="22"/>
      <c r="E98" s="22"/>
      <c r="F98" s="22"/>
      <c r="G98" s="22"/>
      <c r="H98" s="22"/>
      <c r="I98" s="22"/>
      <c r="J98" s="22"/>
      <c r="K98" s="22"/>
      <c r="L98" s="22"/>
      <c r="M98" s="22"/>
      <c r="N98" s="22"/>
    </row>
    <row r="99" spans="1:14">
      <c r="A99" s="64" t="s">
        <v>88</v>
      </c>
      <c r="B99" s="113"/>
      <c r="C99" s="113"/>
      <c r="D99" s="113"/>
      <c r="E99" s="113"/>
      <c r="F99" s="113"/>
      <c r="G99" s="113"/>
      <c r="H99" s="113"/>
      <c r="I99" s="113"/>
      <c r="J99" s="113"/>
      <c r="K99" s="113"/>
      <c r="L99" s="113"/>
      <c r="M99" s="113"/>
      <c r="N99" s="113"/>
    </row>
    <row r="100" spans="1:14">
      <c r="A100" s="64"/>
      <c r="B100" s="22"/>
      <c r="C100" s="22"/>
      <c r="D100" s="22"/>
      <c r="E100" s="22"/>
      <c r="F100" s="22"/>
      <c r="G100" s="22"/>
      <c r="H100" s="22"/>
      <c r="I100" s="22"/>
      <c r="J100" s="22"/>
      <c r="K100" s="22"/>
      <c r="L100" s="22"/>
      <c r="M100" s="22"/>
      <c r="N100" s="22"/>
    </row>
    <row r="101" spans="1:14">
      <c r="A101" s="64" t="s">
        <v>99</v>
      </c>
      <c r="B101" s="113"/>
      <c r="C101" s="113"/>
      <c r="D101" s="113"/>
      <c r="E101" s="113"/>
      <c r="F101" s="113"/>
      <c r="G101" s="113"/>
      <c r="H101" s="113"/>
      <c r="I101" s="113"/>
      <c r="J101" s="113"/>
      <c r="K101" s="113"/>
      <c r="L101" s="113"/>
      <c r="M101" s="113"/>
      <c r="N101" s="113"/>
    </row>
    <row r="102" spans="1:14">
      <c r="A102" s="64"/>
      <c r="B102" s="22"/>
      <c r="C102" s="22"/>
      <c r="D102" s="22"/>
      <c r="E102" s="22"/>
      <c r="F102" s="22"/>
      <c r="G102" s="22"/>
      <c r="H102" s="22"/>
      <c r="I102" s="22"/>
      <c r="J102" s="22"/>
      <c r="K102" s="22"/>
      <c r="L102" s="22"/>
      <c r="M102" s="22"/>
      <c r="N102" s="22"/>
    </row>
    <row r="103" spans="1:14">
      <c r="A103" s="64" t="s">
        <v>105</v>
      </c>
      <c r="B103" s="113"/>
      <c r="C103" s="113"/>
      <c r="D103" s="113"/>
      <c r="E103" s="113"/>
      <c r="F103" s="113"/>
      <c r="G103" s="113"/>
      <c r="H103" s="113"/>
      <c r="I103" s="113"/>
      <c r="J103" s="113"/>
      <c r="K103" s="113"/>
      <c r="L103" s="113"/>
      <c r="M103" s="113"/>
      <c r="N103" s="113"/>
    </row>
    <row r="104" spans="1:14">
      <c r="A104" s="64"/>
      <c r="B104" s="22"/>
      <c r="C104" s="22"/>
      <c r="D104" s="22"/>
      <c r="E104" s="22"/>
      <c r="F104" s="22"/>
      <c r="G104" s="22"/>
      <c r="H104" s="22"/>
      <c r="I104" s="22"/>
      <c r="J104" s="22"/>
      <c r="K104" s="22"/>
      <c r="L104" s="22"/>
      <c r="M104" s="22"/>
      <c r="N104" s="22"/>
    </row>
    <row r="105" spans="1:14">
      <c r="A105" s="64" t="s">
        <v>106</v>
      </c>
      <c r="B105" s="113"/>
      <c r="C105" s="113"/>
      <c r="D105" s="113"/>
      <c r="E105" s="113"/>
      <c r="F105" s="113"/>
      <c r="G105" s="113"/>
      <c r="H105" s="113"/>
      <c r="I105" s="113"/>
      <c r="J105" s="113"/>
      <c r="K105" s="113"/>
      <c r="L105" s="113"/>
      <c r="M105" s="113"/>
      <c r="N105" s="113"/>
    </row>
    <row r="106" spans="1:14">
      <c r="A106" s="64"/>
      <c r="B106" s="22"/>
      <c r="C106" s="22"/>
      <c r="D106" s="22"/>
      <c r="E106" s="22"/>
      <c r="F106" s="22"/>
      <c r="G106" s="22"/>
      <c r="H106" s="22"/>
      <c r="I106" s="22"/>
      <c r="J106" s="22"/>
      <c r="K106" s="22"/>
      <c r="L106" s="22"/>
      <c r="M106" s="22"/>
      <c r="N106" s="22"/>
    </row>
    <row r="107" spans="1:14">
      <c r="A107" s="64" t="s">
        <v>117</v>
      </c>
      <c r="B107" s="22"/>
      <c r="C107" s="22"/>
      <c r="D107" s="22"/>
      <c r="E107" s="22"/>
      <c r="F107" s="22"/>
      <c r="G107" s="22"/>
      <c r="H107" s="22"/>
      <c r="I107" s="22"/>
      <c r="J107" s="22"/>
      <c r="K107" s="22"/>
      <c r="L107" s="22"/>
      <c r="M107" s="22"/>
      <c r="N107" s="22"/>
    </row>
    <row r="108" spans="1:14">
      <c r="A108" s="64" t="s">
        <v>282</v>
      </c>
      <c r="B108" s="22"/>
      <c r="C108" s="22"/>
      <c r="D108" s="22"/>
      <c r="E108" s="22"/>
      <c r="F108" s="22"/>
      <c r="G108" s="22"/>
      <c r="H108" s="22"/>
      <c r="I108" s="22"/>
      <c r="J108" s="22"/>
      <c r="K108" s="22"/>
      <c r="L108" s="22"/>
      <c r="M108" s="107">
        <v>250</v>
      </c>
      <c r="N108" s="107">
        <v>250</v>
      </c>
    </row>
    <row r="109" spans="1:14">
      <c r="A109" s="64" t="s">
        <v>126</v>
      </c>
      <c r="B109" s="111">
        <v>12.08</v>
      </c>
      <c r="C109" s="111">
        <v>0.97</v>
      </c>
      <c r="D109" s="111">
        <v>-0.97</v>
      </c>
      <c r="E109" s="113"/>
      <c r="F109" s="113"/>
      <c r="G109" s="113"/>
      <c r="H109" s="113"/>
      <c r="I109" s="113"/>
      <c r="J109" s="113"/>
      <c r="K109" s="113"/>
      <c r="L109" s="113"/>
      <c r="M109" s="113"/>
      <c r="N109" s="111">
        <v>12.08</v>
      </c>
    </row>
    <row r="110" spans="1:14">
      <c r="A110" s="64" t="s">
        <v>127</v>
      </c>
      <c r="B110" s="107">
        <f>SUM(B107:B109)</f>
        <v>12.08</v>
      </c>
      <c r="C110" s="107">
        <f>SUM(C107:C109)</f>
        <v>0.97</v>
      </c>
      <c r="D110" s="107">
        <f>SUM(D107:D109)</f>
        <v>-0.97</v>
      </c>
      <c r="E110" s="107"/>
      <c r="F110" s="107"/>
      <c r="G110" s="107"/>
      <c r="H110" s="107"/>
      <c r="I110" s="107"/>
      <c r="J110" s="107"/>
      <c r="K110" s="107"/>
      <c r="L110" s="107"/>
      <c r="M110" s="107">
        <f>SUM(M107:M109)</f>
        <v>250</v>
      </c>
      <c r="N110" s="107">
        <v>262.08</v>
      </c>
    </row>
    <row r="111" spans="1:14">
      <c r="A111" s="64"/>
      <c r="B111" s="22"/>
      <c r="C111" s="22"/>
      <c r="D111" s="22"/>
      <c r="E111" s="22"/>
      <c r="F111" s="22"/>
      <c r="G111" s="22"/>
      <c r="H111" s="22"/>
      <c r="I111" s="22"/>
      <c r="J111" s="22"/>
      <c r="K111" s="22"/>
      <c r="L111" s="22"/>
      <c r="M111" s="22"/>
      <c r="N111" s="22"/>
    </row>
    <row r="112" spans="1:14">
      <c r="A112" s="64" t="s">
        <v>47</v>
      </c>
      <c r="B112" s="107">
        <f>SUM(B92:B111)-0-0-0-0-0-0-B110</f>
        <v>12.08</v>
      </c>
      <c r="C112" s="107">
        <f>SUM(C92:C111)-0-0-0-0-0-0-C110</f>
        <v>0.97</v>
      </c>
      <c r="D112" s="107">
        <f>SUM(D92:D111)-0-0-0-0-0-0-D110</f>
        <v>-0.97</v>
      </c>
      <c r="E112" s="107"/>
      <c r="F112" s="107"/>
      <c r="G112" s="107"/>
      <c r="H112" s="107"/>
      <c r="I112" s="107"/>
      <c r="J112" s="107"/>
      <c r="K112" s="107"/>
      <c r="L112" s="107"/>
      <c r="M112" s="107">
        <f>SUM(M92:M111)-0-0-0-0-0-0-M110</f>
        <v>250</v>
      </c>
      <c r="N112" s="107">
        <v>262.08</v>
      </c>
    </row>
    <row r="113" spans="1:14">
      <c r="A113" s="64"/>
      <c r="B113" s="22"/>
      <c r="C113" s="22"/>
      <c r="D113" s="22"/>
      <c r="E113" s="22"/>
      <c r="F113" s="22"/>
      <c r="G113" s="22"/>
      <c r="H113" s="22"/>
      <c r="I113" s="22"/>
      <c r="J113" s="22"/>
      <c r="K113" s="22"/>
      <c r="L113" s="22"/>
      <c r="M113" s="22"/>
      <c r="N113" s="22"/>
    </row>
    <row r="114" spans="1:14">
      <c r="A114" s="64" t="s">
        <v>48</v>
      </c>
      <c r="B114" s="22"/>
      <c r="C114" s="22"/>
      <c r="D114" s="22"/>
      <c r="E114" s="22"/>
      <c r="F114" s="22"/>
      <c r="G114" s="22"/>
      <c r="H114" s="22"/>
      <c r="I114" s="22"/>
      <c r="J114" s="22"/>
      <c r="K114" s="22"/>
      <c r="L114" s="22"/>
      <c r="M114" s="22"/>
      <c r="N114" s="22"/>
    </row>
    <row r="115" spans="1:14">
      <c r="A115" s="64" t="s">
        <v>128</v>
      </c>
      <c r="B115" s="107">
        <v>325</v>
      </c>
      <c r="C115" s="107">
        <v>325</v>
      </c>
      <c r="D115" s="107">
        <v>204.03</v>
      </c>
      <c r="E115" s="107">
        <v>226.5</v>
      </c>
      <c r="F115" s="107">
        <v>200</v>
      </c>
      <c r="G115" s="107">
        <v>200</v>
      </c>
      <c r="H115" s="22"/>
      <c r="I115" s="107">
        <v>10</v>
      </c>
      <c r="J115" s="22"/>
      <c r="K115" s="22"/>
      <c r="L115" s="22"/>
      <c r="M115" s="22"/>
      <c r="N115" s="107">
        <v>1490.53</v>
      </c>
    </row>
    <row r="116" spans="1:14">
      <c r="A116" s="64" t="s">
        <v>129</v>
      </c>
      <c r="B116" s="107">
        <v>100</v>
      </c>
      <c r="C116" s="107">
        <v>100</v>
      </c>
      <c r="D116" s="107">
        <v>100</v>
      </c>
      <c r="E116" s="107">
        <v>100</v>
      </c>
      <c r="F116" s="107">
        <v>100</v>
      </c>
      <c r="G116" s="107">
        <v>100</v>
      </c>
      <c r="H116" s="107">
        <v>100</v>
      </c>
      <c r="I116" s="107">
        <v>100</v>
      </c>
      <c r="J116" s="107">
        <v>100</v>
      </c>
      <c r="K116" s="107">
        <v>100</v>
      </c>
      <c r="L116" s="107">
        <v>100</v>
      </c>
      <c r="M116" s="107">
        <v>100</v>
      </c>
      <c r="N116" s="107">
        <v>1200</v>
      </c>
    </row>
    <row r="117" spans="1:14">
      <c r="A117" s="64" t="s">
        <v>131</v>
      </c>
      <c r="B117" s="107">
        <v>320</v>
      </c>
      <c r="C117" s="107">
        <v>320</v>
      </c>
      <c r="D117" s="107">
        <v>320</v>
      </c>
      <c r="E117" s="107">
        <v>320</v>
      </c>
      <c r="F117" s="107">
        <v>320</v>
      </c>
      <c r="G117" s="107">
        <v>320</v>
      </c>
      <c r="H117" s="107">
        <v>347.86</v>
      </c>
      <c r="I117" s="107">
        <v>355</v>
      </c>
      <c r="J117" s="107">
        <v>380</v>
      </c>
      <c r="K117" s="107">
        <v>380</v>
      </c>
      <c r="L117" s="107">
        <v>380</v>
      </c>
      <c r="M117" s="107">
        <v>380</v>
      </c>
      <c r="N117" s="107">
        <v>4142.8599999999997</v>
      </c>
    </row>
    <row r="118" spans="1:14">
      <c r="A118" s="64" t="s">
        <v>132</v>
      </c>
      <c r="B118" s="111">
        <v>412.34</v>
      </c>
      <c r="C118" s="111">
        <v>3617.36</v>
      </c>
      <c r="D118" s="111">
        <v>4325</v>
      </c>
      <c r="E118" s="111">
        <v>1925</v>
      </c>
      <c r="F118" s="111">
        <v>1800</v>
      </c>
      <c r="G118" s="111">
        <v>1825</v>
      </c>
      <c r="H118" s="111">
        <v>10157.17</v>
      </c>
      <c r="I118" s="111">
        <v>4150</v>
      </c>
      <c r="J118" s="111">
        <v>3955</v>
      </c>
      <c r="K118" s="111">
        <v>910.86</v>
      </c>
      <c r="L118" s="111">
        <v>3815.42</v>
      </c>
      <c r="M118" s="111">
        <v>2198.5300000000002</v>
      </c>
      <c r="N118" s="111">
        <v>39091.68</v>
      </c>
    </row>
    <row r="119" spans="1:14">
      <c r="A119" s="64" t="s">
        <v>135</v>
      </c>
      <c r="B119" s="107">
        <f t="shared" ref="B119:M119" si="21">SUM(B113:B118)</f>
        <v>1157.3399999999999</v>
      </c>
      <c r="C119" s="107">
        <f t="shared" si="21"/>
        <v>4362.3600000000006</v>
      </c>
      <c r="D119" s="107">
        <f t="shared" si="21"/>
        <v>4949.03</v>
      </c>
      <c r="E119" s="107">
        <f t="shared" si="21"/>
        <v>2571.5</v>
      </c>
      <c r="F119" s="107">
        <f t="shared" si="21"/>
        <v>2420</v>
      </c>
      <c r="G119" s="107">
        <f t="shared" si="21"/>
        <v>2445</v>
      </c>
      <c r="H119" s="107">
        <f t="shared" si="21"/>
        <v>10605.03</v>
      </c>
      <c r="I119" s="107">
        <f t="shared" si="21"/>
        <v>4615</v>
      </c>
      <c r="J119" s="107">
        <f t="shared" si="21"/>
        <v>4435</v>
      </c>
      <c r="K119" s="107">
        <f t="shared" si="21"/>
        <v>1390.8600000000001</v>
      </c>
      <c r="L119" s="107">
        <f t="shared" si="21"/>
        <v>4295.42</v>
      </c>
      <c r="M119" s="107">
        <f t="shared" si="21"/>
        <v>2678.53</v>
      </c>
      <c r="N119" s="107">
        <v>45925.07</v>
      </c>
    </row>
    <row r="120" spans="1:14">
      <c r="A120" s="64"/>
      <c r="B120" s="22"/>
      <c r="C120" s="22"/>
      <c r="D120" s="22"/>
      <c r="E120" s="22"/>
      <c r="F120" s="22"/>
      <c r="G120" s="22"/>
      <c r="H120" s="22"/>
      <c r="I120" s="22"/>
      <c r="J120" s="22"/>
      <c r="K120" s="22"/>
      <c r="L120" s="22"/>
      <c r="M120" s="22"/>
      <c r="N120" s="22"/>
    </row>
    <row r="121" spans="1:14" ht="15.75" thickBot="1">
      <c r="A121" s="64" t="s">
        <v>13</v>
      </c>
      <c r="B121" s="112">
        <f t="shared" ref="B121:M121" si="22">SUM(B48:B120)-B49-B52-B55-B58-B61-B65-B67-B72-B75-B78-B81-B84-B88-B90-0-0-0-0-0-0-B110-B112-B119</f>
        <v>88625.57000000008</v>
      </c>
      <c r="C121" s="112">
        <f t="shared" si="22"/>
        <v>92331.55999999991</v>
      </c>
      <c r="D121" s="112">
        <f t="shared" si="22"/>
        <v>99403.540000000095</v>
      </c>
      <c r="E121" s="112">
        <f t="shared" si="22"/>
        <v>99255</v>
      </c>
      <c r="F121" s="112">
        <f t="shared" si="22"/>
        <v>102585</v>
      </c>
      <c r="G121" s="112">
        <f t="shared" si="22"/>
        <v>104535.54000000002</v>
      </c>
      <c r="H121" s="112">
        <f t="shared" si="22"/>
        <v>110256.86999999998</v>
      </c>
      <c r="I121" s="112">
        <f t="shared" si="22"/>
        <v>110055</v>
      </c>
      <c r="J121" s="112">
        <f t="shared" si="22"/>
        <v>106250</v>
      </c>
      <c r="K121" s="112">
        <f t="shared" si="22"/>
        <v>105305.85999999997</v>
      </c>
      <c r="L121" s="112">
        <f t="shared" si="22"/>
        <v>110410.31999999993</v>
      </c>
      <c r="M121" s="112">
        <f t="shared" si="22"/>
        <v>106724.12999999998</v>
      </c>
      <c r="N121" s="112">
        <v>1235738.3899999999</v>
      </c>
    </row>
    <row r="122" spans="1:14" ht="15.75" thickTop="1">
      <c r="A122" s="64"/>
      <c r="B122" s="22"/>
      <c r="C122" s="22"/>
      <c r="D122" s="22"/>
      <c r="E122" s="22"/>
      <c r="F122" s="22"/>
      <c r="G122" s="22"/>
      <c r="H122" s="22"/>
      <c r="I122" s="22"/>
      <c r="J122" s="22"/>
      <c r="K122" s="22"/>
      <c r="L122" s="22"/>
      <c r="M122" s="22"/>
      <c r="N122" s="22"/>
    </row>
    <row r="123" spans="1:14">
      <c r="A123" s="64"/>
      <c r="B123" s="22"/>
      <c r="C123" s="22"/>
      <c r="D123" s="22"/>
      <c r="E123" s="22"/>
      <c r="F123" s="22"/>
      <c r="G123" s="22"/>
      <c r="H123" s="22"/>
      <c r="I123" s="22"/>
      <c r="J123" s="22"/>
      <c r="K123" s="22"/>
      <c r="L123" s="22"/>
      <c r="M123" s="22"/>
      <c r="N123" s="22"/>
    </row>
    <row r="124" spans="1:14">
      <c r="A124" s="64" t="s">
        <v>14</v>
      </c>
      <c r="B124" s="22"/>
      <c r="C124" s="22"/>
      <c r="D124" s="22"/>
      <c r="E124" s="22"/>
      <c r="F124" s="22"/>
      <c r="G124" s="22"/>
      <c r="H124" s="22"/>
      <c r="I124" s="22"/>
      <c r="J124" s="22"/>
      <c r="K124" s="22"/>
      <c r="L124" s="22"/>
      <c r="M124" s="22"/>
      <c r="N124" s="22"/>
    </row>
    <row r="125" spans="1:14">
      <c r="A125" s="64"/>
      <c r="B125" s="22"/>
      <c r="C125" s="22"/>
      <c r="D125" s="22"/>
      <c r="E125" s="22"/>
      <c r="F125" s="22"/>
      <c r="G125" s="22"/>
      <c r="H125" s="22"/>
      <c r="I125" s="22"/>
      <c r="J125" s="22"/>
      <c r="K125" s="22"/>
      <c r="L125" s="22"/>
      <c r="M125" s="22"/>
      <c r="N125" s="22"/>
    </row>
    <row r="126" spans="1:14">
      <c r="A126" s="64" t="s">
        <v>136</v>
      </c>
      <c r="B126" s="22"/>
      <c r="C126" s="22"/>
      <c r="D126" s="22"/>
      <c r="E126" s="22"/>
      <c r="F126" s="22"/>
      <c r="G126" s="22"/>
      <c r="H126" s="22"/>
      <c r="I126" s="22"/>
      <c r="J126" s="22"/>
      <c r="K126" s="22"/>
      <c r="L126" s="22"/>
      <c r="M126" s="22"/>
      <c r="N126" s="22"/>
    </row>
    <row r="127" spans="1:14">
      <c r="A127" s="64" t="s">
        <v>145</v>
      </c>
      <c r="B127" s="107">
        <v>803.4</v>
      </c>
      <c r="C127" s="107">
        <v>1668.64</v>
      </c>
      <c r="D127" s="107">
        <v>1705.23</v>
      </c>
      <c r="E127" s="107">
        <v>1308.17</v>
      </c>
      <c r="F127" s="107">
        <v>807.86</v>
      </c>
      <c r="G127" s="107">
        <v>1366.11</v>
      </c>
      <c r="H127" s="107">
        <v>1248.75</v>
      </c>
      <c r="I127" s="107">
        <v>1622.21</v>
      </c>
      <c r="J127" s="107">
        <v>1514.13</v>
      </c>
      <c r="K127" s="107">
        <v>512.83000000000004</v>
      </c>
      <c r="L127" s="107">
        <v>1904.06</v>
      </c>
      <c r="M127" s="107">
        <v>1335.47</v>
      </c>
      <c r="N127" s="107">
        <v>15796.86</v>
      </c>
    </row>
    <row r="128" spans="1:14">
      <c r="A128" s="64" t="s">
        <v>146</v>
      </c>
      <c r="B128" s="22"/>
      <c r="C128" s="22"/>
      <c r="D128" s="22"/>
      <c r="E128" s="22"/>
      <c r="F128" s="22"/>
      <c r="G128" s="22"/>
      <c r="H128" s="22"/>
      <c r="I128" s="22"/>
      <c r="J128" s="22"/>
      <c r="K128" s="107">
        <v>288</v>
      </c>
      <c r="L128" s="22"/>
      <c r="M128" s="22"/>
      <c r="N128" s="107">
        <v>288</v>
      </c>
    </row>
    <row r="129" spans="1:14">
      <c r="A129" s="64" t="s">
        <v>150</v>
      </c>
      <c r="B129" s="107">
        <v>3358.09</v>
      </c>
      <c r="C129" s="107">
        <v>3489.82</v>
      </c>
      <c r="D129" s="107">
        <v>3633.83</v>
      </c>
      <c r="E129" s="107">
        <v>3485.72</v>
      </c>
      <c r="F129" s="107">
        <v>3491.51</v>
      </c>
      <c r="G129" s="107">
        <v>3154.17</v>
      </c>
      <c r="H129" s="107">
        <v>3041.52</v>
      </c>
      <c r="I129" s="107">
        <v>3569.8</v>
      </c>
      <c r="J129" s="107">
        <v>3536.95</v>
      </c>
      <c r="K129" s="107">
        <v>2490.44</v>
      </c>
      <c r="L129" s="107">
        <v>1764.57</v>
      </c>
      <c r="M129" s="107">
        <v>1764.05</v>
      </c>
      <c r="N129" s="107">
        <v>36780.47</v>
      </c>
    </row>
    <row r="130" spans="1:14">
      <c r="A130" s="64" t="s">
        <v>152</v>
      </c>
      <c r="B130" s="107">
        <v>5787.98</v>
      </c>
      <c r="C130" s="107">
        <v>4191.2700000000004</v>
      </c>
      <c r="D130" s="107">
        <v>4577.1899999999996</v>
      </c>
      <c r="E130" s="107">
        <v>4918.57</v>
      </c>
      <c r="F130" s="107">
        <v>4915.57</v>
      </c>
      <c r="G130" s="107">
        <v>5445.15</v>
      </c>
      <c r="H130" s="107">
        <v>4791.07</v>
      </c>
      <c r="I130" s="107">
        <v>5216.8</v>
      </c>
      <c r="J130" s="107">
        <v>4963.33</v>
      </c>
      <c r="K130" s="107">
        <v>4660.3599999999997</v>
      </c>
      <c r="L130" s="107">
        <v>8807.57</v>
      </c>
      <c r="M130" s="107">
        <v>8731.9</v>
      </c>
      <c r="N130" s="107">
        <v>67006.759999999995</v>
      </c>
    </row>
    <row r="131" spans="1:14">
      <c r="A131" s="64" t="s">
        <v>153</v>
      </c>
      <c r="B131" s="107">
        <v>2717.22</v>
      </c>
      <c r="C131" s="107">
        <v>2206.54</v>
      </c>
      <c r="D131" s="107">
        <v>2935.88</v>
      </c>
      <c r="E131" s="107">
        <v>1943.59</v>
      </c>
      <c r="F131" s="107">
        <v>1825.55</v>
      </c>
      <c r="G131" s="107">
        <v>2627.85</v>
      </c>
      <c r="H131" s="107">
        <v>2278.4899999999998</v>
      </c>
      <c r="I131" s="107">
        <v>3062.83</v>
      </c>
      <c r="J131" s="107">
        <v>2944.16</v>
      </c>
      <c r="K131" s="107">
        <v>2757.05</v>
      </c>
      <c r="L131" s="107">
        <v>2891.87</v>
      </c>
      <c r="M131" s="107">
        <v>3439.37</v>
      </c>
      <c r="N131" s="107">
        <v>31630.400000000001</v>
      </c>
    </row>
    <row r="132" spans="1:14">
      <c r="A132" s="64" t="s">
        <v>154</v>
      </c>
      <c r="B132" s="107">
        <v>8213.43</v>
      </c>
      <c r="C132" s="107">
        <v>7686.04</v>
      </c>
      <c r="D132" s="107">
        <v>8331.0300000000007</v>
      </c>
      <c r="E132" s="107">
        <v>8062.29</v>
      </c>
      <c r="F132" s="107">
        <v>7578.55</v>
      </c>
      <c r="G132" s="107">
        <v>8707.27</v>
      </c>
      <c r="H132" s="107">
        <v>7646.08</v>
      </c>
      <c r="I132" s="107">
        <v>8456.36</v>
      </c>
      <c r="J132" s="107">
        <v>5510.09</v>
      </c>
      <c r="K132" s="107">
        <v>8074.46</v>
      </c>
      <c r="L132" s="107">
        <v>8183.39</v>
      </c>
      <c r="M132" s="107">
        <v>8074.46</v>
      </c>
      <c r="N132" s="107">
        <v>94523.45</v>
      </c>
    </row>
    <row r="133" spans="1:14">
      <c r="A133" s="64" t="s">
        <v>155</v>
      </c>
      <c r="B133" s="111">
        <v>3459.43</v>
      </c>
      <c r="C133" s="111">
        <v>3291.63</v>
      </c>
      <c r="D133" s="111">
        <v>3222.85</v>
      </c>
      <c r="E133" s="111">
        <v>3056.96</v>
      </c>
      <c r="F133" s="111">
        <v>3780.25</v>
      </c>
      <c r="G133" s="111">
        <v>3162.94</v>
      </c>
      <c r="H133" s="111">
        <v>3976.97</v>
      </c>
      <c r="I133" s="111">
        <v>4188.8999999999996</v>
      </c>
      <c r="J133" s="111">
        <v>4192.95</v>
      </c>
      <c r="K133" s="111">
        <v>4213.16</v>
      </c>
      <c r="L133" s="111">
        <v>4379.66</v>
      </c>
      <c r="M133" s="111">
        <v>4518.34</v>
      </c>
      <c r="N133" s="111">
        <v>45444.04</v>
      </c>
    </row>
    <row r="134" spans="1:14">
      <c r="A134" s="64" t="s">
        <v>156</v>
      </c>
      <c r="B134" s="107">
        <f t="shared" ref="B134:M134" si="23">SUM(B122:B133)</f>
        <v>24339.55</v>
      </c>
      <c r="C134" s="107">
        <f t="shared" si="23"/>
        <v>22533.940000000002</v>
      </c>
      <c r="D134" s="107">
        <f t="shared" si="23"/>
        <v>24406.010000000002</v>
      </c>
      <c r="E134" s="107">
        <f t="shared" si="23"/>
        <v>22775.3</v>
      </c>
      <c r="F134" s="107">
        <f t="shared" si="23"/>
        <v>22399.289999999997</v>
      </c>
      <c r="G134" s="107">
        <f t="shared" si="23"/>
        <v>24463.49</v>
      </c>
      <c r="H134" s="107">
        <f t="shared" si="23"/>
        <v>22982.880000000001</v>
      </c>
      <c r="I134" s="107">
        <f t="shared" si="23"/>
        <v>26116.9</v>
      </c>
      <c r="J134" s="107">
        <f t="shared" si="23"/>
        <v>22661.61</v>
      </c>
      <c r="K134" s="107">
        <f t="shared" si="23"/>
        <v>22996.3</v>
      </c>
      <c r="L134" s="107">
        <f t="shared" si="23"/>
        <v>27931.119999999999</v>
      </c>
      <c r="M134" s="107">
        <f t="shared" si="23"/>
        <v>27863.59</v>
      </c>
      <c r="N134" s="107">
        <v>291469.98</v>
      </c>
    </row>
    <row r="135" spans="1:14">
      <c r="A135" s="64"/>
      <c r="B135" s="22"/>
      <c r="C135" s="22"/>
      <c r="D135" s="22"/>
      <c r="E135" s="22"/>
      <c r="F135" s="22"/>
      <c r="G135" s="22"/>
      <c r="H135" s="22"/>
      <c r="I135" s="22"/>
      <c r="J135" s="22"/>
      <c r="K135" s="22"/>
      <c r="L135" s="22"/>
      <c r="M135" s="22"/>
      <c r="N135" s="22"/>
    </row>
    <row r="136" spans="1:14">
      <c r="A136" s="64"/>
      <c r="B136" s="22"/>
      <c r="C136" s="22"/>
      <c r="D136" s="22"/>
      <c r="E136" s="22"/>
      <c r="F136" s="22"/>
      <c r="G136" s="22"/>
      <c r="H136" s="22"/>
      <c r="I136" s="22"/>
      <c r="J136" s="22"/>
      <c r="K136" s="22"/>
      <c r="L136" s="22"/>
      <c r="M136" s="22"/>
      <c r="N136" s="22"/>
    </row>
    <row r="137" spans="1:14">
      <c r="A137" s="64" t="s">
        <v>157</v>
      </c>
      <c r="B137" s="113"/>
      <c r="C137" s="113"/>
      <c r="D137" s="113"/>
      <c r="E137" s="113"/>
      <c r="F137" s="113"/>
      <c r="G137" s="113"/>
      <c r="H137" s="113"/>
      <c r="I137" s="113"/>
      <c r="J137" s="113"/>
      <c r="K137" s="113"/>
      <c r="L137" s="113"/>
      <c r="M137" s="113"/>
      <c r="N137" s="113"/>
    </row>
    <row r="138" spans="1:14">
      <c r="A138" s="64"/>
      <c r="B138" s="22"/>
      <c r="C138" s="22"/>
      <c r="D138" s="22"/>
      <c r="E138" s="22"/>
      <c r="F138" s="22"/>
      <c r="G138" s="22"/>
      <c r="H138" s="22"/>
      <c r="I138" s="22"/>
      <c r="J138" s="22"/>
      <c r="K138" s="22"/>
      <c r="L138" s="22"/>
      <c r="M138" s="22"/>
      <c r="N138" s="22"/>
    </row>
    <row r="139" spans="1:14">
      <c r="A139" s="64" t="s">
        <v>163</v>
      </c>
      <c r="B139" s="22"/>
      <c r="C139" s="22"/>
      <c r="D139" s="22"/>
      <c r="E139" s="22"/>
      <c r="F139" s="22"/>
      <c r="G139" s="22"/>
      <c r="H139" s="22"/>
      <c r="I139" s="22"/>
      <c r="J139" s="22"/>
      <c r="K139" s="22"/>
      <c r="L139" s="22"/>
      <c r="M139" s="22"/>
      <c r="N139" s="22"/>
    </row>
    <row r="140" spans="1:14">
      <c r="A140" s="64" t="s">
        <v>164</v>
      </c>
      <c r="B140" s="107">
        <v>2019.19</v>
      </c>
      <c r="C140" s="107">
        <v>1851.7</v>
      </c>
      <c r="D140" s="107">
        <v>1908.57</v>
      </c>
      <c r="E140" s="107">
        <v>1911.42</v>
      </c>
      <c r="F140" s="107">
        <v>1921.91</v>
      </c>
      <c r="G140" s="107">
        <v>2022.8</v>
      </c>
      <c r="H140" s="107">
        <v>1684.63</v>
      </c>
      <c r="I140" s="107">
        <v>1930.87</v>
      </c>
      <c r="J140" s="107">
        <v>1873.31</v>
      </c>
      <c r="K140" s="107">
        <v>2159.4499999999998</v>
      </c>
      <c r="L140" s="107">
        <v>1918.45</v>
      </c>
      <c r="M140" s="107">
        <v>2180.38</v>
      </c>
      <c r="N140" s="107">
        <v>23382.68</v>
      </c>
    </row>
    <row r="141" spans="1:14">
      <c r="A141" s="64" t="s">
        <v>165</v>
      </c>
      <c r="B141" s="107">
        <v>144.04</v>
      </c>
      <c r="C141" s="107">
        <v>100.06</v>
      </c>
      <c r="D141" s="107">
        <v>77.180000000000007</v>
      </c>
      <c r="E141" s="107">
        <v>68.430000000000007</v>
      </c>
      <c r="F141" s="107">
        <v>49.31</v>
      </c>
      <c r="G141" s="107">
        <v>543.14</v>
      </c>
      <c r="H141" s="107">
        <v>263.69</v>
      </c>
      <c r="I141" s="107">
        <v>251.61</v>
      </c>
      <c r="J141" s="107">
        <v>214.12</v>
      </c>
      <c r="K141" s="107">
        <v>182.49</v>
      </c>
      <c r="L141" s="107">
        <v>159.16</v>
      </c>
      <c r="M141" s="107">
        <v>168.35</v>
      </c>
      <c r="N141" s="107">
        <v>2221.58</v>
      </c>
    </row>
    <row r="142" spans="1:14">
      <c r="A142" s="64" t="s">
        <v>166</v>
      </c>
      <c r="B142" s="107">
        <v>809.7</v>
      </c>
      <c r="C142" s="107">
        <v>1103.75</v>
      </c>
      <c r="D142" s="107">
        <v>1721.9</v>
      </c>
      <c r="E142" s="107">
        <v>1198.1600000000001</v>
      </c>
      <c r="F142" s="107">
        <v>1245.25</v>
      </c>
      <c r="G142" s="107">
        <v>906.43</v>
      </c>
      <c r="H142" s="107">
        <v>1088.25</v>
      </c>
      <c r="I142" s="107">
        <v>1034.07</v>
      </c>
      <c r="J142" s="107">
        <v>1069.1300000000001</v>
      </c>
      <c r="K142" s="107">
        <v>1260.8599999999999</v>
      </c>
      <c r="L142" s="107">
        <v>1230.98</v>
      </c>
      <c r="M142" s="107">
        <v>910.28</v>
      </c>
      <c r="N142" s="107">
        <v>13578.76</v>
      </c>
    </row>
    <row r="143" spans="1:14">
      <c r="A143" s="64" t="s">
        <v>167</v>
      </c>
      <c r="B143" s="107">
        <v>293</v>
      </c>
      <c r="C143" s="107">
        <v>-15</v>
      </c>
      <c r="D143" s="22"/>
      <c r="E143" s="22"/>
      <c r="F143" s="107">
        <v>1898.57</v>
      </c>
      <c r="G143" s="107">
        <v>699.83</v>
      </c>
      <c r="H143" s="22"/>
      <c r="I143" s="107">
        <v>70</v>
      </c>
      <c r="J143" s="107">
        <v>2672.88</v>
      </c>
      <c r="K143" s="107">
        <v>1827.2</v>
      </c>
      <c r="L143" s="107">
        <v>-160</v>
      </c>
      <c r="M143" s="107">
        <v>786.26</v>
      </c>
      <c r="N143" s="107">
        <v>8072.74</v>
      </c>
    </row>
    <row r="144" spans="1:14">
      <c r="A144" s="64" t="s">
        <v>168</v>
      </c>
      <c r="B144" s="22"/>
      <c r="C144" s="107">
        <v>995.04</v>
      </c>
      <c r="D144" s="22"/>
      <c r="E144" s="107">
        <v>999.04</v>
      </c>
      <c r="F144" s="107">
        <v>956.29</v>
      </c>
      <c r="G144" s="107">
        <v>203.8</v>
      </c>
      <c r="H144" s="22"/>
      <c r="I144" s="22"/>
      <c r="J144" s="22"/>
      <c r="K144" s="107">
        <v>1079.4000000000001</v>
      </c>
      <c r="L144" s="107">
        <v>-164.7</v>
      </c>
      <c r="M144" s="107">
        <v>918.7</v>
      </c>
      <c r="N144" s="107">
        <v>4987.57</v>
      </c>
    </row>
    <row r="145" spans="1:14">
      <c r="A145" s="64" t="s">
        <v>169</v>
      </c>
      <c r="B145" s="22"/>
      <c r="C145" s="107">
        <v>168.29</v>
      </c>
      <c r="D145" s="107">
        <v>-9.2899999999999991</v>
      </c>
      <c r="E145" s="107">
        <v>495.14</v>
      </c>
      <c r="F145" s="107">
        <v>-54.64</v>
      </c>
      <c r="G145" s="107">
        <v>82.5</v>
      </c>
      <c r="H145" s="107">
        <v>65</v>
      </c>
      <c r="I145" s="107">
        <v>190</v>
      </c>
      <c r="J145" s="107">
        <v>253.2</v>
      </c>
      <c r="K145" s="107">
        <v>33.200000000000003</v>
      </c>
      <c r="L145" s="22"/>
      <c r="M145" s="107">
        <v>70</v>
      </c>
      <c r="N145" s="107">
        <v>1293.4000000000001</v>
      </c>
    </row>
    <row r="146" spans="1:14">
      <c r="A146" s="64" t="s">
        <v>171</v>
      </c>
      <c r="B146" s="111">
        <v>750</v>
      </c>
      <c r="C146" s="113"/>
      <c r="D146" s="111">
        <v>68.55</v>
      </c>
      <c r="E146" s="111">
        <v>1250</v>
      </c>
      <c r="F146" s="111">
        <v>1007.99</v>
      </c>
      <c r="G146" s="111">
        <v>1500</v>
      </c>
      <c r="H146" s="111">
        <v>87.86</v>
      </c>
      <c r="I146" s="111">
        <v>1850.03</v>
      </c>
      <c r="J146" s="111">
        <v>45.96</v>
      </c>
      <c r="K146" s="111">
        <v>2040</v>
      </c>
      <c r="L146" s="111">
        <v>31.46</v>
      </c>
      <c r="M146" s="111">
        <v>30</v>
      </c>
      <c r="N146" s="111">
        <v>8661.85</v>
      </c>
    </row>
    <row r="147" spans="1:14">
      <c r="A147" s="64" t="s">
        <v>16</v>
      </c>
      <c r="B147" s="107">
        <f t="shared" ref="B147:M147" si="24">SUM(B138:B146)</f>
        <v>4015.9300000000003</v>
      </c>
      <c r="C147" s="107">
        <f t="shared" si="24"/>
        <v>4203.84</v>
      </c>
      <c r="D147" s="107">
        <f t="shared" si="24"/>
        <v>3766.9100000000003</v>
      </c>
      <c r="E147" s="107">
        <f t="shared" si="24"/>
        <v>5922.1900000000005</v>
      </c>
      <c r="F147" s="107">
        <f t="shared" si="24"/>
        <v>7024.6799999999994</v>
      </c>
      <c r="G147" s="107">
        <f t="shared" si="24"/>
        <v>5958.5</v>
      </c>
      <c r="H147" s="107">
        <f t="shared" si="24"/>
        <v>3189.4300000000003</v>
      </c>
      <c r="I147" s="107">
        <f t="shared" si="24"/>
        <v>5326.58</v>
      </c>
      <c r="J147" s="107">
        <f t="shared" si="24"/>
        <v>6128.6</v>
      </c>
      <c r="K147" s="107">
        <f t="shared" si="24"/>
        <v>8582.5999999999985</v>
      </c>
      <c r="L147" s="107">
        <f t="shared" si="24"/>
        <v>3015.3500000000004</v>
      </c>
      <c r="M147" s="107">
        <f t="shared" si="24"/>
        <v>5063.97</v>
      </c>
      <c r="N147" s="107">
        <v>62198.58</v>
      </c>
    </row>
    <row r="148" spans="1:14">
      <c r="A148" s="64"/>
      <c r="B148" s="22"/>
      <c r="C148" s="22"/>
      <c r="D148" s="22"/>
      <c r="E148" s="22"/>
      <c r="F148" s="22"/>
      <c r="G148" s="22"/>
      <c r="H148" s="22"/>
      <c r="I148" s="22"/>
      <c r="J148" s="22"/>
      <c r="K148" s="22"/>
      <c r="L148" s="22"/>
      <c r="M148" s="22"/>
      <c r="N148" s="22"/>
    </row>
    <row r="149" spans="1:14">
      <c r="A149" s="64" t="s">
        <v>17</v>
      </c>
      <c r="B149" s="113"/>
      <c r="C149" s="113"/>
      <c r="D149" s="113"/>
      <c r="E149" s="113"/>
      <c r="F149" s="113"/>
      <c r="G149" s="113"/>
      <c r="H149" s="113"/>
      <c r="I149" s="113"/>
      <c r="J149" s="113"/>
      <c r="K149" s="113"/>
      <c r="L149" s="113"/>
      <c r="M149" s="113"/>
      <c r="N149" s="113"/>
    </row>
    <row r="150" spans="1:14">
      <c r="A150" s="64"/>
      <c r="B150" s="22"/>
      <c r="C150" s="22"/>
      <c r="D150" s="22"/>
      <c r="E150" s="22"/>
      <c r="F150" s="22"/>
      <c r="G150" s="22"/>
      <c r="H150" s="22"/>
      <c r="I150" s="22"/>
      <c r="J150" s="22"/>
      <c r="K150" s="22"/>
      <c r="L150" s="22"/>
      <c r="M150" s="22"/>
      <c r="N150" s="22"/>
    </row>
    <row r="151" spans="1:14">
      <c r="A151" s="64" t="s">
        <v>186</v>
      </c>
      <c r="B151" s="22"/>
      <c r="C151" s="22"/>
      <c r="D151" s="22"/>
      <c r="E151" s="22"/>
      <c r="F151" s="22"/>
      <c r="G151" s="22"/>
      <c r="H151" s="22"/>
      <c r="I151" s="22"/>
      <c r="J151" s="22"/>
      <c r="K151" s="22"/>
      <c r="L151" s="22"/>
      <c r="M151" s="22"/>
      <c r="N151" s="22"/>
    </row>
    <row r="152" spans="1:14">
      <c r="A152" s="64" t="s">
        <v>191</v>
      </c>
      <c r="B152" s="107">
        <v>4286.43</v>
      </c>
      <c r="C152" s="107">
        <v>5268.98</v>
      </c>
      <c r="D152" s="107">
        <v>4042.96</v>
      </c>
      <c r="E152" s="107">
        <v>4655.5</v>
      </c>
      <c r="F152" s="107">
        <v>5460.8</v>
      </c>
      <c r="G152" s="107">
        <v>2840.61</v>
      </c>
      <c r="H152" s="107">
        <v>2169.23</v>
      </c>
      <c r="I152" s="107">
        <v>2796.67</v>
      </c>
      <c r="J152" s="107">
        <v>5029.1499999999996</v>
      </c>
      <c r="K152" s="107">
        <v>4204.75</v>
      </c>
      <c r="L152" s="107">
        <v>4970.92</v>
      </c>
      <c r="M152" s="107"/>
      <c r="N152" s="107">
        <v>45726</v>
      </c>
    </row>
    <row r="153" spans="1:14">
      <c r="A153" s="64" t="s">
        <v>415</v>
      </c>
      <c r="B153" s="22"/>
      <c r="C153" s="22"/>
      <c r="D153" s="22"/>
      <c r="E153" s="22"/>
      <c r="F153" s="22"/>
      <c r="G153" s="22"/>
      <c r="H153" s="22"/>
      <c r="I153" s="22"/>
      <c r="J153" s="22"/>
      <c r="K153" s="22"/>
      <c r="L153" s="22"/>
      <c r="M153" s="107">
        <v>4449.51</v>
      </c>
      <c r="N153" s="107">
        <v>4449.51</v>
      </c>
    </row>
    <row r="154" spans="1:14">
      <c r="A154" s="64" t="s">
        <v>416</v>
      </c>
      <c r="B154" s="22"/>
      <c r="C154" s="22"/>
      <c r="D154" s="22"/>
      <c r="E154" s="22"/>
      <c r="F154" s="22"/>
      <c r="G154" s="22"/>
      <c r="H154" s="22"/>
      <c r="I154" s="22"/>
      <c r="J154" s="22"/>
      <c r="K154" s="22"/>
      <c r="L154" s="22"/>
      <c r="M154" s="107">
        <v>587.51</v>
      </c>
      <c r="N154" s="107">
        <v>587.51</v>
      </c>
    </row>
    <row r="155" spans="1:14">
      <c r="A155" s="64" t="s">
        <v>417</v>
      </c>
      <c r="B155" s="22"/>
      <c r="C155" s="22"/>
      <c r="D155" s="22"/>
      <c r="E155" s="22"/>
      <c r="F155" s="22"/>
      <c r="G155" s="22"/>
      <c r="H155" s="22"/>
      <c r="I155" s="22"/>
      <c r="J155" s="22"/>
      <c r="K155" s="22"/>
      <c r="L155" s="22"/>
      <c r="M155" s="107">
        <v>1618.62</v>
      </c>
      <c r="N155" s="107">
        <v>1618.62</v>
      </c>
    </row>
    <row r="156" spans="1:14">
      <c r="A156" s="64" t="s">
        <v>192</v>
      </c>
      <c r="B156" s="107">
        <v>651.86</v>
      </c>
      <c r="C156" s="107">
        <v>645.51</v>
      </c>
      <c r="D156" s="107">
        <v>592.55999999999995</v>
      </c>
      <c r="E156" s="107">
        <v>502.56</v>
      </c>
      <c r="F156" s="107">
        <v>628.03</v>
      </c>
      <c r="G156" s="107">
        <v>457.06</v>
      </c>
      <c r="H156" s="107">
        <v>607.91999999999996</v>
      </c>
      <c r="I156" s="107">
        <v>489.02</v>
      </c>
      <c r="J156" s="107">
        <v>519.02</v>
      </c>
      <c r="K156" s="107">
        <v>488.05</v>
      </c>
      <c r="L156" s="107">
        <v>459.02</v>
      </c>
      <c r="M156" s="107">
        <v>449.02</v>
      </c>
      <c r="N156" s="107">
        <v>6489.63</v>
      </c>
    </row>
    <row r="157" spans="1:14">
      <c r="A157" s="64" t="s">
        <v>193</v>
      </c>
      <c r="B157" s="107">
        <v>1100.24</v>
      </c>
      <c r="C157" s="107">
        <v>1100.1199999999999</v>
      </c>
      <c r="D157" s="107">
        <v>1126.28</v>
      </c>
      <c r="E157" s="107">
        <v>1125.6099999999999</v>
      </c>
      <c r="F157" s="107">
        <v>1160.4100000000001</v>
      </c>
      <c r="G157" s="107">
        <v>1028.6600000000001</v>
      </c>
      <c r="H157" s="107">
        <v>1006.74</v>
      </c>
      <c r="I157" s="107">
        <v>967.58</v>
      </c>
      <c r="J157" s="107">
        <v>1088.32</v>
      </c>
      <c r="K157" s="107">
        <v>1094.17</v>
      </c>
      <c r="L157" s="107">
        <v>1106.69</v>
      </c>
      <c r="M157" s="107">
        <v>1132.27</v>
      </c>
      <c r="N157" s="107">
        <v>13037.09</v>
      </c>
    </row>
    <row r="158" spans="1:14">
      <c r="A158" s="64" t="s">
        <v>194</v>
      </c>
      <c r="B158" s="107">
        <v>3957.39</v>
      </c>
      <c r="C158" s="107">
        <v>4926.47</v>
      </c>
      <c r="D158" s="107">
        <v>3779.09</v>
      </c>
      <c r="E158" s="107">
        <v>1472.17</v>
      </c>
      <c r="F158" s="107">
        <v>1755.6</v>
      </c>
      <c r="G158" s="107">
        <v>2184.08</v>
      </c>
      <c r="H158" s="107">
        <v>3927.62</v>
      </c>
      <c r="I158" s="107">
        <v>960.22</v>
      </c>
      <c r="J158" s="107">
        <v>3109.34</v>
      </c>
      <c r="K158" s="107">
        <v>1640.56</v>
      </c>
      <c r="L158" s="107">
        <v>1229.51</v>
      </c>
      <c r="M158" s="107">
        <v>3570.67</v>
      </c>
      <c r="N158" s="107">
        <v>32512.720000000001</v>
      </c>
    </row>
    <row r="159" spans="1:14">
      <c r="A159" s="64" t="s">
        <v>198</v>
      </c>
      <c r="B159" s="107">
        <v>472.8</v>
      </c>
      <c r="C159" s="107">
        <v>474.18</v>
      </c>
      <c r="D159" s="107">
        <v>417.8</v>
      </c>
      <c r="E159" s="107">
        <v>476.18</v>
      </c>
      <c r="F159" s="107">
        <v>472.8</v>
      </c>
      <c r="G159" s="107">
        <v>399.38</v>
      </c>
      <c r="H159" s="107">
        <v>386.09</v>
      </c>
      <c r="I159" s="107">
        <v>538.52</v>
      </c>
      <c r="J159" s="107">
        <v>584.57000000000005</v>
      </c>
      <c r="K159" s="107">
        <v>470.57</v>
      </c>
      <c r="L159" s="107">
        <v>492.81</v>
      </c>
      <c r="M159" s="107">
        <v>470.57</v>
      </c>
      <c r="N159" s="107">
        <v>5656.27</v>
      </c>
    </row>
    <row r="160" spans="1:14">
      <c r="A160" s="64" t="s">
        <v>200</v>
      </c>
      <c r="B160" s="107">
        <v>448</v>
      </c>
      <c r="C160" s="107">
        <v>448</v>
      </c>
      <c r="D160" s="107">
        <v>747.74</v>
      </c>
      <c r="E160" s="107">
        <v>448</v>
      </c>
      <c r="F160" s="107">
        <v>1357.21</v>
      </c>
      <c r="G160" s="107">
        <v>448</v>
      </c>
      <c r="H160" s="107">
        <v>448</v>
      </c>
      <c r="I160" s="107">
        <v>-1344</v>
      </c>
      <c r="J160" s="107">
        <v>1400</v>
      </c>
      <c r="K160" s="107">
        <v>588.99</v>
      </c>
      <c r="L160" s="107">
        <v>683.46</v>
      </c>
      <c r="M160" s="107">
        <v>271.5</v>
      </c>
      <c r="N160" s="107">
        <v>5944.9</v>
      </c>
    </row>
    <row r="161" spans="1:14">
      <c r="A161" s="64" t="s">
        <v>201</v>
      </c>
      <c r="B161" s="107">
        <v>112.42</v>
      </c>
      <c r="C161" s="107">
        <v>112.42</v>
      </c>
      <c r="D161" s="107">
        <v>112.42</v>
      </c>
      <c r="E161" s="107">
        <v>112.42</v>
      </c>
      <c r="F161" s="107"/>
      <c r="G161" s="107">
        <v>112.42</v>
      </c>
      <c r="H161" s="107">
        <v>112.42</v>
      </c>
      <c r="I161" s="107">
        <v>100</v>
      </c>
      <c r="J161" s="107">
        <v>432.99</v>
      </c>
      <c r="K161" s="107">
        <v>100</v>
      </c>
      <c r="L161" s="107">
        <v>100</v>
      </c>
      <c r="M161" s="107">
        <v>283.43</v>
      </c>
      <c r="N161" s="107">
        <v>1690.94</v>
      </c>
    </row>
    <row r="162" spans="1:14">
      <c r="A162" s="64" t="s">
        <v>202</v>
      </c>
      <c r="B162" s="22"/>
      <c r="C162" s="22"/>
      <c r="D162" s="22"/>
      <c r="E162" s="22"/>
      <c r="F162" s="22"/>
      <c r="G162" s="107">
        <v>97.09</v>
      </c>
      <c r="H162" s="107">
        <v>-97.09</v>
      </c>
      <c r="I162" s="22"/>
      <c r="J162" s="22"/>
      <c r="K162" s="22"/>
      <c r="L162" s="22"/>
      <c r="M162" s="22"/>
      <c r="N162" s="107"/>
    </row>
    <row r="163" spans="1:14">
      <c r="A163" s="64" t="s">
        <v>203</v>
      </c>
      <c r="B163" s="107">
        <v>1324.31</v>
      </c>
      <c r="C163" s="107">
        <v>956.91</v>
      </c>
      <c r="D163" s="107">
        <v>1038.9000000000001</v>
      </c>
      <c r="E163" s="107">
        <v>983.89</v>
      </c>
      <c r="F163" s="107">
        <v>925.3</v>
      </c>
      <c r="G163" s="107">
        <v>989.31</v>
      </c>
      <c r="H163" s="107">
        <v>924.79</v>
      </c>
      <c r="I163" s="107">
        <v>1251.43</v>
      </c>
      <c r="J163" s="107">
        <v>1367.26</v>
      </c>
      <c r="K163" s="107">
        <v>870.7</v>
      </c>
      <c r="L163" s="107">
        <v>1101.1199999999999</v>
      </c>
      <c r="M163" s="107">
        <v>3359.03</v>
      </c>
      <c r="N163" s="107">
        <v>15092.95</v>
      </c>
    </row>
    <row r="164" spans="1:14">
      <c r="A164" s="64" t="s">
        <v>204</v>
      </c>
      <c r="B164" s="107">
        <v>4431</v>
      </c>
      <c r="C164" s="107">
        <v>4617</v>
      </c>
      <c r="D164" s="107">
        <v>4970</v>
      </c>
      <c r="E164" s="107">
        <v>4963</v>
      </c>
      <c r="F164" s="107">
        <v>5129</v>
      </c>
      <c r="G164" s="107">
        <v>5227</v>
      </c>
      <c r="H164" s="107">
        <v>5513</v>
      </c>
      <c r="I164" s="107">
        <v>5503</v>
      </c>
      <c r="J164" s="107">
        <v>5313</v>
      </c>
      <c r="K164" s="107">
        <v>5265</v>
      </c>
      <c r="L164" s="107">
        <v>5521</v>
      </c>
      <c r="M164" s="107">
        <v>5336</v>
      </c>
      <c r="N164" s="107">
        <v>61788</v>
      </c>
    </row>
    <row r="165" spans="1:14">
      <c r="A165" s="64" t="s">
        <v>205</v>
      </c>
      <c r="B165" s="22"/>
      <c r="C165" s="22"/>
      <c r="D165" s="22"/>
      <c r="E165" s="22"/>
      <c r="F165" s="22"/>
      <c r="G165" s="22"/>
      <c r="H165" s="22"/>
      <c r="I165" s="107">
        <v>136.5</v>
      </c>
      <c r="J165" s="107">
        <v>541.29999999999995</v>
      </c>
      <c r="K165" s="22"/>
      <c r="L165" s="22"/>
      <c r="M165" s="22"/>
      <c r="N165" s="107">
        <v>677.8</v>
      </c>
    </row>
    <row r="166" spans="1:14">
      <c r="A166" s="64" t="s">
        <v>206</v>
      </c>
      <c r="B166" s="111">
        <v>1179.24</v>
      </c>
      <c r="C166" s="111">
        <v>1935.13</v>
      </c>
      <c r="D166" s="111">
        <v>2190.4499999999998</v>
      </c>
      <c r="E166" s="111">
        <v>1915.37</v>
      </c>
      <c r="F166" s="111">
        <v>2716.18</v>
      </c>
      <c r="G166" s="111">
        <v>6398.9</v>
      </c>
      <c r="H166" s="111">
        <v>1984.51</v>
      </c>
      <c r="I166" s="111">
        <v>2325.75</v>
      </c>
      <c r="J166" s="111">
        <v>1957.95</v>
      </c>
      <c r="K166" s="111">
        <v>2470.0100000000002</v>
      </c>
      <c r="L166" s="111">
        <v>2830.55</v>
      </c>
      <c r="M166" s="111">
        <v>2560.79</v>
      </c>
      <c r="N166" s="111">
        <v>30464.83</v>
      </c>
    </row>
    <row r="167" spans="1:14">
      <c r="A167" s="64" t="s">
        <v>207</v>
      </c>
      <c r="B167" s="107">
        <f t="shared" ref="B167:M167" si="25">SUM(B150:B166)</f>
        <v>17963.689999999999</v>
      </c>
      <c r="C167" s="107">
        <f t="shared" si="25"/>
        <v>20484.72</v>
      </c>
      <c r="D167" s="107">
        <f t="shared" si="25"/>
        <v>19018.2</v>
      </c>
      <c r="E167" s="107">
        <f t="shared" si="25"/>
        <v>16654.7</v>
      </c>
      <c r="F167" s="107">
        <f t="shared" si="25"/>
        <v>19605.329999999998</v>
      </c>
      <c r="G167" s="107">
        <f t="shared" si="25"/>
        <v>20182.510000000002</v>
      </c>
      <c r="H167" s="107">
        <f t="shared" si="25"/>
        <v>16983.23</v>
      </c>
      <c r="I167" s="107">
        <f t="shared" si="25"/>
        <v>13724.69</v>
      </c>
      <c r="J167" s="107">
        <f t="shared" si="25"/>
        <v>21342.9</v>
      </c>
      <c r="K167" s="107">
        <f t="shared" si="25"/>
        <v>17192.800000000003</v>
      </c>
      <c r="L167" s="107">
        <f t="shared" si="25"/>
        <v>18495.079999999998</v>
      </c>
      <c r="M167" s="107">
        <f t="shared" si="25"/>
        <v>24088.920000000002</v>
      </c>
      <c r="N167" s="107">
        <v>225736.77</v>
      </c>
    </row>
    <row r="168" spans="1:14">
      <c r="A168" s="64"/>
      <c r="B168" s="22"/>
      <c r="C168" s="22"/>
      <c r="D168" s="22"/>
      <c r="E168" s="22"/>
      <c r="F168" s="22"/>
      <c r="G168" s="22"/>
      <c r="H168" s="22"/>
      <c r="I168" s="22"/>
      <c r="J168" s="22"/>
      <c r="K168" s="22"/>
      <c r="L168" s="22"/>
      <c r="M168" s="22"/>
      <c r="N168" s="22"/>
    </row>
    <row r="169" spans="1:14">
      <c r="A169" s="64" t="s">
        <v>15</v>
      </c>
      <c r="B169" s="22"/>
      <c r="C169" s="22"/>
      <c r="D169" s="22"/>
      <c r="E169" s="22"/>
      <c r="F169" s="22"/>
      <c r="G169" s="22"/>
      <c r="H169" s="22"/>
      <c r="I169" s="22"/>
      <c r="J169" s="22"/>
      <c r="K169" s="22"/>
      <c r="L169" s="22"/>
      <c r="M169" s="22"/>
      <c r="N169" s="22"/>
    </row>
    <row r="170" spans="1:14">
      <c r="A170" s="64" t="s">
        <v>209</v>
      </c>
      <c r="B170" s="107">
        <v>14.32</v>
      </c>
      <c r="C170" s="22"/>
      <c r="D170" s="22"/>
      <c r="E170" s="22"/>
      <c r="F170" s="22"/>
      <c r="G170" s="22"/>
      <c r="H170" s="22"/>
      <c r="I170" s="22"/>
      <c r="J170" s="22"/>
      <c r="K170" s="22"/>
      <c r="L170" s="22"/>
      <c r="M170" s="22"/>
      <c r="N170" s="107">
        <v>14.32</v>
      </c>
    </row>
    <row r="171" spans="1:14">
      <c r="A171" s="64" t="s">
        <v>210</v>
      </c>
      <c r="B171" s="107">
        <v>263.58</v>
      </c>
      <c r="C171" s="107">
        <v>354.57</v>
      </c>
      <c r="D171" s="107">
        <v>232.04</v>
      </c>
      <c r="E171" s="107">
        <v>218.49</v>
      </c>
      <c r="F171" s="107">
        <v>610.82000000000005</v>
      </c>
      <c r="G171" s="107">
        <v>386.71</v>
      </c>
      <c r="H171" s="107">
        <v>262.17</v>
      </c>
      <c r="I171" s="107">
        <v>550.1</v>
      </c>
      <c r="J171" s="107">
        <v>584.02</v>
      </c>
      <c r="K171" s="107">
        <v>535.33000000000004</v>
      </c>
      <c r="L171" s="107">
        <v>387.79</v>
      </c>
      <c r="M171" s="107">
        <v>433.24</v>
      </c>
      <c r="N171" s="107">
        <v>4818.8599999999997</v>
      </c>
    </row>
    <row r="172" spans="1:14">
      <c r="A172" s="64" t="s">
        <v>195</v>
      </c>
      <c r="B172" s="107">
        <v>332.96</v>
      </c>
      <c r="C172" s="107">
        <v>73.95</v>
      </c>
      <c r="D172" s="107">
        <v>356.5</v>
      </c>
      <c r="E172" s="107">
        <v>252.34</v>
      </c>
      <c r="F172" s="107">
        <v>141.44</v>
      </c>
      <c r="G172" s="107">
        <v>129.91</v>
      </c>
      <c r="H172" s="107">
        <v>334.21</v>
      </c>
      <c r="I172" s="107">
        <v>76.62</v>
      </c>
      <c r="J172" s="107">
        <v>290.45</v>
      </c>
      <c r="K172" s="107">
        <v>324.97000000000003</v>
      </c>
      <c r="L172" s="107">
        <v>915.92</v>
      </c>
      <c r="M172" s="107">
        <v>39.47</v>
      </c>
      <c r="N172" s="107">
        <v>3268.74</v>
      </c>
    </row>
    <row r="173" spans="1:14">
      <c r="A173" s="64" t="s">
        <v>212</v>
      </c>
      <c r="B173" s="22"/>
      <c r="C173" s="107">
        <v>55.64</v>
      </c>
      <c r="D173" s="22"/>
      <c r="E173" s="22"/>
      <c r="F173" s="22"/>
      <c r="G173" s="22"/>
      <c r="H173" s="22"/>
      <c r="I173" s="22"/>
      <c r="J173" s="22"/>
      <c r="K173" s="22"/>
      <c r="L173" s="22"/>
      <c r="M173" s="22"/>
      <c r="N173" s="107">
        <v>55.64</v>
      </c>
    </row>
    <row r="174" spans="1:14">
      <c r="A174" s="64" t="s">
        <v>213</v>
      </c>
      <c r="B174" s="107">
        <v>10585.77</v>
      </c>
      <c r="C174" s="107">
        <v>6907.74</v>
      </c>
      <c r="D174" s="107">
        <v>5971.4</v>
      </c>
      <c r="E174" s="107">
        <v>7110.6</v>
      </c>
      <c r="F174" s="107">
        <v>8708.99</v>
      </c>
      <c r="G174" s="107">
        <v>4825.6099999999997</v>
      </c>
      <c r="H174" s="107">
        <v>7615.26</v>
      </c>
      <c r="I174" s="107">
        <v>5912.21</v>
      </c>
      <c r="J174" s="107">
        <v>11584.68</v>
      </c>
      <c r="K174" s="107">
        <v>9541.24</v>
      </c>
      <c r="L174" s="107">
        <v>10672.23</v>
      </c>
      <c r="M174" s="107">
        <v>8917.7099999999991</v>
      </c>
      <c r="N174" s="107">
        <v>98353.44</v>
      </c>
    </row>
    <row r="175" spans="1:14">
      <c r="A175" s="64" t="s">
        <v>215</v>
      </c>
      <c r="B175" s="107">
        <v>215.57</v>
      </c>
      <c r="C175" s="107">
        <v>638.94000000000005</v>
      </c>
      <c r="D175" s="107">
        <v>337.46</v>
      </c>
      <c r="E175" s="107">
        <v>196.94</v>
      </c>
      <c r="F175" s="107">
        <v>252.42</v>
      </c>
      <c r="G175" s="107">
        <v>249.49</v>
      </c>
      <c r="H175" s="107">
        <v>338.91</v>
      </c>
      <c r="I175" s="107">
        <v>500.1</v>
      </c>
      <c r="J175" s="107">
        <v>414.12</v>
      </c>
      <c r="K175" s="107">
        <v>590.57000000000005</v>
      </c>
      <c r="L175" s="107">
        <v>639.47</v>
      </c>
      <c r="M175" s="107">
        <v>386.49</v>
      </c>
      <c r="N175" s="107">
        <v>4760.4799999999996</v>
      </c>
    </row>
    <row r="176" spans="1:14">
      <c r="A176" s="64" t="s">
        <v>216</v>
      </c>
      <c r="B176" s="107">
        <v>1223.58</v>
      </c>
      <c r="C176" s="107">
        <v>753.61</v>
      </c>
      <c r="D176" s="107">
        <v>254.86</v>
      </c>
      <c r="E176" s="107">
        <v>1091.02</v>
      </c>
      <c r="F176" s="107">
        <v>1958.48</v>
      </c>
      <c r="G176" s="107">
        <v>688.46</v>
      </c>
      <c r="H176" s="107">
        <v>430.29</v>
      </c>
      <c r="I176" s="107">
        <v>824.26</v>
      </c>
      <c r="J176" s="107">
        <v>225.32</v>
      </c>
      <c r="K176" s="107">
        <v>1748.36</v>
      </c>
      <c r="L176" s="107">
        <v>2561.91</v>
      </c>
      <c r="M176" s="107">
        <v>958.56</v>
      </c>
      <c r="N176" s="107">
        <v>12718.71</v>
      </c>
    </row>
    <row r="177" spans="1:14">
      <c r="A177" s="64" t="s">
        <v>217</v>
      </c>
      <c r="B177" s="107"/>
      <c r="C177" s="22"/>
      <c r="D177" s="22"/>
      <c r="E177" s="22"/>
      <c r="F177" s="107">
        <v>294.69</v>
      </c>
      <c r="G177" s="107">
        <v>108.26</v>
      </c>
      <c r="H177" s="107">
        <v>167.49</v>
      </c>
      <c r="I177" s="22"/>
      <c r="J177" s="22"/>
      <c r="K177" s="22"/>
      <c r="L177" s="107">
        <v>922.29</v>
      </c>
      <c r="M177" s="22"/>
      <c r="N177" s="107">
        <v>1492.73</v>
      </c>
    </row>
    <row r="178" spans="1:14">
      <c r="A178" s="64" t="s">
        <v>219</v>
      </c>
      <c r="B178" s="107">
        <v>321.60000000000002</v>
      </c>
      <c r="C178" s="107">
        <v>72.17</v>
      </c>
      <c r="D178" s="107">
        <v>272.7</v>
      </c>
      <c r="E178" s="107">
        <v>506.17</v>
      </c>
      <c r="F178" s="107">
        <v>142.71</v>
      </c>
      <c r="G178" s="107">
        <v>584.11</v>
      </c>
      <c r="H178" s="107">
        <v>327.39999999999998</v>
      </c>
      <c r="I178" s="107">
        <v>330.42</v>
      </c>
      <c r="J178" s="107">
        <v>83.43</v>
      </c>
      <c r="K178" s="107">
        <v>123.89</v>
      </c>
      <c r="L178" s="107">
        <v>434.94</v>
      </c>
      <c r="M178" s="107">
        <v>168.79</v>
      </c>
      <c r="N178" s="107">
        <v>3368.33</v>
      </c>
    </row>
    <row r="179" spans="1:14">
      <c r="A179" s="64" t="s">
        <v>220</v>
      </c>
      <c r="B179" s="111">
        <v>299.95</v>
      </c>
      <c r="C179" s="111">
        <v>296.58999999999997</v>
      </c>
      <c r="D179" s="111">
        <v>308.17</v>
      </c>
      <c r="E179" s="111">
        <v>319.05</v>
      </c>
      <c r="F179" s="111">
        <v>560.63</v>
      </c>
      <c r="G179" s="111">
        <v>158.47</v>
      </c>
      <c r="H179" s="111">
        <v>374.66</v>
      </c>
      <c r="I179" s="111">
        <v>395.48</v>
      </c>
      <c r="J179" s="111">
        <v>303.36</v>
      </c>
      <c r="K179" s="111">
        <v>78.89</v>
      </c>
      <c r="L179" s="111">
        <v>78.739999999999995</v>
      </c>
      <c r="M179" s="111">
        <v>958.45</v>
      </c>
      <c r="N179" s="111">
        <v>4132.4399999999996</v>
      </c>
    </row>
    <row r="180" spans="1:14">
      <c r="A180" s="64" t="s">
        <v>221</v>
      </c>
      <c r="B180" s="107">
        <f t="shared" ref="B180:M180" si="26">SUM(B168:B179)</f>
        <v>13257.330000000002</v>
      </c>
      <c r="C180" s="107">
        <f t="shared" si="26"/>
        <v>9153.2100000000009</v>
      </c>
      <c r="D180" s="107">
        <f t="shared" si="26"/>
        <v>7733.1299999999992</v>
      </c>
      <c r="E180" s="107">
        <f t="shared" si="26"/>
        <v>9694.6099999999988</v>
      </c>
      <c r="F180" s="107">
        <f t="shared" si="26"/>
        <v>12670.179999999998</v>
      </c>
      <c r="G180" s="107">
        <f t="shared" si="26"/>
        <v>7131.0199999999995</v>
      </c>
      <c r="H180" s="107">
        <f t="shared" si="26"/>
        <v>9850.39</v>
      </c>
      <c r="I180" s="107">
        <f t="shared" si="26"/>
        <v>8589.19</v>
      </c>
      <c r="J180" s="107">
        <f t="shared" si="26"/>
        <v>13485.380000000001</v>
      </c>
      <c r="K180" s="107">
        <f t="shared" si="26"/>
        <v>12943.249999999998</v>
      </c>
      <c r="L180" s="107">
        <f t="shared" si="26"/>
        <v>16613.289999999997</v>
      </c>
      <c r="M180" s="107">
        <f t="shared" si="26"/>
        <v>11862.71</v>
      </c>
      <c r="N180" s="107">
        <v>132983.69</v>
      </c>
    </row>
    <row r="181" spans="1:14">
      <c r="A181" s="64"/>
      <c r="B181" s="22"/>
      <c r="C181" s="22"/>
      <c r="D181" s="22"/>
      <c r="E181" s="22"/>
      <c r="F181" s="22"/>
      <c r="G181" s="22"/>
      <c r="H181" s="22"/>
      <c r="I181" s="22"/>
      <c r="J181" s="22"/>
      <c r="K181" s="22"/>
      <c r="L181" s="22"/>
      <c r="M181" s="22"/>
      <c r="N181" s="22"/>
    </row>
    <row r="182" spans="1:14">
      <c r="A182" s="64" t="s">
        <v>222</v>
      </c>
      <c r="B182" s="22"/>
      <c r="C182" s="22"/>
      <c r="D182" s="22"/>
      <c r="E182" s="22"/>
      <c r="F182" s="22"/>
      <c r="G182" s="22"/>
      <c r="H182" s="22"/>
      <c r="I182" s="22"/>
      <c r="J182" s="22"/>
      <c r="K182" s="22"/>
      <c r="L182" s="22"/>
      <c r="M182" s="22"/>
      <c r="N182" s="22"/>
    </row>
    <row r="183" spans="1:14">
      <c r="A183" s="64" t="s">
        <v>225</v>
      </c>
      <c r="B183" s="107">
        <v>60.35</v>
      </c>
      <c r="C183" s="107">
        <v>62.35</v>
      </c>
      <c r="D183" s="107">
        <v>911.4</v>
      </c>
      <c r="E183" s="107">
        <v>121.46</v>
      </c>
      <c r="F183" s="107">
        <v>61</v>
      </c>
      <c r="G183" s="107">
        <v>-61</v>
      </c>
      <c r="H183" s="107">
        <v>143.41999999999999</v>
      </c>
      <c r="I183" s="107">
        <v>400</v>
      </c>
      <c r="J183" s="107">
        <v>5.22</v>
      </c>
      <c r="K183" s="107">
        <v>576.44000000000005</v>
      </c>
      <c r="L183" s="107">
        <v>1044.76</v>
      </c>
      <c r="M183" s="107">
        <v>470.26</v>
      </c>
      <c r="N183" s="107">
        <v>3795.66</v>
      </c>
    </row>
    <row r="184" spans="1:14">
      <c r="A184" s="64" t="s">
        <v>226</v>
      </c>
      <c r="B184" s="107">
        <v>195.93</v>
      </c>
      <c r="C184" s="107">
        <v>228.11</v>
      </c>
      <c r="D184" s="107">
        <v>200.71</v>
      </c>
      <c r="E184" s="107">
        <v>116</v>
      </c>
      <c r="F184" s="107">
        <v>80.48</v>
      </c>
      <c r="G184" s="107">
        <v>164.84</v>
      </c>
      <c r="H184" s="107">
        <v>112.67</v>
      </c>
      <c r="I184" s="107">
        <v>288.60000000000002</v>
      </c>
      <c r="J184" s="107">
        <v>202.58</v>
      </c>
      <c r="K184" s="107">
        <v>220.35</v>
      </c>
      <c r="L184" s="107">
        <v>186.49</v>
      </c>
      <c r="M184" s="107">
        <v>313.58999999999997</v>
      </c>
      <c r="N184" s="107">
        <v>2310.35</v>
      </c>
    </row>
    <row r="185" spans="1:14">
      <c r="A185" s="64" t="s">
        <v>227</v>
      </c>
      <c r="B185" s="111">
        <v>147.63999999999999</v>
      </c>
      <c r="C185" s="111">
        <v>111.45</v>
      </c>
      <c r="D185" s="111">
        <v>204.96</v>
      </c>
      <c r="E185" s="111">
        <v>142.33000000000001</v>
      </c>
      <c r="F185" s="111">
        <v>64.81</v>
      </c>
      <c r="G185" s="111">
        <v>56.56</v>
      </c>
      <c r="H185" s="111">
        <v>109.2</v>
      </c>
      <c r="I185" s="111">
        <v>132.71</v>
      </c>
      <c r="J185" s="111">
        <v>157.69</v>
      </c>
      <c r="K185" s="111">
        <v>189.47</v>
      </c>
      <c r="L185" s="111">
        <v>172.13</v>
      </c>
      <c r="M185" s="111">
        <v>144.13999999999999</v>
      </c>
      <c r="N185" s="111">
        <v>1633.09</v>
      </c>
    </row>
    <row r="186" spans="1:14">
      <c r="A186" s="64" t="s">
        <v>229</v>
      </c>
      <c r="B186" s="107">
        <f t="shared" ref="B186:M186" si="27">SUM(B181:B185)</f>
        <v>403.92</v>
      </c>
      <c r="C186" s="107">
        <f t="shared" si="27"/>
        <v>401.91</v>
      </c>
      <c r="D186" s="107">
        <f t="shared" si="27"/>
        <v>1317.07</v>
      </c>
      <c r="E186" s="107">
        <f t="shared" si="27"/>
        <v>379.78999999999996</v>
      </c>
      <c r="F186" s="107">
        <f t="shared" si="27"/>
        <v>206.29000000000002</v>
      </c>
      <c r="G186" s="107">
        <f t="shared" si="27"/>
        <v>160.4</v>
      </c>
      <c r="H186" s="107">
        <f t="shared" si="27"/>
        <v>365.28999999999996</v>
      </c>
      <c r="I186" s="107">
        <f t="shared" si="27"/>
        <v>821.31000000000006</v>
      </c>
      <c r="J186" s="107">
        <f t="shared" si="27"/>
        <v>365.49</v>
      </c>
      <c r="K186" s="107">
        <f t="shared" si="27"/>
        <v>986.2600000000001</v>
      </c>
      <c r="L186" s="107">
        <f t="shared" si="27"/>
        <v>1403.38</v>
      </c>
      <c r="M186" s="107">
        <f t="shared" si="27"/>
        <v>927.9899999999999</v>
      </c>
      <c r="N186" s="107">
        <v>7739.1</v>
      </c>
    </row>
    <row r="187" spans="1:14">
      <c r="A187" s="64"/>
      <c r="B187" s="22"/>
      <c r="C187" s="22"/>
      <c r="D187" s="22"/>
      <c r="E187" s="22"/>
      <c r="F187" s="22"/>
      <c r="G187" s="22"/>
      <c r="H187" s="22"/>
      <c r="I187" s="22"/>
      <c r="J187" s="22"/>
      <c r="K187" s="22"/>
      <c r="L187" s="22"/>
      <c r="M187" s="22"/>
      <c r="N187" s="22"/>
    </row>
    <row r="188" spans="1:14">
      <c r="A188" s="64" t="s">
        <v>230</v>
      </c>
      <c r="B188" s="22"/>
      <c r="C188" s="22"/>
      <c r="D188" s="22"/>
      <c r="E188" s="22"/>
      <c r="F188" s="22"/>
      <c r="G188" s="22"/>
      <c r="H188" s="22"/>
      <c r="I188" s="22"/>
      <c r="J188" s="22"/>
      <c r="K188" s="22"/>
      <c r="L188" s="22"/>
      <c r="M188" s="22"/>
      <c r="N188" s="22"/>
    </row>
    <row r="189" spans="1:14">
      <c r="A189" s="64" t="s">
        <v>231</v>
      </c>
      <c r="B189" s="107">
        <v>4030.73</v>
      </c>
      <c r="C189" s="107">
        <v>4030.73</v>
      </c>
      <c r="D189" s="107">
        <v>4030.73</v>
      </c>
      <c r="E189" s="107">
        <v>4030.73</v>
      </c>
      <c r="F189" s="107">
        <v>4571.99</v>
      </c>
      <c r="G189" s="107">
        <v>4030.73</v>
      </c>
      <c r="H189" s="107">
        <v>4030.73</v>
      </c>
      <c r="I189" s="107">
        <v>4030.73</v>
      </c>
      <c r="J189" s="107">
        <v>4030.73</v>
      </c>
      <c r="K189" s="107">
        <v>4030.73</v>
      </c>
      <c r="L189" s="107">
        <v>4030.73</v>
      </c>
      <c r="M189" s="107">
        <v>4030.73</v>
      </c>
      <c r="N189" s="107">
        <v>48910.02</v>
      </c>
    </row>
    <row r="190" spans="1:14">
      <c r="A190" s="64" t="s">
        <v>232</v>
      </c>
      <c r="B190" s="22"/>
      <c r="C190" s="22"/>
      <c r="D190" s="22"/>
      <c r="E190" s="22"/>
      <c r="F190" s="107">
        <v>110.92</v>
      </c>
      <c r="G190" s="22"/>
      <c r="H190" s="22"/>
      <c r="I190" s="22"/>
      <c r="J190" s="22"/>
      <c r="K190" s="22"/>
      <c r="L190" s="22"/>
      <c r="M190" s="22"/>
      <c r="N190" s="107">
        <v>110.92</v>
      </c>
    </row>
    <row r="191" spans="1:14">
      <c r="A191" s="64" t="s">
        <v>234</v>
      </c>
      <c r="B191" s="22"/>
      <c r="C191" s="107"/>
      <c r="D191" s="107">
        <v>85.47</v>
      </c>
      <c r="E191" s="107">
        <v>35.47</v>
      </c>
      <c r="F191" s="107"/>
      <c r="G191" s="107">
        <v>66.67</v>
      </c>
      <c r="H191" s="107">
        <v>392.5</v>
      </c>
      <c r="I191" s="22"/>
      <c r="J191" s="107">
        <v>230</v>
      </c>
      <c r="K191" s="22"/>
      <c r="L191" s="22"/>
      <c r="M191" s="22"/>
      <c r="N191" s="107">
        <v>810.11</v>
      </c>
    </row>
    <row r="192" spans="1:14">
      <c r="A192" s="64" t="s">
        <v>352</v>
      </c>
      <c r="B192" s="113"/>
      <c r="C192" s="113"/>
      <c r="D192" s="113"/>
      <c r="E192" s="113"/>
      <c r="F192" s="113"/>
      <c r="G192" s="113"/>
      <c r="H192" s="113"/>
      <c r="I192" s="113"/>
      <c r="J192" s="113"/>
      <c r="K192" s="113"/>
      <c r="L192" s="113"/>
      <c r="M192" s="111">
        <v>100</v>
      </c>
      <c r="N192" s="111">
        <v>100</v>
      </c>
    </row>
    <row r="193" spans="1:14">
      <c r="A193" s="64" t="s">
        <v>236</v>
      </c>
      <c r="B193" s="107">
        <f t="shared" ref="B193:M193" si="28">SUM(B187:B192)</f>
        <v>4030.73</v>
      </c>
      <c r="C193" s="107">
        <f t="shared" si="28"/>
        <v>4030.73</v>
      </c>
      <c r="D193" s="107">
        <f t="shared" si="28"/>
        <v>4116.2</v>
      </c>
      <c r="E193" s="107">
        <f t="shared" si="28"/>
        <v>4066.2</v>
      </c>
      <c r="F193" s="107">
        <f t="shared" si="28"/>
        <v>4682.91</v>
      </c>
      <c r="G193" s="107">
        <f t="shared" si="28"/>
        <v>4097.3999999999996</v>
      </c>
      <c r="H193" s="107">
        <f t="shared" si="28"/>
        <v>4423.2299999999996</v>
      </c>
      <c r="I193" s="107">
        <f t="shared" si="28"/>
        <v>4030.73</v>
      </c>
      <c r="J193" s="107">
        <f t="shared" si="28"/>
        <v>4260.7299999999996</v>
      </c>
      <c r="K193" s="107">
        <f t="shared" si="28"/>
        <v>4030.73</v>
      </c>
      <c r="L193" s="107">
        <f t="shared" si="28"/>
        <v>4030.73</v>
      </c>
      <c r="M193" s="107">
        <f t="shared" si="28"/>
        <v>4130.7299999999996</v>
      </c>
      <c r="N193" s="107">
        <v>49931.05</v>
      </c>
    </row>
    <row r="194" spans="1:14">
      <c r="A194" s="64"/>
      <c r="B194" s="22"/>
      <c r="C194" s="22"/>
      <c r="D194" s="22"/>
      <c r="E194" s="22"/>
      <c r="F194" s="22"/>
      <c r="G194" s="22"/>
      <c r="H194" s="22"/>
      <c r="I194" s="22"/>
      <c r="J194" s="22"/>
      <c r="K194" s="22"/>
      <c r="L194" s="22"/>
      <c r="M194" s="22"/>
      <c r="N194" s="22"/>
    </row>
    <row r="195" spans="1:14">
      <c r="A195" s="64" t="s">
        <v>237</v>
      </c>
      <c r="B195" s="113"/>
      <c r="C195" s="113"/>
      <c r="D195" s="113"/>
      <c r="E195" s="113"/>
      <c r="F195" s="113"/>
      <c r="G195" s="113"/>
      <c r="H195" s="113"/>
      <c r="I195" s="113"/>
      <c r="J195" s="113"/>
      <c r="K195" s="113"/>
      <c r="L195" s="113"/>
      <c r="M195" s="113"/>
      <c r="N195" s="113"/>
    </row>
    <row r="196" spans="1:14">
      <c r="A196" s="64"/>
      <c r="B196" s="22"/>
      <c r="C196" s="22"/>
      <c r="D196" s="22"/>
      <c r="E196" s="22"/>
      <c r="F196" s="22"/>
      <c r="G196" s="22"/>
      <c r="H196" s="22"/>
      <c r="I196" s="22"/>
      <c r="J196" s="22"/>
      <c r="K196" s="22"/>
      <c r="L196" s="22"/>
      <c r="M196" s="22"/>
      <c r="N196" s="22"/>
    </row>
    <row r="197" spans="1:14">
      <c r="A197" s="64" t="s">
        <v>239</v>
      </c>
      <c r="B197" s="22"/>
      <c r="C197" s="22"/>
      <c r="D197" s="22"/>
      <c r="E197" s="22"/>
      <c r="F197" s="22"/>
      <c r="G197" s="22"/>
      <c r="H197" s="22"/>
      <c r="I197" s="22"/>
      <c r="J197" s="22"/>
      <c r="K197" s="22"/>
      <c r="L197" s="22"/>
      <c r="M197" s="22"/>
      <c r="N197" s="22"/>
    </row>
    <row r="198" spans="1:14">
      <c r="A198" s="64" t="s">
        <v>240</v>
      </c>
      <c r="B198" s="107">
        <v>2274.69</v>
      </c>
      <c r="C198" s="107">
        <v>2274.69</v>
      </c>
      <c r="D198" s="107">
        <v>2274.69</v>
      </c>
      <c r="E198" s="107">
        <v>2274.69</v>
      </c>
      <c r="F198" s="107">
        <v>2274.6799999999998</v>
      </c>
      <c r="G198" s="107">
        <v>2274.8000000000002</v>
      </c>
      <c r="H198" s="107">
        <v>2274.69</v>
      </c>
      <c r="I198" s="107">
        <v>3160.67</v>
      </c>
      <c r="J198" s="107">
        <v>2717.68</v>
      </c>
      <c r="K198" s="107">
        <v>2717.68</v>
      </c>
      <c r="L198" s="107">
        <v>2717.68</v>
      </c>
      <c r="M198" s="107">
        <v>2717.68</v>
      </c>
      <c r="N198" s="107">
        <v>29954.32</v>
      </c>
    </row>
    <row r="199" spans="1:14">
      <c r="A199" s="64" t="s">
        <v>241</v>
      </c>
      <c r="B199" s="107">
        <v>154.41999999999999</v>
      </c>
      <c r="C199" s="107">
        <v>154.41999999999999</v>
      </c>
      <c r="D199" s="107">
        <v>154.41999999999999</v>
      </c>
      <c r="E199" s="107">
        <v>154.41999999999999</v>
      </c>
      <c r="F199" s="107">
        <v>154.41999999999999</v>
      </c>
      <c r="G199" s="107">
        <v>154.41999999999999</v>
      </c>
      <c r="H199" s="107">
        <v>154.41999999999999</v>
      </c>
      <c r="I199" s="107">
        <v>-154.41999999999999</v>
      </c>
      <c r="J199" s="22"/>
      <c r="K199" s="22"/>
      <c r="L199" s="22"/>
      <c r="M199" s="22"/>
      <c r="N199" s="107">
        <v>926.52</v>
      </c>
    </row>
    <row r="200" spans="1:14">
      <c r="A200" s="64" t="s">
        <v>242</v>
      </c>
      <c r="B200" s="107">
        <v>517.28</v>
      </c>
      <c r="C200" s="107">
        <v>437.17</v>
      </c>
      <c r="D200" s="107">
        <v>437.17</v>
      </c>
      <c r="E200" s="107">
        <v>437.17</v>
      </c>
      <c r="F200" s="107">
        <v>437.17</v>
      </c>
      <c r="G200" s="107">
        <v>1016.83</v>
      </c>
      <c r="H200" s="107">
        <v>437.17</v>
      </c>
      <c r="I200" s="107">
        <v>437.17</v>
      </c>
      <c r="J200" s="107">
        <v>437.17</v>
      </c>
      <c r="K200" s="107">
        <v>437.17</v>
      </c>
      <c r="L200" s="107">
        <v>437.17</v>
      </c>
      <c r="M200" s="107">
        <v>437.17</v>
      </c>
      <c r="N200" s="107">
        <v>5905.81</v>
      </c>
    </row>
    <row r="201" spans="1:14">
      <c r="A201" s="64" t="s">
        <v>243</v>
      </c>
      <c r="B201" s="107">
        <v>543.57000000000005</v>
      </c>
      <c r="C201" s="107">
        <v>589.80999999999995</v>
      </c>
      <c r="D201" s="107">
        <v>562.66</v>
      </c>
      <c r="E201" s="107">
        <v>562.66</v>
      </c>
      <c r="F201" s="107">
        <v>562.66</v>
      </c>
      <c r="G201" s="107">
        <v>462.09</v>
      </c>
      <c r="H201" s="107"/>
      <c r="I201" s="22"/>
      <c r="J201" s="107">
        <v>64.5</v>
      </c>
      <c r="K201" s="107">
        <v>709.5</v>
      </c>
      <c r="L201" s="107">
        <v>299</v>
      </c>
      <c r="M201" s="107">
        <v>299</v>
      </c>
      <c r="N201" s="107">
        <v>4655.45</v>
      </c>
    </row>
    <row r="202" spans="1:14">
      <c r="A202" s="64" t="s">
        <v>387</v>
      </c>
      <c r="B202" s="113"/>
      <c r="C202" s="113"/>
      <c r="D202" s="113"/>
      <c r="E202" s="113"/>
      <c r="F202" s="113"/>
      <c r="G202" s="113"/>
      <c r="H202" s="113"/>
      <c r="I202" s="113"/>
      <c r="J202" s="113"/>
      <c r="K202" s="113"/>
      <c r="L202" s="113"/>
      <c r="M202" s="113"/>
      <c r="N202" s="113"/>
    </row>
    <row r="203" spans="1:14">
      <c r="A203" s="64" t="s">
        <v>244</v>
      </c>
      <c r="B203" s="107">
        <f t="shared" ref="B203:M203" si="29">SUM(B196:B202)</f>
        <v>3489.9600000000005</v>
      </c>
      <c r="C203" s="107">
        <f t="shared" si="29"/>
        <v>3456.09</v>
      </c>
      <c r="D203" s="107">
        <f t="shared" si="29"/>
        <v>3428.94</v>
      </c>
      <c r="E203" s="107">
        <f t="shared" si="29"/>
        <v>3428.94</v>
      </c>
      <c r="F203" s="107">
        <f t="shared" si="29"/>
        <v>3428.93</v>
      </c>
      <c r="G203" s="107">
        <f t="shared" si="29"/>
        <v>3908.1400000000003</v>
      </c>
      <c r="H203" s="107">
        <f t="shared" si="29"/>
        <v>2866.28</v>
      </c>
      <c r="I203" s="107">
        <f t="shared" si="29"/>
        <v>3443.42</v>
      </c>
      <c r="J203" s="107">
        <f t="shared" si="29"/>
        <v>3219.35</v>
      </c>
      <c r="K203" s="107">
        <f t="shared" si="29"/>
        <v>3864.35</v>
      </c>
      <c r="L203" s="107">
        <f t="shared" si="29"/>
        <v>3453.85</v>
      </c>
      <c r="M203" s="107">
        <f t="shared" si="29"/>
        <v>3453.85</v>
      </c>
      <c r="N203" s="107">
        <v>41442.1</v>
      </c>
    </row>
    <row r="204" spans="1:14">
      <c r="A204" s="64"/>
      <c r="B204" s="22"/>
      <c r="C204" s="22"/>
      <c r="D204" s="22"/>
      <c r="E204" s="22"/>
      <c r="F204" s="22"/>
      <c r="G204" s="22"/>
      <c r="H204" s="22"/>
      <c r="I204" s="22"/>
      <c r="J204" s="22"/>
      <c r="K204" s="22"/>
      <c r="L204" s="22"/>
      <c r="M204" s="22"/>
      <c r="N204" s="22"/>
    </row>
    <row r="205" spans="1:14">
      <c r="A205" s="64" t="s">
        <v>245</v>
      </c>
      <c r="B205" s="22"/>
      <c r="C205" s="22"/>
      <c r="D205" s="22"/>
      <c r="E205" s="22"/>
      <c r="F205" s="22"/>
      <c r="G205" s="22"/>
      <c r="H205" s="22"/>
      <c r="I205" s="22"/>
      <c r="J205" s="22"/>
      <c r="K205" s="22"/>
      <c r="L205" s="22"/>
      <c r="M205" s="22"/>
      <c r="N205" s="22"/>
    </row>
    <row r="206" spans="1:14">
      <c r="A206" s="64" t="s">
        <v>246</v>
      </c>
      <c r="B206" s="107">
        <v>2058.09</v>
      </c>
      <c r="C206" s="107">
        <v>2086.9899999999998</v>
      </c>
      <c r="D206" s="107">
        <v>2017.29</v>
      </c>
      <c r="E206" s="107">
        <v>2017.29</v>
      </c>
      <c r="F206" s="107">
        <v>2071.3000000000002</v>
      </c>
      <c r="G206" s="107">
        <v>2071.33</v>
      </c>
      <c r="H206" s="107">
        <v>2064.67</v>
      </c>
      <c r="I206" s="107">
        <v>2102.59</v>
      </c>
      <c r="J206" s="107">
        <v>2437.69</v>
      </c>
      <c r="K206" s="107">
        <v>2162.77</v>
      </c>
      <c r="L206" s="107">
        <v>2224.13</v>
      </c>
      <c r="M206" s="107">
        <v>2117.5500000000002</v>
      </c>
      <c r="N206" s="107">
        <v>25431.69</v>
      </c>
    </row>
    <row r="207" spans="1:14">
      <c r="A207" s="64" t="s">
        <v>247</v>
      </c>
      <c r="B207" s="107">
        <v>594.58000000000004</v>
      </c>
      <c r="C207" s="107">
        <v>594.58000000000004</v>
      </c>
      <c r="D207" s="107">
        <v>594.58000000000004</v>
      </c>
      <c r="E207" s="107">
        <v>594.58000000000004</v>
      </c>
      <c r="F207" s="107">
        <v>594.17999999999995</v>
      </c>
      <c r="G207" s="107">
        <v>594.17999999999995</v>
      </c>
      <c r="H207" s="107">
        <v>594.29999999999995</v>
      </c>
      <c r="I207" s="107">
        <v>603.80999999999995</v>
      </c>
      <c r="J207" s="107">
        <v>600.62</v>
      </c>
      <c r="K207" s="107">
        <v>600.62</v>
      </c>
      <c r="L207" s="107">
        <v>600.62</v>
      </c>
      <c r="M207" s="107">
        <v>600.62</v>
      </c>
      <c r="N207" s="107">
        <v>7167.27</v>
      </c>
    </row>
    <row r="208" spans="1:14">
      <c r="A208" s="64" t="s">
        <v>285</v>
      </c>
      <c r="B208" s="107">
        <v>49.19</v>
      </c>
      <c r="C208" s="107">
        <v>49.19</v>
      </c>
      <c r="D208" s="107">
        <v>49.19</v>
      </c>
      <c r="E208" s="107">
        <v>49.19</v>
      </c>
      <c r="F208" s="107">
        <v>49.24</v>
      </c>
      <c r="G208" s="107">
        <v>49.24</v>
      </c>
      <c r="H208" s="107">
        <v>49.14</v>
      </c>
      <c r="I208" s="107">
        <v>49.19</v>
      </c>
      <c r="J208" s="107">
        <v>49.19</v>
      </c>
      <c r="K208" s="107">
        <v>49.19</v>
      </c>
      <c r="L208" s="107">
        <v>49.19</v>
      </c>
      <c r="M208" s="107">
        <v>49.19</v>
      </c>
      <c r="N208" s="107">
        <v>590.33000000000004</v>
      </c>
    </row>
    <row r="209" spans="1:14">
      <c r="A209" s="64" t="s">
        <v>362</v>
      </c>
      <c r="B209" s="113"/>
      <c r="C209" s="113"/>
      <c r="D209" s="113"/>
      <c r="E209" s="113"/>
      <c r="F209" s="113"/>
      <c r="G209" s="113"/>
      <c r="H209" s="113"/>
      <c r="I209" s="113"/>
      <c r="J209" s="113"/>
      <c r="K209" s="113"/>
      <c r="L209" s="113"/>
      <c r="M209" s="113"/>
      <c r="N209" s="113"/>
    </row>
    <row r="210" spans="1:14">
      <c r="A210" s="64" t="s">
        <v>250</v>
      </c>
      <c r="B210" s="107">
        <f t="shared" ref="B210:M210" si="30">SUM(B204:B209)</f>
        <v>2701.86</v>
      </c>
      <c r="C210" s="107">
        <f t="shared" si="30"/>
        <v>2730.7599999999998</v>
      </c>
      <c r="D210" s="107">
        <f t="shared" si="30"/>
        <v>2661.06</v>
      </c>
      <c r="E210" s="107">
        <f t="shared" si="30"/>
        <v>2661.06</v>
      </c>
      <c r="F210" s="107">
        <f t="shared" si="30"/>
        <v>2714.72</v>
      </c>
      <c r="G210" s="107">
        <f t="shared" si="30"/>
        <v>2714.7499999999995</v>
      </c>
      <c r="H210" s="107">
        <f t="shared" si="30"/>
        <v>2708.11</v>
      </c>
      <c r="I210" s="107">
        <f t="shared" si="30"/>
        <v>2755.59</v>
      </c>
      <c r="J210" s="107">
        <f t="shared" si="30"/>
        <v>3087.5</v>
      </c>
      <c r="K210" s="107">
        <f t="shared" si="30"/>
        <v>2812.58</v>
      </c>
      <c r="L210" s="107">
        <f t="shared" si="30"/>
        <v>2873.94</v>
      </c>
      <c r="M210" s="107">
        <f t="shared" si="30"/>
        <v>2767.36</v>
      </c>
      <c r="N210" s="107">
        <v>33189.29</v>
      </c>
    </row>
    <row r="211" spans="1:14">
      <c r="A211" s="64"/>
      <c r="B211" s="22"/>
      <c r="C211" s="22"/>
      <c r="D211" s="22"/>
      <c r="E211" s="22"/>
      <c r="F211" s="22"/>
      <c r="G211" s="22"/>
      <c r="H211" s="22"/>
      <c r="I211" s="22"/>
      <c r="J211" s="22"/>
      <c r="K211" s="22"/>
      <c r="L211" s="22"/>
      <c r="M211" s="22"/>
      <c r="N211" s="22"/>
    </row>
    <row r="212" spans="1:14">
      <c r="A212" s="64" t="s">
        <v>251</v>
      </c>
      <c r="B212" s="22"/>
      <c r="C212" s="22"/>
      <c r="D212" s="22"/>
      <c r="E212" s="22"/>
      <c r="F212" s="22"/>
      <c r="G212" s="22"/>
      <c r="H212" s="22"/>
      <c r="I212" s="22"/>
      <c r="J212" s="22"/>
      <c r="K212" s="22"/>
      <c r="L212" s="22"/>
      <c r="M212" s="22"/>
      <c r="N212" s="22"/>
    </row>
    <row r="213" spans="1:14">
      <c r="A213" s="64" t="s">
        <v>252</v>
      </c>
      <c r="B213" s="107">
        <v>33429</v>
      </c>
      <c r="C213" s="107">
        <v>34308.58</v>
      </c>
      <c r="D213" s="107">
        <v>34308.58</v>
      </c>
      <c r="E213" s="107">
        <v>34308.58</v>
      </c>
      <c r="F213" s="107">
        <v>34308.58</v>
      </c>
      <c r="G213" s="107">
        <v>34308.58</v>
      </c>
      <c r="H213" s="107">
        <v>34308.58</v>
      </c>
      <c r="I213" s="107">
        <v>34308.58</v>
      </c>
      <c r="J213" s="107">
        <v>34308.58</v>
      </c>
      <c r="K213" s="107">
        <v>34308.58</v>
      </c>
      <c r="L213" s="107">
        <v>34308.58</v>
      </c>
      <c r="M213" s="107">
        <v>37395.449999999997</v>
      </c>
      <c r="N213" s="107">
        <v>413910.25</v>
      </c>
    </row>
    <row r="214" spans="1:14">
      <c r="A214" s="64" t="s">
        <v>253</v>
      </c>
      <c r="B214" s="107">
        <v>101.09</v>
      </c>
      <c r="C214" s="107">
        <v>101.09</v>
      </c>
      <c r="D214" s="107">
        <v>101.09</v>
      </c>
      <c r="E214" s="107">
        <v>101.09</v>
      </c>
      <c r="F214" s="107">
        <v>101.08</v>
      </c>
      <c r="G214" s="22"/>
      <c r="H214" s="22"/>
      <c r="I214" s="107">
        <v>51.27</v>
      </c>
      <c r="J214" s="22"/>
      <c r="K214" s="107">
        <v>51.27</v>
      </c>
      <c r="L214" s="107">
        <v>51.27</v>
      </c>
      <c r="M214" s="107">
        <v>51.27</v>
      </c>
      <c r="N214" s="107">
        <v>710.52</v>
      </c>
    </row>
    <row r="215" spans="1:14">
      <c r="A215" s="64" t="s">
        <v>254</v>
      </c>
      <c r="B215" s="111">
        <v>1.38</v>
      </c>
      <c r="C215" s="111">
        <v>4.57</v>
      </c>
      <c r="D215" s="113"/>
      <c r="E215" s="113"/>
      <c r="F215" s="111">
        <v>1.38</v>
      </c>
      <c r="G215" s="113"/>
      <c r="H215" s="113"/>
      <c r="I215" s="111">
        <v>34.01</v>
      </c>
      <c r="J215" s="111">
        <v>1884.99</v>
      </c>
      <c r="K215" s="111">
        <v>9.99</v>
      </c>
      <c r="L215" s="113"/>
      <c r="M215" s="113"/>
      <c r="N215" s="111">
        <v>1936.32</v>
      </c>
    </row>
    <row r="216" spans="1:14">
      <c r="A216" s="64" t="s">
        <v>255</v>
      </c>
      <c r="B216" s="107">
        <f t="shared" ref="B216:M216" si="31">SUM(B211:B215)</f>
        <v>33531.469999999994</v>
      </c>
      <c r="C216" s="107">
        <f t="shared" si="31"/>
        <v>34414.239999999998</v>
      </c>
      <c r="D216" s="107">
        <f t="shared" si="31"/>
        <v>34409.67</v>
      </c>
      <c r="E216" s="107">
        <f t="shared" si="31"/>
        <v>34409.67</v>
      </c>
      <c r="F216" s="107">
        <f t="shared" si="31"/>
        <v>34411.040000000001</v>
      </c>
      <c r="G216" s="107">
        <f t="shared" si="31"/>
        <v>34308.58</v>
      </c>
      <c r="H216" s="107">
        <f t="shared" si="31"/>
        <v>34308.58</v>
      </c>
      <c r="I216" s="107">
        <f t="shared" si="31"/>
        <v>34393.86</v>
      </c>
      <c r="J216" s="107">
        <f t="shared" si="31"/>
        <v>36193.57</v>
      </c>
      <c r="K216" s="107">
        <f t="shared" si="31"/>
        <v>34369.839999999997</v>
      </c>
      <c r="L216" s="107">
        <f t="shared" si="31"/>
        <v>34359.85</v>
      </c>
      <c r="M216" s="107">
        <f t="shared" si="31"/>
        <v>37446.719999999994</v>
      </c>
      <c r="N216" s="107">
        <v>416557.09</v>
      </c>
    </row>
    <row r="217" spans="1:14">
      <c r="A217" s="64"/>
      <c r="B217" s="22"/>
      <c r="C217" s="22"/>
      <c r="D217" s="22"/>
      <c r="E217" s="22"/>
      <c r="F217" s="22"/>
      <c r="G217" s="22"/>
      <c r="H217" s="22"/>
      <c r="I217" s="22"/>
      <c r="J217" s="22"/>
      <c r="K217" s="22"/>
      <c r="L217" s="22"/>
      <c r="M217" s="22"/>
      <c r="N217" s="22"/>
    </row>
    <row r="218" spans="1:14">
      <c r="A218" s="64" t="s">
        <v>256</v>
      </c>
      <c r="B218" s="113"/>
      <c r="C218" s="113"/>
      <c r="D218" s="113"/>
      <c r="E218" s="113"/>
      <c r="F218" s="113"/>
      <c r="G218" s="113"/>
      <c r="H218" s="113"/>
      <c r="I218" s="113"/>
      <c r="J218" s="113"/>
      <c r="K218" s="113"/>
      <c r="L218" s="113"/>
      <c r="M218" s="113"/>
      <c r="N218" s="113"/>
    </row>
    <row r="219" spans="1:14">
      <c r="A219" s="64"/>
      <c r="B219" s="22"/>
      <c r="C219" s="22"/>
      <c r="D219" s="22"/>
      <c r="E219" s="22"/>
      <c r="F219" s="22"/>
      <c r="G219" s="22"/>
      <c r="H219" s="22"/>
      <c r="I219" s="22"/>
      <c r="J219" s="22"/>
      <c r="K219" s="22"/>
      <c r="L219" s="22"/>
      <c r="M219" s="22"/>
      <c r="N219" s="22"/>
    </row>
    <row r="220" spans="1:14" ht="15.75" thickBot="1">
      <c r="A220" s="64" t="s">
        <v>62</v>
      </c>
      <c r="B220" s="112">
        <f t="shared" ref="B220:M220" si="32">SUM(B124:B219)-B134-0-B147-0-B167-B180-B186-B193-0-B203-B210-B216-0</f>
        <v>103734.44</v>
      </c>
      <c r="C220" s="112">
        <f t="shared" si="32"/>
        <v>101409.44000000003</v>
      </c>
      <c r="D220" s="112">
        <f t="shared" si="32"/>
        <v>100857.18999999996</v>
      </c>
      <c r="E220" s="112">
        <f t="shared" si="32"/>
        <v>99992.460000000036</v>
      </c>
      <c r="F220" s="112">
        <f t="shared" si="32"/>
        <v>107143.37</v>
      </c>
      <c r="G220" s="112">
        <f t="shared" si="32"/>
        <v>102924.79000000002</v>
      </c>
      <c r="H220" s="112">
        <f t="shared" si="32"/>
        <v>97677.419999999969</v>
      </c>
      <c r="I220" s="112">
        <f t="shared" si="32"/>
        <v>99202.270000000033</v>
      </c>
      <c r="J220" s="112">
        <f t="shared" si="32"/>
        <v>110745.13</v>
      </c>
      <c r="K220" s="112">
        <f t="shared" si="32"/>
        <v>107778.70999999996</v>
      </c>
      <c r="L220" s="112">
        <f t="shared" si="32"/>
        <v>112176.59000000003</v>
      </c>
      <c r="M220" s="112">
        <f t="shared" si="32"/>
        <v>117605.84</v>
      </c>
      <c r="N220" s="112">
        <v>1261247.6499999999</v>
      </c>
    </row>
    <row r="221" spans="1:14" ht="15.75" thickTop="1">
      <c r="A221" s="64"/>
      <c r="B221" s="22"/>
      <c r="C221" s="22"/>
      <c r="D221" s="22"/>
      <c r="E221" s="22"/>
      <c r="F221" s="22"/>
      <c r="G221" s="22"/>
      <c r="H221" s="22"/>
      <c r="I221" s="22"/>
      <c r="J221" s="22"/>
      <c r="K221" s="22"/>
      <c r="L221" s="22"/>
      <c r="M221" s="22"/>
      <c r="N221" s="22"/>
    </row>
    <row r="222" spans="1:14" ht="15.75" thickBot="1">
      <c r="A222" s="64" t="s">
        <v>259</v>
      </c>
      <c r="B222" s="112">
        <f t="shared" ref="B222:M222" si="33">+B121-B220</f>
        <v>-15108.869999999923</v>
      </c>
      <c r="C222" s="112">
        <f t="shared" si="33"/>
        <v>-9077.8800000001211</v>
      </c>
      <c r="D222" s="112">
        <f t="shared" si="33"/>
        <v>-1453.6499999998632</v>
      </c>
      <c r="E222" s="112">
        <f t="shared" si="33"/>
        <v>-737.46000000003551</v>
      </c>
      <c r="F222" s="112">
        <f t="shared" si="33"/>
        <v>-4558.3699999999953</v>
      </c>
      <c r="G222" s="112">
        <f t="shared" si="33"/>
        <v>1610.75</v>
      </c>
      <c r="H222" s="112">
        <f t="shared" si="33"/>
        <v>12579.450000000012</v>
      </c>
      <c r="I222" s="112">
        <f t="shared" si="33"/>
        <v>10852.729999999967</v>
      </c>
      <c r="J222" s="112">
        <f t="shared" si="33"/>
        <v>-4495.1300000000047</v>
      </c>
      <c r="K222" s="112">
        <f t="shared" si="33"/>
        <v>-2472.8499999999913</v>
      </c>
      <c r="L222" s="112">
        <f t="shared" si="33"/>
        <v>-1766.2700000000914</v>
      </c>
      <c r="M222" s="112">
        <f t="shared" si="33"/>
        <v>-10881.710000000021</v>
      </c>
      <c r="N222" s="112">
        <v>-25509.26</v>
      </c>
    </row>
    <row r="223" spans="1:14" ht="15.75" thickTop="1">
      <c r="A223" s="64"/>
      <c r="B223" s="22"/>
      <c r="C223" s="22"/>
      <c r="D223" s="22"/>
      <c r="E223" s="22"/>
      <c r="F223" s="22"/>
      <c r="G223" s="22"/>
      <c r="H223" s="22"/>
      <c r="I223" s="22"/>
      <c r="J223" s="22"/>
      <c r="K223" s="22"/>
      <c r="L223" s="22"/>
      <c r="M223" s="22"/>
      <c r="N223" s="22"/>
    </row>
    <row r="224" spans="1:14">
      <c r="A224" s="64" t="s">
        <v>351</v>
      </c>
      <c r="B224" s="111">
        <v>2122.5</v>
      </c>
      <c r="C224" s="111">
        <v>1597.5</v>
      </c>
      <c r="D224" s="111">
        <v>1662.5</v>
      </c>
      <c r="E224" s="111">
        <v>1607.75</v>
      </c>
      <c r="F224" s="111">
        <v>5405.84</v>
      </c>
      <c r="G224" s="111">
        <v>60</v>
      </c>
      <c r="H224" s="111">
        <v>66.91</v>
      </c>
      <c r="I224" s="113"/>
      <c r="J224" s="111">
        <v>81.94</v>
      </c>
      <c r="K224" s="113"/>
      <c r="L224" s="113"/>
      <c r="M224" s="113"/>
      <c r="N224" s="111">
        <v>12604.94</v>
      </c>
    </row>
    <row r="225" spans="1:14">
      <c r="A225" s="64" t="s">
        <v>64</v>
      </c>
      <c r="B225" s="107">
        <f t="shared" ref="B225:H225" si="34">SUM(B223:B224)</f>
        <v>2122.5</v>
      </c>
      <c r="C225" s="107">
        <f t="shared" si="34"/>
        <v>1597.5</v>
      </c>
      <c r="D225" s="107">
        <f t="shared" si="34"/>
        <v>1662.5</v>
      </c>
      <c r="E225" s="107">
        <f t="shared" si="34"/>
        <v>1607.75</v>
      </c>
      <c r="F225" s="107">
        <f t="shared" si="34"/>
        <v>5405.84</v>
      </c>
      <c r="G225" s="107">
        <f t="shared" si="34"/>
        <v>60</v>
      </c>
      <c r="H225" s="107">
        <f t="shared" si="34"/>
        <v>66.91</v>
      </c>
      <c r="I225" s="107"/>
      <c r="J225" s="107">
        <f>SUM(J223:J224)</f>
        <v>81.94</v>
      </c>
      <c r="K225" s="107"/>
      <c r="L225" s="107"/>
      <c r="M225" s="107"/>
      <c r="N225" s="107">
        <v>12604.94</v>
      </c>
    </row>
    <row r="226" spans="1:14">
      <c r="A226" s="64"/>
      <c r="B226" s="22"/>
      <c r="C226" s="22"/>
      <c r="D226" s="22"/>
      <c r="E226" s="22"/>
      <c r="F226" s="22"/>
      <c r="G226" s="22"/>
      <c r="H226" s="22"/>
      <c r="I226" s="22"/>
      <c r="J226" s="22"/>
      <c r="K226" s="22"/>
      <c r="L226" s="22"/>
      <c r="M226" s="22"/>
      <c r="N226" s="22"/>
    </row>
    <row r="227" spans="1:14" ht="15.75" thickBot="1">
      <c r="A227" s="64" t="s">
        <v>22</v>
      </c>
      <c r="B227" s="112">
        <f t="shared" ref="B227:M227" si="35">+B222-B225</f>
        <v>-17231.369999999923</v>
      </c>
      <c r="C227" s="112">
        <f t="shared" si="35"/>
        <v>-10675.380000000121</v>
      </c>
      <c r="D227" s="112">
        <f t="shared" si="35"/>
        <v>-3116.1499999998632</v>
      </c>
      <c r="E227" s="112">
        <f t="shared" si="35"/>
        <v>-2345.2100000000355</v>
      </c>
      <c r="F227" s="112">
        <f t="shared" si="35"/>
        <v>-9964.2099999999955</v>
      </c>
      <c r="G227" s="112">
        <f t="shared" si="35"/>
        <v>1550.75</v>
      </c>
      <c r="H227" s="112">
        <f t="shared" si="35"/>
        <v>12512.540000000012</v>
      </c>
      <c r="I227" s="112">
        <f t="shared" si="35"/>
        <v>10852.729999999967</v>
      </c>
      <c r="J227" s="112">
        <f t="shared" si="35"/>
        <v>-4577.0700000000043</v>
      </c>
      <c r="K227" s="112">
        <f t="shared" si="35"/>
        <v>-2472.8499999999913</v>
      </c>
      <c r="L227" s="112">
        <f t="shared" si="35"/>
        <v>-1766.2700000000914</v>
      </c>
      <c r="M227" s="112">
        <f t="shared" si="35"/>
        <v>-10881.710000000021</v>
      </c>
      <c r="N227" s="112">
        <v>-38114.199999999997</v>
      </c>
    </row>
    <row r="228" spans="1:14" ht="15.75" thickTop="1">
      <c r="A228" s="64"/>
      <c r="B228" s="22"/>
      <c r="C228" s="22"/>
      <c r="D228" s="22"/>
      <c r="E228" s="22"/>
      <c r="F228" s="22"/>
      <c r="G228" s="22"/>
      <c r="H228" s="22"/>
      <c r="I228" s="22"/>
      <c r="J228" s="22"/>
      <c r="K228" s="22"/>
      <c r="L228" s="22"/>
      <c r="M228" s="22"/>
      <c r="N228" s="22"/>
    </row>
    <row r="229" spans="1:14">
      <c r="A229" s="64"/>
      <c r="B229" s="22"/>
      <c r="C229" s="22"/>
      <c r="D229" s="22"/>
      <c r="E229" s="22"/>
      <c r="F229" s="22"/>
      <c r="G229" s="22"/>
      <c r="H229" s="22"/>
      <c r="I229" s="22"/>
      <c r="J229" s="22"/>
      <c r="K229" s="22"/>
      <c r="L229" s="22"/>
      <c r="M229" s="22"/>
      <c r="N229" s="22"/>
    </row>
    <row r="230" spans="1:14">
      <c r="A230" s="64" t="s">
        <v>260</v>
      </c>
      <c r="B230" s="22"/>
      <c r="C230" s="22"/>
      <c r="D230" s="22"/>
      <c r="E230" s="22"/>
      <c r="F230" s="22"/>
      <c r="G230" s="22"/>
      <c r="H230" s="22"/>
      <c r="I230" s="22"/>
      <c r="J230" s="22"/>
      <c r="K230" s="22"/>
      <c r="L230" s="22"/>
      <c r="M230" s="22"/>
      <c r="N230" s="22"/>
    </row>
    <row r="231" spans="1:14">
      <c r="A231" s="64"/>
      <c r="B231" s="22"/>
      <c r="C231" s="22"/>
      <c r="D231" s="22"/>
      <c r="E231" s="22"/>
      <c r="F231" s="22"/>
      <c r="G231" s="22"/>
      <c r="H231" s="22"/>
      <c r="I231" s="22"/>
      <c r="J231" s="22"/>
      <c r="K231" s="22"/>
      <c r="L231" s="22"/>
      <c r="M231" s="22"/>
      <c r="N231" s="22"/>
    </row>
    <row r="232" spans="1:14">
      <c r="A232" s="64" t="s">
        <v>19</v>
      </c>
      <c r="B232" s="113"/>
      <c r="C232" s="113"/>
      <c r="D232" s="113"/>
      <c r="E232" s="113"/>
      <c r="F232" s="113"/>
      <c r="G232" s="113"/>
      <c r="H232" s="113"/>
      <c r="I232" s="113"/>
      <c r="J232" s="113"/>
      <c r="K232" s="113"/>
      <c r="L232" s="113"/>
      <c r="M232" s="113"/>
      <c r="N232" s="113"/>
    </row>
    <row r="233" spans="1:14">
      <c r="A233" s="64" t="s">
        <v>85</v>
      </c>
      <c r="B233" s="107"/>
      <c r="C233" s="107"/>
      <c r="D233" s="107"/>
      <c r="E233" s="107"/>
      <c r="F233" s="107"/>
      <c r="G233" s="107"/>
      <c r="H233" s="107"/>
      <c r="I233" s="107"/>
      <c r="J233" s="107"/>
      <c r="K233" s="107"/>
      <c r="L233" s="107"/>
      <c r="M233" s="107"/>
      <c r="N233" s="107"/>
    </row>
    <row r="234" spans="1:14">
      <c r="A234" s="64"/>
      <c r="B234" s="22"/>
      <c r="C234" s="22"/>
      <c r="D234" s="22"/>
      <c r="E234" s="22"/>
      <c r="F234" s="22"/>
      <c r="G234" s="22"/>
      <c r="H234" s="22"/>
      <c r="I234" s="22"/>
      <c r="J234" s="22"/>
      <c r="K234" s="22"/>
      <c r="L234" s="22"/>
      <c r="M234" s="22"/>
      <c r="N234" s="22"/>
    </row>
    <row r="235" spans="1:14">
      <c r="A235" s="64" t="s">
        <v>20</v>
      </c>
      <c r="B235" s="113"/>
      <c r="C235" s="113"/>
      <c r="D235" s="113"/>
      <c r="E235" s="113"/>
      <c r="F235" s="113"/>
      <c r="G235" s="113"/>
      <c r="H235" s="113"/>
      <c r="I235" s="113"/>
      <c r="J235" s="113"/>
      <c r="K235" s="113"/>
      <c r="L235" s="113"/>
      <c r="M235" s="113"/>
      <c r="N235" s="113"/>
    </row>
    <row r="236" spans="1:14">
      <c r="A236" s="64" t="s">
        <v>262</v>
      </c>
      <c r="B236" s="107"/>
      <c r="C236" s="107"/>
      <c r="D236" s="107"/>
      <c r="E236" s="107"/>
      <c r="F236" s="107"/>
      <c r="G236" s="107"/>
      <c r="H236" s="107"/>
      <c r="I236" s="107"/>
      <c r="J236" s="107"/>
      <c r="K236" s="107"/>
      <c r="L236" s="107"/>
      <c r="M236" s="107"/>
      <c r="N236" s="107"/>
    </row>
    <row r="237" spans="1:14">
      <c r="A237" s="64"/>
      <c r="B237" s="22"/>
      <c r="C237" s="22"/>
      <c r="D237" s="22"/>
      <c r="E237" s="22"/>
      <c r="F237" s="22"/>
      <c r="G237" s="22"/>
      <c r="H237" s="22"/>
      <c r="I237" s="22"/>
      <c r="J237" s="22"/>
      <c r="K237" s="22"/>
      <c r="L237" s="22"/>
      <c r="M237" s="22"/>
      <c r="N237" s="22"/>
    </row>
    <row r="238" spans="1:14">
      <c r="A238" s="64" t="s">
        <v>263</v>
      </c>
      <c r="B238" s="113"/>
      <c r="C238" s="113"/>
      <c r="D238" s="113"/>
      <c r="E238" s="113"/>
      <c r="F238" s="113"/>
      <c r="G238" s="113"/>
      <c r="H238" s="113"/>
      <c r="I238" s="113"/>
      <c r="J238" s="113"/>
      <c r="K238" s="113"/>
      <c r="L238" s="113"/>
      <c r="M238" s="113"/>
      <c r="N238" s="113"/>
    </row>
    <row r="239" spans="1:14">
      <c r="A239" s="64" t="s">
        <v>264</v>
      </c>
      <c r="B239" s="107"/>
      <c r="C239" s="107"/>
      <c r="D239" s="107"/>
      <c r="E239" s="107"/>
      <c r="F239" s="107"/>
      <c r="G239" s="107"/>
      <c r="H239" s="107"/>
      <c r="I239" s="107"/>
      <c r="J239" s="107"/>
      <c r="K239" s="107"/>
      <c r="L239" s="107"/>
      <c r="M239" s="107"/>
      <c r="N239" s="107"/>
    </row>
    <row r="240" spans="1:14">
      <c r="A240" s="64"/>
      <c r="B240" s="22"/>
      <c r="C240" s="22"/>
      <c r="D240" s="22"/>
      <c r="E240" s="22"/>
      <c r="F240" s="22"/>
      <c r="G240" s="22"/>
      <c r="H240" s="22"/>
      <c r="I240" s="22"/>
      <c r="J240" s="22"/>
      <c r="K240" s="22"/>
      <c r="L240" s="22"/>
      <c r="M240" s="22"/>
      <c r="N240" s="22"/>
    </row>
    <row r="241" spans="1:14">
      <c r="A241" s="64" t="s">
        <v>265</v>
      </c>
      <c r="B241" s="113"/>
      <c r="C241" s="113"/>
      <c r="D241" s="113"/>
      <c r="E241" s="113"/>
      <c r="F241" s="113"/>
      <c r="G241" s="113"/>
      <c r="H241" s="113"/>
      <c r="I241" s="113"/>
      <c r="J241" s="113"/>
      <c r="K241" s="113"/>
      <c r="L241" s="113"/>
      <c r="M241" s="113"/>
      <c r="N241" s="113"/>
    </row>
    <row r="242" spans="1:14">
      <c r="A242" s="64" t="s">
        <v>319</v>
      </c>
      <c r="B242" s="107"/>
      <c r="C242" s="107"/>
      <c r="D242" s="107"/>
      <c r="E242" s="107"/>
      <c r="F242" s="107"/>
      <c r="G242" s="107"/>
      <c r="H242" s="107"/>
      <c r="I242" s="107"/>
      <c r="J242" s="107"/>
      <c r="K242" s="107"/>
      <c r="L242" s="107"/>
      <c r="M242" s="107"/>
      <c r="N242" s="107"/>
    </row>
    <row r="243" spans="1:14">
      <c r="A243" s="64"/>
      <c r="B243" s="22"/>
      <c r="C243" s="22"/>
      <c r="D243" s="22"/>
      <c r="E243" s="22"/>
      <c r="F243" s="22"/>
      <c r="G243" s="22"/>
      <c r="H243" s="22"/>
      <c r="I243" s="22"/>
      <c r="J243" s="22"/>
      <c r="K243" s="22"/>
      <c r="L243" s="22"/>
      <c r="M243" s="22"/>
      <c r="N243" s="22"/>
    </row>
    <row r="244" spans="1:14">
      <c r="A244" s="64" t="s">
        <v>106</v>
      </c>
      <c r="B244" s="113"/>
      <c r="C244" s="113"/>
      <c r="D244" s="113"/>
      <c r="E244" s="113"/>
      <c r="F244" s="113"/>
      <c r="G244" s="113"/>
      <c r="H244" s="113"/>
      <c r="I244" s="113"/>
      <c r="J244" s="113"/>
      <c r="K244" s="113"/>
      <c r="L244" s="113"/>
      <c r="M244" s="113"/>
      <c r="N244" s="113"/>
    </row>
    <row r="245" spans="1:14">
      <c r="A245" s="64" t="s">
        <v>116</v>
      </c>
      <c r="B245" s="107"/>
      <c r="C245" s="107"/>
      <c r="D245" s="107"/>
      <c r="E245" s="107"/>
      <c r="F245" s="107"/>
      <c r="G245" s="107"/>
      <c r="H245" s="107"/>
      <c r="I245" s="107"/>
      <c r="J245" s="107"/>
      <c r="K245" s="107"/>
      <c r="L245" s="107"/>
      <c r="M245" s="107"/>
      <c r="N245" s="107"/>
    </row>
    <row r="246" spans="1:14">
      <c r="A246" s="64"/>
      <c r="B246" s="22"/>
      <c r="C246" s="22"/>
      <c r="D246" s="22"/>
      <c r="E246" s="22"/>
      <c r="F246" s="22"/>
      <c r="G246" s="22"/>
      <c r="H246" s="22"/>
      <c r="I246" s="22"/>
      <c r="J246" s="22"/>
      <c r="K246" s="22"/>
      <c r="L246" s="22"/>
      <c r="M246" s="22"/>
      <c r="N246" s="22"/>
    </row>
    <row r="247" spans="1:14">
      <c r="A247" s="64" t="s">
        <v>117</v>
      </c>
      <c r="B247" s="22"/>
      <c r="C247" s="22"/>
      <c r="D247" s="22"/>
      <c r="E247" s="22"/>
      <c r="F247" s="22"/>
      <c r="G247" s="22"/>
      <c r="H247" s="22"/>
      <c r="I247" s="22"/>
      <c r="J247" s="22"/>
      <c r="K247" s="22"/>
      <c r="L247" s="22"/>
      <c r="M247" s="22"/>
      <c r="N247" s="22"/>
    </row>
    <row r="248" spans="1:14">
      <c r="A248" s="64" t="s">
        <v>261</v>
      </c>
      <c r="B248" s="22"/>
      <c r="C248" s="107">
        <v>-1188</v>
      </c>
      <c r="D248" s="22"/>
      <c r="E248" s="107">
        <v>4</v>
      </c>
      <c r="F248" s="22"/>
      <c r="G248" s="22"/>
      <c r="H248" s="107">
        <v>-92</v>
      </c>
      <c r="I248" s="22"/>
      <c r="J248" s="22"/>
      <c r="K248" s="22"/>
      <c r="L248" s="22"/>
      <c r="M248" s="107">
        <v>25</v>
      </c>
      <c r="N248" s="107">
        <v>-1251</v>
      </c>
    </row>
    <row r="249" spans="1:14">
      <c r="A249" s="64" t="s">
        <v>66</v>
      </c>
      <c r="B249" s="111">
        <v>1499</v>
      </c>
      <c r="C249" s="111">
        <v>1380</v>
      </c>
      <c r="D249" s="111">
        <v>1519</v>
      </c>
      <c r="E249" s="111">
        <v>1530</v>
      </c>
      <c r="F249" s="111">
        <v>1612</v>
      </c>
      <c r="G249" s="111">
        <v>1659</v>
      </c>
      <c r="H249" s="111">
        <v>1458</v>
      </c>
      <c r="I249" s="111">
        <v>1674</v>
      </c>
      <c r="J249" s="111">
        <v>1590</v>
      </c>
      <c r="K249" s="111">
        <v>1674</v>
      </c>
      <c r="L249" s="111">
        <v>1650</v>
      </c>
      <c r="M249" s="111">
        <v>1705</v>
      </c>
      <c r="N249" s="111">
        <v>18950</v>
      </c>
    </row>
    <row r="250" spans="1:14">
      <c r="A250" s="64" t="s">
        <v>127</v>
      </c>
      <c r="B250" s="107">
        <f t="shared" ref="B250:M250" si="36">SUM(B246:B249)</f>
        <v>1499</v>
      </c>
      <c r="C250" s="107">
        <f t="shared" si="36"/>
        <v>192</v>
      </c>
      <c r="D250" s="107">
        <f t="shared" si="36"/>
        <v>1519</v>
      </c>
      <c r="E250" s="107">
        <f t="shared" si="36"/>
        <v>1534</v>
      </c>
      <c r="F250" s="107">
        <f t="shared" si="36"/>
        <v>1612</v>
      </c>
      <c r="G250" s="107">
        <f t="shared" si="36"/>
        <v>1659</v>
      </c>
      <c r="H250" s="107">
        <f t="shared" si="36"/>
        <v>1366</v>
      </c>
      <c r="I250" s="107">
        <f t="shared" si="36"/>
        <v>1674</v>
      </c>
      <c r="J250" s="107">
        <f t="shared" si="36"/>
        <v>1590</v>
      </c>
      <c r="K250" s="107">
        <f t="shared" si="36"/>
        <v>1674</v>
      </c>
      <c r="L250" s="107">
        <f t="shared" si="36"/>
        <v>1650</v>
      </c>
      <c r="M250" s="107">
        <f t="shared" si="36"/>
        <v>1730</v>
      </c>
      <c r="N250" s="107">
        <v>17699</v>
      </c>
    </row>
    <row r="251" spans="1:14">
      <c r="A251" s="64"/>
      <c r="B251" s="22"/>
      <c r="C251" s="22"/>
      <c r="D251" s="22"/>
      <c r="E251" s="22"/>
      <c r="F251" s="22"/>
      <c r="G251" s="22"/>
      <c r="H251" s="22"/>
      <c r="I251" s="22"/>
      <c r="J251" s="22"/>
      <c r="K251" s="22"/>
      <c r="L251" s="22"/>
      <c r="M251" s="22"/>
      <c r="N251" s="22"/>
    </row>
    <row r="252" spans="1:14" ht="15.75" thickBot="1">
      <c r="A252" s="64" t="s">
        <v>266</v>
      </c>
      <c r="B252" s="112">
        <f t="shared" ref="B252:M252" si="37">SUM(B230:B251)-B233-B236-B239-B242-B245-B250</f>
        <v>1499</v>
      </c>
      <c r="C252" s="112">
        <f t="shared" si="37"/>
        <v>192</v>
      </c>
      <c r="D252" s="112">
        <f t="shared" si="37"/>
        <v>1519</v>
      </c>
      <c r="E252" s="112">
        <f t="shared" si="37"/>
        <v>1534</v>
      </c>
      <c r="F252" s="112">
        <f t="shared" si="37"/>
        <v>1612</v>
      </c>
      <c r="G252" s="112">
        <f t="shared" si="37"/>
        <v>1659</v>
      </c>
      <c r="H252" s="112">
        <f t="shared" si="37"/>
        <v>1366</v>
      </c>
      <c r="I252" s="112">
        <f t="shared" si="37"/>
        <v>1674</v>
      </c>
      <c r="J252" s="112">
        <f t="shared" si="37"/>
        <v>1590</v>
      </c>
      <c r="K252" s="112">
        <f t="shared" si="37"/>
        <v>1674</v>
      </c>
      <c r="L252" s="112">
        <f t="shared" si="37"/>
        <v>1650</v>
      </c>
      <c r="M252" s="112">
        <f t="shared" si="37"/>
        <v>1730</v>
      </c>
      <c r="N252" s="112">
        <v>17699</v>
      </c>
    </row>
    <row r="253" spans="1:14" ht="15.75" thickTop="1">
      <c r="A253" s="64"/>
      <c r="B253" s="22"/>
      <c r="C253" s="22"/>
      <c r="D253" s="22"/>
      <c r="E253" s="22"/>
      <c r="F253" s="22"/>
      <c r="G253" s="22"/>
      <c r="H253" s="22"/>
      <c r="I253" s="22"/>
      <c r="J253" s="22"/>
      <c r="K253" s="22"/>
      <c r="L253" s="22"/>
      <c r="M253" s="22"/>
      <c r="N253" s="22"/>
    </row>
    <row r="254" spans="1:14" hidden="1">
      <c r="A254" s="64"/>
      <c r="B254" s="107">
        <v>17231.37</v>
      </c>
      <c r="C254" s="107">
        <v>10675.38</v>
      </c>
      <c r="D254" s="107">
        <v>3116.15</v>
      </c>
      <c r="E254" s="107">
        <v>2345.21</v>
      </c>
      <c r="F254" s="107">
        <v>9964.2099999999991</v>
      </c>
      <c r="G254" s="107">
        <v>-1550.75</v>
      </c>
      <c r="H254" s="107">
        <v>-12512.54</v>
      </c>
      <c r="I254" s="107">
        <v>-10852.73</v>
      </c>
      <c r="J254" s="107">
        <v>4577.07</v>
      </c>
      <c r="K254" s="107">
        <v>2472.85</v>
      </c>
      <c r="L254" s="107">
        <v>1766.27</v>
      </c>
      <c r="M254" s="107">
        <v>10881.71</v>
      </c>
      <c r="N254" s="107">
        <v>38114.199999999997</v>
      </c>
    </row>
    <row r="255" spans="1:14">
      <c r="A255" s="64"/>
      <c r="B255" s="22"/>
      <c r="C255" s="22"/>
      <c r="D255" s="22"/>
      <c r="E255" s="22"/>
      <c r="F255" s="22"/>
      <c r="G255" s="22"/>
      <c r="H255" s="22"/>
      <c r="I255" s="22"/>
      <c r="J255" s="22"/>
      <c r="K255" s="22"/>
      <c r="L255" s="22"/>
      <c r="M255" s="22"/>
      <c r="N255" s="22"/>
    </row>
    <row r="256" spans="1:14" hidden="1">
      <c r="A256" s="64" t="s">
        <v>267</v>
      </c>
      <c r="B256" s="107">
        <f t="shared" ref="B256:M256" si="38">0+0+0+0+B249</f>
        <v>1499</v>
      </c>
      <c r="C256" s="107">
        <f t="shared" si="38"/>
        <v>1380</v>
      </c>
      <c r="D256" s="107">
        <f t="shared" si="38"/>
        <v>1519</v>
      </c>
      <c r="E256" s="107">
        <f t="shared" si="38"/>
        <v>1530</v>
      </c>
      <c r="F256" s="107">
        <f t="shared" si="38"/>
        <v>1612</v>
      </c>
      <c r="G256" s="107">
        <f t="shared" si="38"/>
        <v>1659</v>
      </c>
      <c r="H256" s="107">
        <f t="shared" si="38"/>
        <v>1458</v>
      </c>
      <c r="I256" s="107">
        <f t="shared" si="38"/>
        <v>1674</v>
      </c>
      <c r="J256" s="107">
        <f t="shared" si="38"/>
        <v>1590</v>
      </c>
      <c r="K256" s="107">
        <f t="shared" si="38"/>
        <v>1674</v>
      </c>
      <c r="L256" s="107">
        <f t="shared" si="38"/>
        <v>1650</v>
      </c>
      <c r="M256" s="107">
        <f t="shared" si="38"/>
        <v>1705</v>
      </c>
      <c r="N256" s="107">
        <v>18950</v>
      </c>
    </row>
    <row r="257" spans="1:14">
      <c r="A257" s="64"/>
      <c r="B257" s="22"/>
      <c r="C257" s="22"/>
      <c r="D257" s="22"/>
      <c r="E257" s="22"/>
      <c r="F257" s="22"/>
      <c r="G257" s="22"/>
      <c r="H257" s="22"/>
      <c r="I257" s="22"/>
      <c r="J257" s="22"/>
      <c r="K257" s="22"/>
      <c r="L257" s="22"/>
      <c r="M257" s="22"/>
      <c r="N257" s="22"/>
    </row>
  </sheetData>
  <pageMargins left="0.75" right="0.75" top="0.75" bottom="0.75" header="0.03" footer="0.03"/>
  <pageSetup scale="46" fitToHeight="0" pageOrder="overThenDown" orientation="landscape" r:id="rId1"/>
  <headerFooter>
    <oddHeader>&amp;L&amp;C&amp;"Arial,Regular"&amp;9&amp;K000000HMG Senior Living Topeka, LLC 
Trailing 12 Months&amp;R</oddHeader>
  </headerFooter>
  <rowBreaks count="1" manualBreakCount="1">
    <brk id="43" max="16383" man="1"/>
  </rowBreaks>
  <customProperties>
    <customPr name="EpmWorksheetKeyString_GUID" r:id="rId2"/>
  </customProperties>
  <drawing r:id="rId3"/>
  <legacyDrawing r:id="rId4"/>
  <controls>
    <mc:AlternateContent xmlns:mc="http://schemas.openxmlformats.org/markup-compatibility/2006">
      <mc:Choice Requires="x14">
        <control shapeId="18433"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8433" r:id="rId5" name="FPMExcelClientSheetOptionstb1"/>
      </mc:Fallback>
    </mc:AlternateContent>
  </control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N199"/>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113"/>
      <c r="C3" s="113"/>
      <c r="D3" s="113"/>
      <c r="E3" s="113"/>
      <c r="F3" s="113"/>
      <c r="G3" s="113"/>
      <c r="H3" s="113"/>
      <c r="I3" s="113"/>
      <c r="J3" s="113"/>
      <c r="K3" s="113"/>
      <c r="L3" s="113"/>
      <c r="M3" s="113"/>
      <c r="N3" s="113"/>
    </row>
    <row r="4" spans="1:14" ht="15.75" thickBot="1">
      <c r="A4" s="64"/>
      <c r="B4" s="183"/>
      <c r="C4" s="183"/>
      <c r="D4" s="183"/>
      <c r="E4" s="183"/>
      <c r="F4" s="183"/>
      <c r="G4" s="183"/>
      <c r="H4" s="183"/>
      <c r="I4" s="183"/>
      <c r="J4" s="183"/>
      <c r="K4" s="183"/>
      <c r="L4" s="183"/>
      <c r="M4" s="183"/>
      <c r="N4" s="183"/>
    </row>
    <row r="5" spans="1:14" ht="15.75" thickTop="1">
      <c r="A5" s="64"/>
      <c r="B5" s="22"/>
      <c r="C5" s="22"/>
      <c r="D5" s="22"/>
      <c r="E5" s="22"/>
      <c r="F5" s="22"/>
      <c r="G5" s="22"/>
      <c r="H5" s="22"/>
      <c r="I5" s="22"/>
      <c r="J5" s="22"/>
      <c r="K5" s="22"/>
      <c r="L5" s="22"/>
      <c r="M5" s="22"/>
      <c r="N5" s="22"/>
    </row>
    <row r="6" spans="1:14">
      <c r="A6" s="64" t="s">
        <v>40</v>
      </c>
      <c r="B6" s="22"/>
      <c r="C6" s="22"/>
      <c r="D6" s="22"/>
      <c r="E6" s="22"/>
      <c r="F6" s="22"/>
      <c r="G6" s="22"/>
      <c r="H6" s="22"/>
      <c r="I6" s="22"/>
      <c r="J6" s="22"/>
      <c r="K6" s="22"/>
      <c r="L6" s="22"/>
      <c r="M6" s="22"/>
      <c r="N6" s="22"/>
    </row>
    <row r="7" spans="1:14">
      <c r="A7" s="64"/>
      <c r="B7" s="22"/>
      <c r="C7" s="22"/>
      <c r="D7" s="22"/>
      <c r="E7" s="22"/>
      <c r="F7" s="22"/>
      <c r="G7" s="22"/>
      <c r="H7" s="22"/>
      <c r="I7" s="22"/>
      <c r="J7" s="22"/>
      <c r="K7" s="22"/>
      <c r="L7" s="22"/>
      <c r="M7" s="22"/>
      <c r="N7" s="22"/>
    </row>
    <row r="8" spans="1:14">
      <c r="A8" s="64" t="s">
        <v>41</v>
      </c>
      <c r="B8" s="113"/>
      <c r="C8" s="113"/>
      <c r="D8" s="113"/>
      <c r="E8" s="113"/>
      <c r="F8" s="113"/>
      <c r="G8" s="113"/>
      <c r="H8" s="113"/>
      <c r="I8" s="113"/>
      <c r="J8" s="113"/>
      <c r="K8" s="113"/>
      <c r="L8" s="113"/>
      <c r="M8" s="113"/>
      <c r="N8" s="113"/>
    </row>
    <row r="9" spans="1:14">
      <c r="A9" s="64"/>
      <c r="B9" s="22"/>
      <c r="C9" s="22"/>
      <c r="D9" s="22"/>
      <c r="E9" s="22"/>
      <c r="F9" s="22"/>
      <c r="G9" s="22"/>
      <c r="H9" s="22"/>
      <c r="I9" s="22"/>
      <c r="J9" s="22"/>
      <c r="K9" s="22"/>
      <c r="L9" s="22"/>
      <c r="M9" s="22"/>
      <c r="N9" s="22"/>
    </row>
    <row r="10" spans="1:14">
      <c r="A10" s="64" t="s">
        <v>43</v>
      </c>
      <c r="B10" s="113"/>
      <c r="C10" s="113"/>
      <c r="D10" s="113"/>
      <c r="E10" s="113"/>
      <c r="F10" s="113"/>
      <c r="G10" s="113"/>
      <c r="H10" s="113"/>
      <c r="I10" s="113"/>
      <c r="J10" s="113"/>
      <c r="K10" s="113"/>
      <c r="L10" s="113"/>
      <c r="M10" s="113"/>
      <c r="N10" s="113"/>
    </row>
    <row r="11" spans="1:14">
      <c r="A11" s="64"/>
      <c r="B11" s="22"/>
      <c r="C11" s="22"/>
      <c r="D11" s="22"/>
      <c r="E11" s="22"/>
      <c r="F11" s="22"/>
      <c r="G11" s="22"/>
      <c r="H11" s="22"/>
      <c r="I11" s="22"/>
      <c r="J11" s="22"/>
      <c r="K11" s="22"/>
      <c r="L11" s="22"/>
      <c r="M11" s="22"/>
      <c r="N11" s="22"/>
    </row>
    <row r="12" spans="1:14">
      <c r="A12" s="64" t="s">
        <v>45</v>
      </c>
      <c r="B12" s="113"/>
      <c r="C12" s="113"/>
      <c r="D12" s="113"/>
      <c r="E12" s="113"/>
      <c r="F12" s="113"/>
      <c r="G12" s="113"/>
      <c r="H12" s="113"/>
      <c r="I12" s="113"/>
      <c r="J12" s="113"/>
      <c r="K12" s="113"/>
      <c r="L12" s="113"/>
      <c r="M12" s="113"/>
      <c r="N12" s="113"/>
    </row>
    <row r="13" spans="1:14">
      <c r="A13" s="64"/>
      <c r="B13" s="22"/>
      <c r="C13" s="22"/>
      <c r="D13" s="22"/>
      <c r="E13" s="22"/>
      <c r="F13" s="22"/>
      <c r="G13" s="22"/>
      <c r="H13" s="22"/>
      <c r="I13" s="22"/>
      <c r="J13" s="22"/>
      <c r="K13" s="22"/>
      <c r="L13" s="22"/>
      <c r="M13" s="22"/>
      <c r="N13" s="22"/>
    </row>
    <row r="14" spans="1:14">
      <c r="A14" s="64" t="s">
        <v>48</v>
      </c>
      <c r="B14" s="110"/>
      <c r="C14" s="110"/>
      <c r="D14" s="110"/>
      <c r="E14" s="110"/>
      <c r="F14" s="110">
        <f>F104</f>
        <v>-63178</v>
      </c>
      <c r="G14" s="110"/>
      <c r="H14" s="110"/>
      <c r="I14" s="110"/>
      <c r="J14" s="110"/>
      <c r="K14" s="110"/>
      <c r="L14" s="110"/>
      <c r="M14" s="110">
        <f>M104</f>
        <v>54992.09</v>
      </c>
      <c r="N14" s="110">
        <v>-8185.91</v>
      </c>
    </row>
    <row r="15" spans="1:14">
      <c r="A15" s="64"/>
      <c r="B15" s="22"/>
      <c r="C15" s="22"/>
      <c r="D15" s="22"/>
      <c r="E15" s="22"/>
      <c r="F15" s="22"/>
      <c r="G15" s="22"/>
      <c r="H15" s="22"/>
      <c r="I15" s="22"/>
      <c r="J15" s="22"/>
      <c r="K15" s="22"/>
      <c r="L15" s="22"/>
      <c r="M15" s="22"/>
      <c r="N15" s="22"/>
    </row>
    <row r="16" spans="1:14" ht="15.75" thickBot="1">
      <c r="A16" s="64" t="s">
        <v>13</v>
      </c>
      <c r="B16" s="112"/>
      <c r="C16" s="112"/>
      <c r="D16" s="112"/>
      <c r="E16" s="112"/>
      <c r="F16" s="112">
        <f>F106</f>
        <v>-63178</v>
      </c>
      <c r="G16" s="112"/>
      <c r="H16" s="112"/>
      <c r="I16" s="112"/>
      <c r="J16" s="112"/>
      <c r="K16" s="112"/>
      <c r="L16" s="112"/>
      <c r="M16" s="112">
        <f>M106</f>
        <v>54992.09</v>
      </c>
      <c r="N16" s="112">
        <v>-8185.91</v>
      </c>
    </row>
    <row r="17" spans="1:14" ht="15.75" thickTop="1">
      <c r="A17" s="64"/>
      <c r="B17" s="22"/>
      <c r="C17" s="22"/>
      <c r="D17" s="22"/>
      <c r="E17" s="22"/>
      <c r="F17" s="22"/>
      <c r="G17" s="22"/>
      <c r="H17" s="22"/>
      <c r="I17" s="22"/>
      <c r="J17" s="22"/>
      <c r="K17" s="22"/>
      <c r="L17" s="22"/>
      <c r="M17" s="22"/>
      <c r="N17" s="22"/>
    </row>
    <row r="18" spans="1:14">
      <c r="A18" s="64" t="s">
        <v>14</v>
      </c>
      <c r="B18" s="22"/>
      <c r="C18" s="22"/>
      <c r="D18" s="22"/>
      <c r="E18" s="22"/>
      <c r="F18" s="22"/>
      <c r="G18" s="22"/>
      <c r="H18" s="22"/>
      <c r="I18" s="22"/>
      <c r="J18" s="22"/>
      <c r="K18" s="22"/>
      <c r="L18" s="22"/>
      <c r="M18" s="22"/>
      <c r="N18" s="22"/>
    </row>
    <row r="19" spans="1:14">
      <c r="A19" s="64" t="s">
        <v>50</v>
      </c>
      <c r="B19" s="107"/>
      <c r="C19" s="107"/>
      <c r="D19" s="107"/>
      <c r="E19" s="107"/>
      <c r="F19" s="107">
        <f>F117</f>
        <v>-24278.170000000002</v>
      </c>
      <c r="G19" s="107"/>
      <c r="H19" s="107"/>
      <c r="I19" s="107"/>
      <c r="J19" s="107"/>
      <c r="K19" s="107"/>
      <c r="L19" s="107"/>
      <c r="M19" s="107"/>
      <c r="N19" s="107">
        <v>-24278.17</v>
      </c>
    </row>
    <row r="20" spans="1:14">
      <c r="A20" s="64" t="s">
        <v>51</v>
      </c>
      <c r="B20" s="107"/>
      <c r="C20" s="107"/>
      <c r="D20" s="107"/>
      <c r="E20" s="107"/>
      <c r="F20" s="107">
        <f>F121</f>
        <v>644.08000000000004</v>
      </c>
      <c r="G20" s="107"/>
      <c r="H20" s="107"/>
      <c r="I20" s="107"/>
      <c r="J20" s="107"/>
      <c r="K20" s="107"/>
      <c r="L20" s="107"/>
      <c r="M20" s="107"/>
      <c r="N20" s="107">
        <v>644.08000000000004</v>
      </c>
    </row>
    <row r="21" spans="1:14">
      <c r="A21" s="64" t="s">
        <v>52</v>
      </c>
      <c r="B21" s="107"/>
      <c r="C21" s="107"/>
      <c r="D21" s="107">
        <f>D125</f>
        <v>275</v>
      </c>
      <c r="E21" s="107"/>
      <c r="F21" s="107"/>
      <c r="G21" s="107"/>
      <c r="H21" s="107"/>
      <c r="I21" s="107"/>
      <c r="J21" s="107"/>
      <c r="K21" s="107"/>
      <c r="L21" s="107"/>
      <c r="M21" s="107"/>
      <c r="N21" s="107">
        <v>275</v>
      </c>
    </row>
    <row r="22" spans="1:14">
      <c r="A22" s="64" t="s">
        <v>53</v>
      </c>
      <c r="B22" s="107">
        <f t="shared" ref="B22:M22" si="0">B132</f>
        <v>4983.3</v>
      </c>
      <c r="C22" s="107">
        <f t="shared" si="0"/>
        <v>353.01</v>
      </c>
      <c r="D22" s="107">
        <f t="shared" si="0"/>
        <v>123.84</v>
      </c>
      <c r="E22" s="107">
        <f t="shared" si="0"/>
        <v>6438.84</v>
      </c>
      <c r="F22" s="107">
        <f t="shared" si="0"/>
        <v>1676.27</v>
      </c>
      <c r="G22" s="107">
        <f t="shared" si="0"/>
        <v>97.4</v>
      </c>
      <c r="H22" s="107">
        <f t="shared" si="0"/>
        <v>1309.83</v>
      </c>
      <c r="I22" s="107">
        <f t="shared" si="0"/>
        <v>353.66999999999996</v>
      </c>
      <c r="J22" s="107">
        <f t="shared" si="0"/>
        <v>202.28</v>
      </c>
      <c r="K22" s="107">
        <f t="shared" si="0"/>
        <v>255.28</v>
      </c>
      <c r="L22" s="107">
        <f t="shared" si="0"/>
        <v>-147.20000000000002</v>
      </c>
      <c r="M22" s="107">
        <f t="shared" si="0"/>
        <v>192.23</v>
      </c>
      <c r="N22" s="107">
        <v>15838.75</v>
      </c>
    </row>
    <row r="23" spans="1:14">
      <c r="A23" s="64" t="s">
        <v>54</v>
      </c>
      <c r="B23" s="107"/>
      <c r="C23" s="107"/>
      <c r="D23" s="107"/>
      <c r="E23" s="107"/>
      <c r="F23" s="107"/>
      <c r="G23" s="107"/>
      <c r="H23" s="107"/>
      <c r="I23" s="107"/>
      <c r="J23" s="107"/>
      <c r="K23" s="107"/>
      <c r="L23" s="107">
        <f>L137</f>
        <v>-433.77000000000004</v>
      </c>
      <c r="M23" s="107"/>
      <c r="N23" s="107">
        <v>-433.77</v>
      </c>
    </row>
    <row r="24" spans="1:14">
      <c r="A24" s="64" t="s">
        <v>55</v>
      </c>
      <c r="B24" s="107"/>
      <c r="C24" s="107"/>
      <c r="D24" s="107"/>
      <c r="E24" s="107"/>
      <c r="F24" s="107"/>
      <c r="G24" s="107"/>
      <c r="H24" s="107"/>
      <c r="I24" s="107"/>
      <c r="J24" s="107"/>
      <c r="K24" s="107"/>
      <c r="L24" s="107">
        <f>L141</f>
        <v>628.38</v>
      </c>
      <c r="M24" s="107"/>
      <c r="N24" s="107">
        <v>628.38</v>
      </c>
    </row>
    <row r="25" spans="1:14">
      <c r="A25" s="64" t="s">
        <v>56</v>
      </c>
      <c r="B25" s="107"/>
      <c r="C25" s="107"/>
      <c r="D25" s="107"/>
      <c r="E25" s="107"/>
      <c r="F25" s="107"/>
      <c r="G25" s="107">
        <f>G145</f>
        <v>66.67</v>
      </c>
      <c r="H25" s="107"/>
      <c r="I25" s="107"/>
      <c r="J25" s="107">
        <f>J145</f>
        <v>230</v>
      </c>
      <c r="K25" s="107"/>
      <c r="L25" s="107"/>
      <c r="M25" s="107"/>
      <c r="N25" s="107">
        <v>296.67</v>
      </c>
    </row>
    <row r="26" spans="1:14">
      <c r="A26" s="64" t="s">
        <v>57</v>
      </c>
      <c r="B26" s="107"/>
      <c r="C26" s="107"/>
      <c r="D26" s="107"/>
      <c r="E26" s="107"/>
      <c r="F26" s="107">
        <f>F149</f>
        <v>22034</v>
      </c>
      <c r="G26" s="107"/>
      <c r="H26" s="107"/>
      <c r="I26" s="107"/>
      <c r="J26" s="107"/>
      <c r="K26" s="107"/>
      <c r="L26" s="107"/>
      <c r="M26" s="107">
        <f>M149</f>
        <v>17840</v>
      </c>
      <c r="N26" s="107">
        <v>39874</v>
      </c>
    </row>
    <row r="27" spans="1:14">
      <c r="A27" s="64" t="s">
        <v>60</v>
      </c>
      <c r="B27" s="107"/>
      <c r="C27" s="107"/>
      <c r="D27" s="107"/>
      <c r="E27" s="107"/>
      <c r="F27" s="107"/>
      <c r="G27" s="107"/>
      <c r="H27" s="107"/>
      <c r="I27" s="107"/>
      <c r="J27" s="107">
        <f>J159</f>
        <v>3750</v>
      </c>
      <c r="K27" s="107"/>
      <c r="L27" s="107"/>
      <c r="M27" s="107"/>
      <c r="N27" s="107">
        <v>3750</v>
      </c>
    </row>
    <row r="28" spans="1:14">
      <c r="A28" s="64" t="s">
        <v>61</v>
      </c>
      <c r="B28" s="107"/>
      <c r="C28" s="107"/>
      <c r="D28" s="107">
        <f>D163</f>
        <v>-276.45</v>
      </c>
      <c r="E28" s="107"/>
      <c r="F28" s="107">
        <f>F163</f>
        <v>32846.11</v>
      </c>
      <c r="G28" s="107"/>
      <c r="H28" s="107"/>
      <c r="I28" s="107"/>
      <c r="J28" s="107"/>
      <c r="K28" s="107"/>
      <c r="L28" s="107"/>
      <c r="M28" s="107"/>
      <c r="N28" s="107">
        <v>32569.66</v>
      </c>
    </row>
    <row r="29" spans="1:14">
      <c r="A29" s="64"/>
      <c r="B29" s="22"/>
      <c r="C29" s="22"/>
      <c r="D29" s="22"/>
      <c r="E29" s="22"/>
      <c r="F29" s="22"/>
      <c r="G29" s="22"/>
      <c r="H29" s="22"/>
      <c r="I29" s="22"/>
      <c r="J29" s="22"/>
      <c r="K29" s="22"/>
      <c r="L29" s="22"/>
      <c r="M29" s="22"/>
      <c r="N29" s="22"/>
    </row>
    <row r="30" spans="1:14" ht="15.75" thickBot="1">
      <c r="A30" s="64" t="s">
        <v>62</v>
      </c>
      <c r="B30" s="112">
        <f t="shared" ref="B30:M30" si="1">B165</f>
        <v>4983.3</v>
      </c>
      <c r="C30" s="112">
        <f t="shared" si="1"/>
        <v>353.01</v>
      </c>
      <c r="D30" s="112">
        <f t="shared" si="1"/>
        <v>122.39000000000001</v>
      </c>
      <c r="E30" s="112">
        <f t="shared" si="1"/>
        <v>6438.84</v>
      </c>
      <c r="F30" s="112">
        <f t="shared" si="1"/>
        <v>32922.289999999994</v>
      </c>
      <c r="G30" s="112">
        <f t="shared" si="1"/>
        <v>164.07000000000005</v>
      </c>
      <c r="H30" s="112">
        <f t="shared" si="1"/>
        <v>1309.83</v>
      </c>
      <c r="I30" s="112">
        <f t="shared" si="1"/>
        <v>353.66999999999996</v>
      </c>
      <c r="J30" s="112">
        <f t="shared" si="1"/>
        <v>4182.28</v>
      </c>
      <c r="K30" s="112">
        <f t="shared" si="1"/>
        <v>255.28</v>
      </c>
      <c r="L30" s="112">
        <f t="shared" si="1"/>
        <v>47.409999999999968</v>
      </c>
      <c r="M30" s="112">
        <f t="shared" si="1"/>
        <v>18032.229999999996</v>
      </c>
      <c r="N30" s="112">
        <v>69164.600000000006</v>
      </c>
    </row>
    <row r="31" spans="1:14" ht="15.75" thickTop="1">
      <c r="A31" s="64"/>
      <c r="B31" s="22"/>
      <c r="C31" s="22"/>
      <c r="D31" s="22"/>
      <c r="E31" s="22"/>
      <c r="F31" s="22"/>
      <c r="G31" s="22"/>
      <c r="H31" s="22"/>
      <c r="I31" s="22"/>
      <c r="J31" s="22"/>
      <c r="K31" s="22"/>
      <c r="L31" s="22"/>
      <c r="M31" s="22"/>
      <c r="N31" s="22"/>
    </row>
    <row r="32" spans="1:14" ht="15.75" thickBot="1">
      <c r="A32" s="64" t="s">
        <v>63</v>
      </c>
      <c r="B32" s="112">
        <f t="shared" ref="B32:M32" si="2">B167</f>
        <v>-4983.3</v>
      </c>
      <c r="C32" s="112">
        <f t="shared" si="2"/>
        <v>-353.01</v>
      </c>
      <c r="D32" s="112">
        <f t="shared" si="2"/>
        <v>-122.39000000000001</v>
      </c>
      <c r="E32" s="112">
        <f t="shared" si="2"/>
        <v>-6438.84</v>
      </c>
      <c r="F32" s="112">
        <f t="shared" si="2"/>
        <v>-96100.29</v>
      </c>
      <c r="G32" s="112">
        <f t="shared" si="2"/>
        <v>-164.07000000000005</v>
      </c>
      <c r="H32" s="112">
        <f t="shared" si="2"/>
        <v>-1309.83</v>
      </c>
      <c r="I32" s="112">
        <f t="shared" si="2"/>
        <v>-353.66999999999996</v>
      </c>
      <c r="J32" s="112">
        <f t="shared" si="2"/>
        <v>-4182.28</v>
      </c>
      <c r="K32" s="112">
        <f t="shared" si="2"/>
        <v>-255.28</v>
      </c>
      <c r="L32" s="112">
        <f t="shared" si="2"/>
        <v>-47.409999999999968</v>
      </c>
      <c r="M32" s="112">
        <f t="shared" si="2"/>
        <v>36959.86</v>
      </c>
      <c r="N32" s="112">
        <v>-77350.509999999995</v>
      </c>
    </row>
    <row r="33" spans="1:14" ht="15.75" thickTop="1">
      <c r="A33" s="64"/>
      <c r="B33" s="22"/>
      <c r="C33" s="22"/>
      <c r="D33" s="22"/>
      <c r="E33" s="22"/>
      <c r="F33" s="22"/>
      <c r="G33" s="22"/>
      <c r="H33" s="22"/>
      <c r="I33" s="22"/>
      <c r="J33" s="22"/>
      <c r="K33" s="22"/>
      <c r="L33" s="22"/>
      <c r="M33" s="22"/>
      <c r="N33" s="22"/>
    </row>
    <row r="34" spans="1:14" ht="15.75" thickBot="1">
      <c r="A34" s="64" t="s">
        <v>64</v>
      </c>
      <c r="B34" s="112"/>
      <c r="C34" s="112">
        <f>C170</f>
        <v>85</v>
      </c>
      <c r="D34" s="112"/>
      <c r="E34" s="112"/>
      <c r="F34" s="112">
        <f>F170</f>
        <v>32176.02</v>
      </c>
      <c r="G34" s="112"/>
      <c r="H34" s="112"/>
      <c r="I34" s="112">
        <f>I170</f>
        <v>935</v>
      </c>
      <c r="J34" s="112"/>
      <c r="K34" s="112"/>
      <c r="L34" s="112">
        <f>L170</f>
        <v>198.09</v>
      </c>
      <c r="M34" s="112"/>
      <c r="N34" s="112">
        <v>33394.11</v>
      </c>
    </row>
    <row r="35" spans="1:14" ht="15.75" thickTop="1">
      <c r="A35" s="64"/>
      <c r="B35" s="22"/>
      <c r="C35" s="22"/>
      <c r="D35" s="22"/>
      <c r="E35" s="22"/>
      <c r="F35" s="22"/>
      <c r="G35" s="22"/>
      <c r="H35" s="22"/>
      <c r="I35" s="22"/>
      <c r="J35" s="22"/>
      <c r="K35" s="22"/>
      <c r="L35" s="22"/>
      <c r="M35" s="22"/>
      <c r="N35" s="22"/>
    </row>
    <row r="36" spans="1:14" ht="15.75" thickBot="1">
      <c r="A36" s="64" t="s">
        <v>22</v>
      </c>
      <c r="B36" s="112">
        <f t="shared" ref="B36:M36" si="3">B172</f>
        <v>-4983.3</v>
      </c>
      <c r="C36" s="112">
        <f t="shared" si="3"/>
        <v>-438.01</v>
      </c>
      <c r="D36" s="112">
        <f t="shared" si="3"/>
        <v>-122.39000000000001</v>
      </c>
      <c r="E36" s="112">
        <f t="shared" si="3"/>
        <v>-6438.84</v>
      </c>
      <c r="F36" s="112">
        <f t="shared" si="3"/>
        <v>-128276.31</v>
      </c>
      <c r="G36" s="112">
        <f t="shared" si="3"/>
        <v>-164.07000000000005</v>
      </c>
      <c r="H36" s="112">
        <f t="shared" si="3"/>
        <v>-1309.83</v>
      </c>
      <c r="I36" s="112">
        <f t="shared" si="3"/>
        <v>-1288.67</v>
      </c>
      <c r="J36" s="112">
        <f t="shared" si="3"/>
        <v>-4182.28</v>
      </c>
      <c r="K36" s="112">
        <f t="shared" si="3"/>
        <v>-255.28</v>
      </c>
      <c r="L36" s="112">
        <f t="shared" si="3"/>
        <v>-245.49999999999997</v>
      </c>
      <c r="M36" s="112">
        <f t="shared" si="3"/>
        <v>36959.86</v>
      </c>
      <c r="N36" s="112">
        <v>-110744.62</v>
      </c>
    </row>
    <row r="37" spans="1:14" ht="15.75" thickTop="1">
      <c r="A37" s="64"/>
      <c r="B37" s="22"/>
      <c r="C37" s="22"/>
      <c r="D37" s="22"/>
      <c r="E37" s="22"/>
      <c r="F37" s="22"/>
      <c r="G37" s="22"/>
      <c r="H37" s="22"/>
      <c r="I37" s="22"/>
      <c r="J37" s="22"/>
      <c r="K37" s="22"/>
      <c r="L37" s="22"/>
      <c r="M37" s="22"/>
      <c r="N37" s="22"/>
    </row>
    <row r="38" spans="1:14">
      <c r="A38" s="64" t="s">
        <v>40</v>
      </c>
      <c r="B38" s="22"/>
      <c r="C38" s="22"/>
      <c r="D38" s="22"/>
      <c r="E38" s="22"/>
      <c r="F38" s="22"/>
      <c r="G38" s="22"/>
      <c r="H38" s="22"/>
      <c r="I38" s="22"/>
      <c r="J38" s="22"/>
      <c r="K38" s="22"/>
      <c r="L38" s="22"/>
      <c r="M38" s="22"/>
      <c r="N38" s="22"/>
    </row>
    <row r="39" spans="1:14">
      <c r="A39" s="64"/>
      <c r="B39" s="22"/>
      <c r="C39" s="22"/>
      <c r="D39" s="22"/>
      <c r="E39" s="22"/>
      <c r="F39" s="22"/>
      <c r="G39" s="22"/>
      <c r="H39" s="22"/>
      <c r="I39" s="22"/>
      <c r="J39" s="22"/>
      <c r="K39" s="22"/>
      <c r="L39" s="22"/>
      <c r="M39" s="22"/>
      <c r="N39" s="22"/>
    </row>
    <row r="40" spans="1:14">
      <c r="A40" s="64" t="s">
        <v>41</v>
      </c>
      <c r="B40" s="22"/>
      <c r="C40" s="22"/>
      <c r="D40" s="22"/>
      <c r="E40" s="22"/>
      <c r="F40" s="22"/>
      <c r="G40" s="22"/>
      <c r="H40" s="22"/>
      <c r="I40" s="22"/>
      <c r="J40" s="22"/>
      <c r="K40" s="22"/>
      <c r="L40" s="22"/>
      <c r="M40" s="22"/>
      <c r="N40" s="22"/>
    </row>
    <row r="41" spans="1:14">
      <c r="A41" s="64"/>
      <c r="B41" s="22"/>
      <c r="C41" s="22"/>
      <c r="D41" s="22"/>
      <c r="E41" s="22"/>
      <c r="F41" s="22"/>
      <c r="G41" s="22"/>
      <c r="H41" s="22"/>
      <c r="I41" s="22"/>
      <c r="J41" s="22"/>
      <c r="K41" s="22"/>
      <c r="L41" s="22"/>
      <c r="M41" s="22"/>
      <c r="N41" s="22"/>
    </row>
    <row r="42" spans="1:14">
      <c r="A42" s="64" t="s">
        <v>65</v>
      </c>
      <c r="B42" s="113"/>
      <c r="C42" s="113"/>
      <c r="D42" s="113"/>
      <c r="E42" s="113"/>
      <c r="F42" s="113"/>
      <c r="G42" s="113"/>
      <c r="H42" s="113"/>
      <c r="I42" s="113"/>
      <c r="J42" s="113"/>
      <c r="K42" s="113"/>
      <c r="L42" s="113"/>
      <c r="M42" s="113"/>
      <c r="N42" s="113"/>
    </row>
    <row r="43" spans="1:14">
      <c r="A43" s="64" t="s">
        <v>67</v>
      </c>
      <c r="B43" s="107"/>
      <c r="C43" s="107"/>
      <c r="D43" s="107"/>
      <c r="E43" s="107"/>
      <c r="F43" s="107"/>
      <c r="G43" s="107"/>
      <c r="H43" s="107"/>
      <c r="I43" s="107"/>
      <c r="J43" s="107"/>
      <c r="K43" s="107"/>
      <c r="L43" s="107"/>
      <c r="M43" s="107"/>
      <c r="N43" s="107"/>
    </row>
    <row r="44" spans="1:14">
      <c r="A44" s="64"/>
      <c r="B44" s="22"/>
      <c r="C44" s="22"/>
      <c r="D44" s="22"/>
      <c r="E44" s="22"/>
      <c r="F44" s="22"/>
      <c r="G44" s="22"/>
      <c r="H44" s="22"/>
      <c r="I44" s="22"/>
      <c r="J44" s="22"/>
      <c r="K44" s="22"/>
      <c r="L44" s="22"/>
      <c r="M44" s="22"/>
      <c r="N44" s="22"/>
    </row>
    <row r="45" spans="1:14">
      <c r="A45" s="64" t="s">
        <v>68</v>
      </c>
      <c r="B45" s="113"/>
      <c r="C45" s="113"/>
      <c r="D45" s="113"/>
      <c r="E45" s="113"/>
      <c r="F45" s="113"/>
      <c r="G45" s="113"/>
      <c r="H45" s="113"/>
      <c r="I45" s="113"/>
      <c r="J45" s="113"/>
      <c r="K45" s="113"/>
      <c r="L45" s="113"/>
      <c r="M45" s="113"/>
      <c r="N45" s="113"/>
    </row>
    <row r="46" spans="1:14">
      <c r="A46" s="64" t="s">
        <v>69</v>
      </c>
      <c r="B46" s="107"/>
      <c r="C46" s="107"/>
      <c r="D46" s="107"/>
      <c r="E46" s="107"/>
      <c r="F46" s="107"/>
      <c r="G46" s="107"/>
      <c r="H46" s="107"/>
      <c r="I46" s="107"/>
      <c r="J46" s="107"/>
      <c r="K46" s="107"/>
      <c r="L46" s="107"/>
      <c r="M46" s="107"/>
      <c r="N46" s="107"/>
    </row>
    <row r="47" spans="1:14">
      <c r="A47" s="64"/>
      <c r="B47" s="22"/>
      <c r="C47" s="22"/>
      <c r="D47" s="22"/>
      <c r="E47" s="22"/>
      <c r="F47" s="22"/>
      <c r="G47" s="22"/>
      <c r="H47" s="22"/>
      <c r="I47" s="22"/>
      <c r="J47" s="22"/>
      <c r="K47" s="22"/>
      <c r="L47" s="22"/>
      <c r="M47" s="22"/>
      <c r="N47" s="22"/>
    </row>
    <row r="48" spans="1:14">
      <c r="A48" s="64" t="s">
        <v>70</v>
      </c>
      <c r="B48" s="113"/>
      <c r="C48" s="113"/>
      <c r="D48" s="113"/>
      <c r="E48" s="113"/>
      <c r="F48" s="113"/>
      <c r="G48" s="113"/>
      <c r="H48" s="113"/>
      <c r="I48" s="113"/>
      <c r="J48" s="113"/>
      <c r="K48" s="113"/>
      <c r="L48" s="113"/>
      <c r="M48" s="113"/>
      <c r="N48" s="113"/>
    </row>
    <row r="49" spans="1:14">
      <c r="A49" s="64" t="s">
        <v>71</v>
      </c>
      <c r="B49" s="107"/>
      <c r="C49" s="107"/>
      <c r="D49" s="107"/>
      <c r="E49" s="107"/>
      <c r="F49" s="107"/>
      <c r="G49" s="107"/>
      <c r="H49" s="107"/>
      <c r="I49" s="107"/>
      <c r="J49" s="107"/>
      <c r="K49" s="107"/>
      <c r="L49" s="107"/>
      <c r="M49" s="107"/>
      <c r="N49" s="107"/>
    </row>
    <row r="50" spans="1:14">
      <c r="A50" s="64"/>
      <c r="B50" s="22"/>
      <c r="C50" s="22"/>
      <c r="D50" s="22"/>
      <c r="E50" s="22"/>
      <c r="F50" s="22"/>
      <c r="G50" s="22"/>
      <c r="H50" s="22"/>
      <c r="I50" s="22"/>
      <c r="J50" s="22"/>
      <c r="K50" s="22"/>
      <c r="L50" s="22"/>
      <c r="M50" s="22"/>
      <c r="N50" s="22"/>
    </row>
    <row r="51" spans="1:14">
      <c r="A51" s="64" t="s">
        <v>72</v>
      </c>
      <c r="B51" s="113"/>
      <c r="C51" s="113"/>
      <c r="D51" s="113"/>
      <c r="E51" s="113"/>
      <c r="F51" s="113"/>
      <c r="G51" s="113"/>
      <c r="H51" s="113"/>
      <c r="I51" s="113"/>
      <c r="J51" s="113"/>
      <c r="K51" s="113"/>
      <c r="L51" s="113"/>
      <c r="M51" s="113"/>
      <c r="N51" s="113"/>
    </row>
    <row r="52" spans="1:14">
      <c r="A52" s="64" t="s">
        <v>314</v>
      </c>
      <c r="B52" s="107"/>
      <c r="C52" s="107"/>
      <c r="D52" s="107"/>
      <c r="E52" s="107"/>
      <c r="F52" s="107"/>
      <c r="G52" s="107"/>
      <c r="H52" s="107"/>
      <c r="I52" s="107"/>
      <c r="J52" s="107"/>
      <c r="K52" s="107"/>
      <c r="L52" s="107"/>
      <c r="M52" s="107"/>
      <c r="N52" s="107"/>
    </row>
    <row r="53" spans="1:14">
      <c r="A53" s="64"/>
      <c r="B53" s="22"/>
      <c r="C53" s="22"/>
      <c r="D53" s="22"/>
      <c r="E53" s="22"/>
      <c r="F53" s="22"/>
      <c r="G53" s="22"/>
      <c r="H53" s="22"/>
      <c r="I53" s="22"/>
      <c r="J53" s="22"/>
      <c r="K53" s="22"/>
      <c r="L53" s="22"/>
      <c r="M53" s="22"/>
      <c r="N53" s="22"/>
    </row>
    <row r="54" spans="1:14">
      <c r="A54" s="64" t="s">
        <v>73</v>
      </c>
      <c r="B54" s="113"/>
      <c r="C54" s="113"/>
      <c r="D54" s="113"/>
      <c r="E54" s="113"/>
      <c r="F54" s="113"/>
      <c r="G54" s="113"/>
      <c r="H54" s="113"/>
      <c r="I54" s="113"/>
      <c r="J54" s="113"/>
      <c r="K54" s="113"/>
      <c r="L54" s="113"/>
      <c r="M54" s="113"/>
      <c r="N54" s="113"/>
    </row>
    <row r="55" spans="1:14">
      <c r="A55" s="64" t="s">
        <v>74</v>
      </c>
      <c r="B55" s="107"/>
      <c r="C55" s="107"/>
      <c r="D55" s="107"/>
      <c r="E55" s="107"/>
      <c r="F55" s="107"/>
      <c r="G55" s="107"/>
      <c r="H55" s="107"/>
      <c r="I55" s="107"/>
      <c r="J55" s="107"/>
      <c r="K55" s="107"/>
      <c r="L55" s="107"/>
      <c r="M55" s="107"/>
      <c r="N55" s="107"/>
    </row>
    <row r="56" spans="1:14">
      <c r="A56" s="64"/>
      <c r="B56" s="22"/>
      <c r="C56" s="22"/>
      <c r="D56" s="22"/>
      <c r="E56" s="22"/>
      <c r="F56" s="22"/>
      <c r="G56" s="22"/>
      <c r="H56" s="22"/>
      <c r="I56" s="22"/>
      <c r="J56" s="22"/>
      <c r="K56" s="22"/>
      <c r="L56" s="22"/>
      <c r="M56" s="22"/>
      <c r="N56" s="22"/>
    </row>
    <row r="57" spans="1:14">
      <c r="A57" s="64" t="s">
        <v>75</v>
      </c>
      <c r="B57" s="113"/>
      <c r="C57" s="113"/>
      <c r="D57" s="113"/>
      <c r="E57" s="113"/>
      <c r="F57" s="113"/>
      <c r="G57" s="113"/>
      <c r="H57" s="113"/>
      <c r="I57" s="113"/>
      <c r="J57" s="113"/>
      <c r="K57" s="113"/>
      <c r="L57" s="113"/>
      <c r="M57" s="113"/>
      <c r="N57" s="113"/>
    </row>
    <row r="58" spans="1:14">
      <c r="A58" s="64" t="s">
        <v>76</v>
      </c>
      <c r="B58" s="107"/>
      <c r="C58" s="107"/>
      <c r="D58" s="107"/>
      <c r="E58" s="107"/>
      <c r="F58" s="107"/>
      <c r="G58" s="107"/>
      <c r="H58" s="107"/>
      <c r="I58" s="107"/>
      <c r="J58" s="107"/>
      <c r="K58" s="107"/>
      <c r="L58" s="107"/>
      <c r="M58" s="107"/>
      <c r="N58" s="107"/>
    </row>
    <row r="59" spans="1:14">
      <c r="A59" s="64"/>
      <c r="B59" s="113"/>
      <c r="C59" s="113"/>
      <c r="D59" s="113"/>
      <c r="E59" s="113"/>
      <c r="F59" s="113"/>
      <c r="G59" s="113"/>
      <c r="H59" s="113"/>
      <c r="I59" s="113"/>
      <c r="J59" s="113"/>
      <c r="K59" s="113"/>
      <c r="L59" s="113"/>
      <c r="M59" s="113"/>
      <c r="N59" s="113"/>
    </row>
    <row r="60" spans="1:14">
      <c r="A60" s="64" t="s">
        <v>42</v>
      </c>
      <c r="B60" s="107"/>
      <c r="C60" s="107"/>
      <c r="D60" s="107"/>
      <c r="E60" s="107"/>
      <c r="F60" s="107"/>
      <c r="G60" s="107"/>
      <c r="H60" s="107"/>
      <c r="I60" s="107"/>
      <c r="J60" s="107"/>
      <c r="K60" s="107"/>
      <c r="L60" s="107"/>
      <c r="M60" s="107"/>
      <c r="N60" s="107"/>
    </row>
    <row r="61" spans="1:14">
      <c r="A61" s="64"/>
      <c r="B61" s="22"/>
      <c r="C61" s="22"/>
      <c r="D61" s="22"/>
      <c r="E61" s="22"/>
      <c r="F61" s="22"/>
      <c r="G61" s="22"/>
      <c r="H61" s="22"/>
      <c r="I61" s="22"/>
      <c r="J61" s="22"/>
      <c r="K61" s="22"/>
      <c r="L61" s="22"/>
      <c r="M61" s="22"/>
      <c r="N61" s="22"/>
    </row>
    <row r="62" spans="1:14">
      <c r="A62" s="64" t="s">
        <v>43</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65</v>
      </c>
      <c r="B64" s="113"/>
      <c r="C64" s="113"/>
      <c r="D64" s="113"/>
      <c r="E64" s="113"/>
      <c r="F64" s="113"/>
      <c r="G64" s="113"/>
      <c r="H64" s="113"/>
      <c r="I64" s="113"/>
      <c r="J64" s="113"/>
      <c r="K64" s="113"/>
      <c r="L64" s="113"/>
      <c r="M64" s="113"/>
      <c r="N64" s="113"/>
    </row>
    <row r="65" spans="1:14">
      <c r="A65" s="64" t="s">
        <v>67</v>
      </c>
      <c r="B65" s="107"/>
      <c r="C65" s="107"/>
      <c r="D65" s="107"/>
      <c r="E65" s="107"/>
      <c r="F65" s="107"/>
      <c r="G65" s="107"/>
      <c r="H65" s="107"/>
      <c r="I65" s="107"/>
      <c r="J65" s="107"/>
      <c r="K65" s="107"/>
      <c r="L65" s="107"/>
      <c r="M65" s="107"/>
      <c r="N65" s="107"/>
    </row>
    <row r="66" spans="1:14">
      <c r="A66" s="64"/>
      <c r="B66" s="22"/>
      <c r="C66" s="22"/>
      <c r="D66" s="22"/>
      <c r="E66" s="22"/>
      <c r="F66" s="22"/>
      <c r="G66" s="22"/>
      <c r="H66" s="22"/>
      <c r="I66" s="22"/>
      <c r="J66" s="22"/>
      <c r="K66" s="22"/>
      <c r="L66" s="22"/>
      <c r="M66" s="22"/>
      <c r="N66" s="22"/>
    </row>
    <row r="67" spans="1:14">
      <c r="A67" s="64" t="s">
        <v>68</v>
      </c>
      <c r="B67" s="113"/>
      <c r="C67" s="113"/>
      <c r="D67" s="113"/>
      <c r="E67" s="113"/>
      <c r="F67" s="113"/>
      <c r="G67" s="113"/>
      <c r="H67" s="113"/>
      <c r="I67" s="113"/>
      <c r="J67" s="113"/>
      <c r="K67" s="113"/>
      <c r="L67" s="113"/>
      <c r="M67" s="113"/>
      <c r="N67" s="113"/>
    </row>
    <row r="68" spans="1:14">
      <c r="A68" s="64" t="s">
        <v>69</v>
      </c>
      <c r="B68" s="107"/>
      <c r="C68" s="107"/>
      <c r="D68" s="107"/>
      <c r="E68" s="107"/>
      <c r="F68" s="107"/>
      <c r="G68" s="107"/>
      <c r="H68" s="107"/>
      <c r="I68" s="107"/>
      <c r="J68" s="107"/>
      <c r="K68" s="107"/>
      <c r="L68" s="107"/>
      <c r="M68" s="107"/>
      <c r="N68" s="107"/>
    </row>
    <row r="69" spans="1:14">
      <c r="A69" s="64"/>
      <c r="B69" s="22"/>
      <c r="C69" s="22"/>
      <c r="D69" s="22"/>
      <c r="E69" s="22"/>
      <c r="F69" s="22"/>
      <c r="G69" s="22"/>
      <c r="H69" s="22"/>
      <c r="I69" s="22"/>
      <c r="J69" s="22"/>
      <c r="K69" s="22"/>
      <c r="L69" s="22"/>
      <c r="M69" s="22"/>
      <c r="N69" s="22"/>
    </row>
    <row r="70" spans="1:14">
      <c r="A70" s="64" t="s">
        <v>70</v>
      </c>
      <c r="B70" s="113"/>
      <c r="C70" s="113"/>
      <c r="D70" s="113"/>
      <c r="E70" s="113"/>
      <c r="F70" s="113"/>
      <c r="G70" s="113"/>
      <c r="H70" s="113"/>
      <c r="I70" s="113"/>
      <c r="J70" s="113"/>
      <c r="K70" s="113"/>
      <c r="L70" s="113"/>
      <c r="M70" s="113"/>
      <c r="N70" s="113"/>
    </row>
    <row r="71" spans="1:14">
      <c r="A71" s="64" t="s">
        <v>71</v>
      </c>
      <c r="B71" s="107"/>
      <c r="C71" s="107"/>
      <c r="D71" s="107"/>
      <c r="E71" s="107"/>
      <c r="F71" s="107"/>
      <c r="G71" s="107"/>
      <c r="H71" s="107"/>
      <c r="I71" s="107"/>
      <c r="J71" s="107"/>
      <c r="K71" s="107"/>
      <c r="L71" s="107"/>
      <c r="M71" s="107"/>
      <c r="N71" s="107"/>
    </row>
    <row r="72" spans="1:14">
      <c r="A72" s="64"/>
      <c r="B72" s="22"/>
      <c r="C72" s="22"/>
      <c r="D72" s="22"/>
      <c r="E72" s="22"/>
      <c r="F72" s="22"/>
      <c r="G72" s="22"/>
      <c r="H72" s="22"/>
      <c r="I72" s="22"/>
      <c r="J72" s="22"/>
      <c r="K72" s="22"/>
      <c r="L72" s="22"/>
      <c r="M72" s="22"/>
      <c r="N72" s="22"/>
    </row>
    <row r="73" spans="1:14">
      <c r="A73" s="64" t="s">
        <v>72</v>
      </c>
      <c r="B73" s="113"/>
      <c r="C73" s="113"/>
      <c r="D73" s="113"/>
      <c r="E73" s="113"/>
      <c r="F73" s="113"/>
      <c r="G73" s="113"/>
      <c r="H73" s="113"/>
      <c r="I73" s="113"/>
      <c r="J73" s="113"/>
      <c r="K73" s="113"/>
      <c r="L73" s="113"/>
      <c r="M73" s="113"/>
      <c r="N73" s="113"/>
    </row>
    <row r="74" spans="1:14">
      <c r="A74" s="64" t="s">
        <v>314</v>
      </c>
      <c r="B74" s="107"/>
      <c r="C74" s="107"/>
      <c r="D74" s="107"/>
      <c r="E74" s="107"/>
      <c r="F74" s="107"/>
      <c r="G74" s="107"/>
      <c r="H74" s="107"/>
      <c r="I74" s="107"/>
      <c r="J74" s="107"/>
      <c r="K74" s="107"/>
      <c r="L74" s="107"/>
      <c r="M74" s="107"/>
      <c r="N74" s="107"/>
    </row>
    <row r="75" spans="1:14">
      <c r="A75" s="64"/>
      <c r="B75" s="22"/>
      <c r="C75" s="22"/>
      <c r="D75" s="22"/>
      <c r="E75" s="22"/>
      <c r="F75" s="22"/>
      <c r="G75" s="22"/>
      <c r="H75" s="22"/>
      <c r="I75" s="22"/>
      <c r="J75" s="22"/>
      <c r="K75" s="22"/>
      <c r="L75" s="22"/>
      <c r="M75" s="22"/>
      <c r="N75" s="22"/>
    </row>
    <row r="76" spans="1:14">
      <c r="A76" s="64" t="s">
        <v>73</v>
      </c>
      <c r="B76" s="113"/>
      <c r="C76" s="113"/>
      <c r="D76" s="113"/>
      <c r="E76" s="113"/>
      <c r="F76" s="113"/>
      <c r="G76" s="113"/>
      <c r="H76" s="113"/>
      <c r="I76" s="113"/>
      <c r="J76" s="113"/>
      <c r="K76" s="113"/>
      <c r="L76" s="113"/>
      <c r="M76" s="113"/>
      <c r="N76" s="113"/>
    </row>
    <row r="77" spans="1:14">
      <c r="A77" s="64" t="s">
        <v>74</v>
      </c>
      <c r="B77" s="107"/>
      <c r="C77" s="107"/>
      <c r="D77" s="107"/>
      <c r="E77" s="107"/>
      <c r="F77" s="107"/>
      <c r="G77" s="107"/>
      <c r="H77" s="107"/>
      <c r="I77" s="107"/>
      <c r="J77" s="107"/>
      <c r="K77" s="107"/>
      <c r="L77" s="107"/>
      <c r="M77" s="107"/>
      <c r="N77" s="107"/>
    </row>
    <row r="78" spans="1:14">
      <c r="A78" s="64"/>
      <c r="B78" s="22"/>
      <c r="C78" s="22"/>
      <c r="D78" s="22"/>
      <c r="E78" s="22"/>
      <c r="F78" s="22"/>
      <c r="G78" s="22"/>
      <c r="H78" s="22"/>
      <c r="I78" s="22"/>
      <c r="J78" s="22"/>
      <c r="K78" s="22"/>
      <c r="L78" s="22"/>
      <c r="M78" s="22"/>
      <c r="N78" s="22"/>
    </row>
    <row r="79" spans="1:14">
      <c r="A79" s="64" t="s">
        <v>75</v>
      </c>
      <c r="B79" s="113"/>
      <c r="C79" s="113"/>
      <c r="D79" s="113"/>
      <c r="E79" s="113"/>
      <c r="F79" s="113"/>
      <c r="G79" s="113"/>
      <c r="H79" s="113"/>
      <c r="I79" s="113"/>
      <c r="J79" s="113"/>
      <c r="K79" s="113"/>
      <c r="L79" s="113"/>
      <c r="M79" s="113"/>
      <c r="N79" s="113"/>
    </row>
    <row r="80" spans="1:14">
      <c r="A80" s="64" t="s">
        <v>76</v>
      </c>
      <c r="B80" s="107"/>
      <c r="C80" s="107"/>
      <c r="D80" s="107"/>
      <c r="E80" s="107"/>
      <c r="F80" s="107"/>
      <c r="G80" s="107"/>
      <c r="H80" s="107"/>
      <c r="I80" s="107"/>
      <c r="J80" s="107"/>
      <c r="K80" s="107"/>
      <c r="L80" s="107"/>
      <c r="M80" s="107"/>
      <c r="N80" s="107"/>
    </row>
    <row r="81" spans="1:14">
      <c r="A81" s="64"/>
      <c r="B81" s="113"/>
      <c r="C81" s="113"/>
      <c r="D81" s="113"/>
      <c r="E81" s="113"/>
      <c r="F81" s="113"/>
      <c r="G81" s="113"/>
      <c r="H81" s="113"/>
      <c r="I81" s="113"/>
      <c r="J81" s="113"/>
      <c r="K81" s="113"/>
      <c r="L81" s="113"/>
      <c r="M81" s="113"/>
      <c r="N81" s="113"/>
    </row>
    <row r="82" spans="1:14">
      <c r="A82" s="64"/>
      <c r="B82" s="22"/>
      <c r="C82" s="22"/>
      <c r="D82" s="22"/>
      <c r="E82" s="22"/>
      <c r="F82" s="22"/>
      <c r="G82" s="22"/>
      <c r="H82" s="22"/>
      <c r="I82" s="22"/>
      <c r="J82" s="22"/>
      <c r="K82" s="22"/>
      <c r="L82" s="22"/>
      <c r="M82" s="22"/>
      <c r="N82" s="22"/>
    </row>
    <row r="83" spans="1:14">
      <c r="A83" s="64" t="s">
        <v>45</v>
      </c>
      <c r="B83" s="22"/>
      <c r="C83" s="22"/>
      <c r="D83" s="22"/>
      <c r="E83" s="22"/>
      <c r="F83" s="22"/>
      <c r="G83" s="22"/>
      <c r="H83" s="22"/>
      <c r="I83" s="22"/>
      <c r="J83" s="22"/>
      <c r="K83" s="22"/>
      <c r="L83" s="22"/>
      <c r="M83" s="22"/>
      <c r="N83" s="22"/>
    </row>
    <row r="84" spans="1:14">
      <c r="A84" s="64"/>
      <c r="B84" s="22"/>
      <c r="C84" s="22"/>
      <c r="D84" s="22"/>
      <c r="E84" s="22"/>
      <c r="F84" s="22"/>
      <c r="G84" s="22"/>
      <c r="H84" s="22"/>
      <c r="I84" s="22"/>
      <c r="J84" s="22"/>
      <c r="K84" s="22"/>
      <c r="L84" s="22"/>
      <c r="M84" s="22"/>
      <c r="N84" s="22"/>
    </row>
    <row r="85" spans="1:14">
      <c r="A85" s="64" t="s">
        <v>19</v>
      </c>
      <c r="B85" s="22"/>
      <c r="C85" s="22"/>
      <c r="D85" s="22"/>
      <c r="E85" s="22"/>
      <c r="F85" s="22"/>
      <c r="G85" s="22"/>
      <c r="H85" s="22"/>
      <c r="I85" s="22"/>
      <c r="J85" s="22"/>
      <c r="K85" s="22"/>
      <c r="L85" s="22"/>
      <c r="M85" s="22"/>
      <c r="N85" s="22"/>
    </row>
    <row r="86" spans="1:14">
      <c r="A86" s="64" t="s">
        <v>354</v>
      </c>
      <c r="B86" s="113"/>
      <c r="C86" s="113"/>
      <c r="D86" s="113"/>
      <c r="E86" s="113"/>
      <c r="F86" s="113"/>
      <c r="G86" s="113"/>
      <c r="H86" s="113"/>
      <c r="I86" s="113"/>
      <c r="J86" s="113"/>
      <c r="K86" s="113"/>
      <c r="L86" s="113"/>
      <c r="M86" s="113"/>
      <c r="N86" s="113"/>
    </row>
    <row r="87" spans="1:14">
      <c r="A87" s="64"/>
      <c r="B87" s="22"/>
      <c r="C87" s="22"/>
      <c r="D87" s="22"/>
      <c r="E87" s="22"/>
      <c r="F87" s="22"/>
      <c r="G87" s="22"/>
      <c r="H87" s="22"/>
      <c r="I87" s="22"/>
      <c r="J87" s="22"/>
      <c r="K87" s="22"/>
      <c r="L87" s="22"/>
      <c r="M87" s="22"/>
      <c r="N87" s="22"/>
    </row>
    <row r="88" spans="1:14">
      <c r="A88" s="64" t="s">
        <v>20</v>
      </c>
      <c r="B88" s="113"/>
      <c r="C88" s="113"/>
      <c r="D88" s="113"/>
      <c r="E88" s="113"/>
      <c r="F88" s="113"/>
      <c r="G88" s="113"/>
      <c r="H88" s="113"/>
      <c r="I88" s="113"/>
      <c r="J88" s="113"/>
      <c r="K88" s="113"/>
      <c r="L88" s="113"/>
      <c r="M88" s="113"/>
      <c r="N88" s="113"/>
    </row>
    <row r="89" spans="1:14">
      <c r="A89" s="64"/>
      <c r="B89" s="22"/>
      <c r="C89" s="22"/>
      <c r="D89" s="22"/>
      <c r="E89" s="22"/>
      <c r="F89" s="22"/>
      <c r="G89" s="22"/>
      <c r="H89" s="22"/>
      <c r="I89" s="22"/>
      <c r="J89" s="22"/>
      <c r="K89" s="22"/>
      <c r="L89" s="22"/>
      <c r="M89" s="22"/>
      <c r="N89" s="22"/>
    </row>
    <row r="90" spans="1:14">
      <c r="A90" s="64" t="s">
        <v>88</v>
      </c>
      <c r="B90" s="113"/>
      <c r="C90" s="113"/>
      <c r="D90" s="113"/>
      <c r="E90" s="113"/>
      <c r="F90" s="113"/>
      <c r="G90" s="113"/>
      <c r="H90" s="113"/>
      <c r="I90" s="113"/>
      <c r="J90" s="113"/>
      <c r="K90" s="113"/>
      <c r="L90" s="113"/>
      <c r="M90" s="113"/>
      <c r="N90" s="113"/>
    </row>
    <row r="91" spans="1:14">
      <c r="A91" s="64"/>
      <c r="B91" s="22"/>
      <c r="C91" s="22"/>
      <c r="D91" s="22"/>
      <c r="E91" s="22"/>
      <c r="F91" s="22"/>
      <c r="G91" s="22"/>
      <c r="H91" s="22"/>
      <c r="I91" s="22"/>
      <c r="J91" s="22"/>
      <c r="K91" s="22"/>
      <c r="L91" s="22"/>
      <c r="M91" s="22"/>
      <c r="N91" s="22"/>
    </row>
    <row r="92" spans="1:14">
      <c r="A92" s="64" t="s">
        <v>99</v>
      </c>
      <c r="B92" s="113"/>
      <c r="C92" s="113"/>
      <c r="D92" s="113"/>
      <c r="E92" s="113"/>
      <c r="F92" s="113"/>
      <c r="G92" s="113"/>
      <c r="H92" s="113"/>
      <c r="I92" s="113"/>
      <c r="J92" s="113"/>
      <c r="K92" s="113"/>
      <c r="L92" s="113"/>
      <c r="M92" s="113"/>
      <c r="N92" s="113"/>
    </row>
    <row r="93" spans="1:14">
      <c r="A93" s="64"/>
      <c r="B93" s="22"/>
      <c r="C93" s="22"/>
      <c r="D93" s="22"/>
      <c r="E93" s="22"/>
      <c r="F93" s="22"/>
      <c r="G93" s="22"/>
      <c r="H93" s="22"/>
      <c r="I93" s="22"/>
      <c r="J93" s="22"/>
      <c r="K93" s="22"/>
      <c r="L93" s="22"/>
      <c r="M93" s="22"/>
      <c r="N93" s="22"/>
    </row>
    <row r="94" spans="1:14">
      <c r="A94" s="64" t="s">
        <v>105</v>
      </c>
      <c r="B94" s="113"/>
      <c r="C94" s="113"/>
      <c r="D94" s="113"/>
      <c r="E94" s="113"/>
      <c r="F94" s="113"/>
      <c r="G94" s="113"/>
      <c r="H94" s="113"/>
      <c r="I94" s="113"/>
      <c r="J94" s="113"/>
      <c r="K94" s="113"/>
      <c r="L94" s="113"/>
      <c r="M94" s="113"/>
      <c r="N94" s="113"/>
    </row>
    <row r="95" spans="1:14">
      <c r="A95" s="64"/>
      <c r="B95" s="22"/>
      <c r="C95" s="22"/>
      <c r="D95" s="22"/>
      <c r="E95" s="22"/>
      <c r="F95" s="22"/>
      <c r="G95" s="22"/>
      <c r="H95" s="22"/>
      <c r="I95" s="22"/>
      <c r="J95" s="22"/>
      <c r="K95" s="22"/>
      <c r="L95" s="22"/>
      <c r="M95" s="22"/>
      <c r="N95" s="22"/>
    </row>
    <row r="96" spans="1:14">
      <c r="A96" s="64" t="s">
        <v>106</v>
      </c>
      <c r="B96" s="113"/>
      <c r="C96" s="113"/>
      <c r="D96" s="113"/>
      <c r="E96" s="113"/>
      <c r="F96" s="113"/>
      <c r="G96" s="113"/>
      <c r="H96" s="113"/>
      <c r="I96" s="113"/>
      <c r="J96" s="113"/>
      <c r="K96" s="113"/>
      <c r="L96" s="113"/>
      <c r="M96" s="113"/>
      <c r="N96" s="113"/>
    </row>
    <row r="97" spans="1:14">
      <c r="A97" s="64"/>
      <c r="B97" s="22"/>
      <c r="C97" s="22"/>
      <c r="D97" s="22"/>
      <c r="E97" s="22"/>
      <c r="F97" s="22"/>
      <c r="G97" s="22"/>
      <c r="H97" s="22"/>
      <c r="I97" s="22"/>
      <c r="J97" s="22"/>
      <c r="K97" s="22"/>
      <c r="L97" s="22"/>
      <c r="M97" s="22"/>
      <c r="N97" s="22"/>
    </row>
    <row r="98" spans="1:14">
      <c r="A98" s="64" t="s">
        <v>117</v>
      </c>
      <c r="B98" s="22"/>
      <c r="C98" s="22"/>
      <c r="D98" s="22"/>
      <c r="E98" s="22"/>
      <c r="F98" s="22"/>
      <c r="G98" s="22"/>
      <c r="H98" s="22"/>
      <c r="I98" s="22"/>
      <c r="J98" s="22"/>
      <c r="K98" s="22"/>
      <c r="L98" s="22"/>
      <c r="M98" s="22"/>
      <c r="N98" s="22"/>
    </row>
    <row r="99" spans="1:14">
      <c r="A99" s="64" t="s">
        <v>282</v>
      </c>
      <c r="B99" s="113"/>
      <c r="C99" s="113"/>
      <c r="D99" s="113"/>
      <c r="E99" s="113"/>
      <c r="F99" s="113"/>
      <c r="G99" s="113"/>
      <c r="H99" s="113"/>
      <c r="I99" s="113"/>
      <c r="J99" s="113"/>
      <c r="K99" s="113"/>
      <c r="L99" s="113"/>
      <c r="M99" s="113"/>
      <c r="N99" s="113"/>
    </row>
    <row r="100" spans="1:14">
      <c r="A100" s="64"/>
      <c r="B100" s="22"/>
      <c r="C100" s="22"/>
      <c r="D100" s="22"/>
      <c r="E100" s="22"/>
      <c r="F100" s="22"/>
      <c r="G100" s="22"/>
      <c r="H100" s="22"/>
      <c r="I100" s="22"/>
      <c r="J100" s="22"/>
      <c r="K100" s="22"/>
      <c r="L100" s="22"/>
      <c r="M100" s="22"/>
      <c r="N100" s="22"/>
    </row>
    <row r="101" spans="1:14">
      <c r="A101" s="64"/>
      <c r="B101" s="22"/>
      <c r="C101" s="22"/>
      <c r="D101" s="22"/>
      <c r="E101" s="22"/>
      <c r="F101" s="22"/>
      <c r="G101" s="22"/>
      <c r="H101" s="22"/>
      <c r="I101" s="22"/>
      <c r="J101" s="22"/>
      <c r="K101" s="22"/>
      <c r="L101" s="22"/>
      <c r="M101" s="22"/>
      <c r="N101" s="22"/>
    </row>
    <row r="102" spans="1:14">
      <c r="A102" s="64" t="s">
        <v>48</v>
      </c>
      <c r="B102" s="22"/>
      <c r="C102" s="22"/>
      <c r="D102" s="22"/>
      <c r="E102" s="22"/>
      <c r="F102" s="22"/>
      <c r="G102" s="22"/>
      <c r="H102" s="22"/>
      <c r="I102" s="22"/>
      <c r="J102" s="22"/>
      <c r="K102" s="22"/>
      <c r="L102" s="22"/>
      <c r="M102" s="22"/>
      <c r="N102" s="22"/>
    </row>
    <row r="103" spans="1:14">
      <c r="A103" s="64" t="s">
        <v>360</v>
      </c>
      <c r="B103" s="113"/>
      <c r="C103" s="113"/>
      <c r="D103" s="113"/>
      <c r="E103" s="113"/>
      <c r="F103" s="111">
        <v>-63178</v>
      </c>
      <c r="G103" s="111"/>
      <c r="H103" s="113"/>
      <c r="I103" s="113"/>
      <c r="J103" s="113"/>
      <c r="K103" s="113"/>
      <c r="L103" s="113"/>
      <c r="M103" s="111">
        <v>54992.09</v>
      </c>
      <c r="N103" s="111">
        <v>-8185.91</v>
      </c>
    </row>
    <row r="104" spans="1:14">
      <c r="A104" s="64" t="s">
        <v>135</v>
      </c>
      <c r="B104" s="107"/>
      <c r="C104" s="107"/>
      <c r="D104" s="107"/>
      <c r="E104" s="107"/>
      <c r="F104" s="107">
        <f>SUM(F101:F103)</f>
        <v>-63178</v>
      </c>
      <c r="G104" s="107"/>
      <c r="H104" s="107"/>
      <c r="I104" s="107"/>
      <c r="J104" s="107"/>
      <c r="K104" s="107"/>
      <c r="L104" s="107"/>
      <c r="M104" s="107">
        <f>SUM(M101:M103)</f>
        <v>54992.09</v>
      </c>
      <c r="N104" s="107">
        <v>-8185.91</v>
      </c>
    </row>
    <row r="105" spans="1:14">
      <c r="A105" s="64"/>
      <c r="B105" s="22"/>
      <c r="C105" s="22"/>
      <c r="D105" s="22"/>
      <c r="E105" s="22"/>
      <c r="F105" s="22"/>
      <c r="G105" s="22"/>
      <c r="H105" s="22"/>
      <c r="I105" s="22"/>
      <c r="J105" s="22"/>
      <c r="K105" s="22"/>
      <c r="L105" s="22"/>
      <c r="M105" s="22"/>
      <c r="N105" s="22"/>
    </row>
    <row r="106" spans="1:14" ht="15.75" thickBot="1">
      <c r="A106" s="64" t="s">
        <v>13</v>
      </c>
      <c r="B106" s="112"/>
      <c r="C106" s="112"/>
      <c r="D106" s="112"/>
      <c r="E106" s="112"/>
      <c r="F106" s="112">
        <f>SUM(F42:F105)-F43-F46-F49-F52-F55-F58-F60-F65-F68-F71-F74-F77-F80-0-0-0-0-0-0-0-0-0-F104</f>
        <v>-63178</v>
      </c>
      <c r="G106" s="112"/>
      <c r="H106" s="112"/>
      <c r="I106" s="112"/>
      <c r="J106" s="112"/>
      <c r="K106" s="112"/>
      <c r="L106" s="112"/>
      <c r="M106" s="112">
        <f>SUM(M42:M105)-M43-M46-M49-M52-M55-M58-M60-M65-M68-M71-M74-M77-M80-0-0-0-0-0-0-0-0-0-M104</f>
        <v>54992.09</v>
      </c>
      <c r="N106" s="112">
        <v>-8185.91</v>
      </c>
    </row>
    <row r="107" spans="1:14" ht="15.75" thickTop="1">
      <c r="A107" s="64"/>
      <c r="B107" s="22"/>
      <c r="C107" s="22"/>
      <c r="D107" s="22"/>
      <c r="E107" s="22"/>
      <c r="F107" s="22"/>
      <c r="G107" s="22"/>
      <c r="H107" s="22"/>
      <c r="I107" s="22"/>
      <c r="J107" s="22"/>
      <c r="K107" s="22"/>
      <c r="L107" s="22"/>
      <c r="M107" s="22"/>
      <c r="N107" s="22"/>
    </row>
    <row r="108" spans="1:14">
      <c r="A108" s="64"/>
      <c r="B108" s="22"/>
      <c r="C108" s="22"/>
      <c r="D108" s="22"/>
      <c r="E108" s="22"/>
      <c r="F108" s="22"/>
      <c r="G108" s="22"/>
      <c r="H108" s="22"/>
      <c r="I108" s="22"/>
      <c r="J108" s="22"/>
      <c r="K108" s="22"/>
      <c r="L108" s="22"/>
      <c r="M108" s="22"/>
      <c r="N108" s="22"/>
    </row>
    <row r="109" spans="1:14">
      <c r="A109" s="64" t="s">
        <v>14</v>
      </c>
      <c r="B109" s="22"/>
      <c r="C109" s="22"/>
      <c r="D109" s="22"/>
      <c r="E109" s="22"/>
      <c r="F109" s="22"/>
      <c r="G109" s="22"/>
      <c r="H109" s="22"/>
      <c r="I109" s="22"/>
      <c r="J109" s="22"/>
      <c r="K109" s="22"/>
      <c r="L109" s="22"/>
      <c r="M109" s="22"/>
      <c r="N109" s="22"/>
    </row>
    <row r="110" spans="1:14">
      <c r="A110" s="64"/>
      <c r="B110" s="22"/>
      <c r="C110" s="22"/>
      <c r="D110" s="22"/>
      <c r="E110" s="22"/>
      <c r="F110" s="22"/>
      <c r="G110" s="22"/>
      <c r="H110" s="22"/>
      <c r="I110" s="22"/>
      <c r="J110" s="22"/>
      <c r="K110" s="22"/>
      <c r="L110" s="22"/>
      <c r="M110" s="22"/>
      <c r="N110" s="22"/>
    </row>
    <row r="111" spans="1:14">
      <c r="A111" s="64" t="s">
        <v>136</v>
      </c>
      <c r="B111" s="113"/>
      <c r="C111" s="113"/>
      <c r="D111" s="113"/>
      <c r="E111" s="113"/>
      <c r="F111" s="113"/>
      <c r="G111" s="113"/>
      <c r="H111" s="113"/>
      <c r="I111" s="113"/>
      <c r="J111" s="113"/>
      <c r="K111" s="113"/>
      <c r="L111" s="113"/>
      <c r="M111" s="113"/>
      <c r="N111" s="113"/>
    </row>
    <row r="112" spans="1:14">
      <c r="A112" s="64"/>
      <c r="B112" s="22"/>
      <c r="C112" s="22"/>
      <c r="D112" s="22"/>
      <c r="E112" s="22"/>
      <c r="F112" s="22"/>
      <c r="G112" s="22"/>
      <c r="H112" s="22"/>
      <c r="I112" s="22"/>
      <c r="J112" s="22"/>
      <c r="K112" s="22"/>
      <c r="L112" s="22"/>
      <c r="M112" s="22"/>
      <c r="N112" s="22"/>
    </row>
    <row r="113" spans="1:14">
      <c r="A113" s="64"/>
      <c r="B113" s="22"/>
      <c r="C113" s="22"/>
      <c r="D113" s="22"/>
      <c r="E113" s="22"/>
      <c r="F113" s="22"/>
      <c r="G113" s="22"/>
      <c r="H113" s="22"/>
      <c r="I113" s="22"/>
      <c r="J113" s="22"/>
      <c r="K113" s="22"/>
      <c r="L113" s="22"/>
      <c r="M113" s="22"/>
      <c r="N113" s="22"/>
    </row>
    <row r="114" spans="1:14">
      <c r="A114" s="64" t="s">
        <v>157</v>
      </c>
      <c r="B114" s="22"/>
      <c r="C114" s="22"/>
      <c r="D114" s="22"/>
      <c r="E114" s="22"/>
      <c r="F114" s="22"/>
      <c r="G114" s="22"/>
      <c r="H114" s="22"/>
      <c r="I114" s="22"/>
      <c r="J114" s="22"/>
      <c r="K114" s="22"/>
      <c r="L114" s="22"/>
      <c r="M114" s="22"/>
      <c r="N114" s="22"/>
    </row>
    <row r="115" spans="1:14">
      <c r="A115" s="64" t="s">
        <v>158</v>
      </c>
      <c r="B115" s="22"/>
      <c r="C115" s="22"/>
      <c r="D115" s="22"/>
      <c r="E115" s="22"/>
      <c r="F115" s="107">
        <v>-2152.9499999999998</v>
      </c>
      <c r="G115" s="22"/>
      <c r="H115" s="22"/>
      <c r="I115" s="22"/>
      <c r="J115" s="22"/>
      <c r="K115" s="22"/>
      <c r="L115" s="22"/>
      <c r="M115" s="22"/>
      <c r="N115" s="107">
        <v>-2152.9499999999998</v>
      </c>
    </row>
    <row r="116" spans="1:14">
      <c r="A116" s="64" t="s">
        <v>161</v>
      </c>
      <c r="B116" s="113"/>
      <c r="C116" s="113"/>
      <c r="D116" s="113"/>
      <c r="E116" s="113"/>
      <c r="F116" s="111">
        <v>-22125.22</v>
      </c>
      <c r="G116" s="113"/>
      <c r="H116" s="113"/>
      <c r="I116" s="113"/>
      <c r="J116" s="113"/>
      <c r="K116" s="113"/>
      <c r="L116" s="113"/>
      <c r="M116" s="113"/>
      <c r="N116" s="111">
        <v>-22125.22</v>
      </c>
    </row>
    <row r="117" spans="1:14">
      <c r="A117" s="64" t="s">
        <v>162</v>
      </c>
      <c r="B117" s="107"/>
      <c r="C117" s="107"/>
      <c r="D117" s="107"/>
      <c r="E117" s="107"/>
      <c r="F117" s="107">
        <f>SUM(F112:F116)</f>
        <v>-24278.170000000002</v>
      </c>
      <c r="G117" s="107"/>
      <c r="H117" s="107"/>
      <c r="I117" s="107"/>
      <c r="J117" s="107"/>
      <c r="K117" s="107"/>
      <c r="L117" s="107"/>
      <c r="M117" s="107"/>
      <c r="N117" s="107">
        <v>-24278.17</v>
      </c>
    </row>
    <row r="118" spans="1:14">
      <c r="A118" s="64"/>
      <c r="B118" s="22"/>
      <c r="C118" s="22"/>
      <c r="D118" s="22"/>
      <c r="E118" s="22"/>
      <c r="F118" s="22"/>
      <c r="G118" s="22"/>
      <c r="H118" s="22"/>
      <c r="I118" s="22"/>
      <c r="J118" s="22"/>
      <c r="K118" s="22"/>
      <c r="L118" s="22"/>
      <c r="M118" s="22"/>
      <c r="N118" s="22"/>
    </row>
    <row r="119" spans="1:14">
      <c r="A119" s="64" t="s">
        <v>163</v>
      </c>
      <c r="B119" s="22"/>
      <c r="C119" s="22"/>
      <c r="D119" s="22"/>
      <c r="E119" s="22"/>
      <c r="F119" s="22"/>
      <c r="G119" s="22"/>
      <c r="H119" s="22"/>
      <c r="I119" s="22"/>
      <c r="J119" s="22"/>
      <c r="K119" s="22"/>
      <c r="L119" s="22"/>
      <c r="M119" s="22"/>
      <c r="N119" s="22"/>
    </row>
    <row r="120" spans="1:14">
      <c r="A120" s="64" t="s">
        <v>171</v>
      </c>
      <c r="B120" s="113"/>
      <c r="C120" s="113"/>
      <c r="D120" s="113"/>
      <c r="E120" s="113"/>
      <c r="F120" s="111">
        <v>644.08000000000004</v>
      </c>
      <c r="G120" s="113"/>
      <c r="H120" s="113"/>
      <c r="I120" s="113"/>
      <c r="J120" s="113"/>
      <c r="K120" s="113"/>
      <c r="L120" s="113"/>
      <c r="M120" s="113"/>
      <c r="N120" s="111">
        <v>644.08000000000004</v>
      </c>
    </row>
    <row r="121" spans="1:14">
      <c r="A121" s="64" t="s">
        <v>16</v>
      </c>
      <c r="B121" s="107"/>
      <c r="C121" s="107"/>
      <c r="D121" s="107"/>
      <c r="E121" s="107"/>
      <c r="F121" s="107">
        <f>SUM(F118:F120)</f>
        <v>644.08000000000004</v>
      </c>
      <c r="G121" s="107"/>
      <c r="H121" s="107"/>
      <c r="I121" s="107"/>
      <c r="J121" s="107"/>
      <c r="K121" s="107"/>
      <c r="L121" s="107"/>
      <c r="M121" s="107"/>
      <c r="N121" s="107">
        <v>644.08000000000004</v>
      </c>
    </row>
    <row r="122" spans="1:14">
      <c r="A122" s="64"/>
      <c r="B122" s="22"/>
      <c r="C122" s="22"/>
      <c r="D122" s="22"/>
      <c r="E122" s="22"/>
      <c r="F122" s="22"/>
      <c r="G122" s="22"/>
      <c r="H122" s="22"/>
      <c r="I122" s="22"/>
      <c r="J122" s="22"/>
      <c r="K122" s="22"/>
      <c r="L122" s="22"/>
      <c r="M122" s="22"/>
      <c r="N122" s="22"/>
    </row>
    <row r="123" spans="1:14">
      <c r="A123" s="64" t="s">
        <v>17</v>
      </c>
      <c r="B123" s="22"/>
      <c r="C123" s="22"/>
      <c r="D123" s="22"/>
      <c r="E123" s="22"/>
      <c r="F123" s="22"/>
      <c r="G123" s="22"/>
      <c r="H123" s="22"/>
      <c r="I123" s="22"/>
      <c r="J123" s="22"/>
      <c r="K123" s="22"/>
      <c r="L123" s="22"/>
      <c r="M123" s="22"/>
      <c r="N123" s="22"/>
    </row>
    <row r="124" spans="1:14">
      <c r="A124" s="64" t="s">
        <v>178</v>
      </c>
      <c r="B124" s="113"/>
      <c r="C124" s="113"/>
      <c r="D124" s="111">
        <v>275</v>
      </c>
      <c r="E124" s="113"/>
      <c r="F124" s="113"/>
      <c r="G124" s="113"/>
      <c r="H124" s="113"/>
      <c r="I124" s="113"/>
      <c r="J124" s="113"/>
      <c r="K124" s="113"/>
      <c r="L124" s="113"/>
      <c r="M124" s="113"/>
      <c r="N124" s="111">
        <v>275</v>
      </c>
    </row>
    <row r="125" spans="1:14">
      <c r="A125" s="64" t="s">
        <v>185</v>
      </c>
      <c r="B125" s="107"/>
      <c r="C125" s="107"/>
      <c r="D125" s="107">
        <f>SUM(D122:D124)</f>
        <v>275</v>
      </c>
      <c r="E125" s="107"/>
      <c r="F125" s="107"/>
      <c r="G125" s="107"/>
      <c r="H125" s="107"/>
      <c r="I125" s="107"/>
      <c r="J125" s="107"/>
      <c r="K125" s="107"/>
      <c r="L125" s="107"/>
      <c r="M125" s="107"/>
      <c r="N125" s="107">
        <v>275</v>
      </c>
    </row>
    <row r="126" spans="1:14">
      <c r="A126" s="64"/>
      <c r="B126" s="22"/>
      <c r="C126" s="22"/>
      <c r="D126" s="22"/>
      <c r="E126" s="22"/>
      <c r="F126" s="22"/>
      <c r="G126" s="22"/>
      <c r="H126" s="22"/>
      <c r="I126" s="22"/>
      <c r="J126" s="22"/>
      <c r="K126" s="22"/>
      <c r="L126" s="22"/>
      <c r="M126" s="22"/>
      <c r="N126" s="22"/>
    </row>
    <row r="127" spans="1:14">
      <c r="A127" s="64" t="s">
        <v>186</v>
      </c>
      <c r="B127" s="22"/>
      <c r="C127" s="22"/>
      <c r="D127" s="22"/>
      <c r="E127" s="22"/>
      <c r="F127" s="22"/>
      <c r="G127" s="22"/>
      <c r="H127" s="22"/>
      <c r="I127" s="22"/>
      <c r="J127" s="22"/>
      <c r="K127" s="22"/>
      <c r="L127" s="22"/>
      <c r="M127" s="22"/>
      <c r="N127" s="22"/>
    </row>
    <row r="128" spans="1:14">
      <c r="A128" s="64" t="s">
        <v>197</v>
      </c>
      <c r="B128" s="22"/>
      <c r="C128" s="22"/>
      <c r="D128" s="22"/>
      <c r="E128" s="22"/>
      <c r="F128" s="22"/>
      <c r="G128" s="22"/>
      <c r="H128" s="22"/>
      <c r="I128" s="22"/>
      <c r="J128" s="22"/>
      <c r="K128" s="22"/>
      <c r="L128" s="107">
        <v>-264.48</v>
      </c>
      <c r="M128" s="22"/>
      <c r="N128" s="107">
        <v>-264.48</v>
      </c>
    </row>
    <row r="129" spans="1:14">
      <c r="A129" s="64" t="s">
        <v>199</v>
      </c>
      <c r="B129" s="22"/>
      <c r="C129" s="22"/>
      <c r="D129" s="22"/>
      <c r="E129" s="22"/>
      <c r="F129" s="107">
        <v>650.79999999999995</v>
      </c>
      <c r="G129" s="22"/>
      <c r="H129" s="22"/>
      <c r="I129" s="22"/>
      <c r="J129" s="22"/>
      <c r="K129" s="22"/>
      <c r="L129" s="22"/>
      <c r="M129" s="22"/>
      <c r="N129" s="107">
        <v>650.79999999999995</v>
      </c>
    </row>
    <row r="130" spans="1:14">
      <c r="A130" s="64" t="s">
        <v>202</v>
      </c>
      <c r="B130" s="107">
        <v>4633.75</v>
      </c>
      <c r="C130" s="22"/>
      <c r="D130" s="22"/>
      <c r="E130" s="107">
        <v>6315</v>
      </c>
      <c r="F130" s="107">
        <v>490</v>
      </c>
      <c r="G130" s="22"/>
      <c r="H130" s="107">
        <v>1102.5</v>
      </c>
      <c r="I130" s="107">
        <v>150</v>
      </c>
      <c r="J130" s="107">
        <v>75</v>
      </c>
      <c r="K130" s="22"/>
      <c r="L130" s="22"/>
      <c r="M130" s="22"/>
      <c r="N130" s="107">
        <v>12766.25</v>
      </c>
    </row>
    <row r="131" spans="1:14">
      <c r="A131" s="64" t="s">
        <v>203</v>
      </c>
      <c r="B131" s="111">
        <v>349.55</v>
      </c>
      <c r="C131" s="111">
        <v>353.01</v>
      </c>
      <c r="D131" s="111">
        <v>123.84</v>
      </c>
      <c r="E131" s="111">
        <v>123.84</v>
      </c>
      <c r="F131" s="111">
        <v>535.47</v>
      </c>
      <c r="G131" s="111">
        <v>97.4</v>
      </c>
      <c r="H131" s="111">
        <v>207.33</v>
      </c>
      <c r="I131" s="111">
        <v>203.67</v>
      </c>
      <c r="J131" s="111">
        <v>127.28</v>
      </c>
      <c r="K131" s="111">
        <v>255.28</v>
      </c>
      <c r="L131" s="111">
        <v>117.28</v>
      </c>
      <c r="M131" s="111">
        <v>192.23</v>
      </c>
      <c r="N131" s="111">
        <v>2686.18</v>
      </c>
    </row>
    <row r="132" spans="1:14">
      <c r="A132" s="64" t="s">
        <v>207</v>
      </c>
      <c r="B132" s="107">
        <f t="shared" ref="B132:M132" si="4">SUM(B126:B131)</f>
        <v>4983.3</v>
      </c>
      <c r="C132" s="107">
        <f t="shared" si="4"/>
        <v>353.01</v>
      </c>
      <c r="D132" s="107">
        <f t="shared" si="4"/>
        <v>123.84</v>
      </c>
      <c r="E132" s="107">
        <f t="shared" si="4"/>
        <v>6438.84</v>
      </c>
      <c r="F132" s="107">
        <f t="shared" si="4"/>
        <v>1676.27</v>
      </c>
      <c r="G132" s="107">
        <f t="shared" si="4"/>
        <v>97.4</v>
      </c>
      <c r="H132" s="107">
        <f t="shared" si="4"/>
        <v>1309.83</v>
      </c>
      <c r="I132" s="107">
        <f t="shared" si="4"/>
        <v>353.66999999999996</v>
      </c>
      <c r="J132" s="107">
        <f t="shared" si="4"/>
        <v>202.28</v>
      </c>
      <c r="K132" s="107">
        <f t="shared" si="4"/>
        <v>255.28</v>
      </c>
      <c r="L132" s="107">
        <f t="shared" si="4"/>
        <v>-147.20000000000002</v>
      </c>
      <c r="M132" s="107">
        <f t="shared" si="4"/>
        <v>192.23</v>
      </c>
      <c r="N132" s="107">
        <v>15838.75</v>
      </c>
    </row>
    <row r="133" spans="1:14">
      <c r="A133" s="64"/>
      <c r="B133" s="22"/>
      <c r="C133" s="22"/>
      <c r="D133" s="22"/>
      <c r="E133" s="22"/>
      <c r="F133" s="22"/>
      <c r="G133" s="22"/>
      <c r="H133" s="22"/>
      <c r="I133" s="22"/>
      <c r="J133" s="22"/>
      <c r="K133" s="22"/>
      <c r="L133" s="22"/>
      <c r="M133" s="22"/>
      <c r="N133" s="22"/>
    </row>
    <row r="134" spans="1:14">
      <c r="A134" s="64" t="s">
        <v>15</v>
      </c>
      <c r="B134" s="22"/>
      <c r="C134" s="22"/>
      <c r="D134" s="22"/>
      <c r="E134" s="22"/>
      <c r="F134" s="22"/>
      <c r="G134" s="22"/>
      <c r="H134" s="22"/>
      <c r="I134" s="22"/>
      <c r="J134" s="22"/>
      <c r="K134" s="22"/>
      <c r="L134" s="22"/>
      <c r="M134" s="22"/>
      <c r="N134" s="22"/>
    </row>
    <row r="135" spans="1:14">
      <c r="A135" s="64" t="s">
        <v>210</v>
      </c>
      <c r="B135" s="22"/>
      <c r="C135" s="22"/>
      <c r="D135" s="22"/>
      <c r="E135" s="22"/>
      <c r="F135" s="22"/>
      <c r="G135" s="22"/>
      <c r="H135" s="22"/>
      <c r="I135" s="22"/>
      <c r="J135" s="22"/>
      <c r="K135" s="22"/>
      <c r="L135" s="107">
        <v>-63.92</v>
      </c>
      <c r="M135" s="22"/>
      <c r="N135" s="107">
        <v>-63.92</v>
      </c>
    </row>
    <row r="136" spans="1:14">
      <c r="A136" s="64" t="s">
        <v>214</v>
      </c>
      <c r="B136" s="113"/>
      <c r="C136" s="113"/>
      <c r="D136" s="113"/>
      <c r="E136" s="113"/>
      <c r="F136" s="113"/>
      <c r="G136" s="113"/>
      <c r="H136" s="113"/>
      <c r="I136" s="113"/>
      <c r="J136" s="113"/>
      <c r="K136" s="113"/>
      <c r="L136" s="111">
        <v>-369.85</v>
      </c>
      <c r="M136" s="113"/>
      <c r="N136" s="111">
        <v>-369.85</v>
      </c>
    </row>
    <row r="137" spans="1:14">
      <c r="A137" s="64" t="s">
        <v>221</v>
      </c>
      <c r="B137" s="107"/>
      <c r="C137" s="107"/>
      <c r="D137" s="107"/>
      <c r="E137" s="107"/>
      <c r="F137" s="107"/>
      <c r="G137" s="107"/>
      <c r="H137" s="107"/>
      <c r="I137" s="107"/>
      <c r="J137" s="107"/>
      <c r="K137" s="107"/>
      <c r="L137" s="107">
        <f>SUM(L133:L136)</f>
        <v>-433.77000000000004</v>
      </c>
      <c r="M137" s="107"/>
      <c r="N137" s="107">
        <v>-433.77</v>
      </c>
    </row>
    <row r="138" spans="1:14">
      <c r="A138" s="64"/>
      <c r="B138" s="22"/>
      <c r="C138" s="22"/>
      <c r="D138" s="22"/>
      <c r="E138" s="22"/>
      <c r="F138" s="22"/>
      <c r="G138" s="22"/>
      <c r="H138" s="22"/>
      <c r="I138" s="22"/>
      <c r="J138" s="22"/>
      <c r="K138" s="22"/>
      <c r="L138" s="22"/>
      <c r="M138" s="22"/>
      <c r="N138" s="22"/>
    </row>
    <row r="139" spans="1:14">
      <c r="A139" s="64" t="s">
        <v>222</v>
      </c>
      <c r="B139" s="22"/>
      <c r="C139" s="22"/>
      <c r="D139" s="22"/>
      <c r="E139" s="22"/>
      <c r="F139" s="22"/>
      <c r="G139" s="22"/>
      <c r="H139" s="22"/>
      <c r="I139" s="22"/>
      <c r="J139" s="22"/>
      <c r="K139" s="22"/>
      <c r="L139" s="22"/>
      <c r="M139" s="22"/>
      <c r="N139" s="22"/>
    </row>
    <row r="140" spans="1:14">
      <c r="A140" s="64" t="s">
        <v>227</v>
      </c>
      <c r="B140" s="113"/>
      <c r="C140" s="113"/>
      <c r="D140" s="113"/>
      <c r="E140" s="113"/>
      <c r="F140" s="113"/>
      <c r="G140" s="113"/>
      <c r="H140" s="113"/>
      <c r="I140" s="113"/>
      <c r="J140" s="113"/>
      <c r="K140" s="113"/>
      <c r="L140" s="111">
        <v>628.38</v>
      </c>
      <c r="M140" s="113"/>
      <c r="N140" s="111">
        <v>628.38</v>
      </c>
    </row>
    <row r="141" spans="1:14">
      <c r="A141" s="64" t="s">
        <v>229</v>
      </c>
      <c r="B141" s="107"/>
      <c r="C141" s="107"/>
      <c r="D141" s="107"/>
      <c r="E141" s="107"/>
      <c r="F141" s="107"/>
      <c r="G141" s="107"/>
      <c r="H141" s="107"/>
      <c r="I141" s="107"/>
      <c r="J141" s="107"/>
      <c r="K141" s="107"/>
      <c r="L141" s="107">
        <f>SUM(L138:L140)</f>
        <v>628.38</v>
      </c>
      <c r="M141" s="107"/>
      <c r="N141" s="107">
        <v>628.38</v>
      </c>
    </row>
    <row r="142" spans="1:14">
      <c r="A142" s="64"/>
      <c r="B142" s="22"/>
      <c r="C142" s="22"/>
      <c r="D142" s="22"/>
      <c r="E142" s="22"/>
      <c r="F142" s="22"/>
      <c r="G142" s="22"/>
      <c r="H142" s="22"/>
      <c r="I142" s="22"/>
      <c r="J142" s="22"/>
      <c r="K142" s="22"/>
      <c r="L142" s="22"/>
      <c r="M142" s="22"/>
      <c r="N142" s="22"/>
    </row>
    <row r="143" spans="1:14">
      <c r="A143" s="64" t="s">
        <v>230</v>
      </c>
      <c r="B143" s="22"/>
      <c r="C143" s="22"/>
      <c r="D143" s="22"/>
      <c r="E143" s="22"/>
      <c r="F143" s="22"/>
      <c r="G143" s="22"/>
      <c r="H143" s="22"/>
      <c r="I143" s="22"/>
      <c r="J143" s="22"/>
      <c r="K143" s="22"/>
      <c r="L143" s="22"/>
      <c r="M143" s="22"/>
      <c r="N143" s="22"/>
    </row>
    <row r="144" spans="1:14">
      <c r="A144" s="64" t="s">
        <v>234</v>
      </c>
      <c r="B144" s="113"/>
      <c r="C144" s="113"/>
      <c r="D144" s="113"/>
      <c r="E144" s="113"/>
      <c r="F144" s="113"/>
      <c r="G144" s="111">
        <v>66.67</v>
      </c>
      <c r="H144" s="113"/>
      <c r="I144" s="113"/>
      <c r="J144" s="111">
        <v>230</v>
      </c>
      <c r="K144" s="113"/>
      <c r="L144" s="113"/>
      <c r="M144" s="113"/>
      <c r="N144" s="111">
        <v>296.67</v>
      </c>
    </row>
    <row r="145" spans="1:14">
      <c r="A145" s="64" t="s">
        <v>236</v>
      </c>
      <c r="B145" s="107"/>
      <c r="C145" s="107"/>
      <c r="D145" s="107"/>
      <c r="E145" s="107"/>
      <c r="F145" s="107"/>
      <c r="G145" s="107">
        <f>SUM(G142:G144)</f>
        <v>66.67</v>
      </c>
      <c r="H145" s="107"/>
      <c r="I145" s="107"/>
      <c r="J145" s="107">
        <f>SUM(J142:J144)</f>
        <v>230</v>
      </c>
      <c r="K145" s="107"/>
      <c r="L145" s="107"/>
      <c r="M145" s="107"/>
      <c r="N145" s="107">
        <v>296.67</v>
      </c>
    </row>
    <row r="146" spans="1:14">
      <c r="A146" s="64"/>
      <c r="B146" s="22"/>
      <c r="C146" s="22"/>
      <c r="D146" s="22"/>
      <c r="E146" s="22"/>
      <c r="F146" s="22"/>
      <c r="G146" s="22"/>
      <c r="H146" s="22"/>
      <c r="I146" s="22"/>
      <c r="J146" s="22"/>
      <c r="K146" s="22"/>
      <c r="L146" s="22"/>
      <c r="M146" s="22"/>
      <c r="N146" s="22"/>
    </row>
    <row r="147" spans="1:14">
      <c r="A147" s="64" t="s">
        <v>237</v>
      </c>
      <c r="B147" s="22"/>
      <c r="C147" s="22"/>
      <c r="D147" s="22"/>
      <c r="E147" s="22"/>
      <c r="F147" s="22"/>
      <c r="G147" s="22"/>
      <c r="H147" s="22"/>
      <c r="I147" s="22"/>
      <c r="J147" s="22"/>
      <c r="K147" s="22"/>
      <c r="L147" s="22"/>
      <c r="M147" s="22"/>
      <c r="N147" s="22"/>
    </row>
    <row r="148" spans="1:14">
      <c r="A148" s="64" t="s">
        <v>228</v>
      </c>
      <c r="B148" s="113"/>
      <c r="C148" s="113"/>
      <c r="D148" s="113"/>
      <c r="E148" s="113"/>
      <c r="F148" s="111">
        <v>22034</v>
      </c>
      <c r="G148" s="113"/>
      <c r="H148" s="113"/>
      <c r="I148" s="113"/>
      <c r="J148" s="113"/>
      <c r="K148" s="113"/>
      <c r="L148" s="113"/>
      <c r="M148" s="111">
        <v>17840</v>
      </c>
      <c r="N148" s="111">
        <v>39874</v>
      </c>
    </row>
    <row r="149" spans="1:14">
      <c r="A149" s="64" t="s">
        <v>238</v>
      </c>
      <c r="B149" s="107"/>
      <c r="C149" s="107"/>
      <c r="D149" s="107"/>
      <c r="E149" s="107"/>
      <c r="F149" s="107">
        <f>SUM(F146:F148)</f>
        <v>22034</v>
      </c>
      <c r="G149" s="107"/>
      <c r="H149" s="107"/>
      <c r="I149" s="107"/>
      <c r="J149" s="107"/>
      <c r="K149" s="107"/>
      <c r="L149" s="107"/>
      <c r="M149" s="107">
        <f>SUM(M146:M148)</f>
        <v>17840</v>
      </c>
      <c r="N149" s="107">
        <v>39874</v>
      </c>
    </row>
    <row r="150" spans="1:14">
      <c r="A150" s="64"/>
      <c r="B150" s="22"/>
      <c r="C150" s="22"/>
      <c r="D150" s="22"/>
      <c r="E150" s="22"/>
      <c r="F150" s="22"/>
      <c r="G150" s="22"/>
      <c r="H150" s="22"/>
      <c r="I150" s="22"/>
      <c r="J150" s="22"/>
      <c r="K150" s="22"/>
      <c r="L150" s="22"/>
      <c r="M150" s="22"/>
      <c r="N150" s="22"/>
    </row>
    <row r="151" spans="1:14">
      <c r="A151" s="64" t="s">
        <v>239</v>
      </c>
      <c r="B151" s="22"/>
      <c r="C151" s="22"/>
      <c r="D151" s="22"/>
      <c r="E151" s="22"/>
      <c r="F151" s="22"/>
      <c r="G151" s="22"/>
      <c r="H151" s="22"/>
      <c r="I151" s="22"/>
      <c r="J151" s="22"/>
      <c r="K151" s="22"/>
      <c r="L151" s="22"/>
      <c r="M151" s="22"/>
      <c r="N151" s="22"/>
    </row>
    <row r="152" spans="1:14">
      <c r="A152" s="64" t="s">
        <v>387</v>
      </c>
      <c r="B152" s="113"/>
      <c r="C152" s="113"/>
      <c r="D152" s="113"/>
      <c r="E152" s="113"/>
      <c r="F152" s="113"/>
      <c r="G152" s="113"/>
      <c r="H152" s="113"/>
      <c r="I152" s="113"/>
      <c r="J152" s="113"/>
      <c r="K152" s="113"/>
      <c r="L152" s="113"/>
      <c r="M152" s="113"/>
      <c r="N152" s="113"/>
    </row>
    <row r="153" spans="1:14">
      <c r="A153" s="64"/>
      <c r="B153" s="22"/>
      <c r="C153" s="22"/>
      <c r="D153" s="22"/>
      <c r="E153" s="22"/>
      <c r="F153" s="22"/>
      <c r="G153" s="22"/>
      <c r="H153" s="22"/>
      <c r="I153" s="22"/>
      <c r="J153" s="22"/>
      <c r="K153" s="22"/>
      <c r="L153" s="22"/>
      <c r="M153" s="22"/>
      <c r="N153" s="22"/>
    </row>
    <row r="154" spans="1:14">
      <c r="A154" s="64" t="s">
        <v>245</v>
      </c>
      <c r="B154" s="22"/>
      <c r="C154" s="22"/>
      <c r="D154" s="22"/>
      <c r="E154" s="22"/>
      <c r="F154" s="22"/>
      <c r="G154" s="22"/>
      <c r="H154" s="22"/>
      <c r="I154" s="22"/>
      <c r="J154" s="22"/>
      <c r="K154" s="22"/>
      <c r="L154" s="22"/>
      <c r="M154" s="22"/>
      <c r="N154" s="22"/>
    </row>
    <row r="155" spans="1:14">
      <c r="A155" s="64" t="s">
        <v>362</v>
      </c>
      <c r="B155" s="113"/>
      <c r="C155" s="113"/>
      <c r="D155" s="113"/>
      <c r="E155" s="113"/>
      <c r="F155" s="113"/>
      <c r="G155" s="113"/>
      <c r="H155" s="113"/>
      <c r="I155" s="113"/>
      <c r="J155" s="113"/>
      <c r="K155" s="113"/>
      <c r="L155" s="113"/>
      <c r="M155" s="113"/>
      <c r="N155" s="113"/>
    </row>
    <row r="156" spans="1:14">
      <c r="A156" s="64"/>
      <c r="B156" s="22"/>
      <c r="C156" s="22"/>
      <c r="D156" s="22"/>
      <c r="E156" s="22"/>
      <c r="F156" s="22"/>
      <c r="G156" s="22"/>
      <c r="H156" s="22"/>
      <c r="I156" s="22"/>
      <c r="J156" s="22"/>
      <c r="K156" s="22"/>
      <c r="L156" s="22"/>
      <c r="M156" s="22"/>
      <c r="N156" s="22"/>
    </row>
    <row r="157" spans="1:14">
      <c r="A157" s="64" t="s">
        <v>251</v>
      </c>
      <c r="B157" s="22"/>
      <c r="C157" s="22"/>
      <c r="D157" s="22"/>
      <c r="E157" s="22"/>
      <c r="F157" s="22"/>
      <c r="G157" s="22"/>
      <c r="H157" s="22"/>
      <c r="I157" s="22"/>
      <c r="J157" s="22"/>
      <c r="K157" s="22"/>
      <c r="L157" s="22"/>
      <c r="M157" s="22"/>
      <c r="N157" s="22"/>
    </row>
    <row r="158" spans="1:14">
      <c r="A158" s="64" t="s">
        <v>254</v>
      </c>
      <c r="B158" s="113"/>
      <c r="C158" s="113"/>
      <c r="D158" s="113"/>
      <c r="E158" s="113"/>
      <c r="F158" s="113"/>
      <c r="G158" s="113"/>
      <c r="H158" s="113"/>
      <c r="I158" s="113"/>
      <c r="J158" s="111">
        <v>3750</v>
      </c>
      <c r="K158" s="113"/>
      <c r="L158" s="113"/>
      <c r="M158" s="113"/>
      <c r="N158" s="111">
        <v>3750</v>
      </c>
    </row>
    <row r="159" spans="1:14">
      <c r="A159" s="64" t="s">
        <v>255</v>
      </c>
      <c r="B159" s="107"/>
      <c r="C159" s="107"/>
      <c r="D159" s="107"/>
      <c r="E159" s="107"/>
      <c r="F159" s="107"/>
      <c r="G159" s="107"/>
      <c r="H159" s="107"/>
      <c r="I159" s="107"/>
      <c r="J159" s="107">
        <f>SUM(J156:J158)</f>
        <v>3750</v>
      </c>
      <c r="K159" s="107"/>
      <c r="L159" s="107"/>
      <c r="M159" s="107"/>
      <c r="N159" s="107">
        <v>3750</v>
      </c>
    </row>
    <row r="160" spans="1:14">
      <c r="A160" s="64"/>
      <c r="B160" s="22"/>
      <c r="C160" s="22"/>
      <c r="D160" s="22"/>
      <c r="E160" s="22"/>
      <c r="F160" s="22"/>
      <c r="G160" s="22"/>
      <c r="H160" s="22"/>
      <c r="I160" s="22"/>
      <c r="J160" s="22"/>
      <c r="K160" s="22"/>
      <c r="L160" s="22"/>
      <c r="M160" s="22"/>
      <c r="N160" s="22"/>
    </row>
    <row r="161" spans="1:14">
      <c r="A161" s="64" t="s">
        <v>256</v>
      </c>
      <c r="B161" s="22"/>
      <c r="C161" s="22"/>
      <c r="D161" s="22"/>
      <c r="E161" s="22"/>
      <c r="F161" s="22"/>
      <c r="G161" s="22"/>
      <c r="H161" s="22"/>
      <c r="I161" s="22"/>
      <c r="J161" s="22"/>
      <c r="K161" s="22"/>
      <c r="L161" s="22"/>
      <c r="M161" s="22"/>
      <c r="N161" s="22"/>
    </row>
    <row r="162" spans="1:14">
      <c r="A162" s="64" t="s">
        <v>257</v>
      </c>
      <c r="B162" s="113"/>
      <c r="C162" s="113"/>
      <c r="D162" s="111">
        <v>-276.45</v>
      </c>
      <c r="E162" s="113"/>
      <c r="F162" s="111">
        <v>32846.11</v>
      </c>
      <c r="G162" s="113"/>
      <c r="H162" s="113"/>
      <c r="I162" s="113"/>
      <c r="J162" s="113"/>
      <c r="K162" s="113"/>
      <c r="L162" s="113"/>
      <c r="M162" s="113"/>
      <c r="N162" s="111">
        <v>32569.66</v>
      </c>
    </row>
    <row r="163" spans="1:14">
      <c r="A163" s="64" t="s">
        <v>258</v>
      </c>
      <c r="B163" s="107"/>
      <c r="C163" s="107"/>
      <c r="D163" s="107">
        <f>SUM(D160:D162)</f>
        <v>-276.45</v>
      </c>
      <c r="E163" s="107"/>
      <c r="F163" s="107">
        <f>SUM(F160:F162)</f>
        <v>32846.11</v>
      </c>
      <c r="G163" s="107"/>
      <c r="H163" s="107"/>
      <c r="I163" s="107"/>
      <c r="J163" s="107"/>
      <c r="K163" s="107"/>
      <c r="L163" s="107"/>
      <c r="M163" s="107"/>
      <c r="N163" s="107">
        <v>32569.66</v>
      </c>
    </row>
    <row r="164" spans="1:14">
      <c r="A164" s="64"/>
      <c r="B164" s="22"/>
      <c r="C164" s="22"/>
      <c r="D164" s="22"/>
      <c r="E164" s="22"/>
      <c r="F164" s="22"/>
      <c r="G164" s="22"/>
      <c r="H164" s="22"/>
      <c r="I164" s="22"/>
      <c r="J164" s="22"/>
      <c r="K164" s="22"/>
      <c r="L164" s="22"/>
      <c r="M164" s="22"/>
      <c r="N164" s="22"/>
    </row>
    <row r="165" spans="1:14" ht="15.75" thickBot="1">
      <c r="A165" s="64" t="s">
        <v>62</v>
      </c>
      <c r="B165" s="112">
        <f t="shared" ref="B165:M165" si="5">SUM(B109:B164)-0-B117-B121-B125-B132-B137-B141-B145-B149-0-0-B159-B163</f>
        <v>4983.3</v>
      </c>
      <c r="C165" s="112">
        <f t="shared" si="5"/>
        <v>353.01</v>
      </c>
      <c r="D165" s="112">
        <f t="shared" si="5"/>
        <v>122.39000000000001</v>
      </c>
      <c r="E165" s="112">
        <f t="shared" si="5"/>
        <v>6438.84</v>
      </c>
      <c r="F165" s="112">
        <f t="shared" si="5"/>
        <v>32922.289999999994</v>
      </c>
      <c r="G165" s="112">
        <f t="shared" si="5"/>
        <v>164.07000000000005</v>
      </c>
      <c r="H165" s="112">
        <f t="shared" si="5"/>
        <v>1309.83</v>
      </c>
      <c r="I165" s="112">
        <f t="shared" si="5"/>
        <v>353.66999999999996</v>
      </c>
      <c r="J165" s="112">
        <f t="shared" si="5"/>
        <v>4182.28</v>
      </c>
      <c r="K165" s="112">
        <f t="shared" si="5"/>
        <v>255.28</v>
      </c>
      <c r="L165" s="112">
        <f t="shared" si="5"/>
        <v>47.409999999999968</v>
      </c>
      <c r="M165" s="112">
        <f t="shared" si="5"/>
        <v>18032.229999999996</v>
      </c>
      <c r="N165" s="112">
        <v>69164.600000000006</v>
      </c>
    </row>
    <row r="166" spans="1:14" ht="15.75" thickTop="1">
      <c r="A166" s="64"/>
      <c r="B166" s="22"/>
      <c r="C166" s="22"/>
      <c r="D166" s="22"/>
      <c r="E166" s="22"/>
      <c r="F166" s="22"/>
      <c r="G166" s="22"/>
      <c r="H166" s="22"/>
      <c r="I166" s="22"/>
      <c r="J166" s="22"/>
      <c r="K166" s="22"/>
      <c r="L166" s="22"/>
      <c r="M166" s="22"/>
      <c r="N166" s="22"/>
    </row>
    <row r="167" spans="1:14" ht="15.75" thickBot="1">
      <c r="A167" s="64" t="s">
        <v>259</v>
      </c>
      <c r="B167" s="112">
        <f t="shared" ref="B167:M167" si="6">+B106-B165</f>
        <v>-4983.3</v>
      </c>
      <c r="C167" s="112">
        <f t="shared" si="6"/>
        <v>-353.01</v>
      </c>
      <c r="D167" s="112">
        <f t="shared" si="6"/>
        <v>-122.39000000000001</v>
      </c>
      <c r="E167" s="112">
        <f t="shared" si="6"/>
        <v>-6438.84</v>
      </c>
      <c r="F167" s="112">
        <f t="shared" si="6"/>
        <v>-96100.29</v>
      </c>
      <c r="G167" s="112">
        <f t="shared" si="6"/>
        <v>-164.07000000000005</v>
      </c>
      <c r="H167" s="112">
        <f t="shared" si="6"/>
        <v>-1309.83</v>
      </c>
      <c r="I167" s="112">
        <f t="shared" si="6"/>
        <v>-353.66999999999996</v>
      </c>
      <c r="J167" s="112">
        <f t="shared" si="6"/>
        <v>-4182.28</v>
      </c>
      <c r="K167" s="112">
        <f t="shared" si="6"/>
        <v>-255.28</v>
      </c>
      <c r="L167" s="112">
        <f t="shared" si="6"/>
        <v>-47.409999999999968</v>
      </c>
      <c r="M167" s="112">
        <f t="shared" si="6"/>
        <v>36959.86</v>
      </c>
      <c r="N167" s="112">
        <v>-77350.509999999995</v>
      </c>
    </row>
    <row r="168" spans="1:14" ht="15.75" thickTop="1">
      <c r="A168" s="64"/>
      <c r="B168" s="22"/>
      <c r="C168" s="22"/>
      <c r="D168" s="22"/>
      <c r="E168" s="22"/>
      <c r="F168" s="22"/>
      <c r="G168" s="22"/>
      <c r="H168" s="22"/>
      <c r="I168" s="22"/>
      <c r="J168" s="22"/>
      <c r="K168" s="22"/>
      <c r="L168" s="22"/>
      <c r="M168" s="22"/>
      <c r="N168" s="22"/>
    </row>
    <row r="169" spans="1:14">
      <c r="A169" s="64" t="s">
        <v>351</v>
      </c>
      <c r="B169" s="113"/>
      <c r="C169" s="111">
        <v>85</v>
      </c>
      <c r="D169" s="113"/>
      <c r="E169" s="113"/>
      <c r="F169" s="111">
        <v>32176.02</v>
      </c>
      <c r="G169" s="113"/>
      <c r="H169" s="113"/>
      <c r="I169" s="111">
        <v>935</v>
      </c>
      <c r="J169" s="113"/>
      <c r="K169" s="113"/>
      <c r="L169" s="111">
        <v>198.09</v>
      </c>
      <c r="M169" s="113"/>
      <c r="N169" s="111">
        <v>33394.11</v>
      </c>
    </row>
    <row r="170" spans="1:14">
      <c r="A170" s="64" t="s">
        <v>64</v>
      </c>
      <c r="B170" s="107"/>
      <c r="C170" s="107">
        <f>SUM(C168:C169)</f>
        <v>85</v>
      </c>
      <c r="D170" s="107"/>
      <c r="E170" s="107"/>
      <c r="F170" s="107">
        <f>SUM(F168:F169)</f>
        <v>32176.02</v>
      </c>
      <c r="G170" s="107"/>
      <c r="H170" s="107"/>
      <c r="I170" s="107">
        <f>SUM(I168:I169)</f>
        <v>935</v>
      </c>
      <c r="J170" s="107"/>
      <c r="K170" s="107"/>
      <c r="L170" s="107">
        <f>SUM(L168:L169)</f>
        <v>198.09</v>
      </c>
      <c r="M170" s="107"/>
      <c r="N170" s="107">
        <v>33394.11</v>
      </c>
    </row>
    <row r="171" spans="1:14">
      <c r="A171" s="64"/>
      <c r="B171" s="22"/>
      <c r="C171" s="22"/>
      <c r="D171" s="22"/>
      <c r="E171" s="22"/>
      <c r="F171" s="22"/>
      <c r="G171" s="22"/>
      <c r="H171" s="22"/>
      <c r="I171" s="22"/>
      <c r="J171" s="22"/>
      <c r="K171" s="22"/>
      <c r="L171" s="22"/>
      <c r="M171" s="22"/>
      <c r="N171" s="22"/>
    </row>
    <row r="172" spans="1:14" ht="15.75" thickBot="1">
      <c r="A172" s="64" t="s">
        <v>22</v>
      </c>
      <c r="B172" s="112">
        <f t="shared" ref="B172:M172" si="7">+B167-B170</f>
        <v>-4983.3</v>
      </c>
      <c r="C172" s="112">
        <f t="shared" si="7"/>
        <v>-438.01</v>
      </c>
      <c r="D172" s="112">
        <f t="shared" si="7"/>
        <v>-122.39000000000001</v>
      </c>
      <c r="E172" s="112">
        <f t="shared" si="7"/>
        <v>-6438.84</v>
      </c>
      <c r="F172" s="112">
        <f t="shared" si="7"/>
        <v>-128276.31</v>
      </c>
      <c r="G172" s="112">
        <f t="shared" si="7"/>
        <v>-164.07000000000005</v>
      </c>
      <c r="H172" s="112">
        <f t="shared" si="7"/>
        <v>-1309.83</v>
      </c>
      <c r="I172" s="112">
        <f t="shared" si="7"/>
        <v>-1288.67</v>
      </c>
      <c r="J172" s="112">
        <f t="shared" si="7"/>
        <v>-4182.28</v>
      </c>
      <c r="K172" s="112">
        <f t="shared" si="7"/>
        <v>-255.28</v>
      </c>
      <c r="L172" s="112">
        <f t="shared" si="7"/>
        <v>-245.49999999999997</v>
      </c>
      <c r="M172" s="112">
        <f t="shared" si="7"/>
        <v>36959.86</v>
      </c>
      <c r="N172" s="112">
        <v>-110744.62</v>
      </c>
    </row>
    <row r="173" spans="1:14" ht="15.75" thickTop="1">
      <c r="A173" s="64"/>
      <c r="B173" s="22"/>
      <c r="C173" s="22"/>
      <c r="D173" s="22"/>
      <c r="E173" s="22"/>
      <c r="F173" s="22"/>
      <c r="G173" s="22"/>
      <c r="H173" s="22"/>
      <c r="I173" s="22"/>
      <c r="J173" s="22"/>
      <c r="K173" s="22"/>
      <c r="L173" s="22"/>
      <c r="M173" s="22"/>
      <c r="N173" s="22"/>
    </row>
    <row r="174" spans="1:14">
      <c r="A174" s="64"/>
      <c r="B174" s="22"/>
      <c r="C174" s="22"/>
      <c r="D174" s="22"/>
      <c r="E174" s="22"/>
      <c r="F174" s="22"/>
      <c r="G174" s="22"/>
      <c r="H174" s="22"/>
      <c r="I174" s="22"/>
      <c r="J174" s="22"/>
      <c r="K174" s="22"/>
      <c r="L174" s="22"/>
      <c r="M174" s="22"/>
      <c r="N174" s="22"/>
    </row>
    <row r="175" spans="1:14">
      <c r="A175" s="64" t="s">
        <v>260</v>
      </c>
      <c r="B175" s="22"/>
      <c r="C175" s="22"/>
      <c r="D175" s="22"/>
      <c r="E175" s="22"/>
      <c r="F175" s="22"/>
      <c r="G175" s="22"/>
      <c r="H175" s="22"/>
      <c r="I175" s="22"/>
      <c r="J175" s="22"/>
      <c r="K175" s="22"/>
      <c r="L175" s="22"/>
      <c r="M175" s="22"/>
      <c r="N175" s="22"/>
    </row>
    <row r="176" spans="1:14">
      <c r="A176" s="64"/>
      <c r="B176" s="22"/>
      <c r="C176" s="22"/>
      <c r="D176" s="22"/>
      <c r="E176" s="22"/>
      <c r="F176" s="22"/>
      <c r="G176" s="22"/>
      <c r="H176" s="22"/>
      <c r="I176" s="22"/>
      <c r="J176" s="22"/>
      <c r="K176" s="22"/>
      <c r="L176" s="22"/>
      <c r="M176" s="22"/>
      <c r="N176" s="22"/>
    </row>
    <row r="177" spans="1:14">
      <c r="A177" s="64" t="s">
        <v>19</v>
      </c>
      <c r="B177" s="113"/>
      <c r="C177" s="113"/>
      <c r="D177" s="113"/>
      <c r="E177" s="113"/>
      <c r="F177" s="113"/>
      <c r="G177" s="113"/>
      <c r="H177" s="113"/>
      <c r="I177" s="113"/>
      <c r="J177" s="113"/>
      <c r="K177" s="113"/>
      <c r="L177" s="113"/>
      <c r="M177" s="113"/>
      <c r="N177" s="113"/>
    </row>
    <row r="178" spans="1:14">
      <c r="A178" s="64" t="s">
        <v>85</v>
      </c>
      <c r="B178" s="107"/>
      <c r="C178" s="107"/>
      <c r="D178" s="107"/>
      <c r="E178" s="107"/>
      <c r="F178" s="107"/>
      <c r="G178" s="107"/>
      <c r="H178" s="107"/>
      <c r="I178" s="107"/>
      <c r="J178" s="107"/>
      <c r="K178" s="107"/>
      <c r="L178" s="107"/>
      <c r="M178" s="107"/>
      <c r="N178" s="107"/>
    </row>
    <row r="179" spans="1:14">
      <c r="A179" s="64"/>
      <c r="B179" s="22"/>
      <c r="C179" s="22"/>
      <c r="D179" s="22"/>
      <c r="E179" s="22"/>
      <c r="F179" s="22"/>
      <c r="G179" s="22"/>
      <c r="H179" s="22"/>
      <c r="I179" s="22"/>
      <c r="J179" s="22"/>
      <c r="K179" s="22"/>
      <c r="L179" s="22"/>
      <c r="M179" s="22"/>
      <c r="N179" s="22"/>
    </row>
    <row r="180" spans="1:14">
      <c r="A180" s="64" t="s">
        <v>20</v>
      </c>
      <c r="B180" s="113"/>
      <c r="C180" s="113"/>
      <c r="D180" s="113"/>
      <c r="E180" s="113"/>
      <c r="F180" s="113"/>
      <c r="G180" s="113"/>
      <c r="H180" s="113"/>
      <c r="I180" s="113"/>
      <c r="J180" s="113"/>
      <c r="K180" s="113"/>
      <c r="L180" s="113"/>
      <c r="M180" s="113"/>
      <c r="N180" s="113"/>
    </row>
    <row r="181" spans="1:14">
      <c r="A181" s="64" t="s">
        <v>262</v>
      </c>
      <c r="B181" s="107"/>
      <c r="C181" s="107"/>
      <c r="D181" s="107"/>
      <c r="E181" s="107"/>
      <c r="F181" s="107"/>
      <c r="G181" s="107"/>
      <c r="H181" s="107"/>
      <c r="I181" s="107"/>
      <c r="J181" s="107"/>
      <c r="K181" s="107"/>
      <c r="L181" s="107"/>
      <c r="M181" s="107"/>
      <c r="N181" s="107"/>
    </row>
    <row r="182" spans="1:14">
      <c r="A182" s="64"/>
      <c r="B182" s="22"/>
      <c r="C182" s="22"/>
      <c r="D182" s="22"/>
      <c r="E182" s="22"/>
      <c r="F182" s="22"/>
      <c r="G182" s="22"/>
      <c r="H182" s="22"/>
      <c r="I182" s="22"/>
      <c r="J182" s="22"/>
      <c r="K182" s="22"/>
      <c r="L182" s="22"/>
      <c r="M182" s="22"/>
      <c r="N182" s="22"/>
    </row>
    <row r="183" spans="1:14">
      <c r="A183" s="64" t="s">
        <v>263</v>
      </c>
      <c r="B183" s="113"/>
      <c r="C183" s="113"/>
      <c r="D183" s="113"/>
      <c r="E183" s="113"/>
      <c r="F183" s="113"/>
      <c r="G183" s="113"/>
      <c r="H183" s="113"/>
      <c r="I183" s="113"/>
      <c r="J183" s="113"/>
      <c r="K183" s="113"/>
      <c r="L183" s="113"/>
      <c r="M183" s="113"/>
      <c r="N183" s="113"/>
    </row>
    <row r="184" spans="1:14">
      <c r="A184" s="64" t="s">
        <v>264</v>
      </c>
      <c r="B184" s="107"/>
      <c r="C184" s="107"/>
      <c r="D184" s="107"/>
      <c r="E184" s="107"/>
      <c r="F184" s="107"/>
      <c r="G184" s="107"/>
      <c r="H184" s="107"/>
      <c r="I184" s="107"/>
      <c r="J184" s="107"/>
      <c r="K184" s="107"/>
      <c r="L184" s="107"/>
      <c r="M184" s="107"/>
      <c r="N184" s="107"/>
    </row>
    <row r="185" spans="1:14">
      <c r="A185" s="64"/>
      <c r="B185" s="22"/>
      <c r="C185" s="22"/>
      <c r="D185" s="22"/>
      <c r="E185" s="22"/>
      <c r="F185" s="22"/>
      <c r="G185" s="22"/>
      <c r="H185" s="22"/>
      <c r="I185" s="22"/>
      <c r="J185" s="22"/>
      <c r="K185" s="22"/>
      <c r="L185" s="22"/>
      <c r="M185" s="22"/>
      <c r="N185" s="22"/>
    </row>
    <row r="186" spans="1:14">
      <c r="A186" s="64" t="s">
        <v>265</v>
      </c>
      <c r="B186" s="113"/>
      <c r="C186" s="113"/>
      <c r="D186" s="113"/>
      <c r="E186" s="113"/>
      <c r="F186" s="113"/>
      <c r="G186" s="113"/>
      <c r="H186" s="113"/>
      <c r="I186" s="113"/>
      <c r="J186" s="113"/>
      <c r="K186" s="113"/>
      <c r="L186" s="113"/>
      <c r="M186" s="113"/>
      <c r="N186" s="113"/>
    </row>
    <row r="187" spans="1:14">
      <c r="A187" s="64" t="s">
        <v>319</v>
      </c>
      <c r="B187" s="107"/>
      <c r="C187" s="107"/>
      <c r="D187" s="107"/>
      <c r="E187" s="107"/>
      <c r="F187" s="107"/>
      <c r="G187" s="107"/>
      <c r="H187" s="107"/>
      <c r="I187" s="107"/>
      <c r="J187" s="107"/>
      <c r="K187" s="107"/>
      <c r="L187" s="107"/>
      <c r="M187" s="107"/>
      <c r="N187" s="107"/>
    </row>
    <row r="188" spans="1:14">
      <c r="A188" s="64"/>
      <c r="B188" s="22"/>
      <c r="C188" s="22"/>
      <c r="D188" s="22"/>
      <c r="E188" s="22"/>
      <c r="F188" s="22"/>
      <c r="G188" s="22"/>
      <c r="H188" s="22"/>
      <c r="I188" s="22"/>
      <c r="J188" s="22"/>
      <c r="K188" s="22"/>
      <c r="L188" s="22"/>
      <c r="M188" s="22"/>
      <c r="N188" s="22"/>
    </row>
    <row r="189" spans="1:14">
      <c r="A189" s="64" t="s">
        <v>106</v>
      </c>
      <c r="B189" s="113"/>
      <c r="C189" s="113"/>
      <c r="D189" s="113"/>
      <c r="E189" s="113"/>
      <c r="F189" s="113"/>
      <c r="G189" s="113"/>
      <c r="H189" s="113"/>
      <c r="I189" s="113"/>
      <c r="J189" s="113"/>
      <c r="K189" s="113"/>
      <c r="L189" s="113"/>
      <c r="M189" s="113"/>
      <c r="N189" s="113"/>
    </row>
    <row r="190" spans="1:14">
      <c r="A190" s="64" t="s">
        <v>116</v>
      </c>
      <c r="B190" s="107"/>
      <c r="C190" s="107"/>
      <c r="D190" s="107"/>
      <c r="E190" s="107"/>
      <c r="F190" s="107"/>
      <c r="G190" s="107"/>
      <c r="H190" s="107"/>
      <c r="I190" s="107"/>
      <c r="J190" s="107"/>
      <c r="K190" s="107"/>
      <c r="L190" s="107"/>
      <c r="M190" s="107"/>
      <c r="N190" s="107"/>
    </row>
    <row r="191" spans="1:14">
      <c r="A191" s="64"/>
      <c r="B191" s="22"/>
      <c r="C191" s="22"/>
      <c r="D191" s="22"/>
      <c r="E191" s="22"/>
      <c r="F191" s="22"/>
      <c r="G191" s="22"/>
      <c r="H191" s="22"/>
      <c r="I191" s="22"/>
      <c r="J191" s="22"/>
      <c r="K191" s="22"/>
      <c r="L191" s="22"/>
      <c r="M191" s="22"/>
      <c r="N191" s="22"/>
    </row>
    <row r="192" spans="1:14">
      <c r="A192" s="64" t="s">
        <v>117</v>
      </c>
      <c r="B192" s="113"/>
      <c r="C192" s="113"/>
      <c r="D192" s="113"/>
      <c r="E192" s="113"/>
      <c r="F192" s="113"/>
      <c r="G192" s="113"/>
      <c r="H192" s="113"/>
      <c r="I192" s="113"/>
      <c r="J192" s="113"/>
      <c r="K192" s="113"/>
      <c r="L192" s="113"/>
      <c r="M192" s="113"/>
      <c r="N192" s="113"/>
    </row>
    <row r="193" spans="1:14">
      <c r="A193" s="64" t="s">
        <v>127</v>
      </c>
      <c r="B193" s="107"/>
      <c r="C193" s="107"/>
      <c r="D193" s="107"/>
      <c r="E193" s="107"/>
      <c r="F193" s="107"/>
      <c r="G193" s="107"/>
      <c r="H193" s="107"/>
      <c r="I193" s="107"/>
      <c r="J193" s="107"/>
      <c r="K193" s="107"/>
      <c r="L193" s="107"/>
      <c r="M193" s="107"/>
      <c r="N193" s="107"/>
    </row>
    <row r="194" spans="1:14" ht="15.75" thickBot="1">
      <c r="A194" s="64"/>
      <c r="B194" s="183"/>
      <c r="C194" s="183"/>
      <c r="D194" s="183"/>
      <c r="E194" s="183"/>
      <c r="F194" s="183"/>
      <c r="G194" s="183"/>
      <c r="H194" s="183"/>
      <c r="I194" s="183"/>
      <c r="J194" s="183"/>
      <c r="K194" s="183"/>
      <c r="L194" s="183"/>
      <c r="M194" s="183"/>
      <c r="N194" s="183"/>
    </row>
    <row r="195" spans="1:14" ht="15.75" thickTop="1">
      <c r="A195" s="64"/>
      <c r="B195" s="22"/>
      <c r="C195" s="22"/>
      <c r="D195" s="22"/>
      <c r="E195" s="22"/>
      <c r="F195" s="22"/>
      <c r="G195" s="22"/>
      <c r="H195" s="22"/>
      <c r="I195" s="22"/>
      <c r="J195" s="22"/>
      <c r="K195" s="22"/>
      <c r="L195" s="22"/>
      <c r="M195" s="22"/>
      <c r="N195" s="22"/>
    </row>
    <row r="196" spans="1:14" hidden="1">
      <c r="A196" s="64"/>
      <c r="B196" s="107">
        <v>4983.3</v>
      </c>
      <c r="C196" s="107">
        <v>438.01</v>
      </c>
      <c r="D196" s="107">
        <v>122.39</v>
      </c>
      <c r="E196" s="107">
        <v>6438.84</v>
      </c>
      <c r="F196" s="107">
        <v>128276.31</v>
      </c>
      <c r="G196" s="107">
        <v>164.07</v>
      </c>
      <c r="H196" s="107">
        <v>1309.83</v>
      </c>
      <c r="I196" s="107">
        <v>1288.67</v>
      </c>
      <c r="J196" s="107">
        <v>4182.28</v>
      </c>
      <c r="K196" s="107">
        <v>255.28</v>
      </c>
      <c r="L196" s="107">
        <v>245.5</v>
      </c>
      <c r="M196" s="107">
        <v>-36959.86</v>
      </c>
      <c r="N196" s="107">
        <v>110744.62</v>
      </c>
    </row>
    <row r="197" spans="1:14">
      <c r="A197" s="64"/>
      <c r="B197" s="22"/>
      <c r="C197" s="22"/>
      <c r="D197" s="22"/>
      <c r="E197" s="22"/>
      <c r="F197" s="22"/>
      <c r="G197" s="22"/>
      <c r="H197" s="22"/>
      <c r="I197" s="22"/>
      <c r="J197" s="22"/>
      <c r="K197" s="22"/>
      <c r="L197" s="22"/>
      <c r="M197" s="22"/>
      <c r="N197" s="22"/>
    </row>
    <row r="198" spans="1:14" hidden="1">
      <c r="A198" s="64" t="s">
        <v>267</v>
      </c>
      <c r="B198" s="107"/>
      <c r="C198" s="107"/>
      <c r="D198" s="107"/>
      <c r="E198" s="107"/>
      <c r="F198" s="107"/>
      <c r="G198" s="107"/>
      <c r="H198" s="107"/>
      <c r="I198" s="107"/>
      <c r="J198" s="107"/>
      <c r="K198" s="107"/>
      <c r="L198" s="107"/>
      <c r="M198" s="107"/>
      <c r="N198" s="107"/>
    </row>
    <row r="199" spans="1:14">
      <c r="A199" s="64"/>
      <c r="B199" s="22"/>
      <c r="C199" s="22"/>
      <c r="D199" s="22"/>
      <c r="E199" s="22"/>
      <c r="F199" s="22"/>
      <c r="G199" s="22"/>
      <c r="H199" s="22"/>
      <c r="I199" s="22"/>
      <c r="J199" s="22"/>
      <c r="K199" s="22"/>
      <c r="L199" s="22"/>
      <c r="M199" s="22"/>
      <c r="N199" s="22"/>
    </row>
  </sheetData>
  <pageMargins left="0.75" right="0.75" top="0.75" bottom="0.75" header="0.03" footer="0.03"/>
  <pageSetup scale="46" fitToHeight="0" pageOrder="overThenDown" orientation="landscape" r:id="rId1"/>
  <headerFooter>
    <oddHeader>&amp;L&amp;C&amp;"Arial,Regular"&amp;9&amp;K000000HMG Park Manor of Belleville, LLC 
Trailing 12 Months&amp;R</oddHeader>
  </headerFooter>
  <rowBreaks count="1" manualBreakCount="1">
    <brk id="62" max="16383" man="1"/>
  </rowBreaks>
  <customProperties>
    <customPr name="EpmWorksheetKeyString_GUID" r:id="rId2"/>
  </customProperties>
  <drawing r:id="rId3"/>
  <legacyDrawing r:id="rId4"/>
  <controls>
    <mc:AlternateContent xmlns:mc="http://schemas.openxmlformats.org/markup-compatibility/2006">
      <mc:Choice Requires="x14">
        <control shapeId="15361"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5361" r:id="rId5" name="FPMExcelClientSheetOptionstb1"/>
      </mc:Fallback>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pageSetUpPr fitToPage="1"/>
  </sheetPr>
  <dimension ref="A1:N365"/>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B335</f>
        <v>1365</v>
      </c>
      <c r="C4" s="110">
        <f t="shared" si="0"/>
        <v>1326</v>
      </c>
      <c r="D4" s="110">
        <f t="shared" si="0"/>
        <v>1293</v>
      </c>
      <c r="E4" s="110">
        <f t="shared" si="0"/>
        <v>1367</v>
      </c>
      <c r="F4" s="110">
        <f t="shared" si="0"/>
        <v>1314</v>
      </c>
      <c r="G4" s="110">
        <f t="shared" si="0"/>
        <v>1329</v>
      </c>
      <c r="H4" s="110">
        <f t="shared" si="0"/>
        <v>1120</v>
      </c>
      <c r="I4" s="110">
        <f t="shared" si="0"/>
        <v>1262</v>
      </c>
      <c r="J4" s="110">
        <f t="shared" si="0"/>
        <v>1295</v>
      </c>
      <c r="K4" s="110">
        <f t="shared" si="0"/>
        <v>1205</v>
      </c>
      <c r="L4" s="110">
        <f t="shared" si="0"/>
        <v>1142</v>
      </c>
      <c r="M4" s="110">
        <f t="shared" si="0"/>
        <v>1036</v>
      </c>
      <c r="N4" s="110">
        <v>15054</v>
      </c>
    </row>
    <row r="5" spans="1:14">
      <c r="A5" s="64" t="s">
        <v>35</v>
      </c>
      <c r="B5" s="107"/>
      <c r="C5" s="107">
        <f>C339</f>
        <v>9</v>
      </c>
      <c r="D5" s="107">
        <f>D339</f>
        <v>41</v>
      </c>
      <c r="E5" s="107">
        <f>E339</f>
        <v>10</v>
      </c>
      <c r="F5" s="107">
        <f>F339</f>
        <v>5</v>
      </c>
      <c r="G5" s="107">
        <f>G339</f>
        <v>15</v>
      </c>
      <c r="H5" s="107"/>
      <c r="I5" s="107">
        <f>I339</f>
        <v>21</v>
      </c>
      <c r="J5" s="107">
        <f>J339</f>
        <v>39</v>
      </c>
      <c r="K5" s="107">
        <f>K339</f>
        <v>87</v>
      </c>
      <c r="L5" s="107">
        <f>L339</f>
        <v>40</v>
      </c>
      <c r="M5" s="107"/>
      <c r="N5" s="107">
        <v>267</v>
      </c>
    </row>
    <row r="6" spans="1:14">
      <c r="A6" s="64" t="s">
        <v>36</v>
      </c>
      <c r="B6" s="107">
        <f t="shared" ref="B6:M6" si="1">B344</f>
        <v>221</v>
      </c>
      <c r="C6" s="107">
        <f t="shared" si="1"/>
        <v>211</v>
      </c>
      <c r="D6" s="107">
        <f t="shared" si="1"/>
        <v>301</v>
      </c>
      <c r="E6" s="107">
        <f t="shared" si="1"/>
        <v>270</v>
      </c>
      <c r="F6" s="107">
        <f t="shared" si="1"/>
        <v>342</v>
      </c>
      <c r="G6" s="107">
        <f t="shared" si="1"/>
        <v>249</v>
      </c>
      <c r="H6" s="107">
        <f t="shared" si="1"/>
        <v>253</v>
      </c>
      <c r="I6" s="107">
        <f t="shared" si="1"/>
        <v>191</v>
      </c>
      <c r="J6" s="107">
        <f t="shared" si="1"/>
        <v>329</v>
      </c>
      <c r="K6" s="107">
        <f t="shared" si="1"/>
        <v>351</v>
      </c>
      <c r="L6" s="107">
        <f t="shared" si="1"/>
        <v>290</v>
      </c>
      <c r="M6" s="107">
        <f t="shared" si="1"/>
        <v>584</v>
      </c>
      <c r="N6" s="107">
        <v>3592</v>
      </c>
    </row>
    <row r="7" spans="1:14">
      <c r="A7" s="64" t="s">
        <v>37</v>
      </c>
      <c r="B7" s="107">
        <f t="shared" ref="B7:M7" si="2">B352</f>
        <v>29</v>
      </c>
      <c r="C7" s="107">
        <f t="shared" si="2"/>
        <v>58</v>
      </c>
      <c r="D7" s="107">
        <f t="shared" si="2"/>
        <v>39</v>
      </c>
      <c r="E7" s="107">
        <f t="shared" si="2"/>
        <v>10</v>
      </c>
      <c r="F7" s="107">
        <f t="shared" si="2"/>
        <v>21</v>
      </c>
      <c r="G7" s="107">
        <f t="shared" si="2"/>
        <v>69</v>
      </c>
      <c r="H7" s="107">
        <f t="shared" si="2"/>
        <v>77</v>
      </c>
      <c r="I7" s="107">
        <f t="shared" si="2"/>
        <v>51</v>
      </c>
      <c r="J7" s="107">
        <f t="shared" si="2"/>
        <v>22</v>
      </c>
      <c r="K7" s="107">
        <f t="shared" si="2"/>
        <v>68</v>
      </c>
      <c r="L7" s="107">
        <f t="shared" si="2"/>
        <v>99</v>
      </c>
      <c r="M7" s="107">
        <f t="shared" si="2"/>
        <v>100</v>
      </c>
      <c r="N7" s="107">
        <v>643</v>
      </c>
    </row>
    <row r="8" spans="1:14">
      <c r="A8" s="64" t="s">
        <v>38</v>
      </c>
      <c r="B8" s="111">
        <f t="shared" ref="B8:M8" si="3">B357</f>
        <v>219</v>
      </c>
      <c r="C8" s="111">
        <f t="shared" si="3"/>
        <v>189</v>
      </c>
      <c r="D8" s="111">
        <f t="shared" si="3"/>
        <v>195</v>
      </c>
      <c r="E8" s="111">
        <f t="shared" si="3"/>
        <v>202</v>
      </c>
      <c r="F8" s="111">
        <f t="shared" si="3"/>
        <v>220</v>
      </c>
      <c r="G8" s="111">
        <f t="shared" si="3"/>
        <v>283</v>
      </c>
      <c r="H8" s="111">
        <f t="shared" si="3"/>
        <v>277</v>
      </c>
      <c r="I8" s="111">
        <f t="shared" si="3"/>
        <v>211</v>
      </c>
      <c r="J8" s="111">
        <f t="shared" si="3"/>
        <v>253</v>
      </c>
      <c r="K8" s="111">
        <f t="shared" si="3"/>
        <v>256</v>
      </c>
      <c r="L8" s="111">
        <f t="shared" si="3"/>
        <v>231</v>
      </c>
      <c r="M8" s="111">
        <f t="shared" si="3"/>
        <v>250</v>
      </c>
      <c r="N8" s="111">
        <v>2786</v>
      </c>
    </row>
    <row r="9" spans="1:14" ht="15.75" thickBot="1">
      <c r="A9" s="64" t="s">
        <v>39</v>
      </c>
      <c r="B9" s="112">
        <f t="shared" ref="B9:M9" si="4">B364</f>
        <v>1834</v>
      </c>
      <c r="C9" s="112">
        <f t="shared" si="4"/>
        <v>1793</v>
      </c>
      <c r="D9" s="112">
        <f t="shared" si="4"/>
        <v>1869</v>
      </c>
      <c r="E9" s="112">
        <f t="shared" si="4"/>
        <v>1859</v>
      </c>
      <c r="F9" s="112">
        <f t="shared" si="4"/>
        <v>1902</v>
      </c>
      <c r="G9" s="112">
        <f t="shared" si="4"/>
        <v>1945</v>
      </c>
      <c r="H9" s="112">
        <f t="shared" si="4"/>
        <v>1727</v>
      </c>
      <c r="I9" s="112">
        <f t="shared" si="4"/>
        <v>1736</v>
      </c>
      <c r="J9" s="112">
        <f t="shared" si="4"/>
        <v>1938</v>
      </c>
      <c r="K9" s="112">
        <f t="shared" si="4"/>
        <v>1967</v>
      </c>
      <c r="L9" s="112">
        <f t="shared" si="4"/>
        <v>1802</v>
      </c>
      <c r="M9" s="112">
        <f t="shared" si="4"/>
        <v>1970</v>
      </c>
      <c r="N9" s="112">
        <v>22342</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5">B68</f>
        <v>210848.99</v>
      </c>
      <c r="C14" s="107">
        <f t="shared" si="5"/>
        <v>204706.45</v>
      </c>
      <c r="D14" s="107">
        <f t="shared" si="5"/>
        <v>199135.42</v>
      </c>
      <c r="E14" s="107">
        <f t="shared" si="5"/>
        <v>212308.62</v>
      </c>
      <c r="F14" s="107">
        <f t="shared" si="5"/>
        <v>203864.04</v>
      </c>
      <c r="G14" s="107">
        <f t="shared" si="5"/>
        <v>203512.45</v>
      </c>
      <c r="H14" s="107">
        <f t="shared" si="5"/>
        <v>172634.68</v>
      </c>
      <c r="I14" s="107">
        <f t="shared" si="5"/>
        <v>194140.68</v>
      </c>
      <c r="J14" s="107">
        <f t="shared" si="5"/>
        <v>198673.01</v>
      </c>
      <c r="K14" s="107">
        <f t="shared" si="5"/>
        <v>185751.88</v>
      </c>
      <c r="L14" s="107">
        <f t="shared" si="5"/>
        <v>176233.44</v>
      </c>
      <c r="M14" s="107">
        <f t="shared" si="5"/>
        <v>188931.13</v>
      </c>
      <c r="N14" s="107">
        <v>2350740.79</v>
      </c>
    </row>
    <row r="15" spans="1:14">
      <c r="A15" s="64" t="s">
        <v>35</v>
      </c>
      <c r="B15" s="107"/>
      <c r="C15" s="107">
        <f>C72</f>
        <v>1393.92</v>
      </c>
      <c r="D15" s="107">
        <f>D72</f>
        <v>6350.08</v>
      </c>
      <c r="E15" s="107">
        <f>E72</f>
        <v>1554.6</v>
      </c>
      <c r="F15" s="107">
        <f>F72</f>
        <v>1388.2</v>
      </c>
      <c r="G15" s="107">
        <f>G72</f>
        <v>3097.89</v>
      </c>
      <c r="H15" s="107"/>
      <c r="I15" s="107">
        <f>I72</f>
        <v>3240.72</v>
      </c>
      <c r="J15" s="107">
        <f>J72</f>
        <v>6018.48</v>
      </c>
      <c r="K15" s="107">
        <f>K72</f>
        <v>14453.24</v>
      </c>
      <c r="L15" s="107">
        <f>L72</f>
        <v>6172.8</v>
      </c>
      <c r="M15" s="107"/>
      <c r="N15" s="107">
        <v>43669.93</v>
      </c>
    </row>
    <row r="16" spans="1:14">
      <c r="A16" s="64" t="s">
        <v>36</v>
      </c>
      <c r="B16" s="107">
        <f t="shared" ref="B16:M16" si="6">B76</f>
        <v>123460.91</v>
      </c>
      <c r="C16" s="107">
        <f t="shared" si="6"/>
        <v>112788.52</v>
      </c>
      <c r="D16" s="107">
        <f t="shared" si="6"/>
        <v>171761.6</v>
      </c>
      <c r="E16" s="107">
        <f t="shared" si="6"/>
        <v>156963.51</v>
      </c>
      <c r="F16" s="107">
        <f t="shared" si="6"/>
        <v>202118.69</v>
      </c>
      <c r="G16" s="107">
        <f t="shared" si="6"/>
        <v>143418.51999999999</v>
      </c>
      <c r="H16" s="107">
        <f t="shared" si="6"/>
        <v>135900.54999999999</v>
      </c>
      <c r="I16" s="107">
        <f t="shared" si="6"/>
        <v>101135.84</v>
      </c>
      <c r="J16" s="107">
        <f t="shared" si="6"/>
        <v>173699.97</v>
      </c>
      <c r="K16" s="107">
        <f t="shared" si="6"/>
        <v>191174.5</v>
      </c>
      <c r="L16" s="107">
        <f t="shared" si="6"/>
        <v>155179.37</v>
      </c>
      <c r="M16" s="107">
        <f t="shared" si="6"/>
        <v>355721.89</v>
      </c>
      <c r="N16" s="107">
        <v>2023323.87</v>
      </c>
    </row>
    <row r="17" spans="1:14">
      <c r="A17" s="64" t="s">
        <v>37</v>
      </c>
      <c r="B17" s="107">
        <f t="shared" ref="B17:M17" si="7">B83</f>
        <v>12735.01</v>
      </c>
      <c r="C17" s="107">
        <f t="shared" si="7"/>
        <v>29048.720000000001</v>
      </c>
      <c r="D17" s="107">
        <f t="shared" si="7"/>
        <v>19440.509999999998</v>
      </c>
      <c r="E17" s="107">
        <f t="shared" si="7"/>
        <v>3700</v>
      </c>
      <c r="F17" s="107">
        <f t="shared" si="7"/>
        <v>8239.34</v>
      </c>
      <c r="G17" s="107">
        <f t="shared" si="7"/>
        <v>31548.34</v>
      </c>
      <c r="H17" s="107">
        <f t="shared" si="7"/>
        <v>33708.11</v>
      </c>
      <c r="I17" s="107">
        <f t="shared" si="7"/>
        <v>21342.15</v>
      </c>
      <c r="J17" s="107">
        <f t="shared" si="7"/>
        <v>11066.87</v>
      </c>
      <c r="K17" s="107">
        <f t="shared" si="7"/>
        <v>32152.2</v>
      </c>
      <c r="L17" s="107">
        <f t="shared" si="7"/>
        <v>43685.27</v>
      </c>
      <c r="M17" s="107">
        <f t="shared" si="7"/>
        <v>53950.11</v>
      </c>
      <c r="N17" s="107">
        <v>300616.63</v>
      </c>
    </row>
    <row r="18" spans="1:14">
      <c r="A18" s="64" t="s">
        <v>38</v>
      </c>
      <c r="B18" s="111">
        <f t="shared" ref="B18:M18" si="8">B87</f>
        <v>42486</v>
      </c>
      <c r="C18" s="111">
        <f t="shared" si="8"/>
        <v>36666</v>
      </c>
      <c r="D18" s="111">
        <f t="shared" si="8"/>
        <v>37830</v>
      </c>
      <c r="E18" s="111">
        <f t="shared" si="8"/>
        <v>39188</v>
      </c>
      <c r="F18" s="111">
        <f t="shared" si="8"/>
        <v>42680</v>
      </c>
      <c r="G18" s="111">
        <f t="shared" si="8"/>
        <v>54977</v>
      </c>
      <c r="H18" s="111">
        <f t="shared" si="8"/>
        <v>54398</v>
      </c>
      <c r="I18" s="111">
        <f t="shared" si="8"/>
        <v>41414</v>
      </c>
      <c r="J18" s="111">
        <f t="shared" si="8"/>
        <v>49848</v>
      </c>
      <c r="K18" s="111">
        <f t="shared" si="8"/>
        <v>50985</v>
      </c>
      <c r="L18" s="111">
        <f t="shared" si="8"/>
        <v>45264</v>
      </c>
      <c r="M18" s="111">
        <f t="shared" si="8"/>
        <v>48800</v>
      </c>
      <c r="N18" s="111">
        <v>544536</v>
      </c>
    </row>
    <row r="19" spans="1:14">
      <c r="A19" s="64" t="s">
        <v>42</v>
      </c>
      <c r="B19" s="107">
        <f t="shared" ref="B19:M19" si="9">B89</f>
        <v>389530.91000000003</v>
      </c>
      <c r="C19" s="107">
        <f t="shared" si="9"/>
        <v>384603.61</v>
      </c>
      <c r="D19" s="107">
        <f t="shared" si="9"/>
        <v>434517.6100000001</v>
      </c>
      <c r="E19" s="107">
        <f t="shared" si="9"/>
        <v>413714.73</v>
      </c>
      <c r="F19" s="107">
        <f t="shared" si="9"/>
        <v>458290.27</v>
      </c>
      <c r="G19" s="107">
        <f t="shared" si="9"/>
        <v>436554.1999999999</v>
      </c>
      <c r="H19" s="107">
        <f t="shared" si="9"/>
        <v>396641.34</v>
      </c>
      <c r="I19" s="107">
        <f t="shared" si="9"/>
        <v>361273.3899999999</v>
      </c>
      <c r="J19" s="107">
        <f t="shared" si="9"/>
        <v>439306.32999999996</v>
      </c>
      <c r="K19" s="107">
        <f t="shared" si="9"/>
        <v>474516.81999999995</v>
      </c>
      <c r="L19" s="107">
        <f t="shared" si="9"/>
        <v>426534.88</v>
      </c>
      <c r="M19" s="107">
        <f t="shared" si="9"/>
        <v>647403.13000000035</v>
      </c>
      <c r="N19" s="107">
        <v>5262887.22</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B95</f>
        <v>-6025.84</v>
      </c>
      <c r="C22" s="107">
        <f>C95</f>
        <v>-4801.28</v>
      </c>
      <c r="D22" s="107">
        <f>D95</f>
        <v>-1237.3699999999999</v>
      </c>
      <c r="E22" s="107">
        <f>E95</f>
        <v>-513.25</v>
      </c>
      <c r="F22" s="107"/>
      <c r="G22" s="107"/>
      <c r="H22" s="107"/>
      <c r="I22" s="107">
        <f>I95</f>
        <v>564.65</v>
      </c>
      <c r="J22" s="107"/>
      <c r="K22" s="107">
        <f>K95</f>
        <v>-68.83</v>
      </c>
      <c r="L22" s="107"/>
      <c r="M22" s="107">
        <f>M95</f>
        <v>0.08</v>
      </c>
      <c r="N22" s="107">
        <v>-12081.84</v>
      </c>
    </row>
    <row r="23" spans="1:14">
      <c r="A23" s="64" t="s">
        <v>35</v>
      </c>
      <c r="B23" s="107"/>
      <c r="C23" s="107"/>
      <c r="D23" s="107"/>
      <c r="E23" s="107">
        <f>E99</f>
        <v>29</v>
      </c>
      <c r="F23" s="107"/>
      <c r="G23" s="107">
        <f>G99</f>
        <v>-170.54</v>
      </c>
      <c r="H23" s="107"/>
      <c r="I23" s="107"/>
      <c r="J23" s="107"/>
      <c r="K23" s="107"/>
      <c r="L23" s="107"/>
      <c r="M23" s="107"/>
      <c r="N23" s="107">
        <v>-141.54</v>
      </c>
    </row>
    <row r="24" spans="1:14">
      <c r="A24" s="64" t="s">
        <v>36</v>
      </c>
      <c r="B24" s="107">
        <f>B103</f>
        <v>-641.12</v>
      </c>
      <c r="C24" s="107">
        <f>C103</f>
        <v>283.92</v>
      </c>
      <c r="D24" s="107"/>
      <c r="E24" s="107"/>
      <c r="F24" s="107">
        <f>F103</f>
        <v>-4440.78</v>
      </c>
      <c r="G24" s="107">
        <f>G103</f>
        <v>-347.89</v>
      </c>
      <c r="H24" s="107">
        <f>H103</f>
        <v>-4400.32</v>
      </c>
      <c r="I24" s="107">
        <f>I103</f>
        <v>-4930.45</v>
      </c>
      <c r="J24" s="107"/>
      <c r="K24" s="107">
        <f>K103</f>
        <v>7161.79</v>
      </c>
      <c r="L24" s="107">
        <f>L103</f>
        <v>-590.91</v>
      </c>
      <c r="M24" s="107">
        <f>M103</f>
        <v>-1149.92</v>
      </c>
      <c r="N24" s="107">
        <v>-9055.68</v>
      </c>
    </row>
    <row r="25" spans="1:14">
      <c r="A25" s="64" t="s">
        <v>37</v>
      </c>
      <c r="B25" s="107"/>
      <c r="C25" s="107">
        <f>C110</f>
        <v>-26.54</v>
      </c>
      <c r="D25" s="107"/>
      <c r="E25" s="107"/>
      <c r="F25" s="107"/>
      <c r="G25" s="107"/>
      <c r="H25" s="107">
        <f>H110</f>
        <v>2590</v>
      </c>
      <c r="I25" s="107">
        <f>I110</f>
        <v>-5586</v>
      </c>
      <c r="J25" s="107"/>
      <c r="K25" s="107">
        <f>K110</f>
        <v>-4493.5200000000004</v>
      </c>
      <c r="L25" s="107"/>
      <c r="M25" s="107">
        <f>M110</f>
        <v>-141.96</v>
      </c>
      <c r="N25" s="107">
        <v>-7658.02</v>
      </c>
    </row>
    <row r="26" spans="1:14">
      <c r="A26" s="64" t="s">
        <v>38</v>
      </c>
      <c r="B26" s="111">
        <f>B114</f>
        <v>7566</v>
      </c>
      <c r="C26" s="111">
        <f>C114</f>
        <v>6799.21</v>
      </c>
      <c r="D26" s="111">
        <f>D114</f>
        <v>1552</v>
      </c>
      <c r="E26" s="111">
        <f>E114</f>
        <v>2716</v>
      </c>
      <c r="F26" s="111"/>
      <c r="G26" s="111"/>
      <c r="H26" s="111"/>
      <c r="I26" s="111"/>
      <c r="J26" s="111"/>
      <c r="K26" s="111"/>
      <c r="L26" s="111"/>
      <c r="M26" s="111"/>
      <c r="N26" s="111">
        <v>18633.21</v>
      </c>
    </row>
    <row r="27" spans="1:14">
      <c r="A27" s="64" t="s">
        <v>44</v>
      </c>
      <c r="B27" s="107">
        <f t="shared" ref="B27:I27" si="10">B116</f>
        <v>899.03999999999905</v>
      </c>
      <c r="C27" s="107">
        <f t="shared" si="10"/>
        <v>2255.3099999999986</v>
      </c>
      <c r="D27" s="107">
        <f t="shared" si="10"/>
        <v>314.63000000000011</v>
      </c>
      <c r="E27" s="107">
        <f t="shared" si="10"/>
        <v>2231.75</v>
      </c>
      <c r="F27" s="107">
        <f t="shared" si="10"/>
        <v>-4440.78</v>
      </c>
      <c r="G27" s="107">
        <f t="shared" si="10"/>
        <v>-518.43000000000018</v>
      </c>
      <c r="H27" s="107">
        <f t="shared" si="10"/>
        <v>-1810.3199999999997</v>
      </c>
      <c r="I27" s="107">
        <f t="shared" si="10"/>
        <v>-9951.7999999999993</v>
      </c>
      <c r="J27" s="107"/>
      <c r="K27" s="107">
        <f>K116</f>
        <v>2599.4399999999996</v>
      </c>
      <c r="L27" s="107">
        <f>L116</f>
        <v>-590.91</v>
      </c>
      <c r="M27" s="107">
        <f>M116</f>
        <v>-1291.8000000000002</v>
      </c>
      <c r="N27" s="107">
        <v>-10303.870000000001</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36</v>
      </c>
      <c r="B30" s="107"/>
      <c r="C30" s="107"/>
      <c r="D30" s="107"/>
      <c r="E30" s="107"/>
      <c r="F30" s="107">
        <f>F134</f>
        <v>-22569.509999999995</v>
      </c>
      <c r="G30" s="107">
        <f>G134</f>
        <v>22569.509999999995</v>
      </c>
      <c r="H30" s="107"/>
      <c r="I30" s="107"/>
      <c r="J30" s="107"/>
      <c r="K30" s="107"/>
      <c r="L30" s="107"/>
      <c r="M30" s="107"/>
      <c r="N30" s="107"/>
    </row>
    <row r="31" spans="1:14">
      <c r="A31" s="64" t="s">
        <v>46</v>
      </c>
      <c r="B31" s="107">
        <f t="shared" ref="B31:M31" si="11">B142</f>
        <v>9852.3700000000008</v>
      </c>
      <c r="C31" s="107">
        <f t="shared" si="11"/>
        <v>11609.630000000001</v>
      </c>
      <c r="D31" s="107">
        <f t="shared" si="11"/>
        <v>17700.05</v>
      </c>
      <c r="E31" s="107">
        <f t="shared" si="11"/>
        <v>13839.23</v>
      </c>
      <c r="F31" s="107">
        <f t="shared" si="11"/>
        <v>7682.9599999999991</v>
      </c>
      <c r="G31" s="107">
        <f t="shared" si="11"/>
        <v>4137.4799999999996</v>
      </c>
      <c r="H31" s="107">
        <f t="shared" si="11"/>
        <v>6367.26</v>
      </c>
      <c r="I31" s="107">
        <f t="shared" si="11"/>
        <v>16928.830000000002</v>
      </c>
      <c r="J31" s="107">
        <f t="shared" si="11"/>
        <v>15715.34</v>
      </c>
      <c r="K31" s="107">
        <f t="shared" si="11"/>
        <v>8700.2999999999993</v>
      </c>
      <c r="L31" s="107">
        <f t="shared" si="11"/>
        <v>12904.169999999998</v>
      </c>
      <c r="M31" s="107">
        <f t="shared" si="11"/>
        <v>4874.79</v>
      </c>
      <c r="N31" s="107">
        <v>130312.41</v>
      </c>
    </row>
    <row r="32" spans="1:14">
      <c r="A32" s="64" t="s">
        <v>37</v>
      </c>
      <c r="B32" s="111">
        <f t="shared" ref="B32:M32" si="12">B156</f>
        <v>11259.030000000002</v>
      </c>
      <c r="C32" s="111">
        <f t="shared" si="12"/>
        <v>5030.84</v>
      </c>
      <c r="D32" s="111">
        <f t="shared" si="12"/>
        <v>749.88999999999942</v>
      </c>
      <c r="E32" s="111">
        <f t="shared" si="12"/>
        <v>2910.3100000000004</v>
      </c>
      <c r="F32" s="111">
        <f t="shared" si="12"/>
        <v>4554.6000000000004</v>
      </c>
      <c r="G32" s="111">
        <f t="shared" si="12"/>
        <v>1552.6800000000003</v>
      </c>
      <c r="H32" s="111">
        <f t="shared" si="12"/>
        <v>-2728.9600000000028</v>
      </c>
      <c r="I32" s="111">
        <f t="shared" si="12"/>
        <v>7020.43</v>
      </c>
      <c r="J32" s="111">
        <f t="shared" si="12"/>
        <v>5954.4900000000016</v>
      </c>
      <c r="K32" s="111">
        <f t="shared" si="12"/>
        <v>2277.0799999999981</v>
      </c>
      <c r="L32" s="111">
        <f t="shared" si="12"/>
        <v>2585.5999999999985</v>
      </c>
      <c r="M32" s="111">
        <f t="shared" si="12"/>
        <v>4846.0700000000033</v>
      </c>
      <c r="N32" s="111">
        <v>46012.06</v>
      </c>
    </row>
    <row r="33" spans="1:14">
      <c r="A33" s="64" t="s">
        <v>47</v>
      </c>
      <c r="B33" s="107">
        <f t="shared" ref="B33:M33" si="13">B161</f>
        <v>21111.399999999998</v>
      </c>
      <c r="C33" s="107">
        <f t="shared" si="13"/>
        <v>16640.47</v>
      </c>
      <c r="D33" s="107">
        <f t="shared" si="13"/>
        <v>18449.939999999999</v>
      </c>
      <c r="E33" s="107">
        <f t="shared" si="13"/>
        <v>16749.539999999994</v>
      </c>
      <c r="F33" s="107">
        <f t="shared" si="13"/>
        <v>-10331.949999999999</v>
      </c>
      <c r="G33" s="107">
        <f t="shared" si="13"/>
        <v>28259.66999999998</v>
      </c>
      <c r="H33" s="107">
        <f t="shared" si="13"/>
        <v>3638.3000000000011</v>
      </c>
      <c r="I33" s="107">
        <f t="shared" si="13"/>
        <v>23949.260000000002</v>
      </c>
      <c r="J33" s="107">
        <f t="shared" si="13"/>
        <v>21669.83</v>
      </c>
      <c r="K33" s="107">
        <f t="shared" si="13"/>
        <v>10977.380000000019</v>
      </c>
      <c r="L33" s="107">
        <f t="shared" si="13"/>
        <v>15489.769999999997</v>
      </c>
      <c r="M33" s="107">
        <f t="shared" si="13"/>
        <v>9720.8600000000042</v>
      </c>
      <c r="N33" s="107">
        <v>176324.47</v>
      </c>
    </row>
    <row r="34" spans="1:14">
      <c r="A34" s="64"/>
      <c r="B34" s="22"/>
      <c r="C34" s="22"/>
      <c r="D34" s="22"/>
      <c r="E34" s="22"/>
      <c r="F34" s="22"/>
      <c r="G34" s="22"/>
      <c r="H34" s="22"/>
      <c r="I34" s="22"/>
      <c r="J34" s="22"/>
      <c r="K34" s="22"/>
      <c r="L34" s="22"/>
      <c r="M34" s="22"/>
      <c r="N34" s="22"/>
    </row>
    <row r="35" spans="1:14">
      <c r="A35" s="64" t="s">
        <v>48</v>
      </c>
      <c r="B35" s="107">
        <f t="shared" ref="B35:M35" si="14">B169</f>
        <v>13445.96</v>
      </c>
      <c r="C35" s="107">
        <f t="shared" si="14"/>
        <v>98985.44</v>
      </c>
      <c r="D35" s="107">
        <f t="shared" si="14"/>
        <v>16715.199999999997</v>
      </c>
      <c r="E35" s="107">
        <f t="shared" si="14"/>
        <v>16884.46</v>
      </c>
      <c r="F35" s="107">
        <f t="shared" si="14"/>
        <v>1005.84</v>
      </c>
      <c r="G35" s="107">
        <f t="shared" si="14"/>
        <v>10717.15</v>
      </c>
      <c r="H35" s="107">
        <f t="shared" si="14"/>
        <v>41720.29</v>
      </c>
      <c r="I35" s="107">
        <f t="shared" si="14"/>
        <v>85377.48</v>
      </c>
      <c r="J35" s="107">
        <f t="shared" si="14"/>
        <v>55322.229999999996</v>
      </c>
      <c r="K35" s="107">
        <f t="shared" si="14"/>
        <v>51818.080000000002</v>
      </c>
      <c r="L35" s="107">
        <f t="shared" si="14"/>
        <v>63049.27</v>
      </c>
      <c r="M35" s="107">
        <f t="shared" si="14"/>
        <v>48929.79</v>
      </c>
      <c r="N35" s="107">
        <v>503971.19</v>
      </c>
    </row>
    <row r="36" spans="1:14">
      <c r="A36" s="64"/>
      <c r="B36" s="22"/>
      <c r="C36" s="22"/>
      <c r="D36" s="22"/>
      <c r="E36" s="22"/>
      <c r="F36" s="22"/>
      <c r="G36" s="22"/>
      <c r="H36" s="22"/>
      <c r="I36" s="22"/>
      <c r="J36" s="22"/>
      <c r="K36" s="22"/>
      <c r="L36" s="22"/>
      <c r="M36" s="22"/>
      <c r="N36" s="22"/>
    </row>
    <row r="37" spans="1:14" ht="15.75" thickBot="1">
      <c r="A37" s="64" t="s">
        <v>13</v>
      </c>
      <c r="B37" s="112">
        <f t="shared" ref="B37:M37" si="15">B171</f>
        <v>424987.30999999942</v>
      </c>
      <c r="C37" s="112">
        <f t="shared" si="15"/>
        <v>502484.83</v>
      </c>
      <c r="D37" s="112">
        <f t="shared" si="15"/>
        <v>469997.37999999936</v>
      </c>
      <c r="E37" s="112">
        <f t="shared" si="15"/>
        <v>449580.47999999981</v>
      </c>
      <c r="F37" s="112">
        <f t="shared" si="15"/>
        <v>444523.38000000041</v>
      </c>
      <c r="G37" s="112">
        <f t="shared" si="15"/>
        <v>475012.59000000032</v>
      </c>
      <c r="H37" s="112">
        <f t="shared" si="15"/>
        <v>440189.6100000001</v>
      </c>
      <c r="I37" s="112">
        <f t="shared" si="15"/>
        <v>460648.33000000019</v>
      </c>
      <c r="J37" s="112">
        <f t="shared" si="15"/>
        <v>516298.39</v>
      </c>
      <c r="K37" s="112">
        <f t="shared" si="15"/>
        <v>539911.72000000032</v>
      </c>
      <c r="L37" s="112">
        <f t="shared" si="15"/>
        <v>504483.01000000036</v>
      </c>
      <c r="M37" s="112">
        <f t="shared" si="15"/>
        <v>704761.98000000091</v>
      </c>
      <c r="N37" s="112">
        <v>5932879.0099999998</v>
      </c>
    </row>
    <row r="38" spans="1:14" ht="15.75" thickTop="1">
      <c r="A38" s="64"/>
      <c r="B38" s="22"/>
      <c r="C38" s="22"/>
      <c r="D38" s="22"/>
      <c r="E38" s="22"/>
      <c r="F38" s="22"/>
      <c r="G38" s="22"/>
      <c r="H38" s="22"/>
      <c r="I38" s="22"/>
      <c r="J38" s="22"/>
      <c r="K38" s="22"/>
      <c r="L38" s="22"/>
      <c r="M38" s="22"/>
      <c r="N38" s="22"/>
    </row>
    <row r="39" spans="1:14">
      <c r="A39" s="64" t="s">
        <v>14</v>
      </c>
      <c r="B39" s="22"/>
      <c r="C39" s="22"/>
      <c r="D39" s="22"/>
      <c r="E39" s="22"/>
      <c r="F39" s="22"/>
      <c r="G39" s="22"/>
      <c r="H39" s="22"/>
      <c r="I39" s="22"/>
      <c r="J39" s="22"/>
      <c r="K39" s="22"/>
      <c r="L39" s="22"/>
      <c r="M39" s="22"/>
      <c r="N39" s="22"/>
    </row>
    <row r="40" spans="1:14">
      <c r="A40" s="64" t="s">
        <v>49</v>
      </c>
      <c r="B40" s="107">
        <f t="shared" ref="B40:M40" si="16">B194</f>
        <v>158289.84</v>
      </c>
      <c r="C40" s="107">
        <f t="shared" si="16"/>
        <v>134319.27000000002</v>
      </c>
      <c r="D40" s="107">
        <f t="shared" si="16"/>
        <v>157155.93</v>
      </c>
      <c r="E40" s="107">
        <f t="shared" si="16"/>
        <v>148460.31999999998</v>
      </c>
      <c r="F40" s="107">
        <f t="shared" si="16"/>
        <v>148088.79999999996</v>
      </c>
      <c r="G40" s="107">
        <f t="shared" si="16"/>
        <v>160869.39000000001</v>
      </c>
      <c r="H40" s="107">
        <f t="shared" si="16"/>
        <v>144297</v>
      </c>
      <c r="I40" s="107">
        <f t="shared" si="16"/>
        <v>165371.04</v>
      </c>
      <c r="J40" s="107">
        <f t="shared" si="16"/>
        <v>178177.58999999997</v>
      </c>
      <c r="K40" s="107">
        <f t="shared" si="16"/>
        <v>187962.28</v>
      </c>
      <c r="L40" s="107">
        <f t="shared" si="16"/>
        <v>190663.34000000003</v>
      </c>
      <c r="M40" s="107">
        <f t="shared" si="16"/>
        <v>176338.69</v>
      </c>
      <c r="N40" s="107">
        <v>1949993.49</v>
      </c>
    </row>
    <row r="41" spans="1:14">
      <c r="A41" s="64" t="s">
        <v>50</v>
      </c>
      <c r="B41" s="107">
        <f>B202</f>
        <v>15025.55</v>
      </c>
      <c r="C41" s="107">
        <f>C202</f>
        <v>32725.890000000003</v>
      </c>
      <c r="D41" s="107"/>
      <c r="E41" s="107"/>
      <c r="F41" s="107">
        <f>F202</f>
        <v>-44472.040000000008</v>
      </c>
      <c r="G41" s="107"/>
      <c r="H41" s="107"/>
      <c r="I41" s="107">
        <f>I202</f>
        <v>316</v>
      </c>
      <c r="J41" s="107">
        <f>J202</f>
        <v>22663.72</v>
      </c>
      <c r="K41" s="107">
        <f>K202</f>
        <v>-22979.72</v>
      </c>
      <c r="L41" s="107"/>
      <c r="M41" s="107"/>
      <c r="N41" s="107">
        <v>3279.4</v>
      </c>
    </row>
    <row r="42" spans="1:14">
      <c r="A42" s="64" t="s">
        <v>51</v>
      </c>
      <c r="B42" s="107">
        <f t="shared" ref="B42:M42" si="17">B213</f>
        <v>28898.79</v>
      </c>
      <c r="C42" s="107">
        <f t="shared" si="17"/>
        <v>28760.02</v>
      </c>
      <c r="D42" s="107">
        <f t="shared" si="17"/>
        <v>18387.000000000004</v>
      </c>
      <c r="E42" s="107">
        <f t="shared" si="17"/>
        <v>18891.75</v>
      </c>
      <c r="F42" s="107">
        <f t="shared" si="17"/>
        <v>27748.37</v>
      </c>
      <c r="G42" s="107">
        <f t="shared" si="17"/>
        <v>29510.68</v>
      </c>
      <c r="H42" s="107">
        <f t="shared" si="17"/>
        <v>23416.23</v>
      </c>
      <c r="I42" s="107">
        <f t="shared" si="17"/>
        <v>20569.060000000001</v>
      </c>
      <c r="J42" s="107">
        <f t="shared" si="17"/>
        <v>27839.82</v>
      </c>
      <c r="K42" s="107">
        <f t="shared" si="17"/>
        <v>38120.339999999989</v>
      </c>
      <c r="L42" s="107">
        <f t="shared" si="17"/>
        <v>22646.44</v>
      </c>
      <c r="M42" s="107">
        <f t="shared" si="17"/>
        <v>43037.439999999995</v>
      </c>
      <c r="N42" s="107">
        <v>327825.94</v>
      </c>
    </row>
    <row r="43" spans="1:14">
      <c r="A43" s="64" t="s">
        <v>52</v>
      </c>
      <c r="B43" s="107">
        <f t="shared" ref="B43:M43" si="18">B229</f>
        <v>51052.259999999995</v>
      </c>
      <c r="C43" s="107">
        <f t="shared" si="18"/>
        <v>52035.94999999999</v>
      </c>
      <c r="D43" s="107">
        <f t="shared" si="18"/>
        <v>56464.220000000008</v>
      </c>
      <c r="E43" s="107">
        <f t="shared" si="18"/>
        <v>53634.32</v>
      </c>
      <c r="F43" s="107">
        <f t="shared" si="18"/>
        <v>48457.86</v>
      </c>
      <c r="G43" s="107">
        <f t="shared" si="18"/>
        <v>49252.65</v>
      </c>
      <c r="H43" s="107">
        <f t="shared" si="18"/>
        <v>54099.040000000008</v>
      </c>
      <c r="I43" s="107">
        <f t="shared" si="18"/>
        <v>52582.979999999996</v>
      </c>
      <c r="J43" s="107">
        <f t="shared" si="18"/>
        <v>59032.6</v>
      </c>
      <c r="K43" s="107">
        <f t="shared" si="18"/>
        <v>56729.47</v>
      </c>
      <c r="L43" s="107">
        <f t="shared" si="18"/>
        <v>47608.139999999985</v>
      </c>
      <c r="M43" s="107">
        <f t="shared" si="18"/>
        <v>52056.790000000008</v>
      </c>
      <c r="N43" s="107">
        <v>633006.28</v>
      </c>
    </row>
    <row r="44" spans="1:14">
      <c r="A44" s="64" t="s">
        <v>53</v>
      </c>
      <c r="B44" s="107">
        <f t="shared" ref="B44:M44" si="19">B254</f>
        <v>99087.7</v>
      </c>
      <c r="C44" s="107">
        <f t="shared" si="19"/>
        <v>88553.82</v>
      </c>
      <c r="D44" s="107">
        <f t="shared" si="19"/>
        <v>87553.42</v>
      </c>
      <c r="E44" s="107">
        <f t="shared" si="19"/>
        <v>82389.670000000013</v>
      </c>
      <c r="F44" s="107">
        <f t="shared" si="19"/>
        <v>90542.43</v>
      </c>
      <c r="G44" s="107">
        <f t="shared" si="19"/>
        <v>87369.689999999988</v>
      </c>
      <c r="H44" s="107">
        <f t="shared" si="19"/>
        <v>91633.83</v>
      </c>
      <c r="I44" s="107">
        <f t="shared" si="19"/>
        <v>96394.91</v>
      </c>
      <c r="J44" s="107">
        <f t="shared" si="19"/>
        <v>95524.34</v>
      </c>
      <c r="K44" s="107">
        <f t="shared" si="19"/>
        <v>99842.21</v>
      </c>
      <c r="L44" s="107">
        <f t="shared" si="19"/>
        <v>102631.31</v>
      </c>
      <c r="M44" s="107">
        <f t="shared" si="19"/>
        <v>116240.20999999999</v>
      </c>
      <c r="N44" s="107">
        <v>1137763.54</v>
      </c>
    </row>
    <row r="45" spans="1:14">
      <c r="A45" s="64" t="s">
        <v>54</v>
      </c>
      <c r="B45" s="107">
        <f t="shared" ref="B45:M45" si="20">B271</f>
        <v>10256.74</v>
      </c>
      <c r="C45" s="107">
        <f t="shared" si="20"/>
        <v>7434.1799999999994</v>
      </c>
      <c r="D45" s="107">
        <f t="shared" si="20"/>
        <v>9423.56</v>
      </c>
      <c r="E45" s="107">
        <f t="shared" si="20"/>
        <v>4404.1499999999996</v>
      </c>
      <c r="F45" s="107">
        <f t="shared" si="20"/>
        <v>11054.26</v>
      </c>
      <c r="G45" s="107">
        <f t="shared" si="20"/>
        <v>8652.11</v>
      </c>
      <c r="H45" s="107">
        <f t="shared" si="20"/>
        <v>7857.37</v>
      </c>
      <c r="I45" s="107">
        <f t="shared" si="20"/>
        <v>9801.61</v>
      </c>
      <c r="J45" s="107">
        <f t="shared" si="20"/>
        <v>8543.3599999999988</v>
      </c>
      <c r="K45" s="107">
        <f t="shared" si="20"/>
        <v>11041.6</v>
      </c>
      <c r="L45" s="107">
        <f t="shared" si="20"/>
        <v>9589.6700000000019</v>
      </c>
      <c r="M45" s="107">
        <f t="shared" si="20"/>
        <v>9205.52</v>
      </c>
      <c r="N45" s="107">
        <v>107264.13</v>
      </c>
    </row>
    <row r="46" spans="1:14">
      <c r="A46" s="64" t="s">
        <v>55</v>
      </c>
      <c r="B46" s="107">
        <f t="shared" ref="B46:M46" si="21">B279</f>
        <v>763.56999999999994</v>
      </c>
      <c r="C46" s="107">
        <f t="shared" si="21"/>
        <v>1707.1000000000001</v>
      </c>
      <c r="D46" s="107">
        <f t="shared" si="21"/>
        <v>686.12</v>
      </c>
      <c r="E46" s="107">
        <f t="shared" si="21"/>
        <v>2627.98</v>
      </c>
      <c r="F46" s="107">
        <f t="shared" si="21"/>
        <v>1148.4299999999998</v>
      </c>
      <c r="G46" s="107">
        <f t="shared" si="21"/>
        <v>1020.6100000000001</v>
      </c>
      <c r="H46" s="107">
        <f t="shared" si="21"/>
        <v>4034.3900000000003</v>
      </c>
      <c r="I46" s="107">
        <f t="shared" si="21"/>
        <v>1884.45</v>
      </c>
      <c r="J46" s="107">
        <f t="shared" si="21"/>
        <v>1110.3599999999999</v>
      </c>
      <c r="K46" s="107">
        <f t="shared" si="21"/>
        <v>2014.22</v>
      </c>
      <c r="L46" s="107">
        <f t="shared" si="21"/>
        <v>1012.46</v>
      </c>
      <c r="M46" s="107">
        <f t="shared" si="21"/>
        <v>1210.95</v>
      </c>
      <c r="N46" s="107">
        <v>19220.64</v>
      </c>
    </row>
    <row r="47" spans="1:14">
      <c r="A47" s="64" t="s">
        <v>56</v>
      </c>
      <c r="B47" s="107">
        <f t="shared" ref="B47:M47" si="22">B289</f>
        <v>39405.9</v>
      </c>
      <c r="C47" s="107">
        <f t="shared" si="22"/>
        <v>39466.630000000005</v>
      </c>
      <c r="D47" s="107">
        <f t="shared" si="22"/>
        <v>39405.9</v>
      </c>
      <c r="E47" s="107">
        <f t="shared" si="22"/>
        <v>39405.9</v>
      </c>
      <c r="F47" s="107">
        <f t="shared" si="22"/>
        <v>48837.2</v>
      </c>
      <c r="G47" s="107">
        <f t="shared" si="22"/>
        <v>39557.57</v>
      </c>
      <c r="H47" s="107">
        <f t="shared" si="22"/>
        <v>39405.9</v>
      </c>
      <c r="I47" s="107">
        <f t="shared" si="22"/>
        <v>45554.400000000001</v>
      </c>
      <c r="J47" s="107">
        <f t="shared" si="22"/>
        <v>39460.9</v>
      </c>
      <c r="K47" s="107">
        <f t="shared" si="22"/>
        <v>42591.020000000004</v>
      </c>
      <c r="L47" s="107">
        <f t="shared" si="22"/>
        <v>39512.9</v>
      </c>
      <c r="M47" s="107">
        <f t="shared" si="22"/>
        <v>40285.9</v>
      </c>
      <c r="N47" s="107">
        <v>492890.12</v>
      </c>
    </row>
    <row r="48" spans="1:14">
      <c r="A48" s="64" t="s">
        <v>57</v>
      </c>
      <c r="B48" s="107">
        <f t="shared" ref="B48:M48" si="23">B294</f>
        <v>8262</v>
      </c>
      <c r="C48" s="107">
        <f t="shared" si="23"/>
        <v>12153</v>
      </c>
      <c r="D48" s="107">
        <f t="shared" si="23"/>
        <v>17196</v>
      </c>
      <c r="E48" s="107">
        <f t="shared" si="23"/>
        <v>8658</v>
      </c>
      <c r="F48" s="107">
        <f t="shared" si="23"/>
        <v>17080</v>
      </c>
      <c r="G48" s="107">
        <f t="shared" si="23"/>
        <v>17101</v>
      </c>
      <c r="H48" s="107">
        <f t="shared" si="23"/>
        <v>7987</v>
      </c>
      <c r="I48" s="107">
        <f t="shared" si="23"/>
        <v>20319</v>
      </c>
      <c r="J48" s="107">
        <f t="shared" si="23"/>
        <v>9193</v>
      </c>
      <c r="K48" s="107">
        <f t="shared" si="23"/>
        <v>14051</v>
      </c>
      <c r="L48" s="107">
        <f t="shared" si="23"/>
        <v>11127</v>
      </c>
      <c r="M48" s="107">
        <f t="shared" si="23"/>
        <v>21422</v>
      </c>
      <c r="N48" s="107">
        <v>164549</v>
      </c>
    </row>
    <row r="49" spans="1:14">
      <c r="A49" s="64" t="s">
        <v>58</v>
      </c>
      <c r="B49" s="107">
        <f t="shared" ref="B49:M49" si="24">B302</f>
        <v>10937.529999999999</v>
      </c>
      <c r="C49" s="107">
        <f t="shared" si="24"/>
        <v>10983.77</v>
      </c>
      <c r="D49" s="107">
        <f t="shared" si="24"/>
        <v>11034.5</v>
      </c>
      <c r="E49" s="107">
        <f t="shared" si="24"/>
        <v>13797.25</v>
      </c>
      <c r="F49" s="107">
        <f t="shared" si="24"/>
        <v>11034.5</v>
      </c>
      <c r="G49" s="107">
        <f t="shared" si="24"/>
        <v>11864.29</v>
      </c>
      <c r="H49" s="107">
        <f t="shared" si="24"/>
        <v>6804.66</v>
      </c>
      <c r="I49" s="107">
        <f t="shared" si="24"/>
        <v>6826.2</v>
      </c>
      <c r="J49" s="107">
        <f t="shared" si="24"/>
        <v>11551.43</v>
      </c>
      <c r="K49" s="107">
        <f t="shared" si="24"/>
        <v>9797.43</v>
      </c>
      <c r="L49" s="107">
        <f t="shared" si="24"/>
        <v>9797.43</v>
      </c>
      <c r="M49" s="107">
        <f t="shared" si="24"/>
        <v>9797.43</v>
      </c>
      <c r="N49" s="107">
        <v>124226.42</v>
      </c>
    </row>
    <row r="50" spans="1:14">
      <c r="A50" s="64" t="s">
        <v>59</v>
      </c>
      <c r="B50" s="107">
        <f t="shared" ref="B50:M50" si="25">B309</f>
        <v>5616.61</v>
      </c>
      <c r="C50" s="107">
        <f t="shared" si="25"/>
        <v>5909.88</v>
      </c>
      <c r="D50" s="107">
        <f t="shared" si="25"/>
        <v>5764.45</v>
      </c>
      <c r="E50" s="107">
        <f t="shared" si="25"/>
        <v>5725.2300000000005</v>
      </c>
      <c r="F50" s="107">
        <f t="shared" si="25"/>
        <v>5652.4900000000007</v>
      </c>
      <c r="G50" s="107">
        <f t="shared" si="25"/>
        <v>5652.4900000000007</v>
      </c>
      <c r="H50" s="107">
        <f t="shared" si="25"/>
        <v>5251.3499999999995</v>
      </c>
      <c r="I50" s="107">
        <f t="shared" si="25"/>
        <v>5328.86</v>
      </c>
      <c r="J50" s="107">
        <f t="shared" si="25"/>
        <v>6923.9800000000005</v>
      </c>
      <c r="K50" s="107">
        <f t="shared" si="25"/>
        <v>8356.24</v>
      </c>
      <c r="L50" s="107">
        <f t="shared" si="25"/>
        <v>6716.11</v>
      </c>
      <c r="M50" s="107">
        <f t="shared" si="25"/>
        <v>6899.24</v>
      </c>
      <c r="N50" s="107">
        <v>73796.929999999993</v>
      </c>
    </row>
    <row r="51" spans="1:14">
      <c r="A51" s="64" t="s">
        <v>60</v>
      </c>
      <c r="B51" s="107">
        <f t="shared" ref="B51:M51" si="26">B315</f>
        <v>29961.74</v>
      </c>
      <c r="C51" s="107">
        <f t="shared" si="26"/>
        <v>40408.450000000004</v>
      </c>
      <c r="D51" s="107">
        <f t="shared" si="26"/>
        <v>30697.650000000005</v>
      </c>
      <c r="E51" s="107">
        <f t="shared" si="26"/>
        <v>43100.990000000005</v>
      </c>
      <c r="F51" s="107">
        <f t="shared" si="26"/>
        <v>31400.720000000001</v>
      </c>
      <c r="G51" s="107">
        <f t="shared" si="26"/>
        <v>30765.59</v>
      </c>
      <c r="H51" s="107">
        <f t="shared" si="26"/>
        <v>30740.300000000003</v>
      </c>
      <c r="I51" s="107">
        <f t="shared" si="26"/>
        <v>30652.83</v>
      </c>
      <c r="J51" s="107">
        <f t="shared" si="26"/>
        <v>30683.660000000003</v>
      </c>
      <c r="K51" s="107">
        <f t="shared" si="26"/>
        <v>30885.74</v>
      </c>
      <c r="L51" s="107">
        <f t="shared" si="26"/>
        <v>31375.420000000002</v>
      </c>
      <c r="M51" s="107">
        <f t="shared" si="26"/>
        <v>33476.559999999998</v>
      </c>
      <c r="N51" s="107">
        <v>394149.65</v>
      </c>
    </row>
    <row r="52" spans="1:14">
      <c r="A52" s="64" t="s">
        <v>61</v>
      </c>
      <c r="B52" s="107">
        <f>B319</f>
        <v>277.56</v>
      </c>
      <c r="C52" s="107"/>
      <c r="D52" s="107">
        <f>D319</f>
        <v>142.5</v>
      </c>
      <c r="E52" s="107"/>
      <c r="F52" s="107">
        <f>F319</f>
        <v>-20009.46</v>
      </c>
      <c r="G52" s="107"/>
      <c r="H52" s="107"/>
      <c r="I52" s="107"/>
      <c r="J52" s="107"/>
      <c r="K52" s="107"/>
      <c r="L52" s="107"/>
      <c r="M52" s="107">
        <f>M319</f>
        <v>292.19</v>
      </c>
      <c r="N52" s="107">
        <v>-19297.21</v>
      </c>
    </row>
    <row r="53" spans="1:14">
      <c r="A53" s="64"/>
      <c r="B53" s="22"/>
      <c r="C53" s="22"/>
      <c r="D53" s="22"/>
      <c r="E53" s="22"/>
      <c r="F53" s="22"/>
      <c r="G53" s="22"/>
      <c r="H53" s="22"/>
      <c r="I53" s="22"/>
      <c r="J53" s="22"/>
      <c r="K53" s="22"/>
      <c r="L53" s="22"/>
      <c r="M53" s="22"/>
      <c r="N53" s="22"/>
    </row>
    <row r="54" spans="1:14" ht="15.75" thickBot="1">
      <c r="A54" s="64" t="s">
        <v>62</v>
      </c>
      <c r="B54" s="112">
        <f t="shared" ref="B54:M54" si="27">B321</f>
        <v>457835.79000000044</v>
      </c>
      <c r="C54" s="112">
        <f t="shared" si="27"/>
        <v>454457.95999999967</v>
      </c>
      <c r="D54" s="112">
        <f t="shared" si="27"/>
        <v>433911.24999999994</v>
      </c>
      <c r="E54" s="112">
        <f t="shared" si="27"/>
        <v>421095.56000000017</v>
      </c>
      <c r="F54" s="112">
        <f t="shared" si="27"/>
        <v>376563.55999999976</v>
      </c>
      <c r="G54" s="112">
        <f t="shared" si="27"/>
        <v>441616.06999999977</v>
      </c>
      <c r="H54" s="112">
        <f t="shared" si="27"/>
        <v>415527.06999999989</v>
      </c>
      <c r="I54" s="112">
        <f t="shared" si="27"/>
        <v>455601.33999999973</v>
      </c>
      <c r="J54" s="112">
        <f t="shared" si="27"/>
        <v>490704.76000000013</v>
      </c>
      <c r="K54" s="112">
        <f t="shared" si="27"/>
        <v>478411.83000000037</v>
      </c>
      <c r="L54" s="112">
        <f t="shared" si="27"/>
        <v>472680.2200000002</v>
      </c>
      <c r="M54" s="112">
        <f t="shared" si="27"/>
        <v>510262.91999999969</v>
      </c>
      <c r="N54" s="112">
        <v>5408668.3300000001</v>
      </c>
    </row>
    <row r="55" spans="1:14" ht="15.75" thickTop="1">
      <c r="A55" s="64"/>
      <c r="B55" s="22"/>
      <c r="C55" s="22"/>
      <c r="D55" s="22"/>
      <c r="E55" s="22"/>
      <c r="F55" s="22"/>
      <c r="G55" s="22"/>
      <c r="H55" s="22"/>
      <c r="I55" s="22"/>
      <c r="J55" s="22"/>
      <c r="K55" s="22"/>
      <c r="L55" s="22"/>
      <c r="M55" s="22"/>
      <c r="N55" s="22"/>
    </row>
    <row r="56" spans="1:14" ht="15.75" thickBot="1">
      <c r="A56" s="64" t="s">
        <v>63</v>
      </c>
      <c r="B56" s="112">
        <f t="shared" ref="B56:M56" si="28">B323</f>
        <v>-32848.480000001029</v>
      </c>
      <c r="C56" s="112">
        <f t="shared" si="28"/>
        <v>48026.870000000345</v>
      </c>
      <c r="D56" s="112">
        <f t="shared" si="28"/>
        <v>36086.129999999423</v>
      </c>
      <c r="E56" s="112">
        <f t="shared" si="28"/>
        <v>28484.919999999634</v>
      </c>
      <c r="F56" s="112">
        <f t="shared" si="28"/>
        <v>67959.820000000647</v>
      </c>
      <c r="G56" s="112">
        <f t="shared" si="28"/>
        <v>33396.520000000542</v>
      </c>
      <c r="H56" s="112">
        <f t="shared" si="28"/>
        <v>24662.540000000212</v>
      </c>
      <c r="I56" s="112">
        <f t="shared" si="28"/>
        <v>5046.9900000004563</v>
      </c>
      <c r="J56" s="112">
        <f t="shared" si="28"/>
        <v>25593.629999999888</v>
      </c>
      <c r="K56" s="112">
        <f t="shared" si="28"/>
        <v>61499.889999999956</v>
      </c>
      <c r="L56" s="112">
        <f t="shared" si="28"/>
        <v>31802.790000000154</v>
      </c>
      <c r="M56" s="112">
        <f t="shared" si="28"/>
        <v>194499.06000000122</v>
      </c>
      <c r="N56" s="112">
        <v>524210.68</v>
      </c>
    </row>
    <row r="57" spans="1:14" ht="15.75" thickTop="1">
      <c r="A57" s="64"/>
      <c r="B57" s="22"/>
      <c r="C57" s="22"/>
      <c r="D57" s="22"/>
      <c r="E57" s="22"/>
      <c r="F57" s="22"/>
      <c r="G57" s="22"/>
      <c r="H57" s="22"/>
      <c r="I57" s="22"/>
      <c r="J57" s="22"/>
      <c r="K57" s="22"/>
      <c r="L57" s="22"/>
      <c r="M57" s="22"/>
      <c r="N57" s="22"/>
    </row>
    <row r="58" spans="1:14" ht="15.75" thickBot="1">
      <c r="A58" s="64" t="s">
        <v>64</v>
      </c>
      <c r="B58" s="112">
        <f t="shared" ref="B58:M58" si="29">B326</f>
        <v>11842.38</v>
      </c>
      <c r="C58" s="112">
        <f t="shared" si="29"/>
        <v>23850.240000000002</v>
      </c>
      <c r="D58" s="112">
        <f t="shared" si="29"/>
        <v>16618.62</v>
      </c>
      <c r="E58" s="112">
        <f t="shared" si="29"/>
        <v>16451.05</v>
      </c>
      <c r="F58" s="112">
        <f t="shared" si="29"/>
        <v>88689.5</v>
      </c>
      <c r="G58" s="112">
        <f t="shared" si="29"/>
        <v>10025.07</v>
      </c>
      <c r="H58" s="112">
        <f t="shared" si="29"/>
        <v>40866.25</v>
      </c>
      <c r="I58" s="112">
        <f t="shared" si="29"/>
        <v>85131.94</v>
      </c>
      <c r="J58" s="112">
        <f t="shared" si="29"/>
        <v>55103.32</v>
      </c>
      <c r="K58" s="112">
        <f t="shared" si="29"/>
        <v>51800.480000000003</v>
      </c>
      <c r="L58" s="112">
        <f t="shared" si="29"/>
        <v>45850.26</v>
      </c>
      <c r="M58" s="112">
        <f t="shared" si="29"/>
        <v>51198.55</v>
      </c>
      <c r="N58" s="112">
        <v>497427.66</v>
      </c>
    </row>
    <row r="59" spans="1:14" ht="15.75" thickTop="1">
      <c r="A59" s="64"/>
      <c r="B59" s="22"/>
      <c r="C59" s="22"/>
      <c r="D59" s="22"/>
      <c r="E59" s="22"/>
      <c r="F59" s="22"/>
      <c r="G59" s="22"/>
      <c r="H59" s="22"/>
      <c r="I59" s="22"/>
      <c r="J59" s="22"/>
      <c r="K59" s="22"/>
      <c r="L59" s="22"/>
      <c r="M59" s="22"/>
      <c r="N59" s="22"/>
    </row>
    <row r="60" spans="1:14" ht="15.75" thickBot="1">
      <c r="A60" s="64" t="s">
        <v>22</v>
      </c>
      <c r="B60" s="112">
        <f t="shared" ref="B60:M60" si="30">B328</f>
        <v>-44690.860000001026</v>
      </c>
      <c r="C60" s="112">
        <f t="shared" si="30"/>
        <v>24176.630000000343</v>
      </c>
      <c r="D60" s="112">
        <f t="shared" si="30"/>
        <v>19467.509999999424</v>
      </c>
      <c r="E60" s="112">
        <f t="shared" si="30"/>
        <v>12033.869999999635</v>
      </c>
      <c r="F60" s="112">
        <f t="shared" si="30"/>
        <v>-20729.679999999353</v>
      </c>
      <c r="G60" s="112">
        <f t="shared" si="30"/>
        <v>23371.450000000543</v>
      </c>
      <c r="H60" s="112">
        <f t="shared" si="30"/>
        <v>-16203.709999999788</v>
      </c>
      <c r="I60" s="112">
        <f t="shared" si="30"/>
        <v>-80084.949999999546</v>
      </c>
      <c r="J60" s="112">
        <f t="shared" si="30"/>
        <v>-29509.690000000111</v>
      </c>
      <c r="K60" s="112">
        <f t="shared" si="30"/>
        <v>9699.4099999999526</v>
      </c>
      <c r="L60" s="112">
        <f t="shared" si="30"/>
        <v>-14047.469999999848</v>
      </c>
      <c r="M60" s="112">
        <f t="shared" si="30"/>
        <v>143300.51000000123</v>
      </c>
      <c r="N60" s="112">
        <v>26783.02</v>
      </c>
    </row>
    <row r="61" spans="1:14" ht="15.75" thickTop="1">
      <c r="A61" s="64"/>
      <c r="B61" s="22"/>
      <c r="C61" s="22"/>
      <c r="D61" s="22"/>
      <c r="E61" s="22"/>
      <c r="F61" s="22"/>
      <c r="G61" s="22"/>
      <c r="H61" s="22"/>
      <c r="I61" s="22"/>
      <c r="J61" s="22"/>
      <c r="K61" s="22"/>
      <c r="L61" s="22"/>
      <c r="M61" s="22"/>
      <c r="N61" s="22"/>
    </row>
    <row r="62" spans="1:14">
      <c r="A62" s="64" t="s">
        <v>40</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41</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65</v>
      </c>
      <c r="B66" s="22"/>
      <c r="C66" s="22"/>
      <c r="D66" s="22"/>
      <c r="E66" s="22"/>
      <c r="F66" s="22"/>
      <c r="G66" s="22"/>
      <c r="H66" s="22"/>
      <c r="I66" s="22"/>
      <c r="J66" s="22"/>
      <c r="K66" s="22"/>
      <c r="L66" s="22"/>
      <c r="M66" s="22"/>
      <c r="N66" s="22"/>
    </row>
    <row r="67" spans="1:14">
      <c r="A67" s="64" t="s">
        <v>66</v>
      </c>
      <c r="B67" s="111">
        <v>210848.99</v>
      </c>
      <c r="C67" s="111">
        <v>204706.45</v>
      </c>
      <c r="D67" s="111">
        <v>199135.42</v>
      </c>
      <c r="E67" s="111">
        <v>212308.62</v>
      </c>
      <c r="F67" s="111">
        <v>203864.04</v>
      </c>
      <c r="G67" s="111">
        <v>203512.45</v>
      </c>
      <c r="H67" s="111">
        <v>172634.68</v>
      </c>
      <c r="I67" s="111">
        <v>194140.68</v>
      </c>
      <c r="J67" s="111">
        <v>198673.01</v>
      </c>
      <c r="K67" s="111">
        <v>185751.88</v>
      </c>
      <c r="L67" s="111">
        <v>176233.44</v>
      </c>
      <c r="M67" s="111">
        <v>188931.13</v>
      </c>
      <c r="N67" s="111">
        <v>2350740.79</v>
      </c>
    </row>
    <row r="68" spans="1:14">
      <c r="A68" s="64" t="s">
        <v>67</v>
      </c>
      <c r="B68" s="107">
        <f t="shared" ref="B68:M68" si="31">SUM(B64:B67)</f>
        <v>210848.99</v>
      </c>
      <c r="C68" s="107">
        <f t="shared" si="31"/>
        <v>204706.45</v>
      </c>
      <c r="D68" s="107">
        <f t="shared" si="31"/>
        <v>199135.42</v>
      </c>
      <c r="E68" s="107">
        <f t="shared" si="31"/>
        <v>212308.62</v>
      </c>
      <c r="F68" s="107">
        <f t="shared" si="31"/>
        <v>203864.04</v>
      </c>
      <c r="G68" s="107">
        <f t="shared" si="31"/>
        <v>203512.45</v>
      </c>
      <c r="H68" s="107">
        <f t="shared" si="31"/>
        <v>172634.68</v>
      </c>
      <c r="I68" s="107">
        <f t="shared" si="31"/>
        <v>194140.68</v>
      </c>
      <c r="J68" s="107">
        <f t="shared" si="31"/>
        <v>198673.01</v>
      </c>
      <c r="K68" s="107">
        <f t="shared" si="31"/>
        <v>185751.88</v>
      </c>
      <c r="L68" s="107">
        <f t="shared" si="31"/>
        <v>176233.44</v>
      </c>
      <c r="M68" s="107">
        <f t="shared" si="31"/>
        <v>188931.13</v>
      </c>
      <c r="N68" s="107">
        <v>2350740.79</v>
      </c>
    </row>
    <row r="69" spans="1:14">
      <c r="A69" s="64"/>
      <c r="B69" s="22"/>
      <c r="C69" s="22"/>
      <c r="D69" s="22"/>
      <c r="E69" s="22"/>
      <c r="F69" s="22"/>
      <c r="G69" s="22"/>
      <c r="H69" s="22"/>
      <c r="I69" s="22"/>
      <c r="J69" s="22"/>
      <c r="K69" s="22"/>
      <c r="L69" s="22"/>
      <c r="M69" s="22"/>
      <c r="N69" s="22"/>
    </row>
    <row r="70" spans="1:14">
      <c r="A70" s="64" t="s">
        <v>68</v>
      </c>
      <c r="B70" s="22"/>
      <c r="C70" s="22"/>
      <c r="D70" s="22"/>
      <c r="E70" s="22"/>
      <c r="F70" s="22"/>
      <c r="G70" s="22"/>
      <c r="H70" s="22"/>
      <c r="I70" s="22"/>
      <c r="J70" s="22"/>
      <c r="K70" s="22"/>
      <c r="L70" s="22"/>
      <c r="M70" s="22"/>
      <c r="N70" s="22"/>
    </row>
    <row r="71" spans="1:14">
      <c r="A71" s="64" t="s">
        <v>66</v>
      </c>
      <c r="B71" s="113"/>
      <c r="C71" s="111">
        <v>1393.92</v>
      </c>
      <c r="D71" s="111">
        <v>6350.08</v>
      </c>
      <c r="E71" s="111">
        <v>1554.6</v>
      </c>
      <c r="F71" s="111">
        <v>1388.2</v>
      </c>
      <c r="G71" s="111">
        <v>3097.89</v>
      </c>
      <c r="H71" s="113"/>
      <c r="I71" s="111">
        <v>3240.72</v>
      </c>
      <c r="J71" s="111">
        <v>6018.48</v>
      </c>
      <c r="K71" s="111">
        <v>14453.24</v>
      </c>
      <c r="L71" s="111">
        <v>6172.8</v>
      </c>
      <c r="M71" s="113"/>
      <c r="N71" s="111">
        <v>43669.93</v>
      </c>
    </row>
    <row r="72" spans="1:14">
      <c r="A72" s="64" t="s">
        <v>69</v>
      </c>
      <c r="B72" s="107"/>
      <c r="C72" s="107">
        <f>SUM(C69:C71)</f>
        <v>1393.92</v>
      </c>
      <c r="D72" s="107">
        <f>SUM(D69:D71)</f>
        <v>6350.08</v>
      </c>
      <c r="E72" s="107">
        <f>SUM(E69:E71)</f>
        <v>1554.6</v>
      </c>
      <c r="F72" s="107">
        <f>SUM(F69:F71)</f>
        <v>1388.2</v>
      </c>
      <c r="G72" s="107">
        <f>SUM(G69:G71)</f>
        <v>3097.89</v>
      </c>
      <c r="H72" s="107"/>
      <c r="I72" s="107">
        <f>SUM(I69:I71)</f>
        <v>3240.72</v>
      </c>
      <c r="J72" s="107">
        <f>SUM(J69:J71)</f>
        <v>6018.48</v>
      </c>
      <c r="K72" s="107">
        <f>SUM(K69:K71)</f>
        <v>14453.24</v>
      </c>
      <c r="L72" s="107">
        <f>SUM(L69:L71)</f>
        <v>6172.8</v>
      </c>
      <c r="M72" s="107"/>
      <c r="N72" s="107">
        <v>43669.93</v>
      </c>
    </row>
    <row r="73" spans="1:14">
      <c r="A73" s="64"/>
      <c r="B73" s="22"/>
      <c r="C73" s="22"/>
      <c r="D73" s="22"/>
      <c r="E73" s="22"/>
      <c r="F73" s="22"/>
      <c r="G73" s="22"/>
      <c r="H73" s="22"/>
      <c r="I73" s="22"/>
      <c r="J73" s="22"/>
      <c r="K73" s="22"/>
      <c r="L73" s="22"/>
      <c r="M73" s="22"/>
      <c r="N73" s="22"/>
    </row>
    <row r="74" spans="1:14">
      <c r="A74" s="64" t="s">
        <v>70</v>
      </c>
      <c r="B74" s="22"/>
      <c r="C74" s="22"/>
      <c r="D74" s="22"/>
      <c r="E74" s="22"/>
      <c r="F74" s="22"/>
      <c r="G74" s="22"/>
      <c r="H74" s="22"/>
      <c r="I74" s="22"/>
      <c r="J74" s="22"/>
      <c r="K74" s="22"/>
      <c r="L74" s="22"/>
      <c r="M74" s="22"/>
      <c r="N74" s="22"/>
    </row>
    <row r="75" spans="1:14">
      <c r="A75" s="64" t="s">
        <v>66</v>
      </c>
      <c r="B75" s="111">
        <v>123460.91</v>
      </c>
      <c r="C75" s="111">
        <v>112788.52</v>
      </c>
      <c r="D75" s="111">
        <v>171761.6</v>
      </c>
      <c r="E75" s="111">
        <v>156963.51</v>
      </c>
      <c r="F75" s="111">
        <v>202118.69</v>
      </c>
      <c r="G75" s="111">
        <v>143418.51999999999</v>
      </c>
      <c r="H75" s="111">
        <v>135900.54999999999</v>
      </c>
      <c r="I75" s="111">
        <v>101135.84</v>
      </c>
      <c r="J75" s="111">
        <v>173699.97</v>
      </c>
      <c r="K75" s="111">
        <v>191174.5</v>
      </c>
      <c r="L75" s="111">
        <v>155179.37</v>
      </c>
      <c r="M75" s="111">
        <v>355721.89</v>
      </c>
      <c r="N75" s="111">
        <v>2023323.87</v>
      </c>
    </row>
    <row r="76" spans="1:14">
      <c r="A76" s="64" t="s">
        <v>71</v>
      </c>
      <c r="B76" s="107">
        <f t="shared" ref="B76:M76" si="32">SUM(B73:B75)</f>
        <v>123460.91</v>
      </c>
      <c r="C76" s="107">
        <f t="shared" si="32"/>
        <v>112788.52</v>
      </c>
      <c r="D76" s="107">
        <f t="shared" si="32"/>
        <v>171761.6</v>
      </c>
      <c r="E76" s="107">
        <f t="shared" si="32"/>
        <v>156963.51</v>
      </c>
      <c r="F76" s="107">
        <f t="shared" si="32"/>
        <v>202118.69</v>
      </c>
      <c r="G76" s="107">
        <f t="shared" si="32"/>
        <v>143418.51999999999</v>
      </c>
      <c r="H76" s="107">
        <f t="shared" si="32"/>
        <v>135900.54999999999</v>
      </c>
      <c r="I76" s="107">
        <f t="shared" si="32"/>
        <v>101135.84</v>
      </c>
      <c r="J76" s="107">
        <f t="shared" si="32"/>
        <v>173699.97</v>
      </c>
      <c r="K76" s="107">
        <f t="shared" si="32"/>
        <v>191174.5</v>
      </c>
      <c r="L76" s="107">
        <f t="shared" si="32"/>
        <v>155179.37</v>
      </c>
      <c r="M76" s="107">
        <f t="shared" si="32"/>
        <v>355721.89</v>
      </c>
      <c r="N76" s="107">
        <v>2023323.87</v>
      </c>
    </row>
    <row r="77" spans="1:14">
      <c r="A77" s="64"/>
      <c r="B77" s="22"/>
      <c r="C77" s="22"/>
      <c r="D77" s="22"/>
      <c r="E77" s="22"/>
      <c r="F77" s="22"/>
      <c r="G77" s="22"/>
      <c r="H77" s="22"/>
      <c r="I77" s="22"/>
      <c r="J77" s="22"/>
      <c r="K77" s="22"/>
      <c r="L77" s="22"/>
      <c r="M77" s="22"/>
      <c r="N77" s="22"/>
    </row>
    <row r="78" spans="1:14">
      <c r="A78" s="64" t="s">
        <v>72</v>
      </c>
      <c r="B78" s="113"/>
      <c r="C78" s="113"/>
      <c r="D78" s="113"/>
      <c r="E78" s="113"/>
      <c r="F78" s="113"/>
      <c r="G78" s="113"/>
      <c r="H78" s="113"/>
      <c r="I78" s="113"/>
      <c r="J78" s="113"/>
      <c r="K78" s="113"/>
      <c r="L78" s="113"/>
      <c r="M78" s="113"/>
      <c r="N78" s="113"/>
    </row>
    <row r="79" spans="1:14">
      <c r="A79" s="64" t="s">
        <v>314</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73</v>
      </c>
      <c r="B81" s="22"/>
      <c r="C81" s="22"/>
      <c r="D81" s="22"/>
      <c r="E81" s="22"/>
      <c r="F81" s="22"/>
      <c r="G81" s="22"/>
      <c r="H81" s="22"/>
      <c r="I81" s="22"/>
      <c r="J81" s="22"/>
      <c r="K81" s="22"/>
      <c r="L81" s="22"/>
      <c r="M81" s="22"/>
      <c r="N81" s="22"/>
    </row>
    <row r="82" spans="1:14">
      <c r="A82" s="64" t="s">
        <v>66</v>
      </c>
      <c r="B82" s="111">
        <v>12735.01</v>
      </c>
      <c r="C82" s="111">
        <v>29048.720000000001</v>
      </c>
      <c r="D82" s="111">
        <v>19440.509999999998</v>
      </c>
      <c r="E82" s="111">
        <v>3700</v>
      </c>
      <c r="F82" s="111">
        <v>8239.34</v>
      </c>
      <c r="G82" s="111">
        <v>31548.34</v>
      </c>
      <c r="H82" s="111">
        <v>33708.11</v>
      </c>
      <c r="I82" s="111">
        <v>21342.15</v>
      </c>
      <c r="J82" s="111">
        <v>11066.87</v>
      </c>
      <c r="K82" s="111">
        <v>32152.2</v>
      </c>
      <c r="L82" s="111">
        <v>43685.27</v>
      </c>
      <c r="M82" s="111">
        <v>53950.11</v>
      </c>
      <c r="N82" s="111">
        <v>300616.63</v>
      </c>
    </row>
    <row r="83" spans="1:14">
      <c r="A83" s="64" t="s">
        <v>74</v>
      </c>
      <c r="B83" s="107">
        <f t="shared" ref="B83:M83" si="33">SUM(B80:B82)</f>
        <v>12735.01</v>
      </c>
      <c r="C83" s="107">
        <f t="shared" si="33"/>
        <v>29048.720000000001</v>
      </c>
      <c r="D83" s="107">
        <f t="shared" si="33"/>
        <v>19440.509999999998</v>
      </c>
      <c r="E83" s="107">
        <f t="shared" si="33"/>
        <v>3700</v>
      </c>
      <c r="F83" s="107">
        <f t="shared" si="33"/>
        <v>8239.34</v>
      </c>
      <c r="G83" s="107">
        <f t="shared" si="33"/>
        <v>31548.34</v>
      </c>
      <c r="H83" s="107">
        <f t="shared" si="33"/>
        <v>33708.11</v>
      </c>
      <c r="I83" s="107">
        <f t="shared" si="33"/>
        <v>21342.15</v>
      </c>
      <c r="J83" s="107">
        <f t="shared" si="33"/>
        <v>11066.87</v>
      </c>
      <c r="K83" s="107">
        <f t="shared" si="33"/>
        <v>32152.2</v>
      </c>
      <c r="L83" s="107">
        <f t="shared" si="33"/>
        <v>43685.27</v>
      </c>
      <c r="M83" s="107">
        <f t="shared" si="33"/>
        <v>53950.11</v>
      </c>
      <c r="N83" s="107">
        <v>300616.63</v>
      </c>
    </row>
    <row r="84" spans="1:14">
      <c r="A84" s="64"/>
      <c r="B84" s="22"/>
      <c r="C84" s="22"/>
      <c r="D84" s="22"/>
      <c r="E84" s="22"/>
      <c r="F84" s="22"/>
      <c r="G84" s="22"/>
      <c r="H84" s="22"/>
      <c r="I84" s="22"/>
      <c r="J84" s="22"/>
      <c r="K84" s="22"/>
      <c r="L84" s="22"/>
      <c r="M84" s="22"/>
      <c r="N84" s="22"/>
    </row>
    <row r="85" spans="1:14">
      <c r="A85" s="64" t="s">
        <v>75</v>
      </c>
      <c r="B85" s="22"/>
      <c r="C85" s="22"/>
      <c r="D85" s="22"/>
      <c r="E85" s="22"/>
      <c r="F85" s="22"/>
      <c r="G85" s="22"/>
      <c r="H85" s="22"/>
      <c r="I85" s="22"/>
      <c r="J85" s="22"/>
      <c r="K85" s="22"/>
      <c r="L85" s="22"/>
      <c r="M85" s="22"/>
      <c r="N85" s="22"/>
    </row>
    <row r="86" spans="1:14">
      <c r="A86" s="64" t="s">
        <v>66</v>
      </c>
      <c r="B86" s="111">
        <v>42486</v>
      </c>
      <c r="C86" s="111">
        <v>36666</v>
      </c>
      <c r="D86" s="111">
        <v>37830</v>
      </c>
      <c r="E86" s="111">
        <v>39188</v>
      </c>
      <c r="F86" s="111">
        <v>42680</v>
      </c>
      <c r="G86" s="111">
        <v>54977</v>
      </c>
      <c r="H86" s="111">
        <v>54398</v>
      </c>
      <c r="I86" s="111">
        <v>41414</v>
      </c>
      <c r="J86" s="111">
        <v>49848</v>
      </c>
      <c r="K86" s="111">
        <v>50985</v>
      </c>
      <c r="L86" s="111">
        <v>45264</v>
      </c>
      <c r="M86" s="111">
        <v>48800</v>
      </c>
      <c r="N86" s="111">
        <v>544536</v>
      </c>
    </row>
    <row r="87" spans="1:14">
      <c r="A87" s="64" t="s">
        <v>76</v>
      </c>
      <c r="B87" s="107">
        <f t="shared" ref="B87:M87" si="34">SUM(B84:B86)</f>
        <v>42486</v>
      </c>
      <c r="C87" s="107">
        <f t="shared" si="34"/>
        <v>36666</v>
      </c>
      <c r="D87" s="107">
        <f t="shared" si="34"/>
        <v>37830</v>
      </c>
      <c r="E87" s="107">
        <f t="shared" si="34"/>
        <v>39188</v>
      </c>
      <c r="F87" s="107">
        <f t="shared" si="34"/>
        <v>42680</v>
      </c>
      <c r="G87" s="107">
        <f t="shared" si="34"/>
        <v>54977</v>
      </c>
      <c r="H87" s="107">
        <f t="shared" si="34"/>
        <v>54398</v>
      </c>
      <c r="I87" s="107">
        <f t="shared" si="34"/>
        <v>41414</v>
      </c>
      <c r="J87" s="107">
        <f t="shared" si="34"/>
        <v>49848</v>
      </c>
      <c r="K87" s="107">
        <f t="shared" si="34"/>
        <v>50985</v>
      </c>
      <c r="L87" s="107">
        <f t="shared" si="34"/>
        <v>45264</v>
      </c>
      <c r="M87" s="107">
        <f t="shared" si="34"/>
        <v>48800</v>
      </c>
      <c r="N87" s="107">
        <v>544536</v>
      </c>
    </row>
    <row r="88" spans="1:14">
      <c r="A88" s="64"/>
      <c r="B88" s="113"/>
      <c r="C88" s="113"/>
      <c r="D88" s="113"/>
      <c r="E88" s="113"/>
      <c r="F88" s="113"/>
      <c r="G88" s="113"/>
      <c r="H88" s="113"/>
      <c r="I88" s="113"/>
      <c r="J88" s="113"/>
      <c r="K88" s="113"/>
      <c r="L88" s="113"/>
      <c r="M88" s="113"/>
      <c r="N88" s="113"/>
    </row>
    <row r="89" spans="1:14">
      <c r="A89" s="64" t="s">
        <v>42</v>
      </c>
      <c r="B89" s="107">
        <f t="shared" ref="B89:M89" si="35">SUM(B66:B88)-B68-B72-B76-B79-B83-B87</f>
        <v>389530.91000000003</v>
      </c>
      <c r="C89" s="107">
        <f t="shared" si="35"/>
        <v>384603.61</v>
      </c>
      <c r="D89" s="107">
        <f t="shared" si="35"/>
        <v>434517.6100000001</v>
      </c>
      <c r="E89" s="107">
        <f t="shared" si="35"/>
        <v>413714.73</v>
      </c>
      <c r="F89" s="107">
        <f t="shared" si="35"/>
        <v>458290.27</v>
      </c>
      <c r="G89" s="107">
        <f t="shared" si="35"/>
        <v>436554.1999999999</v>
      </c>
      <c r="H89" s="107">
        <f t="shared" si="35"/>
        <v>396641.34</v>
      </c>
      <c r="I89" s="107">
        <f t="shared" si="35"/>
        <v>361273.3899999999</v>
      </c>
      <c r="J89" s="107">
        <f t="shared" si="35"/>
        <v>439306.32999999996</v>
      </c>
      <c r="K89" s="107">
        <f t="shared" si="35"/>
        <v>474516.81999999995</v>
      </c>
      <c r="L89" s="107">
        <f t="shared" si="35"/>
        <v>426534.88</v>
      </c>
      <c r="M89" s="107">
        <f t="shared" si="35"/>
        <v>647403.13000000035</v>
      </c>
      <c r="N89" s="107">
        <v>5262887.22</v>
      </c>
    </row>
    <row r="90" spans="1:14">
      <c r="A90" s="64"/>
      <c r="B90" s="22"/>
      <c r="C90" s="22"/>
      <c r="D90" s="22"/>
      <c r="E90" s="22"/>
      <c r="F90" s="22"/>
      <c r="G90" s="22"/>
      <c r="H90" s="22"/>
      <c r="I90" s="22"/>
      <c r="J90" s="22"/>
      <c r="K90" s="22"/>
      <c r="L90" s="22"/>
      <c r="M90" s="22"/>
      <c r="N90" s="22"/>
    </row>
    <row r="91" spans="1:14">
      <c r="A91" s="64" t="s">
        <v>43</v>
      </c>
      <c r="B91" s="22"/>
      <c r="C91" s="22"/>
      <c r="D91" s="22"/>
      <c r="E91" s="22"/>
      <c r="F91" s="22"/>
      <c r="G91" s="22"/>
      <c r="H91" s="22"/>
      <c r="I91" s="22"/>
      <c r="J91" s="22"/>
      <c r="K91" s="22"/>
      <c r="L91" s="22"/>
      <c r="M91" s="22"/>
      <c r="N91" s="22"/>
    </row>
    <row r="92" spans="1:14">
      <c r="A92" s="64"/>
      <c r="B92" s="22"/>
      <c r="C92" s="22"/>
      <c r="D92" s="22"/>
      <c r="E92" s="22"/>
      <c r="F92" s="22"/>
      <c r="G92" s="22"/>
      <c r="H92" s="22"/>
      <c r="I92" s="22"/>
      <c r="J92" s="22"/>
      <c r="K92" s="22"/>
      <c r="L92" s="22"/>
      <c r="M92" s="22"/>
      <c r="N92" s="22"/>
    </row>
    <row r="93" spans="1:14">
      <c r="A93" s="64" t="s">
        <v>65</v>
      </c>
      <c r="B93" s="22"/>
      <c r="C93" s="22"/>
      <c r="D93" s="22"/>
      <c r="E93" s="22"/>
      <c r="F93" s="22"/>
      <c r="G93" s="22"/>
      <c r="H93" s="22"/>
      <c r="I93" s="22"/>
      <c r="J93" s="22"/>
      <c r="K93" s="22"/>
      <c r="L93" s="22"/>
      <c r="M93" s="22"/>
      <c r="N93" s="22"/>
    </row>
    <row r="94" spans="1:14">
      <c r="A94" s="64" t="s">
        <v>66</v>
      </c>
      <c r="B94" s="111">
        <v>-6025.84</v>
      </c>
      <c r="C94" s="111">
        <v>-4801.28</v>
      </c>
      <c r="D94" s="111">
        <v>-1237.3699999999999</v>
      </c>
      <c r="E94" s="111">
        <v>-513.25</v>
      </c>
      <c r="F94" s="111"/>
      <c r="G94" s="113"/>
      <c r="H94" s="111"/>
      <c r="I94" s="111">
        <v>564.65</v>
      </c>
      <c r="J94" s="113"/>
      <c r="K94" s="111">
        <v>-68.83</v>
      </c>
      <c r="L94" s="111"/>
      <c r="M94" s="111">
        <v>0.08</v>
      </c>
      <c r="N94" s="111">
        <v>-12081.84</v>
      </c>
    </row>
    <row r="95" spans="1:14">
      <c r="A95" s="64" t="s">
        <v>67</v>
      </c>
      <c r="B95" s="107">
        <f>SUM(B93:B94)</f>
        <v>-6025.84</v>
      </c>
      <c r="C95" s="107">
        <f>SUM(C93:C94)</f>
        <v>-4801.28</v>
      </c>
      <c r="D95" s="107">
        <f>SUM(D93:D94)</f>
        <v>-1237.3699999999999</v>
      </c>
      <c r="E95" s="107">
        <f>SUM(E93:E94)</f>
        <v>-513.25</v>
      </c>
      <c r="F95" s="107"/>
      <c r="G95" s="107"/>
      <c r="H95" s="107"/>
      <c r="I95" s="107">
        <f>SUM(I93:I94)</f>
        <v>564.65</v>
      </c>
      <c r="J95" s="107"/>
      <c r="K95" s="107">
        <f>SUM(K93:K94)</f>
        <v>-68.83</v>
      </c>
      <c r="L95" s="107"/>
      <c r="M95" s="107">
        <f>SUM(M93:M94)</f>
        <v>0.08</v>
      </c>
      <c r="N95" s="107">
        <v>-12081.84</v>
      </c>
    </row>
    <row r="96" spans="1:14">
      <c r="A96" s="64"/>
      <c r="B96" s="22"/>
      <c r="C96" s="22"/>
      <c r="D96" s="22"/>
      <c r="E96" s="22"/>
      <c r="F96" s="22"/>
      <c r="G96" s="22"/>
      <c r="H96" s="22"/>
      <c r="I96" s="22"/>
      <c r="J96" s="22"/>
      <c r="K96" s="22"/>
      <c r="L96" s="22"/>
      <c r="M96" s="22"/>
      <c r="N96" s="22"/>
    </row>
    <row r="97" spans="1:14">
      <c r="A97" s="64" t="s">
        <v>68</v>
      </c>
      <c r="B97" s="22"/>
      <c r="C97" s="22"/>
      <c r="D97" s="22"/>
      <c r="E97" s="22"/>
      <c r="F97" s="22"/>
      <c r="G97" s="22"/>
      <c r="H97" s="22"/>
      <c r="I97" s="22"/>
      <c r="J97" s="22"/>
      <c r="K97" s="22"/>
      <c r="L97" s="22"/>
      <c r="M97" s="22"/>
      <c r="N97" s="22"/>
    </row>
    <row r="98" spans="1:14">
      <c r="A98" s="64" t="s">
        <v>66</v>
      </c>
      <c r="B98" s="113"/>
      <c r="C98" s="113"/>
      <c r="D98" s="113"/>
      <c r="E98" s="111">
        <v>29</v>
      </c>
      <c r="F98" s="113"/>
      <c r="G98" s="111">
        <v>-170.54</v>
      </c>
      <c r="H98" s="113"/>
      <c r="I98" s="113"/>
      <c r="J98" s="113"/>
      <c r="K98" s="113"/>
      <c r="L98" s="113"/>
      <c r="M98" s="113"/>
      <c r="N98" s="111">
        <v>-141.54</v>
      </c>
    </row>
    <row r="99" spans="1:14">
      <c r="A99" s="64" t="s">
        <v>69</v>
      </c>
      <c r="B99" s="107"/>
      <c r="C99" s="107"/>
      <c r="D99" s="107"/>
      <c r="E99" s="107">
        <f>SUM(E96:E98)</f>
        <v>29</v>
      </c>
      <c r="F99" s="107"/>
      <c r="G99" s="107">
        <f>SUM(G96:G98)</f>
        <v>-170.54</v>
      </c>
      <c r="H99" s="107"/>
      <c r="I99" s="107"/>
      <c r="J99" s="107"/>
      <c r="K99" s="107"/>
      <c r="L99" s="107"/>
      <c r="M99" s="107"/>
      <c r="N99" s="107">
        <v>-141.54</v>
      </c>
    </row>
    <row r="100" spans="1:14">
      <c r="A100" s="64"/>
      <c r="B100" s="22"/>
      <c r="C100" s="22"/>
      <c r="D100" s="22"/>
      <c r="E100" s="22"/>
      <c r="F100" s="22"/>
      <c r="G100" s="22"/>
      <c r="H100" s="22"/>
      <c r="I100" s="22"/>
      <c r="J100" s="22"/>
      <c r="K100" s="22"/>
      <c r="L100" s="22"/>
      <c r="M100" s="22"/>
      <c r="N100" s="22"/>
    </row>
    <row r="101" spans="1:14">
      <c r="A101" s="64" t="s">
        <v>70</v>
      </c>
      <c r="B101" s="22"/>
      <c r="C101" s="22"/>
      <c r="D101" s="22"/>
      <c r="E101" s="22"/>
      <c r="F101" s="22"/>
      <c r="G101" s="22"/>
      <c r="H101" s="22"/>
      <c r="I101" s="22"/>
      <c r="J101" s="22"/>
      <c r="K101" s="22"/>
      <c r="L101" s="22"/>
      <c r="M101" s="22"/>
      <c r="N101" s="22"/>
    </row>
    <row r="102" spans="1:14">
      <c r="A102" s="64" t="s">
        <v>66</v>
      </c>
      <c r="B102" s="111">
        <v>-641.12</v>
      </c>
      <c r="C102" s="111">
        <v>283.92</v>
      </c>
      <c r="D102" s="113"/>
      <c r="E102" s="113"/>
      <c r="F102" s="111">
        <v>-4440.78</v>
      </c>
      <c r="G102" s="111">
        <v>-347.89</v>
      </c>
      <c r="H102" s="111">
        <v>-4400.32</v>
      </c>
      <c r="I102" s="111">
        <v>-4930.45</v>
      </c>
      <c r="J102" s="111"/>
      <c r="K102" s="111">
        <v>7161.79</v>
      </c>
      <c r="L102" s="111">
        <v>-590.91</v>
      </c>
      <c r="M102" s="111">
        <v>-1149.92</v>
      </c>
      <c r="N102" s="111">
        <v>-9055.68</v>
      </c>
    </row>
    <row r="103" spans="1:14">
      <c r="A103" s="64" t="s">
        <v>71</v>
      </c>
      <c r="B103" s="107">
        <f>SUM(B100:B102)</f>
        <v>-641.12</v>
      </c>
      <c r="C103" s="107">
        <f>SUM(C100:C102)</f>
        <v>283.92</v>
      </c>
      <c r="D103" s="107"/>
      <c r="E103" s="107"/>
      <c r="F103" s="107">
        <f>SUM(F100:F102)</f>
        <v>-4440.78</v>
      </c>
      <c r="G103" s="107">
        <f>SUM(G100:G102)</f>
        <v>-347.89</v>
      </c>
      <c r="H103" s="107">
        <f>SUM(H100:H102)</f>
        <v>-4400.32</v>
      </c>
      <c r="I103" s="107">
        <f>SUM(I100:I102)</f>
        <v>-4930.45</v>
      </c>
      <c r="J103" s="107"/>
      <c r="K103" s="107">
        <f>SUM(K100:K102)</f>
        <v>7161.79</v>
      </c>
      <c r="L103" s="107">
        <f>SUM(L100:L102)</f>
        <v>-590.91</v>
      </c>
      <c r="M103" s="107">
        <f>SUM(M100:M102)</f>
        <v>-1149.92</v>
      </c>
      <c r="N103" s="107">
        <v>-9055.68</v>
      </c>
    </row>
    <row r="104" spans="1:14">
      <c r="A104" s="64"/>
      <c r="B104" s="22"/>
      <c r="C104" s="22"/>
      <c r="D104" s="22"/>
      <c r="E104" s="22"/>
      <c r="F104" s="22"/>
      <c r="G104" s="22"/>
      <c r="H104" s="22"/>
      <c r="I104" s="22"/>
      <c r="J104" s="22"/>
      <c r="K104" s="22"/>
      <c r="L104" s="22"/>
      <c r="M104" s="22"/>
      <c r="N104" s="22"/>
    </row>
    <row r="105" spans="1:14">
      <c r="A105" s="64" t="s">
        <v>72</v>
      </c>
      <c r="B105" s="113"/>
      <c r="C105" s="113"/>
      <c r="D105" s="113"/>
      <c r="E105" s="113"/>
      <c r="F105" s="113"/>
      <c r="G105" s="113"/>
      <c r="H105" s="113"/>
      <c r="I105" s="113"/>
      <c r="J105" s="113"/>
      <c r="K105" s="113"/>
      <c r="L105" s="113"/>
      <c r="M105" s="113"/>
      <c r="N105" s="113"/>
    </row>
    <row r="106" spans="1:14">
      <c r="A106" s="64" t="s">
        <v>314</v>
      </c>
      <c r="B106" s="107"/>
      <c r="C106" s="107"/>
      <c r="D106" s="107"/>
      <c r="E106" s="107"/>
      <c r="F106" s="107"/>
      <c r="G106" s="107"/>
      <c r="H106" s="107"/>
      <c r="I106" s="107"/>
      <c r="J106" s="107"/>
      <c r="K106" s="107"/>
      <c r="L106" s="107"/>
      <c r="M106" s="107"/>
      <c r="N106" s="107"/>
    </row>
    <row r="107" spans="1:14">
      <c r="A107" s="64"/>
      <c r="B107" s="22"/>
      <c r="C107" s="22"/>
      <c r="D107" s="22"/>
      <c r="E107" s="22"/>
      <c r="F107" s="22"/>
      <c r="G107" s="22"/>
      <c r="H107" s="22"/>
      <c r="I107" s="22"/>
      <c r="J107" s="22"/>
      <c r="K107" s="22"/>
      <c r="L107" s="22"/>
      <c r="M107" s="22"/>
      <c r="N107" s="22"/>
    </row>
    <row r="108" spans="1:14">
      <c r="A108" s="64" t="s">
        <v>73</v>
      </c>
      <c r="B108" s="22"/>
      <c r="C108" s="22"/>
      <c r="D108" s="22"/>
      <c r="E108" s="22"/>
      <c r="F108" s="22"/>
      <c r="G108" s="22"/>
      <c r="H108" s="22"/>
      <c r="I108" s="22"/>
      <c r="J108" s="22"/>
      <c r="K108" s="22"/>
      <c r="L108" s="22"/>
      <c r="M108" s="22"/>
      <c r="N108" s="22"/>
    </row>
    <row r="109" spans="1:14">
      <c r="A109" s="64" t="s">
        <v>66</v>
      </c>
      <c r="B109" s="113"/>
      <c r="C109" s="111">
        <v>-26.54</v>
      </c>
      <c r="D109" s="113"/>
      <c r="E109" s="113"/>
      <c r="F109" s="113"/>
      <c r="G109" s="113"/>
      <c r="H109" s="111">
        <v>2590</v>
      </c>
      <c r="I109" s="111">
        <v>-5586</v>
      </c>
      <c r="J109" s="111"/>
      <c r="K109" s="111">
        <v>-4493.5200000000004</v>
      </c>
      <c r="L109" s="113"/>
      <c r="M109" s="111">
        <v>-141.96</v>
      </c>
      <c r="N109" s="111">
        <v>-7658.02</v>
      </c>
    </row>
    <row r="110" spans="1:14">
      <c r="A110" s="64" t="s">
        <v>74</v>
      </c>
      <c r="B110" s="107"/>
      <c r="C110" s="107">
        <f>SUM(C107:C109)</f>
        <v>-26.54</v>
      </c>
      <c r="D110" s="107"/>
      <c r="E110" s="107"/>
      <c r="F110" s="107"/>
      <c r="G110" s="107"/>
      <c r="H110" s="107">
        <f>SUM(H107:H109)</f>
        <v>2590</v>
      </c>
      <c r="I110" s="107">
        <f>SUM(I107:I109)</f>
        <v>-5586</v>
      </c>
      <c r="J110" s="107"/>
      <c r="K110" s="107">
        <f>SUM(K107:K109)</f>
        <v>-4493.5200000000004</v>
      </c>
      <c r="L110" s="107"/>
      <c r="M110" s="107">
        <f>SUM(M107:M109)</f>
        <v>-141.96</v>
      </c>
      <c r="N110" s="107">
        <v>-7658.02</v>
      </c>
    </row>
    <row r="111" spans="1:14">
      <c r="A111" s="64"/>
      <c r="B111" s="22"/>
      <c r="C111" s="22"/>
      <c r="D111" s="22"/>
      <c r="E111" s="22"/>
      <c r="F111" s="22"/>
      <c r="G111" s="22"/>
      <c r="H111" s="22"/>
      <c r="I111" s="22"/>
      <c r="J111" s="22"/>
      <c r="K111" s="22"/>
      <c r="L111" s="22"/>
      <c r="M111" s="22"/>
      <c r="N111" s="22"/>
    </row>
    <row r="112" spans="1:14">
      <c r="A112" s="64" t="s">
        <v>75</v>
      </c>
      <c r="B112" s="22"/>
      <c r="C112" s="22"/>
      <c r="D112" s="22"/>
      <c r="E112" s="22"/>
      <c r="F112" s="22"/>
      <c r="G112" s="22"/>
      <c r="H112" s="22"/>
      <c r="I112" s="22"/>
      <c r="J112" s="22"/>
      <c r="K112" s="22"/>
      <c r="L112" s="22"/>
      <c r="M112" s="22"/>
      <c r="N112" s="22"/>
    </row>
    <row r="113" spans="1:14">
      <c r="A113" s="64" t="s">
        <v>66</v>
      </c>
      <c r="B113" s="111">
        <v>7566</v>
      </c>
      <c r="C113" s="111">
        <v>6799.21</v>
      </c>
      <c r="D113" s="111">
        <v>1552</v>
      </c>
      <c r="E113" s="111">
        <v>2716</v>
      </c>
      <c r="F113" s="113"/>
      <c r="G113" s="113"/>
      <c r="H113" s="113"/>
      <c r="I113" s="113"/>
      <c r="J113" s="113"/>
      <c r="K113" s="113"/>
      <c r="L113" s="113"/>
      <c r="M113" s="113"/>
      <c r="N113" s="111">
        <v>18633.21</v>
      </c>
    </row>
    <row r="114" spans="1:14">
      <c r="A114" s="64" t="s">
        <v>76</v>
      </c>
      <c r="B114" s="107">
        <f>SUM(B111:B113)</f>
        <v>7566</v>
      </c>
      <c r="C114" s="107">
        <f>SUM(C111:C113)</f>
        <v>6799.21</v>
      </c>
      <c r="D114" s="107">
        <f>SUM(D111:D113)</f>
        <v>1552</v>
      </c>
      <c r="E114" s="107">
        <f>SUM(E111:E113)</f>
        <v>2716</v>
      </c>
      <c r="F114" s="107"/>
      <c r="G114" s="107"/>
      <c r="H114" s="107"/>
      <c r="I114" s="107"/>
      <c r="J114" s="107"/>
      <c r="K114" s="107"/>
      <c r="L114" s="107"/>
      <c r="M114" s="107"/>
      <c r="N114" s="107">
        <v>18633.21</v>
      </c>
    </row>
    <row r="115" spans="1:14">
      <c r="A115" s="64"/>
      <c r="B115" s="113"/>
      <c r="C115" s="113"/>
      <c r="D115" s="113"/>
      <c r="E115" s="113"/>
      <c r="F115" s="113"/>
      <c r="G115" s="113"/>
      <c r="H115" s="113"/>
      <c r="I115" s="113"/>
      <c r="J115" s="113"/>
      <c r="K115" s="113"/>
      <c r="L115" s="113"/>
      <c r="M115" s="113"/>
      <c r="N115" s="113"/>
    </row>
    <row r="116" spans="1:14">
      <c r="A116" s="64" t="s">
        <v>44</v>
      </c>
      <c r="B116" s="107">
        <f t="shared" ref="B116:I116" si="36">SUM(B91:B115)-B95-B99-B103-B106-B110-B114</f>
        <v>899.03999999999905</v>
      </c>
      <c r="C116" s="107">
        <f t="shared" si="36"/>
        <v>2255.3099999999986</v>
      </c>
      <c r="D116" s="107">
        <f t="shared" si="36"/>
        <v>314.63000000000011</v>
      </c>
      <c r="E116" s="107">
        <f t="shared" si="36"/>
        <v>2231.75</v>
      </c>
      <c r="F116" s="107">
        <f t="shared" si="36"/>
        <v>-4440.78</v>
      </c>
      <c r="G116" s="107">
        <f t="shared" si="36"/>
        <v>-518.43000000000018</v>
      </c>
      <c r="H116" s="107">
        <f t="shared" si="36"/>
        <v>-1810.3199999999997</v>
      </c>
      <c r="I116" s="107">
        <f t="shared" si="36"/>
        <v>-9951.7999999999993</v>
      </c>
      <c r="J116" s="107"/>
      <c r="K116" s="107">
        <f>SUM(K91:K115)-K95-K99-K103-K106-K110-K114</f>
        <v>2599.4399999999996</v>
      </c>
      <c r="L116" s="107">
        <f>SUM(L91:L115)-L95-L99-L103-L106-L110-L114</f>
        <v>-590.91</v>
      </c>
      <c r="M116" s="107">
        <f>SUM(M91:M115)-M95-M99-M103-M106-M110-M114</f>
        <v>-1291.8000000000002</v>
      </c>
      <c r="N116" s="107">
        <v>-10303.870000000001</v>
      </c>
    </row>
    <row r="117" spans="1:14">
      <c r="A117" s="64"/>
      <c r="B117" s="22"/>
      <c r="C117" s="22"/>
      <c r="D117" s="22"/>
      <c r="E117" s="22"/>
      <c r="F117" s="22"/>
      <c r="G117" s="22"/>
      <c r="H117" s="22"/>
      <c r="I117" s="22"/>
      <c r="J117" s="22"/>
      <c r="K117" s="22"/>
      <c r="L117" s="22"/>
      <c r="M117" s="22"/>
      <c r="N117" s="22"/>
    </row>
    <row r="118" spans="1:14">
      <c r="A118" s="64" t="s">
        <v>45</v>
      </c>
      <c r="B118" s="22"/>
      <c r="C118" s="22"/>
      <c r="D118" s="22"/>
      <c r="E118" s="22"/>
      <c r="F118" s="22"/>
      <c r="G118" s="22"/>
      <c r="H118" s="22"/>
      <c r="I118" s="22"/>
      <c r="J118" s="22"/>
      <c r="K118" s="22"/>
      <c r="L118" s="22"/>
      <c r="M118" s="22"/>
      <c r="N118" s="22"/>
    </row>
    <row r="119" spans="1:14">
      <c r="A119" s="64"/>
      <c r="B119" s="22"/>
      <c r="C119" s="22"/>
      <c r="D119" s="22"/>
      <c r="E119" s="22"/>
      <c r="F119" s="22"/>
      <c r="G119" s="22"/>
      <c r="H119" s="22"/>
      <c r="I119" s="22"/>
      <c r="J119" s="22"/>
      <c r="K119" s="22"/>
      <c r="L119" s="22"/>
      <c r="M119" s="22"/>
      <c r="N119" s="22"/>
    </row>
    <row r="120" spans="1:14">
      <c r="A120" s="64" t="s">
        <v>19</v>
      </c>
      <c r="B120" s="22"/>
      <c r="C120" s="22"/>
      <c r="D120" s="22"/>
      <c r="E120" s="22"/>
      <c r="F120" s="22"/>
      <c r="G120" s="22"/>
      <c r="H120" s="22"/>
      <c r="I120" s="22"/>
      <c r="J120" s="22"/>
      <c r="K120" s="22"/>
      <c r="L120" s="22"/>
      <c r="M120" s="22"/>
      <c r="N120" s="22"/>
    </row>
    <row r="121" spans="1:14">
      <c r="A121" s="64" t="s">
        <v>354</v>
      </c>
      <c r="B121" s="113"/>
      <c r="C121" s="113"/>
      <c r="D121" s="113"/>
      <c r="E121" s="113"/>
      <c r="F121" s="113"/>
      <c r="G121" s="113"/>
      <c r="H121" s="113"/>
      <c r="I121" s="113"/>
      <c r="J121" s="113"/>
      <c r="K121" s="113"/>
      <c r="L121" s="113"/>
      <c r="M121" s="113"/>
      <c r="N121" s="113"/>
    </row>
    <row r="122" spans="1:14">
      <c r="A122" s="64"/>
      <c r="B122" s="22"/>
      <c r="C122" s="22"/>
      <c r="D122" s="22"/>
      <c r="E122" s="22"/>
      <c r="F122" s="22"/>
      <c r="G122" s="22"/>
      <c r="H122" s="22"/>
      <c r="I122" s="22"/>
      <c r="J122" s="22"/>
      <c r="K122" s="22"/>
      <c r="L122" s="22"/>
      <c r="M122" s="22"/>
      <c r="N122" s="22"/>
    </row>
    <row r="123" spans="1:14">
      <c r="A123" s="64" t="s">
        <v>20</v>
      </c>
      <c r="B123" s="113"/>
      <c r="C123" s="113"/>
      <c r="D123" s="113"/>
      <c r="E123" s="113"/>
      <c r="F123" s="113"/>
      <c r="G123" s="113"/>
      <c r="H123" s="113"/>
      <c r="I123" s="113"/>
      <c r="J123" s="113"/>
      <c r="K123" s="113"/>
      <c r="L123" s="113"/>
      <c r="M123" s="113"/>
      <c r="N123" s="113"/>
    </row>
    <row r="124" spans="1:14">
      <c r="A124" s="64"/>
      <c r="B124" s="22"/>
      <c r="C124" s="22"/>
      <c r="D124" s="22"/>
      <c r="E124" s="22"/>
      <c r="F124" s="22"/>
      <c r="G124" s="22"/>
      <c r="H124" s="22"/>
      <c r="I124" s="22"/>
      <c r="J124" s="22"/>
      <c r="K124" s="22"/>
      <c r="L124" s="22"/>
      <c r="M124" s="22"/>
      <c r="N124" s="22"/>
    </row>
    <row r="125" spans="1:14">
      <c r="A125" s="64" t="s">
        <v>88</v>
      </c>
      <c r="B125" s="22"/>
      <c r="C125" s="22"/>
      <c r="D125" s="22"/>
      <c r="E125" s="22"/>
      <c r="F125" s="22"/>
      <c r="G125" s="22"/>
      <c r="H125" s="22"/>
      <c r="I125" s="22"/>
      <c r="J125" s="22"/>
      <c r="K125" s="22"/>
      <c r="L125" s="22"/>
      <c r="M125" s="22"/>
      <c r="N125" s="22"/>
    </row>
    <row r="126" spans="1:14">
      <c r="A126" s="64" t="s">
        <v>89</v>
      </c>
      <c r="B126" s="107">
        <v>22583.66</v>
      </c>
      <c r="C126" s="107">
        <v>17964.84</v>
      </c>
      <c r="D126" s="107">
        <v>26070.37</v>
      </c>
      <c r="E126" s="107">
        <v>26947.52</v>
      </c>
      <c r="F126" s="107">
        <v>-22569.51</v>
      </c>
      <c r="G126" s="107">
        <v>59613.43</v>
      </c>
      <c r="H126" s="107">
        <v>10167.65</v>
      </c>
      <c r="I126" s="107">
        <v>9036.61</v>
      </c>
      <c r="J126" s="107">
        <v>36909.160000000003</v>
      </c>
      <c r="K126" s="107">
        <v>21729.3</v>
      </c>
      <c r="L126" s="107">
        <v>13670.42</v>
      </c>
      <c r="M126" s="107">
        <v>35357.9</v>
      </c>
      <c r="N126" s="107">
        <v>257481.35</v>
      </c>
    </row>
    <row r="127" spans="1:14">
      <c r="A127" s="64" t="s">
        <v>90</v>
      </c>
      <c r="B127" s="107">
        <v>21930</v>
      </c>
      <c r="C127" s="107">
        <v>23700</v>
      </c>
      <c r="D127" s="107">
        <v>22635</v>
      </c>
      <c r="E127" s="107">
        <v>23265</v>
      </c>
      <c r="F127" s="107">
        <v>27225</v>
      </c>
      <c r="G127" s="107">
        <v>18990</v>
      </c>
      <c r="H127" s="107">
        <v>22215</v>
      </c>
      <c r="I127" s="107">
        <v>18855</v>
      </c>
      <c r="J127" s="107">
        <v>25650</v>
      </c>
      <c r="K127" s="107">
        <v>20505</v>
      </c>
      <c r="L127" s="107">
        <v>18495</v>
      </c>
      <c r="M127" s="107">
        <v>23130</v>
      </c>
      <c r="N127" s="107">
        <v>266595</v>
      </c>
    </row>
    <row r="128" spans="1:14">
      <c r="A128" s="64" t="s">
        <v>91</v>
      </c>
      <c r="B128" s="107">
        <v>23640</v>
      </c>
      <c r="C128" s="107">
        <v>18585</v>
      </c>
      <c r="D128" s="107">
        <v>22410</v>
      </c>
      <c r="E128" s="107">
        <v>20700</v>
      </c>
      <c r="F128" s="107">
        <v>23430</v>
      </c>
      <c r="G128" s="107">
        <v>13290</v>
      </c>
      <c r="H128" s="107">
        <v>14625</v>
      </c>
      <c r="I128" s="107">
        <v>15390</v>
      </c>
      <c r="J128" s="107">
        <v>23715</v>
      </c>
      <c r="K128" s="107">
        <v>24360</v>
      </c>
      <c r="L128" s="107">
        <v>19035</v>
      </c>
      <c r="M128" s="107">
        <v>25005</v>
      </c>
      <c r="N128" s="107">
        <v>244185</v>
      </c>
    </row>
    <row r="129" spans="1:14">
      <c r="A129" s="64" t="s">
        <v>92</v>
      </c>
      <c r="B129" s="107">
        <v>2445</v>
      </c>
      <c r="C129" s="107">
        <v>7795</v>
      </c>
      <c r="D129" s="107">
        <v>7290</v>
      </c>
      <c r="E129" s="107">
        <v>7865</v>
      </c>
      <c r="F129" s="107">
        <v>10950</v>
      </c>
      <c r="G129" s="107">
        <v>9300</v>
      </c>
      <c r="H129" s="107">
        <v>12470</v>
      </c>
      <c r="I129" s="107">
        <v>13345</v>
      </c>
      <c r="J129" s="107">
        <v>14615</v>
      </c>
      <c r="K129" s="107">
        <v>12420</v>
      </c>
      <c r="L129" s="107">
        <v>10600</v>
      </c>
      <c r="M129" s="107">
        <v>13810</v>
      </c>
      <c r="N129" s="107">
        <v>122905</v>
      </c>
    </row>
    <row r="130" spans="1:14">
      <c r="A130" s="64" t="s">
        <v>93</v>
      </c>
      <c r="B130" s="107">
        <v>180</v>
      </c>
      <c r="C130" s="107">
        <v>90</v>
      </c>
      <c r="D130" s="107">
        <v>135</v>
      </c>
      <c r="E130" s="107">
        <v>90</v>
      </c>
      <c r="F130" s="107">
        <v>135</v>
      </c>
      <c r="G130" s="107">
        <v>45</v>
      </c>
      <c r="H130" s="107">
        <v>96.75</v>
      </c>
      <c r="I130" s="107">
        <v>96.75</v>
      </c>
      <c r="J130" s="107">
        <v>180</v>
      </c>
      <c r="K130" s="107">
        <v>225</v>
      </c>
      <c r="L130" s="107">
        <v>90</v>
      </c>
      <c r="M130" s="107">
        <v>90</v>
      </c>
      <c r="N130" s="107">
        <v>1453.5</v>
      </c>
    </row>
    <row r="131" spans="1:14">
      <c r="A131" s="64" t="s">
        <v>94</v>
      </c>
      <c r="B131" s="22"/>
      <c r="C131" s="22"/>
      <c r="D131" s="107">
        <v>900</v>
      </c>
      <c r="E131" s="107">
        <v>1350</v>
      </c>
      <c r="F131" s="107">
        <v>1350</v>
      </c>
      <c r="G131" s="107">
        <v>1350</v>
      </c>
      <c r="H131" s="107">
        <v>1350</v>
      </c>
      <c r="I131" s="107">
        <v>1800</v>
      </c>
      <c r="J131" s="107">
        <v>1350</v>
      </c>
      <c r="K131" s="107">
        <v>3150</v>
      </c>
      <c r="L131" s="107">
        <v>3150</v>
      </c>
      <c r="M131" s="107">
        <v>8550</v>
      </c>
      <c r="N131" s="107">
        <v>24300</v>
      </c>
    </row>
    <row r="132" spans="1:14">
      <c r="A132" s="64" t="s">
        <v>96</v>
      </c>
      <c r="B132" s="107">
        <v>170.18</v>
      </c>
      <c r="C132" s="107">
        <v>258.58</v>
      </c>
      <c r="D132" s="22"/>
      <c r="E132" s="22"/>
      <c r="F132" s="22"/>
      <c r="G132" s="22"/>
      <c r="H132" s="22"/>
      <c r="I132" s="22"/>
      <c r="J132" s="22"/>
      <c r="K132" s="107">
        <v>787.63</v>
      </c>
      <c r="L132" s="107">
        <v>196.08</v>
      </c>
      <c r="M132" s="22"/>
      <c r="N132" s="107">
        <v>1412.47</v>
      </c>
    </row>
    <row r="133" spans="1:14">
      <c r="A133" s="64" t="s">
        <v>98</v>
      </c>
      <c r="B133" s="111">
        <v>-70948.84</v>
      </c>
      <c r="C133" s="111">
        <v>-68393.42</v>
      </c>
      <c r="D133" s="111">
        <v>-79440.37</v>
      </c>
      <c r="E133" s="111">
        <v>-80217.52</v>
      </c>
      <c r="F133" s="111">
        <v>-63090</v>
      </c>
      <c r="G133" s="111">
        <v>-80018.92</v>
      </c>
      <c r="H133" s="111">
        <v>-60924.4</v>
      </c>
      <c r="I133" s="111">
        <v>-58523.360000000001</v>
      </c>
      <c r="J133" s="111">
        <v>-102419.16</v>
      </c>
      <c r="K133" s="111">
        <v>-83176.929999999993</v>
      </c>
      <c r="L133" s="111">
        <v>-65236.5</v>
      </c>
      <c r="M133" s="111">
        <v>-105942.9</v>
      </c>
      <c r="N133" s="111">
        <v>-918332.32</v>
      </c>
    </row>
    <row r="134" spans="1:14">
      <c r="A134" s="64" t="s">
        <v>357</v>
      </c>
      <c r="B134" s="107"/>
      <c r="C134" s="107"/>
      <c r="D134" s="107"/>
      <c r="E134" s="107"/>
      <c r="F134" s="107">
        <f>SUM(F125:F133)</f>
        <v>-22569.509999999995</v>
      </c>
      <c r="G134" s="107">
        <f>SUM(G125:G133)</f>
        <v>22569.509999999995</v>
      </c>
      <c r="H134" s="107"/>
      <c r="I134" s="107"/>
      <c r="J134" s="107"/>
      <c r="K134" s="107"/>
      <c r="L134" s="107"/>
      <c r="M134" s="107"/>
      <c r="N134" s="107"/>
    </row>
    <row r="135" spans="1:14">
      <c r="A135" s="64"/>
      <c r="B135" s="22"/>
      <c r="C135" s="22"/>
      <c r="D135" s="22"/>
      <c r="E135" s="22"/>
      <c r="F135" s="22"/>
      <c r="G135" s="22"/>
      <c r="H135" s="22"/>
      <c r="I135" s="22"/>
      <c r="J135" s="22"/>
      <c r="K135" s="22"/>
      <c r="L135" s="22"/>
      <c r="M135" s="22"/>
      <c r="N135" s="22"/>
    </row>
    <row r="136" spans="1:14">
      <c r="A136" s="64" t="s">
        <v>99</v>
      </c>
      <c r="B136" s="22"/>
      <c r="C136" s="22"/>
      <c r="D136" s="22"/>
      <c r="E136" s="22"/>
      <c r="F136" s="22"/>
      <c r="G136" s="22"/>
      <c r="H136" s="22"/>
      <c r="I136" s="22"/>
      <c r="J136" s="22"/>
      <c r="K136" s="22"/>
      <c r="L136" s="22"/>
      <c r="M136" s="22"/>
      <c r="N136" s="22"/>
    </row>
    <row r="137" spans="1:14">
      <c r="A137" s="64" t="s">
        <v>100</v>
      </c>
      <c r="B137" s="107">
        <v>15495</v>
      </c>
      <c r="C137" s="107">
        <v>8655.08</v>
      </c>
      <c r="D137" s="107">
        <v>14055</v>
      </c>
      <c r="E137" s="107">
        <v>13875</v>
      </c>
      <c r="F137" s="107">
        <v>8610</v>
      </c>
      <c r="G137" s="107">
        <v>5955</v>
      </c>
      <c r="H137" s="107">
        <v>7905</v>
      </c>
      <c r="I137" s="107">
        <v>22800</v>
      </c>
      <c r="J137" s="107">
        <v>17595</v>
      </c>
      <c r="K137" s="107">
        <v>9510</v>
      </c>
      <c r="L137" s="107">
        <v>13950</v>
      </c>
      <c r="M137" s="107">
        <v>7035</v>
      </c>
      <c r="N137" s="107">
        <v>145440.07999999999</v>
      </c>
    </row>
    <row r="138" spans="1:14">
      <c r="A138" s="64" t="s">
        <v>101</v>
      </c>
      <c r="B138" s="107">
        <v>3300</v>
      </c>
      <c r="C138" s="107">
        <v>6750.08</v>
      </c>
      <c r="D138" s="107">
        <v>15705</v>
      </c>
      <c r="E138" s="107">
        <v>6540</v>
      </c>
      <c r="F138" s="107">
        <v>4095</v>
      </c>
      <c r="G138" s="107">
        <v>2985</v>
      </c>
      <c r="H138" s="107">
        <v>360</v>
      </c>
      <c r="I138" s="107">
        <v>15330</v>
      </c>
      <c r="J138" s="107">
        <v>14880</v>
      </c>
      <c r="K138" s="107">
        <v>10935</v>
      </c>
      <c r="L138" s="107">
        <v>13890</v>
      </c>
      <c r="M138" s="107">
        <v>3885</v>
      </c>
      <c r="N138" s="107">
        <v>98655.08</v>
      </c>
    </row>
    <row r="139" spans="1:14">
      <c r="A139" s="64" t="s">
        <v>102</v>
      </c>
      <c r="B139" s="107">
        <v>2180</v>
      </c>
      <c r="C139" s="107">
        <v>5925.04</v>
      </c>
      <c r="D139" s="107">
        <v>6820</v>
      </c>
      <c r="E139" s="107">
        <v>8285</v>
      </c>
      <c r="F139" s="107">
        <v>4050</v>
      </c>
      <c r="G139" s="107">
        <v>1585</v>
      </c>
      <c r="H139" s="107">
        <v>3495</v>
      </c>
      <c r="I139" s="107">
        <v>2600</v>
      </c>
      <c r="J139" s="107">
        <v>2635</v>
      </c>
      <c r="K139" s="107">
        <v>1080</v>
      </c>
      <c r="L139" s="107">
        <v>2310</v>
      </c>
      <c r="M139" s="107">
        <v>-185</v>
      </c>
      <c r="N139" s="107">
        <v>40780.04</v>
      </c>
    </row>
    <row r="140" spans="1:14">
      <c r="A140" s="64" t="s">
        <v>358</v>
      </c>
      <c r="B140" s="107">
        <v>287</v>
      </c>
      <c r="C140" s="107">
        <v>119</v>
      </c>
      <c r="D140" s="107">
        <v>203</v>
      </c>
      <c r="E140" s="107">
        <v>35</v>
      </c>
      <c r="F140" s="107">
        <v>35</v>
      </c>
      <c r="G140" s="107">
        <v>616</v>
      </c>
      <c r="H140" s="107">
        <v>210</v>
      </c>
      <c r="I140" s="107">
        <v>525</v>
      </c>
      <c r="J140" s="107">
        <v>364</v>
      </c>
      <c r="K140" s="107">
        <v>63</v>
      </c>
      <c r="L140" s="107">
        <v>56</v>
      </c>
      <c r="M140" s="107">
        <v>588</v>
      </c>
      <c r="N140" s="107">
        <v>3101</v>
      </c>
    </row>
    <row r="141" spans="1:14">
      <c r="A141" s="64" t="s">
        <v>103</v>
      </c>
      <c r="B141" s="111">
        <v>-11409.63</v>
      </c>
      <c r="C141" s="111">
        <v>-9839.57</v>
      </c>
      <c r="D141" s="111">
        <v>-19082.95</v>
      </c>
      <c r="E141" s="111">
        <v>-14895.77</v>
      </c>
      <c r="F141" s="111">
        <v>-9107.0400000000009</v>
      </c>
      <c r="G141" s="111">
        <v>-7003.52</v>
      </c>
      <c r="H141" s="111">
        <v>-5602.74</v>
      </c>
      <c r="I141" s="111">
        <v>-24326.17</v>
      </c>
      <c r="J141" s="111">
        <v>-19758.66</v>
      </c>
      <c r="K141" s="111">
        <v>-12887.7</v>
      </c>
      <c r="L141" s="111">
        <v>-17301.830000000002</v>
      </c>
      <c r="M141" s="111">
        <v>-6448.21</v>
      </c>
      <c r="N141" s="111">
        <v>-157663.79</v>
      </c>
    </row>
    <row r="142" spans="1:14">
      <c r="A142" s="64" t="s">
        <v>104</v>
      </c>
      <c r="B142" s="107">
        <f t="shared" ref="B142:M142" si="37">SUM(B136:B141)</f>
        <v>9852.3700000000008</v>
      </c>
      <c r="C142" s="107">
        <f t="shared" si="37"/>
        <v>11609.630000000001</v>
      </c>
      <c r="D142" s="107">
        <f t="shared" si="37"/>
        <v>17700.05</v>
      </c>
      <c r="E142" s="107">
        <f t="shared" si="37"/>
        <v>13839.23</v>
      </c>
      <c r="F142" s="107">
        <f t="shared" si="37"/>
        <v>7682.9599999999991</v>
      </c>
      <c r="G142" s="107">
        <f t="shared" si="37"/>
        <v>4137.4799999999996</v>
      </c>
      <c r="H142" s="107">
        <f t="shared" si="37"/>
        <v>6367.26</v>
      </c>
      <c r="I142" s="107">
        <f t="shared" si="37"/>
        <v>16928.830000000002</v>
      </c>
      <c r="J142" s="107">
        <f t="shared" si="37"/>
        <v>15715.34</v>
      </c>
      <c r="K142" s="107">
        <f t="shared" si="37"/>
        <v>8700.2999999999993</v>
      </c>
      <c r="L142" s="107">
        <f t="shared" si="37"/>
        <v>12904.169999999998</v>
      </c>
      <c r="M142" s="107">
        <f t="shared" si="37"/>
        <v>4874.79</v>
      </c>
      <c r="N142" s="107">
        <v>130312.41</v>
      </c>
    </row>
    <row r="143" spans="1:14">
      <c r="A143" s="64"/>
      <c r="B143" s="22"/>
      <c r="C143" s="22"/>
      <c r="D143" s="22"/>
      <c r="E143" s="22"/>
      <c r="F143" s="22"/>
      <c r="G143" s="22"/>
      <c r="H143" s="22"/>
      <c r="I143" s="22"/>
      <c r="J143" s="22"/>
      <c r="K143" s="22"/>
      <c r="L143" s="22"/>
      <c r="M143" s="22"/>
      <c r="N143" s="22"/>
    </row>
    <row r="144" spans="1:14">
      <c r="A144" s="64" t="s">
        <v>105</v>
      </c>
      <c r="B144" s="113"/>
      <c r="C144" s="113"/>
      <c r="D144" s="113"/>
      <c r="E144" s="113"/>
      <c r="F144" s="113"/>
      <c r="G144" s="113"/>
      <c r="H144" s="113"/>
      <c r="I144" s="113"/>
      <c r="J144" s="113"/>
      <c r="K144" s="113"/>
      <c r="L144" s="113"/>
      <c r="M144" s="113"/>
      <c r="N144" s="113"/>
    </row>
    <row r="145" spans="1:14">
      <c r="A145" s="64"/>
      <c r="B145" s="22"/>
      <c r="C145" s="22"/>
      <c r="D145" s="22"/>
      <c r="E145" s="22"/>
      <c r="F145" s="22"/>
      <c r="G145" s="22"/>
      <c r="H145" s="22"/>
      <c r="I145" s="22"/>
      <c r="J145" s="22"/>
      <c r="K145" s="22"/>
      <c r="L145" s="22"/>
      <c r="M145" s="22"/>
      <c r="N145" s="22"/>
    </row>
    <row r="146" spans="1:14">
      <c r="A146" s="64" t="s">
        <v>106</v>
      </c>
      <c r="B146" s="22"/>
      <c r="C146" s="22"/>
      <c r="D146" s="22"/>
      <c r="E146" s="22"/>
      <c r="F146" s="22"/>
      <c r="G146" s="22"/>
      <c r="H146" s="22"/>
      <c r="I146" s="22"/>
      <c r="J146" s="22"/>
      <c r="K146" s="22"/>
      <c r="L146" s="22"/>
      <c r="M146" s="22"/>
      <c r="N146" s="22"/>
    </row>
    <row r="147" spans="1:14">
      <c r="A147" s="64" t="s">
        <v>107</v>
      </c>
      <c r="B147" s="107">
        <v>3949.95</v>
      </c>
      <c r="C147" s="107">
        <v>168.15</v>
      </c>
      <c r="D147" s="107">
        <v>1049.68</v>
      </c>
      <c r="E147" s="107">
        <v>95.13</v>
      </c>
      <c r="F147" s="107"/>
      <c r="G147" s="107">
        <v>5504.06</v>
      </c>
      <c r="H147" s="107">
        <v>2638.49</v>
      </c>
      <c r="I147" s="107">
        <v>2110.0700000000002</v>
      </c>
      <c r="J147" s="107">
        <v>2025.63</v>
      </c>
      <c r="K147" s="107">
        <v>3539.81</v>
      </c>
      <c r="L147" s="107">
        <v>10155.73</v>
      </c>
      <c r="M147" s="107">
        <v>6740.58</v>
      </c>
      <c r="N147" s="107">
        <v>37977.279999999999</v>
      </c>
    </row>
    <row r="148" spans="1:14">
      <c r="A148" s="64" t="s">
        <v>108</v>
      </c>
      <c r="B148" s="107">
        <v>10995</v>
      </c>
      <c r="C148" s="107">
        <v>9225</v>
      </c>
      <c r="D148" s="107">
        <v>3585</v>
      </c>
      <c r="E148" s="107">
        <v>1380</v>
      </c>
      <c r="F148" s="107">
        <v>4500</v>
      </c>
      <c r="G148" s="107">
        <v>7350</v>
      </c>
      <c r="H148" s="107">
        <v>9360</v>
      </c>
      <c r="I148" s="107">
        <v>7725</v>
      </c>
      <c r="J148" s="107">
        <v>8355</v>
      </c>
      <c r="K148" s="107">
        <v>7335</v>
      </c>
      <c r="L148" s="107">
        <v>10140</v>
      </c>
      <c r="M148" s="107">
        <v>8445</v>
      </c>
      <c r="N148" s="107">
        <v>88395</v>
      </c>
    </row>
    <row r="149" spans="1:14">
      <c r="A149" s="64" t="s">
        <v>109</v>
      </c>
      <c r="B149" s="107">
        <v>10290</v>
      </c>
      <c r="C149" s="107">
        <v>7380</v>
      </c>
      <c r="D149" s="107">
        <v>3750</v>
      </c>
      <c r="E149" s="107">
        <v>3180</v>
      </c>
      <c r="F149" s="107">
        <v>3240</v>
      </c>
      <c r="G149" s="107">
        <v>5910</v>
      </c>
      <c r="H149" s="107">
        <v>8085</v>
      </c>
      <c r="I149" s="107">
        <v>6795</v>
      </c>
      <c r="J149" s="107">
        <v>5625</v>
      </c>
      <c r="K149" s="107">
        <v>5880</v>
      </c>
      <c r="L149" s="107">
        <v>10215</v>
      </c>
      <c r="M149" s="107">
        <v>10680</v>
      </c>
      <c r="N149" s="107">
        <v>81030</v>
      </c>
    </row>
    <row r="150" spans="1:14">
      <c r="A150" s="64" t="s">
        <v>110</v>
      </c>
      <c r="B150" s="107">
        <v>3645</v>
      </c>
      <c r="C150" s="107">
        <v>11170</v>
      </c>
      <c r="D150" s="107">
        <v>5300</v>
      </c>
      <c r="E150" s="107">
        <v>3255</v>
      </c>
      <c r="F150" s="107">
        <v>4320</v>
      </c>
      <c r="G150" s="107">
        <v>6950</v>
      </c>
      <c r="H150" s="107">
        <v>4675</v>
      </c>
      <c r="I150" s="107">
        <v>8320</v>
      </c>
      <c r="J150" s="107">
        <v>4370</v>
      </c>
      <c r="K150" s="107">
        <v>4640</v>
      </c>
      <c r="L150" s="107">
        <v>5940</v>
      </c>
      <c r="M150" s="107">
        <v>5330</v>
      </c>
      <c r="N150" s="107">
        <v>67915</v>
      </c>
    </row>
    <row r="151" spans="1:14">
      <c r="A151" s="64" t="s">
        <v>379</v>
      </c>
      <c r="B151" s="22"/>
      <c r="C151" s="22"/>
      <c r="D151" s="107">
        <v>45</v>
      </c>
      <c r="E151" s="22"/>
      <c r="F151" s="22"/>
      <c r="G151" s="107">
        <v>45</v>
      </c>
      <c r="H151" s="22"/>
      <c r="I151" s="22"/>
      <c r="J151" s="22"/>
      <c r="K151" s="22"/>
      <c r="L151" s="22"/>
      <c r="M151" s="22"/>
      <c r="N151" s="107">
        <v>90</v>
      </c>
    </row>
    <row r="152" spans="1:14">
      <c r="A152" s="64" t="s">
        <v>111</v>
      </c>
      <c r="B152" s="22"/>
      <c r="C152" s="22"/>
      <c r="D152" s="107">
        <v>450</v>
      </c>
      <c r="E152" s="22"/>
      <c r="F152" s="22"/>
      <c r="G152" s="22"/>
      <c r="H152" s="107">
        <v>450</v>
      </c>
      <c r="I152" s="22"/>
      <c r="J152" s="22"/>
      <c r="K152" s="22"/>
      <c r="L152" s="22"/>
      <c r="M152" s="107">
        <v>1350</v>
      </c>
      <c r="N152" s="107">
        <v>2250</v>
      </c>
    </row>
    <row r="153" spans="1:14">
      <c r="A153" s="64" t="s">
        <v>113</v>
      </c>
      <c r="B153" s="22"/>
      <c r="C153" s="22"/>
      <c r="D153" s="22"/>
      <c r="E153" s="22"/>
      <c r="F153" s="22"/>
      <c r="G153" s="22"/>
      <c r="H153" s="22"/>
      <c r="I153" s="22"/>
      <c r="J153" s="22"/>
      <c r="K153" s="22"/>
      <c r="L153" s="107">
        <v>136.72999999999999</v>
      </c>
      <c r="M153" s="22"/>
      <c r="N153" s="107">
        <v>136.72999999999999</v>
      </c>
    </row>
    <row r="154" spans="1:14">
      <c r="A154" s="64" t="s">
        <v>359</v>
      </c>
      <c r="B154" s="107">
        <v>28</v>
      </c>
      <c r="C154" s="22"/>
      <c r="D154" s="22"/>
      <c r="E154" s="22"/>
      <c r="F154" s="22"/>
      <c r="G154" s="107">
        <v>84</v>
      </c>
      <c r="H154" s="107">
        <v>56</v>
      </c>
      <c r="I154" s="107">
        <v>63</v>
      </c>
      <c r="J154" s="107">
        <v>56</v>
      </c>
      <c r="K154" s="22"/>
      <c r="L154" s="22"/>
      <c r="M154" s="107">
        <v>105</v>
      </c>
      <c r="N154" s="107">
        <v>392</v>
      </c>
    </row>
    <row r="155" spans="1:14">
      <c r="A155" s="64" t="s">
        <v>115</v>
      </c>
      <c r="B155" s="111">
        <v>-17648.919999999998</v>
      </c>
      <c r="C155" s="111">
        <v>-22912.31</v>
      </c>
      <c r="D155" s="111">
        <v>-13429.79</v>
      </c>
      <c r="E155" s="111">
        <v>-4999.82</v>
      </c>
      <c r="F155" s="111">
        <v>-7505.4</v>
      </c>
      <c r="G155" s="111">
        <v>-24290.38</v>
      </c>
      <c r="H155" s="111">
        <v>-27993.45</v>
      </c>
      <c r="I155" s="111">
        <v>-17992.64</v>
      </c>
      <c r="J155" s="111">
        <v>-14477.14</v>
      </c>
      <c r="K155" s="111">
        <v>-19117.73</v>
      </c>
      <c r="L155" s="111">
        <v>-34001.86</v>
      </c>
      <c r="M155" s="111">
        <v>-27804.51</v>
      </c>
      <c r="N155" s="111">
        <v>-232173.95</v>
      </c>
    </row>
    <row r="156" spans="1:14">
      <c r="A156" s="64" t="s">
        <v>116</v>
      </c>
      <c r="B156" s="107">
        <f t="shared" ref="B156:M156" si="38">SUM(B146:B155)</f>
        <v>11259.030000000002</v>
      </c>
      <c r="C156" s="107">
        <f t="shared" si="38"/>
        <v>5030.84</v>
      </c>
      <c r="D156" s="107">
        <f t="shared" si="38"/>
        <v>749.88999999999942</v>
      </c>
      <c r="E156" s="107">
        <f t="shared" si="38"/>
        <v>2910.3100000000004</v>
      </c>
      <c r="F156" s="107">
        <f t="shared" si="38"/>
        <v>4554.6000000000004</v>
      </c>
      <c r="G156" s="107">
        <f t="shared" si="38"/>
        <v>1552.6800000000003</v>
      </c>
      <c r="H156" s="107">
        <f t="shared" si="38"/>
        <v>-2728.9600000000028</v>
      </c>
      <c r="I156" s="107">
        <f t="shared" si="38"/>
        <v>7020.43</v>
      </c>
      <c r="J156" s="107">
        <f t="shared" si="38"/>
        <v>5954.4900000000016</v>
      </c>
      <c r="K156" s="107">
        <f t="shared" si="38"/>
        <v>2277.0799999999981</v>
      </c>
      <c r="L156" s="107">
        <f t="shared" si="38"/>
        <v>2585.5999999999985</v>
      </c>
      <c r="M156" s="107">
        <f t="shared" si="38"/>
        <v>4846.0700000000033</v>
      </c>
      <c r="N156" s="107">
        <v>46012.06</v>
      </c>
    </row>
    <row r="157" spans="1:14">
      <c r="A157" s="64"/>
      <c r="B157" s="22"/>
      <c r="C157" s="22"/>
      <c r="D157" s="22"/>
      <c r="E157" s="22"/>
      <c r="F157" s="22"/>
      <c r="G157" s="22"/>
      <c r="H157" s="22"/>
      <c r="I157" s="22"/>
      <c r="J157" s="22"/>
      <c r="K157" s="22"/>
      <c r="L157" s="22"/>
      <c r="M157" s="22"/>
      <c r="N157" s="22"/>
    </row>
    <row r="158" spans="1:14">
      <c r="A158" s="64" t="s">
        <v>117</v>
      </c>
      <c r="B158" s="22"/>
      <c r="C158" s="22"/>
      <c r="D158" s="22"/>
      <c r="E158" s="22"/>
      <c r="F158" s="22"/>
      <c r="G158" s="22"/>
      <c r="H158" s="22"/>
      <c r="I158" s="22"/>
      <c r="J158" s="22"/>
      <c r="K158" s="22"/>
      <c r="L158" s="22"/>
      <c r="M158" s="22"/>
      <c r="N158" s="22"/>
    </row>
    <row r="159" spans="1:14">
      <c r="A159" s="64" t="s">
        <v>282</v>
      </c>
      <c r="B159" s="113"/>
      <c r="C159" s="113"/>
      <c r="D159" s="113"/>
      <c r="E159" s="113"/>
      <c r="F159" s="113"/>
      <c r="G159" s="113"/>
      <c r="H159" s="113"/>
      <c r="I159" s="113"/>
      <c r="J159" s="113"/>
      <c r="K159" s="113"/>
      <c r="L159" s="113"/>
      <c r="M159" s="113"/>
      <c r="N159" s="113"/>
    </row>
    <row r="160" spans="1:14">
      <c r="A160" s="64"/>
      <c r="B160" s="22"/>
      <c r="C160" s="22"/>
      <c r="D160" s="22"/>
      <c r="E160" s="22"/>
      <c r="F160" s="22"/>
      <c r="G160" s="22"/>
      <c r="H160" s="22"/>
      <c r="I160" s="22"/>
      <c r="J160" s="22"/>
      <c r="K160" s="22"/>
      <c r="L160" s="22"/>
      <c r="M160" s="22"/>
      <c r="N160" s="22"/>
    </row>
    <row r="161" spans="1:14">
      <c r="A161" s="64" t="s">
        <v>47</v>
      </c>
      <c r="B161" s="107">
        <f t="shared" ref="B161:M161" si="39">SUM(B118:B160)-0-0-B134-B142-0-B156-0</f>
        <v>21111.399999999998</v>
      </c>
      <c r="C161" s="107">
        <f t="shared" si="39"/>
        <v>16640.47</v>
      </c>
      <c r="D161" s="107">
        <f t="shared" si="39"/>
        <v>18449.939999999999</v>
      </c>
      <c r="E161" s="107">
        <f t="shared" si="39"/>
        <v>16749.539999999994</v>
      </c>
      <c r="F161" s="107">
        <f t="shared" si="39"/>
        <v>-10331.949999999999</v>
      </c>
      <c r="G161" s="107">
        <f t="shared" si="39"/>
        <v>28259.66999999998</v>
      </c>
      <c r="H161" s="107">
        <f t="shared" si="39"/>
        <v>3638.3000000000011</v>
      </c>
      <c r="I161" s="107">
        <f t="shared" si="39"/>
        <v>23949.260000000002</v>
      </c>
      <c r="J161" s="107">
        <f t="shared" si="39"/>
        <v>21669.83</v>
      </c>
      <c r="K161" s="107">
        <f t="shared" si="39"/>
        <v>10977.380000000019</v>
      </c>
      <c r="L161" s="107">
        <f t="shared" si="39"/>
        <v>15489.769999999997</v>
      </c>
      <c r="M161" s="107">
        <f t="shared" si="39"/>
        <v>9720.8600000000042</v>
      </c>
      <c r="N161" s="107">
        <v>176324.47</v>
      </c>
    </row>
    <row r="162" spans="1:14">
      <c r="A162" s="64"/>
      <c r="B162" s="22"/>
      <c r="C162" s="22"/>
      <c r="D162" s="22"/>
      <c r="E162" s="22"/>
      <c r="F162" s="22"/>
      <c r="G162" s="22"/>
      <c r="H162" s="22"/>
      <c r="I162" s="22"/>
      <c r="J162" s="22"/>
      <c r="K162" s="22"/>
      <c r="L162" s="22"/>
      <c r="M162" s="22"/>
      <c r="N162" s="22"/>
    </row>
    <row r="163" spans="1:14">
      <c r="A163" s="64" t="s">
        <v>48</v>
      </c>
      <c r="B163" s="22"/>
      <c r="C163" s="22"/>
      <c r="D163" s="22"/>
      <c r="E163" s="22"/>
      <c r="F163" s="22"/>
      <c r="G163" s="22"/>
      <c r="H163" s="22"/>
      <c r="I163" s="22"/>
      <c r="J163" s="22"/>
      <c r="K163" s="22"/>
      <c r="L163" s="22"/>
      <c r="M163" s="22"/>
      <c r="N163" s="22"/>
    </row>
    <row r="164" spans="1:14">
      <c r="A164" s="64" t="s">
        <v>128</v>
      </c>
      <c r="B164" s="22"/>
      <c r="C164" s="22"/>
      <c r="D164" s="22"/>
      <c r="E164" s="22"/>
      <c r="F164" s="22"/>
      <c r="G164" s="107">
        <v>589.5</v>
      </c>
      <c r="H164" s="107">
        <v>257.5</v>
      </c>
      <c r="I164" s="107">
        <v>42</v>
      </c>
      <c r="J164" s="22"/>
      <c r="K164" s="22"/>
      <c r="L164" s="22"/>
      <c r="M164" s="22"/>
      <c r="N164" s="107">
        <v>889</v>
      </c>
    </row>
    <row r="165" spans="1:14">
      <c r="A165" s="64" t="s">
        <v>130</v>
      </c>
      <c r="B165" s="22"/>
      <c r="C165" s="22"/>
      <c r="D165" s="107">
        <v>113.01</v>
      </c>
      <c r="E165" s="22"/>
      <c r="F165" s="22"/>
      <c r="G165" s="22"/>
      <c r="H165" s="107">
        <v>102.61</v>
      </c>
      <c r="I165" s="22"/>
      <c r="J165" s="107">
        <v>119.64</v>
      </c>
      <c r="K165" s="22"/>
      <c r="L165" s="22"/>
      <c r="M165" s="22"/>
      <c r="N165" s="107">
        <v>335.26</v>
      </c>
    </row>
    <row r="166" spans="1:14">
      <c r="A166" s="64" t="s">
        <v>132</v>
      </c>
      <c r="B166" s="107">
        <v>1545.96</v>
      </c>
      <c r="C166" s="107">
        <v>2528.66</v>
      </c>
      <c r="D166" s="22"/>
      <c r="E166" s="107">
        <v>182.85</v>
      </c>
      <c r="F166" s="22"/>
      <c r="G166" s="107">
        <v>102.43</v>
      </c>
      <c r="H166" s="107">
        <v>359.18</v>
      </c>
      <c r="I166" s="22"/>
      <c r="J166" s="107">
        <v>100</v>
      </c>
      <c r="K166" s="22"/>
      <c r="L166" s="107">
        <v>17233.46</v>
      </c>
      <c r="M166" s="22"/>
      <c r="N166" s="107">
        <v>22052.54</v>
      </c>
    </row>
    <row r="167" spans="1:14">
      <c r="A167" s="64" t="s">
        <v>360</v>
      </c>
      <c r="B167" s="107">
        <v>11900</v>
      </c>
      <c r="C167" s="107">
        <v>96455</v>
      </c>
      <c r="D167" s="107">
        <v>16600</v>
      </c>
      <c r="E167" s="107">
        <v>16700</v>
      </c>
      <c r="F167" s="107">
        <v>1000</v>
      </c>
      <c r="G167" s="107">
        <v>10025</v>
      </c>
      <c r="H167" s="107">
        <v>41000</v>
      </c>
      <c r="I167" s="107">
        <v>85100</v>
      </c>
      <c r="J167" s="107">
        <v>55100</v>
      </c>
      <c r="K167" s="107">
        <v>51800</v>
      </c>
      <c r="L167" s="107">
        <v>45800</v>
      </c>
      <c r="M167" s="107">
        <v>48900</v>
      </c>
      <c r="N167" s="107">
        <v>480380</v>
      </c>
    </row>
    <row r="168" spans="1:14">
      <c r="A168" s="64" t="s">
        <v>134</v>
      </c>
      <c r="B168" s="113"/>
      <c r="C168" s="111">
        <v>1.78</v>
      </c>
      <c r="D168" s="111">
        <v>2.19</v>
      </c>
      <c r="E168" s="111">
        <v>1.61</v>
      </c>
      <c r="F168" s="111">
        <v>5.84</v>
      </c>
      <c r="G168" s="111">
        <v>0.22</v>
      </c>
      <c r="H168" s="111">
        <v>1</v>
      </c>
      <c r="I168" s="111">
        <v>235.48</v>
      </c>
      <c r="J168" s="111">
        <v>2.59</v>
      </c>
      <c r="K168" s="111">
        <v>18.079999999999998</v>
      </c>
      <c r="L168" s="111">
        <v>15.81</v>
      </c>
      <c r="M168" s="111">
        <v>29.79</v>
      </c>
      <c r="N168" s="111">
        <v>314.39</v>
      </c>
    </row>
    <row r="169" spans="1:14">
      <c r="A169" s="64" t="s">
        <v>135</v>
      </c>
      <c r="B169" s="107">
        <f t="shared" ref="B169:M169" si="40">SUM(B162:B168)</f>
        <v>13445.96</v>
      </c>
      <c r="C169" s="107">
        <f t="shared" si="40"/>
        <v>98985.44</v>
      </c>
      <c r="D169" s="107">
        <f t="shared" si="40"/>
        <v>16715.199999999997</v>
      </c>
      <c r="E169" s="107">
        <f t="shared" si="40"/>
        <v>16884.46</v>
      </c>
      <c r="F169" s="107">
        <f t="shared" si="40"/>
        <v>1005.84</v>
      </c>
      <c r="G169" s="107">
        <f t="shared" si="40"/>
        <v>10717.15</v>
      </c>
      <c r="H169" s="107">
        <f t="shared" si="40"/>
        <v>41720.29</v>
      </c>
      <c r="I169" s="107">
        <f t="shared" si="40"/>
        <v>85377.48</v>
      </c>
      <c r="J169" s="107">
        <f t="shared" si="40"/>
        <v>55322.229999999996</v>
      </c>
      <c r="K169" s="107">
        <f t="shared" si="40"/>
        <v>51818.080000000002</v>
      </c>
      <c r="L169" s="107">
        <f t="shared" si="40"/>
        <v>63049.27</v>
      </c>
      <c r="M169" s="107">
        <f t="shared" si="40"/>
        <v>48929.79</v>
      </c>
      <c r="N169" s="107">
        <v>503971.19</v>
      </c>
    </row>
    <row r="170" spans="1:14">
      <c r="A170" s="64"/>
      <c r="B170" s="22"/>
      <c r="C170" s="22"/>
      <c r="D170" s="22"/>
      <c r="E170" s="22"/>
      <c r="F170" s="22"/>
      <c r="G170" s="22"/>
      <c r="H170" s="22"/>
      <c r="I170" s="22"/>
      <c r="J170" s="22"/>
      <c r="K170" s="22"/>
      <c r="L170" s="22"/>
      <c r="M170" s="22"/>
      <c r="N170" s="22"/>
    </row>
    <row r="171" spans="1:14" ht="15.75" thickBot="1">
      <c r="A171" s="64" t="s">
        <v>13</v>
      </c>
      <c r="B171" s="112">
        <f t="shared" ref="B171:M171" si="41">SUM(B66:B170)-B68-B72-B76-B79-B83-B87-B89-B95-B99-B103-B106-B110-B114-B116-0-0-B134-B142-0-B156-0-B161-B169</f>
        <v>424987.30999999942</v>
      </c>
      <c r="C171" s="112">
        <f t="shared" si="41"/>
        <v>502484.83</v>
      </c>
      <c r="D171" s="112">
        <f t="shared" si="41"/>
        <v>469997.37999999936</v>
      </c>
      <c r="E171" s="112">
        <f t="shared" si="41"/>
        <v>449580.47999999981</v>
      </c>
      <c r="F171" s="112">
        <f t="shared" si="41"/>
        <v>444523.38000000041</v>
      </c>
      <c r="G171" s="112">
        <f t="shared" si="41"/>
        <v>475012.59000000032</v>
      </c>
      <c r="H171" s="112">
        <f t="shared" si="41"/>
        <v>440189.6100000001</v>
      </c>
      <c r="I171" s="112">
        <f t="shared" si="41"/>
        <v>460648.33000000019</v>
      </c>
      <c r="J171" s="112">
        <f t="shared" si="41"/>
        <v>516298.39</v>
      </c>
      <c r="K171" s="112">
        <f t="shared" si="41"/>
        <v>539911.72000000032</v>
      </c>
      <c r="L171" s="112">
        <f t="shared" si="41"/>
        <v>504483.01000000036</v>
      </c>
      <c r="M171" s="112">
        <f t="shared" si="41"/>
        <v>704761.98000000091</v>
      </c>
      <c r="N171" s="112">
        <v>5932879.0099999998</v>
      </c>
    </row>
    <row r="172" spans="1:14" ht="15.75" thickTop="1">
      <c r="A172" s="64"/>
      <c r="B172" s="22"/>
      <c r="C172" s="22"/>
      <c r="D172" s="22"/>
      <c r="E172" s="22"/>
      <c r="F172" s="22"/>
      <c r="G172" s="22"/>
      <c r="H172" s="22"/>
      <c r="I172" s="22"/>
      <c r="J172" s="22"/>
      <c r="K172" s="22"/>
      <c r="L172" s="22"/>
      <c r="M172" s="22"/>
      <c r="N172" s="22"/>
    </row>
    <row r="173" spans="1:14">
      <c r="A173" s="64"/>
      <c r="B173" s="22"/>
      <c r="C173" s="22"/>
      <c r="D173" s="22"/>
      <c r="E173" s="22"/>
      <c r="F173" s="22"/>
      <c r="G173" s="22"/>
      <c r="H173" s="22"/>
      <c r="I173" s="22"/>
      <c r="J173" s="22"/>
      <c r="K173" s="22"/>
      <c r="L173" s="22"/>
      <c r="M173" s="22"/>
      <c r="N173" s="22"/>
    </row>
    <row r="174" spans="1:14">
      <c r="A174" s="64" t="s">
        <v>14</v>
      </c>
      <c r="B174" s="22"/>
      <c r="C174" s="22"/>
      <c r="D174" s="22"/>
      <c r="E174" s="22"/>
      <c r="F174" s="22"/>
      <c r="G174" s="22"/>
      <c r="H174" s="22"/>
      <c r="I174" s="22"/>
      <c r="J174" s="22"/>
      <c r="K174" s="22"/>
      <c r="L174" s="22"/>
      <c r="M174" s="22"/>
      <c r="N174" s="22"/>
    </row>
    <row r="175" spans="1:14">
      <c r="A175" s="64"/>
      <c r="B175" s="22"/>
      <c r="C175" s="22"/>
      <c r="D175" s="22"/>
      <c r="E175" s="22"/>
      <c r="F175" s="22"/>
      <c r="G175" s="22"/>
      <c r="H175" s="22"/>
      <c r="I175" s="22"/>
      <c r="J175" s="22"/>
      <c r="K175" s="22"/>
      <c r="L175" s="22"/>
      <c r="M175" s="22"/>
      <c r="N175" s="22"/>
    </row>
    <row r="176" spans="1:14">
      <c r="A176" s="64" t="s">
        <v>136</v>
      </c>
      <c r="B176" s="22"/>
      <c r="C176" s="22"/>
      <c r="D176" s="22"/>
      <c r="E176" s="22"/>
      <c r="F176" s="22"/>
      <c r="G176" s="22"/>
      <c r="H176" s="22"/>
      <c r="I176" s="22"/>
      <c r="J176" s="22"/>
      <c r="K176" s="22"/>
      <c r="L176" s="22"/>
      <c r="M176" s="22"/>
      <c r="N176" s="22"/>
    </row>
    <row r="177" spans="1:14">
      <c r="A177" s="64" t="s">
        <v>137</v>
      </c>
      <c r="B177" s="107">
        <v>6387.77</v>
      </c>
      <c r="C177" s="107">
        <v>5893.24</v>
      </c>
      <c r="D177" s="107">
        <v>7487.77</v>
      </c>
      <c r="E177" s="107">
        <v>6731.71</v>
      </c>
      <c r="F177" s="107">
        <v>6427.86</v>
      </c>
      <c r="G177" s="107">
        <v>7229.36</v>
      </c>
      <c r="H177" s="107">
        <v>3443.84</v>
      </c>
      <c r="I177" s="107">
        <v>8477.42</v>
      </c>
      <c r="J177" s="107">
        <v>7878.83</v>
      </c>
      <c r="K177" s="107">
        <v>7204</v>
      </c>
      <c r="L177" s="107">
        <v>7163.94</v>
      </c>
      <c r="M177" s="107">
        <v>5007.9799999999996</v>
      </c>
      <c r="N177" s="107">
        <v>79333.72</v>
      </c>
    </row>
    <row r="178" spans="1:14">
      <c r="A178" s="64" t="s">
        <v>138</v>
      </c>
      <c r="B178" s="107">
        <v>21250.09</v>
      </c>
      <c r="C178" s="107">
        <v>18180.93</v>
      </c>
      <c r="D178" s="107">
        <v>21321.41</v>
      </c>
      <c r="E178" s="107">
        <v>19270.599999999999</v>
      </c>
      <c r="F178" s="107">
        <v>17232.34</v>
      </c>
      <c r="G178" s="107">
        <v>19075.189999999999</v>
      </c>
      <c r="H178" s="107">
        <v>12192.36</v>
      </c>
      <c r="I178" s="107">
        <v>19571.490000000002</v>
      </c>
      <c r="J178" s="107">
        <v>26069.73</v>
      </c>
      <c r="K178" s="107">
        <v>28615.45</v>
      </c>
      <c r="L178" s="107">
        <v>38335.07</v>
      </c>
      <c r="M178" s="107">
        <v>33671.040000000001</v>
      </c>
      <c r="N178" s="107">
        <v>274785.7</v>
      </c>
    </row>
    <row r="179" spans="1:14">
      <c r="A179" s="64" t="s">
        <v>139</v>
      </c>
      <c r="B179" s="107">
        <v>21520.06</v>
      </c>
      <c r="C179" s="107">
        <v>19675.96</v>
      </c>
      <c r="D179" s="107">
        <v>23889.93</v>
      </c>
      <c r="E179" s="107">
        <v>19957.78</v>
      </c>
      <c r="F179" s="107">
        <v>25121.39</v>
      </c>
      <c r="G179" s="107">
        <v>20776.52</v>
      </c>
      <c r="H179" s="107">
        <v>18547.849999999999</v>
      </c>
      <c r="I179" s="107">
        <v>18939.669999999998</v>
      </c>
      <c r="J179" s="107">
        <v>21089.31</v>
      </c>
      <c r="K179" s="107">
        <v>26497.56</v>
      </c>
      <c r="L179" s="107">
        <v>43998.41</v>
      </c>
      <c r="M179" s="107">
        <v>31490.31</v>
      </c>
      <c r="N179" s="107">
        <v>291504.75</v>
      </c>
    </row>
    <row r="180" spans="1:14">
      <c r="A180" s="64" t="s">
        <v>141</v>
      </c>
      <c r="B180" s="107">
        <v>9302.0400000000009</v>
      </c>
      <c r="C180" s="107">
        <v>7056.21</v>
      </c>
      <c r="D180" s="107">
        <v>6235.81</v>
      </c>
      <c r="E180" s="107">
        <v>8067.36</v>
      </c>
      <c r="F180" s="107">
        <v>9534.18</v>
      </c>
      <c r="G180" s="107">
        <v>10960.75</v>
      </c>
      <c r="H180" s="107">
        <v>9947.11</v>
      </c>
      <c r="I180" s="107">
        <v>10001.280000000001</v>
      </c>
      <c r="J180" s="107">
        <v>10622.63</v>
      </c>
      <c r="K180" s="107">
        <v>12904.1</v>
      </c>
      <c r="L180" s="107">
        <v>3396.57</v>
      </c>
      <c r="M180" s="107">
        <v>1170.17</v>
      </c>
      <c r="N180" s="107">
        <v>99198.21</v>
      </c>
    </row>
    <row r="181" spans="1:14">
      <c r="A181" s="64" t="s">
        <v>142</v>
      </c>
      <c r="B181" s="107">
        <v>4461.59</v>
      </c>
      <c r="C181" s="107">
        <v>246.24</v>
      </c>
      <c r="D181" s="22"/>
      <c r="E181" s="22"/>
      <c r="F181" s="22"/>
      <c r="G181" s="22"/>
      <c r="H181" s="22"/>
      <c r="I181" s="22"/>
      <c r="J181" s="22"/>
      <c r="K181" s="22"/>
      <c r="L181" s="22"/>
      <c r="M181" s="22"/>
      <c r="N181" s="107">
        <v>4707.83</v>
      </c>
    </row>
    <row r="182" spans="1:14">
      <c r="A182" s="64" t="s">
        <v>143</v>
      </c>
      <c r="B182" s="107">
        <v>50271.18</v>
      </c>
      <c r="C182" s="107">
        <v>39137.89</v>
      </c>
      <c r="D182" s="107">
        <v>49628.81</v>
      </c>
      <c r="E182" s="107">
        <v>49154.27</v>
      </c>
      <c r="F182" s="107">
        <v>47052.25</v>
      </c>
      <c r="G182" s="107">
        <v>54910.01</v>
      </c>
      <c r="H182" s="107">
        <v>50864.62</v>
      </c>
      <c r="I182" s="107">
        <v>53937.08</v>
      </c>
      <c r="J182" s="107">
        <v>57833</v>
      </c>
      <c r="K182" s="107">
        <v>62536.38</v>
      </c>
      <c r="L182" s="107">
        <v>45422.21</v>
      </c>
      <c r="M182" s="107">
        <v>56642.99</v>
      </c>
      <c r="N182" s="107">
        <v>617390.68999999994</v>
      </c>
    </row>
    <row r="183" spans="1:14">
      <c r="A183" s="64" t="s">
        <v>144</v>
      </c>
      <c r="B183" s="107">
        <v>2086.14</v>
      </c>
      <c r="C183" s="107">
        <v>3057.18</v>
      </c>
      <c r="D183" s="107">
        <v>2945.25</v>
      </c>
      <c r="E183" s="107">
        <v>1611.86</v>
      </c>
      <c r="F183" s="107">
        <v>2518.41</v>
      </c>
      <c r="G183" s="107">
        <v>4008.11</v>
      </c>
      <c r="H183" s="107">
        <v>3902.9</v>
      </c>
      <c r="I183" s="107">
        <v>3811.73</v>
      </c>
      <c r="J183" s="107">
        <v>4337.3999999999996</v>
      </c>
      <c r="K183" s="107">
        <v>2736.19</v>
      </c>
      <c r="L183" s="107">
        <v>4046.92</v>
      </c>
      <c r="M183" s="107">
        <v>3526.04</v>
      </c>
      <c r="N183" s="107">
        <v>38588.129999999997</v>
      </c>
    </row>
    <row r="184" spans="1:14">
      <c r="A184" s="64" t="s">
        <v>324</v>
      </c>
      <c r="B184" s="22"/>
      <c r="C184" s="22"/>
      <c r="D184" s="22"/>
      <c r="E184" s="22"/>
      <c r="F184" s="107">
        <v>3795.91</v>
      </c>
      <c r="G184" s="107">
        <v>-741.16</v>
      </c>
      <c r="H184" s="22"/>
      <c r="I184" s="22"/>
      <c r="J184" s="22"/>
      <c r="K184" s="22"/>
      <c r="L184" s="22"/>
      <c r="M184" s="22"/>
      <c r="N184" s="107">
        <v>3054.75</v>
      </c>
    </row>
    <row r="185" spans="1:14">
      <c r="A185" s="64" t="s">
        <v>145</v>
      </c>
      <c r="B185" s="107">
        <v>1815.43</v>
      </c>
      <c r="C185" s="107">
        <v>1879.57</v>
      </c>
      <c r="D185" s="107">
        <v>3026.71</v>
      </c>
      <c r="E185" s="107">
        <v>130.29</v>
      </c>
      <c r="F185" s="107">
        <v>1056.76</v>
      </c>
      <c r="G185" s="107">
        <v>1932.44</v>
      </c>
      <c r="H185" s="107">
        <v>2716.57</v>
      </c>
      <c r="I185" s="107">
        <v>1915.72</v>
      </c>
      <c r="J185" s="107">
        <v>3659.21</v>
      </c>
      <c r="K185" s="107">
        <v>2718.48</v>
      </c>
      <c r="L185" s="107">
        <v>3105.44</v>
      </c>
      <c r="M185" s="107">
        <v>2970.28</v>
      </c>
      <c r="N185" s="107">
        <v>26926.9</v>
      </c>
    </row>
    <row r="186" spans="1:14">
      <c r="A186" s="64" t="s">
        <v>147</v>
      </c>
      <c r="B186" s="107">
        <v>2781.02</v>
      </c>
      <c r="C186" s="107">
        <v>2546.96</v>
      </c>
      <c r="D186" s="107">
        <v>2838.09</v>
      </c>
      <c r="E186" s="107">
        <v>2762.5</v>
      </c>
      <c r="F186" s="107">
        <v>3052.2</v>
      </c>
      <c r="G186" s="107">
        <v>2509.02</v>
      </c>
      <c r="H186" s="107">
        <v>2841.17</v>
      </c>
      <c r="I186" s="107">
        <v>3434.43</v>
      </c>
      <c r="J186" s="107">
        <v>3626.12</v>
      </c>
      <c r="K186" s="107">
        <v>2895.91</v>
      </c>
      <c r="L186" s="107">
        <v>2905.21</v>
      </c>
      <c r="M186" s="107">
        <v>3382.69</v>
      </c>
      <c r="N186" s="107">
        <v>35575.32</v>
      </c>
    </row>
    <row r="187" spans="1:14">
      <c r="A187" s="64" t="s">
        <v>148</v>
      </c>
      <c r="B187" s="107">
        <v>3045.86</v>
      </c>
      <c r="C187" s="107">
        <v>2170.3000000000002</v>
      </c>
      <c r="D187" s="107">
        <v>2487.63</v>
      </c>
      <c r="E187" s="107">
        <v>2349.4299999999998</v>
      </c>
      <c r="F187" s="107">
        <v>1900.29</v>
      </c>
      <c r="G187" s="107">
        <v>2302.86</v>
      </c>
      <c r="H187" s="107">
        <v>2751.96</v>
      </c>
      <c r="I187" s="107">
        <v>3013</v>
      </c>
      <c r="J187" s="107">
        <v>2992.5</v>
      </c>
      <c r="K187" s="107">
        <v>1868.56</v>
      </c>
      <c r="L187" s="107">
        <v>2596.23</v>
      </c>
      <c r="M187" s="107">
        <v>2847.58</v>
      </c>
      <c r="N187" s="107">
        <v>30326.2</v>
      </c>
    </row>
    <row r="188" spans="1:14">
      <c r="A188" s="64" t="s">
        <v>149</v>
      </c>
      <c r="B188" s="107">
        <v>3111.02</v>
      </c>
      <c r="C188" s="107">
        <v>3027.09</v>
      </c>
      <c r="D188" s="107">
        <v>3179.08</v>
      </c>
      <c r="E188" s="107">
        <v>3207.5</v>
      </c>
      <c r="F188" s="107">
        <v>3073.91</v>
      </c>
      <c r="G188" s="107">
        <v>3886.77</v>
      </c>
      <c r="H188" s="107">
        <v>2873.92</v>
      </c>
      <c r="I188" s="107">
        <v>2543.79</v>
      </c>
      <c r="J188" s="107">
        <v>2229.13</v>
      </c>
      <c r="K188" s="107">
        <v>2464.4899999999998</v>
      </c>
      <c r="L188" s="107">
        <v>2266.92</v>
      </c>
      <c r="M188" s="107">
        <v>1697.64</v>
      </c>
      <c r="N188" s="107">
        <v>33561.26</v>
      </c>
    </row>
    <row r="189" spans="1:14">
      <c r="A189" s="64" t="s">
        <v>150</v>
      </c>
      <c r="B189" s="107">
        <v>8047.56</v>
      </c>
      <c r="C189" s="107">
        <v>7527.89</v>
      </c>
      <c r="D189" s="107">
        <v>8404.7999999999993</v>
      </c>
      <c r="E189" s="107">
        <v>8821.75</v>
      </c>
      <c r="F189" s="107">
        <v>9214.4</v>
      </c>
      <c r="G189" s="107">
        <v>6839.41</v>
      </c>
      <c r="H189" s="107">
        <v>7013.55</v>
      </c>
      <c r="I189" s="107">
        <v>8625.7900000000009</v>
      </c>
      <c r="J189" s="107">
        <v>7670.33</v>
      </c>
      <c r="K189" s="107">
        <v>8669.81</v>
      </c>
      <c r="L189" s="107">
        <v>8687.98</v>
      </c>
      <c r="M189" s="107">
        <v>9757</v>
      </c>
      <c r="N189" s="107">
        <v>99280.27</v>
      </c>
    </row>
    <row r="190" spans="1:14">
      <c r="A190" s="64" t="s">
        <v>283</v>
      </c>
      <c r="B190" s="107">
        <v>487.55</v>
      </c>
      <c r="C190" s="107">
        <v>1534.35</v>
      </c>
      <c r="D190" s="107">
        <v>3037.2</v>
      </c>
      <c r="E190" s="107">
        <v>4931.53</v>
      </c>
      <c r="F190" s="107">
        <v>4944.25</v>
      </c>
      <c r="G190" s="107">
        <v>5221.8900000000003</v>
      </c>
      <c r="H190" s="107">
        <v>7026.03</v>
      </c>
      <c r="I190" s="107">
        <v>6808.64</v>
      </c>
      <c r="J190" s="107">
        <v>7443.75</v>
      </c>
      <c r="K190" s="107">
        <v>6211.35</v>
      </c>
      <c r="L190" s="107">
        <v>6433.53</v>
      </c>
      <c r="M190" s="107">
        <v>6085.9</v>
      </c>
      <c r="N190" s="107">
        <v>60165.97</v>
      </c>
    </row>
    <row r="191" spans="1:14">
      <c r="A191" s="64" t="s">
        <v>153</v>
      </c>
      <c r="B191" s="107">
        <v>2826.07</v>
      </c>
      <c r="C191" s="107">
        <v>2815.11</v>
      </c>
      <c r="D191" s="107">
        <v>3486.21</v>
      </c>
      <c r="E191" s="107">
        <v>3858.9</v>
      </c>
      <c r="F191" s="107">
        <v>3264.59</v>
      </c>
      <c r="G191" s="107">
        <v>2639.91</v>
      </c>
      <c r="H191" s="107">
        <v>3923.22</v>
      </c>
      <c r="I191" s="107">
        <v>4852.76</v>
      </c>
      <c r="J191" s="107">
        <v>4772.18</v>
      </c>
      <c r="K191" s="107">
        <v>3896.72</v>
      </c>
      <c r="L191" s="107">
        <v>3323.33</v>
      </c>
      <c r="M191" s="107">
        <v>2817.39</v>
      </c>
      <c r="N191" s="107">
        <v>42476.39</v>
      </c>
    </row>
    <row r="192" spans="1:14">
      <c r="A192" s="64" t="s">
        <v>154</v>
      </c>
      <c r="B192" s="107">
        <v>7971.43</v>
      </c>
      <c r="C192" s="107">
        <v>7354.28</v>
      </c>
      <c r="D192" s="107">
        <v>7971.43</v>
      </c>
      <c r="E192" s="107">
        <v>6480</v>
      </c>
      <c r="F192" s="107">
        <v>-842.14</v>
      </c>
      <c r="G192" s="107">
        <v>10404.209999999999</v>
      </c>
      <c r="H192" s="107">
        <v>7568.6</v>
      </c>
      <c r="I192" s="107">
        <v>8379.5300000000007</v>
      </c>
      <c r="J192" s="107">
        <v>6217.06</v>
      </c>
      <c r="K192" s="107">
        <v>8001.09</v>
      </c>
      <c r="L192" s="107">
        <v>8109.22</v>
      </c>
      <c r="M192" s="107">
        <v>4487.09</v>
      </c>
      <c r="N192" s="107">
        <v>82101.8</v>
      </c>
    </row>
    <row r="193" spans="1:14">
      <c r="A193" s="64" t="s">
        <v>155</v>
      </c>
      <c r="B193" s="111">
        <v>12925.03</v>
      </c>
      <c r="C193" s="111">
        <v>12216.07</v>
      </c>
      <c r="D193" s="111">
        <v>11215.8</v>
      </c>
      <c r="E193" s="111">
        <v>11124.84</v>
      </c>
      <c r="F193" s="111">
        <v>10742.2</v>
      </c>
      <c r="G193" s="111">
        <v>8914.1</v>
      </c>
      <c r="H193" s="111">
        <v>8683.2999999999993</v>
      </c>
      <c r="I193" s="111">
        <v>11058.71</v>
      </c>
      <c r="J193" s="111">
        <v>11736.41</v>
      </c>
      <c r="K193" s="111">
        <v>10742.19</v>
      </c>
      <c r="L193" s="111">
        <v>10872.36</v>
      </c>
      <c r="M193" s="111">
        <v>10784.59</v>
      </c>
      <c r="N193" s="111">
        <v>131015.6</v>
      </c>
    </row>
    <row r="194" spans="1:14">
      <c r="A194" s="64" t="s">
        <v>156</v>
      </c>
      <c r="B194" s="107">
        <f t="shared" ref="B194:M194" si="42">SUM(B172:B193)</f>
        <v>158289.84</v>
      </c>
      <c r="C194" s="107">
        <f t="shared" si="42"/>
        <v>134319.27000000002</v>
      </c>
      <c r="D194" s="107">
        <f t="shared" si="42"/>
        <v>157155.93</v>
      </c>
      <c r="E194" s="107">
        <f t="shared" si="42"/>
        <v>148460.31999999998</v>
      </c>
      <c r="F194" s="107">
        <f t="shared" si="42"/>
        <v>148088.79999999996</v>
      </c>
      <c r="G194" s="107">
        <f t="shared" si="42"/>
        <v>160869.39000000001</v>
      </c>
      <c r="H194" s="107">
        <f t="shared" si="42"/>
        <v>144297</v>
      </c>
      <c r="I194" s="107">
        <f t="shared" si="42"/>
        <v>165371.04</v>
      </c>
      <c r="J194" s="107">
        <f t="shared" si="42"/>
        <v>178177.58999999997</v>
      </c>
      <c r="K194" s="107">
        <f t="shared" si="42"/>
        <v>187962.28</v>
      </c>
      <c r="L194" s="107">
        <f t="shared" si="42"/>
        <v>190663.34000000003</v>
      </c>
      <c r="M194" s="107">
        <f t="shared" si="42"/>
        <v>176338.69</v>
      </c>
      <c r="N194" s="107">
        <v>1949993.49</v>
      </c>
    </row>
    <row r="195" spans="1:14">
      <c r="A195" s="64"/>
      <c r="B195" s="22"/>
      <c r="C195" s="22"/>
      <c r="D195" s="22"/>
      <c r="E195" s="22"/>
      <c r="F195" s="22"/>
      <c r="G195" s="22"/>
      <c r="H195" s="22"/>
      <c r="I195" s="22"/>
      <c r="J195" s="22"/>
      <c r="K195" s="22"/>
      <c r="L195" s="22"/>
      <c r="M195" s="22"/>
      <c r="N195" s="22"/>
    </row>
    <row r="196" spans="1:14">
      <c r="A196" s="64"/>
      <c r="B196" s="22"/>
      <c r="C196" s="22"/>
      <c r="D196" s="22"/>
      <c r="E196" s="22"/>
      <c r="F196" s="22"/>
      <c r="G196" s="22"/>
      <c r="H196" s="22"/>
      <c r="I196" s="22"/>
      <c r="J196" s="22"/>
      <c r="K196" s="22"/>
      <c r="L196" s="22"/>
      <c r="M196" s="22"/>
      <c r="N196" s="22"/>
    </row>
    <row r="197" spans="1:14">
      <c r="A197" s="64" t="s">
        <v>157</v>
      </c>
      <c r="B197" s="22"/>
      <c r="C197" s="22"/>
      <c r="D197" s="22"/>
      <c r="E197" s="22"/>
      <c r="F197" s="22"/>
      <c r="G197" s="22"/>
      <c r="H197" s="22"/>
      <c r="I197" s="22"/>
      <c r="J197" s="22"/>
      <c r="K197" s="22"/>
      <c r="L197" s="22"/>
      <c r="M197" s="22"/>
      <c r="N197" s="22"/>
    </row>
    <row r="198" spans="1:14">
      <c r="A198" s="64" t="s">
        <v>158</v>
      </c>
      <c r="B198" s="107">
        <v>6863.83</v>
      </c>
      <c r="C198" s="107">
        <v>21053.18</v>
      </c>
      <c r="D198" s="107"/>
      <c r="E198" s="107"/>
      <c r="F198" s="107">
        <v>-10740.93</v>
      </c>
      <c r="G198" s="107"/>
      <c r="H198" s="107"/>
      <c r="I198" s="107"/>
      <c r="J198" s="107">
        <v>1100</v>
      </c>
      <c r="K198" s="107">
        <v>-1100</v>
      </c>
      <c r="L198" s="107"/>
      <c r="M198" s="107"/>
      <c r="N198" s="107">
        <v>17176.080000000002</v>
      </c>
    </row>
    <row r="199" spans="1:14">
      <c r="A199" s="64" t="s">
        <v>159</v>
      </c>
      <c r="B199" s="107">
        <v>2536.39</v>
      </c>
      <c r="C199" s="107">
        <v>3512.33</v>
      </c>
      <c r="D199" s="107"/>
      <c r="E199" s="107"/>
      <c r="F199" s="107">
        <v>-15059.25</v>
      </c>
      <c r="G199" s="107"/>
      <c r="H199" s="107"/>
      <c r="I199" s="107"/>
      <c r="J199" s="107">
        <v>15300</v>
      </c>
      <c r="K199" s="107">
        <v>-15300</v>
      </c>
      <c r="L199" s="107"/>
      <c r="M199" s="107"/>
      <c r="N199" s="107">
        <v>-9010.5300000000007</v>
      </c>
    </row>
    <row r="200" spans="1:14">
      <c r="A200" s="64" t="s">
        <v>160</v>
      </c>
      <c r="B200" s="107">
        <v>4002.56</v>
      </c>
      <c r="C200" s="107">
        <v>946.5</v>
      </c>
      <c r="D200" s="22"/>
      <c r="E200" s="22"/>
      <c r="F200" s="107">
        <v>-7220.59</v>
      </c>
      <c r="G200" s="22"/>
      <c r="H200" s="107"/>
      <c r="I200" s="107"/>
      <c r="J200" s="107">
        <v>4379.72</v>
      </c>
      <c r="K200" s="107">
        <v>-4379.72</v>
      </c>
      <c r="L200" s="107"/>
      <c r="M200" s="107"/>
      <c r="N200" s="107">
        <v>-2271.5300000000002</v>
      </c>
    </row>
    <row r="201" spans="1:14">
      <c r="A201" s="64" t="s">
        <v>161</v>
      </c>
      <c r="B201" s="111">
        <v>1622.77</v>
      </c>
      <c r="C201" s="111">
        <v>7213.88</v>
      </c>
      <c r="D201" s="111"/>
      <c r="E201" s="111"/>
      <c r="F201" s="111">
        <v>-11451.27</v>
      </c>
      <c r="G201" s="111"/>
      <c r="H201" s="111"/>
      <c r="I201" s="111">
        <v>316</v>
      </c>
      <c r="J201" s="111">
        <v>1884</v>
      </c>
      <c r="K201" s="111">
        <v>-2200</v>
      </c>
      <c r="L201" s="111"/>
      <c r="M201" s="111"/>
      <c r="N201" s="111">
        <v>-2614.62</v>
      </c>
    </row>
    <row r="202" spans="1:14">
      <c r="A202" s="64" t="s">
        <v>162</v>
      </c>
      <c r="B202" s="107">
        <f>SUM(B195:B201)</f>
        <v>15025.55</v>
      </c>
      <c r="C202" s="107">
        <f>SUM(C195:C201)</f>
        <v>32725.890000000003</v>
      </c>
      <c r="D202" s="107"/>
      <c r="E202" s="107"/>
      <c r="F202" s="107">
        <f>SUM(F195:F201)</f>
        <v>-44472.040000000008</v>
      </c>
      <c r="G202" s="107"/>
      <c r="H202" s="107"/>
      <c r="I202" s="107">
        <f>SUM(I195:I201)</f>
        <v>316</v>
      </c>
      <c r="J202" s="107">
        <f>SUM(J195:J201)</f>
        <v>22663.72</v>
      </c>
      <c r="K202" s="107">
        <f>SUM(K195:K201)</f>
        <v>-22979.72</v>
      </c>
      <c r="L202" s="107"/>
      <c r="M202" s="107"/>
      <c r="N202" s="107">
        <v>3279.4</v>
      </c>
    </row>
    <row r="203" spans="1:14">
      <c r="A203" s="64"/>
      <c r="B203" s="22"/>
      <c r="C203" s="22"/>
      <c r="D203" s="22"/>
      <c r="E203" s="22"/>
      <c r="F203" s="22"/>
      <c r="G203" s="22"/>
      <c r="H203" s="22"/>
      <c r="I203" s="22"/>
      <c r="J203" s="22"/>
      <c r="K203" s="22"/>
      <c r="L203" s="22"/>
      <c r="M203" s="22"/>
      <c r="N203" s="22"/>
    </row>
    <row r="204" spans="1:14">
      <c r="A204" s="64" t="s">
        <v>163</v>
      </c>
      <c r="B204" s="22"/>
      <c r="C204" s="22"/>
      <c r="D204" s="22"/>
      <c r="E204" s="22"/>
      <c r="F204" s="22"/>
      <c r="G204" s="22"/>
      <c r="H204" s="22"/>
      <c r="I204" s="22"/>
      <c r="J204" s="22"/>
      <c r="K204" s="22"/>
      <c r="L204" s="22"/>
      <c r="M204" s="22"/>
      <c r="N204" s="22"/>
    </row>
    <row r="205" spans="1:14">
      <c r="A205" s="64" t="s">
        <v>164</v>
      </c>
      <c r="B205" s="107">
        <v>12718.82</v>
      </c>
      <c r="C205" s="107">
        <v>11515.89</v>
      </c>
      <c r="D205" s="107">
        <v>12373.96</v>
      </c>
      <c r="E205" s="107">
        <v>11624.06</v>
      </c>
      <c r="F205" s="107">
        <v>11937.85</v>
      </c>
      <c r="G205" s="107">
        <v>13182.49</v>
      </c>
      <c r="H205" s="107">
        <v>11368.75</v>
      </c>
      <c r="I205" s="107">
        <v>12619.86</v>
      </c>
      <c r="J205" s="107">
        <v>14145.41</v>
      </c>
      <c r="K205" s="107">
        <v>15443.38</v>
      </c>
      <c r="L205" s="107">
        <v>14643.29</v>
      </c>
      <c r="M205" s="107">
        <v>15165.82</v>
      </c>
      <c r="N205" s="107">
        <v>156739.57999999999</v>
      </c>
    </row>
    <row r="206" spans="1:14">
      <c r="A206" s="64" t="s">
        <v>165</v>
      </c>
      <c r="B206" s="107">
        <v>791.67</v>
      </c>
      <c r="C206" s="107">
        <v>524.14</v>
      </c>
      <c r="D206" s="107">
        <v>672.17</v>
      </c>
      <c r="E206" s="107">
        <v>812.89</v>
      </c>
      <c r="F206" s="107">
        <v>890.92</v>
      </c>
      <c r="G206" s="107">
        <v>4742.95</v>
      </c>
      <c r="H206" s="107">
        <v>2646.33</v>
      </c>
      <c r="I206" s="107">
        <v>1956.51</v>
      </c>
      <c r="J206" s="107">
        <v>1763.45</v>
      </c>
      <c r="K206" s="107">
        <v>1974.92</v>
      </c>
      <c r="L206" s="107">
        <v>1491.82</v>
      </c>
      <c r="M206" s="107">
        <v>1063.55</v>
      </c>
      <c r="N206" s="107">
        <v>19331.32</v>
      </c>
    </row>
    <row r="207" spans="1:14">
      <c r="A207" s="64" t="s">
        <v>166</v>
      </c>
      <c r="B207" s="107">
        <v>1111.1099999999999</v>
      </c>
      <c r="C207" s="107">
        <v>1347.83</v>
      </c>
      <c r="D207" s="107">
        <v>665.44</v>
      </c>
      <c r="E207" s="107">
        <v>662.52</v>
      </c>
      <c r="F207" s="107">
        <v>1752.76</v>
      </c>
      <c r="G207" s="107">
        <v>1503.36</v>
      </c>
      <c r="H207" s="107">
        <v>2136.09</v>
      </c>
      <c r="I207" s="107">
        <v>3063.78</v>
      </c>
      <c r="J207" s="107">
        <v>2339.7800000000002</v>
      </c>
      <c r="K207" s="107">
        <v>2623.8</v>
      </c>
      <c r="L207" s="107">
        <v>1557.87</v>
      </c>
      <c r="M207" s="107">
        <v>1217.55</v>
      </c>
      <c r="N207" s="107">
        <v>19981.89</v>
      </c>
    </row>
    <row r="208" spans="1:14">
      <c r="A208" s="64" t="s">
        <v>167</v>
      </c>
      <c r="B208" s="107">
        <v>4306.97</v>
      </c>
      <c r="C208" s="107">
        <v>4720.54</v>
      </c>
      <c r="D208" s="107">
        <v>4549.01</v>
      </c>
      <c r="E208" s="107">
        <v>3092.39</v>
      </c>
      <c r="F208" s="107">
        <v>3930.28</v>
      </c>
      <c r="G208" s="107">
        <v>564.66999999999996</v>
      </c>
      <c r="H208" s="107">
        <v>4474.3500000000004</v>
      </c>
      <c r="I208" s="107">
        <v>567.71</v>
      </c>
      <c r="J208" s="107">
        <v>2332.37</v>
      </c>
      <c r="K208" s="107">
        <v>6066.94</v>
      </c>
      <c r="L208" s="107">
        <v>6037.23</v>
      </c>
      <c r="M208" s="107">
        <v>13602.88</v>
      </c>
      <c r="N208" s="107">
        <v>54245.34</v>
      </c>
    </row>
    <row r="209" spans="1:14">
      <c r="A209" s="64" t="s">
        <v>168</v>
      </c>
      <c r="B209" s="22"/>
      <c r="C209" s="107">
        <v>5714.24</v>
      </c>
      <c r="D209" s="22"/>
      <c r="E209" s="107">
        <v>4589.55</v>
      </c>
      <c r="F209" s="107">
        <v>5712.94</v>
      </c>
      <c r="G209" s="107">
        <v>5204.8500000000004</v>
      </c>
      <c r="H209" s="22"/>
      <c r="I209" s="22"/>
      <c r="J209" s="22"/>
      <c r="K209" s="107">
        <v>8744.39</v>
      </c>
      <c r="L209" s="107">
        <v>-3111.63</v>
      </c>
      <c r="M209" s="107">
        <v>5333.99</v>
      </c>
      <c r="N209" s="107">
        <v>32188.33</v>
      </c>
    </row>
    <row r="210" spans="1:14">
      <c r="A210" s="64" t="s">
        <v>169</v>
      </c>
      <c r="B210" s="107">
        <v>913.14</v>
      </c>
      <c r="C210" s="107">
        <v>4513.83</v>
      </c>
      <c r="D210" s="107">
        <v>-44.17</v>
      </c>
      <c r="E210" s="107">
        <v>2485.73</v>
      </c>
      <c r="F210" s="107">
        <v>1152</v>
      </c>
      <c r="G210" s="107">
        <v>3501.72</v>
      </c>
      <c r="H210" s="107">
        <v>2255.09</v>
      </c>
      <c r="I210" s="107">
        <v>1807.21</v>
      </c>
      <c r="J210" s="107">
        <v>85.25</v>
      </c>
      <c r="K210" s="107">
        <v>1881.14</v>
      </c>
      <c r="L210" s="107">
        <v>962.29</v>
      </c>
      <c r="M210" s="107">
        <v>5232.28</v>
      </c>
      <c r="N210" s="107">
        <v>24745.51</v>
      </c>
    </row>
    <row r="211" spans="1:14">
      <c r="A211" s="64" t="s">
        <v>318</v>
      </c>
      <c r="B211" s="22"/>
      <c r="C211" s="22"/>
      <c r="D211" s="22"/>
      <c r="E211" s="22"/>
      <c r="F211" s="22"/>
      <c r="G211" s="22"/>
      <c r="H211" s="22"/>
      <c r="I211" s="22"/>
      <c r="J211" s="22"/>
      <c r="K211" s="22"/>
      <c r="L211" s="22"/>
      <c r="M211" s="107">
        <v>500</v>
      </c>
      <c r="N211" s="107">
        <v>500</v>
      </c>
    </row>
    <row r="212" spans="1:14">
      <c r="A212" s="64" t="s">
        <v>171</v>
      </c>
      <c r="B212" s="111">
        <v>9057.08</v>
      </c>
      <c r="C212" s="111">
        <v>423.55</v>
      </c>
      <c r="D212" s="111">
        <v>170.59</v>
      </c>
      <c r="E212" s="111">
        <v>-4375.3900000000003</v>
      </c>
      <c r="F212" s="111">
        <v>2371.62</v>
      </c>
      <c r="G212" s="111">
        <v>810.64</v>
      </c>
      <c r="H212" s="111">
        <v>535.62</v>
      </c>
      <c r="I212" s="111">
        <v>553.99</v>
      </c>
      <c r="J212" s="111">
        <v>7173.56</v>
      </c>
      <c r="K212" s="111">
        <v>1385.77</v>
      </c>
      <c r="L212" s="111">
        <v>1065.57</v>
      </c>
      <c r="M212" s="111">
        <v>921.37</v>
      </c>
      <c r="N212" s="111">
        <v>20093.97</v>
      </c>
    </row>
    <row r="213" spans="1:14">
      <c r="A213" s="64" t="s">
        <v>16</v>
      </c>
      <c r="B213" s="107">
        <f t="shared" ref="B213:M213" si="43">SUM(B203:B212)</f>
        <v>28898.79</v>
      </c>
      <c r="C213" s="107">
        <f t="shared" si="43"/>
        <v>28760.02</v>
      </c>
      <c r="D213" s="107">
        <f t="shared" si="43"/>
        <v>18387.000000000004</v>
      </c>
      <c r="E213" s="107">
        <f t="shared" si="43"/>
        <v>18891.75</v>
      </c>
      <c r="F213" s="107">
        <f t="shared" si="43"/>
        <v>27748.37</v>
      </c>
      <c r="G213" s="107">
        <f t="shared" si="43"/>
        <v>29510.68</v>
      </c>
      <c r="H213" s="107">
        <f t="shared" si="43"/>
        <v>23416.23</v>
      </c>
      <c r="I213" s="107">
        <f t="shared" si="43"/>
        <v>20569.060000000001</v>
      </c>
      <c r="J213" s="107">
        <f t="shared" si="43"/>
        <v>27839.82</v>
      </c>
      <c r="K213" s="107">
        <f t="shared" si="43"/>
        <v>38120.339999999989</v>
      </c>
      <c r="L213" s="107">
        <f t="shared" si="43"/>
        <v>22646.44</v>
      </c>
      <c r="M213" s="107">
        <f t="shared" si="43"/>
        <v>43037.439999999995</v>
      </c>
      <c r="N213" s="107">
        <v>327825.94</v>
      </c>
    </row>
    <row r="214" spans="1:14">
      <c r="A214" s="64"/>
      <c r="B214" s="22"/>
      <c r="C214" s="22"/>
      <c r="D214" s="22"/>
      <c r="E214" s="22"/>
      <c r="F214" s="22"/>
      <c r="G214" s="22"/>
      <c r="H214" s="22"/>
      <c r="I214" s="22"/>
      <c r="J214" s="22"/>
      <c r="K214" s="22"/>
      <c r="L214" s="22"/>
      <c r="M214" s="22"/>
      <c r="N214" s="22"/>
    </row>
    <row r="215" spans="1:14">
      <c r="A215" s="64" t="s">
        <v>17</v>
      </c>
      <c r="B215" s="22"/>
      <c r="C215" s="22"/>
      <c r="D215" s="22"/>
      <c r="E215" s="22"/>
      <c r="F215" s="22"/>
      <c r="G215" s="22"/>
      <c r="H215" s="22"/>
      <c r="I215" s="22"/>
      <c r="J215" s="22"/>
      <c r="K215" s="22"/>
      <c r="L215" s="22"/>
      <c r="M215" s="22"/>
      <c r="N215" s="22"/>
    </row>
    <row r="216" spans="1:14">
      <c r="A216" s="64" t="s">
        <v>172</v>
      </c>
      <c r="B216" s="107">
        <v>10572.1</v>
      </c>
      <c r="C216" s="107">
        <v>8004.88</v>
      </c>
      <c r="D216" s="107">
        <v>14777.28</v>
      </c>
      <c r="E216" s="107">
        <v>11118.09</v>
      </c>
      <c r="F216" s="107">
        <v>7668.75</v>
      </c>
      <c r="G216" s="107">
        <v>11403.99</v>
      </c>
      <c r="H216" s="107">
        <v>11211.67</v>
      </c>
      <c r="I216" s="107">
        <v>-1250.44</v>
      </c>
      <c r="J216" s="107">
        <v>7354.1</v>
      </c>
      <c r="K216" s="107">
        <v>5109.53</v>
      </c>
      <c r="L216" s="107">
        <v>3421.74</v>
      </c>
      <c r="M216" s="107">
        <v>7875.7</v>
      </c>
      <c r="N216" s="107">
        <v>97267.39</v>
      </c>
    </row>
    <row r="217" spans="1:14">
      <c r="A217" s="64" t="s">
        <v>173</v>
      </c>
      <c r="B217" s="107">
        <v>14862.21</v>
      </c>
      <c r="C217" s="107">
        <v>14672.08</v>
      </c>
      <c r="D217" s="107">
        <v>12345.22</v>
      </c>
      <c r="E217" s="107">
        <v>12376.74</v>
      </c>
      <c r="F217" s="107">
        <v>13175.53</v>
      </c>
      <c r="G217" s="107">
        <v>14032.77</v>
      </c>
      <c r="H217" s="107">
        <v>14248.74</v>
      </c>
      <c r="I217" s="107">
        <v>18400</v>
      </c>
      <c r="J217" s="107">
        <v>18429.28</v>
      </c>
      <c r="K217" s="107">
        <v>16103.25</v>
      </c>
      <c r="L217" s="107">
        <v>13692.32</v>
      </c>
      <c r="M217" s="107">
        <v>15900.73</v>
      </c>
      <c r="N217" s="107">
        <v>178238.87</v>
      </c>
    </row>
    <row r="218" spans="1:14">
      <c r="A218" s="64" t="s">
        <v>174</v>
      </c>
      <c r="B218" s="107">
        <v>14308.31</v>
      </c>
      <c r="C218" s="107">
        <v>16513.88</v>
      </c>
      <c r="D218" s="107">
        <v>15002.32</v>
      </c>
      <c r="E218" s="107">
        <v>15002.32</v>
      </c>
      <c r="F218" s="107">
        <v>10209.450000000001</v>
      </c>
      <c r="G218" s="107">
        <v>10196</v>
      </c>
      <c r="H218" s="107">
        <v>7319.22</v>
      </c>
      <c r="I218" s="107">
        <v>14500</v>
      </c>
      <c r="J218" s="107">
        <v>16593.53</v>
      </c>
      <c r="K218" s="107">
        <v>19364.39</v>
      </c>
      <c r="L218" s="107">
        <v>15573.49</v>
      </c>
      <c r="M218" s="107">
        <v>12005.74</v>
      </c>
      <c r="N218" s="107">
        <v>166588.65</v>
      </c>
    </row>
    <row r="219" spans="1:14">
      <c r="A219" s="64" t="s">
        <v>175</v>
      </c>
      <c r="B219" s="107">
        <v>4408.5600000000004</v>
      </c>
      <c r="C219" s="107">
        <v>4401.3100000000004</v>
      </c>
      <c r="D219" s="107">
        <v>8174.7</v>
      </c>
      <c r="E219" s="107">
        <v>9277.4500000000007</v>
      </c>
      <c r="F219" s="107">
        <v>8777.66</v>
      </c>
      <c r="G219" s="107">
        <v>7285.44</v>
      </c>
      <c r="H219" s="107">
        <v>13748.33</v>
      </c>
      <c r="I219" s="107">
        <v>9899.99</v>
      </c>
      <c r="J219" s="107">
        <v>8838.2900000000009</v>
      </c>
      <c r="K219" s="107">
        <v>8027.92</v>
      </c>
      <c r="L219" s="107">
        <v>6511.15</v>
      </c>
      <c r="M219" s="107">
        <v>7368.32</v>
      </c>
      <c r="N219" s="107">
        <v>96719.12</v>
      </c>
    </row>
    <row r="220" spans="1:14">
      <c r="A220" s="64" t="s">
        <v>176</v>
      </c>
      <c r="B220" s="107">
        <v>-50.79</v>
      </c>
      <c r="C220" s="22"/>
      <c r="D220" s="22"/>
      <c r="E220" s="22"/>
      <c r="F220" s="22"/>
      <c r="G220" s="22"/>
      <c r="H220" s="22"/>
      <c r="I220" s="22"/>
      <c r="J220" s="22"/>
      <c r="K220" s="22"/>
      <c r="L220" s="22"/>
      <c r="M220" s="22"/>
      <c r="N220" s="107">
        <v>-50.79</v>
      </c>
    </row>
    <row r="221" spans="1:14">
      <c r="A221" s="64" t="s">
        <v>177</v>
      </c>
      <c r="B221" s="107">
        <v>632.05999999999995</v>
      </c>
      <c r="C221" s="107">
        <v>1389.03</v>
      </c>
      <c r="D221" s="107">
        <v>313.3</v>
      </c>
      <c r="E221" s="107">
        <v>747.61</v>
      </c>
      <c r="F221" s="107">
        <v>1004</v>
      </c>
      <c r="G221" s="22"/>
      <c r="H221" s="107">
        <v>707.83</v>
      </c>
      <c r="I221" s="107">
        <v>511.47</v>
      </c>
      <c r="J221" s="107">
        <v>208.4</v>
      </c>
      <c r="K221" s="107">
        <v>236.27</v>
      </c>
      <c r="L221" s="107">
        <v>308.33999999999997</v>
      </c>
      <c r="M221" s="107">
        <v>275.77999999999997</v>
      </c>
      <c r="N221" s="107">
        <v>6334.09</v>
      </c>
    </row>
    <row r="222" spans="1:14">
      <c r="A222" s="64" t="s">
        <v>178</v>
      </c>
      <c r="B222" s="107">
        <v>215.73</v>
      </c>
      <c r="C222" s="107">
        <v>693.33</v>
      </c>
      <c r="D222" s="107">
        <v>841.07</v>
      </c>
      <c r="E222" s="107">
        <v>583.38</v>
      </c>
      <c r="F222" s="107">
        <v>294.13</v>
      </c>
      <c r="G222" s="107">
        <v>1099.32</v>
      </c>
      <c r="H222" s="107">
        <v>1689.54</v>
      </c>
      <c r="I222" s="107">
        <v>1137.8599999999999</v>
      </c>
      <c r="J222" s="107">
        <v>1811.02</v>
      </c>
      <c r="K222" s="107">
        <v>1091.0999999999999</v>
      </c>
      <c r="L222" s="107">
        <v>1110.83</v>
      </c>
      <c r="M222" s="107">
        <v>1646.05</v>
      </c>
      <c r="N222" s="107">
        <v>12213.36</v>
      </c>
    </row>
    <row r="223" spans="1:14">
      <c r="A223" s="64" t="s">
        <v>179</v>
      </c>
      <c r="B223" s="107">
        <v>523.95000000000005</v>
      </c>
      <c r="C223" s="107">
        <v>246.11</v>
      </c>
      <c r="D223" s="107">
        <v>464.12</v>
      </c>
      <c r="E223" s="107">
        <v>345.42</v>
      </c>
      <c r="F223" s="107">
        <v>148.71</v>
      </c>
      <c r="G223" s="107">
        <v>148.49</v>
      </c>
      <c r="H223" s="107">
        <v>200.3</v>
      </c>
      <c r="I223" s="107">
        <v>1513.11</v>
      </c>
      <c r="J223" s="107">
        <v>70.069999999999993</v>
      </c>
      <c r="K223" s="107">
        <v>1792.7</v>
      </c>
      <c r="L223" s="107">
        <v>183.37</v>
      </c>
      <c r="M223" s="107">
        <v>811.73</v>
      </c>
      <c r="N223" s="107">
        <v>6448.08</v>
      </c>
    </row>
    <row r="224" spans="1:14">
      <c r="A224" s="64" t="s">
        <v>180</v>
      </c>
      <c r="B224" s="107">
        <v>1020.12</v>
      </c>
      <c r="C224" s="107">
        <v>1056.77</v>
      </c>
      <c r="D224" s="107">
        <v>1462.73</v>
      </c>
      <c r="E224" s="107">
        <v>874.67</v>
      </c>
      <c r="F224" s="107">
        <v>2226.19</v>
      </c>
      <c r="G224" s="107">
        <v>845.08</v>
      </c>
      <c r="H224" s="107">
        <v>1078.52</v>
      </c>
      <c r="I224" s="107">
        <v>1516.38</v>
      </c>
      <c r="J224" s="107">
        <v>1384.76</v>
      </c>
      <c r="K224" s="107">
        <v>560.29999999999995</v>
      </c>
      <c r="L224" s="107">
        <v>1431.81</v>
      </c>
      <c r="M224" s="107">
        <v>631.78</v>
      </c>
      <c r="N224" s="107">
        <v>14089.11</v>
      </c>
    </row>
    <row r="225" spans="1:14">
      <c r="A225" s="64" t="s">
        <v>181</v>
      </c>
      <c r="B225" s="107">
        <v>1963.44</v>
      </c>
      <c r="C225" s="107">
        <v>2361.9699999999998</v>
      </c>
      <c r="D225" s="107">
        <v>1541</v>
      </c>
      <c r="E225" s="107">
        <v>1208.3699999999999</v>
      </c>
      <c r="F225" s="107">
        <v>3403.87</v>
      </c>
      <c r="G225" s="107">
        <v>2221.38</v>
      </c>
      <c r="H225" s="107">
        <v>1722.66</v>
      </c>
      <c r="I225" s="107">
        <v>2154.96</v>
      </c>
      <c r="J225" s="107">
        <v>1942.21</v>
      </c>
      <c r="K225" s="107">
        <v>1020.87</v>
      </c>
      <c r="L225" s="107">
        <v>1242.92</v>
      </c>
      <c r="M225" s="107">
        <v>1695.47</v>
      </c>
      <c r="N225" s="107">
        <v>22479.119999999999</v>
      </c>
    </row>
    <row r="226" spans="1:14">
      <c r="A226" s="64" t="s">
        <v>182</v>
      </c>
      <c r="B226" s="107">
        <v>257.39999999999998</v>
      </c>
      <c r="C226" s="107">
        <v>166.24</v>
      </c>
      <c r="D226" s="22"/>
      <c r="E226" s="107">
        <v>126.22</v>
      </c>
      <c r="F226" s="107">
        <v>301.68</v>
      </c>
      <c r="G226" s="107">
        <v>198.18</v>
      </c>
      <c r="H226" s="22"/>
      <c r="I226" s="107">
        <v>594.95000000000005</v>
      </c>
      <c r="J226" s="107">
        <v>464.8</v>
      </c>
      <c r="K226" s="107">
        <v>329.22</v>
      </c>
      <c r="L226" s="107">
        <v>272.27</v>
      </c>
      <c r="M226" s="107">
        <v>118.41</v>
      </c>
      <c r="N226" s="107">
        <v>2829.37</v>
      </c>
    </row>
    <row r="227" spans="1:14">
      <c r="A227" s="64" t="s">
        <v>183</v>
      </c>
      <c r="B227" s="107">
        <v>522.52</v>
      </c>
      <c r="C227" s="107">
        <v>428.39</v>
      </c>
      <c r="D227" s="107">
        <v>116.76</v>
      </c>
      <c r="E227" s="107">
        <v>566.95000000000005</v>
      </c>
      <c r="F227" s="22"/>
      <c r="G227" s="107">
        <v>491.87</v>
      </c>
      <c r="H227" s="22"/>
      <c r="I227" s="22"/>
      <c r="J227" s="22"/>
      <c r="K227" s="107">
        <v>486.73</v>
      </c>
      <c r="L227" s="107">
        <v>151.84</v>
      </c>
      <c r="M227" s="22"/>
      <c r="N227" s="107">
        <v>2765.06</v>
      </c>
    </row>
    <row r="228" spans="1:14">
      <c r="A228" s="64" t="s">
        <v>184</v>
      </c>
      <c r="B228" s="111">
        <v>1816.65</v>
      </c>
      <c r="C228" s="111">
        <v>2101.96</v>
      </c>
      <c r="D228" s="111">
        <v>1425.72</v>
      </c>
      <c r="E228" s="111">
        <v>1407.1</v>
      </c>
      <c r="F228" s="111">
        <v>1247.8900000000001</v>
      </c>
      <c r="G228" s="111">
        <v>1330.13</v>
      </c>
      <c r="H228" s="111">
        <v>2172.23</v>
      </c>
      <c r="I228" s="111">
        <v>3604.7</v>
      </c>
      <c r="J228" s="111">
        <v>1936.14</v>
      </c>
      <c r="K228" s="111">
        <v>2607.19</v>
      </c>
      <c r="L228" s="111">
        <v>3708.06</v>
      </c>
      <c r="M228" s="111">
        <v>3727.08</v>
      </c>
      <c r="N228" s="111">
        <v>27084.85</v>
      </c>
    </row>
    <row r="229" spans="1:14">
      <c r="A229" s="64" t="s">
        <v>185</v>
      </c>
      <c r="B229" s="107">
        <f t="shared" ref="B229:M229" si="44">SUM(B214:B228)</f>
        <v>51052.259999999995</v>
      </c>
      <c r="C229" s="107">
        <f t="shared" si="44"/>
        <v>52035.94999999999</v>
      </c>
      <c r="D229" s="107">
        <f t="shared" si="44"/>
        <v>56464.220000000008</v>
      </c>
      <c r="E229" s="107">
        <f t="shared" si="44"/>
        <v>53634.32</v>
      </c>
      <c r="F229" s="107">
        <f t="shared" si="44"/>
        <v>48457.86</v>
      </c>
      <c r="G229" s="107">
        <f t="shared" si="44"/>
        <v>49252.65</v>
      </c>
      <c r="H229" s="107">
        <f t="shared" si="44"/>
        <v>54099.040000000008</v>
      </c>
      <c r="I229" s="107">
        <f t="shared" si="44"/>
        <v>52582.979999999996</v>
      </c>
      <c r="J229" s="107">
        <f t="shared" si="44"/>
        <v>59032.6</v>
      </c>
      <c r="K229" s="107">
        <f t="shared" si="44"/>
        <v>56729.47</v>
      </c>
      <c r="L229" s="107">
        <f t="shared" si="44"/>
        <v>47608.139999999985</v>
      </c>
      <c r="M229" s="107">
        <f t="shared" si="44"/>
        <v>52056.790000000008</v>
      </c>
      <c r="N229" s="107">
        <v>633006.28</v>
      </c>
    </row>
    <row r="230" spans="1:14">
      <c r="A230" s="64"/>
      <c r="B230" s="22"/>
      <c r="C230" s="22"/>
      <c r="D230" s="22"/>
      <c r="E230" s="22"/>
      <c r="F230" s="22"/>
      <c r="G230" s="22"/>
      <c r="H230" s="22"/>
      <c r="I230" s="22"/>
      <c r="J230" s="22"/>
      <c r="K230" s="22"/>
      <c r="L230" s="22"/>
      <c r="M230" s="22"/>
      <c r="N230" s="22"/>
    </row>
    <row r="231" spans="1:14">
      <c r="A231" s="64" t="s">
        <v>186</v>
      </c>
      <c r="B231" s="22"/>
      <c r="C231" s="22"/>
      <c r="D231" s="22"/>
      <c r="E231" s="22"/>
      <c r="F231" s="22"/>
      <c r="G231" s="22"/>
      <c r="H231" s="22"/>
      <c r="I231" s="22"/>
      <c r="J231" s="22"/>
      <c r="K231" s="22"/>
      <c r="L231" s="22"/>
      <c r="M231" s="22"/>
      <c r="N231" s="22"/>
    </row>
    <row r="232" spans="1:14">
      <c r="A232" s="64" t="s">
        <v>187</v>
      </c>
      <c r="B232" s="107">
        <v>1500</v>
      </c>
      <c r="C232" s="107">
        <v>1500</v>
      </c>
      <c r="D232" s="107">
        <v>1500</v>
      </c>
      <c r="E232" s="107">
        <v>1500</v>
      </c>
      <c r="F232" s="107">
        <v>1500</v>
      </c>
      <c r="G232" s="107">
        <v>1500</v>
      </c>
      <c r="H232" s="107">
        <v>1500</v>
      </c>
      <c r="I232" s="107">
        <v>1500</v>
      </c>
      <c r="J232" s="107">
        <v>1500</v>
      </c>
      <c r="K232" s="107">
        <v>1500</v>
      </c>
      <c r="L232" s="107">
        <v>3000</v>
      </c>
      <c r="M232" s="107">
        <v>3000</v>
      </c>
      <c r="N232" s="107">
        <v>21000</v>
      </c>
    </row>
    <row r="233" spans="1:14">
      <c r="A233" s="64" t="s">
        <v>188</v>
      </c>
      <c r="B233" s="107">
        <v>575.30999999999995</v>
      </c>
      <c r="C233" s="107">
        <v>664.8</v>
      </c>
      <c r="D233" s="107">
        <v>620</v>
      </c>
      <c r="E233" s="107">
        <v>590</v>
      </c>
      <c r="F233" s="107">
        <v>650</v>
      </c>
      <c r="G233" s="107">
        <v>610</v>
      </c>
      <c r="H233" s="107">
        <v>630</v>
      </c>
      <c r="I233" s="107">
        <v>650</v>
      </c>
      <c r="J233" s="107">
        <v>570</v>
      </c>
      <c r="K233" s="107">
        <v>659.75</v>
      </c>
      <c r="L233" s="107">
        <v>650</v>
      </c>
      <c r="M233" s="107">
        <v>580.25</v>
      </c>
      <c r="N233" s="107">
        <v>7450.11</v>
      </c>
    </row>
    <row r="234" spans="1:14">
      <c r="A234" s="64" t="s">
        <v>189</v>
      </c>
      <c r="B234" s="22"/>
      <c r="C234" s="22"/>
      <c r="D234" s="107">
        <v>279</v>
      </c>
      <c r="E234" s="22"/>
      <c r="F234" s="22"/>
      <c r="G234" s="22"/>
      <c r="H234" s="22"/>
      <c r="I234" s="22"/>
      <c r="J234" s="22"/>
      <c r="K234" s="22"/>
      <c r="L234" s="22"/>
      <c r="M234" s="22"/>
      <c r="N234" s="107">
        <v>279</v>
      </c>
    </row>
    <row r="235" spans="1:14">
      <c r="A235" s="64" t="s">
        <v>190</v>
      </c>
      <c r="B235" s="107">
        <v>607.88</v>
      </c>
      <c r="C235" s="107">
        <v>-100.34</v>
      </c>
      <c r="D235" s="107">
        <v>222.89</v>
      </c>
      <c r="E235" s="107">
        <v>87.37</v>
      </c>
      <c r="F235" s="107">
        <v>97.3</v>
      </c>
      <c r="G235" s="22"/>
      <c r="H235" s="107">
        <v>34.729999999999997</v>
      </c>
      <c r="I235" s="107">
        <v>296.17</v>
      </c>
      <c r="J235" s="107">
        <v>321.77999999999997</v>
      </c>
      <c r="K235" s="107">
        <v>38.25</v>
      </c>
      <c r="L235" s="22"/>
      <c r="M235" s="22"/>
      <c r="N235" s="107">
        <v>1606.03</v>
      </c>
    </row>
    <row r="236" spans="1:14">
      <c r="A236" s="64" t="s">
        <v>191</v>
      </c>
      <c r="B236" s="107">
        <v>9816.5400000000009</v>
      </c>
      <c r="C236" s="107">
        <v>10488.65</v>
      </c>
      <c r="D236" s="107">
        <v>7122.87</v>
      </c>
      <c r="E236" s="107">
        <v>7699.9</v>
      </c>
      <c r="F236" s="107">
        <v>5675.79</v>
      </c>
      <c r="G236" s="107">
        <v>7699.05</v>
      </c>
      <c r="H236" s="107">
        <v>14289.96</v>
      </c>
      <c r="I236" s="107">
        <v>10394.35</v>
      </c>
      <c r="J236" s="107">
        <v>10239.68</v>
      </c>
      <c r="K236" s="107">
        <v>10909.02</v>
      </c>
      <c r="L236" s="107">
        <v>12256.41</v>
      </c>
      <c r="M236" s="107"/>
      <c r="N236" s="107">
        <v>106592.22</v>
      </c>
    </row>
    <row r="237" spans="1:14">
      <c r="A237" s="64" t="s">
        <v>415</v>
      </c>
      <c r="B237" s="22"/>
      <c r="C237" s="22"/>
      <c r="D237" s="22"/>
      <c r="E237" s="22"/>
      <c r="F237" s="22"/>
      <c r="G237" s="22"/>
      <c r="H237" s="22"/>
      <c r="I237" s="22"/>
      <c r="J237" s="22"/>
      <c r="K237" s="22"/>
      <c r="L237" s="22"/>
      <c r="M237" s="107">
        <v>8794.32</v>
      </c>
      <c r="N237" s="107">
        <v>8794.32</v>
      </c>
    </row>
    <row r="238" spans="1:14">
      <c r="A238" s="64" t="s">
        <v>416</v>
      </c>
      <c r="B238" s="22"/>
      <c r="C238" s="22"/>
      <c r="D238" s="22"/>
      <c r="E238" s="22"/>
      <c r="F238" s="22"/>
      <c r="G238" s="22"/>
      <c r="H238" s="22"/>
      <c r="I238" s="22"/>
      <c r="J238" s="22"/>
      <c r="K238" s="22"/>
      <c r="L238" s="22"/>
      <c r="M238" s="107">
        <v>4176.3999999999996</v>
      </c>
      <c r="N238" s="107">
        <v>4176.3999999999996</v>
      </c>
    </row>
    <row r="239" spans="1:14">
      <c r="A239" s="64" t="s">
        <v>417</v>
      </c>
      <c r="B239" s="22"/>
      <c r="C239" s="22"/>
      <c r="D239" s="22"/>
      <c r="E239" s="22"/>
      <c r="F239" s="22"/>
      <c r="G239" s="22"/>
      <c r="H239" s="22"/>
      <c r="I239" s="22"/>
      <c r="J239" s="22"/>
      <c r="K239" s="22"/>
      <c r="L239" s="22"/>
      <c r="M239" s="107">
        <v>5670.42</v>
      </c>
      <c r="N239" s="107">
        <v>5670.42</v>
      </c>
    </row>
    <row r="240" spans="1:14">
      <c r="A240" s="64" t="s">
        <v>192</v>
      </c>
      <c r="B240" s="107">
        <v>858.58</v>
      </c>
      <c r="C240" s="107">
        <v>858.58</v>
      </c>
      <c r="D240" s="107">
        <v>858.58</v>
      </c>
      <c r="E240" s="107">
        <v>858.58</v>
      </c>
      <c r="F240" s="107">
        <v>23.4</v>
      </c>
      <c r="G240" s="107">
        <v>858.58</v>
      </c>
      <c r="H240" s="107">
        <v>858.58</v>
      </c>
      <c r="I240" s="107">
        <v>900</v>
      </c>
      <c r="J240" s="107">
        <v>858.58</v>
      </c>
      <c r="K240" s="107">
        <v>858.58</v>
      </c>
      <c r="L240" s="107">
        <v>858.58</v>
      </c>
      <c r="M240" s="107">
        <v>858.58</v>
      </c>
      <c r="N240" s="107">
        <v>9509.2000000000007</v>
      </c>
    </row>
    <row r="241" spans="1:14">
      <c r="A241" s="64" t="s">
        <v>193</v>
      </c>
      <c r="B241" s="107">
        <v>2454.48</v>
      </c>
      <c r="C241" s="107">
        <v>2407.7199999999998</v>
      </c>
      <c r="D241" s="107">
        <v>2422.67</v>
      </c>
      <c r="E241" s="107">
        <v>2422.33</v>
      </c>
      <c r="F241" s="107">
        <v>2428.9899999999998</v>
      </c>
      <c r="G241" s="107">
        <v>2469.1999999999998</v>
      </c>
      <c r="H241" s="107">
        <v>2547.17</v>
      </c>
      <c r="I241" s="107">
        <v>2496.48</v>
      </c>
      <c r="J241" s="107">
        <v>3002.43</v>
      </c>
      <c r="K241" s="107">
        <v>2458.11</v>
      </c>
      <c r="L241" s="107">
        <v>2456.4499999999998</v>
      </c>
      <c r="M241" s="107">
        <v>2488.06</v>
      </c>
      <c r="N241" s="107">
        <v>30054.09</v>
      </c>
    </row>
    <row r="242" spans="1:14">
      <c r="A242" s="64" t="s">
        <v>194</v>
      </c>
      <c r="B242" s="107">
        <v>6976.5</v>
      </c>
      <c r="C242" s="107">
        <v>2334.8000000000002</v>
      </c>
      <c r="D242" s="107">
        <v>2541.96</v>
      </c>
      <c r="E242" s="107">
        <v>379.44</v>
      </c>
      <c r="F242" s="107">
        <v>4124.88</v>
      </c>
      <c r="G242" s="107">
        <v>2562.67</v>
      </c>
      <c r="H242" s="107">
        <v>1987.32</v>
      </c>
      <c r="I242" s="107">
        <v>3575.08</v>
      </c>
      <c r="J242" s="107">
        <v>1278.3699999999999</v>
      </c>
      <c r="K242" s="107">
        <v>3652.35</v>
      </c>
      <c r="L242" s="107">
        <v>5923.82</v>
      </c>
      <c r="M242" s="107">
        <v>2243.04</v>
      </c>
      <c r="N242" s="107">
        <v>37580.230000000003</v>
      </c>
    </row>
    <row r="243" spans="1:14">
      <c r="A243" s="64" t="s">
        <v>195</v>
      </c>
      <c r="B243" s="107">
        <v>3726.3</v>
      </c>
      <c r="C243" s="107">
        <v>5859.88</v>
      </c>
      <c r="D243" s="107">
        <v>2929.94</v>
      </c>
      <c r="E243" s="107">
        <v>2929.94</v>
      </c>
      <c r="F243" s="107">
        <v>2929.94</v>
      </c>
      <c r="G243" s="107">
        <v>2929.94</v>
      </c>
      <c r="H243" s="107">
        <v>2929.94</v>
      </c>
      <c r="I243" s="107">
        <v>2929.84</v>
      </c>
      <c r="J243" s="107">
        <v>2929.94</v>
      </c>
      <c r="K243" s="107">
        <v>3105.74</v>
      </c>
      <c r="L243" s="107">
        <v>3017.84</v>
      </c>
      <c r="M243" s="107">
        <v>3017.84</v>
      </c>
      <c r="N243" s="107">
        <v>39237.08</v>
      </c>
    </row>
    <row r="244" spans="1:14">
      <c r="A244" s="64" t="s">
        <v>196</v>
      </c>
      <c r="B244" s="107">
        <v>1893.29</v>
      </c>
      <c r="C244" s="107">
        <v>2013.85</v>
      </c>
      <c r="D244" s="107">
        <v>1953.57</v>
      </c>
      <c r="E244" s="107">
        <v>1953.57</v>
      </c>
      <c r="F244" s="107">
        <v>1953.57</v>
      </c>
      <c r="G244" s="107">
        <v>1953.57</v>
      </c>
      <c r="H244" s="107">
        <v>1953.57</v>
      </c>
      <c r="I244" s="107">
        <v>1953.67</v>
      </c>
      <c r="J244" s="107">
        <v>1953.57</v>
      </c>
      <c r="K244" s="107">
        <v>2070.8000000000002</v>
      </c>
      <c r="L244" s="107">
        <v>2012.19</v>
      </c>
      <c r="M244" s="107">
        <v>2012.19</v>
      </c>
      <c r="N244" s="107">
        <v>23677.41</v>
      </c>
    </row>
    <row r="245" spans="1:14">
      <c r="A245" s="64" t="s">
        <v>197</v>
      </c>
      <c r="B245" s="107">
        <v>36340.910000000003</v>
      </c>
      <c r="C245" s="107">
        <v>31834.81</v>
      </c>
      <c r="D245" s="107">
        <v>36207.870000000003</v>
      </c>
      <c r="E245" s="107">
        <v>34794.53</v>
      </c>
      <c r="F245" s="107">
        <v>37989.61</v>
      </c>
      <c r="G245" s="107">
        <v>36625.14</v>
      </c>
      <c r="H245" s="107">
        <v>37101.51</v>
      </c>
      <c r="I245" s="107">
        <v>36506.5</v>
      </c>
      <c r="J245" s="107">
        <v>40300</v>
      </c>
      <c r="K245" s="107">
        <v>38562.68</v>
      </c>
      <c r="L245" s="107">
        <v>36724.17</v>
      </c>
      <c r="M245" s="107">
        <v>39033.47</v>
      </c>
      <c r="N245" s="107">
        <v>442021.2</v>
      </c>
    </row>
    <row r="246" spans="1:14">
      <c r="A246" s="64" t="s">
        <v>198</v>
      </c>
      <c r="B246" s="107">
        <v>348</v>
      </c>
      <c r="C246" s="107">
        <v>348</v>
      </c>
      <c r="D246" s="107">
        <v>348</v>
      </c>
      <c r="E246" s="107">
        <v>348</v>
      </c>
      <c r="F246" s="107">
        <v>118</v>
      </c>
      <c r="G246" s="107">
        <v>348</v>
      </c>
      <c r="H246" s="107">
        <v>366</v>
      </c>
      <c r="I246" s="107">
        <v>566.9</v>
      </c>
      <c r="J246" s="107">
        <v>955.53</v>
      </c>
      <c r="K246" s="107">
        <v>478</v>
      </c>
      <c r="L246" s="107">
        <v>665.41</v>
      </c>
      <c r="M246" s="107">
        <v>478</v>
      </c>
      <c r="N246" s="107">
        <v>5367.84</v>
      </c>
    </row>
    <row r="247" spans="1:14">
      <c r="A247" s="64" t="s">
        <v>200</v>
      </c>
      <c r="B247" s="107">
        <v>935.17</v>
      </c>
      <c r="C247" s="107">
        <v>616</v>
      </c>
      <c r="D247" s="107">
        <v>336</v>
      </c>
      <c r="E247" s="107">
        <v>510.8</v>
      </c>
      <c r="F247" s="107">
        <v>622.23</v>
      </c>
      <c r="G247" s="107">
        <v>195</v>
      </c>
      <c r="H247" s="107">
        <v>195</v>
      </c>
      <c r="I247" s="107">
        <v>595</v>
      </c>
      <c r="J247" s="107">
        <v>300.93</v>
      </c>
      <c r="K247" s="107">
        <v>336</v>
      </c>
      <c r="L247" s="107">
        <v>650.01</v>
      </c>
      <c r="M247" s="107">
        <v>3436</v>
      </c>
      <c r="N247" s="107">
        <v>8728.14</v>
      </c>
    </row>
    <row r="248" spans="1:14">
      <c r="A248" s="64" t="s">
        <v>201</v>
      </c>
      <c r="B248" s="107">
        <v>258.93</v>
      </c>
      <c r="C248" s="107">
        <v>368.18</v>
      </c>
      <c r="D248" s="107">
        <v>138.75</v>
      </c>
      <c r="E248" s="107">
        <v>255.29</v>
      </c>
      <c r="F248" s="107">
        <v>242.54</v>
      </c>
      <c r="G248" s="107">
        <v>255.29</v>
      </c>
      <c r="H248" s="107">
        <v>408.22</v>
      </c>
      <c r="I248" s="107">
        <v>300</v>
      </c>
      <c r="J248" s="107">
        <v>-61.25</v>
      </c>
      <c r="K248" s="107">
        <v>177.5</v>
      </c>
      <c r="L248" s="107">
        <v>264.39</v>
      </c>
      <c r="M248" s="107">
        <v>138.75</v>
      </c>
      <c r="N248" s="107">
        <v>2746.59</v>
      </c>
    </row>
    <row r="249" spans="1:14">
      <c r="A249" s="64" t="s">
        <v>202</v>
      </c>
      <c r="B249" s="107">
        <v>4600</v>
      </c>
      <c r="C249" s="22"/>
      <c r="D249" s="22"/>
      <c r="E249" s="22"/>
      <c r="F249" s="107"/>
      <c r="G249" s="107"/>
      <c r="H249" s="22"/>
      <c r="I249" s="107">
        <v>4160</v>
      </c>
      <c r="J249" s="22"/>
      <c r="K249" s="107">
        <v>2117.5</v>
      </c>
      <c r="L249" s="107">
        <v>4160</v>
      </c>
      <c r="M249" s="22"/>
      <c r="N249" s="107">
        <v>15037.5</v>
      </c>
    </row>
    <row r="250" spans="1:14">
      <c r="A250" s="64" t="s">
        <v>203</v>
      </c>
      <c r="B250" s="107">
        <v>5943.4</v>
      </c>
      <c r="C250" s="107">
        <v>7016.17</v>
      </c>
      <c r="D250" s="107">
        <v>6152.46</v>
      </c>
      <c r="E250" s="107">
        <v>4816.3900000000003</v>
      </c>
      <c r="F250" s="107">
        <v>6578.74</v>
      </c>
      <c r="G250" s="107">
        <v>4999.3500000000004</v>
      </c>
      <c r="H250" s="107">
        <v>5185.38</v>
      </c>
      <c r="I250" s="107">
        <v>6496.7</v>
      </c>
      <c r="J250" s="107">
        <v>6948.76</v>
      </c>
      <c r="K250" s="107">
        <v>6718.13</v>
      </c>
      <c r="L250" s="107">
        <v>5599.88</v>
      </c>
      <c r="M250" s="107">
        <v>6578.68</v>
      </c>
      <c r="N250" s="107">
        <v>73034.039999999994</v>
      </c>
    </row>
    <row r="251" spans="1:14">
      <c r="A251" s="64" t="s">
        <v>204</v>
      </c>
      <c r="B251" s="107">
        <v>20654</v>
      </c>
      <c r="C251" s="107">
        <v>20157</v>
      </c>
      <c r="D251" s="107">
        <v>22670</v>
      </c>
      <c r="E251" s="107">
        <v>21644</v>
      </c>
      <c r="F251" s="107">
        <v>23305</v>
      </c>
      <c r="G251" s="107">
        <v>23238</v>
      </c>
      <c r="H251" s="107">
        <v>19968</v>
      </c>
      <c r="I251" s="107">
        <v>18777</v>
      </c>
      <c r="J251" s="107">
        <v>22981</v>
      </c>
      <c r="K251" s="107">
        <v>24406</v>
      </c>
      <c r="L251" s="107">
        <v>22543</v>
      </c>
      <c r="M251" s="107">
        <v>32793</v>
      </c>
      <c r="N251" s="107">
        <v>273136</v>
      </c>
    </row>
    <row r="252" spans="1:14">
      <c r="A252" s="64" t="s">
        <v>205</v>
      </c>
      <c r="B252" s="107">
        <v>901.42</v>
      </c>
      <c r="C252" s="107">
        <v>913.96</v>
      </c>
      <c r="D252" s="107">
        <v>900.94</v>
      </c>
      <c r="E252" s="107">
        <v>904.52</v>
      </c>
      <c r="F252" s="107">
        <v>651.14</v>
      </c>
      <c r="G252" s="107">
        <v>617.01</v>
      </c>
      <c r="H252" s="107">
        <v>625.75</v>
      </c>
      <c r="I252" s="107">
        <v>761.09</v>
      </c>
      <c r="J252" s="107">
        <v>626.55999999999995</v>
      </c>
      <c r="K252" s="107">
        <v>642.07000000000005</v>
      </c>
      <c r="L252" s="107">
        <v>502.22</v>
      </c>
      <c r="M252" s="107">
        <v>729.12</v>
      </c>
      <c r="N252" s="107">
        <v>8775.7999999999993</v>
      </c>
    </row>
    <row r="253" spans="1:14">
      <c r="A253" s="64" t="s">
        <v>206</v>
      </c>
      <c r="B253" s="111">
        <v>696.99</v>
      </c>
      <c r="C253" s="111">
        <v>1271.76</v>
      </c>
      <c r="D253" s="111">
        <v>347.92</v>
      </c>
      <c r="E253" s="111">
        <v>695.01</v>
      </c>
      <c r="F253" s="111">
        <v>1651.3</v>
      </c>
      <c r="G253" s="111">
        <v>508.89</v>
      </c>
      <c r="H253" s="111">
        <v>1052.7</v>
      </c>
      <c r="I253" s="111">
        <v>3536.13</v>
      </c>
      <c r="J253" s="111">
        <v>818.46</v>
      </c>
      <c r="K253" s="111">
        <v>1151.73</v>
      </c>
      <c r="L253" s="111">
        <v>1346.94</v>
      </c>
      <c r="M253" s="111">
        <v>212.09</v>
      </c>
      <c r="N253" s="111">
        <v>13289.92</v>
      </c>
    </row>
    <row r="254" spans="1:14">
      <c r="A254" s="64" t="s">
        <v>207</v>
      </c>
      <c r="B254" s="107">
        <f t="shared" ref="B254:M254" si="45">SUM(B230:B253)</f>
        <v>99087.7</v>
      </c>
      <c r="C254" s="107">
        <f t="shared" si="45"/>
        <v>88553.82</v>
      </c>
      <c r="D254" s="107">
        <f t="shared" si="45"/>
        <v>87553.42</v>
      </c>
      <c r="E254" s="107">
        <f t="shared" si="45"/>
        <v>82389.670000000013</v>
      </c>
      <c r="F254" s="107">
        <f t="shared" si="45"/>
        <v>90542.43</v>
      </c>
      <c r="G254" s="107">
        <f t="shared" si="45"/>
        <v>87369.689999999988</v>
      </c>
      <c r="H254" s="107">
        <f t="shared" si="45"/>
        <v>91633.83</v>
      </c>
      <c r="I254" s="107">
        <f t="shared" si="45"/>
        <v>96394.91</v>
      </c>
      <c r="J254" s="107">
        <f t="shared" si="45"/>
        <v>95524.34</v>
      </c>
      <c r="K254" s="107">
        <f t="shared" si="45"/>
        <v>99842.21</v>
      </c>
      <c r="L254" s="107">
        <f t="shared" si="45"/>
        <v>102631.31</v>
      </c>
      <c r="M254" s="107">
        <f t="shared" si="45"/>
        <v>116240.20999999999</v>
      </c>
      <c r="N254" s="107">
        <v>1137763.54</v>
      </c>
    </row>
    <row r="255" spans="1:14">
      <c r="A255" s="64"/>
      <c r="B255" s="22"/>
      <c r="C255" s="22"/>
      <c r="D255" s="22"/>
      <c r="E255" s="22"/>
      <c r="F255" s="22"/>
      <c r="G255" s="22"/>
      <c r="H255" s="22"/>
      <c r="I255" s="22"/>
      <c r="J255" s="22"/>
      <c r="K255" s="22"/>
      <c r="L255" s="22"/>
      <c r="M255" s="22"/>
      <c r="N255" s="22"/>
    </row>
    <row r="256" spans="1:14">
      <c r="A256" s="64" t="s">
        <v>15</v>
      </c>
      <c r="B256" s="22"/>
      <c r="C256" s="22"/>
      <c r="D256" s="22"/>
      <c r="E256" s="22"/>
      <c r="F256" s="22"/>
      <c r="G256" s="22"/>
      <c r="H256" s="22"/>
      <c r="I256" s="22"/>
      <c r="J256" s="22"/>
      <c r="K256" s="22"/>
      <c r="L256" s="22"/>
      <c r="M256" s="22"/>
      <c r="N256" s="22"/>
    </row>
    <row r="257" spans="1:14">
      <c r="A257" s="64" t="s">
        <v>208</v>
      </c>
      <c r="B257" s="107">
        <v>681.15</v>
      </c>
      <c r="C257" s="107">
        <v>1316.85</v>
      </c>
      <c r="D257" s="107">
        <v>2031.34</v>
      </c>
      <c r="E257" s="107">
        <v>887.8</v>
      </c>
      <c r="F257" s="107">
        <v>3223.18</v>
      </c>
      <c r="G257" s="107">
        <v>2211.12</v>
      </c>
      <c r="H257" s="107">
        <v>2424.91</v>
      </c>
      <c r="I257" s="107">
        <v>2097</v>
      </c>
      <c r="J257" s="107">
        <v>2289.35</v>
      </c>
      <c r="K257" s="107">
        <v>3184.1</v>
      </c>
      <c r="L257" s="107">
        <v>2201.2600000000002</v>
      </c>
      <c r="M257" s="107">
        <v>2774.44</v>
      </c>
      <c r="N257" s="107">
        <v>25322.5</v>
      </c>
    </row>
    <row r="258" spans="1:14">
      <c r="A258" s="64" t="s">
        <v>209</v>
      </c>
      <c r="B258" s="107">
        <v>435.56</v>
      </c>
      <c r="C258" s="107">
        <v>377.22</v>
      </c>
      <c r="D258" s="107">
        <v>405.5</v>
      </c>
      <c r="E258" s="107">
        <v>662.56</v>
      </c>
      <c r="F258" s="107">
        <v>767.95</v>
      </c>
      <c r="G258" s="107">
        <v>476.98</v>
      </c>
      <c r="H258" s="107">
        <v>632.80999999999995</v>
      </c>
      <c r="I258" s="107">
        <v>728.23</v>
      </c>
      <c r="J258" s="107">
        <v>406.85</v>
      </c>
      <c r="K258" s="107">
        <v>326.42</v>
      </c>
      <c r="L258" s="107">
        <v>374.32</v>
      </c>
      <c r="M258" s="107">
        <v>358.3</v>
      </c>
      <c r="N258" s="107">
        <v>5952.7</v>
      </c>
    </row>
    <row r="259" spans="1:14">
      <c r="A259" s="64" t="s">
        <v>210</v>
      </c>
      <c r="B259" s="107">
        <v>195.22</v>
      </c>
      <c r="C259" s="107">
        <v>166.48</v>
      </c>
      <c r="D259" s="107">
        <v>723.26</v>
      </c>
      <c r="E259" s="107">
        <v>217.82</v>
      </c>
      <c r="F259" s="107">
        <v>579.53</v>
      </c>
      <c r="G259" s="107">
        <v>192.59</v>
      </c>
      <c r="H259" s="107">
        <v>172.07</v>
      </c>
      <c r="I259" s="107">
        <v>460.66</v>
      </c>
      <c r="J259" s="107">
        <v>466.03</v>
      </c>
      <c r="K259" s="107">
        <v>615.38</v>
      </c>
      <c r="L259" s="107">
        <v>668.03</v>
      </c>
      <c r="M259" s="107">
        <v>382.08</v>
      </c>
      <c r="N259" s="107">
        <v>4839.1499999999996</v>
      </c>
    </row>
    <row r="260" spans="1:14">
      <c r="A260" s="64" t="s">
        <v>211</v>
      </c>
      <c r="B260" s="107">
        <v>284.52999999999997</v>
      </c>
      <c r="C260" s="107">
        <v>113.95</v>
      </c>
      <c r="D260" s="107">
        <v>151.1</v>
      </c>
      <c r="E260" s="107">
        <v>161.72</v>
      </c>
      <c r="F260" s="107">
        <v>163.95</v>
      </c>
      <c r="G260" s="107">
        <v>172.52</v>
      </c>
      <c r="H260" s="107">
        <v>137.1</v>
      </c>
      <c r="I260" s="107">
        <v>-115.95</v>
      </c>
      <c r="J260" s="107">
        <v>131</v>
      </c>
      <c r="K260" s="107">
        <v>115.95</v>
      </c>
      <c r="L260" s="107">
        <v>115.95</v>
      </c>
      <c r="M260" s="107">
        <v>115.95</v>
      </c>
      <c r="N260" s="107">
        <v>1547.77</v>
      </c>
    </row>
    <row r="261" spans="1:14">
      <c r="A261" s="64" t="s">
        <v>195</v>
      </c>
      <c r="B261" s="107">
        <v>1957.5</v>
      </c>
      <c r="C261" s="107">
        <v>1090.21</v>
      </c>
      <c r="D261" s="107">
        <v>1100.67</v>
      </c>
      <c r="E261" s="107">
        <v>22.4</v>
      </c>
      <c r="F261" s="107">
        <v>2378.2399999999998</v>
      </c>
      <c r="G261" s="107">
        <v>1024.8900000000001</v>
      </c>
      <c r="H261" s="107">
        <v>1070.81</v>
      </c>
      <c r="I261" s="107">
        <v>1196.0999999999999</v>
      </c>
      <c r="J261" s="107">
        <v>1148.45</v>
      </c>
      <c r="K261" s="107">
        <v>2240.17</v>
      </c>
      <c r="L261" s="107">
        <v>1370.93</v>
      </c>
      <c r="M261" s="107">
        <v>1455.32</v>
      </c>
      <c r="N261" s="107">
        <v>16055.69</v>
      </c>
    </row>
    <row r="262" spans="1:14">
      <c r="A262" s="64" t="s">
        <v>212</v>
      </c>
      <c r="B262" s="107">
        <v>452.32</v>
      </c>
      <c r="C262" s="107">
        <v>59.53</v>
      </c>
      <c r="D262" s="107">
        <v>460.73</v>
      </c>
      <c r="E262" s="22"/>
      <c r="F262" s="22"/>
      <c r="G262" s="107">
        <v>363.92</v>
      </c>
      <c r="H262" s="22"/>
      <c r="I262" s="107">
        <v>1102.43</v>
      </c>
      <c r="J262" s="22"/>
      <c r="K262" s="107">
        <v>511.93</v>
      </c>
      <c r="L262" s="107">
        <v>207.21</v>
      </c>
      <c r="M262" s="107">
        <v>240.48</v>
      </c>
      <c r="N262" s="107">
        <v>3398.55</v>
      </c>
    </row>
    <row r="263" spans="1:14">
      <c r="A263" s="64" t="s">
        <v>213</v>
      </c>
      <c r="B263" s="22"/>
      <c r="C263" s="107">
        <v>14.14</v>
      </c>
      <c r="D263" s="22"/>
      <c r="E263" s="22"/>
      <c r="F263" s="22"/>
      <c r="G263" s="107">
        <v>155.24</v>
      </c>
      <c r="H263" s="22"/>
      <c r="I263" s="22"/>
      <c r="J263" s="22"/>
      <c r="K263" s="107">
        <v>3.92</v>
      </c>
      <c r="L263" s="22"/>
      <c r="M263" s="107"/>
      <c r="N263" s="107">
        <v>173.3</v>
      </c>
    </row>
    <row r="264" spans="1:14">
      <c r="A264" s="64" t="s">
        <v>214</v>
      </c>
      <c r="B264" s="107">
        <v>122.62</v>
      </c>
      <c r="C264" s="22"/>
      <c r="D264" s="107">
        <v>206.75</v>
      </c>
      <c r="E264" s="22"/>
      <c r="F264" s="107">
        <v>292.58999999999997</v>
      </c>
      <c r="G264" s="107">
        <v>558.41999999999996</v>
      </c>
      <c r="H264" s="107">
        <v>384.2</v>
      </c>
      <c r="I264" s="107">
        <v>266.36</v>
      </c>
      <c r="J264" s="107">
        <v>210.74</v>
      </c>
      <c r="K264" s="22"/>
      <c r="L264" s="107">
        <v>100.46</v>
      </c>
      <c r="M264" s="107">
        <v>100.46</v>
      </c>
      <c r="N264" s="107">
        <v>2242.6</v>
      </c>
    </row>
    <row r="265" spans="1:14">
      <c r="A265" s="64" t="s">
        <v>215</v>
      </c>
      <c r="B265" s="22"/>
      <c r="C265" s="107"/>
      <c r="D265" s="107">
        <v>46.68</v>
      </c>
      <c r="E265" s="107">
        <v>60.04</v>
      </c>
      <c r="F265" s="107">
        <v>87.52</v>
      </c>
      <c r="G265" s="107"/>
      <c r="H265" s="107">
        <v>80.63</v>
      </c>
      <c r="I265" s="107">
        <v>180.82</v>
      </c>
      <c r="J265" s="22"/>
      <c r="K265" s="107">
        <v>161.26</v>
      </c>
      <c r="L265" s="22"/>
      <c r="M265" s="22"/>
      <c r="N265" s="107">
        <v>616.95000000000005</v>
      </c>
    </row>
    <row r="266" spans="1:14">
      <c r="A266" s="64" t="s">
        <v>216</v>
      </c>
      <c r="B266" s="107">
        <v>3449.87</v>
      </c>
      <c r="C266" s="107">
        <v>1330.61</v>
      </c>
      <c r="D266" s="107">
        <v>2472.09</v>
      </c>
      <c r="E266" s="107">
        <v>818.05</v>
      </c>
      <c r="F266" s="107">
        <v>550.82000000000005</v>
      </c>
      <c r="G266" s="107">
        <v>1105.44</v>
      </c>
      <c r="H266" s="107">
        <v>667.33</v>
      </c>
      <c r="I266" s="107">
        <v>1736.03</v>
      </c>
      <c r="J266" s="107">
        <v>1144.81</v>
      </c>
      <c r="K266" s="107">
        <v>1470.81</v>
      </c>
      <c r="L266" s="107">
        <v>1551.78</v>
      </c>
      <c r="M266" s="107">
        <v>813.67</v>
      </c>
      <c r="N266" s="107">
        <v>17111.310000000001</v>
      </c>
    </row>
    <row r="267" spans="1:14">
      <c r="A267" s="64" t="s">
        <v>217</v>
      </c>
      <c r="B267" s="107">
        <v>92.86</v>
      </c>
      <c r="C267" s="107">
        <v>862.83</v>
      </c>
      <c r="D267" s="107">
        <v>335.74</v>
      </c>
      <c r="E267" s="22"/>
      <c r="F267" s="22"/>
      <c r="G267" s="22"/>
      <c r="H267" s="22"/>
      <c r="I267" s="107">
        <v>293.58</v>
      </c>
      <c r="J267" s="107">
        <v>354.33</v>
      </c>
      <c r="K267" s="107">
        <v>294.56</v>
      </c>
      <c r="L267" s="107">
        <v>358.98</v>
      </c>
      <c r="M267" s="107">
        <v>1062.24</v>
      </c>
      <c r="N267" s="107">
        <v>3655.12</v>
      </c>
    </row>
    <row r="268" spans="1:14">
      <c r="A268" s="64" t="s">
        <v>218</v>
      </c>
      <c r="B268" s="107">
        <v>1019.14</v>
      </c>
      <c r="C268" s="107">
        <v>892.36</v>
      </c>
      <c r="D268" s="107">
        <v>700.92</v>
      </c>
      <c r="E268" s="107">
        <v>744.96</v>
      </c>
      <c r="F268" s="107">
        <v>1086.33</v>
      </c>
      <c r="G268" s="107">
        <v>1014.08</v>
      </c>
      <c r="H268" s="107">
        <v>947.37</v>
      </c>
      <c r="I268" s="107">
        <v>697.63</v>
      </c>
      <c r="J268" s="107">
        <v>602.55999999999995</v>
      </c>
      <c r="K268" s="107">
        <v>608</v>
      </c>
      <c r="L268" s="107">
        <v>624.42999999999995</v>
      </c>
      <c r="M268" s="107">
        <v>592.09</v>
      </c>
      <c r="N268" s="107">
        <v>9529.8700000000008</v>
      </c>
    </row>
    <row r="269" spans="1:14">
      <c r="A269" s="64" t="s">
        <v>219</v>
      </c>
      <c r="B269" s="107">
        <v>1387.42</v>
      </c>
      <c r="C269" s="107">
        <v>966.49</v>
      </c>
      <c r="D269" s="107">
        <v>616.29</v>
      </c>
      <c r="E269" s="107">
        <v>747.48</v>
      </c>
      <c r="F269" s="107">
        <v>1015.1</v>
      </c>
      <c r="G269" s="107">
        <v>1087.3900000000001</v>
      </c>
      <c r="H269" s="107">
        <v>939.85</v>
      </c>
      <c r="I269" s="107">
        <v>906.12</v>
      </c>
      <c r="J269" s="107">
        <v>1505.25</v>
      </c>
      <c r="K269" s="107">
        <v>1257.93</v>
      </c>
      <c r="L269" s="107">
        <v>1515.53</v>
      </c>
      <c r="M269" s="107">
        <v>1094.6500000000001</v>
      </c>
      <c r="N269" s="107">
        <v>13039.5</v>
      </c>
    </row>
    <row r="270" spans="1:14">
      <c r="A270" s="64" t="s">
        <v>220</v>
      </c>
      <c r="B270" s="111">
        <v>178.55</v>
      </c>
      <c r="C270" s="111">
        <v>243.51</v>
      </c>
      <c r="D270" s="111">
        <v>172.49</v>
      </c>
      <c r="E270" s="111">
        <v>81.319999999999993</v>
      </c>
      <c r="F270" s="111">
        <v>909.05</v>
      </c>
      <c r="G270" s="111">
        <v>289.52</v>
      </c>
      <c r="H270" s="111">
        <v>400.29</v>
      </c>
      <c r="I270" s="111">
        <v>252.6</v>
      </c>
      <c r="J270" s="111">
        <v>283.99</v>
      </c>
      <c r="K270" s="111">
        <v>251.17</v>
      </c>
      <c r="L270" s="111">
        <v>500.79</v>
      </c>
      <c r="M270" s="111">
        <v>215.84</v>
      </c>
      <c r="N270" s="111">
        <v>3779.12</v>
      </c>
    </row>
    <row r="271" spans="1:14">
      <c r="A271" s="64" t="s">
        <v>221</v>
      </c>
      <c r="B271" s="107">
        <f t="shared" ref="B271:M271" si="46">SUM(B255:B270)</f>
        <v>10256.74</v>
      </c>
      <c r="C271" s="107">
        <f t="shared" si="46"/>
        <v>7434.1799999999994</v>
      </c>
      <c r="D271" s="107">
        <f t="shared" si="46"/>
        <v>9423.56</v>
      </c>
      <c r="E271" s="107">
        <f t="shared" si="46"/>
        <v>4404.1499999999996</v>
      </c>
      <c r="F271" s="107">
        <f t="shared" si="46"/>
        <v>11054.26</v>
      </c>
      <c r="G271" s="107">
        <f t="shared" si="46"/>
        <v>8652.11</v>
      </c>
      <c r="H271" s="107">
        <f t="shared" si="46"/>
        <v>7857.37</v>
      </c>
      <c r="I271" s="107">
        <f t="shared" si="46"/>
        <v>9801.61</v>
      </c>
      <c r="J271" s="107">
        <f t="shared" si="46"/>
        <v>8543.3599999999988</v>
      </c>
      <c r="K271" s="107">
        <f t="shared" si="46"/>
        <v>11041.6</v>
      </c>
      <c r="L271" s="107">
        <f t="shared" si="46"/>
        <v>9589.6700000000019</v>
      </c>
      <c r="M271" s="107">
        <f t="shared" si="46"/>
        <v>9205.52</v>
      </c>
      <c r="N271" s="107">
        <v>107264.13</v>
      </c>
    </row>
    <row r="272" spans="1:14">
      <c r="A272" s="64"/>
      <c r="B272" s="22"/>
      <c r="C272" s="22"/>
      <c r="D272" s="22"/>
      <c r="E272" s="22"/>
      <c r="F272" s="22"/>
      <c r="G272" s="22"/>
      <c r="H272" s="22"/>
      <c r="I272" s="22"/>
      <c r="J272" s="22"/>
      <c r="K272" s="22"/>
      <c r="L272" s="22"/>
      <c r="M272" s="22"/>
      <c r="N272" s="22"/>
    </row>
    <row r="273" spans="1:14">
      <c r="A273" s="64" t="s">
        <v>222</v>
      </c>
      <c r="B273" s="22"/>
      <c r="C273" s="22"/>
      <c r="D273" s="22"/>
      <c r="E273" s="22"/>
      <c r="F273" s="22"/>
      <c r="G273" s="22"/>
      <c r="H273" s="22"/>
      <c r="I273" s="22"/>
      <c r="J273" s="22"/>
      <c r="K273" s="22"/>
      <c r="L273" s="22"/>
      <c r="M273" s="22"/>
      <c r="N273" s="22"/>
    </row>
    <row r="274" spans="1:14">
      <c r="A274" s="64" t="s">
        <v>223</v>
      </c>
      <c r="B274" s="22"/>
      <c r="C274" s="107">
        <v>1203</v>
      </c>
      <c r="D274" s="22"/>
      <c r="E274" s="22"/>
      <c r="F274" s="22"/>
      <c r="G274" s="22"/>
      <c r="H274" s="107">
        <v>2966.5</v>
      </c>
      <c r="I274" s="107">
        <v>204</v>
      </c>
      <c r="J274" s="22"/>
      <c r="K274" s="22"/>
      <c r="L274" s="22"/>
      <c r="M274" s="107"/>
      <c r="N274" s="107">
        <v>4373.5</v>
      </c>
    </row>
    <row r="275" spans="1:14">
      <c r="A275" s="64" t="s">
        <v>224</v>
      </c>
      <c r="B275" s="22"/>
      <c r="C275" s="22"/>
      <c r="D275" s="22"/>
      <c r="E275" s="22"/>
      <c r="F275" s="22"/>
      <c r="G275" s="22"/>
      <c r="H275" s="107">
        <v>20</v>
      </c>
      <c r="I275" s="22"/>
      <c r="J275" s="22"/>
      <c r="K275" s="107"/>
      <c r="L275" s="22"/>
      <c r="M275" s="22"/>
      <c r="N275" s="107">
        <v>20</v>
      </c>
    </row>
    <row r="276" spans="1:14">
      <c r="A276" s="64" t="s">
        <v>225</v>
      </c>
      <c r="B276" s="107">
        <v>471.41</v>
      </c>
      <c r="C276" s="107">
        <v>335.36</v>
      </c>
      <c r="D276" s="107">
        <v>160</v>
      </c>
      <c r="E276" s="107">
        <v>1479.42</v>
      </c>
      <c r="F276" s="107">
        <v>400</v>
      </c>
      <c r="G276" s="107">
        <v>330.91</v>
      </c>
      <c r="H276" s="107">
        <v>362.25</v>
      </c>
      <c r="I276" s="107">
        <v>437.41</v>
      </c>
      <c r="J276" s="107">
        <v>601.79</v>
      </c>
      <c r="K276" s="107">
        <v>482.93</v>
      </c>
      <c r="L276" s="107">
        <v>652.41999999999996</v>
      </c>
      <c r="M276" s="107">
        <v>533.14</v>
      </c>
      <c r="N276" s="107">
        <v>6247.04</v>
      </c>
    </row>
    <row r="277" spans="1:14">
      <c r="A277" s="64" t="s">
        <v>226</v>
      </c>
      <c r="B277" s="107">
        <v>27.2</v>
      </c>
      <c r="C277" s="107">
        <v>17.21</v>
      </c>
      <c r="D277" s="107">
        <v>73.83</v>
      </c>
      <c r="E277" s="107">
        <v>793.06</v>
      </c>
      <c r="F277" s="107">
        <v>285.08</v>
      </c>
      <c r="G277" s="107">
        <v>66.61</v>
      </c>
      <c r="H277" s="107">
        <v>456.01</v>
      </c>
      <c r="I277" s="107">
        <v>571.74</v>
      </c>
      <c r="J277" s="107">
        <v>103.24</v>
      </c>
      <c r="K277" s="107">
        <v>1090.02</v>
      </c>
      <c r="L277" s="107">
        <v>303.04000000000002</v>
      </c>
      <c r="M277" s="107">
        <v>273.62</v>
      </c>
      <c r="N277" s="107">
        <v>4060.66</v>
      </c>
    </row>
    <row r="278" spans="1:14">
      <c r="A278" s="64" t="s">
        <v>227</v>
      </c>
      <c r="B278" s="111">
        <v>264.95999999999998</v>
      </c>
      <c r="C278" s="111">
        <v>151.53</v>
      </c>
      <c r="D278" s="111">
        <v>452.29</v>
      </c>
      <c r="E278" s="111">
        <v>355.5</v>
      </c>
      <c r="F278" s="111">
        <v>463.35</v>
      </c>
      <c r="G278" s="111">
        <v>623.09</v>
      </c>
      <c r="H278" s="111">
        <v>229.63</v>
      </c>
      <c r="I278" s="111">
        <v>671.3</v>
      </c>
      <c r="J278" s="111">
        <v>405.33</v>
      </c>
      <c r="K278" s="111">
        <v>441.27</v>
      </c>
      <c r="L278" s="111">
        <v>57</v>
      </c>
      <c r="M278" s="111">
        <v>404.19</v>
      </c>
      <c r="N278" s="111">
        <v>4519.4399999999996</v>
      </c>
    </row>
    <row r="279" spans="1:14">
      <c r="A279" s="64" t="s">
        <v>229</v>
      </c>
      <c r="B279" s="107">
        <f t="shared" ref="B279:M279" si="47">SUM(B272:B278)</f>
        <v>763.56999999999994</v>
      </c>
      <c r="C279" s="107">
        <f t="shared" si="47"/>
        <v>1707.1000000000001</v>
      </c>
      <c r="D279" s="107">
        <f t="shared" si="47"/>
        <v>686.12</v>
      </c>
      <c r="E279" s="107">
        <f t="shared" si="47"/>
        <v>2627.98</v>
      </c>
      <c r="F279" s="107">
        <f t="shared" si="47"/>
        <v>1148.4299999999998</v>
      </c>
      <c r="G279" s="107">
        <f t="shared" si="47"/>
        <v>1020.6100000000001</v>
      </c>
      <c r="H279" s="107">
        <f t="shared" si="47"/>
        <v>4034.3900000000003</v>
      </c>
      <c r="I279" s="107">
        <f t="shared" si="47"/>
        <v>1884.45</v>
      </c>
      <c r="J279" s="107">
        <f t="shared" si="47"/>
        <v>1110.3599999999999</v>
      </c>
      <c r="K279" s="107">
        <f t="shared" si="47"/>
        <v>2014.22</v>
      </c>
      <c r="L279" s="107">
        <f t="shared" si="47"/>
        <v>1012.46</v>
      </c>
      <c r="M279" s="107">
        <f t="shared" si="47"/>
        <v>1210.95</v>
      </c>
      <c r="N279" s="107">
        <v>19220.64</v>
      </c>
    </row>
    <row r="280" spans="1:14">
      <c r="A280" s="64"/>
      <c r="B280" s="22"/>
      <c r="C280" s="22"/>
      <c r="D280" s="22"/>
      <c r="E280" s="22"/>
      <c r="F280" s="22"/>
      <c r="G280" s="22"/>
      <c r="H280" s="22"/>
      <c r="I280" s="22"/>
      <c r="J280" s="22"/>
      <c r="K280" s="22"/>
      <c r="L280" s="22"/>
      <c r="M280" s="22"/>
      <c r="N280" s="22"/>
    </row>
    <row r="281" spans="1:14">
      <c r="A281" s="64" t="s">
        <v>230</v>
      </c>
      <c r="B281" s="22"/>
      <c r="C281" s="22"/>
      <c r="D281" s="22"/>
      <c r="E281" s="22"/>
      <c r="F281" s="22"/>
      <c r="G281" s="22"/>
      <c r="H281" s="22"/>
      <c r="I281" s="22"/>
      <c r="J281" s="22"/>
      <c r="K281" s="22"/>
      <c r="L281" s="22"/>
      <c r="M281" s="22"/>
      <c r="N281" s="22"/>
    </row>
    <row r="282" spans="1:14">
      <c r="A282" s="64" t="s">
        <v>231</v>
      </c>
      <c r="B282" s="107">
        <v>2595.9</v>
      </c>
      <c r="C282" s="107">
        <v>2595.9</v>
      </c>
      <c r="D282" s="107">
        <v>2595.9</v>
      </c>
      <c r="E282" s="107">
        <v>2595.9</v>
      </c>
      <c r="F282" s="107">
        <v>10943.3</v>
      </c>
      <c r="G282" s="107">
        <v>2595.9</v>
      </c>
      <c r="H282" s="107">
        <v>2595.9</v>
      </c>
      <c r="I282" s="107">
        <v>2595.9</v>
      </c>
      <c r="J282" s="107">
        <v>2595.9</v>
      </c>
      <c r="K282" s="107">
        <v>2595.9</v>
      </c>
      <c r="L282" s="107">
        <v>2595.9</v>
      </c>
      <c r="M282" s="107">
        <v>2595.9</v>
      </c>
      <c r="N282" s="107">
        <v>39498.199999999997</v>
      </c>
    </row>
    <row r="283" spans="1:14">
      <c r="A283" s="64" t="s">
        <v>232</v>
      </c>
      <c r="B283" s="22"/>
      <c r="C283" s="22"/>
      <c r="D283" s="22"/>
      <c r="E283" s="22"/>
      <c r="F283" s="107">
        <v>258.54000000000002</v>
      </c>
      <c r="G283" s="22"/>
      <c r="H283" s="22"/>
      <c r="I283" s="22"/>
      <c r="J283" s="22"/>
      <c r="K283" s="22"/>
      <c r="L283" s="22"/>
      <c r="M283" s="22"/>
      <c r="N283" s="107">
        <v>258.54000000000002</v>
      </c>
    </row>
    <row r="284" spans="1:14">
      <c r="A284" s="64" t="s">
        <v>233</v>
      </c>
      <c r="B284" s="107">
        <v>36810</v>
      </c>
      <c r="C284" s="107">
        <v>36810</v>
      </c>
      <c r="D284" s="107">
        <v>36810</v>
      </c>
      <c r="E284" s="107">
        <v>36810</v>
      </c>
      <c r="F284" s="107">
        <v>36810</v>
      </c>
      <c r="G284" s="107">
        <v>36810</v>
      </c>
      <c r="H284" s="107">
        <v>36810</v>
      </c>
      <c r="I284" s="107">
        <v>36810</v>
      </c>
      <c r="J284" s="107">
        <v>36810</v>
      </c>
      <c r="K284" s="107">
        <v>36810</v>
      </c>
      <c r="L284" s="107">
        <v>36810</v>
      </c>
      <c r="M284" s="107">
        <v>36810</v>
      </c>
      <c r="N284" s="107">
        <v>441720</v>
      </c>
    </row>
    <row r="285" spans="1:14">
      <c r="A285" s="64" t="s">
        <v>234</v>
      </c>
      <c r="B285" s="22"/>
      <c r="C285" s="107"/>
      <c r="D285" s="22"/>
      <c r="E285" s="22"/>
      <c r="F285" s="107">
        <v>212.36</v>
      </c>
      <c r="G285" s="107">
        <v>151.66999999999999</v>
      </c>
      <c r="H285" s="22"/>
      <c r="I285" s="107">
        <v>180</v>
      </c>
      <c r="J285" s="107">
        <v>55</v>
      </c>
      <c r="K285" s="107">
        <v>2885.12</v>
      </c>
      <c r="L285" s="107">
        <v>107</v>
      </c>
      <c r="M285" s="107">
        <v>880</v>
      </c>
      <c r="N285" s="107">
        <v>4471.1499999999996</v>
      </c>
    </row>
    <row r="286" spans="1:14">
      <c r="A286" s="64" t="s">
        <v>352</v>
      </c>
      <c r="B286" s="22"/>
      <c r="C286" s="22"/>
      <c r="D286" s="22"/>
      <c r="E286" s="22"/>
      <c r="F286" s="22"/>
      <c r="G286" s="22"/>
      <c r="H286" s="22"/>
      <c r="I286" s="107">
        <v>5968.5</v>
      </c>
      <c r="J286" s="22"/>
      <c r="K286" s="22"/>
      <c r="L286" s="22"/>
      <c r="M286" s="22"/>
      <c r="N286" s="107">
        <v>5968.5</v>
      </c>
    </row>
    <row r="287" spans="1:14">
      <c r="A287" s="64" t="s">
        <v>235</v>
      </c>
      <c r="B287" s="22"/>
      <c r="C287" s="22"/>
      <c r="D287" s="22"/>
      <c r="E287" s="22"/>
      <c r="F287" s="107">
        <v>613</v>
      </c>
      <c r="G287" s="107"/>
      <c r="H287" s="22"/>
      <c r="I287" s="22"/>
      <c r="J287" s="22"/>
      <c r="K287" s="107">
        <v>300</v>
      </c>
      <c r="L287" s="22"/>
      <c r="M287" s="22"/>
      <c r="N287" s="107">
        <v>913</v>
      </c>
    </row>
    <row r="288" spans="1:14">
      <c r="A288" s="64" t="s">
        <v>228</v>
      </c>
      <c r="B288" s="113"/>
      <c r="C288" s="111">
        <v>60.73</v>
      </c>
      <c r="D288" s="113"/>
      <c r="E288" s="113"/>
      <c r="F288" s="113"/>
      <c r="G288" s="113"/>
      <c r="H288" s="113"/>
      <c r="I288" s="113"/>
      <c r="J288" s="113"/>
      <c r="K288" s="113"/>
      <c r="L288" s="113"/>
      <c r="M288" s="113"/>
      <c r="N288" s="111">
        <v>60.73</v>
      </c>
    </row>
    <row r="289" spans="1:14">
      <c r="A289" s="64" t="s">
        <v>236</v>
      </c>
      <c r="B289" s="107">
        <f t="shared" ref="B289:M289" si="48">SUM(B280:B288)</f>
        <v>39405.9</v>
      </c>
      <c r="C289" s="107">
        <f t="shared" si="48"/>
        <v>39466.630000000005</v>
      </c>
      <c r="D289" s="107">
        <f t="shared" si="48"/>
        <v>39405.9</v>
      </c>
      <c r="E289" s="107">
        <f t="shared" si="48"/>
        <v>39405.9</v>
      </c>
      <c r="F289" s="107">
        <f t="shared" si="48"/>
        <v>48837.2</v>
      </c>
      <c r="G289" s="107">
        <f t="shared" si="48"/>
        <v>39557.57</v>
      </c>
      <c r="H289" s="107">
        <f t="shared" si="48"/>
        <v>39405.9</v>
      </c>
      <c r="I289" s="107">
        <f t="shared" si="48"/>
        <v>45554.400000000001</v>
      </c>
      <c r="J289" s="107">
        <f t="shared" si="48"/>
        <v>39460.9</v>
      </c>
      <c r="K289" s="107">
        <f t="shared" si="48"/>
        <v>42591.020000000004</v>
      </c>
      <c r="L289" s="107">
        <f t="shared" si="48"/>
        <v>39512.9</v>
      </c>
      <c r="M289" s="107">
        <f t="shared" si="48"/>
        <v>40285.9</v>
      </c>
      <c r="N289" s="107">
        <v>492890.12</v>
      </c>
    </row>
    <row r="290" spans="1:14">
      <c r="A290" s="64"/>
      <c r="B290" s="22"/>
      <c r="C290" s="22"/>
      <c r="D290" s="22"/>
      <c r="E290" s="22"/>
      <c r="F290" s="22"/>
      <c r="G290" s="22"/>
      <c r="H290" s="22"/>
      <c r="I290" s="22"/>
      <c r="J290" s="22"/>
      <c r="K290" s="22"/>
      <c r="L290" s="22"/>
      <c r="M290" s="22"/>
      <c r="N290" s="22"/>
    </row>
    <row r="291" spans="1:14">
      <c r="A291" s="64" t="s">
        <v>237</v>
      </c>
      <c r="B291" s="22"/>
      <c r="C291" s="22"/>
      <c r="D291" s="22"/>
      <c r="E291" s="22"/>
      <c r="F291" s="22"/>
      <c r="G291" s="22"/>
      <c r="H291" s="22"/>
      <c r="I291" s="22"/>
      <c r="J291" s="22"/>
      <c r="K291" s="22"/>
      <c r="L291" s="22"/>
      <c r="M291" s="22"/>
      <c r="N291" s="22"/>
    </row>
    <row r="292" spans="1:14">
      <c r="A292" s="64" t="s">
        <v>375</v>
      </c>
      <c r="B292" s="22"/>
      <c r="C292" s="107">
        <v>4090</v>
      </c>
      <c r="D292" s="107">
        <v>8128</v>
      </c>
      <c r="E292" s="22"/>
      <c r="F292" s="107">
        <v>7726</v>
      </c>
      <c r="G292" s="107">
        <v>7806</v>
      </c>
      <c r="H292" s="22"/>
      <c r="I292" s="22"/>
      <c r="J292" s="22"/>
      <c r="K292" s="107">
        <v>4289</v>
      </c>
      <c r="L292" s="107">
        <v>2110</v>
      </c>
      <c r="M292" s="107">
        <v>8305</v>
      </c>
      <c r="N292" s="107">
        <v>42454</v>
      </c>
    </row>
    <row r="293" spans="1:14">
      <c r="A293" s="64" t="s">
        <v>228</v>
      </c>
      <c r="B293" s="111">
        <v>8262</v>
      </c>
      <c r="C293" s="111">
        <v>8063</v>
      </c>
      <c r="D293" s="111">
        <v>9068</v>
      </c>
      <c r="E293" s="111">
        <v>8658</v>
      </c>
      <c r="F293" s="111">
        <v>9354</v>
      </c>
      <c r="G293" s="111">
        <v>9295</v>
      </c>
      <c r="H293" s="111">
        <v>7987</v>
      </c>
      <c r="I293" s="111">
        <v>20319</v>
      </c>
      <c r="J293" s="111">
        <v>9193</v>
      </c>
      <c r="K293" s="111">
        <v>9762</v>
      </c>
      <c r="L293" s="111">
        <v>9017</v>
      </c>
      <c r="M293" s="111">
        <v>13117</v>
      </c>
      <c r="N293" s="111">
        <v>122095</v>
      </c>
    </row>
    <row r="294" spans="1:14">
      <c r="A294" s="64" t="s">
        <v>238</v>
      </c>
      <c r="B294" s="107">
        <f t="shared" ref="B294:M294" si="49">SUM(B290:B293)</f>
        <v>8262</v>
      </c>
      <c r="C294" s="107">
        <f t="shared" si="49"/>
        <v>12153</v>
      </c>
      <c r="D294" s="107">
        <f t="shared" si="49"/>
        <v>17196</v>
      </c>
      <c r="E294" s="107">
        <f t="shared" si="49"/>
        <v>8658</v>
      </c>
      <c r="F294" s="107">
        <f t="shared" si="49"/>
        <v>17080</v>
      </c>
      <c r="G294" s="107">
        <f t="shared" si="49"/>
        <v>17101</v>
      </c>
      <c r="H294" s="107">
        <f t="shared" si="49"/>
        <v>7987</v>
      </c>
      <c r="I294" s="107">
        <f t="shared" si="49"/>
        <v>20319</v>
      </c>
      <c r="J294" s="107">
        <f t="shared" si="49"/>
        <v>9193</v>
      </c>
      <c r="K294" s="107">
        <f t="shared" si="49"/>
        <v>14051</v>
      </c>
      <c r="L294" s="107">
        <f t="shared" si="49"/>
        <v>11127</v>
      </c>
      <c r="M294" s="107">
        <f t="shared" si="49"/>
        <v>21422</v>
      </c>
      <c r="N294" s="107">
        <v>164549</v>
      </c>
    </row>
    <row r="295" spans="1:14">
      <c r="A295" s="64"/>
      <c r="B295" s="22"/>
      <c r="C295" s="22"/>
      <c r="D295" s="22"/>
      <c r="E295" s="22"/>
      <c r="F295" s="22"/>
      <c r="G295" s="22"/>
      <c r="H295" s="22"/>
      <c r="I295" s="22"/>
      <c r="J295" s="22"/>
      <c r="K295" s="22"/>
      <c r="L295" s="22"/>
      <c r="M295" s="22"/>
      <c r="N295" s="22"/>
    </row>
    <row r="296" spans="1:14">
      <c r="A296" s="64" t="s">
        <v>239</v>
      </c>
      <c r="B296" s="22"/>
      <c r="C296" s="22"/>
      <c r="D296" s="22"/>
      <c r="E296" s="22"/>
      <c r="F296" s="22"/>
      <c r="G296" s="22"/>
      <c r="H296" s="22"/>
      <c r="I296" s="22"/>
      <c r="J296" s="22"/>
      <c r="K296" s="22"/>
      <c r="L296" s="22"/>
      <c r="M296" s="22"/>
      <c r="N296" s="22"/>
    </row>
    <row r="297" spans="1:14">
      <c r="A297" s="64" t="s">
        <v>240</v>
      </c>
      <c r="B297" s="107">
        <v>1753.32</v>
      </c>
      <c r="C297" s="107">
        <v>1753.32</v>
      </c>
      <c r="D297" s="107">
        <v>1753.32</v>
      </c>
      <c r="E297" s="107">
        <v>1753.32</v>
      </c>
      <c r="F297" s="107">
        <v>1753.32</v>
      </c>
      <c r="G297" s="107">
        <v>1753.32</v>
      </c>
      <c r="H297" s="107">
        <v>1753.32</v>
      </c>
      <c r="I297" s="107">
        <v>2436.1999999999998</v>
      </c>
      <c r="J297" s="107">
        <v>2094.7600000000002</v>
      </c>
      <c r="K297" s="107">
        <v>2094.7600000000002</v>
      </c>
      <c r="L297" s="107">
        <v>2094.7600000000002</v>
      </c>
      <c r="M297" s="107">
        <v>2094.7600000000002</v>
      </c>
      <c r="N297" s="107">
        <v>23088.48</v>
      </c>
    </row>
    <row r="298" spans="1:14">
      <c r="A298" s="64" t="s">
        <v>241</v>
      </c>
      <c r="B298" s="107">
        <v>330.67</v>
      </c>
      <c r="C298" s="107">
        <v>330.67</v>
      </c>
      <c r="D298" s="107">
        <v>330.67</v>
      </c>
      <c r="E298" s="107">
        <v>330.67</v>
      </c>
      <c r="F298" s="107">
        <v>330.67</v>
      </c>
      <c r="G298" s="107">
        <v>330.67</v>
      </c>
      <c r="H298" s="107">
        <v>330.67</v>
      </c>
      <c r="I298" s="107">
        <v>-330.67</v>
      </c>
      <c r="J298" s="22"/>
      <c r="K298" s="22"/>
      <c r="L298" s="22"/>
      <c r="M298" s="22"/>
      <c r="N298" s="107">
        <v>1984.02</v>
      </c>
    </row>
    <row r="299" spans="1:14">
      <c r="A299" s="64" t="s">
        <v>242</v>
      </c>
      <c r="B299" s="107">
        <v>3476.25</v>
      </c>
      <c r="C299" s="107">
        <v>3476.25</v>
      </c>
      <c r="D299" s="107">
        <v>3476.25</v>
      </c>
      <c r="E299" s="107">
        <v>6239</v>
      </c>
      <c r="F299" s="107">
        <v>3476.25</v>
      </c>
      <c r="G299" s="107">
        <v>5300.33</v>
      </c>
      <c r="H299" s="107">
        <v>4720.67</v>
      </c>
      <c r="I299" s="107">
        <v>4720.67</v>
      </c>
      <c r="J299" s="107">
        <v>4720.67</v>
      </c>
      <c r="K299" s="107">
        <v>4720.67</v>
      </c>
      <c r="L299" s="107">
        <v>4720.67</v>
      </c>
      <c r="M299" s="107">
        <v>4720.67</v>
      </c>
      <c r="N299" s="107">
        <v>53768.35</v>
      </c>
    </row>
    <row r="300" spans="1:14">
      <c r="A300" s="64" t="s">
        <v>243</v>
      </c>
      <c r="B300" s="107">
        <v>5377.29</v>
      </c>
      <c r="C300" s="107">
        <v>5423.53</v>
      </c>
      <c r="D300" s="107">
        <v>5474.26</v>
      </c>
      <c r="E300" s="107">
        <v>5474.26</v>
      </c>
      <c r="F300" s="107">
        <v>5474.26</v>
      </c>
      <c r="G300" s="107">
        <v>4479.97</v>
      </c>
      <c r="H300" s="22"/>
      <c r="I300" s="22"/>
      <c r="J300" s="107">
        <v>4736</v>
      </c>
      <c r="K300" s="107">
        <v>2982</v>
      </c>
      <c r="L300" s="107">
        <v>2982</v>
      </c>
      <c r="M300" s="107">
        <v>2982</v>
      </c>
      <c r="N300" s="107">
        <v>45385.57</v>
      </c>
    </row>
    <row r="301" spans="1:14">
      <c r="A301" s="64" t="s">
        <v>387</v>
      </c>
      <c r="B301" s="113"/>
      <c r="C301" s="113"/>
      <c r="D301" s="113"/>
      <c r="E301" s="113"/>
      <c r="F301" s="113"/>
      <c r="G301" s="113"/>
      <c r="H301" s="113"/>
      <c r="I301" s="113"/>
      <c r="J301" s="113"/>
      <c r="K301" s="113"/>
      <c r="L301" s="113"/>
      <c r="M301" s="113"/>
      <c r="N301" s="113"/>
    </row>
    <row r="302" spans="1:14">
      <c r="A302" s="64" t="s">
        <v>244</v>
      </c>
      <c r="B302" s="107">
        <f t="shared" ref="B302:M302" si="50">SUM(B295:B301)</f>
        <v>10937.529999999999</v>
      </c>
      <c r="C302" s="107">
        <f t="shared" si="50"/>
        <v>10983.77</v>
      </c>
      <c r="D302" s="107">
        <f t="shared" si="50"/>
        <v>11034.5</v>
      </c>
      <c r="E302" s="107">
        <f t="shared" si="50"/>
        <v>13797.25</v>
      </c>
      <c r="F302" s="107">
        <f t="shared" si="50"/>
        <v>11034.5</v>
      </c>
      <c r="G302" s="107">
        <f t="shared" si="50"/>
        <v>11864.29</v>
      </c>
      <c r="H302" s="107">
        <f t="shared" si="50"/>
        <v>6804.66</v>
      </c>
      <c r="I302" s="107">
        <f t="shared" si="50"/>
        <v>6826.2</v>
      </c>
      <c r="J302" s="107">
        <f t="shared" si="50"/>
        <v>11551.43</v>
      </c>
      <c r="K302" s="107">
        <f t="shared" si="50"/>
        <v>9797.43</v>
      </c>
      <c r="L302" s="107">
        <f t="shared" si="50"/>
        <v>9797.43</v>
      </c>
      <c r="M302" s="107">
        <f t="shared" si="50"/>
        <v>9797.43</v>
      </c>
      <c r="N302" s="107">
        <v>124226.42</v>
      </c>
    </row>
    <row r="303" spans="1:14">
      <c r="A303" s="64"/>
      <c r="B303" s="22"/>
      <c r="C303" s="22"/>
      <c r="D303" s="22"/>
      <c r="E303" s="22"/>
      <c r="F303" s="22"/>
      <c r="G303" s="22"/>
      <c r="H303" s="22"/>
      <c r="I303" s="22"/>
      <c r="J303" s="22"/>
      <c r="K303" s="22"/>
      <c r="L303" s="22"/>
      <c r="M303" s="22"/>
      <c r="N303" s="22"/>
    </row>
    <row r="304" spans="1:14">
      <c r="A304" s="64" t="s">
        <v>245</v>
      </c>
      <c r="B304" s="22"/>
      <c r="C304" s="22"/>
      <c r="D304" s="22"/>
      <c r="E304" s="22"/>
      <c r="F304" s="22"/>
      <c r="G304" s="22"/>
      <c r="H304" s="22"/>
      <c r="I304" s="22"/>
      <c r="J304" s="22"/>
      <c r="K304" s="22"/>
      <c r="L304" s="22"/>
      <c r="M304" s="22"/>
      <c r="N304" s="22"/>
    </row>
    <row r="305" spans="1:14">
      <c r="A305" s="64" t="s">
        <v>246</v>
      </c>
      <c r="B305" s="107">
        <v>2300.61</v>
      </c>
      <c r="C305" s="107">
        <v>2500.8200000000002</v>
      </c>
      <c r="D305" s="107">
        <v>2335.9699999999998</v>
      </c>
      <c r="E305" s="107">
        <v>2352.27</v>
      </c>
      <c r="F305" s="107">
        <v>2346.9</v>
      </c>
      <c r="G305" s="107">
        <v>2346.9</v>
      </c>
      <c r="H305" s="107">
        <v>2356.98</v>
      </c>
      <c r="I305" s="107">
        <v>2351.94</v>
      </c>
      <c r="J305" s="107">
        <v>2351.94</v>
      </c>
      <c r="K305" s="107">
        <v>4941.4399999999996</v>
      </c>
      <c r="L305" s="107">
        <v>2970.7</v>
      </c>
      <c r="M305" s="107">
        <v>2955.25</v>
      </c>
      <c r="N305" s="107">
        <v>32111.72</v>
      </c>
    </row>
    <row r="306" spans="1:14">
      <c r="A306" s="64" t="s">
        <v>247</v>
      </c>
      <c r="B306" s="107">
        <v>2329.88</v>
      </c>
      <c r="C306" s="107">
        <v>2422.94</v>
      </c>
      <c r="D306" s="107">
        <v>2442.36</v>
      </c>
      <c r="E306" s="107">
        <v>2386.84</v>
      </c>
      <c r="F306" s="107">
        <v>2319.46</v>
      </c>
      <c r="G306" s="107">
        <v>2319.46</v>
      </c>
      <c r="H306" s="107">
        <v>1908.26</v>
      </c>
      <c r="I306" s="107">
        <v>1990.8</v>
      </c>
      <c r="J306" s="107">
        <v>3585.92</v>
      </c>
      <c r="K306" s="107">
        <v>2428.6799999999998</v>
      </c>
      <c r="L306" s="107">
        <v>2759.29</v>
      </c>
      <c r="M306" s="107">
        <v>2957.87</v>
      </c>
      <c r="N306" s="107">
        <v>29851.759999999998</v>
      </c>
    </row>
    <row r="307" spans="1:14">
      <c r="A307" s="64" t="s">
        <v>248</v>
      </c>
      <c r="B307" s="107">
        <v>986.12</v>
      </c>
      <c r="C307" s="107">
        <v>986.12</v>
      </c>
      <c r="D307" s="107">
        <v>986.12</v>
      </c>
      <c r="E307" s="107">
        <v>986.12</v>
      </c>
      <c r="F307" s="107">
        <v>986.13</v>
      </c>
      <c r="G307" s="107">
        <v>986.13</v>
      </c>
      <c r="H307" s="107">
        <v>986.11</v>
      </c>
      <c r="I307" s="107">
        <v>986.12</v>
      </c>
      <c r="J307" s="107">
        <v>986.12</v>
      </c>
      <c r="K307" s="107">
        <v>986.12</v>
      </c>
      <c r="L307" s="107">
        <v>986.12</v>
      </c>
      <c r="M307" s="107">
        <v>986.12</v>
      </c>
      <c r="N307" s="107">
        <v>11833.45</v>
      </c>
    </row>
    <row r="308" spans="1:14">
      <c r="A308" s="64" t="s">
        <v>362</v>
      </c>
      <c r="B308" s="113"/>
      <c r="C308" s="113"/>
      <c r="D308" s="113"/>
      <c r="E308" s="113"/>
      <c r="F308" s="113"/>
      <c r="G308" s="113"/>
      <c r="H308" s="113"/>
      <c r="I308" s="113"/>
      <c r="J308" s="113"/>
      <c r="K308" s="113"/>
      <c r="L308" s="113"/>
      <c r="M308" s="113"/>
      <c r="N308" s="113"/>
    </row>
    <row r="309" spans="1:14">
      <c r="A309" s="64" t="s">
        <v>250</v>
      </c>
      <c r="B309" s="107">
        <f t="shared" ref="B309:M309" si="51">SUM(B303:B308)</f>
        <v>5616.61</v>
      </c>
      <c r="C309" s="107">
        <f t="shared" si="51"/>
        <v>5909.88</v>
      </c>
      <c r="D309" s="107">
        <f t="shared" si="51"/>
        <v>5764.45</v>
      </c>
      <c r="E309" s="107">
        <f t="shared" si="51"/>
        <v>5725.2300000000005</v>
      </c>
      <c r="F309" s="107">
        <f t="shared" si="51"/>
        <v>5652.4900000000007</v>
      </c>
      <c r="G309" s="107">
        <f t="shared" si="51"/>
        <v>5652.4900000000007</v>
      </c>
      <c r="H309" s="107">
        <f t="shared" si="51"/>
        <v>5251.3499999999995</v>
      </c>
      <c r="I309" s="107">
        <f t="shared" si="51"/>
        <v>5328.86</v>
      </c>
      <c r="J309" s="107">
        <f t="shared" si="51"/>
        <v>6923.9800000000005</v>
      </c>
      <c r="K309" s="107">
        <f t="shared" si="51"/>
        <v>8356.24</v>
      </c>
      <c r="L309" s="107">
        <f t="shared" si="51"/>
        <v>6716.11</v>
      </c>
      <c r="M309" s="107">
        <f t="shared" si="51"/>
        <v>6899.24</v>
      </c>
      <c r="N309" s="107">
        <v>73796.929999999993</v>
      </c>
    </row>
    <row r="310" spans="1:14">
      <c r="A310" s="64"/>
      <c r="B310" s="22"/>
      <c r="C310" s="22"/>
      <c r="D310" s="22"/>
      <c r="E310" s="22"/>
      <c r="F310" s="22"/>
      <c r="G310" s="22"/>
      <c r="H310" s="22"/>
      <c r="I310" s="22"/>
      <c r="J310" s="22"/>
      <c r="K310" s="22"/>
      <c r="L310" s="22"/>
      <c r="M310" s="22"/>
      <c r="N310" s="22"/>
    </row>
    <row r="311" spans="1:14">
      <c r="A311" s="64" t="s">
        <v>251</v>
      </c>
      <c r="B311" s="22"/>
      <c r="C311" s="22"/>
      <c r="D311" s="22"/>
      <c r="E311" s="22"/>
      <c r="F311" s="22"/>
      <c r="G311" s="22"/>
      <c r="H311" s="22"/>
      <c r="I311" s="22"/>
      <c r="J311" s="22"/>
      <c r="K311" s="22"/>
      <c r="L311" s="22"/>
      <c r="M311" s="22"/>
      <c r="N311" s="22"/>
    </row>
    <row r="312" spans="1:14">
      <c r="A312" s="64" t="s">
        <v>252</v>
      </c>
      <c r="B312" s="107">
        <v>29629</v>
      </c>
      <c r="C312" s="107">
        <v>30432.58</v>
      </c>
      <c r="D312" s="107">
        <v>30432.58</v>
      </c>
      <c r="E312" s="107">
        <v>30432.58</v>
      </c>
      <c r="F312" s="107">
        <v>30432.58</v>
      </c>
      <c r="G312" s="107">
        <v>30432.58</v>
      </c>
      <c r="H312" s="107">
        <v>30432.58</v>
      </c>
      <c r="I312" s="107">
        <v>30432.58</v>
      </c>
      <c r="J312" s="107">
        <v>30432.58</v>
      </c>
      <c r="K312" s="107">
        <v>30432.58</v>
      </c>
      <c r="L312" s="107">
        <v>30432.58</v>
      </c>
      <c r="M312" s="107">
        <v>33091.879999999997</v>
      </c>
      <c r="N312" s="107">
        <v>367046.68</v>
      </c>
    </row>
    <row r="313" spans="1:14">
      <c r="A313" s="64" t="s">
        <v>253</v>
      </c>
      <c r="B313" s="107">
        <v>284.14999999999998</v>
      </c>
      <c r="C313" s="107">
        <v>284.14999999999998</v>
      </c>
      <c r="D313" s="107">
        <v>208.33</v>
      </c>
      <c r="E313" s="107">
        <v>199.06</v>
      </c>
      <c r="F313" s="107">
        <v>415.82</v>
      </c>
      <c r="G313" s="22"/>
      <c r="H313" s="107">
        <v>172.95</v>
      </c>
      <c r="I313" s="107">
        <v>211.57</v>
      </c>
      <c r="J313" s="107">
        <v>251.08</v>
      </c>
      <c r="K313" s="107">
        <v>257.95</v>
      </c>
      <c r="L313" s="107">
        <v>235.73</v>
      </c>
      <c r="M313" s="107">
        <v>364.23</v>
      </c>
      <c r="N313" s="107">
        <v>2885.02</v>
      </c>
    </row>
    <row r="314" spans="1:14">
      <c r="A314" s="64" t="s">
        <v>254</v>
      </c>
      <c r="B314" s="111">
        <v>48.59</v>
      </c>
      <c r="C314" s="111">
        <v>9691.7199999999993</v>
      </c>
      <c r="D314" s="111">
        <v>56.74</v>
      </c>
      <c r="E314" s="111">
        <v>12469.35</v>
      </c>
      <c r="F314" s="111">
        <v>552.32000000000005</v>
      </c>
      <c r="G314" s="111">
        <v>333.01</v>
      </c>
      <c r="H314" s="111">
        <v>134.77000000000001</v>
      </c>
      <c r="I314" s="111">
        <v>8.68</v>
      </c>
      <c r="J314" s="111"/>
      <c r="K314" s="111">
        <v>195.21</v>
      </c>
      <c r="L314" s="111">
        <v>707.11</v>
      </c>
      <c r="M314" s="111">
        <v>20.45</v>
      </c>
      <c r="N314" s="111">
        <v>24217.95</v>
      </c>
    </row>
    <row r="315" spans="1:14">
      <c r="A315" s="64" t="s">
        <v>255</v>
      </c>
      <c r="B315" s="107">
        <f t="shared" ref="B315:M315" si="52">SUM(B310:B314)</f>
        <v>29961.74</v>
      </c>
      <c r="C315" s="107">
        <f t="shared" si="52"/>
        <v>40408.450000000004</v>
      </c>
      <c r="D315" s="107">
        <f t="shared" si="52"/>
        <v>30697.650000000005</v>
      </c>
      <c r="E315" s="107">
        <f t="shared" si="52"/>
        <v>43100.990000000005</v>
      </c>
      <c r="F315" s="107">
        <f t="shared" si="52"/>
        <v>31400.720000000001</v>
      </c>
      <c r="G315" s="107">
        <f t="shared" si="52"/>
        <v>30765.59</v>
      </c>
      <c r="H315" s="107">
        <f t="shared" si="52"/>
        <v>30740.300000000003</v>
      </c>
      <c r="I315" s="107">
        <f t="shared" si="52"/>
        <v>30652.83</v>
      </c>
      <c r="J315" s="107">
        <f t="shared" si="52"/>
        <v>30683.660000000003</v>
      </c>
      <c r="K315" s="107">
        <f t="shared" si="52"/>
        <v>30885.74</v>
      </c>
      <c r="L315" s="107">
        <f t="shared" si="52"/>
        <v>31375.420000000002</v>
      </c>
      <c r="M315" s="107">
        <f t="shared" si="52"/>
        <v>33476.559999999998</v>
      </c>
      <c r="N315" s="107">
        <v>394149.65</v>
      </c>
    </row>
    <row r="316" spans="1:14">
      <c r="A316" s="64"/>
      <c r="B316" s="22"/>
      <c r="C316" s="22"/>
      <c r="D316" s="22"/>
      <c r="E316" s="22"/>
      <c r="F316" s="22"/>
      <c r="G316" s="22"/>
      <c r="H316" s="22"/>
      <c r="I316" s="22"/>
      <c r="J316" s="22"/>
      <c r="K316" s="22"/>
      <c r="L316" s="22"/>
      <c r="M316" s="22"/>
      <c r="N316" s="22"/>
    </row>
    <row r="317" spans="1:14">
      <c r="A317" s="64" t="s">
        <v>256</v>
      </c>
      <c r="B317" s="22"/>
      <c r="C317" s="22"/>
      <c r="D317" s="22"/>
      <c r="E317" s="22"/>
      <c r="F317" s="22"/>
      <c r="G317" s="22"/>
      <c r="H317" s="22"/>
      <c r="I317" s="22"/>
      <c r="J317" s="22"/>
      <c r="K317" s="22"/>
      <c r="L317" s="22"/>
      <c r="M317" s="22"/>
      <c r="N317" s="22"/>
    </row>
    <row r="318" spans="1:14">
      <c r="A318" s="64" t="s">
        <v>257</v>
      </c>
      <c r="B318" s="111">
        <v>277.56</v>
      </c>
      <c r="C318" s="113"/>
      <c r="D318" s="111">
        <v>142.5</v>
      </c>
      <c r="E318" s="113"/>
      <c r="F318" s="111">
        <v>-20009.46</v>
      </c>
      <c r="G318" s="113"/>
      <c r="H318" s="113"/>
      <c r="I318" s="113"/>
      <c r="J318" s="113"/>
      <c r="K318" s="113"/>
      <c r="L318" s="113"/>
      <c r="M318" s="111">
        <v>292.19</v>
      </c>
      <c r="N318" s="111">
        <v>-19297.21</v>
      </c>
    </row>
    <row r="319" spans="1:14">
      <c r="A319" s="64" t="s">
        <v>258</v>
      </c>
      <c r="B319" s="107">
        <f>SUM(B316:B318)</f>
        <v>277.56</v>
      </c>
      <c r="C319" s="107"/>
      <c r="D319" s="107">
        <f>SUM(D316:D318)</f>
        <v>142.5</v>
      </c>
      <c r="E319" s="107"/>
      <c r="F319" s="107">
        <f>SUM(F316:F318)</f>
        <v>-20009.46</v>
      </c>
      <c r="G319" s="107"/>
      <c r="H319" s="107"/>
      <c r="I319" s="107"/>
      <c r="J319" s="107"/>
      <c r="K319" s="107"/>
      <c r="L319" s="107"/>
      <c r="M319" s="107">
        <f>SUM(M316:M318)</f>
        <v>292.19</v>
      </c>
      <c r="N319" s="107">
        <v>-19297.21</v>
      </c>
    </row>
    <row r="320" spans="1:14">
      <c r="A320" s="64"/>
      <c r="B320" s="22"/>
      <c r="C320" s="22"/>
      <c r="D320" s="22"/>
      <c r="E320" s="22"/>
      <c r="F320" s="22"/>
      <c r="G320" s="22"/>
      <c r="H320" s="22"/>
      <c r="I320" s="22"/>
      <c r="J320" s="22"/>
      <c r="K320" s="22"/>
      <c r="L320" s="22"/>
      <c r="M320" s="22"/>
      <c r="N320" s="22"/>
    </row>
    <row r="321" spans="1:14" ht="15.75" thickBot="1">
      <c r="A321" s="64" t="s">
        <v>62</v>
      </c>
      <c r="B321" s="112">
        <f t="shared" ref="B321:M321" si="53">SUM(B174:B320)-B194-B202-B213-B229-B254-B271-B279-B289-B294-B302-B309-B315-B319</f>
        <v>457835.79000000044</v>
      </c>
      <c r="C321" s="112">
        <f t="shared" si="53"/>
        <v>454457.95999999967</v>
      </c>
      <c r="D321" s="112">
        <f t="shared" si="53"/>
        <v>433911.24999999994</v>
      </c>
      <c r="E321" s="112">
        <f t="shared" si="53"/>
        <v>421095.56000000017</v>
      </c>
      <c r="F321" s="112">
        <f t="shared" si="53"/>
        <v>376563.55999999976</v>
      </c>
      <c r="G321" s="112">
        <f t="shared" si="53"/>
        <v>441616.06999999977</v>
      </c>
      <c r="H321" s="112">
        <f t="shared" si="53"/>
        <v>415527.06999999989</v>
      </c>
      <c r="I321" s="112">
        <f t="shared" si="53"/>
        <v>455601.33999999973</v>
      </c>
      <c r="J321" s="112">
        <f t="shared" si="53"/>
        <v>490704.76000000013</v>
      </c>
      <c r="K321" s="112">
        <f t="shared" si="53"/>
        <v>478411.83000000037</v>
      </c>
      <c r="L321" s="112">
        <f t="shared" si="53"/>
        <v>472680.2200000002</v>
      </c>
      <c r="M321" s="112">
        <f t="shared" si="53"/>
        <v>510262.91999999969</v>
      </c>
      <c r="N321" s="112">
        <v>5408668.3300000001</v>
      </c>
    </row>
    <row r="322" spans="1:14" ht="15.75" thickTop="1">
      <c r="A322" s="64"/>
      <c r="B322" s="22"/>
      <c r="C322" s="22"/>
      <c r="D322" s="22"/>
      <c r="E322" s="22"/>
      <c r="F322" s="22"/>
      <c r="G322" s="22"/>
      <c r="H322" s="22"/>
      <c r="I322" s="22"/>
      <c r="J322" s="22"/>
      <c r="K322" s="22"/>
      <c r="L322" s="22"/>
      <c r="M322" s="22"/>
      <c r="N322" s="22"/>
    </row>
    <row r="323" spans="1:14" ht="15.75" thickBot="1">
      <c r="A323" s="64" t="s">
        <v>259</v>
      </c>
      <c r="B323" s="112">
        <f t="shared" ref="B323:M323" si="54">+B171-B321</f>
        <v>-32848.480000001029</v>
      </c>
      <c r="C323" s="112">
        <f t="shared" si="54"/>
        <v>48026.870000000345</v>
      </c>
      <c r="D323" s="112">
        <f t="shared" si="54"/>
        <v>36086.129999999423</v>
      </c>
      <c r="E323" s="112">
        <f t="shared" si="54"/>
        <v>28484.919999999634</v>
      </c>
      <c r="F323" s="112">
        <f t="shared" si="54"/>
        <v>67959.820000000647</v>
      </c>
      <c r="G323" s="112">
        <f t="shared" si="54"/>
        <v>33396.520000000542</v>
      </c>
      <c r="H323" s="112">
        <f t="shared" si="54"/>
        <v>24662.540000000212</v>
      </c>
      <c r="I323" s="112">
        <f t="shared" si="54"/>
        <v>5046.9900000004563</v>
      </c>
      <c r="J323" s="112">
        <f t="shared" si="54"/>
        <v>25593.629999999888</v>
      </c>
      <c r="K323" s="112">
        <f t="shared" si="54"/>
        <v>61499.889999999956</v>
      </c>
      <c r="L323" s="112">
        <f t="shared" si="54"/>
        <v>31802.790000000154</v>
      </c>
      <c r="M323" s="112">
        <f t="shared" si="54"/>
        <v>194499.06000000122</v>
      </c>
      <c r="N323" s="112">
        <v>524210.68</v>
      </c>
    </row>
    <row r="324" spans="1:14" ht="15.75" thickTop="1">
      <c r="A324" s="64"/>
      <c r="B324" s="22"/>
      <c r="C324" s="22"/>
      <c r="D324" s="22"/>
      <c r="E324" s="22"/>
      <c r="F324" s="22"/>
      <c r="G324" s="22"/>
      <c r="H324" s="22"/>
      <c r="I324" s="22"/>
      <c r="J324" s="22"/>
      <c r="K324" s="22"/>
      <c r="L324" s="22"/>
      <c r="M324" s="22"/>
      <c r="N324" s="22"/>
    </row>
    <row r="325" spans="1:14">
      <c r="A325" s="64" t="s">
        <v>351</v>
      </c>
      <c r="B325" s="111">
        <v>11842.38</v>
      </c>
      <c r="C325" s="111">
        <v>23850.240000000002</v>
      </c>
      <c r="D325" s="111">
        <v>16618.62</v>
      </c>
      <c r="E325" s="111">
        <v>16451.05</v>
      </c>
      <c r="F325" s="111">
        <v>88689.5</v>
      </c>
      <c r="G325" s="111">
        <v>10025.07</v>
      </c>
      <c r="H325" s="111">
        <v>40866.25</v>
      </c>
      <c r="I325" s="111">
        <v>85131.94</v>
      </c>
      <c r="J325" s="111">
        <v>55103.32</v>
      </c>
      <c r="K325" s="111">
        <v>51800.480000000003</v>
      </c>
      <c r="L325" s="111">
        <v>45850.26</v>
      </c>
      <c r="M325" s="111">
        <v>51198.55</v>
      </c>
      <c r="N325" s="111">
        <v>497427.66</v>
      </c>
    </row>
    <row r="326" spans="1:14">
      <c r="A326" s="64" t="s">
        <v>64</v>
      </c>
      <c r="B326" s="107">
        <f t="shared" ref="B326:M326" si="55">SUM(B324:B325)</f>
        <v>11842.38</v>
      </c>
      <c r="C326" s="107">
        <f t="shared" si="55"/>
        <v>23850.240000000002</v>
      </c>
      <c r="D326" s="107">
        <f t="shared" si="55"/>
        <v>16618.62</v>
      </c>
      <c r="E326" s="107">
        <f t="shared" si="55"/>
        <v>16451.05</v>
      </c>
      <c r="F326" s="107">
        <f t="shared" si="55"/>
        <v>88689.5</v>
      </c>
      <c r="G326" s="107">
        <f t="shared" si="55"/>
        <v>10025.07</v>
      </c>
      <c r="H326" s="107">
        <f t="shared" si="55"/>
        <v>40866.25</v>
      </c>
      <c r="I326" s="107">
        <f t="shared" si="55"/>
        <v>85131.94</v>
      </c>
      <c r="J326" s="107">
        <f t="shared" si="55"/>
        <v>55103.32</v>
      </c>
      <c r="K326" s="107">
        <f t="shared" si="55"/>
        <v>51800.480000000003</v>
      </c>
      <c r="L326" s="107">
        <f t="shared" si="55"/>
        <v>45850.26</v>
      </c>
      <c r="M326" s="107">
        <f t="shared" si="55"/>
        <v>51198.55</v>
      </c>
      <c r="N326" s="107">
        <v>497427.66</v>
      </c>
    </row>
    <row r="327" spans="1:14">
      <c r="A327" s="64"/>
      <c r="B327" s="22"/>
      <c r="C327" s="22"/>
      <c r="D327" s="22"/>
      <c r="E327" s="22"/>
      <c r="F327" s="22"/>
      <c r="G327" s="22"/>
      <c r="H327" s="22"/>
      <c r="I327" s="22"/>
      <c r="J327" s="22"/>
      <c r="K327" s="22"/>
      <c r="L327" s="22"/>
      <c r="M327" s="22"/>
      <c r="N327" s="22"/>
    </row>
    <row r="328" spans="1:14" ht="15.75" thickBot="1">
      <c r="A328" s="64" t="s">
        <v>22</v>
      </c>
      <c r="B328" s="112">
        <f t="shared" ref="B328:M328" si="56">+B323-B326</f>
        <v>-44690.860000001026</v>
      </c>
      <c r="C328" s="112">
        <f t="shared" si="56"/>
        <v>24176.630000000343</v>
      </c>
      <c r="D328" s="112">
        <f t="shared" si="56"/>
        <v>19467.509999999424</v>
      </c>
      <c r="E328" s="112">
        <f t="shared" si="56"/>
        <v>12033.869999999635</v>
      </c>
      <c r="F328" s="112">
        <f t="shared" si="56"/>
        <v>-20729.679999999353</v>
      </c>
      <c r="G328" s="112">
        <f t="shared" si="56"/>
        <v>23371.450000000543</v>
      </c>
      <c r="H328" s="112">
        <f t="shared" si="56"/>
        <v>-16203.709999999788</v>
      </c>
      <c r="I328" s="112">
        <f t="shared" si="56"/>
        <v>-80084.949999999546</v>
      </c>
      <c r="J328" s="112">
        <f t="shared" si="56"/>
        <v>-29509.690000000111</v>
      </c>
      <c r="K328" s="112">
        <f t="shared" si="56"/>
        <v>9699.4099999999526</v>
      </c>
      <c r="L328" s="112">
        <f t="shared" si="56"/>
        <v>-14047.469999999848</v>
      </c>
      <c r="M328" s="112">
        <f t="shared" si="56"/>
        <v>143300.51000000123</v>
      </c>
      <c r="N328" s="112">
        <v>26783.02</v>
      </c>
    </row>
    <row r="329" spans="1:14" ht="15.75" thickTop="1">
      <c r="A329" s="64"/>
      <c r="B329" s="22"/>
      <c r="C329" s="22"/>
      <c r="D329" s="22"/>
      <c r="E329" s="22"/>
      <c r="F329" s="22"/>
      <c r="G329" s="22"/>
      <c r="H329" s="22"/>
      <c r="I329" s="22"/>
      <c r="J329" s="22"/>
      <c r="K329" s="22"/>
      <c r="L329" s="22"/>
      <c r="M329" s="22"/>
      <c r="N329" s="22"/>
    </row>
    <row r="330" spans="1:14">
      <c r="A330" s="64"/>
      <c r="B330" s="22"/>
      <c r="C330" s="22"/>
      <c r="D330" s="22"/>
      <c r="E330" s="22"/>
      <c r="F330" s="22"/>
      <c r="G330" s="22"/>
      <c r="H330" s="22"/>
      <c r="I330" s="22"/>
      <c r="J330" s="22"/>
      <c r="K330" s="22"/>
      <c r="L330" s="22"/>
      <c r="M330" s="22"/>
      <c r="N330" s="22"/>
    </row>
    <row r="331" spans="1:14">
      <c r="A331" s="64" t="s">
        <v>260</v>
      </c>
      <c r="B331" s="22"/>
      <c r="C331" s="22"/>
      <c r="D331" s="22"/>
      <c r="E331" s="22"/>
      <c r="F331" s="22"/>
      <c r="G331" s="22"/>
      <c r="H331" s="22"/>
      <c r="I331" s="22"/>
      <c r="J331" s="22"/>
      <c r="K331" s="22"/>
      <c r="L331" s="22"/>
      <c r="M331" s="22"/>
      <c r="N331" s="22"/>
    </row>
    <row r="332" spans="1:14">
      <c r="A332" s="64"/>
      <c r="B332" s="22"/>
      <c r="C332" s="22"/>
      <c r="D332" s="22"/>
      <c r="E332" s="22"/>
      <c r="F332" s="22"/>
      <c r="G332" s="22"/>
      <c r="H332" s="22"/>
      <c r="I332" s="22"/>
      <c r="J332" s="22"/>
      <c r="K332" s="22"/>
      <c r="L332" s="22"/>
      <c r="M332" s="22"/>
      <c r="N332" s="22"/>
    </row>
    <row r="333" spans="1:14">
      <c r="A333" s="64" t="s">
        <v>19</v>
      </c>
      <c r="B333" s="22"/>
      <c r="C333" s="22"/>
      <c r="D333" s="22"/>
      <c r="E333" s="22"/>
      <c r="F333" s="22"/>
      <c r="G333" s="22"/>
      <c r="H333" s="22"/>
      <c r="I333" s="22"/>
      <c r="J333" s="22"/>
      <c r="K333" s="22"/>
      <c r="L333" s="22"/>
      <c r="M333" s="22"/>
      <c r="N333" s="22"/>
    </row>
    <row r="334" spans="1:14">
      <c r="A334" s="64" t="s">
        <v>261</v>
      </c>
      <c r="B334" s="107">
        <v>-39</v>
      </c>
      <c r="C334" s="107">
        <v>-31</v>
      </c>
      <c r="D334" s="107">
        <v>-8</v>
      </c>
      <c r="E334" s="107">
        <v>-13</v>
      </c>
      <c r="F334" s="22"/>
      <c r="G334" s="22"/>
      <c r="H334" s="22"/>
      <c r="I334" s="107">
        <v>7</v>
      </c>
      <c r="J334" s="22"/>
      <c r="K334" s="22"/>
      <c r="L334" s="22"/>
      <c r="M334" s="22"/>
      <c r="N334" s="107">
        <v>-84</v>
      </c>
    </row>
    <row r="335" spans="1:14">
      <c r="A335" s="64" t="s">
        <v>66</v>
      </c>
      <c r="B335" s="111">
        <v>1365</v>
      </c>
      <c r="C335" s="111">
        <v>1326</v>
      </c>
      <c r="D335" s="111">
        <v>1293</v>
      </c>
      <c r="E335" s="111">
        <v>1367</v>
      </c>
      <c r="F335" s="111">
        <v>1314</v>
      </c>
      <c r="G335" s="111">
        <v>1329</v>
      </c>
      <c r="H335" s="111">
        <v>1120</v>
      </c>
      <c r="I335" s="111">
        <v>1262</v>
      </c>
      <c r="J335" s="111">
        <v>1295</v>
      </c>
      <c r="K335" s="111">
        <v>1205</v>
      </c>
      <c r="L335" s="111">
        <v>1142</v>
      </c>
      <c r="M335" s="111">
        <v>1036</v>
      </c>
      <c r="N335" s="111">
        <v>15054</v>
      </c>
    </row>
    <row r="336" spans="1:14">
      <c r="A336" s="64" t="s">
        <v>85</v>
      </c>
      <c r="B336" s="107">
        <f t="shared" ref="B336:M336" si="57">SUM(B333:B335)</f>
        <v>1326</v>
      </c>
      <c r="C336" s="107">
        <f t="shared" si="57"/>
        <v>1295</v>
      </c>
      <c r="D336" s="107">
        <f t="shared" si="57"/>
        <v>1285</v>
      </c>
      <c r="E336" s="107">
        <f t="shared" si="57"/>
        <v>1354</v>
      </c>
      <c r="F336" s="107">
        <f t="shared" si="57"/>
        <v>1314</v>
      </c>
      <c r="G336" s="107">
        <f t="shared" si="57"/>
        <v>1329</v>
      </c>
      <c r="H336" s="107">
        <f t="shared" si="57"/>
        <v>1120</v>
      </c>
      <c r="I336" s="107">
        <f t="shared" si="57"/>
        <v>1269</v>
      </c>
      <c r="J336" s="107">
        <f t="shared" si="57"/>
        <v>1295</v>
      </c>
      <c r="K336" s="107">
        <f t="shared" si="57"/>
        <v>1205</v>
      </c>
      <c r="L336" s="107">
        <f t="shared" si="57"/>
        <v>1142</v>
      </c>
      <c r="M336" s="107">
        <f t="shared" si="57"/>
        <v>1036</v>
      </c>
      <c r="N336" s="107">
        <v>14970</v>
      </c>
    </row>
    <row r="337" spans="1:14">
      <c r="A337" s="64"/>
      <c r="B337" s="22"/>
      <c r="C337" s="22"/>
      <c r="D337" s="22"/>
      <c r="E337" s="22"/>
      <c r="F337" s="22"/>
      <c r="G337" s="22"/>
      <c r="H337" s="22"/>
      <c r="I337" s="22"/>
      <c r="J337" s="22"/>
      <c r="K337" s="22"/>
      <c r="L337" s="22"/>
      <c r="M337" s="22"/>
      <c r="N337" s="22"/>
    </row>
    <row r="338" spans="1:14">
      <c r="A338" s="64" t="s">
        <v>20</v>
      </c>
      <c r="B338" s="22"/>
      <c r="C338" s="22"/>
      <c r="D338" s="22"/>
      <c r="E338" s="22"/>
      <c r="F338" s="22"/>
      <c r="G338" s="22"/>
      <c r="H338" s="22"/>
      <c r="I338" s="22"/>
      <c r="J338" s="22"/>
      <c r="K338" s="22"/>
      <c r="L338" s="22"/>
      <c r="M338" s="22"/>
      <c r="N338" s="22"/>
    </row>
    <row r="339" spans="1:14">
      <c r="A339" s="64" t="s">
        <v>66</v>
      </c>
      <c r="B339" s="113"/>
      <c r="C339" s="111">
        <v>9</v>
      </c>
      <c r="D339" s="111">
        <v>41</v>
      </c>
      <c r="E339" s="111">
        <v>10</v>
      </c>
      <c r="F339" s="111">
        <v>5</v>
      </c>
      <c r="G339" s="111">
        <v>15</v>
      </c>
      <c r="H339" s="113"/>
      <c r="I339" s="111">
        <v>21</v>
      </c>
      <c r="J339" s="111">
        <v>39</v>
      </c>
      <c r="K339" s="111">
        <v>87</v>
      </c>
      <c r="L339" s="111">
        <v>40</v>
      </c>
      <c r="M339" s="113"/>
      <c r="N339" s="111">
        <v>267</v>
      </c>
    </row>
    <row r="340" spans="1:14">
      <c r="A340" s="64" t="s">
        <v>262</v>
      </c>
      <c r="B340" s="107"/>
      <c r="C340" s="107">
        <f>SUM(C337:C339)</f>
        <v>9</v>
      </c>
      <c r="D340" s="107">
        <f>SUM(D337:D339)</f>
        <v>41</v>
      </c>
      <c r="E340" s="107">
        <f>SUM(E337:E339)</f>
        <v>10</v>
      </c>
      <c r="F340" s="107">
        <f>SUM(F337:F339)</f>
        <v>5</v>
      </c>
      <c r="G340" s="107">
        <f>SUM(G337:G339)</f>
        <v>15</v>
      </c>
      <c r="H340" s="107"/>
      <c r="I340" s="107">
        <f>SUM(I337:I339)</f>
        <v>21</v>
      </c>
      <c r="J340" s="107">
        <f>SUM(J337:J339)</f>
        <v>39</v>
      </c>
      <c r="K340" s="107">
        <f>SUM(K337:K339)</f>
        <v>87</v>
      </c>
      <c r="L340" s="107">
        <f>SUM(L337:L339)</f>
        <v>40</v>
      </c>
      <c r="M340" s="107"/>
      <c r="N340" s="107">
        <v>267</v>
      </c>
    </row>
    <row r="341" spans="1:14">
      <c r="A341" s="64"/>
      <c r="B341" s="22"/>
      <c r="C341" s="22"/>
      <c r="D341" s="22"/>
      <c r="E341" s="22"/>
      <c r="F341" s="22"/>
      <c r="G341" s="22"/>
      <c r="H341" s="22"/>
      <c r="I341" s="22"/>
      <c r="J341" s="22"/>
      <c r="K341" s="22"/>
      <c r="L341" s="22"/>
      <c r="M341" s="22"/>
      <c r="N341" s="22"/>
    </row>
    <row r="342" spans="1:14">
      <c r="A342" s="64" t="s">
        <v>263</v>
      </c>
      <c r="B342" s="22"/>
      <c r="C342" s="22"/>
      <c r="D342" s="22"/>
      <c r="E342" s="22"/>
      <c r="F342" s="22"/>
      <c r="G342" s="22"/>
      <c r="H342" s="22"/>
      <c r="I342" s="22"/>
      <c r="J342" s="22"/>
      <c r="K342" s="22"/>
      <c r="L342" s="22"/>
      <c r="M342" s="22"/>
      <c r="N342" s="22"/>
    </row>
    <row r="343" spans="1:14">
      <c r="A343" s="64" t="s">
        <v>261</v>
      </c>
      <c r="B343" s="22"/>
      <c r="C343" s="107">
        <v>-2</v>
      </c>
      <c r="D343" s="22"/>
      <c r="E343" s="22"/>
      <c r="F343" s="22"/>
      <c r="G343" s="22"/>
      <c r="H343" s="107">
        <v>-7</v>
      </c>
      <c r="I343" s="22"/>
      <c r="J343" s="22"/>
      <c r="K343" s="107">
        <v>15</v>
      </c>
      <c r="L343" s="107">
        <v>-1</v>
      </c>
      <c r="M343" s="22"/>
      <c r="N343" s="107">
        <v>5</v>
      </c>
    </row>
    <row r="344" spans="1:14">
      <c r="A344" s="64" t="s">
        <v>66</v>
      </c>
      <c r="B344" s="111">
        <v>221</v>
      </c>
      <c r="C344" s="111">
        <v>211</v>
      </c>
      <c r="D344" s="111">
        <v>301</v>
      </c>
      <c r="E344" s="111">
        <v>270</v>
      </c>
      <c r="F344" s="111">
        <v>342</v>
      </c>
      <c r="G344" s="111">
        <v>249</v>
      </c>
      <c r="H344" s="111">
        <v>253</v>
      </c>
      <c r="I344" s="111">
        <v>191</v>
      </c>
      <c r="J344" s="111">
        <v>329</v>
      </c>
      <c r="K344" s="111">
        <v>351</v>
      </c>
      <c r="L344" s="111">
        <v>290</v>
      </c>
      <c r="M344" s="111">
        <v>584</v>
      </c>
      <c r="N344" s="111">
        <v>3592</v>
      </c>
    </row>
    <row r="345" spans="1:14">
      <c r="A345" s="64" t="s">
        <v>264</v>
      </c>
      <c r="B345" s="107">
        <f t="shared" ref="B345:M345" si="58">SUM(B341:B344)</f>
        <v>221</v>
      </c>
      <c r="C345" s="107">
        <f t="shared" si="58"/>
        <v>209</v>
      </c>
      <c r="D345" s="107">
        <f t="shared" si="58"/>
        <v>301</v>
      </c>
      <c r="E345" s="107">
        <f t="shared" si="58"/>
        <v>270</v>
      </c>
      <c r="F345" s="107">
        <f t="shared" si="58"/>
        <v>342</v>
      </c>
      <c r="G345" s="107">
        <f t="shared" si="58"/>
        <v>249</v>
      </c>
      <c r="H345" s="107">
        <f t="shared" si="58"/>
        <v>246</v>
      </c>
      <c r="I345" s="107">
        <f t="shared" si="58"/>
        <v>191</v>
      </c>
      <c r="J345" s="107">
        <f t="shared" si="58"/>
        <v>329</v>
      </c>
      <c r="K345" s="107">
        <f t="shared" si="58"/>
        <v>366</v>
      </c>
      <c r="L345" s="107">
        <f t="shared" si="58"/>
        <v>289</v>
      </c>
      <c r="M345" s="107">
        <f t="shared" si="58"/>
        <v>584</v>
      </c>
      <c r="N345" s="107">
        <v>3597</v>
      </c>
    </row>
    <row r="346" spans="1:14">
      <c r="A346" s="64"/>
      <c r="B346" s="22"/>
      <c r="C346" s="22"/>
      <c r="D346" s="22"/>
      <c r="E346" s="22"/>
      <c r="F346" s="22"/>
      <c r="G346" s="22"/>
      <c r="H346" s="22"/>
      <c r="I346" s="22"/>
      <c r="J346" s="22"/>
      <c r="K346" s="22"/>
      <c r="L346" s="22"/>
      <c r="M346" s="22"/>
      <c r="N346" s="22"/>
    </row>
    <row r="347" spans="1:14">
      <c r="A347" s="64" t="s">
        <v>265</v>
      </c>
      <c r="B347" s="113"/>
      <c r="C347" s="113"/>
      <c r="D347" s="113"/>
      <c r="E347" s="113"/>
      <c r="F347" s="113"/>
      <c r="G347" s="113"/>
      <c r="H347" s="113"/>
      <c r="I347" s="113"/>
      <c r="J347" s="113"/>
      <c r="K347" s="113"/>
      <c r="L347" s="113"/>
      <c r="M347" s="113"/>
      <c r="N347" s="113"/>
    </row>
    <row r="348" spans="1:14">
      <c r="A348" s="64" t="s">
        <v>319</v>
      </c>
      <c r="B348" s="107"/>
      <c r="C348" s="107"/>
      <c r="D348" s="107"/>
      <c r="E348" s="107"/>
      <c r="F348" s="107"/>
      <c r="G348" s="107"/>
      <c r="H348" s="107"/>
      <c r="I348" s="107"/>
      <c r="J348" s="107"/>
      <c r="K348" s="107"/>
      <c r="L348" s="107"/>
      <c r="M348" s="107"/>
      <c r="N348" s="107"/>
    </row>
    <row r="349" spans="1:14">
      <c r="A349" s="64"/>
      <c r="B349" s="22"/>
      <c r="C349" s="22"/>
      <c r="D349" s="22"/>
      <c r="E349" s="22"/>
      <c r="F349" s="22"/>
      <c r="G349" s="22"/>
      <c r="H349" s="22"/>
      <c r="I349" s="22"/>
      <c r="J349" s="22"/>
      <c r="K349" s="22"/>
      <c r="L349" s="22"/>
      <c r="M349" s="22"/>
      <c r="N349" s="22"/>
    </row>
    <row r="350" spans="1:14">
      <c r="A350" s="64" t="s">
        <v>106</v>
      </c>
      <c r="B350" s="22"/>
      <c r="C350" s="22"/>
      <c r="D350" s="22"/>
      <c r="E350" s="22"/>
      <c r="F350" s="22"/>
      <c r="G350" s="22"/>
      <c r="H350" s="22"/>
      <c r="I350" s="22"/>
      <c r="J350" s="22"/>
      <c r="K350" s="22"/>
      <c r="L350" s="22"/>
      <c r="M350" s="22"/>
      <c r="N350" s="22"/>
    </row>
    <row r="351" spans="1:14">
      <c r="A351" s="64" t="s">
        <v>261</v>
      </c>
      <c r="B351" s="22"/>
      <c r="C351" s="22"/>
      <c r="D351" s="22"/>
      <c r="E351" s="22"/>
      <c r="F351" s="22"/>
      <c r="G351" s="22"/>
      <c r="H351" s="107">
        <v>7</v>
      </c>
      <c r="I351" s="107">
        <v>-7</v>
      </c>
      <c r="J351" s="22"/>
      <c r="K351" s="107">
        <v>-15</v>
      </c>
      <c r="L351" s="22"/>
      <c r="M351" s="22"/>
      <c r="N351" s="107">
        <v>-15</v>
      </c>
    </row>
    <row r="352" spans="1:14">
      <c r="A352" s="64" t="s">
        <v>66</v>
      </c>
      <c r="B352" s="111">
        <v>29</v>
      </c>
      <c r="C352" s="111">
        <v>58</v>
      </c>
      <c r="D352" s="111">
        <v>39</v>
      </c>
      <c r="E352" s="111">
        <v>10</v>
      </c>
      <c r="F352" s="111">
        <v>21</v>
      </c>
      <c r="G352" s="111">
        <v>69</v>
      </c>
      <c r="H352" s="111">
        <v>77</v>
      </c>
      <c r="I352" s="111">
        <v>51</v>
      </c>
      <c r="J352" s="111">
        <v>22</v>
      </c>
      <c r="K352" s="111">
        <v>68</v>
      </c>
      <c r="L352" s="111">
        <v>99</v>
      </c>
      <c r="M352" s="111">
        <v>100</v>
      </c>
      <c r="N352" s="111">
        <v>643</v>
      </c>
    </row>
    <row r="353" spans="1:14">
      <c r="A353" s="64" t="s">
        <v>116</v>
      </c>
      <c r="B353" s="107">
        <f t="shared" ref="B353:M353" si="59">SUM(B349:B352)</f>
        <v>29</v>
      </c>
      <c r="C353" s="107">
        <f t="shared" si="59"/>
        <v>58</v>
      </c>
      <c r="D353" s="107">
        <f t="shared" si="59"/>
        <v>39</v>
      </c>
      <c r="E353" s="107">
        <f t="shared" si="59"/>
        <v>10</v>
      </c>
      <c r="F353" s="107">
        <f t="shared" si="59"/>
        <v>21</v>
      </c>
      <c r="G353" s="107">
        <f t="shared" si="59"/>
        <v>69</v>
      </c>
      <c r="H353" s="107">
        <f t="shared" si="59"/>
        <v>84</v>
      </c>
      <c r="I353" s="107">
        <f t="shared" si="59"/>
        <v>44</v>
      </c>
      <c r="J353" s="107">
        <f t="shared" si="59"/>
        <v>22</v>
      </c>
      <c r="K353" s="107">
        <f t="shared" si="59"/>
        <v>53</v>
      </c>
      <c r="L353" s="107">
        <f t="shared" si="59"/>
        <v>99</v>
      </c>
      <c r="M353" s="107">
        <f t="shared" si="59"/>
        <v>100</v>
      </c>
      <c r="N353" s="107">
        <v>628</v>
      </c>
    </row>
    <row r="354" spans="1:14">
      <c r="A354" s="64"/>
      <c r="B354" s="22"/>
      <c r="C354" s="22"/>
      <c r="D354" s="22"/>
      <c r="E354" s="22"/>
      <c r="F354" s="22"/>
      <c r="G354" s="22"/>
      <c r="H354" s="22"/>
      <c r="I354" s="22"/>
      <c r="J354" s="22"/>
      <c r="K354" s="22"/>
      <c r="L354" s="22"/>
      <c r="M354" s="22"/>
      <c r="N354" s="22"/>
    </row>
    <row r="355" spans="1:14">
      <c r="A355" s="64" t="s">
        <v>117</v>
      </c>
      <c r="B355" s="22"/>
      <c r="C355" s="22"/>
      <c r="D355" s="22"/>
      <c r="E355" s="22"/>
      <c r="F355" s="22"/>
      <c r="G355" s="22"/>
      <c r="H355" s="22"/>
      <c r="I355" s="22"/>
      <c r="J355" s="22"/>
      <c r="K355" s="22"/>
      <c r="L355" s="22"/>
      <c r="M355" s="22"/>
      <c r="N355" s="22"/>
    </row>
    <row r="356" spans="1:14">
      <c r="A356" s="64" t="s">
        <v>261</v>
      </c>
      <c r="B356" s="107">
        <v>39</v>
      </c>
      <c r="C356" s="107">
        <v>33</v>
      </c>
      <c r="D356" s="107">
        <v>8</v>
      </c>
      <c r="E356" s="107">
        <v>14</v>
      </c>
      <c r="F356" s="22"/>
      <c r="G356" s="22"/>
      <c r="H356" s="22"/>
      <c r="I356" s="22"/>
      <c r="J356" s="22"/>
      <c r="K356" s="22"/>
      <c r="L356" s="22"/>
      <c r="M356" s="22"/>
      <c r="N356" s="107">
        <v>94</v>
      </c>
    </row>
    <row r="357" spans="1:14">
      <c r="A357" s="64" t="s">
        <v>66</v>
      </c>
      <c r="B357" s="111">
        <v>219</v>
      </c>
      <c r="C357" s="111">
        <v>189</v>
      </c>
      <c r="D357" s="111">
        <v>195</v>
      </c>
      <c r="E357" s="111">
        <v>202</v>
      </c>
      <c r="F357" s="111">
        <v>220</v>
      </c>
      <c r="G357" s="111">
        <v>283</v>
      </c>
      <c r="H357" s="111">
        <v>277</v>
      </c>
      <c r="I357" s="111">
        <v>211</v>
      </c>
      <c r="J357" s="111">
        <v>253</v>
      </c>
      <c r="K357" s="111">
        <v>256</v>
      </c>
      <c r="L357" s="111">
        <v>231</v>
      </c>
      <c r="M357" s="111">
        <v>250</v>
      </c>
      <c r="N357" s="111">
        <v>2786</v>
      </c>
    </row>
    <row r="358" spans="1:14">
      <c r="A358" s="64" t="s">
        <v>127</v>
      </c>
      <c r="B358" s="107">
        <f t="shared" ref="B358:M358" si="60">SUM(B354:B357)</f>
        <v>258</v>
      </c>
      <c r="C358" s="107">
        <f t="shared" si="60"/>
        <v>222</v>
      </c>
      <c r="D358" s="107">
        <f t="shared" si="60"/>
        <v>203</v>
      </c>
      <c r="E358" s="107">
        <f t="shared" si="60"/>
        <v>216</v>
      </c>
      <c r="F358" s="107">
        <f t="shared" si="60"/>
        <v>220</v>
      </c>
      <c r="G358" s="107">
        <f t="shared" si="60"/>
        <v>283</v>
      </c>
      <c r="H358" s="107">
        <f t="shared" si="60"/>
        <v>277</v>
      </c>
      <c r="I358" s="107">
        <f t="shared" si="60"/>
        <v>211</v>
      </c>
      <c r="J358" s="107">
        <f t="shared" si="60"/>
        <v>253</v>
      </c>
      <c r="K358" s="107">
        <f t="shared" si="60"/>
        <v>256</v>
      </c>
      <c r="L358" s="107">
        <f t="shared" si="60"/>
        <v>231</v>
      </c>
      <c r="M358" s="107">
        <f t="shared" si="60"/>
        <v>250</v>
      </c>
      <c r="N358" s="107">
        <v>2880</v>
      </c>
    </row>
    <row r="359" spans="1:14">
      <c r="A359" s="64"/>
      <c r="B359" s="22"/>
      <c r="C359" s="22"/>
      <c r="D359" s="22"/>
      <c r="E359" s="22"/>
      <c r="F359" s="22"/>
      <c r="G359" s="22"/>
      <c r="H359" s="22"/>
      <c r="I359" s="22"/>
      <c r="J359" s="22"/>
      <c r="K359" s="22"/>
      <c r="L359" s="22"/>
      <c r="M359" s="22"/>
      <c r="N359" s="22"/>
    </row>
    <row r="360" spans="1:14" ht="15.75" thickBot="1">
      <c r="A360" s="64" t="s">
        <v>266</v>
      </c>
      <c r="B360" s="112">
        <f t="shared" ref="B360:M360" si="61">SUM(B331:B359)-B336-B340-B345-B348-B353-B358</f>
        <v>1834</v>
      </c>
      <c r="C360" s="112">
        <f t="shared" si="61"/>
        <v>1793</v>
      </c>
      <c r="D360" s="112">
        <f t="shared" si="61"/>
        <v>1869</v>
      </c>
      <c r="E360" s="112">
        <f t="shared" si="61"/>
        <v>1860</v>
      </c>
      <c r="F360" s="112">
        <f t="shared" si="61"/>
        <v>1902</v>
      </c>
      <c r="G360" s="112">
        <f t="shared" si="61"/>
        <v>1945</v>
      </c>
      <c r="H360" s="112">
        <f t="shared" si="61"/>
        <v>1727</v>
      </c>
      <c r="I360" s="112">
        <f t="shared" si="61"/>
        <v>1736</v>
      </c>
      <c r="J360" s="112">
        <f t="shared" si="61"/>
        <v>1938</v>
      </c>
      <c r="K360" s="112">
        <f t="shared" si="61"/>
        <v>1967</v>
      </c>
      <c r="L360" s="112">
        <f t="shared" si="61"/>
        <v>1801</v>
      </c>
      <c r="M360" s="112">
        <f t="shared" si="61"/>
        <v>1970</v>
      </c>
      <c r="N360" s="112">
        <v>22342</v>
      </c>
    </row>
    <row r="361" spans="1:14" ht="15.75" thickTop="1">
      <c r="A361" s="64"/>
      <c r="B361" s="22"/>
      <c r="C361" s="22"/>
      <c r="D361" s="22"/>
      <c r="E361" s="22"/>
      <c r="F361" s="22"/>
      <c r="G361" s="22"/>
      <c r="H361" s="22"/>
      <c r="I361" s="22"/>
      <c r="J361" s="22"/>
      <c r="K361" s="22"/>
      <c r="L361" s="22"/>
      <c r="M361" s="22"/>
      <c r="N361" s="22"/>
    </row>
    <row r="362" spans="1:14" hidden="1">
      <c r="A362" s="64"/>
      <c r="B362" s="107">
        <v>44690.86</v>
      </c>
      <c r="C362" s="107">
        <v>-24176.63</v>
      </c>
      <c r="D362" s="107">
        <v>-19467.509999999998</v>
      </c>
      <c r="E362" s="107">
        <v>-12033.87</v>
      </c>
      <c r="F362" s="107">
        <v>20729.68</v>
      </c>
      <c r="G362" s="107">
        <v>-23371.45</v>
      </c>
      <c r="H362" s="107">
        <v>16203.71</v>
      </c>
      <c r="I362" s="107">
        <v>80084.95</v>
      </c>
      <c r="J362" s="107">
        <v>29509.69</v>
      </c>
      <c r="K362" s="107">
        <v>-9699.41</v>
      </c>
      <c r="L362" s="107">
        <v>14047.47</v>
      </c>
      <c r="M362" s="107">
        <v>-143300.51</v>
      </c>
      <c r="N362" s="107">
        <v>-26783.02</v>
      </c>
    </row>
    <row r="363" spans="1:14">
      <c r="A363" s="64"/>
      <c r="B363" s="22"/>
      <c r="C363" s="22"/>
      <c r="D363" s="22"/>
      <c r="E363" s="22"/>
      <c r="F363" s="22"/>
      <c r="G363" s="22"/>
      <c r="H363" s="22"/>
      <c r="I363" s="22"/>
      <c r="J363" s="22"/>
      <c r="K363" s="22"/>
      <c r="L363" s="22"/>
      <c r="M363" s="22"/>
      <c r="N363" s="22"/>
    </row>
    <row r="364" spans="1:14" hidden="1">
      <c r="A364" s="64" t="s">
        <v>267</v>
      </c>
      <c r="B364" s="107">
        <f t="shared" ref="B364:M364" si="62">B335+B339+B344+B352+B357</f>
        <v>1834</v>
      </c>
      <c r="C364" s="107">
        <f t="shared" si="62"/>
        <v>1793</v>
      </c>
      <c r="D364" s="107">
        <f t="shared" si="62"/>
        <v>1869</v>
      </c>
      <c r="E364" s="107">
        <f t="shared" si="62"/>
        <v>1859</v>
      </c>
      <c r="F364" s="107">
        <f t="shared" si="62"/>
        <v>1902</v>
      </c>
      <c r="G364" s="107">
        <f t="shared" si="62"/>
        <v>1945</v>
      </c>
      <c r="H364" s="107">
        <f t="shared" si="62"/>
        <v>1727</v>
      </c>
      <c r="I364" s="107">
        <f t="shared" si="62"/>
        <v>1736</v>
      </c>
      <c r="J364" s="107">
        <f t="shared" si="62"/>
        <v>1938</v>
      </c>
      <c r="K364" s="107">
        <f t="shared" si="62"/>
        <v>1967</v>
      </c>
      <c r="L364" s="107">
        <f t="shared" si="62"/>
        <v>1802</v>
      </c>
      <c r="M364" s="107">
        <f t="shared" si="62"/>
        <v>1970</v>
      </c>
      <c r="N364" s="107">
        <v>22342</v>
      </c>
    </row>
    <row r="365" spans="1:14">
      <c r="A365" s="64"/>
      <c r="B365" s="22"/>
      <c r="C365" s="22"/>
      <c r="D365" s="22"/>
      <c r="E365" s="22"/>
      <c r="F365" s="22"/>
      <c r="G365" s="22"/>
      <c r="H365" s="22"/>
      <c r="I365" s="22"/>
      <c r="J365" s="22"/>
      <c r="K365" s="22"/>
      <c r="L365" s="22"/>
      <c r="M365" s="22"/>
      <c r="N365" s="22"/>
    </row>
  </sheetData>
  <pageMargins left="0.75" right="0.75" top="0.75" bottom="0.75" header="0.03" footer="0.03"/>
  <pageSetup scale="46" fitToHeight="0" pageOrder="overThenDown" orientation="landscape" r:id="rId1"/>
  <headerFooter>
    <oddHeader>&amp;L&amp;C&amp;"Arial,Regular"&amp;9&amp;K000000HMG Park Manor of Salina, LLC 
Trailing 12 Months&amp;R</oddHeader>
  </headerFooter>
  <rowBreaks count="1" manualBreakCount="1">
    <brk id="60" max="16383" man="1"/>
  </rowBreaks>
  <customProperties>
    <customPr name="EpmWorksheetKeyString_GUID" r:id="rId2"/>
  </customProperties>
  <drawing r:id="rId3"/>
  <legacyDrawing r:id="rId4"/>
  <controls>
    <mc:AlternateContent xmlns:mc="http://schemas.openxmlformats.org/markup-compatibility/2006">
      <mc:Choice Requires="x14">
        <control shapeId="14337"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4337" r:id="rId5" name="FPMExcelClientSheetOptionstb1"/>
      </mc:Fallback>
    </mc:AlternateContent>
  </control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3">
    <pageSetUpPr fitToPage="1"/>
  </sheetPr>
  <dimension ref="A1:N367"/>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B336</f>
        <v>930</v>
      </c>
      <c r="C4" s="110">
        <f t="shared" si="0"/>
        <v>953</v>
      </c>
      <c r="D4" s="110">
        <f t="shared" si="0"/>
        <v>981</v>
      </c>
      <c r="E4" s="110">
        <f t="shared" si="0"/>
        <v>982</v>
      </c>
      <c r="F4" s="110">
        <f t="shared" si="0"/>
        <v>1008</v>
      </c>
      <c r="G4" s="110">
        <f t="shared" si="0"/>
        <v>984</v>
      </c>
      <c r="H4" s="110">
        <f t="shared" si="0"/>
        <v>871</v>
      </c>
      <c r="I4" s="110">
        <f t="shared" si="0"/>
        <v>1052</v>
      </c>
      <c r="J4" s="110">
        <f t="shared" si="0"/>
        <v>977</v>
      </c>
      <c r="K4" s="110">
        <f t="shared" si="0"/>
        <v>934</v>
      </c>
      <c r="L4" s="110">
        <f t="shared" si="0"/>
        <v>302</v>
      </c>
      <c r="M4" s="110">
        <f t="shared" si="0"/>
        <v>831</v>
      </c>
      <c r="N4" s="110">
        <v>10805</v>
      </c>
    </row>
    <row r="5" spans="1:14">
      <c r="A5" s="64" t="s">
        <v>35</v>
      </c>
      <c r="B5" s="107">
        <f t="shared" ref="B5:M5" si="1">B341</f>
        <v>140</v>
      </c>
      <c r="C5" s="107">
        <f t="shared" si="1"/>
        <v>48</v>
      </c>
      <c r="D5" s="107">
        <f t="shared" si="1"/>
        <v>14</v>
      </c>
      <c r="E5" s="107">
        <f t="shared" si="1"/>
        <v>57</v>
      </c>
      <c r="F5" s="107">
        <f t="shared" si="1"/>
        <v>85</v>
      </c>
      <c r="G5" s="107">
        <f t="shared" si="1"/>
        <v>86</v>
      </c>
      <c r="H5" s="107">
        <f t="shared" si="1"/>
        <v>91</v>
      </c>
      <c r="I5" s="107">
        <f t="shared" si="1"/>
        <v>176</v>
      </c>
      <c r="J5" s="107">
        <f t="shared" si="1"/>
        <v>175</v>
      </c>
      <c r="K5" s="107">
        <f t="shared" si="1"/>
        <v>167</v>
      </c>
      <c r="L5" s="107">
        <f t="shared" si="1"/>
        <v>151</v>
      </c>
      <c r="M5" s="107">
        <f t="shared" si="1"/>
        <v>137</v>
      </c>
      <c r="N5" s="107">
        <v>1327</v>
      </c>
    </row>
    <row r="6" spans="1:14">
      <c r="A6" s="64" t="s">
        <v>36</v>
      </c>
      <c r="B6" s="107">
        <f t="shared" ref="B6:M6" si="2">B346</f>
        <v>126</v>
      </c>
      <c r="C6" s="107">
        <f t="shared" si="2"/>
        <v>122</v>
      </c>
      <c r="D6" s="107">
        <f t="shared" si="2"/>
        <v>211</v>
      </c>
      <c r="E6" s="107">
        <f t="shared" si="2"/>
        <v>152</v>
      </c>
      <c r="F6" s="107">
        <f t="shared" si="2"/>
        <v>90</v>
      </c>
      <c r="G6" s="107">
        <f t="shared" si="2"/>
        <v>183</v>
      </c>
      <c r="H6" s="107">
        <f t="shared" si="2"/>
        <v>256</v>
      </c>
      <c r="I6" s="107">
        <f t="shared" si="2"/>
        <v>182</v>
      </c>
      <c r="J6" s="107">
        <f t="shared" si="2"/>
        <v>171</v>
      </c>
      <c r="K6" s="107">
        <f t="shared" si="2"/>
        <v>254</v>
      </c>
      <c r="L6" s="107">
        <f t="shared" si="2"/>
        <v>178</v>
      </c>
      <c r="M6" s="107">
        <f t="shared" si="2"/>
        <v>294</v>
      </c>
      <c r="N6" s="107">
        <v>2219</v>
      </c>
    </row>
    <row r="7" spans="1:14">
      <c r="A7" s="64" t="s">
        <v>37</v>
      </c>
      <c r="B7" s="107">
        <f t="shared" ref="B7:M7" si="3">B354</f>
        <v>81</v>
      </c>
      <c r="C7" s="107">
        <f t="shared" si="3"/>
        <v>71</v>
      </c>
      <c r="D7" s="107">
        <f t="shared" si="3"/>
        <v>83</v>
      </c>
      <c r="E7" s="107">
        <f t="shared" si="3"/>
        <v>91</v>
      </c>
      <c r="F7" s="107">
        <f t="shared" si="3"/>
        <v>30</v>
      </c>
      <c r="G7" s="107">
        <f t="shared" si="3"/>
        <v>125</v>
      </c>
      <c r="H7" s="107">
        <f t="shared" si="3"/>
        <v>75</v>
      </c>
      <c r="I7" s="107">
        <f t="shared" si="3"/>
        <v>73</v>
      </c>
      <c r="J7" s="107">
        <f t="shared" si="3"/>
        <v>79</v>
      </c>
      <c r="K7" s="107">
        <f t="shared" si="3"/>
        <v>49</v>
      </c>
      <c r="L7" s="107">
        <f t="shared" si="3"/>
        <v>52</v>
      </c>
      <c r="M7" s="107">
        <f t="shared" si="3"/>
        <v>34</v>
      </c>
      <c r="N7" s="107">
        <v>843</v>
      </c>
    </row>
    <row r="8" spans="1:14">
      <c r="A8" s="64" t="s">
        <v>38</v>
      </c>
      <c r="B8" s="111">
        <f t="shared" ref="B8:M8" si="4">B359</f>
        <v>32</v>
      </c>
      <c r="C8" s="111">
        <f t="shared" si="4"/>
        <v>54</v>
      </c>
      <c r="D8" s="111">
        <f t="shared" si="4"/>
        <v>165</v>
      </c>
      <c r="E8" s="111">
        <f t="shared" si="4"/>
        <v>103</v>
      </c>
      <c r="F8" s="111">
        <f t="shared" si="4"/>
        <v>120</v>
      </c>
      <c r="G8" s="111">
        <f t="shared" si="4"/>
        <v>64</v>
      </c>
      <c r="H8" s="111">
        <f t="shared" si="4"/>
        <v>28</v>
      </c>
      <c r="I8" s="111">
        <f t="shared" si="4"/>
        <v>31</v>
      </c>
      <c r="J8" s="111">
        <f t="shared" si="4"/>
        <v>30</v>
      </c>
      <c r="K8" s="111">
        <f t="shared" si="4"/>
        <v>46</v>
      </c>
      <c r="L8" s="111">
        <f t="shared" si="4"/>
        <v>688</v>
      </c>
      <c r="M8" s="111">
        <f t="shared" si="4"/>
        <v>113</v>
      </c>
      <c r="N8" s="111">
        <v>1474</v>
      </c>
    </row>
    <row r="9" spans="1:14" ht="15.75" thickBot="1">
      <c r="A9" s="64" t="s">
        <v>39</v>
      </c>
      <c r="B9" s="112">
        <f t="shared" ref="B9:M9" si="5">B366</f>
        <v>1309</v>
      </c>
      <c r="C9" s="112">
        <f t="shared" si="5"/>
        <v>1248</v>
      </c>
      <c r="D9" s="112">
        <f t="shared" si="5"/>
        <v>1454</v>
      </c>
      <c r="E9" s="112">
        <f t="shared" si="5"/>
        <v>1385</v>
      </c>
      <c r="F9" s="112">
        <f t="shared" si="5"/>
        <v>1333</v>
      </c>
      <c r="G9" s="112">
        <f t="shared" si="5"/>
        <v>1442</v>
      </c>
      <c r="H9" s="112">
        <f t="shared" si="5"/>
        <v>1321</v>
      </c>
      <c r="I9" s="112">
        <f t="shared" si="5"/>
        <v>1514</v>
      </c>
      <c r="J9" s="112">
        <f t="shared" si="5"/>
        <v>1432</v>
      </c>
      <c r="K9" s="112">
        <f t="shared" si="5"/>
        <v>1450</v>
      </c>
      <c r="L9" s="112">
        <f t="shared" si="5"/>
        <v>1371</v>
      </c>
      <c r="M9" s="112">
        <f t="shared" si="5"/>
        <v>1409</v>
      </c>
      <c r="N9" s="112">
        <v>16668</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B68</f>
        <v>159801.39000000001</v>
      </c>
      <c r="C14" s="107">
        <f t="shared" si="6"/>
        <v>164221.25</v>
      </c>
      <c r="D14" s="107">
        <f t="shared" si="6"/>
        <v>168934.11</v>
      </c>
      <c r="E14" s="107">
        <f t="shared" si="6"/>
        <v>170075.64</v>
      </c>
      <c r="F14" s="107">
        <f t="shared" si="6"/>
        <v>175049.28</v>
      </c>
      <c r="G14" s="107">
        <f t="shared" si="6"/>
        <v>173966.3</v>
      </c>
      <c r="H14" s="107">
        <f t="shared" si="6"/>
        <v>155107.45000000001</v>
      </c>
      <c r="I14" s="107">
        <f t="shared" si="6"/>
        <v>186564.9</v>
      </c>
      <c r="J14" s="107">
        <f t="shared" si="6"/>
        <v>173541.75</v>
      </c>
      <c r="K14" s="107">
        <f t="shared" si="6"/>
        <v>166461.20000000001</v>
      </c>
      <c r="L14" s="107">
        <f t="shared" si="6"/>
        <v>160169.1</v>
      </c>
      <c r="M14" s="107">
        <f t="shared" si="6"/>
        <v>172969.83</v>
      </c>
      <c r="N14" s="107">
        <v>2026862.2</v>
      </c>
    </row>
    <row r="15" spans="1:14">
      <c r="A15" s="64" t="s">
        <v>35</v>
      </c>
      <c r="B15" s="107">
        <f t="shared" ref="B15:M15" si="7">B72</f>
        <v>24133.200000000001</v>
      </c>
      <c r="C15" s="107">
        <f t="shared" si="7"/>
        <v>8274.24</v>
      </c>
      <c r="D15" s="107">
        <f t="shared" si="7"/>
        <v>2413.3200000000002</v>
      </c>
      <c r="E15" s="107">
        <f t="shared" si="7"/>
        <v>9825.66</v>
      </c>
      <c r="F15" s="107">
        <f t="shared" si="7"/>
        <v>14652.3</v>
      </c>
      <c r="G15" s="107">
        <f t="shared" si="7"/>
        <v>10277</v>
      </c>
      <c r="H15" s="107">
        <f t="shared" si="7"/>
        <v>10874.5</v>
      </c>
      <c r="I15" s="107">
        <f t="shared" si="7"/>
        <v>31389.599999999999</v>
      </c>
      <c r="J15" s="107">
        <f t="shared" si="7"/>
        <v>31211.25</v>
      </c>
      <c r="K15" s="107">
        <f t="shared" si="7"/>
        <v>29784.45</v>
      </c>
      <c r="L15" s="107">
        <f t="shared" si="7"/>
        <v>29394.75</v>
      </c>
      <c r="M15" s="107">
        <f t="shared" si="7"/>
        <v>28606.97</v>
      </c>
      <c r="N15" s="107">
        <v>230837.24</v>
      </c>
    </row>
    <row r="16" spans="1:14">
      <c r="A16" s="64" t="s">
        <v>36</v>
      </c>
      <c r="B16" s="107">
        <f t="shared" ref="B16:M16" si="8">B76</f>
        <v>62081.52</v>
      </c>
      <c r="C16" s="107">
        <f t="shared" si="8"/>
        <v>64832.37</v>
      </c>
      <c r="D16" s="107">
        <f t="shared" si="8"/>
        <v>110458.06</v>
      </c>
      <c r="E16" s="107">
        <f t="shared" si="8"/>
        <v>79231.899999999994</v>
      </c>
      <c r="F16" s="107">
        <f t="shared" si="8"/>
        <v>46608.26</v>
      </c>
      <c r="G16" s="107">
        <f t="shared" si="8"/>
        <v>100766.91</v>
      </c>
      <c r="H16" s="107">
        <f t="shared" si="8"/>
        <v>147238.32</v>
      </c>
      <c r="I16" s="107">
        <f t="shared" si="8"/>
        <v>88332.18</v>
      </c>
      <c r="J16" s="107">
        <f t="shared" si="8"/>
        <v>90875.76</v>
      </c>
      <c r="K16" s="107">
        <f t="shared" si="8"/>
        <v>123460.6</v>
      </c>
      <c r="L16" s="107">
        <f t="shared" si="8"/>
        <v>84556.55</v>
      </c>
      <c r="M16" s="107">
        <f t="shared" si="8"/>
        <v>155375.51999999999</v>
      </c>
      <c r="N16" s="107">
        <v>1153817.95</v>
      </c>
    </row>
    <row r="17" spans="1:14">
      <c r="A17" s="64" t="s">
        <v>37</v>
      </c>
      <c r="B17" s="107">
        <f t="shared" ref="B17:M17" si="9">B83</f>
        <v>28328.85</v>
      </c>
      <c r="C17" s="107">
        <f t="shared" si="9"/>
        <v>27351.13</v>
      </c>
      <c r="D17" s="107">
        <f t="shared" si="9"/>
        <v>30023.63</v>
      </c>
      <c r="E17" s="107">
        <f t="shared" si="9"/>
        <v>40801.599999999999</v>
      </c>
      <c r="F17" s="107">
        <f t="shared" si="9"/>
        <v>10600.66</v>
      </c>
      <c r="G17" s="107">
        <f t="shared" si="9"/>
        <v>51969.43</v>
      </c>
      <c r="H17" s="107">
        <f t="shared" si="9"/>
        <v>26597.47</v>
      </c>
      <c r="I17" s="107">
        <f t="shared" si="9"/>
        <v>32664.23</v>
      </c>
      <c r="J17" s="107">
        <f t="shared" si="9"/>
        <v>28585.95</v>
      </c>
      <c r="K17" s="107">
        <f t="shared" si="9"/>
        <v>18333.439999999999</v>
      </c>
      <c r="L17" s="107">
        <f t="shared" si="9"/>
        <v>21871.1</v>
      </c>
      <c r="M17" s="107">
        <f t="shared" si="9"/>
        <v>11900</v>
      </c>
      <c r="N17" s="107">
        <v>329027.49</v>
      </c>
    </row>
    <row r="18" spans="1:14">
      <c r="A18" s="64" t="s">
        <v>38</v>
      </c>
      <c r="B18" s="111">
        <f t="shared" ref="B18:M18" si="10">B87</f>
        <v>6080</v>
      </c>
      <c r="C18" s="111">
        <f t="shared" si="10"/>
        <v>10260</v>
      </c>
      <c r="D18" s="111">
        <f t="shared" si="10"/>
        <v>31350</v>
      </c>
      <c r="E18" s="111">
        <f t="shared" si="10"/>
        <v>19570</v>
      </c>
      <c r="F18" s="111">
        <f t="shared" si="10"/>
        <v>22800</v>
      </c>
      <c r="G18" s="111">
        <f t="shared" si="10"/>
        <v>12451.25</v>
      </c>
      <c r="H18" s="111">
        <f t="shared" si="10"/>
        <v>5681.15</v>
      </c>
      <c r="I18" s="111">
        <f t="shared" si="10"/>
        <v>6239.5</v>
      </c>
      <c r="J18" s="111">
        <f t="shared" si="10"/>
        <v>5700</v>
      </c>
      <c r="K18" s="111">
        <f t="shared" si="10"/>
        <v>9101.15</v>
      </c>
      <c r="L18" s="111">
        <f t="shared" si="10"/>
        <v>16891.150000000001</v>
      </c>
      <c r="M18" s="111">
        <f t="shared" si="10"/>
        <v>21831.15</v>
      </c>
      <c r="N18" s="111">
        <v>167955.35</v>
      </c>
    </row>
    <row r="19" spans="1:14">
      <c r="A19" s="64" t="s">
        <v>42</v>
      </c>
      <c r="B19" s="107">
        <f t="shared" ref="B19:M19" si="11">B89</f>
        <v>280424.96000000002</v>
      </c>
      <c r="C19" s="107">
        <f t="shared" si="11"/>
        <v>274938.99</v>
      </c>
      <c r="D19" s="107">
        <f t="shared" si="11"/>
        <v>343179.12</v>
      </c>
      <c r="E19" s="107">
        <f t="shared" si="11"/>
        <v>319504.80000000005</v>
      </c>
      <c r="F19" s="107">
        <f t="shared" si="11"/>
        <v>269710.5</v>
      </c>
      <c r="G19" s="107">
        <f t="shared" si="11"/>
        <v>349430.89000000019</v>
      </c>
      <c r="H19" s="107">
        <f t="shared" si="11"/>
        <v>345498.89</v>
      </c>
      <c r="I19" s="107">
        <f t="shared" si="11"/>
        <v>345190.40999999986</v>
      </c>
      <c r="J19" s="107">
        <f t="shared" si="11"/>
        <v>329914.7099999999</v>
      </c>
      <c r="K19" s="107">
        <f t="shared" si="11"/>
        <v>347140.83999999991</v>
      </c>
      <c r="L19" s="107">
        <f t="shared" si="11"/>
        <v>312882.65000000008</v>
      </c>
      <c r="M19" s="107">
        <f t="shared" si="11"/>
        <v>390683.47000000009</v>
      </c>
      <c r="N19" s="107">
        <v>3908500.23</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B95</f>
        <v>-40879.74</v>
      </c>
      <c r="C22" s="107">
        <f>C95</f>
        <v>-45405.98</v>
      </c>
      <c r="D22" s="107">
        <f>D95</f>
        <v>4929.12</v>
      </c>
      <c r="E22" s="107">
        <f>E95</f>
        <v>110.69</v>
      </c>
      <c r="F22" s="107"/>
      <c r="G22" s="107">
        <f>G95</f>
        <v>-455.19</v>
      </c>
      <c r="H22" s="107"/>
      <c r="I22" s="107">
        <f>I95</f>
        <v>-42500.93</v>
      </c>
      <c r="J22" s="107"/>
      <c r="K22" s="107">
        <f>K95</f>
        <v>-39118.980000000003</v>
      </c>
      <c r="L22" s="107">
        <f>L95</f>
        <v>-106206.23</v>
      </c>
      <c r="M22" s="107">
        <f>M95</f>
        <v>356.7</v>
      </c>
      <c r="N22" s="107">
        <v>-269170.53999999998</v>
      </c>
    </row>
    <row r="23" spans="1:14">
      <c r="A23" s="64" t="s">
        <v>35</v>
      </c>
      <c r="B23" s="107">
        <f>B99</f>
        <v>486.97</v>
      </c>
      <c r="C23" s="107"/>
      <c r="D23" s="107"/>
      <c r="E23" s="107">
        <f>E99</f>
        <v>5516.16</v>
      </c>
      <c r="F23" s="107"/>
      <c r="G23" s="107"/>
      <c r="H23" s="107"/>
      <c r="I23" s="107">
        <f>I99</f>
        <v>-5614.89</v>
      </c>
      <c r="J23" s="107"/>
      <c r="K23" s="107"/>
      <c r="L23" s="107"/>
      <c r="M23" s="107">
        <f>M99</f>
        <v>-11616</v>
      </c>
      <c r="N23" s="107">
        <v>-11227.76</v>
      </c>
    </row>
    <row r="24" spans="1:14">
      <c r="A24" s="64" t="s">
        <v>36</v>
      </c>
      <c r="B24" s="107">
        <f>B103</f>
        <v>-4087.37</v>
      </c>
      <c r="C24" s="107"/>
      <c r="D24" s="107">
        <f>D103</f>
        <v>-14338.04</v>
      </c>
      <c r="E24" s="107">
        <f>E103</f>
        <v>4518.51</v>
      </c>
      <c r="F24" s="107"/>
      <c r="G24" s="107">
        <f>G103</f>
        <v>891.31</v>
      </c>
      <c r="H24" s="107">
        <f>H103</f>
        <v>354.95</v>
      </c>
      <c r="I24" s="107">
        <f>I103</f>
        <v>697.87</v>
      </c>
      <c r="J24" s="107"/>
      <c r="K24" s="107">
        <f>K103</f>
        <v>560.4</v>
      </c>
      <c r="L24" s="107">
        <f>L103</f>
        <v>573.17999999999995</v>
      </c>
      <c r="M24" s="107">
        <f>M103</f>
        <v>772.94</v>
      </c>
      <c r="N24" s="107">
        <v>-10056.25</v>
      </c>
    </row>
    <row r="25" spans="1:14">
      <c r="A25" s="64" t="s">
        <v>37</v>
      </c>
      <c r="B25" s="107"/>
      <c r="C25" s="107"/>
      <c r="D25" s="107">
        <f>D110</f>
        <v>14051.28</v>
      </c>
      <c r="E25" s="107"/>
      <c r="F25" s="107">
        <f>F110</f>
        <v>-350</v>
      </c>
      <c r="G25" s="107"/>
      <c r="H25" s="107"/>
      <c r="I25" s="107">
        <f>I110</f>
        <v>-2877.86</v>
      </c>
      <c r="J25" s="107"/>
      <c r="K25" s="107"/>
      <c r="L25" s="107">
        <f>L110</f>
        <v>350</v>
      </c>
      <c r="M25" s="107">
        <f>M110</f>
        <v>-424.95</v>
      </c>
      <c r="N25" s="107">
        <v>10748.47</v>
      </c>
    </row>
    <row r="26" spans="1:14">
      <c r="A26" s="64" t="s">
        <v>38</v>
      </c>
      <c r="B26" s="111">
        <f>B114</f>
        <v>46170</v>
      </c>
      <c r="C26" s="111">
        <f>C114</f>
        <v>50920</v>
      </c>
      <c r="D26" s="111">
        <f>D114</f>
        <v>-5510</v>
      </c>
      <c r="E26" s="111">
        <f>E114</f>
        <v>-6080</v>
      </c>
      <c r="F26" s="111"/>
      <c r="G26" s="111"/>
      <c r="H26" s="111"/>
      <c r="I26" s="111">
        <f>I114</f>
        <v>64030</v>
      </c>
      <c r="J26" s="111"/>
      <c r="K26" s="111">
        <f>K114</f>
        <v>42180</v>
      </c>
      <c r="L26" s="111">
        <f>L114</f>
        <v>114189.98</v>
      </c>
      <c r="M26" s="111">
        <f>M114</f>
        <v>11550</v>
      </c>
      <c r="N26" s="111">
        <v>317449.98</v>
      </c>
    </row>
    <row r="27" spans="1:14">
      <c r="A27" s="64" t="s">
        <v>44</v>
      </c>
      <c r="B27" s="107">
        <f t="shared" ref="B27:I27" si="12">B116</f>
        <v>1689.8600000000151</v>
      </c>
      <c r="C27" s="107">
        <f t="shared" si="12"/>
        <v>5514.0199999999968</v>
      </c>
      <c r="D27" s="107">
        <f t="shared" si="12"/>
        <v>-867.64000000000215</v>
      </c>
      <c r="E27" s="107">
        <f t="shared" si="12"/>
        <v>4065.3600000000015</v>
      </c>
      <c r="F27" s="107">
        <f t="shared" si="12"/>
        <v>-350</v>
      </c>
      <c r="G27" s="107">
        <f t="shared" si="12"/>
        <v>436.11999999999989</v>
      </c>
      <c r="H27" s="107">
        <f t="shared" si="12"/>
        <v>354.95</v>
      </c>
      <c r="I27" s="107">
        <f t="shared" si="12"/>
        <v>13734.190000000002</v>
      </c>
      <c r="J27" s="107"/>
      <c r="K27" s="107">
        <f>K116</f>
        <v>3621.4199999999837</v>
      </c>
      <c r="L27" s="107">
        <f>L116</f>
        <v>8906.929999999993</v>
      </c>
      <c r="M27" s="107">
        <f>M116</f>
        <v>638.68999999999687</v>
      </c>
      <c r="N27" s="107">
        <v>37743.9</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36</v>
      </c>
      <c r="B30" s="107"/>
      <c r="C30" s="107"/>
      <c r="D30" s="107"/>
      <c r="E30" s="107"/>
      <c r="F30" s="107">
        <f>F138</f>
        <v>4908.4799999999996</v>
      </c>
      <c r="G30" s="107">
        <f>G138</f>
        <v>-4908.4800000000032</v>
      </c>
      <c r="H30" s="107"/>
      <c r="I30" s="107"/>
      <c r="J30" s="107"/>
      <c r="K30" s="107"/>
      <c r="L30" s="107"/>
      <c r="M30" s="107"/>
      <c r="N30" s="107"/>
    </row>
    <row r="31" spans="1:14">
      <c r="A31" s="64" t="s">
        <v>46</v>
      </c>
      <c r="B31" s="107">
        <f t="shared" ref="B31:M31" si="13">B145</f>
        <v>17785.03</v>
      </c>
      <c r="C31" s="107">
        <f t="shared" si="13"/>
        <v>24980.55</v>
      </c>
      <c r="D31" s="107">
        <f t="shared" si="13"/>
        <v>10290.700000000001</v>
      </c>
      <c r="E31" s="107">
        <f t="shared" si="13"/>
        <v>18446.78</v>
      </c>
      <c r="F31" s="107">
        <f t="shared" si="13"/>
        <v>13964.89</v>
      </c>
      <c r="G31" s="107">
        <f t="shared" si="13"/>
        <v>8564.09</v>
      </c>
      <c r="H31" s="107">
        <f t="shared" si="13"/>
        <v>8756.14</v>
      </c>
      <c r="I31" s="107">
        <f t="shared" si="13"/>
        <v>-2097.35</v>
      </c>
      <c r="J31" s="107">
        <f t="shared" si="13"/>
        <v>3666.2299999999996</v>
      </c>
      <c r="K31" s="107">
        <f t="shared" si="13"/>
        <v>2838.7</v>
      </c>
      <c r="L31" s="107">
        <f t="shared" si="13"/>
        <v>7990.33</v>
      </c>
      <c r="M31" s="107">
        <f t="shared" si="13"/>
        <v>3702.8599999999997</v>
      </c>
      <c r="N31" s="107">
        <v>118888.95</v>
      </c>
    </row>
    <row r="32" spans="1:14">
      <c r="A32" s="64" t="s">
        <v>37</v>
      </c>
      <c r="B32" s="111">
        <f t="shared" ref="B32:M32" si="14">B159</f>
        <v>6900.8600000000042</v>
      </c>
      <c r="C32" s="111">
        <f t="shared" si="14"/>
        <v>904.67000000000189</v>
      </c>
      <c r="D32" s="111">
        <f t="shared" si="14"/>
        <v>24818.580000000009</v>
      </c>
      <c r="E32" s="111">
        <f t="shared" si="14"/>
        <v>15074.129999999997</v>
      </c>
      <c r="F32" s="111">
        <f t="shared" si="14"/>
        <v>9015.68</v>
      </c>
      <c r="G32" s="111">
        <f t="shared" si="14"/>
        <v>3295.2800000000061</v>
      </c>
      <c r="H32" s="111">
        <f t="shared" si="14"/>
        <v>7010.9500000000044</v>
      </c>
      <c r="I32" s="111">
        <f t="shared" si="14"/>
        <v>18000.169999999998</v>
      </c>
      <c r="J32" s="111">
        <f t="shared" si="14"/>
        <v>-1628.75</v>
      </c>
      <c r="K32" s="111">
        <f t="shared" si="14"/>
        <v>-628.96999999999753</v>
      </c>
      <c r="L32" s="111">
        <f t="shared" si="14"/>
        <v>1957.1400000000012</v>
      </c>
      <c r="M32" s="111">
        <f t="shared" si="14"/>
        <v>-3748.0700000000015</v>
      </c>
      <c r="N32" s="111">
        <v>80971.67</v>
      </c>
    </row>
    <row r="33" spans="1:14">
      <c r="A33" s="64" t="s">
        <v>47</v>
      </c>
      <c r="B33" s="107">
        <f t="shared" ref="B33:M33" si="15">B164</f>
        <v>24685.889999999996</v>
      </c>
      <c r="C33" s="107">
        <f t="shared" si="15"/>
        <v>25885.22</v>
      </c>
      <c r="D33" s="107">
        <f t="shared" si="15"/>
        <v>35109.280000000021</v>
      </c>
      <c r="E33" s="107">
        <f t="shared" si="15"/>
        <v>33520.910000000011</v>
      </c>
      <c r="F33" s="107">
        <f t="shared" si="15"/>
        <v>27889.049999999996</v>
      </c>
      <c r="G33" s="107">
        <f t="shared" si="15"/>
        <v>6950.8900000000031</v>
      </c>
      <c r="H33" s="107">
        <f t="shared" si="15"/>
        <v>15767.089999999989</v>
      </c>
      <c r="I33" s="107">
        <f t="shared" si="15"/>
        <v>15902.819999999992</v>
      </c>
      <c r="J33" s="107">
        <f t="shared" si="15"/>
        <v>2037.4799999999959</v>
      </c>
      <c r="K33" s="107">
        <f t="shared" si="15"/>
        <v>2209.7300000000005</v>
      </c>
      <c r="L33" s="107">
        <f t="shared" si="15"/>
        <v>9947.4700000000012</v>
      </c>
      <c r="M33" s="107">
        <f t="shared" si="15"/>
        <v>-45.210000000001855</v>
      </c>
      <c r="N33" s="107">
        <v>199860.62</v>
      </c>
    </row>
    <row r="34" spans="1:14">
      <c r="A34" s="64"/>
      <c r="B34" s="22"/>
      <c r="C34" s="22"/>
      <c r="D34" s="22"/>
      <c r="E34" s="22"/>
      <c r="F34" s="22"/>
      <c r="G34" s="22"/>
      <c r="H34" s="22"/>
      <c r="I34" s="22"/>
      <c r="J34" s="22"/>
      <c r="K34" s="22"/>
      <c r="L34" s="22"/>
      <c r="M34" s="22"/>
      <c r="N34" s="22"/>
    </row>
    <row r="35" spans="1:14">
      <c r="A35" s="64" t="s">
        <v>48</v>
      </c>
      <c r="B35" s="107">
        <f t="shared" ref="B35:M35" si="16">B170</f>
        <v>3000</v>
      </c>
      <c r="C35" s="107">
        <f t="shared" si="16"/>
        <v>46350.43</v>
      </c>
      <c r="D35" s="107">
        <f t="shared" si="16"/>
        <v>1692.83</v>
      </c>
      <c r="E35" s="107">
        <f t="shared" si="16"/>
        <v>1277.57</v>
      </c>
      <c r="F35" s="107">
        <f t="shared" si="16"/>
        <v>1936.52</v>
      </c>
      <c r="G35" s="107">
        <f t="shared" si="16"/>
        <v>18557.55</v>
      </c>
      <c r="H35" s="107">
        <f t="shared" si="16"/>
        <v>2152.81</v>
      </c>
      <c r="I35" s="107">
        <f t="shared" si="16"/>
        <v>2126.62</v>
      </c>
      <c r="J35" s="107">
        <f t="shared" si="16"/>
        <v>1800</v>
      </c>
      <c r="K35" s="107">
        <f t="shared" si="16"/>
        <v>824</v>
      </c>
      <c r="L35" s="107">
        <f t="shared" si="16"/>
        <v>4267.24</v>
      </c>
      <c r="M35" s="107">
        <f t="shared" si="16"/>
        <v>76807.05</v>
      </c>
      <c r="N35" s="107">
        <v>160792.62</v>
      </c>
    </row>
    <row r="36" spans="1:14">
      <c r="A36" s="64"/>
      <c r="B36" s="22"/>
      <c r="C36" s="22"/>
      <c r="D36" s="22"/>
      <c r="E36" s="22"/>
      <c r="F36" s="22"/>
      <c r="G36" s="22"/>
      <c r="H36" s="22"/>
      <c r="I36" s="22"/>
      <c r="J36" s="22"/>
      <c r="K36" s="22"/>
      <c r="L36" s="22"/>
      <c r="M36" s="22"/>
      <c r="N36" s="22"/>
    </row>
    <row r="37" spans="1:14" ht="15.75" thickBot="1">
      <c r="A37" s="64" t="s">
        <v>13</v>
      </c>
      <c r="B37" s="112">
        <f t="shared" ref="B37:M37" si="17">B172</f>
        <v>309800.71000000008</v>
      </c>
      <c r="C37" s="112">
        <f t="shared" si="17"/>
        <v>352688.66000000021</v>
      </c>
      <c r="D37" s="112">
        <f t="shared" si="17"/>
        <v>379113.58999999985</v>
      </c>
      <c r="E37" s="112">
        <f t="shared" si="17"/>
        <v>358368.63999999996</v>
      </c>
      <c r="F37" s="112">
        <f t="shared" si="17"/>
        <v>299186.07000000007</v>
      </c>
      <c r="G37" s="112">
        <f t="shared" si="17"/>
        <v>375375.45000000036</v>
      </c>
      <c r="H37" s="112">
        <f t="shared" si="17"/>
        <v>363773.73999999964</v>
      </c>
      <c r="I37" s="112">
        <f t="shared" si="17"/>
        <v>376954.03999999928</v>
      </c>
      <c r="J37" s="112">
        <f t="shared" si="17"/>
        <v>333752.19</v>
      </c>
      <c r="K37" s="112">
        <f t="shared" si="17"/>
        <v>353795.98999999993</v>
      </c>
      <c r="L37" s="112">
        <f t="shared" si="17"/>
        <v>336004.29000000004</v>
      </c>
      <c r="M37" s="112">
        <f t="shared" si="17"/>
        <v>468084.00000000006</v>
      </c>
      <c r="N37" s="112">
        <v>4306897.37</v>
      </c>
    </row>
    <row r="38" spans="1:14" ht="15.75" thickTop="1">
      <c r="A38" s="64"/>
      <c r="B38" s="22"/>
      <c r="C38" s="22"/>
      <c r="D38" s="22"/>
      <c r="E38" s="22"/>
      <c r="F38" s="22"/>
      <c r="G38" s="22"/>
      <c r="H38" s="22"/>
      <c r="I38" s="22"/>
      <c r="J38" s="22"/>
      <c r="K38" s="22"/>
      <c r="L38" s="22"/>
      <c r="M38" s="22"/>
      <c r="N38" s="22"/>
    </row>
    <row r="39" spans="1:14">
      <c r="A39" s="64" t="s">
        <v>14</v>
      </c>
      <c r="B39" s="22"/>
      <c r="C39" s="22"/>
      <c r="D39" s="22"/>
      <c r="E39" s="22"/>
      <c r="F39" s="22"/>
      <c r="G39" s="22"/>
      <c r="H39" s="22"/>
      <c r="I39" s="22"/>
      <c r="J39" s="22"/>
      <c r="K39" s="22"/>
      <c r="L39" s="22"/>
      <c r="M39" s="22"/>
      <c r="N39" s="22"/>
    </row>
    <row r="40" spans="1:14">
      <c r="A40" s="64" t="s">
        <v>49</v>
      </c>
      <c r="B40" s="107">
        <f t="shared" ref="B40:M40" si="18">B193</f>
        <v>120623.01999999999</v>
      </c>
      <c r="C40" s="107">
        <f t="shared" si="18"/>
        <v>117491.57000000002</v>
      </c>
      <c r="D40" s="107">
        <f t="shared" si="18"/>
        <v>121565.02</v>
      </c>
      <c r="E40" s="107">
        <f t="shared" si="18"/>
        <v>130564.52999999998</v>
      </c>
      <c r="F40" s="107">
        <f t="shared" si="18"/>
        <v>134240.41999999998</v>
      </c>
      <c r="G40" s="107">
        <f t="shared" si="18"/>
        <v>115135.44000000002</v>
      </c>
      <c r="H40" s="107">
        <f t="shared" si="18"/>
        <v>120186.63999999998</v>
      </c>
      <c r="I40" s="107">
        <f t="shared" si="18"/>
        <v>145668.46000000002</v>
      </c>
      <c r="J40" s="107">
        <f t="shared" si="18"/>
        <v>141209.65</v>
      </c>
      <c r="K40" s="107">
        <f t="shared" si="18"/>
        <v>153785.36000000002</v>
      </c>
      <c r="L40" s="107">
        <f t="shared" si="18"/>
        <v>138651.72999999998</v>
      </c>
      <c r="M40" s="107">
        <f t="shared" si="18"/>
        <v>159485.07</v>
      </c>
      <c r="N40" s="107">
        <v>1598606.91</v>
      </c>
    </row>
    <row r="41" spans="1:14">
      <c r="A41" s="64" t="s">
        <v>50</v>
      </c>
      <c r="B41" s="107">
        <f>B201</f>
        <v>25076.75</v>
      </c>
      <c r="C41" s="107">
        <f>C201</f>
        <v>24479.54</v>
      </c>
      <c r="D41" s="107">
        <f>D201</f>
        <v>5061.51</v>
      </c>
      <c r="E41" s="107">
        <f>E201</f>
        <v>5790.52</v>
      </c>
      <c r="F41" s="107">
        <f>F201</f>
        <v>-90370.420000000013</v>
      </c>
      <c r="G41" s="107"/>
      <c r="H41" s="107"/>
      <c r="I41" s="107"/>
      <c r="J41" s="107"/>
      <c r="K41" s="107"/>
      <c r="L41" s="107"/>
      <c r="M41" s="107"/>
      <c r="N41" s="107">
        <v>-29962.1</v>
      </c>
    </row>
    <row r="42" spans="1:14">
      <c r="A42" s="64" t="s">
        <v>51</v>
      </c>
      <c r="B42" s="107">
        <f t="shared" ref="B42:M42" si="19">B212</f>
        <v>33894.89</v>
      </c>
      <c r="C42" s="107">
        <f t="shared" si="19"/>
        <v>31877.46</v>
      </c>
      <c r="D42" s="107">
        <f t="shared" si="19"/>
        <v>17456.73</v>
      </c>
      <c r="E42" s="107">
        <f t="shared" si="19"/>
        <v>26068.3</v>
      </c>
      <c r="F42" s="107">
        <f t="shared" si="19"/>
        <v>29933.000000000004</v>
      </c>
      <c r="G42" s="107">
        <f t="shared" si="19"/>
        <v>32070.42</v>
      </c>
      <c r="H42" s="107">
        <f t="shared" si="19"/>
        <v>24175.239999999998</v>
      </c>
      <c r="I42" s="107">
        <f t="shared" si="19"/>
        <v>17234.59</v>
      </c>
      <c r="J42" s="107">
        <f t="shared" si="19"/>
        <v>27384.69</v>
      </c>
      <c r="K42" s="107">
        <f t="shared" si="19"/>
        <v>32218.41</v>
      </c>
      <c r="L42" s="107">
        <f t="shared" si="19"/>
        <v>19274.320000000003</v>
      </c>
      <c r="M42" s="107">
        <f t="shared" si="19"/>
        <v>44389.350000000006</v>
      </c>
      <c r="N42" s="107">
        <v>335977.4</v>
      </c>
    </row>
    <row r="43" spans="1:14">
      <c r="A43" s="64" t="s">
        <v>52</v>
      </c>
      <c r="B43" s="107">
        <f t="shared" ref="B43:M43" si="20">B228</f>
        <v>45608.95</v>
      </c>
      <c r="C43" s="107">
        <f t="shared" si="20"/>
        <v>57118.55999999999</v>
      </c>
      <c r="D43" s="107">
        <f t="shared" si="20"/>
        <v>37313.72</v>
      </c>
      <c r="E43" s="107">
        <f t="shared" si="20"/>
        <v>45582.709999999992</v>
      </c>
      <c r="F43" s="107">
        <f t="shared" si="20"/>
        <v>51138.01</v>
      </c>
      <c r="G43" s="107">
        <f t="shared" si="20"/>
        <v>52765.610000000008</v>
      </c>
      <c r="H43" s="107">
        <f t="shared" si="20"/>
        <v>60401.380000000005</v>
      </c>
      <c r="I43" s="107">
        <f t="shared" si="20"/>
        <v>51328.44</v>
      </c>
      <c r="J43" s="107">
        <f t="shared" si="20"/>
        <v>39560.789999999994</v>
      </c>
      <c r="K43" s="107">
        <f t="shared" si="20"/>
        <v>47202.1</v>
      </c>
      <c r="L43" s="107">
        <f t="shared" si="20"/>
        <v>36628.340000000004</v>
      </c>
      <c r="M43" s="107">
        <f t="shared" si="20"/>
        <v>38778.26</v>
      </c>
      <c r="N43" s="107">
        <v>563426.87</v>
      </c>
    </row>
    <row r="44" spans="1:14">
      <c r="A44" s="64" t="s">
        <v>53</v>
      </c>
      <c r="B44" s="107">
        <f t="shared" ref="B44:M44" si="21">B253</f>
        <v>60764.340000000004</v>
      </c>
      <c r="C44" s="107">
        <f t="shared" si="21"/>
        <v>62926.539999999994</v>
      </c>
      <c r="D44" s="107">
        <f t="shared" si="21"/>
        <v>59497.969999999994</v>
      </c>
      <c r="E44" s="107">
        <f t="shared" si="21"/>
        <v>56921.589999999989</v>
      </c>
      <c r="F44" s="107">
        <f t="shared" si="21"/>
        <v>58772.74</v>
      </c>
      <c r="G44" s="107">
        <f t="shared" si="21"/>
        <v>57474.909999999996</v>
      </c>
      <c r="H44" s="107">
        <f t="shared" si="21"/>
        <v>53539.91</v>
      </c>
      <c r="I44" s="107">
        <f t="shared" si="21"/>
        <v>70358.53</v>
      </c>
      <c r="J44" s="107">
        <f t="shared" si="21"/>
        <v>60569.880000000005</v>
      </c>
      <c r="K44" s="107">
        <f t="shared" si="21"/>
        <v>70085.77</v>
      </c>
      <c r="L44" s="107">
        <f t="shared" si="21"/>
        <v>60940.950000000012</v>
      </c>
      <c r="M44" s="107">
        <f t="shared" si="21"/>
        <v>64785.780000000006</v>
      </c>
      <c r="N44" s="107">
        <v>736638.91</v>
      </c>
    </row>
    <row r="45" spans="1:14">
      <c r="A45" s="64" t="s">
        <v>54</v>
      </c>
      <c r="B45" s="107">
        <f t="shared" ref="B45:M45" si="22">B270</f>
        <v>7810.4699999999993</v>
      </c>
      <c r="C45" s="107">
        <f t="shared" si="22"/>
        <v>7315.8200000000006</v>
      </c>
      <c r="D45" s="107">
        <f t="shared" si="22"/>
        <v>6430.08</v>
      </c>
      <c r="E45" s="107">
        <f t="shared" si="22"/>
        <v>6151.36</v>
      </c>
      <c r="F45" s="107">
        <f t="shared" si="22"/>
        <v>3684.5699999999997</v>
      </c>
      <c r="G45" s="107">
        <f t="shared" si="22"/>
        <v>4453.9000000000005</v>
      </c>
      <c r="H45" s="107">
        <f t="shared" si="22"/>
        <v>7750.6</v>
      </c>
      <c r="I45" s="107">
        <f t="shared" si="22"/>
        <v>9133.18</v>
      </c>
      <c r="J45" s="107">
        <f t="shared" si="22"/>
        <v>6778.3200000000006</v>
      </c>
      <c r="K45" s="107">
        <f t="shared" si="22"/>
        <v>8340.02</v>
      </c>
      <c r="L45" s="107">
        <f t="shared" si="22"/>
        <v>6325.3700000000008</v>
      </c>
      <c r="M45" s="107">
        <f t="shared" si="22"/>
        <v>9295.6400000000012</v>
      </c>
      <c r="N45" s="107">
        <v>83469.33</v>
      </c>
    </row>
    <row r="46" spans="1:14">
      <c r="A46" s="64" t="s">
        <v>55</v>
      </c>
      <c r="B46" s="107">
        <f t="shared" ref="B46:M46" si="23">B280</f>
        <v>2409.89</v>
      </c>
      <c r="C46" s="107">
        <f t="shared" si="23"/>
        <v>4290.25</v>
      </c>
      <c r="D46" s="107">
        <f t="shared" si="23"/>
        <v>4937.8399999999992</v>
      </c>
      <c r="E46" s="107">
        <f t="shared" si="23"/>
        <v>5273.7000000000007</v>
      </c>
      <c r="F46" s="107">
        <f t="shared" si="23"/>
        <v>8741.16</v>
      </c>
      <c r="G46" s="107">
        <f t="shared" si="23"/>
        <v>4150.6899999999996</v>
      </c>
      <c r="H46" s="107">
        <f t="shared" si="23"/>
        <v>12634.27</v>
      </c>
      <c r="I46" s="107">
        <f t="shared" si="23"/>
        <v>12449.089999999998</v>
      </c>
      <c r="J46" s="107">
        <f t="shared" si="23"/>
        <v>2578.54</v>
      </c>
      <c r="K46" s="107">
        <f t="shared" si="23"/>
        <v>1599.1100000000001</v>
      </c>
      <c r="L46" s="107">
        <f t="shared" si="23"/>
        <v>1960.25</v>
      </c>
      <c r="M46" s="107">
        <f t="shared" si="23"/>
        <v>4868.03</v>
      </c>
      <c r="N46" s="107">
        <v>65892.820000000007</v>
      </c>
    </row>
    <row r="47" spans="1:14">
      <c r="A47" s="64" t="s">
        <v>56</v>
      </c>
      <c r="B47" s="107">
        <f t="shared" ref="B47:M47" si="24">B290</f>
        <v>25426.45</v>
      </c>
      <c r="C47" s="107">
        <f t="shared" si="24"/>
        <v>25560.65</v>
      </c>
      <c r="D47" s="107">
        <f t="shared" si="24"/>
        <v>23534.68</v>
      </c>
      <c r="E47" s="107">
        <f t="shared" si="24"/>
        <v>24004.57</v>
      </c>
      <c r="F47" s="107">
        <f t="shared" si="24"/>
        <v>24751.9</v>
      </c>
      <c r="G47" s="107">
        <f t="shared" si="24"/>
        <v>27389.67</v>
      </c>
      <c r="H47" s="107">
        <f t="shared" si="24"/>
        <v>23510.84</v>
      </c>
      <c r="I47" s="107">
        <f t="shared" si="24"/>
        <v>24733.3</v>
      </c>
      <c r="J47" s="107">
        <f t="shared" si="24"/>
        <v>23595.84</v>
      </c>
      <c r="K47" s="107">
        <f t="shared" si="24"/>
        <v>26372.440000000002</v>
      </c>
      <c r="L47" s="107">
        <f t="shared" si="24"/>
        <v>23713.49</v>
      </c>
      <c r="M47" s="107">
        <f t="shared" si="24"/>
        <v>23532.79</v>
      </c>
      <c r="N47" s="107">
        <v>296126.62</v>
      </c>
    </row>
    <row r="48" spans="1:14">
      <c r="A48" s="64" t="s">
        <v>57</v>
      </c>
      <c r="B48" s="107">
        <f t="shared" ref="B48:M48" si="25">B295</f>
        <v>6136</v>
      </c>
      <c r="C48" s="107">
        <f t="shared" si="25"/>
        <v>9896</v>
      </c>
      <c r="D48" s="107">
        <f t="shared" si="25"/>
        <v>7555</v>
      </c>
      <c r="E48" s="107">
        <f t="shared" si="25"/>
        <v>7143</v>
      </c>
      <c r="F48" s="107">
        <f t="shared" si="25"/>
        <v>244723</v>
      </c>
      <c r="G48" s="107">
        <f t="shared" si="25"/>
        <v>7143</v>
      </c>
      <c r="H48" s="107">
        <f t="shared" si="25"/>
        <v>32138.48</v>
      </c>
      <c r="I48" s="107">
        <f t="shared" si="25"/>
        <v>47611</v>
      </c>
      <c r="J48" s="107">
        <f t="shared" si="25"/>
        <v>6629</v>
      </c>
      <c r="K48" s="107">
        <f t="shared" si="25"/>
        <v>7059</v>
      </c>
      <c r="L48" s="107">
        <f t="shared" si="25"/>
        <v>31720</v>
      </c>
      <c r="M48" s="107">
        <f t="shared" si="25"/>
        <v>38822</v>
      </c>
      <c r="N48" s="107">
        <v>446575.48</v>
      </c>
    </row>
    <row r="49" spans="1:14">
      <c r="A49" s="64" t="s">
        <v>58</v>
      </c>
      <c r="B49" s="107">
        <f t="shared" ref="B49:M49" si="26">B304</f>
        <v>7745.6900000000005</v>
      </c>
      <c r="C49" s="107">
        <f t="shared" si="26"/>
        <v>7791.93</v>
      </c>
      <c r="D49" s="107">
        <f t="shared" si="26"/>
        <v>7818.33</v>
      </c>
      <c r="E49" s="107">
        <f t="shared" si="26"/>
        <v>7818.33</v>
      </c>
      <c r="F49" s="107">
        <f t="shared" si="26"/>
        <v>-8807.0299999999988</v>
      </c>
      <c r="G49" s="107">
        <f t="shared" si="26"/>
        <v>4457.45</v>
      </c>
      <c r="H49" s="107">
        <f t="shared" si="26"/>
        <v>3877.79</v>
      </c>
      <c r="I49" s="107">
        <f t="shared" si="26"/>
        <v>4053.13</v>
      </c>
      <c r="J49" s="107">
        <f t="shared" si="26"/>
        <v>8578.61</v>
      </c>
      <c r="K49" s="107">
        <f t="shared" si="26"/>
        <v>5749.5</v>
      </c>
      <c r="L49" s="107">
        <f t="shared" si="26"/>
        <v>6116.46</v>
      </c>
      <c r="M49" s="107">
        <f t="shared" si="26"/>
        <v>7339.46</v>
      </c>
      <c r="N49" s="107">
        <v>62539.65</v>
      </c>
    </row>
    <row r="50" spans="1:14">
      <c r="A50" s="64" t="s">
        <v>59</v>
      </c>
      <c r="B50" s="107">
        <f t="shared" ref="B50:M50" si="27">B310</f>
        <v>5080.47</v>
      </c>
      <c r="C50" s="107">
        <f t="shared" si="27"/>
        <v>5118.47</v>
      </c>
      <c r="D50" s="107">
        <f t="shared" si="27"/>
        <v>5030.07</v>
      </c>
      <c r="E50" s="107">
        <f t="shared" si="27"/>
        <v>5030.07</v>
      </c>
      <c r="F50" s="107">
        <f t="shared" si="27"/>
        <v>5112.46</v>
      </c>
      <c r="G50" s="107">
        <f t="shared" si="27"/>
        <v>5112.46</v>
      </c>
      <c r="H50" s="107">
        <f t="shared" si="27"/>
        <v>4959.63</v>
      </c>
      <c r="I50" s="107">
        <f t="shared" si="27"/>
        <v>4940.84</v>
      </c>
      <c r="J50" s="107">
        <f t="shared" si="27"/>
        <v>4872.03</v>
      </c>
      <c r="K50" s="107">
        <f t="shared" si="27"/>
        <v>4849.34</v>
      </c>
      <c r="L50" s="107">
        <f t="shared" si="27"/>
        <v>4838.18</v>
      </c>
      <c r="M50" s="107">
        <f t="shared" si="27"/>
        <v>4834.2800000000007</v>
      </c>
      <c r="N50" s="107">
        <v>59778.3</v>
      </c>
    </row>
    <row r="51" spans="1:14">
      <c r="A51" s="64" t="s">
        <v>60</v>
      </c>
      <c r="B51" s="107">
        <f t="shared" ref="B51:M51" si="28">B316</f>
        <v>28553.5</v>
      </c>
      <c r="C51" s="107">
        <f t="shared" si="28"/>
        <v>29324.690000000002</v>
      </c>
      <c r="D51" s="107">
        <f t="shared" si="28"/>
        <v>29348.13</v>
      </c>
      <c r="E51" s="107">
        <f t="shared" si="28"/>
        <v>29340.07</v>
      </c>
      <c r="F51" s="107">
        <f t="shared" si="28"/>
        <v>29357.52</v>
      </c>
      <c r="G51" s="107">
        <f t="shared" si="28"/>
        <v>30153.780000000002</v>
      </c>
      <c r="H51" s="107">
        <f t="shared" si="28"/>
        <v>29434.43</v>
      </c>
      <c r="I51" s="107">
        <f t="shared" si="28"/>
        <v>29286.05</v>
      </c>
      <c r="J51" s="107">
        <f t="shared" si="28"/>
        <v>29271.920000000002</v>
      </c>
      <c r="K51" s="107">
        <f t="shared" si="28"/>
        <v>29271.350000000002</v>
      </c>
      <c r="L51" s="107">
        <f t="shared" si="28"/>
        <v>29250.670000000002</v>
      </c>
      <c r="M51" s="107">
        <f t="shared" si="28"/>
        <v>31741.440000000002</v>
      </c>
      <c r="N51" s="107">
        <v>354333.55</v>
      </c>
    </row>
    <row r="52" spans="1:14">
      <c r="A52" s="64" t="s">
        <v>61</v>
      </c>
      <c r="B52" s="107">
        <f>B320</f>
        <v>27.78</v>
      </c>
      <c r="C52" s="107"/>
      <c r="D52" s="107">
        <f>D320</f>
        <v>360.18</v>
      </c>
      <c r="E52" s="107"/>
      <c r="F52" s="107">
        <f>F320</f>
        <v>-68285.25</v>
      </c>
      <c r="G52" s="107"/>
      <c r="H52" s="107"/>
      <c r="I52" s="107"/>
      <c r="J52" s="107"/>
      <c r="K52" s="107"/>
      <c r="L52" s="107"/>
      <c r="M52" s="107">
        <f>M320</f>
        <v>3261.89</v>
      </c>
      <c r="N52" s="107">
        <v>-64635.4</v>
      </c>
    </row>
    <row r="53" spans="1:14">
      <c r="A53" s="64"/>
      <c r="B53" s="22"/>
      <c r="C53" s="22"/>
      <c r="D53" s="22"/>
      <c r="E53" s="22"/>
      <c r="F53" s="22"/>
      <c r="G53" s="22"/>
      <c r="H53" s="22"/>
      <c r="I53" s="22"/>
      <c r="J53" s="22"/>
      <c r="K53" s="22"/>
      <c r="L53" s="22"/>
      <c r="M53" s="22"/>
      <c r="N53" s="22"/>
    </row>
    <row r="54" spans="1:14" ht="15.75" thickBot="1">
      <c r="A54" s="64" t="s">
        <v>62</v>
      </c>
      <c r="B54" s="112">
        <f t="shared" ref="B54:M54" si="29">B322</f>
        <v>369158.19999999995</v>
      </c>
      <c r="C54" s="112">
        <f t="shared" si="29"/>
        <v>383191.48000000045</v>
      </c>
      <c r="D54" s="112">
        <f t="shared" si="29"/>
        <v>325909.26</v>
      </c>
      <c r="E54" s="112">
        <f t="shared" si="29"/>
        <v>349688.74999999994</v>
      </c>
      <c r="F54" s="112">
        <f t="shared" si="29"/>
        <v>422992.08</v>
      </c>
      <c r="G54" s="112">
        <f t="shared" si="29"/>
        <v>340307.32999999967</v>
      </c>
      <c r="H54" s="112">
        <f t="shared" si="29"/>
        <v>372609.20999999967</v>
      </c>
      <c r="I54" s="112">
        <f t="shared" si="29"/>
        <v>416796.60999999993</v>
      </c>
      <c r="J54" s="112">
        <f t="shared" si="29"/>
        <v>351029.27000000019</v>
      </c>
      <c r="K54" s="112">
        <f t="shared" si="29"/>
        <v>386532.4</v>
      </c>
      <c r="L54" s="112">
        <f t="shared" si="29"/>
        <v>359419.75999999995</v>
      </c>
      <c r="M54" s="112">
        <f t="shared" si="29"/>
        <v>431133.98999999982</v>
      </c>
      <c r="N54" s="112">
        <v>4508768.34</v>
      </c>
    </row>
    <row r="55" spans="1:14" ht="15.75" thickTop="1">
      <c r="A55" s="64"/>
      <c r="B55" s="22"/>
      <c r="C55" s="22"/>
      <c r="D55" s="22"/>
      <c r="E55" s="22"/>
      <c r="F55" s="22"/>
      <c r="G55" s="22"/>
      <c r="H55" s="22"/>
      <c r="I55" s="22"/>
      <c r="J55" s="22"/>
      <c r="K55" s="22"/>
      <c r="L55" s="22"/>
      <c r="M55" s="22"/>
      <c r="N55" s="22"/>
    </row>
    <row r="56" spans="1:14" ht="15.75" thickBot="1">
      <c r="A56" s="64" t="s">
        <v>63</v>
      </c>
      <c r="B56" s="112">
        <f t="shared" ref="B56:M56" si="30">B324</f>
        <v>-59357.489999999874</v>
      </c>
      <c r="C56" s="112">
        <f t="shared" si="30"/>
        <v>-30502.82000000024</v>
      </c>
      <c r="D56" s="112">
        <f t="shared" si="30"/>
        <v>53204.329999999842</v>
      </c>
      <c r="E56" s="112">
        <f t="shared" si="30"/>
        <v>8679.890000000014</v>
      </c>
      <c r="F56" s="112">
        <f t="shared" si="30"/>
        <v>-123806.00999999995</v>
      </c>
      <c r="G56" s="112">
        <f t="shared" si="30"/>
        <v>35068.120000000694</v>
      </c>
      <c r="H56" s="112">
        <f t="shared" si="30"/>
        <v>-8835.4700000000303</v>
      </c>
      <c r="I56" s="112">
        <f t="shared" si="30"/>
        <v>-39842.570000000647</v>
      </c>
      <c r="J56" s="112">
        <f t="shared" si="30"/>
        <v>-17277.080000000191</v>
      </c>
      <c r="K56" s="112">
        <f t="shared" si="30"/>
        <v>-32736.410000000091</v>
      </c>
      <c r="L56" s="112">
        <f t="shared" si="30"/>
        <v>-23415.469999999914</v>
      </c>
      <c r="M56" s="112">
        <f t="shared" si="30"/>
        <v>36950.010000000242</v>
      </c>
      <c r="N56" s="112">
        <v>-201870.97</v>
      </c>
    </row>
    <row r="57" spans="1:14" ht="15.75" thickTop="1">
      <c r="A57" s="64"/>
      <c r="B57" s="22"/>
      <c r="C57" s="22"/>
      <c r="D57" s="22"/>
      <c r="E57" s="22"/>
      <c r="F57" s="22"/>
      <c r="G57" s="22"/>
      <c r="H57" s="22"/>
      <c r="I57" s="22"/>
      <c r="J57" s="22"/>
      <c r="K57" s="22"/>
      <c r="L57" s="22"/>
      <c r="M57" s="22"/>
      <c r="N57" s="22"/>
    </row>
    <row r="58" spans="1:14" ht="15.75" thickBot="1">
      <c r="A58" s="64" t="s">
        <v>64</v>
      </c>
      <c r="B58" s="112">
        <f t="shared" ref="B58:K58" si="31">B327</f>
        <v>3102.08</v>
      </c>
      <c r="C58" s="112">
        <f t="shared" si="31"/>
        <v>1128.76</v>
      </c>
      <c r="D58" s="112">
        <f t="shared" si="31"/>
        <v>1362.4</v>
      </c>
      <c r="E58" s="112">
        <f t="shared" si="31"/>
        <v>1289.46</v>
      </c>
      <c r="F58" s="112">
        <f t="shared" si="31"/>
        <v>102903.95</v>
      </c>
      <c r="G58" s="112">
        <f t="shared" si="31"/>
        <v>18229.349999999999</v>
      </c>
      <c r="H58" s="112">
        <f t="shared" si="31"/>
        <v>1855.09</v>
      </c>
      <c r="I58" s="112">
        <f t="shared" si="31"/>
        <v>1233</v>
      </c>
      <c r="J58" s="112">
        <f t="shared" si="31"/>
        <v>1787.29</v>
      </c>
      <c r="K58" s="112">
        <f t="shared" si="31"/>
        <v>948.9</v>
      </c>
      <c r="L58" s="112"/>
      <c r="M58" s="112"/>
      <c r="N58" s="112">
        <v>133840.28</v>
      </c>
    </row>
    <row r="59" spans="1:14" ht="15.75" thickTop="1">
      <c r="A59" s="64"/>
      <c r="B59" s="22"/>
      <c r="C59" s="22"/>
      <c r="D59" s="22"/>
      <c r="E59" s="22"/>
      <c r="F59" s="22"/>
      <c r="G59" s="22"/>
      <c r="H59" s="22"/>
      <c r="I59" s="22"/>
      <c r="J59" s="22"/>
      <c r="K59" s="22"/>
      <c r="L59" s="22"/>
      <c r="M59" s="22"/>
      <c r="N59" s="22"/>
    </row>
    <row r="60" spans="1:14" ht="15.75" thickBot="1">
      <c r="A60" s="64" t="s">
        <v>22</v>
      </c>
      <c r="B60" s="112">
        <f t="shared" ref="B60:M60" si="32">B329</f>
        <v>-62459.569999999876</v>
      </c>
      <c r="C60" s="112">
        <f t="shared" si="32"/>
        <v>-31631.580000000238</v>
      </c>
      <c r="D60" s="112">
        <f t="shared" si="32"/>
        <v>51841.92999999984</v>
      </c>
      <c r="E60" s="112">
        <f t="shared" si="32"/>
        <v>7390.4300000000139</v>
      </c>
      <c r="F60" s="112">
        <f t="shared" si="32"/>
        <v>-226709.95999999996</v>
      </c>
      <c r="G60" s="112">
        <f t="shared" si="32"/>
        <v>16838.770000000695</v>
      </c>
      <c r="H60" s="112">
        <f t="shared" si="32"/>
        <v>-10690.56000000003</v>
      </c>
      <c r="I60" s="112">
        <f t="shared" si="32"/>
        <v>-41075.570000000647</v>
      </c>
      <c r="J60" s="112">
        <f t="shared" si="32"/>
        <v>-19064.370000000192</v>
      </c>
      <c r="K60" s="112">
        <f t="shared" si="32"/>
        <v>-33685.310000000092</v>
      </c>
      <c r="L60" s="112">
        <f t="shared" si="32"/>
        <v>-23415.469999999914</v>
      </c>
      <c r="M60" s="112">
        <f t="shared" si="32"/>
        <v>36950.010000000242</v>
      </c>
      <c r="N60" s="112">
        <v>-335711.25</v>
      </c>
    </row>
    <row r="61" spans="1:14" ht="15.75" thickTop="1">
      <c r="A61" s="64"/>
      <c r="B61" s="22"/>
      <c r="C61" s="22"/>
      <c r="D61" s="22"/>
      <c r="E61" s="22"/>
      <c r="F61" s="22"/>
      <c r="G61" s="22"/>
      <c r="H61" s="22"/>
      <c r="I61" s="22"/>
      <c r="J61" s="22"/>
      <c r="K61" s="22"/>
      <c r="L61" s="22"/>
      <c r="M61" s="22"/>
      <c r="N61" s="22"/>
    </row>
    <row r="62" spans="1:14">
      <c r="A62" s="64" t="s">
        <v>40</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41</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65</v>
      </c>
      <c r="B66" s="22"/>
      <c r="C66" s="22"/>
      <c r="D66" s="22"/>
      <c r="E66" s="22"/>
      <c r="F66" s="22"/>
      <c r="G66" s="22"/>
      <c r="H66" s="22"/>
      <c r="I66" s="22"/>
      <c r="J66" s="22"/>
      <c r="K66" s="22"/>
      <c r="L66" s="22"/>
      <c r="M66" s="22"/>
      <c r="N66" s="22"/>
    </row>
    <row r="67" spans="1:14">
      <c r="A67" s="64" t="s">
        <v>66</v>
      </c>
      <c r="B67" s="111">
        <v>159801.39000000001</v>
      </c>
      <c r="C67" s="111">
        <v>164221.25</v>
      </c>
      <c r="D67" s="111">
        <v>168934.11</v>
      </c>
      <c r="E67" s="111">
        <v>170075.64</v>
      </c>
      <c r="F67" s="111">
        <v>175049.28</v>
      </c>
      <c r="G67" s="111">
        <v>173966.3</v>
      </c>
      <c r="H67" s="111">
        <v>155107.45000000001</v>
      </c>
      <c r="I67" s="111">
        <v>186564.9</v>
      </c>
      <c r="J67" s="111">
        <v>173541.75</v>
      </c>
      <c r="K67" s="111">
        <v>166461.20000000001</v>
      </c>
      <c r="L67" s="111">
        <v>160169.1</v>
      </c>
      <c r="M67" s="111">
        <v>172969.83</v>
      </c>
      <c r="N67" s="111">
        <v>2026862.2</v>
      </c>
    </row>
    <row r="68" spans="1:14">
      <c r="A68" s="64" t="s">
        <v>67</v>
      </c>
      <c r="B68" s="107">
        <f t="shared" ref="B68:M68" si="33">SUM(B64:B67)</f>
        <v>159801.39000000001</v>
      </c>
      <c r="C68" s="107">
        <f t="shared" si="33"/>
        <v>164221.25</v>
      </c>
      <c r="D68" s="107">
        <f t="shared" si="33"/>
        <v>168934.11</v>
      </c>
      <c r="E68" s="107">
        <f t="shared" si="33"/>
        <v>170075.64</v>
      </c>
      <c r="F68" s="107">
        <f t="shared" si="33"/>
        <v>175049.28</v>
      </c>
      <c r="G68" s="107">
        <f t="shared" si="33"/>
        <v>173966.3</v>
      </c>
      <c r="H68" s="107">
        <f t="shared" si="33"/>
        <v>155107.45000000001</v>
      </c>
      <c r="I68" s="107">
        <f t="shared" si="33"/>
        <v>186564.9</v>
      </c>
      <c r="J68" s="107">
        <f t="shared" si="33"/>
        <v>173541.75</v>
      </c>
      <c r="K68" s="107">
        <f t="shared" si="33"/>
        <v>166461.20000000001</v>
      </c>
      <c r="L68" s="107">
        <f t="shared" si="33"/>
        <v>160169.1</v>
      </c>
      <c r="M68" s="107">
        <f t="shared" si="33"/>
        <v>172969.83</v>
      </c>
      <c r="N68" s="107">
        <v>2026862.2</v>
      </c>
    </row>
    <row r="69" spans="1:14">
      <c r="A69" s="64"/>
      <c r="B69" s="22"/>
      <c r="C69" s="22"/>
      <c r="D69" s="22"/>
      <c r="E69" s="22"/>
      <c r="F69" s="22"/>
      <c r="G69" s="22"/>
      <c r="H69" s="22"/>
      <c r="I69" s="22"/>
      <c r="J69" s="22"/>
      <c r="K69" s="22"/>
      <c r="L69" s="22"/>
      <c r="M69" s="22"/>
      <c r="N69" s="22"/>
    </row>
    <row r="70" spans="1:14">
      <c r="A70" s="64" t="s">
        <v>68</v>
      </c>
      <c r="B70" s="22"/>
      <c r="C70" s="22"/>
      <c r="D70" s="22"/>
      <c r="E70" s="22"/>
      <c r="F70" s="22"/>
      <c r="G70" s="22"/>
      <c r="H70" s="22"/>
      <c r="I70" s="22"/>
      <c r="J70" s="22"/>
      <c r="K70" s="22"/>
      <c r="L70" s="22"/>
      <c r="M70" s="22"/>
      <c r="N70" s="22"/>
    </row>
    <row r="71" spans="1:14">
      <c r="A71" s="64" t="s">
        <v>66</v>
      </c>
      <c r="B71" s="111">
        <v>24133.200000000001</v>
      </c>
      <c r="C71" s="111">
        <v>8274.24</v>
      </c>
      <c r="D71" s="111">
        <v>2413.3200000000002</v>
      </c>
      <c r="E71" s="111">
        <v>9825.66</v>
      </c>
      <c r="F71" s="111">
        <v>14652.3</v>
      </c>
      <c r="G71" s="111">
        <v>10277</v>
      </c>
      <c r="H71" s="111">
        <v>10874.5</v>
      </c>
      <c r="I71" s="111">
        <v>31389.599999999999</v>
      </c>
      <c r="J71" s="111">
        <v>31211.25</v>
      </c>
      <c r="K71" s="111">
        <v>29784.45</v>
      </c>
      <c r="L71" s="111">
        <v>29394.75</v>
      </c>
      <c r="M71" s="111">
        <v>28606.97</v>
      </c>
      <c r="N71" s="111">
        <v>230837.24</v>
      </c>
    </row>
    <row r="72" spans="1:14">
      <c r="A72" s="64" t="s">
        <v>69</v>
      </c>
      <c r="B72" s="107">
        <f t="shared" ref="B72:M72" si="34">SUM(B69:B71)</f>
        <v>24133.200000000001</v>
      </c>
      <c r="C72" s="107">
        <f t="shared" si="34"/>
        <v>8274.24</v>
      </c>
      <c r="D72" s="107">
        <f t="shared" si="34"/>
        <v>2413.3200000000002</v>
      </c>
      <c r="E72" s="107">
        <f t="shared" si="34"/>
        <v>9825.66</v>
      </c>
      <c r="F72" s="107">
        <f t="shared" si="34"/>
        <v>14652.3</v>
      </c>
      <c r="G72" s="107">
        <f t="shared" si="34"/>
        <v>10277</v>
      </c>
      <c r="H72" s="107">
        <f t="shared" si="34"/>
        <v>10874.5</v>
      </c>
      <c r="I72" s="107">
        <f t="shared" si="34"/>
        <v>31389.599999999999</v>
      </c>
      <c r="J72" s="107">
        <f t="shared" si="34"/>
        <v>31211.25</v>
      </c>
      <c r="K72" s="107">
        <f t="shared" si="34"/>
        <v>29784.45</v>
      </c>
      <c r="L72" s="107">
        <f t="shared" si="34"/>
        <v>29394.75</v>
      </c>
      <c r="M72" s="107">
        <f t="shared" si="34"/>
        <v>28606.97</v>
      </c>
      <c r="N72" s="107">
        <v>230837.24</v>
      </c>
    </row>
    <row r="73" spans="1:14">
      <c r="A73" s="64"/>
      <c r="B73" s="22"/>
      <c r="C73" s="22"/>
      <c r="D73" s="22"/>
      <c r="E73" s="22"/>
      <c r="F73" s="22"/>
      <c r="G73" s="22"/>
      <c r="H73" s="22"/>
      <c r="I73" s="22"/>
      <c r="J73" s="22"/>
      <c r="K73" s="22"/>
      <c r="L73" s="22"/>
      <c r="M73" s="22"/>
      <c r="N73" s="22"/>
    </row>
    <row r="74" spans="1:14">
      <c r="A74" s="64" t="s">
        <v>70</v>
      </c>
      <c r="B74" s="22"/>
      <c r="C74" s="22"/>
      <c r="D74" s="22"/>
      <c r="E74" s="22"/>
      <c r="F74" s="22"/>
      <c r="G74" s="22"/>
      <c r="H74" s="22"/>
      <c r="I74" s="22"/>
      <c r="J74" s="22"/>
      <c r="K74" s="22"/>
      <c r="L74" s="22"/>
      <c r="M74" s="22"/>
      <c r="N74" s="22"/>
    </row>
    <row r="75" spans="1:14">
      <c r="A75" s="64" t="s">
        <v>66</v>
      </c>
      <c r="B75" s="111">
        <v>62081.52</v>
      </c>
      <c r="C75" s="111">
        <v>64832.37</v>
      </c>
      <c r="D75" s="111">
        <v>110458.06</v>
      </c>
      <c r="E75" s="111">
        <v>79231.899999999994</v>
      </c>
      <c r="F75" s="111">
        <v>46608.26</v>
      </c>
      <c r="G75" s="111">
        <v>100766.91</v>
      </c>
      <c r="H75" s="111">
        <v>147238.32</v>
      </c>
      <c r="I75" s="111">
        <v>88332.18</v>
      </c>
      <c r="J75" s="111">
        <v>90875.76</v>
      </c>
      <c r="K75" s="111">
        <v>123460.6</v>
      </c>
      <c r="L75" s="111">
        <v>84556.55</v>
      </c>
      <c r="M75" s="111">
        <v>155375.51999999999</v>
      </c>
      <c r="N75" s="111">
        <v>1153817.95</v>
      </c>
    </row>
    <row r="76" spans="1:14">
      <c r="A76" s="64" t="s">
        <v>71</v>
      </c>
      <c r="B76" s="107">
        <f t="shared" ref="B76:M76" si="35">SUM(B73:B75)</f>
        <v>62081.52</v>
      </c>
      <c r="C76" s="107">
        <f t="shared" si="35"/>
        <v>64832.37</v>
      </c>
      <c r="D76" s="107">
        <f t="shared" si="35"/>
        <v>110458.06</v>
      </c>
      <c r="E76" s="107">
        <f t="shared" si="35"/>
        <v>79231.899999999994</v>
      </c>
      <c r="F76" s="107">
        <f t="shared" si="35"/>
        <v>46608.26</v>
      </c>
      <c r="G76" s="107">
        <f t="shared" si="35"/>
        <v>100766.91</v>
      </c>
      <c r="H76" s="107">
        <f t="shared" si="35"/>
        <v>147238.32</v>
      </c>
      <c r="I76" s="107">
        <f t="shared" si="35"/>
        <v>88332.18</v>
      </c>
      <c r="J76" s="107">
        <f t="shared" si="35"/>
        <v>90875.76</v>
      </c>
      <c r="K76" s="107">
        <f t="shared" si="35"/>
        <v>123460.6</v>
      </c>
      <c r="L76" s="107">
        <f t="shared" si="35"/>
        <v>84556.55</v>
      </c>
      <c r="M76" s="107">
        <f t="shared" si="35"/>
        <v>155375.51999999999</v>
      </c>
      <c r="N76" s="107">
        <v>1153817.95</v>
      </c>
    </row>
    <row r="77" spans="1:14">
      <c r="A77" s="64"/>
      <c r="B77" s="22"/>
      <c r="C77" s="22"/>
      <c r="D77" s="22"/>
      <c r="E77" s="22"/>
      <c r="F77" s="22"/>
      <c r="G77" s="22"/>
      <c r="H77" s="22"/>
      <c r="I77" s="22"/>
      <c r="J77" s="22"/>
      <c r="K77" s="22"/>
      <c r="L77" s="22"/>
      <c r="M77" s="22"/>
      <c r="N77" s="22"/>
    </row>
    <row r="78" spans="1:14">
      <c r="A78" s="64" t="s">
        <v>72</v>
      </c>
      <c r="B78" s="113"/>
      <c r="C78" s="113"/>
      <c r="D78" s="113"/>
      <c r="E78" s="113"/>
      <c r="F78" s="113"/>
      <c r="G78" s="113"/>
      <c r="H78" s="113"/>
      <c r="I78" s="113"/>
      <c r="J78" s="113"/>
      <c r="K78" s="113"/>
      <c r="L78" s="113"/>
      <c r="M78" s="113"/>
      <c r="N78" s="113"/>
    </row>
    <row r="79" spans="1:14">
      <c r="A79" s="64" t="s">
        <v>314</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73</v>
      </c>
      <c r="B81" s="22"/>
      <c r="C81" s="22"/>
      <c r="D81" s="22"/>
      <c r="E81" s="22"/>
      <c r="F81" s="22"/>
      <c r="G81" s="22"/>
      <c r="H81" s="22"/>
      <c r="I81" s="22"/>
      <c r="J81" s="22"/>
      <c r="K81" s="22"/>
      <c r="L81" s="22"/>
      <c r="M81" s="22"/>
      <c r="N81" s="22"/>
    </row>
    <row r="82" spans="1:14">
      <c r="A82" s="64" t="s">
        <v>66</v>
      </c>
      <c r="B82" s="111">
        <v>28328.85</v>
      </c>
      <c r="C82" s="111">
        <v>27351.13</v>
      </c>
      <c r="D82" s="111">
        <v>30023.63</v>
      </c>
      <c r="E82" s="111">
        <v>40801.599999999999</v>
      </c>
      <c r="F82" s="111">
        <v>10600.66</v>
      </c>
      <c r="G82" s="111">
        <v>51969.43</v>
      </c>
      <c r="H82" s="111">
        <v>26597.47</v>
      </c>
      <c r="I82" s="111">
        <v>32664.23</v>
      </c>
      <c r="J82" s="111">
        <v>28585.95</v>
      </c>
      <c r="K82" s="111">
        <v>18333.439999999999</v>
      </c>
      <c r="L82" s="111">
        <v>21871.1</v>
      </c>
      <c r="M82" s="111">
        <v>11900</v>
      </c>
      <c r="N82" s="111">
        <v>329027.49</v>
      </c>
    </row>
    <row r="83" spans="1:14">
      <c r="A83" s="64" t="s">
        <v>74</v>
      </c>
      <c r="B83" s="107">
        <f t="shared" ref="B83:M83" si="36">SUM(B80:B82)</f>
        <v>28328.85</v>
      </c>
      <c r="C83" s="107">
        <f t="shared" si="36"/>
        <v>27351.13</v>
      </c>
      <c r="D83" s="107">
        <f t="shared" si="36"/>
        <v>30023.63</v>
      </c>
      <c r="E83" s="107">
        <f t="shared" si="36"/>
        <v>40801.599999999999</v>
      </c>
      <c r="F83" s="107">
        <f t="shared" si="36"/>
        <v>10600.66</v>
      </c>
      <c r="G83" s="107">
        <f t="shared" si="36"/>
        <v>51969.43</v>
      </c>
      <c r="H83" s="107">
        <f t="shared" si="36"/>
        <v>26597.47</v>
      </c>
      <c r="I83" s="107">
        <f t="shared" si="36"/>
        <v>32664.23</v>
      </c>
      <c r="J83" s="107">
        <f t="shared" si="36"/>
        <v>28585.95</v>
      </c>
      <c r="K83" s="107">
        <f t="shared" si="36"/>
        <v>18333.439999999999</v>
      </c>
      <c r="L83" s="107">
        <f t="shared" si="36"/>
        <v>21871.1</v>
      </c>
      <c r="M83" s="107">
        <f t="shared" si="36"/>
        <v>11900</v>
      </c>
      <c r="N83" s="107">
        <v>329027.49</v>
      </c>
    </row>
    <row r="84" spans="1:14">
      <c r="A84" s="64"/>
      <c r="B84" s="22"/>
      <c r="C84" s="22"/>
      <c r="D84" s="22"/>
      <c r="E84" s="22"/>
      <c r="F84" s="22"/>
      <c r="G84" s="22"/>
      <c r="H84" s="22"/>
      <c r="I84" s="22"/>
      <c r="J84" s="22"/>
      <c r="K84" s="22"/>
      <c r="L84" s="22"/>
      <c r="M84" s="22"/>
      <c r="N84" s="22"/>
    </row>
    <row r="85" spans="1:14">
      <c r="A85" s="64" t="s">
        <v>75</v>
      </c>
      <c r="B85" s="22"/>
      <c r="C85" s="22"/>
      <c r="D85" s="22"/>
      <c r="E85" s="22"/>
      <c r="F85" s="22"/>
      <c r="G85" s="22"/>
      <c r="H85" s="22"/>
      <c r="I85" s="22"/>
      <c r="J85" s="22"/>
      <c r="K85" s="22"/>
      <c r="L85" s="22"/>
      <c r="M85" s="22"/>
      <c r="N85" s="22"/>
    </row>
    <row r="86" spans="1:14">
      <c r="A86" s="64" t="s">
        <v>66</v>
      </c>
      <c r="B86" s="111">
        <v>6080</v>
      </c>
      <c r="C86" s="111">
        <v>10260</v>
      </c>
      <c r="D86" s="111">
        <v>31350</v>
      </c>
      <c r="E86" s="111">
        <v>19570</v>
      </c>
      <c r="F86" s="111">
        <v>22800</v>
      </c>
      <c r="G86" s="111">
        <v>12451.25</v>
      </c>
      <c r="H86" s="111">
        <v>5681.15</v>
      </c>
      <c r="I86" s="111">
        <v>6239.5</v>
      </c>
      <c r="J86" s="111">
        <v>5700</v>
      </c>
      <c r="K86" s="111">
        <v>9101.15</v>
      </c>
      <c r="L86" s="111">
        <v>16891.150000000001</v>
      </c>
      <c r="M86" s="111">
        <v>21831.15</v>
      </c>
      <c r="N86" s="111">
        <v>167955.35</v>
      </c>
    </row>
    <row r="87" spans="1:14">
      <c r="A87" s="64" t="s">
        <v>76</v>
      </c>
      <c r="B87" s="107">
        <f t="shared" ref="B87:M87" si="37">SUM(B84:B86)</f>
        <v>6080</v>
      </c>
      <c r="C87" s="107">
        <f t="shared" si="37"/>
        <v>10260</v>
      </c>
      <c r="D87" s="107">
        <f t="shared" si="37"/>
        <v>31350</v>
      </c>
      <c r="E87" s="107">
        <f t="shared" si="37"/>
        <v>19570</v>
      </c>
      <c r="F87" s="107">
        <f t="shared" si="37"/>
        <v>22800</v>
      </c>
      <c r="G87" s="107">
        <f t="shared" si="37"/>
        <v>12451.25</v>
      </c>
      <c r="H87" s="107">
        <f t="shared" si="37"/>
        <v>5681.15</v>
      </c>
      <c r="I87" s="107">
        <f t="shared" si="37"/>
        <v>6239.5</v>
      </c>
      <c r="J87" s="107">
        <f t="shared" si="37"/>
        <v>5700</v>
      </c>
      <c r="K87" s="107">
        <f t="shared" si="37"/>
        <v>9101.15</v>
      </c>
      <c r="L87" s="107">
        <f t="shared" si="37"/>
        <v>16891.150000000001</v>
      </c>
      <c r="M87" s="107">
        <f t="shared" si="37"/>
        <v>21831.15</v>
      </c>
      <c r="N87" s="107">
        <v>167955.35</v>
      </c>
    </row>
    <row r="88" spans="1:14">
      <c r="A88" s="64"/>
      <c r="B88" s="113"/>
      <c r="C88" s="113"/>
      <c r="D88" s="113"/>
      <c r="E88" s="113"/>
      <c r="F88" s="113"/>
      <c r="G88" s="113"/>
      <c r="H88" s="113"/>
      <c r="I88" s="113"/>
      <c r="J88" s="113"/>
      <c r="K88" s="113"/>
      <c r="L88" s="113"/>
      <c r="M88" s="113"/>
      <c r="N88" s="113"/>
    </row>
    <row r="89" spans="1:14">
      <c r="A89" s="64" t="s">
        <v>42</v>
      </c>
      <c r="B89" s="107">
        <f t="shared" ref="B89:M89" si="38">SUM(B66:B88)-B68-B72-B76-B79-B83-B87</f>
        <v>280424.96000000002</v>
      </c>
      <c r="C89" s="107">
        <f t="shared" si="38"/>
        <v>274938.99</v>
      </c>
      <c r="D89" s="107">
        <f t="shared" si="38"/>
        <v>343179.12</v>
      </c>
      <c r="E89" s="107">
        <f t="shared" si="38"/>
        <v>319504.80000000005</v>
      </c>
      <c r="F89" s="107">
        <f t="shared" si="38"/>
        <v>269710.5</v>
      </c>
      <c r="G89" s="107">
        <f t="shared" si="38"/>
        <v>349430.89000000019</v>
      </c>
      <c r="H89" s="107">
        <f t="shared" si="38"/>
        <v>345498.89</v>
      </c>
      <c r="I89" s="107">
        <f t="shared" si="38"/>
        <v>345190.40999999986</v>
      </c>
      <c r="J89" s="107">
        <f t="shared" si="38"/>
        <v>329914.7099999999</v>
      </c>
      <c r="K89" s="107">
        <f t="shared" si="38"/>
        <v>347140.83999999991</v>
      </c>
      <c r="L89" s="107">
        <f t="shared" si="38"/>
        <v>312882.65000000008</v>
      </c>
      <c r="M89" s="107">
        <f t="shared" si="38"/>
        <v>390683.47000000009</v>
      </c>
      <c r="N89" s="107">
        <v>3908500.23</v>
      </c>
    </row>
    <row r="90" spans="1:14">
      <c r="A90" s="64"/>
      <c r="B90" s="22"/>
      <c r="C90" s="22"/>
      <c r="D90" s="22"/>
      <c r="E90" s="22"/>
      <c r="F90" s="22"/>
      <c r="G90" s="22"/>
      <c r="H90" s="22"/>
      <c r="I90" s="22"/>
      <c r="J90" s="22"/>
      <c r="K90" s="22"/>
      <c r="L90" s="22"/>
      <c r="M90" s="22"/>
      <c r="N90" s="22"/>
    </row>
    <row r="91" spans="1:14">
      <c r="A91" s="64" t="s">
        <v>43</v>
      </c>
      <c r="B91" s="22"/>
      <c r="C91" s="22"/>
      <c r="D91" s="22"/>
      <c r="E91" s="22"/>
      <c r="F91" s="22"/>
      <c r="G91" s="22"/>
      <c r="H91" s="22"/>
      <c r="I91" s="22"/>
      <c r="J91" s="22"/>
      <c r="K91" s="22"/>
      <c r="L91" s="22"/>
      <c r="M91" s="22"/>
      <c r="N91" s="22"/>
    </row>
    <row r="92" spans="1:14">
      <c r="A92" s="64"/>
      <c r="B92" s="22"/>
      <c r="C92" s="22"/>
      <c r="D92" s="22"/>
      <c r="E92" s="22"/>
      <c r="F92" s="22"/>
      <c r="G92" s="22"/>
      <c r="H92" s="22"/>
      <c r="I92" s="22"/>
      <c r="J92" s="22"/>
      <c r="K92" s="22"/>
      <c r="L92" s="22"/>
      <c r="M92" s="22"/>
      <c r="N92" s="22"/>
    </row>
    <row r="93" spans="1:14">
      <c r="A93" s="64" t="s">
        <v>65</v>
      </c>
      <c r="B93" s="22"/>
      <c r="C93" s="22"/>
      <c r="D93" s="22"/>
      <c r="E93" s="22"/>
      <c r="F93" s="22"/>
      <c r="G93" s="22"/>
      <c r="H93" s="22"/>
      <c r="I93" s="22"/>
      <c r="J93" s="22"/>
      <c r="K93" s="22"/>
      <c r="L93" s="22"/>
      <c r="M93" s="22"/>
      <c r="N93" s="22"/>
    </row>
    <row r="94" spans="1:14">
      <c r="A94" s="64" t="s">
        <v>66</v>
      </c>
      <c r="B94" s="111">
        <v>-40879.74</v>
      </c>
      <c r="C94" s="111">
        <v>-45405.98</v>
      </c>
      <c r="D94" s="111">
        <v>4929.12</v>
      </c>
      <c r="E94" s="111">
        <v>110.69</v>
      </c>
      <c r="F94" s="111"/>
      <c r="G94" s="111">
        <v>-455.19</v>
      </c>
      <c r="H94" s="113"/>
      <c r="I94" s="111">
        <v>-42500.93</v>
      </c>
      <c r="J94" s="111"/>
      <c r="K94" s="111">
        <v>-39118.980000000003</v>
      </c>
      <c r="L94" s="111">
        <v>-106206.23</v>
      </c>
      <c r="M94" s="111">
        <v>356.7</v>
      </c>
      <c r="N94" s="111">
        <v>-269170.53999999998</v>
      </c>
    </row>
    <row r="95" spans="1:14">
      <c r="A95" s="64" t="s">
        <v>67</v>
      </c>
      <c r="B95" s="107">
        <f>SUM(B93:B94)</f>
        <v>-40879.74</v>
      </c>
      <c r="C95" s="107">
        <f>SUM(C93:C94)</f>
        <v>-45405.98</v>
      </c>
      <c r="D95" s="107">
        <f>SUM(D93:D94)</f>
        <v>4929.12</v>
      </c>
      <c r="E95" s="107">
        <f>SUM(E93:E94)</f>
        <v>110.69</v>
      </c>
      <c r="F95" s="107"/>
      <c r="G95" s="107">
        <f>SUM(G93:G94)</f>
        <v>-455.19</v>
      </c>
      <c r="H95" s="107"/>
      <c r="I95" s="107">
        <f>SUM(I93:I94)</f>
        <v>-42500.93</v>
      </c>
      <c r="J95" s="107"/>
      <c r="K95" s="107">
        <f>SUM(K93:K94)</f>
        <v>-39118.980000000003</v>
      </c>
      <c r="L95" s="107">
        <f>SUM(L93:L94)</f>
        <v>-106206.23</v>
      </c>
      <c r="M95" s="107">
        <f>SUM(M93:M94)</f>
        <v>356.7</v>
      </c>
      <c r="N95" s="107">
        <v>-269170.53999999998</v>
      </c>
    </row>
    <row r="96" spans="1:14">
      <c r="A96" s="64"/>
      <c r="B96" s="22"/>
      <c r="C96" s="22"/>
      <c r="D96" s="22"/>
      <c r="E96" s="22"/>
      <c r="F96" s="22"/>
      <c r="G96" s="22"/>
      <c r="H96" s="22"/>
      <c r="I96" s="22"/>
      <c r="J96" s="22"/>
      <c r="K96" s="22"/>
      <c r="L96" s="22"/>
      <c r="M96" s="22"/>
      <c r="N96" s="22"/>
    </row>
    <row r="97" spans="1:14">
      <c r="A97" s="64" t="s">
        <v>68</v>
      </c>
      <c r="B97" s="22"/>
      <c r="C97" s="22"/>
      <c r="D97" s="22"/>
      <c r="E97" s="22"/>
      <c r="F97" s="22"/>
      <c r="G97" s="22"/>
      <c r="H97" s="22"/>
      <c r="I97" s="22"/>
      <c r="J97" s="22"/>
      <c r="K97" s="22"/>
      <c r="L97" s="22"/>
      <c r="M97" s="22"/>
      <c r="N97" s="22"/>
    </row>
    <row r="98" spans="1:14">
      <c r="A98" s="64" t="s">
        <v>66</v>
      </c>
      <c r="B98" s="111">
        <v>486.97</v>
      </c>
      <c r="C98" s="113"/>
      <c r="D98" s="113"/>
      <c r="E98" s="111">
        <v>5516.16</v>
      </c>
      <c r="F98" s="113"/>
      <c r="G98" s="113"/>
      <c r="H98" s="113"/>
      <c r="I98" s="111">
        <v>-5614.89</v>
      </c>
      <c r="J98" s="113"/>
      <c r="K98" s="111"/>
      <c r="L98" s="111"/>
      <c r="M98" s="111">
        <v>-11616</v>
      </c>
      <c r="N98" s="111">
        <v>-11227.76</v>
      </c>
    </row>
    <row r="99" spans="1:14">
      <c r="A99" s="64" t="s">
        <v>69</v>
      </c>
      <c r="B99" s="107">
        <f>SUM(B96:B98)</f>
        <v>486.97</v>
      </c>
      <c r="C99" s="107"/>
      <c r="D99" s="107"/>
      <c r="E99" s="107">
        <f>SUM(E96:E98)</f>
        <v>5516.16</v>
      </c>
      <c r="F99" s="107"/>
      <c r="G99" s="107"/>
      <c r="H99" s="107"/>
      <c r="I99" s="107">
        <f>SUM(I96:I98)</f>
        <v>-5614.89</v>
      </c>
      <c r="J99" s="107"/>
      <c r="K99" s="107"/>
      <c r="L99" s="107"/>
      <c r="M99" s="107">
        <f>SUM(M96:M98)</f>
        <v>-11616</v>
      </c>
      <c r="N99" s="107">
        <v>-11227.76</v>
      </c>
    </row>
    <row r="100" spans="1:14">
      <c r="A100" s="64"/>
      <c r="B100" s="22"/>
      <c r="C100" s="22"/>
      <c r="D100" s="22"/>
      <c r="E100" s="22"/>
      <c r="F100" s="22"/>
      <c r="G100" s="22"/>
      <c r="H100" s="22"/>
      <c r="I100" s="22"/>
      <c r="J100" s="22"/>
      <c r="K100" s="22"/>
      <c r="L100" s="22"/>
      <c r="M100" s="22"/>
      <c r="N100" s="22"/>
    </row>
    <row r="101" spans="1:14">
      <c r="A101" s="64" t="s">
        <v>70</v>
      </c>
      <c r="B101" s="22"/>
      <c r="C101" s="22"/>
      <c r="D101" s="22"/>
      <c r="E101" s="22"/>
      <c r="F101" s="22"/>
      <c r="G101" s="22"/>
      <c r="H101" s="22"/>
      <c r="I101" s="22"/>
      <c r="J101" s="22"/>
      <c r="K101" s="22"/>
      <c r="L101" s="22"/>
      <c r="M101" s="22"/>
      <c r="N101" s="22"/>
    </row>
    <row r="102" spans="1:14">
      <c r="A102" s="64" t="s">
        <v>66</v>
      </c>
      <c r="B102" s="111">
        <v>-4087.37</v>
      </c>
      <c r="C102" s="113"/>
      <c r="D102" s="111">
        <v>-14338.04</v>
      </c>
      <c r="E102" s="111">
        <v>4518.51</v>
      </c>
      <c r="F102" s="113"/>
      <c r="G102" s="111">
        <v>891.31</v>
      </c>
      <c r="H102" s="111">
        <v>354.95</v>
      </c>
      <c r="I102" s="111">
        <v>697.87</v>
      </c>
      <c r="J102" s="111"/>
      <c r="K102" s="111">
        <v>560.4</v>
      </c>
      <c r="L102" s="111">
        <v>573.17999999999995</v>
      </c>
      <c r="M102" s="111">
        <v>772.94</v>
      </c>
      <c r="N102" s="111">
        <v>-10056.25</v>
      </c>
    </row>
    <row r="103" spans="1:14">
      <c r="A103" s="64" t="s">
        <v>71</v>
      </c>
      <c r="B103" s="107">
        <f>SUM(B100:B102)</f>
        <v>-4087.37</v>
      </c>
      <c r="C103" s="107"/>
      <c r="D103" s="107">
        <f>SUM(D100:D102)</f>
        <v>-14338.04</v>
      </c>
      <c r="E103" s="107">
        <f>SUM(E100:E102)</f>
        <v>4518.51</v>
      </c>
      <c r="F103" s="107"/>
      <c r="G103" s="107">
        <f>SUM(G100:G102)</f>
        <v>891.31</v>
      </c>
      <c r="H103" s="107">
        <f>SUM(H100:H102)</f>
        <v>354.95</v>
      </c>
      <c r="I103" s="107">
        <f>SUM(I100:I102)</f>
        <v>697.87</v>
      </c>
      <c r="J103" s="107"/>
      <c r="K103" s="107">
        <f>SUM(K100:K102)</f>
        <v>560.4</v>
      </c>
      <c r="L103" s="107">
        <f>SUM(L100:L102)</f>
        <v>573.17999999999995</v>
      </c>
      <c r="M103" s="107">
        <f>SUM(M100:M102)</f>
        <v>772.94</v>
      </c>
      <c r="N103" s="107">
        <v>-10056.25</v>
      </c>
    </row>
    <row r="104" spans="1:14">
      <c r="A104" s="64"/>
      <c r="B104" s="22"/>
      <c r="C104" s="22"/>
      <c r="D104" s="22"/>
      <c r="E104" s="22"/>
      <c r="F104" s="22"/>
      <c r="G104" s="22"/>
      <c r="H104" s="22"/>
      <c r="I104" s="22"/>
      <c r="J104" s="22"/>
      <c r="K104" s="22"/>
      <c r="L104" s="22"/>
      <c r="M104" s="22"/>
      <c r="N104" s="22"/>
    </row>
    <row r="105" spans="1:14">
      <c r="A105" s="64" t="s">
        <v>72</v>
      </c>
      <c r="B105" s="113"/>
      <c r="C105" s="113"/>
      <c r="D105" s="113"/>
      <c r="E105" s="113"/>
      <c r="F105" s="113"/>
      <c r="G105" s="113"/>
      <c r="H105" s="113"/>
      <c r="I105" s="113"/>
      <c r="J105" s="113"/>
      <c r="K105" s="113"/>
      <c r="L105" s="113"/>
      <c r="M105" s="113"/>
      <c r="N105" s="113"/>
    </row>
    <row r="106" spans="1:14">
      <c r="A106" s="64" t="s">
        <v>314</v>
      </c>
      <c r="B106" s="107"/>
      <c r="C106" s="107"/>
      <c r="D106" s="107"/>
      <c r="E106" s="107"/>
      <c r="F106" s="107"/>
      <c r="G106" s="107"/>
      <c r="H106" s="107"/>
      <c r="I106" s="107"/>
      <c r="J106" s="107"/>
      <c r="K106" s="107"/>
      <c r="L106" s="107"/>
      <c r="M106" s="107"/>
      <c r="N106" s="107"/>
    </row>
    <row r="107" spans="1:14">
      <c r="A107" s="64"/>
      <c r="B107" s="22"/>
      <c r="C107" s="22"/>
      <c r="D107" s="22"/>
      <c r="E107" s="22"/>
      <c r="F107" s="22"/>
      <c r="G107" s="22"/>
      <c r="H107" s="22"/>
      <c r="I107" s="22"/>
      <c r="J107" s="22"/>
      <c r="K107" s="22"/>
      <c r="L107" s="22"/>
      <c r="M107" s="22"/>
      <c r="N107" s="22"/>
    </row>
    <row r="108" spans="1:14">
      <c r="A108" s="64" t="s">
        <v>73</v>
      </c>
      <c r="B108" s="22"/>
      <c r="C108" s="22"/>
      <c r="D108" s="22"/>
      <c r="E108" s="22"/>
      <c r="F108" s="22"/>
      <c r="G108" s="22"/>
      <c r="H108" s="22"/>
      <c r="I108" s="22"/>
      <c r="J108" s="22"/>
      <c r="K108" s="22"/>
      <c r="L108" s="22"/>
      <c r="M108" s="22"/>
      <c r="N108" s="22"/>
    </row>
    <row r="109" spans="1:14">
      <c r="A109" s="64" t="s">
        <v>66</v>
      </c>
      <c r="B109" s="113"/>
      <c r="C109" s="113"/>
      <c r="D109" s="111">
        <v>14051.28</v>
      </c>
      <c r="E109" s="113"/>
      <c r="F109" s="111">
        <v>-350</v>
      </c>
      <c r="G109" s="113"/>
      <c r="H109" s="113"/>
      <c r="I109" s="111">
        <v>-2877.86</v>
      </c>
      <c r="J109" s="111"/>
      <c r="K109" s="113"/>
      <c r="L109" s="111">
        <v>350</v>
      </c>
      <c r="M109" s="111">
        <v>-424.95</v>
      </c>
      <c r="N109" s="111">
        <v>10748.47</v>
      </c>
    </row>
    <row r="110" spans="1:14">
      <c r="A110" s="64" t="s">
        <v>74</v>
      </c>
      <c r="B110" s="107"/>
      <c r="C110" s="107"/>
      <c r="D110" s="107">
        <f>SUM(D107:D109)</f>
        <v>14051.28</v>
      </c>
      <c r="E110" s="107"/>
      <c r="F110" s="107">
        <f>SUM(F107:F109)</f>
        <v>-350</v>
      </c>
      <c r="G110" s="107"/>
      <c r="H110" s="107"/>
      <c r="I110" s="107">
        <f>SUM(I107:I109)</f>
        <v>-2877.86</v>
      </c>
      <c r="J110" s="107"/>
      <c r="K110" s="107"/>
      <c r="L110" s="107">
        <f>SUM(L107:L109)</f>
        <v>350</v>
      </c>
      <c r="M110" s="107">
        <f>SUM(M107:M109)</f>
        <v>-424.95</v>
      </c>
      <c r="N110" s="107">
        <v>10748.47</v>
      </c>
    </row>
    <row r="111" spans="1:14">
      <c r="A111" s="64"/>
      <c r="B111" s="22"/>
      <c r="C111" s="22"/>
      <c r="D111" s="22"/>
      <c r="E111" s="22"/>
      <c r="F111" s="22"/>
      <c r="G111" s="22"/>
      <c r="H111" s="22"/>
      <c r="I111" s="22"/>
      <c r="J111" s="22"/>
      <c r="K111" s="22"/>
      <c r="L111" s="22"/>
      <c r="M111" s="22"/>
      <c r="N111" s="22"/>
    </row>
    <row r="112" spans="1:14">
      <c r="A112" s="64" t="s">
        <v>75</v>
      </c>
      <c r="B112" s="22"/>
      <c r="C112" s="22"/>
      <c r="D112" s="22"/>
      <c r="E112" s="22"/>
      <c r="F112" s="22"/>
      <c r="G112" s="22"/>
      <c r="H112" s="22"/>
      <c r="I112" s="22"/>
      <c r="J112" s="22"/>
      <c r="K112" s="22"/>
      <c r="L112" s="22"/>
      <c r="M112" s="22"/>
      <c r="N112" s="22"/>
    </row>
    <row r="113" spans="1:14">
      <c r="A113" s="64" t="s">
        <v>66</v>
      </c>
      <c r="B113" s="111">
        <v>46170</v>
      </c>
      <c r="C113" s="111">
        <v>50920</v>
      </c>
      <c r="D113" s="111">
        <v>-5510</v>
      </c>
      <c r="E113" s="111">
        <v>-6080</v>
      </c>
      <c r="F113" s="113"/>
      <c r="G113" s="113"/>
      <c r="H113" s="113"/>
      <c r="I113" s="111">
        <v>64030</v>
      </c>
      <c r="J113" s="113"/>
      <c r="K113" s="111">
        <v>42180</v>
      </c>
      <c r="L113" s="111">
        <v>114189.98</v>
      </c>
      <c r="M113" s="111">
        <v>11550</v>
      </c>
      <c r="N113" s="111">
        <v>317449.98</v>
      </c>
    </row>
    <row r="114" spans="1:14">
      <c r="A114" s="64" t="s">
        <v>76</v>
      </c>
      <c r="B114" s="107">
        <f>SUM(B111:B113)</f>
        <v>46170</v>
      </c>
      <c r="C114" s="107">
        <f>SUM(C111:C113)</f>
        <v>50920</v>
      </c>
      <c r="D114" s="107">
        <f>SUM(D111:D113)</f>
        <v>-5510</v>
      </c>
      <c r="E114" s="107">
        <f>SUM(E111:E113)</f>
        <v>-6080</v>
      </c>
      <c r="F114" s="107"/>
      <c r="G114" s="107"/>
      <c r="H114" s="107"/>
      <c r="I114" s="107">
        <f>SUM(I111:I113)</f>
        <v>64030</v>
      </c>
      <c r="J114" s="107"/>
      <c r="K114" s="107">
        <f>SUM(K111:K113)</f>
        <v>42180</v>
      </c>
      <c r="L114" s="107">
        <f>SUM(L111:L113)</f>
        <v>114189.98</v>
      </c>
      <c r="M114" s="107">
        <f>SUM(M111:M113)</f>
        <v>11550</v>
      </c>
      <c r="N114" s="107">
        <v>317449.98</v>
      </c>
    </row>
    <row r="115" spans="1:14">
      <c r="A115" s="64"/>
      <c r="B115" s="113"/>
      <c r="C115" s="113"/>
      <c r="D115" s="113"/>
      <c r="E115" s="113"/>
      <c r="F115" s="113"/>
      <c r="G115" s="113"/>
      <c r="H115" s="113"/>
      <c r="I115" s="113"/>
      <c r="J115" s="113"/>
      <c r="K115" s="113"/>
      <c r="L115" s="113"/>
      <c r="M115" s="113"/>
      <c r="N115" s="113"/>
    </row>
    <row r="116" spans="1:14">
      <c r="A116" s="64" t="s">
        <v>44</v>
      </c>
      <c r="B116" s="107">
        <f t="shared" ref="B116:I116" si="39">SUM(B91:B115)-B95-B99-B103-B106-B110-B114</f>
        <v>1689.8600000000151</v>
      </c>
      <c r="C116" s="107">
        <f t="shared" si="39"/>
        <v>5514.0199999999968</v>
      </c>
      <c r="D116" s="107">
        <f t="shared" si="39"/>
        <v>-867.64000000000215</v>
      </c>
      <c r="E116" s="107">
        <f t="shared" si="39"/>
        <v>4065.3600000000015</v>
      </c>
      <c r="F116" s="107">
        <f t="shared" si="39"/>
        <v>-350</v>
      </c>
      <c r="G116" s="107">
        <f t="shared" si="39"/>
        <v>436.11999999999989</v>
      </c>
      <c r="H116" s="107">
        <f t="shared" si="39"/>
        <v>354.95</v>
      </c>
      <c r="I116" s="107">
        <f t="shared" si="39"/>
        <v>13734.190000000002</v>
      </c>
      <c r="J116" s="107"/>
      <c r="K116" s="107">
        <f>SUM(K91:K115)-K95-K99-K103-K106-K110-K114</f>
        <v>3621.4199999999837</v>
      </c>
      <c r="L116" s="107">
        <f>SUM(L91:L115)-L95-L99-L103-L106-L110-L114</f>
        <v>8906.929999999993</v>
      </c>
      <c r="M116" s="107">
        <f>SUM(M91:M115)-M95-M99-M103-M106-M110-M114</f>
        <v>638.68999999999687</v>
      </c>
      <c r="N116" s="107">
        <v>37743.9</v>
      </c>
    </row>
    <row r="117" spans="1:14">
      <c r="A117" s="64"/>
      <c r="B117" s="22"/>
      <c r="C117" s="22"/>
      <c r="D117" s="22"/>
      <c r="E117" s="22"/>
      <c r="F117" s="22"/>
      <c r="G117" s="22"/>
      <c r="H117" s="22"/>
      <c r="I117" s="22"/>
      <c r="J117" s="22"/>
      <c r="K117" s="22"/>
      <c r="L117" s="22"/>
      <c r="M117" s="22"/>
      <c r="N117" s="22"/>
    </row>
    <row r="118" spans="1:14">
      <c r="A118" s="64" t="s">
        <v>45</v>
      </c>
      <c r="B118" s="22"/>
      <c r="C118" s="22"/>
      <c r="D118" s="22"/>
      <c r="E118" s="22"/>
      <c r="F118" s="22"/>
      <c r="G118" s="22"/>
      <c r="H118" s="22"/>
      <c r="I118" s="22"/>
      <c r="J118" s="22"/>
      <c r="K118" s="22"/>
      <c r="L118" s="22"/>
      <c r="M118" s="22"/>
      <c r="N118" s="22"/>
    </row>
    <row r="119" spans="1:14">
      <c r="A119" s="64"/>
      <c r="B119" s="22"/>
      <c r="C119" s="22"/>
      <c r="D119" s="22"/>
      <c r="E119" s="22"/>
      <c r="F119" s="22"/>
      <c r="G119" s="22"/>
      <c r="H119" s="22"/>
      <c r="I119" s="22"/>
      <c r="J119" s="22"/>
      <c r="K119" s="22"/>
      <c r="L119" s="22"/>
      <c r="M119" s="22"/>
      <c r="N119" s="22"/>
    </row>
    <row r="120" spans="1:14">
      <c r="A120" s="64" t="s">
        <v>19</v>
      </c>
      <c r="B120" s="22"/>
      <c r="C120" s="22"/>
      <c r="D120" s="22"/>
      <c r="E120" s="22"/>
      <c r="F120" s="22"/>
      <c r="G120" s="22"/>
      <c r="H120" s="22"/>
      <c r="I120" s="22"/>
      <c r="J120" s="22"/>
      <c r="K120" s="22"/>
      <c r="L120" s="22"/>
      <c r="M120" s="22"/>
      <c r="N120" s="22"/>
    </row>
    <row r="121" spans="1:14">
      <c r="A121" s="64" t="s">
        <v>78</v>
      </c>
      <c r="B121" s="22"/>
      <c r="C121" s="22"/>
      <c r="D121" s="22"/>
      <c r="E121" s="22"/>
      <c r="F121" s="22"/>
      <c r="G121" s="22"/>
      <c r="H121" s="22"/>
      <c r="I121" s="22"/>
      <c r="J121" s="107">
        <v>1815</v>
      </c>
      <c r="K121" s="107">
        <v>-1110</v>
      </c>
      <c r="L121" s="22"/>
      <c r="M121" s="107">
        <v>750</v>
      </c>
      <c r="N121" s="107">
        <v>1455</v>
      </c>
    </row>
    <row r="122" spans="1:14">
      <c r="A122" s="64" t="s">
        <v>316</v>
      </c>
      <c r="B122" s="22"/>
      <c r="C122" s="22"/>
      <c r="D122" s="22"/>
      <c r="E122" s="22"/>
      <c r="F122" s="22"/>
      <c r="G122" s="22"/>
      <c r="H122" s="22"/>
      <c r="I122" s="22"/>
      <c r="J122" s="22"/>
      <c r="K122" s="107">
        <v>945</v>
      </c>
      <c r="L122" s="22"/>
      <c r="M122" s="22"/>
      <c r="N122" s="107">
        <v>945</v>
      </c>
    </row>
    <row r="123" spans="1:14">
      <c r="A123" s="64" t="s">
        <v>354</v>
      </c>
      <c r="B123" s="22"/>
      <c r="C123" s="22"/>
      <c r="D123" s="22"/>
      <c r="E123" s="22"/>
      <c r="F123" s="22"/>
      <c r="G123" s="22"/>
      <c r="H123" s="22"/>
      <c r="I123" s="22"/>
      <c r="J123" s="22"/>
      <c r="K123" s="22"/>
      <c r="L123" s="22"/>
      <c r="M123" s="22"/>
      <c r="N123" s="22"/>
    </row>
    <row r="124" spans="1:14">
      <c r="A124" s="64" t="s">
        <v>84</v>
      </c>
      <c r="B124" s="113"/>
      <c r="C124" s="113"/>
      <c r="D124" s="113"/>
      <c r="E124" s="113"/>
      <c r="F124" s="113"/>
      <c r="G124" s="113"/>
      <c r="H124" s="113"/>
      <c r="I124" s="113"/>
      <c r="J124" s="111">
        <v>-1815</v>
      </c>
      <c r="K124" s="111">
        <v>165</v>
      </c>
      <c r="L124" s="113"/>
      <c r="M124" s="111">
        <v>-750</v>
      </c>
      <c r="N124" s="111">
        <v>-2400</v>
      </c>
    </row>
    <row r="125" spans="1:14">
      <c r="A125" s="64"/>
      <c r="B125" s="22"/>
      <c r="C125" s="22"/>
      <c r="D125" s="22"/>
      <c r="E125" s="22"/>
      <c r="F125" s="22"/>
      <c r="G125" s="22"/>
      <c r="H125" s="22"/>
      <c r="I125" s="22"/>
      <c r="J125" s="22"/>
      <c r="K125" s="22"/>
      <c r="L125" s="22"/>
      <c r="M125" s="22"/>
      <c r="N125" s="22"/>
    </row>
    <row r="126" spans="1:14">
      <c r="A126" s="64" t="s">
        <v>20</v>
      </c>
      <c r="B126" s="113"/>
      <c r="C126" s="113"/>
      <c r="D126" s="113"/>
      <c r="E126" s="113"/>
      <c r="F126" s="113"/>
      <c r="G126" s="113"/>
      <c r="H126" s="113"/>
      <c r="I126" s="113"/>
      <c r="J126" s="113"/>
      <c r="K126" s="113"/>
      <c r="L126" s="113"/>
      <c r="M126" s="113"/>
      <c r="N126" s="113"/>
    </row>
    <row r="127" spans="1:14">
      <c r="A127" s="64"/>
      <c r="B127" s="22"/>
      <c r="C127" s="22"/>
      <c r="D127" s="22"/>
      <c r="E127" s="22"/>
      <c r="F127" s="22"/>
      <c r="G127" s="22"/>
      <c r="H127" s="22"/>
      <c r="I127" s="22"/>
      <c r="J127" s="22"/>
      <c r="K127" s="22"/>
      <c r="L127" s="22"/>
      <c r="M127" s="22"/>
      <c r="N127" s="22"/>
    </row>
    <row r="128" spans="1:14">
      <c r="A128" s="64" t="s">
        <v>88</v>
      </c>
      <c r="B128" s="22"/>
      <c r="C128" s="22"/>
      <c r="D128" s="22"/>
      <c r="E128" s="22"/>
      <c r="F128" s="22"/>
      <c r="G128" s="22"/>
      <c r="H128" s="22"/>
      <c r="I128" s="22"/>
      <c r="J128" s="22"/>
      <c r="K128" s="22"/>
      <c r="L128" s="22"/>
      <c r="M128" s="22"/>
      <c r="N128" s="22"/>
    </row>
    <row r="129" spans="1:14">
      <c r="A129" s="64" t="s">
        <v>89</v>
      </c>
      <c r="B129" s="107">
        <v>9242</v>
      </c>
      <c r="C129" s="107">
        <v>6608.81</v>
      </c>
      <c r="D129" s="107">
        <v>6782.36</v>
      </c>
      <c r="E129" s="107">
        <v>5042.53</v>
      </c>
      <c r="F129" s="107">
        <v>4908.4799999999996</v>
      </c>
      <c r="G129" s="107">
        <v>13818.35</v>
      </c>
      <c r="H129" s="107">
        <v>10473.200000000001</v>
      </c>
      <c r="I129" s="107">
        <v>8751.6299999999992</v>
      </c>
      <c r="J129" s="107">
        <v>14083.15</v>
      </c>
      <c r="K129" s="107">
        <v>12131.26</v>
      </c>
      <c r="L129" s="107">
        <v>10531.92</v>
      </c>
      <c r="M129" s="107">
        <v>6921.71</v>
      </c>
      <c r="N129" s="107">
        <v>109295.4</v>
      </c>
    </row>
    <row r="130" spans="1:14">
      <c r="A130" s="64" t="s">
        <v>90</v>
      </c>
      <c r="B130" s="107">
        <v>11250</v>
      </c>
      <c r="C130" s="107">
        <v>11055</v>
      </c>
      <c r="D130" s="107">
        <v>18045</v>
      </c>
      <c r="E130" s="107">
        <v>15225</v>
      </c>
      <c r="F130" s="107">
        <v>11520</v>
      </c>
      <c r="G130" s="107">
        <v>15720</v>
      </c>
      <c r="H130" s="107">
        <v>18930</v>
      </c>
      <c r="I130" s="107">
        <v>16530</v>
      </c>
      <c r="J130" s="107">
        <v>15375</v>
      </c>
      <c r="K130" s="107">
        <v>19470</v>
      </c>
      <c r="L130" s="107">
        <v>11565</v>
      </c>
      <c r="M130" s="107">
        <v>13935</v>
      </c>
      <c r="N130" s="107">
        <v>178620</v>
      </c>
    </row>
    <row r="131" spans="1:14">
      <c r="A131" s="64" t="s">
        <v>91</v>
      </c>
      <c r="B131" s="107">
        <v>11655</v>
      </c>
      <c r="C131" s="107">
        <v>10965</v>
      </c>
      <c r="D131" s="107">
        <v>14130</v>
      </c>
      <c r="E131" s="107">
        <v>16020</v>
      </c>
      <c r="F131" s="107">
        <v>12015</v>
      </c>
      <c r="G131" s="107">
        <v>17445</v>
      </c>
      <c r="H131" s="107">
        <v>19290</v>
      </c>
      <c r="I131" s="107">
        <v>15315</v>
      </c>
      <c r="J131" s="107">
        <v>945</v>
      </c>
      <c r="K131" s="107">
        <v>6615</v>
      </c>
      <c r="L131" s="107">
        <v>7320</v>
      </c>
      <c r="M131" s="107">
        <v>19410</v>
      </c>
      <c r="N131" s="107">
        <v>151125</v>
      </c>
    </row>
    <row r="132" spans="1:14">
      <c r="A132" s="64" t="s">
        <v>92</v>
      </c>
      <c r="B132" s="107">
        <v>6495</v>
      </c>
      <c r="C132" s="107">
        <v>9330</v>
      </c>
      <c r="D132" s="107">
        <v>6870</v>
      </c>
      <c r="E132" s="107">
        <v>3930</v>
      </c>
      <c r="F132" s="107">
        <v>5195</v>
      </c>
      <c r="G132" s="107">
        <v>7980</v>
      </c>
      <c r="H132" s="107">
        <v>6110</v>
      </c>
      <c r="I132" s="107">
        <v>11675</v>
      </c>
      <c r="J132" s="107">
        <v>13215</v>
      </c>
      <c r="K132" s="107">
        <v>16020</v>
      </c>
      <c r="L132" s="107">
        <v>9245</v>
      </c>
      <c r="M132" s="107">
        <v>10360</v>
      </c>
      <c r="N132" s="107">
        <v>106425</v>
      </c>
    </row>
    <row r="133" spans="1:14">
      <c r="A133" s="64" t="s">
        <v>93</v>
      </c>
      <c r="B133" s="107">
        <v>458.25</v>
      </c>
      <c r="C133" s="22"/>
      <c r="D133" s="107">
        <v>765</v>
      </c>
      <c r="E133" s="107">
        <v>360</v>
      </c>
      <c r="F133" s="22"/>
      <c r="G133" s="107">
        <v>99.38</v>
      </c>
      <c r="H133" s="22"/>
      <c r="I133" s="107">
        <v>28.88</v>
      </c>
      <c r="J133" s="107">
        <v>154.63999999999999</v>
      </c>
      <c r="K133" s="107">
        <v>73.5</v>
      </c>
      <c r="L133" s="22"/>
      <c r="M133" s="107">
        <v>140.63</v>
      </c>
      <c r="N133" s="107">
        <v>2080.2800000000002</v>
      </c>
    </row>
    <row r="134" spans="1:14">
      <c r="A134" s="64" t="s">
        <v>94</v>
      </c>
      <c r="B134" s="107">
        <v>1800</v>
      </c>
      <c r="C134" s="107">
        <v>900</v>
      </c>
      <c r="D134" s="107">
        <v>1350</v>
      </c>
      <c r="E134" s="22"/>
      <c r="F134" s="107">
        <v>900</v>
      </c>
      <c r="G134" s="107">
        <v>3150</v>
      </c>
      <c r="H134" s="107">
        <v>2700</v>
      </c>
      <c r="I134" s="107">
        <v>2700</v>
      </c>
      <c r="J134" s="107">
        <v>1350</v>
      </c>
      <c r="K134" s="107">
        <v>900</v>
      </c>
      <c r="L134" s="107">
        <v>1800</v>
      </c>
      <c r="M134" s="107">
        <v>900</v>
      </c>
      <c r="N134" s="107">
        <v>18450</v>
      </c>
    </row>
    <row r="135" spans="1:14">
      <c r="A135" s="64" t="s">
        <v>95</v>
      </c>
      <c r="B135" s="107">
        <v>640.28</v>
      </c>
      <c r="C135" s="107">
        <v>744.08</v>
      </c>
      <c r="D135" s="107">
        <v>378.58</v>
      </c>
      <c r="E135" s="107">
        <v>472.67</v>
      </c>
      <c r="F135" s="22"/>
      <c r="G135" s="107">
        <v>1450.97</v>
      </c>
      <c r="H135" s="107">
        <v>897.63</v>
      </c>
      <c r="I135" s="107">
        <v>1629.34</v>
      </c>
      <c r="J135" s="107">
        <v>2590.9499999999998</v>
      </c>
      <c r="K135" s="107">
        <v>2745.13</v>
      </c>
      <c r="L135" s="107">
        <v>2112.2199999999998</v>
      </c>
      <c r="M135" s="107">
        <v>541.37</v>
      </c>
      <c r="N135" s="107">
        <v>14203.22</v>
      </c>
    </row>
    <row r="136" spans="1:14">
      <c r="A136" s="64" t="s">
        <v>97</v>
      </c>
      <c r="B136" s="107">
        <v>930.74</v>
      </c>
      <c r="C136" s="22"/>
      <c r="D136" s="107">
        <v>829.51</v>
      </c>
      <c r="E136" s="107">
        <v>1201.8800000000001</v>
      </c>
      <c r="F136" s="107">
        <v>1299.76</v>
      </c>
      <c r="G136" s="22"/>
      <c r="H136" s="107">
        <v>210</v>
      </c>
      <c r="I136" s="107">
        <v>540</v>
      </c>
      <c r="J136" s="107">
        <v>949.89</v>
      </c>
      <c r="K136" s="107">
        <v>789.76</v>
      </c>
      <c r="L136" s="107">
        <v>941.63</v>
      </c>
      <c r="M136" s="107">
        <v>271.51</v>
      </c>
      <c r="N136" s="107">
        <v>7964.68</v>
      </c>
    </row>
    <row r="137" spans="1:14">
      <c r="A137" s="64" t="s">
        <v>98</v>
      </c>
      <c r="B137" s="111">
        <v>-42471.27</v>
      </c>
      <c r="C137" s="111">
        <v>-39602.89</v>
      </c>
      <c r="D137" s="111">
        <v>-49150.45</v>
      </c>
      <c r="E137" s="111">
        <v>-42252.08</v>
      </c>
      <c r="F137" s="111">
        <v>-30929.759999999998</v>
      </c>
      <c r="G137" s="111">
        <v>-64572.18</v>
      </c>
      <c r="H137" s="111">
        <v>-58610.83</v>
      </c>
      <c r="I137" s="111">
        <v>-57169.85</v>
      </c>
      <c r="J137" s="111">
        <v>-48663.63</v>
      </c>
      <c r="K137" s="111">
        <v>-58744.65</v>
      </c>
      <c r="L137" s="111">
        <v>-43515.77</v>
      </c>
      <c r="M137" s="111">
        <v>-52480.22</v>
      </c>
      <c r="N137" s="111">
        <v>-588163.57999999996</v>
      </c>
    </row>
    <row r="138" spans="1:14">
      <c r="A138" s="64" t="s">
        <v>357</v>
      </c>
      <c r="B138" s="107"/>
      <c r="C138" s="107"/>
      <c r="D138" s="107"/>
      <c r="E138" s="107"/>
      <c r="F138" s="107">
        <f>SUM(F128:F137)</f>
        <v>4908.4799999999996</v>
      </c>
      <c r="G138" s="107">
        <f>SUM(G128:G137)</f>
        <v>-4908.4800000000032</v>
      </c>
      <c r="H138" s="107"/>
      <c r="I138" s="107"/>
      <c r="J138" s="107"/>
      <c r="K138" s="107"/>
      <c r="L138" s="107"/>
      <c r="M138" s="107"/>
      <c r="N138" s="107"/>
    </row>
    <row r="139" spans="1:14">
      <c r="A139" s="64"/>
      <c r="B139" s="22"/>
      <c r="C139" s="22"/>
      <c r="D139" s="22"/>
      <c r="E139" s="22"/>
      <c r="F139" s="22"/>
      <c r="G139" s="22"/>
      <c r="H139" s="22"/>
      <c r="I139" s="22"/>
      <c r="J139" s="22"/>
      <c r="K139" s="22"/>
      <c r="L139" s="22"/>
      <c r="M139" s="22"/>
      <c r="N139" s="22"/>
    </row>
    <row r="140" spans="1:14">
      <c r="A140" s="64" t="s">
        <v>99</v>
      </c>
      <c r="B140" s="22"/>
      <c r="C140" s="22"/>
      <c r="D140" s="22"/>
      <c r="E140" s="22"/>
      <c r="F140" s="22"/>
      <c r="G140" s="22"/>
      <c r="H140" s="22"/>
      <c r="I140" s="22"/>
      <c r="J140" s="22"/>
      <c r="K140" s="22"/>
      <c r="L140" s="22"/>
      <c r="M140" s="22"/>
      <c r="N140" s="22"/>
    </row>
    <row r="141" spans="1:14">
      <c r="A141" s="64" t="s">
        <v>100</v>
      </c>
      <c r="B141" s="107">
        <v>23655</v>
      </c>
      <c r="C141" s="107">
        <v>26820</v>
      </c>
      <c r="D141" s="107">
        <v>8865</v>
      </c>
      <c r="E141" s="107">
        <v>17850</v>
      </c>
      <c r="F141" s="107">
        <v>11025</v>
      </c>
      <c r="G141" s="107">
        <v>7620</v>
      </c>
      <c r="H141" s="107">
        <v>9165</v>
      </c>
      <c r="I141" s="107">
        <v>4440</v>
      </c>
      <c r="J141" s="107">
        <v>8790</v>
      </c>
      <c r="K141" s="107">
        <v>6030</v>
      </c>
      <c r="L141" s="107">
        <v>5610</v>
      </c>
      <c r="M141" s="107">
        <v>2340</v>
      </c>
      <c r="N141" s="107">
        <v>132210</v>
      </c>
    </row>
    <row r="142" spans="1:14">
      <c r="A142" s="64" t="s">
        <v>101</v>
      </c>
      <c r="B142" s="107">
        <v>9405</v>
      </c>
      <c r="C142" s="107">
        <v>16650</v>
      </c>
      <c r="D142" s="107">
        <v>11580</v>
      </c>
      <c r="E142" s="107">
        <v>15285</v>
      </c>
      <c r="F142" s="107">
        <v>14820</v>
      </c>
      <c r="G142" s="107">
        <v>9420</v>
      </c>
      <c r="H142" s="107">
        <v>8235</v>
      </c>
      <c r="I142" s="107">
        <v>-840</v>
      </c>
      <c r="J142" s="107">
        <v>360</v>
      </c>
      <c r="K142" s="22"/>
      <c r="L142" s="107">
        <v>9060</v>
      </c>
      <c r="M142" s="107">
        <v>6165</v>
      </c>
      <c r="N142" s="107">
        <v>100140</v>
      </c>
    </row>
    <row r="143" spans="1:14">
      <c r="A143" s="64" t="s">
        <v>102</v>
      </c>
      <c r="B143" s="107">
        <v>2210</v>
      </c>
      <c r="C143" s="107">
        <v>4165</v>
      </c>
      <c r="D143" s="107">
        <v>1570</v>
      </c>
      <c r="E143" s="107">
        <v>5725</v>
      </c>
      <c r="F143" s="107">
        <v>1960</v>
      </c>
      <c r="G143" s="22"/>
      <c r="H143" s="22"/>
      <c r="I143" s="107">
        <v>-4220</v>
      </c>
      <c r="J143" s="22"/>
      <c r="K143" s="22"/>
      <c r="L143" s="107">
        <v>2805</v>
      </c>
      <c r="M143" s="107">
        <v>540</v>
      </c>
      <c r="N143" s="107">
        <v>14755</v>
      </c>
    </row>
    <row r="144" spans="1:14">
      <c r="A144" s="64" t="s">
        <v>103</v>
      </c>
      <c r="B144" s="111">
        <v>-17484.97</v>
      </c>
      <c r="C144" s="111">
        <v>-22654.45</v>
      </c>
      <c r="D144" s="111">
        <v>-11724.3</v>
      </c>
      <c r="E144" s="111">
        <v>-20413.22</v>
      </c>
      <c r="F144" s="111">
        <v>-13840.11</v>
      </c>
      <c r="G144" s="111">
        <v>-8475.91</v>
      </c>
      <c r="H144" s="111">
        <v>-8643.86</v>
      </c>
      <c r="I144" s="111">
        <v>-1477.35</v>
      </c>
      <c r="J144" s="111">
        <v>-5483.77</v>
      </c>
      <c r="K144" s="111">
        <v>-3191.3</v>
      </c>
      <c r="L144" s="111">
        <v>-9484.67</v>
      </c>
      <c r="M144" s="111">
        <v>-5342.14</v>
      </c>
      <c r="N144" s="111">
        <v>-128216.05</v>
      </c>
    </row>
    <row r="145" spans="1:14">
      <c r="A145" s="64" t="s">
        <v>104</v>
      </c>
      <c r="B145" s="107">
        <f t="shared" ref="B145:M145" si="40">SUM(B140:B144)</f>
        <v>17785.03</v>
      </c>
      <c r="C145" s="107">
        <f t="shared" si="40"/>
        <v>24980.55</v>
      </c>
      <c r="D145" s="107">
        <f t="shared" si="40"/>
        <v>10290.700000000001</v>
      </c>
      <c r="E145" s="107">
        <f t="shared" si="40"/>
        <v>18446.78</v>
      </c>
      <c r="F145" s="107">
        <f t="shared" si="40"/>
        <v>13964.89</v>
      </c>
      <c r="G145" s="107">
        <f t="shared" si="40"/>
        <v>8564.09</v>
      </c>
      <c r="H145" s="107">
        <f t="shared" si="40"/>
        <v>8756.14</v>
      </c>
      <c r="I145" s="107">
        <f t="shared" si="40"/>
        <v>-2097.35</v>
      </c>
      <c r="J145" s="107">
        <f t="shared" si="40"/>
        <v>3666.2299999999996</v>
      </c>
      <c r="K145" s="107">
        <f t="shared" si="40"/>
        <v>2838.7</v>
      </c>
      <c r="L145" s="107">
        <f t="shared" si="40"/>
        <v>7990.33</v>
      </c>
      <c r="M145" s="107">
        <f t="shared" si="40"/>
        <v>3702.8599999999997</v>
      </c>
      <c r="N145" s="107">
        <v>118888.95</v>
      </c>
    </row>
    <row r="146" spans="1:14">
      <c r="A146" s="64"/>
      <c r="B146" s="22"/>
      <c r="C146" s="22"/>
      <c r="D146" s="22"/>
      <c r="E146" s="22"/>
      <c r="F146" s="22"/>
      <c r="G146" s="22"/>
      <c r="H146" s="22"/>
      <c r="I146" s="22"/>
      <c r="J146" s="22"/>
      <c r="K146" s="22"/>
      <c r="L146" s="22"/>
      <c r="M146" s="22"/>
      <c r="N146" s="22"/>
    </row>
    <row r="147" spans="1:14">
      <c r="A147" s="64" t="s">
        <v>105</v>
      </c>
      <c r="B147" s="113"/>
      <c r="C147" s="113"/>
      <c r="D147" s="113"/>
      <c r="E147" s="113"/>
      <c r="F147" s="113"/>
      <c r="G147" s="113"/>
      <c r="H147" s="113"/>
      <c r="I147" s="113"/>
      <c r="J147" s="113"/>
      <c r="K147" s="113"/>
      <c r="L147" s="113"/>
      <c r="M147" s="113"/>
      <c r="N147" s="113"/>
    </row>
    <row r="148" spans="1:14">
      <c r="A148" s="64"/>
      <c r="B148" s="22"/>
      <c r="C148" s="22"/>
      <c r="D148" s="22"/>
      <c r="E148" s="22"/>
      <c r="F148" s="22"/>
      <c r="G148" s="22"/>
      <c r="H148" s="22"/>
      <c r="I148" s="22"/>
      <c r="J148" s="22"/>
      <c r="K148" s="22"/>
      <c r="L148" s="22"/>
      <c r="M148" s="22"/>
      <c r="N148" s="22"/>
    </row>
    <row r="149" spans="1:14">
      <c r="A149" s="64" t="s">
        <v>106</v>
      </c>
      <c r="B149" s="22"/>
      <c r="C149" s="22"/>
      <c r="D149" s="22"/>
      <c r="E149" s="22"/>
      <c r="F149" s="22"/>
      <c r="G149" s="22"/>
      <c r="H149" s="22"/>
      <c r="I149" s="22"/>
      <c r="J149" s="22"/>
      <c r="K149" s="22"/>
      <c r="L149" s="22"/>
      <c r="M149" s="22"/>
      <c r="N149" s="22"/>
    </row>
    <row r="150" spans="1:14">
      <c r="A150" s="64" t="s">
        <v>107</v>
      </c>
      <c r="B150" s="22"/>
      <c r="C150" s="22"/>
      <c r="D150" s="107">
        <v>295.92</v>
      </c>
      <c r="E150" s="22"/>
      <c r="F150" s="22"/>
      <c r="G150" s="107">
        <v>4994.79</v>
      </c>
      <c r="H150" s="107">
        <v>3584.3</v>
      </c>
      <c r="I150" s="107">
        <v>5887.51</v>
      </c>
      <c r="J150" s="107">
        <v>6191.77</v>
      </c>
      <c r="K150" s="107">
        <v>1169.5899999999999</v>
      </c>
      <c r="L150" s="107">
        <v>2966.27</v>
      </c>
      <c r="M150" s="107">
        <v>1478.59</v>
      </c>
      <c r="N150" s="107">
        <v>26568.74</v>
      </c>
    </row>
    <row r="151" spans="1:14">
      <c r="A151" s="64" t="s">
        <v>108</v>
      </c>
      <c r="B151" s="107">
        <v>13185</v>
      </c>
      <c r="C151" s="107">
        <v>9780</v>
      </c>
      <c r="D151" s="107">
        <v>31380</v>
      </c>
      <c r="E151" s="107">
        <v>19005</v>
      </c>
      <c r="F151" s="107">
        <v>14550</v>
      </c>
      <c r="G151" s="107">
        <v>15690</v>
      </c>
      <c r="H151" s="107">
        <v>13845</v>
      </c>
      <c r="I151" s="107">
        <v>16935</v>
      </c>
      <c r="J151" s="107">
        <v>10860</v>
      </c>
      <c r="K151" s="107">
        <v>9135</v>
      </c>
      <c r="L151" s="107">
        <v>5685</v>
      </c>
      <c r="M151" s="107">
        <v>2985</v>
      </c>
      <c r="N151" s="107">
        <v>163035</v>
      </c>
    </row>
    <row r="152" spans="1:14">
      <c r="A152" s="64" t="s">
        <v>109</v>
      </c>
      <c r="B152" s="107">
        <v>11910</v>
      </c>
      <c r="C152" s="107">
        <v>7575</v>
      </c>
      <c r="D152" s="107">
        <v>25200</v>
      </c>
      <c r="E152" s="107">
        <v>18855</v>
      </c>
      <c r="F152" s="107">
        <v>16095</v>
      </c>
      <c r="G152" s="107">
        <v>18840</v>
      </c>
      <c r="H152" s="107">
        <v>14190</v>
      </c>
      <c r="I152" s="107">
        <v>16785</v>
      </c>
      <c r="J152" s="107">
        <v>-90</v>
      </c>
      <c r="K152" s="107">
        <v>960</v>
      </c>
      <c r="L152" s="107">
        <v>2250</v>
      </c>
      <c r="M152" s="107">
        <v>4260</v>
      </c>
      <c r="N152" s="107">
        <v>136830</v>
      </c>
    </row>
    <row r="153" spans="1:14">
      <c r="A153" s="64" t="s">
        <v>110</v>
      </c>
      <c r="B153" s="107">
        <v>8200</v>
      </c>
      <c r="C153" s="107">
        <v>5030</v>
      </c>
      <c r="D153" s="107">
        <v>15860</v>
      </c>
      <c r="E153" s="107">
        <v>13265</v>
      </c>
      <c r="F153" s="107">
        <v>4815</v>
      </c>
      <c r="G153" s="107">
        <v>10415</v>
      </c>
      <c r="H153" s="107">
        <v>9810</v>
      </c>
      <c r="I153" s="107">
        <v>17605</v>
      </c>
      <c r="J153" s="107">
        <v>10850</v>
      </c>
      <c r="K153" s="107">
        <v>4460</v>
      </c>
      <c r="L153" s="107">
        <v>5365</v>
      </c>
      <c r="M153" s="107">
        <v>2785</v>
      </c>
      <c r="N153" s="107">
        <v>108460</v>
      </c>
    </row>
    <row r="154" spans="1:14">
      <c r="A154" s="64" t="s">
        <v>379</v>
      </c>
      <c r="B154" s="22"/>
      <c r="C154" s="107">
        <v>132</v>
      </c>
      <c r="D154" s="107">
        <v>270.97000000000003</v>
      </c>
      <c r="E154" s="107">
        <v>1137.74</v>
      </c>
      <c r="F154" s="22"/>
      <c r="G154" s="107">
        <v>702.46</v>
      </c>
      <c r="H154" s="22"/>
      <c r="I154" s="22"/>
      <c r="J154" s="107">
        <v>123.75</v>
      </c>
      <c r="K154" s="107">
        <v>115.5</v>
      </c>
      <c r="L154" s="22"/>
      <c r="M154" s="107">
        <v>18</v>
      </c>
      <c r="N154" s="107">
        <v>2500.42</v>
      </c>
    </row>
    <row r="155" spans="1:14">
      <c r="A155" s="64" t="s">
        <v>111</v>
      </c>
      <c r="B155" s="107">
        <v>1800</v>
      </c>
      <c r="C155" s="107">
        <v>450</v>
      </c>
      <c r="D155" s="107">
        <v>450</v>
      </c>
      <c r="E155" s="22"/>
      <c r="F155" s="22"/>
      <c r="G155" s="22"/>
      <c r="H155" s="107">
        <v>1350</v>
      </c>
      <c r="I155" s="22"/>
      <c r="J155" s="22"/>
      <c r="K155" s="22"/>
      <c r="L155" s="22"/>
      <c r="M155" s="22"/>
      <c r="N155" s="107">
        <v>4050</v>
      </c>
    </row>
    <row r="156" spans="1:14">
      <c r="A156" s="64" t="s">
        <v>112</v>
      </c>
      <c r="B156" s="107">
        <v>1109.4100000000001</v>
      </c>
      <c r="C156" s="107">
        <v>856.72</v>
      </c>
      <c r="D156" s="107">
        <v>863.33</v>
      </c>
      <c r="E156" s="107">
        <v>645.82000000000005</v>
      </c>
      <c r="F156" s="22"/>
      <c r="G156" s="107">
        <v>746.05</v>
      </c>
      <c r="H156" s="107">
        <v>189.75</v>
      </c>
      <c r="I156" s="107">
        <v>941.84</v>
      </c>
      <c r="J156" s="107">
        <v>735</v>
      </c>
      <c r="K156" s="107">
        <v>676.65</v>
      </c>
      <c r="L156" s="107">
        <v>194</v>
      </c>
      <c r="M156" s="107">
        <v>186.88</v>
      </c>
      <c r="N156" s="107">
        <v>7145.45</v>
      </c>
    </row>
    <row r="157" spans="1:14">
      <c r="A157" s="64" t="s">
        <v>113</v>
      </c>
      <c r="B157" s="107">
        <v>171</v>
      </c>
      <c r="C157" s="107">
        <v>456</v>
      </c>
      <c r="D157" s="107">
        <v>55.13</v>
      </c>
      <c r="E157" s="107">
        <v>454.5</v>
      </c>
      <c r="F157" s="107">
        <v>1441.5</v>
      </c>
      <c r="G157" s="22"/>
      <c r="H157" s="22"/>
      <c r="I157" s="107">
        <v>394.88</v>
      </c>
      <c r="J157" s="22"/>
      <c r="K157" s="22"/>
      <c r="L157" s="22"/>
      <c r="M157" s="107">
        <v>75</v>
      </c>
      <c r="N157" s="107">
        <v>3048.01</v>
      </c>
    </row>
    <row r="158" spans="1:14">
      <c r="A158" s="64" t="s">
        <v>115</v>
      </c>
      <c r="B158" s="111">
        <v>-29474.55</v>
      </c>
      <c r="C158" s="111">
        <v>-23375.05</v>
      </c>
      <c r="D158" s="111">
        <v>-49556.77</v>
      </c>
      <c r="E158" s="111">
        <v>-38288.93</v>
      </c>
      <c r="F158" s="111">
        <v>-27885.82</v>
      </c>
      <c r="G158" s="111">
        <v>-48093.02</v>
      </c>
      <c r="H158" s="111">
        <v>-35958.1</v>
      </c>
      <c r="I158" s="111">
        <v>-40549.06</v>
      </c>
      <c r="J158" s="111">
        <v>-30299.27</v>
      </c>
      <c r="K158" s="111">
        <v>-17145.71</v>
      </c>
      <c r="L158" s="111">
        <v>-14503.13</v>
      </c>
      <c r="M158" s="111">
        <v>-15536.54</v>
      </c>
      <c r="N158" s="111">
        <v>-370665.95</v>
      </c>
    </row>
    <row r="159" spans="1:14">
      <c r="A159" s="64" t="s">
        <v>116</v>
      </c>
      <c r="B159" s="107">
        <f t="shared" ref="B159:M159" si="41">SUM(B149:B158)</f>
        <v>6900.8600000000042</v>
      </c>
      <c r="C159" s="107">
        <f t="shared" si="41"/>
        <v>904.67000000000189</v>
      </c>
      <c r="D159" s="107">
        <f t="shared" si="41"/>
        <v>24818.580000000009</v>
      </c>
      <c r="E159" s="107">
        <f t="shared" si="41"/>
        <v>15074.129999999997</v>
      </c>
      <c r="F159" s="107">
        <f t="shared" si="41"/>
        <v>9015.68</v>
      </c>
      <c r="G159" s="107">
        <f t="shared" si="41"/>
        <v>3295.2800000000061</v>
      </c>
      <c r="H159" s="107">
        <f t="shared" si="41"/>
        <v>7010.9500000000044</v>
      </c>
      <c r="I159" s="107">
        <f t="shared" si="41"/>
        <v>18000.169999999998</v>
      </c>
      <c r="J159" s="107">
        <f t="shared" si="41"/>
        <v>-1628.75</v>
      </c>
      <c r="K159" s="107">
        <f t="shared" si="41"/>
        <v>-628.96999999999753</v>
      </c>
      <c r="L159" s="107">
        <f t="shared" si="41"/>
        <v>1957.1400000000012</v>
      </c>
      <c r="M159" s="107">
        <f t="shared" si="41"/>
        <v>-3748.0700000000015</v>
      </c>
      <c r="N159" s="107">
        <v>80971.67</v>
      </c>
    </row>
    <row r="160" spans="1:14">
      <c r="A160" s="64"/>
      <c r="B160" s="22"/>
      <c r="C160" s="22"/>
      <c r="D160" s="22"/>
      <c r="E160" s="22"/>
      <c r="F160" s="22"/>
      <c r="G160" s="22"/>
      <c r="H160" s="22"/>
      <c r="I160" s="22"/>
      <c r="J160" s="22"/>
      <c r="K160" s="22"/>
      <c r="L160" s="22"/>
      <c r="M160" s="22"/>
      <c r="N160" s="22"/>
    </row>
    <row r="161" spans="1:14">
      <c r="A161" s="64" t="s">
        <v>117</v>
      </c>
      <c r="B161" s="22"/>
      <c r="C161" s="22"/>
      <c r="D161" s="22"/>
      <c r="E161" s="22"/>
      <c r="F161" s="22"/>
      <c r="G161" s="22"/>
      <c r="H161" s="22"/>
      <c r="I161" s="22"/>
      <c r="J161" s="22"/>
      <c r="K161" s="22"/>
      <c r="L161" s="22"/>
      <c r="M161" s="22"/>
      <c r="N161" s="22"/>
    </row>
    <row r="162" spans="1:14">
      <c r="A162" s="64" t="s">
        <v>282</v>
      </c>
      <c r="B162" s="113"/>
      <c r="C162" s="113"/>
      <c r="D162" s="113"/>
      <c r="E162" s="113"/>
      <c r="F162" s="113"/>
      <c r="G162" s="113"/>
      <c r="H162" s="113"/>
      <c r="I162" s="113"/>
      <c r="J162" s="113"/>
      <c r="K162" s="113"/>
      <c r="L162" s="113"/>
      <c r="M162" s="113"/>
      <c r="N162" s="113"/>
    </row>
    <row r="163" spans="1:14">
      <c r="A163" s="64"/>
      <c r="B163" s="22"/>
      <c r="C163" s="22"/>
      <c r="D163" s="22"/>
      <c r="E163" s="22"/>
      <c r="F163" s="22"/>
      <c r="G163" s="22"/>
      <c r="H163" s="22"/>
      <c r="I163" s="22"/>
      <c r="J163" s="22"/>
      <c r="K163" s="22"/>
      <c r="L163" s="22"/>
      <c r="M163" s="22"/>
      <c r="N163" s="22"/>
    </row>
    <row r="164" spans="1:14">
      <c r="A164" s="64" t="s">
        <v>47</v>
      </c>
      <c r="B164" s="107">
        <f t="shared" ref="B164:M164" si="42">SUM(B118:B163)-0-0-B138-B145-0-B159-0</f>
        <v>24685.889999999996</v>
      </c>
      <c r="C164" s="107">
        <f t="shared" si="42"/>
        <v>25885.22</v>
      </c>
      <c r="D164" s="107">
        <f t="shared" si="42"/>
        <v>35109.280000000021</v>
      </c>
      <c r="E164" s="107">
        <f t="shared" si="42"/>
        <v>33520.910000000011</v>
      </c>
      <c r="F164" s="107">
        <f t="shared" si="42"/>
        <v>27889.049999999996</v>
      </c>
      <c r="G164" s="107">
        <f t="shared" si="42"/>
        <v>6950.8900000000031</v>
      </c>
      <c r="H164" s="107">
        <f t="shared" si="42"/>
        <v>15767.089999999989</v>
      </c>
      <c r="I164" s="107">
        <f t="shared" si="42"/>
        <v>15902.819999999992</v>
      </c>
      <c r="J164" s="107">
        <f t="shared" si="42"/>
        <v>2037.4799999999959</v>
      </c>
      <c r="K164" s="107">
        <f t="shared" si="42"/>
        <v>2209.7300000000005</v>
      </c>
      <c r="L164" s="107">
        <f t="shared" si="42"/>
        <v>9947.4700000000012</v>
      </c>
      <c r="M164" s="107">
        <f t="shared" si="42"/>
        <v>-45.210000000001855</v>
      </c>
      <c r="N164" s="107">
        <v>199860.62</v>
      </c>
    </row>
    <row r="165" spans="1:14">
      <c r="A165" s="64"/>
      <c r="B165" s="22"/>
      <c r="C165" s="22"/>
      <c r="D165" s="22"/>
      <c r="E165" s="22"/>
      <c r="F165" s="22"/>
      <c r="G165" s="22"/>
      <c r="H165" s="22"/>
      <c r="I165" s="22"/>
      <c r="J165" s="22"/>
      <c r="K165" s="22"/>
      <c r="L165" s="22"/>
      <c r="M165" s="22"/>
      <c r="N165" s="22"/>
    </row>
    <row r="166" spans="1:14">
      <c r="A166" s="64" t="s">
        <v>48</v>
      </c>
      <c r="B166" s="22"/>
      <c r="C166" s="22"/>
      <c r="D166" s="22"/>
      <c r="E166" s="22"/>
      <c r="F166" s="22"/>
      <c r="G166" s="22"/>
      <c r="H166" s="22"/>
      <c r="I166" s="22"/>
      <c r="J166" s="22"/>
      <c r="K166" s="22"/>
      <c r="L166" s="22"/>
      <c r="M166" s="22"/>
      <c r="N166" s="22"/>
    </row>
    <row r="167" spans="1:14">
      <c r="A167" s="64" t="s">
        <v>132</v>
      </c>
      <c r="B167" s="22"/>
      <c r="C167" s="107">
        <v>160.43</v>
      </c>
      <c r="D167" s="107">
        <v>332.83</v>
      </c>
      <c r="E167" s="107">
        <v>77.569999999999993</v>
      </c>
      <c r="F167" s="107">
        <v>636.52</v>
      </c>
      <c r="G167" s="107">
        <v>327.55</v>
      </c>
      <c r="H167" s="107">
        <v>152.81</v>
      </c>
      <c r="I167" s="107">
        <v>924.44</v>
      </c>
      <c r="J167" s="22"/>
      <c r="K167" s="22"/>
      <c r="L167" s="107">
        <v>4267.24</v>
      </c>
      <c r="M167" s="107">
        <v>1807.05</v>
      </c>
      <c r="N167" s="107">
        <v>8686.44</v>
      </c>
    </row>
    <row r="168" spans="1:14">
      <c r="A168" s="64" t="s">
        <v>360</v>
      </c>
      <c r="B168" s="107">
        <v>3000</v>
      </c>
      <c r="C168" s="107">
        <v>46190</v>
      </c>
      <c r="D168" s="107">
        <v>1360</v>
      </c>
      <c r="E168" s="107">
        <v>1200</v>
      </c>
      <c r="F168" s="107">
        <v>1300</v>
      </c>
      <c r="G168" s="107">
        <v>18230</v>
      </c>
      <c r="H168" s="107">
        <v>2000</v>
      </c>
      <c r="I168" s="107">
        <v>1200</v>
      </c>
      <c r="J168" s="107">
        <v>1800</v>
      </c>
      <c r="K168" s="107">
        <v>824</v>
      </c>
      <c r="L168" s="22"/>
      <c r="M168" s="107">
        <v>75000</v>
      </c>
      <c r="N168" s="107">
        <v>152104</v>
      </c>
    </row>
    <row r="169" spans="1:14">
      <c r="A169" s="64" t="s">
        <v>134</v>
      </c>
      <c r="B169" s="113"/>
      <c r="C169" s="113"/>
      <c r="D169" s="113"/>
      <c r="E169" s="113"/>
      <c r="F169" s="113"/>
      <c r="G169" s="113"/>
      <c r="H169" s="113"/>
      <c r="I169" s="111">
        <v>2.1800000000000002</v>
      </c>
      <c r="J169" s="113"/>
      <c r="K169" s="113"/>
      <c r="L169" s="113"/>
      <c r="M169" s="113"/>
      <c r="N169" s="111">
        <v>2.1800000000000002</v>
      </c>
    </row>
    <row r="170" spans="1:14">
      <c r="A170" s="64" t="s">
        <v>135</v>
      </c>
      <c r="B170" s="107">
        <f t="shared" ref="B170:M170" si="43">SUM(B165:B169)</f>
        <v>3000</v>
      </c>
      <c r="C170" s="107">
        <f t="shared" si="43"/>
        <v>46350.43</v>
      </c>
      <c r="D170" s="107">
        <f t="shared" si="43"/>
        <v>1692.83</v>
      </c>
      <c r="E170" s="107">
        <f t="shared" si="43"/>
        <v>1277.57</v>
      </c>
      <c r="F170" s="107">
        <f t="shared" si="43"/>
        <v>1936.52</v>
      </c>
      <c r="G170" s="107">
        <f t="shared" si="43"/>
        <v>18557.55</v>
      </c>
      <c r="H170" s="107">
        <f t="shared" si="43"/>
        <v>2152.81</v>
      </c>
      <c r="I170" s="107">
        <f t="shared" si="43"/>
        <v>2126.62</v>
      </c>
      <c r="J170" s="107">
        <f t="shared" si="43"/>
        <v>1800</v>
      </c>
      <c r="K170" s="107">
        <f t="shared" si="43"/>
        <v>824</v>
      </c>
      <c r="L170" s="107">
        <f t="shared" si="43"/>
        <v>4267.24</v>
      </c>
      <c r="M170" s="107">
        <f t="shared" si="43"/>
        <v>76807.05</v>
      </c>
      <c r="N170" s="107">
        <v>160792.62</v>
      </c>
    </row>
    <row r="171" spans="1:14">
      <c r="A171" s="64"/>
      <c r="B171" s="22"/>
      <c r="C171" s="22"/>
      <c r="D171" s="22"/>
      <c r="E171" s="22"/>
      <c r="F171" s="22"/>
      <c r="G171" s="22"/>
      <c r="H171" s="22"/>
      <c r="I171" s="22"/>
      <c r="J171" s="22"/>
      <c r="K171" s="22"/>
      <c r="L171" s="22"/>
      <c r="M171" s="22"/>
      <c r="N171" s="22"/>
    </row>
    <row r="172" spans="1:14" ht="15.75" thickBot="1">
      <c r="A172" s="64" t="s">
        <v>13</v>
      </c>
      <c r="B172" s="112">
        <f t="shared" ref="B172:M172" si="44">SUM(B66:B171)-B68-B72-B76-B79-B83-B87-B89-B95-B99-B103-B106-B110-B114-B116-0-0-B138-B145-0-B159-0-B164-B170</f>
        <v>309800.71000000008</v>
      </c>
      <c r="C172" s="112">
        <f t="shared" si="44"/>
        <v>352688.66000000021</v>
      </c>
      <c r="D172" s="112">
        <f t="shared" si="44"/>
        <v>379113.58999999985</v>
      </c>
      <c r="E172" s="112">
        <f t="shared" si="44"/>
        <v>358368.63999999996</v>
      </c>
      <c r="F172" s="112">
        <f t="shared" si="44"/>
        <v>299186.07000000007</v>
      </c>
      <c r="G172" s="112">
        <f t="shared" si="44"/>
        <v>375375.45000000036</v>
      </c>
      <c r="H172" s="112">
        <f t="shared" si="44"/>
        <v>363773.73999999964</v>
      </c>
      <c r="I172" s="112">
        <f t="shared" si="44"/>
        <v>376954.03999999928</v>
      </c>
      <c r="J172" s="112">
        <f t="shared" si="44"/>
        <v>333752.19</v>
      </c>
      <c r="K172" s="112">
        <f t="shared" si="44"/>
        <v>353795.98999999993</v>
      </c>
      <c r="L172" s="112">
        <f t="shared" si="44"/>
        <v>336004.29000000004</v>
      </c>
      <c r="M172" s="112">
        <f t="shared" si="44"/>
        <v>468084.00000000006</v>
      </c>
      <c r="N172" s="112">
        <v>4306897.37</v>
      </c>
    </row>
    <row r="173" spans="1:14" ht="15.75" thickTop="1">
      <c r="A173" s="64"/>
      <c r="B173" s="22"/>
      <c r="C173" s="22"/>
      <c r="D173" s="22"/>
      <c r="E173" s="22"/>
      <c r="F173" s="22"/>
      <c r="G173" s="22"/>
      <c r="H173" s="22"/>
      <c r="I173" s="22"/>
      <c r="J173" s="22"/>
      <c r="K173" s="22"/>
      <c r="L173" s="22"/>
      <c r="M173" s="22"/>
      <c r="N173" s="22"/>
    </row>
    <row r="174" spans="1:14">
      <c r="A174" s="64"/>
      <c r="B174" s="22"/>
      <c r="C174" s="22"/>
      <c r="D174" s="22"/>
      <c r="E174" s="22"/>
      <c r="F174" s="22"/>
      <c r="G174" s="22"/>
      <c r="H174" s="22"/>
      <c r="I174" s="22"/>
      <c r="J174" s="22"/>
      <c r="K174" s="22"/>
      <c r="L174" s="22"/>
      <c r="M174" s="22"/>
      <c r="N174" s="22"/>
    </row>
    <row r="175" spans="1:14">
      <c r="A175" s="64" t="s">
        <v>14</v>
      </c>
      <c r="B175" s="22"/>
      <c r="C175" s="22"/>
      <c r="D175" s="22"/>
      <c r="E175" s="22"/>
      <c r="F175" s="22"/>
      <c r="G175" s="22"/>
      <c r="H175" s="22"/>
      <c r="I175" s="22"/>
      <c r="J175" s="22"/>
      <c r="K175" s="22"/>
      <c r="L175" s="22"/>
      <c r="M175" s="22"/>
      <c r="N175" s="22"/>
    </row>
    <row r="176" spans="1:14">
      <c r="A176" s="64"/>
      <c r="B176" s="22"/>
      <c r="C176" s="22"/>
      <c r="D176" s="22"/>
      <c r="E176" s="22"/>
      <c r="F176" s="22"/>
      <c r="G176" s="22"/>
      <c r="H176" s="22"/>
      <c r="I176" s="22"/>
      <c r="J176" s="22"/>
      <c r="K176" s="22"/>
      <c r="L176" s="22"/>
      <c r="M176" s="22"/>
      <c r="N176" s="22"/>
    </row>
    <row r="177" spans="1:14">
      <c r="A177" s="64" t="s">
        <v>136</v>
      </c>
      <c r="B177" s="22"/>
      <c r="C177" s="22"/>
      <c r="D177" s="22"/>
      <c r="E177" s="22"/>
      <c r="F177" s="22"/>
      <c r="G177" s="22"/>
      <c r="H177" s="22"/>
      <c r="I177" s="22"/>
      <c r="J177" s="22"/>
      <c r="K177" s="22"/>
      <c r="L177" s="22"/>
      <c r="M177" s="22"/>
      <c r="N177" s="22"/>
    </row>
    <row r="178" spans="1:14">
      <c r="A178" s="64" t="s">
        <v>137</v>
      </c>
      <c r="B178" s="107">
        <v>8364.9699999999993</v>
      </c>
      <c r="C178" s="107">
        <v>8853.14</v>
      </c>
      <c r="D178" s="107">
        <v>7385.97</v>
      </c>
      <c r="E178" s="107">
        <v>7500</v>
      </c>
      <c r="F178" s="107">
        <v>7750</v>
      </c>
      <c r="G178" s="107">
        <v>8133.51</v>
      </c>
      <c r="H178" s="107">
        <v>7929.37</v>
      </c>
      <c r="I178" s="107">
        <v>8074.86</v>
      </c>
      <c r="J178" s="107">
        <v>7357.94</v>
      </c>
      <c r="K178" s="107">
        <v>8303.9599999999991</v>
      </c>
      <c r="L178" s="107">
        <v>7725.84</v>
      </c>
      <c r="M178" s="107">
        <v>8671.85</v>
      </c>
      <c r="N178" s="107">
        <v>96051.41</v>
      </c>
    </row>
    <row r="179" spans="1:14">
      <c r="A179" s="64" t="s">
        <v>138</v>
      </c>
      <c r="B179" s="107">
        <v>9730.2000000000007</v>
      </c>
      <c r="C179" s="107">
        <v>11357.26</v>
      </c>
      <c r="D179" s="107">
        <v>5567.17</v>
      </c>
      <c r="E179" s="107">
        <v>9304.2000000000007</v>
      </c>
      <c r="F179" s="107">
        <v>16641.32</v>
      </c>
      <c r="G179" s="107">
        <v>10318.040000000001</v>
      </c>
      <c r="H179" s="107">
        <v>8721.44</v>
      </c>
      <c r="I179" s="107">
        <v>6962.68</v>
      </c>
      <c r="J179" s="107">
        <v>4043.13</v>
      </c>
      <c r="K179" s="107">
        <v>8259.1</v>
      </c>
      <c r="L179" s="107">
        <v>3497.77</v>
      </c>
      <c r="M179" s="107">
        <v>8842.51</v>
      </c>
      <c r="N179" s="107">
        <v>103244.82</v>
      </c>
    </row>
    <row r="180" spans="1:14">
      <c r="A180" s="64" t="s">
        <v>139</v>
      </c>
      <c r="B180" s="107">
        <v>34718.449999999997</v>
      </c>
      <c r="C180" s="107">
        <v>33915.99</v>
      </c>
      <c r="D180" s="107">
        <v>42328.06</v>
      </c>
      <c r="E180" s="107">
        <v>42717.09</v>
      </c>
      <c r="F180" s="107">
        <v>41744.67</v>
      </c>
      <c r="G180" s="107">
        <v>29529.49</v>
      </c>
      <c r="H180" s="107">
        <v>35680.239999999998</v>
      </c>
      <c r="I180" s="107">
        <v>46618.61</v>
      </c>
      <c r="J180" s="107">
        <v>43403.49</v>
      </c>
      <c r="K180" s="107">
        <v>45492.85</v>
      </c>
      <c r="L180" s="107">
        <v>44638.65</v>
      </c>
      <c r="M180" s="107">
        <v>43667.19</v>
      </c>
      <c r="N180" s="107">
        <v>484454.78</v>
      </c>
    </row>
    <row r="181" spans="1:14">
      <c r="A181" s="64" t="s">
        <v>141</v>
      </c>
      <c r="B181" s="107">
        <v>4753.8</v>
      </c>
      <c r="C181" s="107">
        <v>8027.87</v>
      </c>
      <c r="D181" s="107">
        <v>7284.47</v>
      </c>
      <c r="E181" s="107">
        <v>8335.52</v>
      </c>
      <c r="F181" s="107">
        <v>6571.41</v>
      </c>
      <c r="G181" s="107">
        <v>4146.3100000000004</v>
      </c>
      <c r="H181" s="107">
        <v>2083.63</v>
      </c>
      <c r="I181" s="107">
        <v>4684.8100000000004</v>
      </c>
      <c r="J181" s="107">
        <v>4403.79</v>
      </c>
      <c r="K181" s="107">
        <v>6912.85</v>
      </c>
      <c r="L181" s="107">
        <v>8086.55</v>
      </c>
      <c r="M181" s="107">
        <v>13847.65</v>
      </c>
      <c r="N181" s="107">
        <v>79138.66</v>
      </c>
    </row>
    <row r="182" spans="1:14">
      <c r="A182" s="64" t="s">
        <v>143</v>
      </c>
      <c r="B182" s="107">
        <v>29276.69</v>
      </c>
      <c r="C182" s="107">
        <v>19577.97</v>
      </c>
      <c r="D182" s="107">
        <v>28263.49</v>
      </c>
      <c r="E182" s="107">
        <v>31071.98</v>
      </c>
      <c r="F182" s="107">
        <v>36871.07</v>
      </c>
      <c r="G182" s="107">
        <v>35541.9</v>
      </c>
      <c r="H182" s="107">
        <v>39840.79</v>
      </c>
      <c r="I182" s="107">
        <v>51228.67</v>
      </c>
      <c r="J182" s="107">
        <v>55877.17</v>
      </c>
      <c r="K182" s="107">
        <v>52878.62</v>
      </c>
      <c r="L182" s="107">
        <v>32346.49</v>
      </c>
      <c r="M182" s="107">
        <v>36978.720000000001</v>
      </c>
      <c r="N182" s="107">
        <v>449753.56</v>
      </c>
    </row>
    <row r="183" spans="1:14">
      <c r="A183" s="64" t="s">
        <v>144</v>
      </c>
      <c r="B183" s="107">
        <v>3427.61</v>
      </c>
      <c r="C183" s="107">
        <v>4839.3100000000004</v>
      </c>
      <c r="D183" s="107">
        <v>4076.43</v>
      </c>
      <c r="E183" s="107">
        <v>4198.88</v>
      </c>
      <c r="F183" s="107">
        <v>-524.46</v>
      </c>
      <c r="G183" s="22"/>
      <c r="H183" s="22"/>
      <c r="I183" s="22"/>
      <c r="J183" s="22"/>
      <c r="K183" s="107">
        <v>381.38</v>
      </c>
      <c r="L183" s="107">
        <v>-145.13</v>
      </c>
      <c r="M183" s="22"/>
      <c r="N183" s="107">
        <v>16254.02</v>
      </c>
    </row>
    <row r="184" spans="1:14">
      <c r="A184" s="64" t="s">
        <v>324</v>
      </c>
      <c r="B184" s="22"/>
      <c r="C184" s="22"/>
      <c r="D184" s="22"/>
      <c r="E184" s="22"/>
      <c r="F184" s="22"/>
      <c r="G184" s="22"/>
      <c r="H184" s="107">
        <v>2434.61</v>
      </c>
      <c r="I184" s="107">
        <v>2620.0500000000002</v>
      </c>
      <c r="J184" s="107">
        <v>2665.24</v>
      </c>
      <c r="K184" s="107">
        <v>2942.47</v>
      </c>
      <c r="L184" s="107">
        <v>2652.17</v>
      </c>
      <c r="M184" s="107">
        <v>1845.84</v>
      </c>
      <c r="N184" s="107">
        <v>15160.38</v>
      </c>
    </row>
    <row r="185" spans="1:14">
      <c r="A185" s="64" t="s">
        <v>145</v>
      </c>
      <c r="B185" s="107">
        <v>3806.38</v>
      </c>
      <c r="C185" s="107">
        <v>5800.91</v>
      </c>
      <c r="D185" s="107">
        <v>3044.7</v>
      </c>
      <c r="E185" s="107">
        <v>4318.6499999999996</v>
      </c>
      <c r="F185" s="107">
        <v>2853.26</v>
      </c>
      <c r="G185" s="107">
        <v>2148.94</v>
      </c>
      <c r="H185" s="107">
        <v>2000.89</v>
      </c>
      <c r="I185" s="107">
        <v>3278.43</v>
      </c>
      <c r="J185" s="107">
        <v>2545.4499999999998</v>
      </c>
      <c r="K185" s="107">
        <v>3547.6</v>
      </c>
      <c r="L185" s="107">
        <v>3738</v>
      </c>
      <c r="M185" s="107">
        <v>5202.68</v>
      </c>
      <c r="N185" s="107">
        <v>42285.89</v>
      </c>
    </row>
    <row r="186" spans="1:14">
      <c r="A186" s="64" t="s">
        <v>148</v>
      </c>
      <c r="B186" s="22"/>
      <c r="C186" s="22"/>
      <c r="D186" s="22"/>
      <c r="E186" s="22"/>
      <c r="F186" s="22"/>
      <c r="G186" s="22"/>
      <c r="H186" s="22"/>
      <c r="I186" s="22"/>
      <c r="J186" s="22"/>
      <c r="K186" s="22"/>
      <c r="L186" s="107">
        <v>4431.43</v>
      </c>
      <c r="M186" s="107">
        <v>2037.5</v>
      </c>
      <c r="N186" s="107">
        <v>6468.93</v>
      </c>
    </row>
    <row r="187" spans="1:14">
      <c r="A187" s="64" t="s">
        <v>149</v>
      </c>
      <c r="B187" s="107">
        <v>1776.29</v>
      </c>
      <c r="C187" s="107">
        <v>1831.21</v>
      </c>
      <c r="D187" s="107">
        <v>1703.71</v>
      </c>
      <c r="E187" s="107">
        <v>1803.15</v>
      </c>
      <c r="F187" s="107">
        <v>1356.93</v>
      </c>
      <c r="G187" s="107">
        <v>1533.89</v>
      </c>
      <c r="H187" s="107">
        <v>1185.3599999999999</v>
      </c>
      <c r="I187" s="107">
        <v>1195.82</v>
      </c>
      <c r="J187" s="107">
        <v>1144.69</v>
      </c>
      <c r="K187" s="107">
        <v>1576.88</v>
      </c>
      <c r="L187" s="107">
        <v>924.21</v>
      </c>
      <c r="M187" s="107">
        <v>1853.52</v>
      </c>
      <c r="N187" s="107">
        <v>17885.66</v>
      </c>
    </row>
    <row r="188" spans="1:14">
      <c r="A188" s="64" t="s">
        <v>150</v>
      </c>
      <c r="B188" s="107">
        <v>1447.15</v>
      </c>
      <c r="C188" s="107">
        <v>1064.02</v>
      </c>
      <c r="D188" s="107">
        <v>2225.3200000000002</v>
      </c>
      <c r="E188" s="107">
        <v>1383.43</v>
      </c>
      <c r="F188" s="107">
        <v>1428.57</v>
      </c>
      <c r="G188" s="107">
        <v>4382.58</v>
      </c>
      <c r="H188" s="107">
        <v>1050.51</v>
      </c>
      <c r="I188" s="107">
        <v>1220.3900000000001</v>
      </c>
      <c r="J188" s="107">
        <v>1259.3499999999999</v>
      </c>
      <c r="K188" s="107">
        <v>2642.43</v>
      </c>
      <c r="L188" s="107">
        <v>4556.28</v>
      </c>
      <c r="M188" s="107">
        <v>5801.36</v>
      </c>
      <c r="N188" s="107">
        <v>28461.39</v>
      </c>
    </row>
    <row r="189" spans="1:14">
      <c r="A189" s="64" t="s">
        <v>283</v>
      </c>
      <c r="B189" s="107">
        <v>3933.02</v>
      </c>
      <c r="C189" s="107">
        <v>2728.4</v>
      </c>
      <c r="D189" s="107">
        <v>520.71</v>
      </c>
      <c r="E189" s="107">
        <v>330</v>
      </c>
      <c r="F189" s="22"/>
      <c r="G189" s="22"/>
      <c r="H189" s="22"/>
      <c r="I189" s="22"/>
      <c r="J189" s="22"/>
      <c r="K189" s="22"/>
      <c r="L189" s="107">
        <v>5570.14</v>
      </c>
      <c r="M189" s="107">
        <v>8466.2000000000007</v>
      </c>
      <c r="N189" s="107">
        <v>21548.47</v>
      </c>
    </row>
    <row r="190" spans="1:14">
      <c r="A190" s="64" t="s">
        <v>153</v>
      </c>
      <c r="B190" s="107">
        <v>3476.66</v>
      </c>
      <c r="C190" s="107">
        <v>3414.24</v>
      </c>
      <c r="D190" s="107">
        <v>3221.4</v>
      </c>
      <c r="E190" s="107">
        <v>3492.6</v>
      </c>
      <c r="F190" s="107">
        <v>3096.52</v>
      </c>
      <c r="G190" s="107">
        <v>3689.08</v>
      </c>
      <c r="H190" s="107">
        <v>3678.33</v>
      </c>
      <c r="I190" s="107">
        <v>3970.85</v>
      </c>
      <c r="J190" s="107">
        <v>3163.05</v>
      </c>
      <c r="K190" s="107">
        <v>2946.69</v>
      </c>
      <c r="L190" s="107">
        <v>3746.26</v>
      </c>
      <c r="M190" s="107">
        <v>2752.86</v>
      </c>
      <c r="N190" s="107">
        <v>40648.54</v>
      </c>
    </row>
    <row r="191" spans="1:14">
      <c r="A191" s="64" t="s">
        <v>154</v>
      </c>
      <c r="B191" s="107">
        <v>7664.84</v>
      </c>
      <c r="C191" s="107">
        <v>7417.58</v>
      </c>
      <c r="D191" s="107">
        <v>7664.84</v>
      </c>
      <c r="E191" s="107">
        <v>7417.59</v>
      </c>
      <c r="F191" s="107">
        <v>7664.84</v>
      </c>
      <c r="G191" s="107">
        <v>8267.24</v>
      </c>
      <c r="H191" s="107">
        <v>7485.32</v>
      </c>
      <c r="I191" s="107">
        <v>5784.14</v>
      </c>
      <c r="J191" s="107">
        <v>5769.3</v>
      </c>
      <c r="K191" s="107">
        <v>6511.06</v>
      </c>
      <c r="L191" s="107">
        <v>6057.77</v>
      </c>
      <c r="M191" s="107">
        <v>7197.87</v>
      </c>
      <c r="N191" s="107">
        <v>84902.39</v>
      </c>
    </row>
    <row r="192" spans="1:14">
      <c r="A192" s="64" t="s">
        <v>155</v>
      </c>
      <c r="B192" s="111">
        <v>8246.9599999999991</v>
      </c>
      <c r="C192" s="111">
        <v>8663.67</v>
      </c>
      <c r="D192" s="111">
        <v>8278.75</v>
      </c>
      <c r="E192" s="111">
        <v>8691.44</v>
      </c>
      <c r="F192" s="111">
        <v>8786.2900000000009</v>
      </c>
      <c r="G192" s="111">
        <v>7444.46</v>
      </c>
      <c r="H192" s="111">
        <v>8096.15</v>
      </c>
      <c r="I192" s="111">
        <v>10029.15</v>
      </c>
      <c r="J192" s="111">
        <v>9577.0499999999993</v>
      </c>
      <c r="K192" s="111">
        <v>11389.47</v>
      </c>
      <c r="L192" s="111">
        <v>10825.3</v>
      </c>
      <c r="M192" s="111">
        <v>12319.32</v>
      </c>
      <c r="N192" s="111">
        <v>112348.01</v>
      </c>
    </row>
    <row r="193" spans="1:14">
      <c r="A193" s="64" t="s">
        <v>156</v>
      </c>
      <c r="B193" s="107">
        <f t="shared" ref="B193:M193" si="45">SUM(B173:B192)</f>
        <v>120623.01999999999</v>
      </c>
      <c r="C193" s="107">
        <f t="shared" si="45"/>
        <v>117491.57000000002</v>
      </c>
      <c r="D193" s="107">
        <f t="shared" si="45"/>
        <v>121565.02</v>
      </c>
      <c r="E193" s="107">
        <f t="shared" si="45"/>
        <v>130564.52999999998</v>
      </c>
      <c r="F193" s="107">
        <f t="shared" si="45"/>
        <v>134240.41999999998</v>
      </c>
      <c r="G193" s="107">
        <f t="shared" si="45"/>
        <v>115135.44000000002</v>
      </c>
      <c r="H193" s="107">
        <f t="shared" si="45"/>
        <v>120186.63999999998</v>
      </c>
      <c r="I193" s="107">
        <f t="shared" si="45"/>
        <v>145668.46000000002</v>
      </c>
      <c r="J193" s="107">
        <f t="shared" si="45"/>
        <v>141209.65</v>
      </c>
      <c r="K193" s="107">
        <f t="shared" si="45"/>
        <v>153785.36000000002</v>
      </c>
      <c r="L193" s="107">
        <f t="shared" si="45"/>
        <v>138651.72999999998</v>
      </c>
      <c r="M193" s="107">
        <f t="shared" si="45"/>
        <v>159485.07</v>
      </c>
      <c r="N193" s="107">
        <v>1598606.91</v>
      </c>
    </row>
    <row r="194" spans="1:14">
      <c r="A194" s="64"/>
      <c r="B194" s="22"/>
      <c r="C194" s="22"/>
      <c r="D194" s="22"/>
      <c r="E194" s="22"/>
      <c r="F194" s="22"/>
      <c r="G194" s="22"/>
      <c r="H194" s="22"/>
      <c r="I194" s="22"/>
      <c r="J194" s="22"/>
      <c r="K194" s="22"/>
      <c r="L194" s="22"/>
      <c r="M194" s="22"/>
      <c r="N194" s="22"/>
    </row>
    <row r="195" spans="1:14">
      <c r="A195" s="64"/>
      <c r="B195" s="22"/>
      <c r="C195" s="22"/>
      <c r="D195" s="22"/>
      <c r="E195" s="22"/>
      <c r="F195" s="22"/>
      <c r="G195" s="22"/>
      <c r="H195" s="22"/>
      <c r="I195" s="22"/>
      <c r="J195" s="22"/>
      <c r="K195" s="22"/>
      <c r="L195" s="22"/>
      <c r="M195" s="22"/>
      <c r="N195" s="22"/>
    </row>
    <row r="196" spans="1:14">
      <c r="A196" s="64" t="s">
        <v>157</v>
      </c>
      <c r="B196" s="22"/>
      <c r="C196" s="22"/>
      <c r="D196" s="22"/>
      <c r="E196" s="22"/>
      <c r="F196" s="22"/>
      <c r="G196" s="22"/>
      <c r="H196" s="22"/>
      <c r="I196" s="22"/>
      <c r="J196" s="22"/>
      <c r="K196" s="22"/>
      <c r="L196" s="22"/>
      <c r="M196" s="22"/>
      <c r="N196" s="22"/>
    </row>
    <row r="197" spans="1:14">
      <c r="A197" s="64" t="s">
        <v>158</v>
      </c>
      <c r="B197" s="107">
        <v>6077.5</v>
      </c>
      <c r="C197" s="107">
        <v>6413.5</v>
      </c>
      <c r="D197" s="107">
        <v>1755</v>
      </c>
      <c r="E197" s="22"/>
      <c r="F197" s="107">
        <v>-15146</v>
      </c>
      <c r="G197" s="107"/>
      <c r="H197" s="22"/>
      <c r="I197" s="22"/>
      <c r="J197" s="22"/>
      <c r="K197" s="22"/>
      <c r="L197" s="22"/>
      <c r="M197" s="22"/>
      <c r="N197" s="107">
        <v>-900</v>
      </c>
    </row>
    <row r="198" spans="1:14">
      <c r="A198" s="64" t="s">
        <v>159</v>
      </c>
      <c r="B198" s="107">
        <v>13756.75</v>
      </c>
      <c r="C198" s="107">
        <v>5875.9</v>
      </c>
      <c r="D198" s="22"/>
      <c r="E198" s="22"/>
      <c r="F198" s="107">
        <v>-26608.65</v>
      </c>
      <c r="G198" s="107"/>
      <c r="H198" s="22"/>
      <c r="I198" s="22"/>
      <c r="J198" s="22"/>
      <c r="K198" s="22"/>
      <c r="L198" s="22"/>
      <c r="M198" s="22"/>
      <c r="N198" s="107">
        <v>-6976</v>
      </c>
    </row>
    <row r="199" spans="1:14">
      <c r="A199" s="64" t="s">
        <v>160</v>
      </c>
      <c r="B199" s="107">
        <v>440</v>
      </c>
      <c r="C199" s="22"/>
      <c r="D199" s="22"/>
      <c r="E199" s="22"/>
      <c r="F199" s="107">
        <v>-1556.15</v>
      </c>
      <c r="G199" s="107"/>
      <c r="H199" s="22"/>
      <c r="I199" s="22"/>
      <c r="J199" s="22"/>
      <c r="K199" s="22"/>
      <c r="L199" s="22"/>
      <c r="M199" s="22"/>
      <c r="N199" s="107">
        <v>-1116.1500000000001</v>
      </c>
    </row>
    <row r="200" spans="1:14">
      <c r="A200" s="64" t="s">
        <v>161</v>
      </c>
      <c r="B200" s="111">
        <v>4802.5</v>
      </c>
      <c r="C200" s="111">
        <v>12190.14</v>
      </c>
      <c r="D200" s="111">
        <v>3306.51</v>
      </c>
      <c r="E200" s="111">
        <v>5790.52</v>
      </c>
      <c r="F200" s="111">
        <v>-47059.62</v>
      </c>
      <c r="G200" s="111"/>
      <c r="H200" s="113"/>
      <c r="I200" s="113"/>
      <c r="J200" s="113"/>
      <c r="K200" s="113"/>
      <c r="L200" s="113"/>
      <c r="M200" s="113"/>
      <c r="N200" s="111">
        <v>-20969.95</v>
      </c>
    </row>
    <row r="201" spans="1:14">
      <c r="A201" s="64" t="s">
        <v>162</v>
      </c>
      <c r="B201" s="107">
        <f>SUM(B194:B200)</f>
        <v>25076.75</v>
      </c>
      <c r="C201" s="107">
        <f>SUM(C194:C200)</f>
        <v>24479.54</v>
      </c>
      <c r="D201" s="107">
        <f>SUM(D194:D200)</f>
        <v>5061.51</v>
      </c>
      <c r="E201" s="107">
        <f>SUM(E194:E200)</f>
        <v>5790.52</v>
      </c>
      <c r="F201" s="107">
        <f>SUM(F194:F200)</f>
        <v>-90370.420000000013</v>
      </c>
      <c r="G201" s="107"/>
      <c r="H201" s="107"/>
      <c r="I201" s="107"/>
      <c r="J201" s="107"/>
      <c r="K201" s="107"/>
      <c r="L201" s="107"/>
      <c r="M201" s="107"/>
      <c r="N201" s="107">
        <v>-29962.1</v>
      </c>
    </row>
    <row r="202" spans="1:14">
      <c r="A202" s="64"/>
      <c r="B202" s="22"/>
      <c r="C202" s="22"/>
      <c r="D202" s="22"/>
      <c r="E202" s="22"/>
      <c r="F202" s="22"/>
      <c r="G202" s="22"/>
      <c r="H202" s="22"/>
      <c r="I202" s="22"/>
      <c r="J202" s="22"/>
      <c r="K202" s="22"/>
      <c r="L202" s="22"/>
      <c r="M202" s="22"/>
      <c r="N202" s="22"/>
    </row>
    <row r="203" spans="1:14">
      <c r="A203" s="64" t="s">
        <v>163</v>
      </c>
      <c r="B203" s="22"/>
      <c r="C203" s="22"/>
      <c r="D203" s="22"/>
      <c r="E203" s="22"/>
      <c r="F203" s="22"/>
      <c r="G203" s="22"/>
      <c r="H203" s="22"/>
      <c r="I203" s="22"/>
      <c r="J203" s="22"/>
      <c r="K203" s="22"/>
      <c r="L203" s="22"/>
      <c r="M203" s="22"/>
      <c r="N203" s="22"/>
    </row>
    <row r="204" spans="1:14">
      <c r="A204" s="64" t="s">
        <v>164</v>
      </c>
      <c r="B204" s="107">
        <v>10173.9</v>
      </c>
      <c r="C204" s="107">
        <v>9711.14</v>
      </c>
      <c r="D204" s="107">
        <v>9702.98</v>
      </c>
      <c r="E204" s="107">
        <v>10630.54</v>
      </c>
      <c r="F204" s="107">
        <v>11249.58</v>
      </c>
      <c r="G204" s="107">
        <v>10447.469999999999</v>
      </c>
      <c r="H204" s="107">
        <v>10064.450000000001</v>
      </c>
      <c r="I204" s="107">
        <v>11396.27</v>
      </c>
      <c r="J204" s="107">
        <v>11828.41</v>
      </c>
      <c r="K204" s="107">
        <v>12984.2</v>
      </c>
      <c r="L204" s="107">
        <v>10958.81</v>
      </c>
      <c r="M204" s="107">
        <v>14241.86</v>
      </c>
      <c r="N204" s="107">
        <v>133389.60999999999</v>
      </c>
    </row>
    <row r="205" spans="1:14">
      <c r="A205" s="64" t="s">
        <v>165</v>
      </c>
      <c r="B205" s="107">
        <v>1006.03</v>
      </c>
      <c r="C205" s="107">
        <v>924.2</v>
      </c>
      <c r="D205" s="107">
        <v>1166.74</v>
      </c>
      <c r="E205" s="107">
        <v>880.59</v>
      </c>
      <c r="F205" s="107">
        <v>728.29</v>
      </c>
      <c r="G205" s="107">
        <v>2201.2199999999998</v>
      </c>
      <c r="H205" s="107">
        <v>1057.48</v>
      </c>
      <c r="I205" s="107">
        <v>1010.17</v>
      </c>
      <c r="J205" s="107">
        <v>919.9</v>
      </c>
      <c r="K205" s="107">
        <v>756.75</v>
      </c>
      <c r="L205" s="107">
        <v>487.66</v>
      </c>
      <c r="M205" s="107">
        <v>515.26</v>
      </c>
      <c r="N205" s="107">
        <v>11654.29</v>
      </c>
    </row>
    <row r="206" spans="1:14">
      <c r="A206" s="64" t="s">
        <v>166</v>
      </c>
      <c r="B206" s="107">
        <v>2235.67</v>
      </c>
      <c r="C206" s="107">
        <v>644.52</v>
      </c>
      <c r="D206" s="107">
        <v>390.17</v>
      </c>
      <c r="E206" s="107">
        <v>354.8</v>
      </c>
      <c r="F206" s="107">
        <v>671.78</v>
      </c>
      <c r="G206" s="107">
        <v>1008.17</v>
      </c>
      <c r="H206" s="107">
        <v>1256.31</v>
      </c>
      <c r="I206" s="107">
        <v>744.31</v>
      </c>
      <c r="J206" s="107">
        <v>1367.92</v>
      </c>
      <c r="K206" s="107">
        <v>1208.5899999999999</v>
      </c>
      <c r="L206" s="107">
        <v>1157.3699999999999</v>
      </c>
      <c r="M206" s="107">
        <v>508.89</v>
      </c>
      <c r="N206" s="107">
        <v>11548.5</v>
      </c>
    </row>
    <row r="207" spans="1:14">
      <c r="A207" s="64" t="s">
        <v>167</v>
      </c>
      <c r="B207" s="107">
        <v>3001.7</v>
      </c>
      <c r="C207" s="107">
        <v>1697.72</v>
      </c>
      <c r="D207" s="107">
        <v>2548.86</v>
      </c>
      <c r="E207" s="107">
        <v>-789.72</v>
      </c>
      <c r="F207" s="107">
        <v>4418.8500000000004</v>
      </c>
      <c r="G207" s="107">
        <v>-613.14</v>
      </c>
      <c r="H207" s="107">
        <v>-43.71</v>
      </c>
      <c r="I207" s="107">
        <v>1150.8599999999999</v>
      </c>
      <c r="J207" s="107">
        <v>-302.86</v>
      </c>
      <c r="K207" s="107">
        <v>72</v>
      </c>
      <c r="L207" s="22"/>
      <c r="M207" s="107">
        <v>2670.74</v>
      </c>
      <c r="N207" s="107">
        <v>13811.3</v>
      </c>
    </row>
    <row r="208" spans="1:14">
      <c r="A208" s="64" t="s">
        <v>168</v>
      </c>
      <c r="B208" s="22"/>
      <c r="C208" s="107">
        <v>2058</v>
      </c>
      <c r="D208" s="22"/>
      <c r="E208" s="107">
        <v>1944.88</v>
      </c>
      <c r="F208" s="107">
        <v>2940.97</v>
      </c>
      <c r="G208" s="107">
        <v>3244.97</v>
      </c>
      <c r="H208" s="22"/>
      <c r="I208" s="22"/>
      <c r="J208" s="22"/>
      <c r="K208" s="107">
        <v>6848.32</v>
      </c>
      <c r="L208" s="107">
        <v>-2859.15</v>
      </c>
      <c r="M208" s="107">
        <v>4296.5</v>
      </c>
      <c r="N208" s="107">
        <v>18474.490000000002</v>
      </c>
    </row>
    <row r="209" spans="1:14">
      <c r="A209" s="64" t="s">
        <v>169</v>
      </c>
      <c r="B209" s="22"/>
      <c r="C209" s="107">
        <v>760</v>
      </c>
      <c r="D209" s="107">
        <v>224</v>
      </c>
      <c r="E209" s="107">
        <v>1712</v>
      </c>
      <c r="F209" s="107">
        <v>2345.7199999999998</v>
      </c>
      <c r="G209" s="107">
        <v>-476.01</v>
      </c>
      <c r="H209" s="107">
        <v>2102.29</v>
      </c>
      <c r="I209" s="107">
        <v>360</v>
      </c>
      <c r="J209" s="22"/>
      <c r="K209" s="107">
        <v>576</v>
      </c>
      <c r="L209" s="107">
        <v>114</v>
      </c>
      <c r="M209" s="107">
        <v>2643.04</v>
      </c>
      <c r="N209" s="107">
        <v>10361.040000000001</v>
      </c>
    </row>
    <row r="210" spans="1:14">
      <c r="A210" s="64" t="s">
        <v>318</v>
      </c>
      <c r="B210" s="107">
        <v>5225</v>
      </c>
      <c r="C210" s="107">
        <v>7822.94</v>
      </c>
      <c r="D210" s="107">
        <v>1080</v>
      </c>
      <c r="E210" s="107">
        <v>10358.26</v>
      </c>
      <c r="F210" s="107">
        <v>3480</v>
      </c>
      <c r="G210" s="107">
        <v>10620</v>
      </c>
      <c r="H210" s="107">
        <v>3000</v>
      </c>
      <c r="I210" s="107">
        <v>240.12</v>
      </c>
      <c r="J210" s="107">
        <v>13410</v>
      </c>
      <c r="K210" s="107">
        <v>9250.17</v>
      </c>
      <c r="L210" s="107">
        <v>8240</v>
      </c>
      <c r="M210" s="107">
        <v>19047.7</v>
      </c>
      <c r="N210" s="107">
        <v>91774.19</v>
      </c>
    </row>
    <row r="211" spans="1:14">
      <c r="A211" s="64" t="s">
        <v>171</v>
      </c>
      <c r="B211" s="111">
        <v>12252.59</v>
      </c>
      <c r="C211" s="111">
        <v>8258.94</v>
      </c>
      <c r="D211" s="111">
        <v>2343.98</v>
      </c>
      <c r="E211" s="111">
        <v>976.95</v>
      </c>
      <c r="F211" s="111">
        <v>4097.8100000000004</v>
      </c>
      <c r="G211" s="111">
        <v>5637.74</v>
      </c>
      <c r="H211" s="111">
        <v>6738.42</v>
      </c>
      <c r="I211" s="111">
        <v>2332.86</v>
      </c>
      <c r="J211" s="111">
        <v>161.32</v>
      </c>
      <c r="K211" s="111">
        <v>522.38</v>
      </c>
      <c r="L211" s="111">
        <v>1175.6300000000001</v>
      </c>
      <c r="M211" s="111">
        <v>465.36</v>
      </c>
      <c r="N211" s="111">
        <v>44963.98</v>
      </c>
    </row>
    <row r="212" spans="1:14">
      <c r="A212" s="64" t="s">
        <v>16</v>
      </c>
      <c r="B212" s="107">
        <f t="shared" ref="B212:M212" si="46">SUM(B202:B211)</f>
        <v>33894.89</v>
      </c>
      <c r="C212" s="107">
        <f t="shared" si="46"/>
        <v>31877.46</v>
      </c>
      <c r="D212" s="107">
        <f t="shared" si="46"/>
        <v>17456.73</v>
      </c>
      <c r="E212" s="107">
        <f t="shared" si="46"/>
        <v>26068.3</v>
      </c>
      <c r="F212" s="107">
        <f t="shared" si="46"/>
        <v>29933.000000000004</v>
      </c>
      <c r="G212" s="107">
        <f t="shared" si="46"/>
        <v>32070.42</v>
      </c>
      <c r="H212" s="107">
        <f t="shared" si="46"/>
        <v>24175.239999999998</v>
      </c>
      <c r="I212" s="107">
        <f t="shared" si="46"/>
        <v>17234.59</v>
      </c>
      <c r="J212" s="107">
        <f t="shared" si="46"/>
        <v>27384.69</v>
      </c>
      <c r="K212" s="107">
        <f t="shared" si="46"/>
        <v>32218.41</v>
      </c>
      <c r="L212" s="107">
        <f t="shared" si="46"/>
        <v>19274.320000000003</v>
      </c>
      <c r="M212" s="107">
        <f t="shared" si="46"/>
        <v>44389.350000000006</v>
      </c>
      <c r="N212" s="107">
        <v>335977.4</v>
      </c>
    </row>
    <row r="213" spans="1:14">
      <c r="A213" s="64"/>
      <c r="B213" s="22"/>
      <c r="C213" s="22"/>
      <c r="D213" s="22"/>
      <c r="E213" s="22"/>
      <c r="F213" s="22"/>
      <c r="G213" s="22"/>
      <c r="H213" s="22"/>
      <c r="I213" s="22"/>
      <c r="J213" s="22"/>
      <c r="K213" s="22"/>
      <c r="L213" s="22"/>
      <c r="M213" s="22"/>
      <c r="N213" s="22"/>
    </row>
    <row r="214" spans="1:14">
      <c r="A214" s="64" t="s">
        <v>17</v>
      </c>
      <c r="B214" s="22"/>
      <c r="C214" s="22"/>
      <c r="D214" s="22"/>
      <c r="E214" s="22"/>
      <c r="F214" s="22"/>
      <c r="G214" s="22"/>
      <c r="H214" s="22"/>
      <c r="I214" s="22"/>
      <c r="J214" s="22"/>
      <c r="K214" s="22"/>
      <c r="L214" s="22"/>
      <c r="M214" s="22"/>
      <c r="N214" s="22"/>
    </row>
    <row r="215" spans="1:14">
      <c r="A215" s="64" t="s">
        <v>172</v>
      </c>
      <c r="B215" s="107">
        <v>3993.99</v>
      </c>
      <c r="C215" s="107">
        <v>6967.25</v>
      </c>
      <c r="D215" s="107">
        <v>4798.6400000000003</v>
      </c>
      <c r="E215" s="107">
        <v>5253.29</v>
      </c>
      <c r="F215" s="107">
        <v>6920.29</v>
      </c>
      <c r="G215" s="107">
        <v>13474.84</v>
      </c>
      <c r="H215" s="107">
        <v>17458.599999999999</v>
      </c>
      <c r="I215" s="107">
        <v>9300</v>
      </c>
      <c r="J215" s="107">
        <v>10516.7</v>
      </c>
      <c r="K215" s="107">
        <v>10306.040000000001</v>
      </c>
      <c r="L215" s="107">
        <v>7761.9</v>
      </c>
      <c r="M215" s="107">
        <v>9500</v>
      </c>
      <c r="N215" s="107">
        <v>106251.54</v>
      </c>
    </row>
    <row r="216" spans="1:14">
      <c r="A216" s="64" t="s">
        <v>173</v>
      </c>
      <c r="B216" s="107">
        <v>14206.04</v>
      </c>
      <c r="C216" s="107">
        <v>29558.61</v>
      </c>
      <c r="D216" s="107">
        <v>-102.9</v>
      </c>
      <c r="E216" s="107">
        <v>14620.43</v>
      </c>
      <c r="F216" s="107">
        <v>10769.72</v>
      </c>
      <c r="G216" s="107">
        <v>11022.11</v>
      </c>
      <c r="H216" s="107">
        <v>12040.8</v>
      </c>
      <c r="I216" s="107">
        <v>13300</v>
      </c>
      <c r="J216" s="107">
        <v>15184.7</v>
      </c>
      <c r="K216" s="107">
        <v>16728.38</v>
      </c>
      <c r="L216" s="107">
        <v>9893.69</v>
      </c>
      <c r="M216" s="107">
        <v>10423.459999999999</v>
      </c>
      <c r="N216" s="107">
        <v>157645.04</v>
      </c>
    </row>
    <row r="217" spans="1:14">
      <c r="A217" s="64" t="s">
        <v>174</v>
      </c>
      <c r="B217" s="107">
        <v>16607.830000000002</v>
      </c>
      <c r="C217" s="107">
        <v>10787.44</v>
      </c>
      <c r="D217" s="107">
        <v>18883.28</v>
      </c>
      <c r="E217" s="107">
        <v>15426.18</v>
      </c>
      <c r="F217" s="107">
        <v>21156.38</v>
      </c>
      <c r="G217" s="107">
        <v>18448.48</v>
      </c>
      <c r="H217" s="107">
        <v>17943.66</v>
      </c>
      <c r="I217" s="107">
        <v>13400.01</v>
      </c>
      <c r="J217" s="107">
        <v>519.37</v>
      </c>
      <c r="K217" s="107">
        <v>3597.69</v>
      </c>
      <c r="L217" s="107">
        <v>7479.5</v>
      </c>
      <c r="M217" s="107">
        <v>9021.0499999999993</v>
      </c>
      <c r="N217" s="107">
        <v>153270.87</v>
      </c>
    </row>
    <row r="218" spans="1:14">
      <c r="A218" s="64" t="s">
        <v>175</v>
      </c>
      <c r="B218" s="107">
        <v>4914.99</v>
      </c>
      <c r="C218" s="107">
        <v>2831.64</v>
      </c>
      <c r="D218" s="107">
        <v>5709.84</v>
      </c>
      <c r="E218" s="107">
        <v>4485.49</v>
      </c>
      <c r="F218" s="107">
        <v>4367.62</v>
      </c>
      <c r="G218" s="107">
        <v>4968.24</v>
      </c>
      <c r="H218" s="107">
        <v>4421.22</v>
      </c>
      <c r="I218" s="107">
        <v>6499.99</v>
      </c>
      <c r="J218" s="107">
        <v>7293.97</v>
      </c>
      <c r="K218" s="107">
        <v>7802.73</v>
      </c>
      <c r="L218" s="107">
        <v>5567.29</v>
      </c>
      <c r="M218" s="107">
        <v>4030.71</v>
      </c>
      <c r="N218" s="107">
        <v>62893.73</v>
      </c>
    </row>
    <row r="219" spans="1:14">
      <c r="A219" s="64" t="s">
        <v>176</v>
      </c>
      <c r="B219" s="22"/>
      <c r="C219" s="22"/>
      <c r="D219" s="107">
        <v>298.89999999999998</v>
      </c>
      <c r="E219" s="107">
        <v>99.63</v>
      </c>
      <c r="F219" s="107">
        <v>-99.63</v>
      </c>
      <c r="G219" s="22"/>
      <c r="H219" s="22"/>
      <c r="I219" s="22"/>
      <c r="J219" s="22"/>
      <c r="K219" s="22"/>
      <c r="L219" s="22"/>
      <c r="M219" s="22"/>
      <c r="N219" s="107">
        <v>298.89999999999998</v>
      </c>
    </row>
    <row r="220" spans="1:14">
      <c r="A220" s="64" t="s">
        <v>177</v>
      </c>
      <c r="B220" s="107">
        <v>431.5</v>
      </c>
      <c r="C220" s="107">
        <v>272</v>
      </c>
      <c r="D220" s="107">
        <v>631.20000000000005</v>
      </c>
      <c r="E220" s="107">
        <v>451.71</v>
      </c>
      <c r="F220" s="107">
        <v>22.37</v>
      </c>
      <c r="G220" s="107">
        <v>332.73</v>
      </c>
      <c r="H220" s="107">
        <v>402.98</v>
      </c>
      <c r="I220" s="107">
        <v>504.04</v>
      </c>
      <c r="J220" s="107">
        <v>331.39</v>
      </c>
      <c r="K220" s="107">
        <v>71.83</v>
      </c>
      <c r="L220" s="107">
        <v>66.75</v>
      </c>
      <c r="M220" s="107">
        <v>66.88</v>
      </c>
      <c r="N220" s="107">
        <v>3585.38</v>
      </c>
    </row>
    <row r="221" spans="1:14">
      <c r="A221" s="64" t="s">
        <v>178</v>
      </c>
      <c r="B221" s="107">
        <v>503.07</v>
      </c>
      <c r="C221" s="107">
        <v>610.38</v>
      </c>
      <c r="D221" s="107">
        <v>586.6</v>
      </c>
      <c r="E221" s="107">
        <v>566.67999999999995</v>
      </c>
      <c r="F221" s="107">
        <v>-310.51</v>
      </c>
      <c r="G221" s="107">
        <v>775.94</v>
      </c>
      <c r="H221" s="107">
        <v>1490.16</v>
      </c>
      <c r="I221" s="107">
        <v>1297.1400000000001</v>
      </c>
      <c r="J221" s="107">
        <v>-247.22</v>
      </c>
      <c r="K221" s="107">
        <v>973.96</v>
      </c>
      <c r="L221" s="107">
        <v>494.92</v>
      </c>
      <c r="M221" s="107">
        <v>553.78</v>
      </c>
      <c r="N221" s="107">
        <v>7294.9</v>
      </c>
    </row>
    <row r="222" spans="1:14">
      <c r="A222" s="64" t="s">
        <v>179</v>
      </c>
      <c r="B222" s="107">
        <v>1676.71</v>
      </c>
      <c r="C222" s="107">
        <v>2923.67</v>
      </c>
      <c r="D222" s="107">
        <v>3247.15</v>
      </c>
      <c r="E222" s="107">
        <v>2210.04</v>
      </c>
      <c r="F222" s="107">
        <v>2806.17</v>
      </c>
      <c r="G222" s="107">
        <v>512.26</v>
      </c>
      <c r="H222" s="107">
        <v>102.74</v>
      </c>
      <c r="I222" s="107">
        <v>1688.76</v>
      </c>
      <c r="J222" s="107">
        <v>800</v>
      </c>
      <c r="K222" s="107">
        <v>120.83</v>
      </c>
      <c r="L222" s="107">
        <v>225</v>
      </c>
      <c r="M222" s="107">
        <v>1047.8699999999999</v>
      </c>
      <c r="N222" s="107">
        <v>17361.2</v>
      </c>
    </row>
    <row r="223" spans="1:14">
      <c r="A223" s="64" t="s">
        <v>180</v>
      </c>
      <c r="B223" s="107">
        <v>350.63</v>
      </c>
      <c r="C223" s="107">
        <v>1082</v>
      </c>
      <c r="D223" s="107">
        <v>641.94000000000005</v>
      </c>
      <c r="E223" s="107">
        <v>179.93</v>
      </c>
      <c r="F223" s="107">
        <v>444.52</v>
      </c>
      <c r="G223" s="107">
        <v>303.55</v>
      </c>
      <c r="H223" s="107">
        <v>1647.87</v>
      </c>
      <c r="I223" s="107">
        <v>1055.3800000000001</v>
      </c>
      <c r="J223" s="107">
        <v>399.54</v>
      </c>
      <c r="K223" s="107">
        <v>550.86</v>
      </c>
      <c r="L223" s="107">
        <v>1161.32</v>
      </c>
      <c r="M223" s="107">
        <v>833.15</v>
      </c>
      <c r="N223" s="107">
        <v>8650.69</v>
      </c>
    </row>
    <row r="224" spans="1:14">
      <c r="A224" s="64" t="s">
        <v>181</v>
      </c>
      <c r="B224" s="107">
        <v>1107.48</v>
      </c>
      <c r="C224" s="107">
        <v>1262.8399999999999</v>
      </c>
      <c r="D224" s="107">
        <v>1504.03</v>
      </c>
      <c r="E224" s="107">
        <v>948.68</v>
      </c>
      <c r="F224" s="107">
        <v>1532.37</v>
      </c>
      <c r="G224" s="107">
        <v>496.54</v>
      </c>
      <c r="H224" s="107">
        <v>1471</v>
      </c>
      <c r="I224" s="107">
        <v>1266.55</v>
      </c>
      <c r="J224" s="107">
        <v>1817.71</v>
      </c>
      <c r="K224" s="107">
        <v>1543.23</v>
      </c>
      <c r="L224" s="107">
        <v>1423.56</v>
      </c>
      <c r="M224" s="107">
        <v>1313.86</v>
      </c>
      <c r="N224" s="107">
        <v>15687.85</v>
      </c>
    </row>
    <row r="225" spans="1:14">
      <c r="A225" s="64" t="s">
        <v>182</v>
      </c>
      <c r="B225" s="107">
        <v>107.26</v>
      </c>
      <c r="C225" s="107">
        <v>71.78</v>
      </c>
      <c r="D225" s="107">
        <v>-71.61</v>
      </c>
      <c r="E225" s="107">
        <v>223.81</v>
      </c>
      <c r="F225" s="107">
        <v>326.31</v>
      </c>
      <c r="G225" s="107">
        <v>111.88</v>
      </c>
      <c r="H225" s="107">
        <v>274.88</v>
      </c>
      <c r="I225" s="22"/>
      <c r="J225" s="107">
        <v>344.3</v>
      </c>
      <c r="K225" s="107">
        <v>256.56</v>
      </c>
      <c r="L225" s="22"/>
      <c r="M225" s="22"/>
      <c r="N225" s="107">
        <v>1645.17</v>
      </c>
    </row>
    <row r="226" spans="1:14">
      <c r="A226" s="64" t="s">
        <v>183</v>
      </c>
      <c r="B226" s="22"/>
      <c r="C226" s="107">
        <v>99.21</v>
      </c>
      <c r="D226" s="107"/>
      <c r="E226" s="107">
        <v>58.88</v>
      </c>
      <c r="F226" s="107">
        <v>217.12</v>
      </c>
      <c r="G226" s="107"/>
      <c r="H226" s="107">
        <v>794.63</v>
      </c>
      <c r="I226" s="22"/>
      <c r="J226" s="107">
        <v>45.77</v>
      </c>
      <c r="K226" s="107">
        <v>1148.0899999999999</v>
      </c>
      <c r="L226" s="107">
        <v>61.11</v>
      </c>
      <c r="M226" s="107">
        <v>-62</v>
      </c>
      <c r="N226" s="107">
        <v>2362.81</v>
      </c>
    </row>
    <row r="227" spans="1:14">
      <c r="A227" s="64" t="s">
        <v>184</v>
      </c>
      <c r="B227" s="111">
        <v>1709.45</v>
      </c>
      <c r="C227" s="111">
        <v>651.74</v>
      </c>
      <c r="D227" s="111">
        <v>1186.6500000000001</v>
      </c>
      <c r="E227" s="111">
        <v>1057.96</v>
      </c>
      <c r="F227" s="111">
        <v>2985.28</v>
      </c>
      <c r="G227" s="111">
        <v>2319.04</v>
      </c>
      <c r="H227" s="111">
        <v>2352.84</v>
      </c>
      <c r="I227" s="111">
        <v>3016.57</v>
      </c>
      <c r="J227" s="111">
        <v>2554.56</v>
      </c>
      <c r="K227" s="111">
        <v>4101.8999999999996</v>
      </c>
      <c r="L227" s="111">
        <v>2493.3000000000002</v>
      </c>
      <c r="M227" s="111">
        <v>2049.5</v>
      </c>
      <c r="N227" s="111">
        <v>26478.79</v>
      </c>
    </row>
    <row r="228" spans="1:14">
      <c r="A228" s="64" t="s">
        <v>185</v>
      </c>
      <c r="B228" s="107">
        <f t="shared" ref="B228:M228" si="47">SUM(B213:B227)</f>
        <v>45608.95</v>
      </c>
      <c r="C228" s="107">
        <f t="shared" si="47"/>
        <v>57118.55999999999</v>
      </c>
      <c r="D228" s="107">
        <f t="shared" si="47"/>
        <v>37313.72</v>
      </c>
      <c r="E228" s="107">
        <f t="shared" si="47"/>
        <v>45582.709999999992</v>
      </c>
      <c r="F228" s="107">
        <f t="shared" si="47"/>
        <v>51138.01</v>
      </c>
      <c r="G228" s="107">
        <f t="shared" si="47"/>
        <v>52765.610000000008</v>
      </c>
      <c r="H228" s="107">
        <f t="shared" si="47"/>
        <v>60401.380000000005</v>
      </c>
      <c r="I228" s="107">
        <f t="shared" si="47"/>
        <v>51328.44</v>
      </c>
      <c r="J228" s="107">
        <f t="shared" si="47"/>
        <v>39560.789999999994</v>
      </c>
      <c r="K228" s="107">
        <f t="shared" si="47"/>
        <v>47202.1</v>
      </c>
      <c r="L228" s="107">
        <f t="shared" si="47"/>
        <v>36628.340000000004</v>
      </c>
      <c r="M228" s="107">
        <f t="shared" si="47"/>
        <v>38778.26</v>
      </c>
      <c r="N228" s="107">
        <v>563426.87</v>
      </c>
    </row>
    <row r="229" spans="1:14">
      <c r="A229" s="64"/>
      <c r="B229" s="22"/>
      <c r="C229" s="22"/>
      <c r="D229" s="22"/>
      <c r="E229" s="22"/>
      <c r="F229" s="22"/>
      <c r="G229" s="22"/>
      <c r="H229" s="22"/>
      <c r="I229" s="22"/>
      <c r="J229" s="22"/>
      <c r="K229" s="22"/>
      <c r="L229" s="22"/>
      <c r="M229" s="22"/>
      <c r="N229" s="22"/>
    </row>
    <row r="230" spans="1:14">
      <c r="A230" s="64" t="s">
        <v>186</v>
      </c>
      <c r="B230" s="22"/>
      <c r="C230" s="22"/>
      <c r="D230" s="22"/>
      <c r="E230" s="22"/>
      <c r="F230" s="22"/>
      <c r="G230" s="22"/>
      <c r="H230" s="22"/>
      <c r="I230" s="22"/>
      <c r="J230" s="22"/>
      <c r="K230" s="22"/>
      <c r="L230" s="22"/>
      <c r="M230" s="22"/>
      <c r="N230" s="22"/>
    </row>
    <row r="231" spans="1:14">
      <c r="A231" s="64" t="s">
        <v>187</v>
      </c>
      <c r="B231" s="107">
        <v>1500</v>
      </c>
      <c r="C231" s="107">
        <v>1500</v>
      </c>
      <c r="D231" s="107">
        <v>1500</v>
      </c>
      <c r="E231" s="107">
        <v>1500</v>
      </c>
      <c r="F231" s="107">
        <v>1500</v>
      </c>
      <c r="G231" s="107">
        <v>1500</v>
      </c>
      <c r="H231" s="107">
        <v>-1300</v>
      </c>
      <c r="I231" s="107">
        <v>800</v>
      </c>
      <c r="J231" s="107">
        <v>800</v>
      </c>
      <c r="K231" s="107">
        <v>800</v>
      </c>
      <c r="L231" s="107">
        <v>800</v>
      </c>
      <c r="M231" s="107">
        <v>800</v>
      </c>
      <c r="N231" s="107">
        <v>11700</v>
      </c>
    </row>
    <row r="232" spans="1:14">
      <c r="A232" s="64" t="s">
        <v>188</v>
      </c>
      <c r="B232" s="107">
        <v>492.5</v>
      </c>
      <c r="C232" s="107">
        <v>512</v>
      </c>
      <c r="D232" s="107">
        <v>586.16</v>
      </c>
      <c r="E232" s="107">
        <v>530.22</v>
      </c>
      <c r="F232" s="107">
        <v>731.12</v>
      </c>
      <c r="G232" s="107">
        <v>36.01</v>
      </c>
      <c r="H232" s="107">
        <v>674.12</v>
      </c>
      <c r="I232" s="107">
        <v>494.38</v>
      </c>
      <c r="J232" s="107">
        <v>600</v>
      </c>
      <c r="K232" s="107">
        <v>500</v>
      </c>
      <c r="L232" s="107">
        <v>500</v>
      </c>
      <c r="M232" s="107">
        <v>429.87</v>
      </c>
      <c r="N232" s="107">
        <v>6086.38</v>
      </c>
    </row>
    <row r="233" spans="1:14">
      <c r="A233" s="64" t="s">
        <v>190</v>
      </c>
      <c r="B233" s="107">
        <v>749.25</v>
      </c>
      <c r="C233" s="22"/>
      <c r="D233" s="22"/>
      <c r="E233" s="22"/>
      <c r="F233" s="107">
        <v>66.22</v>
      </c>
      <c r="G233" s="22"/>
      <c r="H233" s="22"/>
      <c r="I233" s="107">
        <v>1930.62</v>
      </c>
      <c r="J233" s="22"/>
      <c r="K233" s="22"/>
      <c r="L233" s="22"/>
      <c r="M233" s="22"/>
      <c r="N233" s="107">
        <v>2746.09</v>
      </c>
    </row>
    <row r="234" spans="1:14">
      <c r="A234" s="64" t="s">
        <v>191</v>
      </c>
      <c r="B234" s="107">
        <v>2579.0100000000002</v>
      </c>
      <c r="C234" s="107">
        <v>8312.92</v>
      </c>
      <c r="D234" s="107">
        <v>3164.99</v>
      </c>
      <c r="E234" s="107">
        <v>2595.0500000000002</v>
      </c>
      <c r="F234" s="107">
        <v>3443.03</v>
      </c>
      <c r="G234" s="107">
        <v>3821.69</v>
      </c>
      <c r="H234" s="107">
        <v>2062.9</v>
      </c>
      <c r="I234" s="107">
        <v>5943.08</v>
      </c>
      <c r="J234" s="107">
        <v>5489.69</v>
      </c>
      <c r="K234" s="107">
        <v>7339.72</v>
      </c>
      <c r="L234" s="107">
        <v>6235.27</v>
      </c>
      <c r="M234" s="107"/>
      <c r="N234" s="107">
        <v>50987.35</v>
      </c>
    </row>
    <row r="235" spans="1:14">
      <c r="A235" s="64" t="s">
        <v>415</v>
      </c>
      <c r="B235" s="22"/>
      <c r="C235" s="22"/>
      <c r="D235" s="22"/>
      <c r="E235" s="22"/>
      <c r="F235" s="22"/>
      <c r="G235" s="22"/>
      <c r="H235" s="22"/>
      <c r="I235" s="22"/>
      <c r="J235" s="22"/>
      <c r="K235" s="22"/>
      <c r="L235" s="22"/>
      <c r="M235" s="107">
        <v>5040.5</v>
      </c>
      <c r="N235" s="107">
        <v>5040.5</v>
      </c>
    </row>
    <row r="236" spans="1:14">
      <c r="A236" s="64" t="s">
        <v>416</v>
      </c>
      <c r="B236" s="22"/>
      <c r="C236" s="22"/>
      <c r="D236" s="22"/>
      <c r="E236" s="22"/>
      <c r="F236" s="22"/>
      <c r="G236" s="22"/>
      <c r="H236" s="22"/>
      <c r="I236" s="22"/>
      <c r="J236" s="22"/>
      <c r="K236" s="22"/>
      <c r="L236" s="22"/>
      <c r="M236" s="107">
        <v>468.31</v>
      </c>
      <c r="N236" s="107">
        <v>468.31</v>
      </c>
    </row>
    <row r="237" spans="1:14">
      <c r="A237" s="64" t="s">
        <v>417</v>
      </c>
      <c r="B237" s="22"/>
      <c r="C237" s="22"/>
      <c r="D237" s="22"/>
      <c r="E237" s="22"/>
      <c r="F237" s="22"/>
      <c r="G237" s="22"/>
      <c r="H237" s="22"/>
      <c r="I237" s="22"/>
      <c r="J237" s="22"/>
      <c r="K237" s="22"/>
      <c r="L237" s="22"/>
      <c r="M237" s="107">
        <v>1108.75</v>
      </c>
      <c r="N237" s="107">
        <v>1108.75</v>
      </c>
    </row>
    <row r="238" spans="1:14">
      <c r="A238" s="64" t="s">
        <v>192</v>
      </c>
      <c r="B238" s="107">
        <v>652.76</v>
      </c>
      <c r="C238" s="107">
        <v>652.83000000000004</v>
      </c>
      <c r="D238" s="107">
        <v>646.73</v>
      </c>
      <c r="E238" s="107">
        <v>653.15</v>
      </c>
      <c r="F238" s="107">
        <v>650.9</v>
      </c>
      <c r="G238" s="107">
        <v>698.83</v>
      </c>
      <c r="H238" s="107">
        <v>675.22</v>
      </c>
      <c r="I238" s="107">
        <v>700</v>
      </c>
      <c r="J238" s="107">
        <v>768.91</v>
      </c>
      <c r="K238" s="107">
        <v>750.83</v>
      </c>
      <c r="L238" s="107">
        <v>718.08</v>
      </c>
      <c r="M238" s="107">
        <v>718.08</v>
      </c>
      <c r="N238" s="107">
        <v>8286.32</v>
      </c>
    </row>
    <row r="239" spans="1:14">
      <c r="A239" s="64" t="s">
        <v>193</v>
      </c>
      <c r="B239" s="107">
        <v>1515.03</v>
      </c>
      <c r="C239" s="107">
        <v>1484.86</v>
      </c>
      <c r="D239" s="107">
        <v>1563.36</v>
      </c>
      <c r="E239" s="107">
        <v>1758.02</v>
      </c>
      <c r="F239" s="107">
        <v>1980.65</v>
      </c>
      <c r="G239" s="107">
        <v>1443.55</v>
      </c>
      <c r="H239" s="107">
        <v>744.67</v>
      </c>
      <c r="I239" s="107">
        <v>1650.92</v>
      </c>
      <c r="J239" s="107">
        <v>574.33000000000004</v>
      </c>
      <c r="K239" s="107">
        <v>1593.01</v>
      </c>
      <c r="L239" s="107">
        <v>1604.48</v>
      </c>
      <c r="M239" s="107">
        <v>1344.75</v>
      </c>
      <c r="N239" s="107">
        <v>17257.63</v>
      </c>
    </row>
    <row r="240" spans="1:14">
      <c r="A240" s="64" t="s">
        <v>194</v>
      </c>
      <c r="B240" s="107">
        <v>1401.74</v>
      </c>
      <c r="C240" s="107">
        <v>1765.4</v>
      </c>
      <c r="D240" s="107">
        <v>876.24</v>
      </c>
      <c r="E240" s="107">
        <v>1347.79</v>
      </c>
      <c r="F240" s="107">
        <v>1989.05</v>
      </c>
      <c r="G240" s="107">
        <v>1235.8699999999999</v>
      </c>
      <c r="H240" s="107">
        <v>820.99</v>
      </c>
      <c r="I240" s="107">
        <v>648.91999999999996</v>
      </c>
      <c r="J240" s="107">
        <v>1976.21</v>
      </c>
      <c r="K240" s="107">
        <v>1499.75</v>
      </c>
      <c r="L240" s="107">
        <v>2057</v>
      </c>
      <c r="M240" s="107">
        <v>550.66</v>
      </c>
      <c r="N240" s="107">
        <v>16169.62</v>
      </c>
    </row>
    <row r="241" spans="1:14">
      <c r="A241" s="64" t="s">
        <v>195</v>
      </c>
      <c r="B241" s="107">
        <v>2616.1999999999998</v>
      </c>
      <c r="C241" s="107">
        <v>2616.1999999999998</v>
      </c>
      <c r="D241" s="107">
        <v>2616.1999999999998</v>
      </c>
      <c r="E241" s="107">
        <v>2616.1999999999998</v>
      </c>
      <c r="F241" s="107">
        <v>2616.1999999999998</v>
      </c>
      <c r="G241" s="107">
        <v>2616.1999999999998</v>
      </c>
      <c r="H241" s="107">
        <v>2616.1999999999998</v>
      </c>
      <c r="I241" s="107">
        <v>2616.1999999999998</v>
      </c>
      <c r="J241" s="107">
        <v>2616.1999999999998</v>
      </c>
      <c r="K241" s="107">
        <v>2773.19</v>
      </c>
      <c r="L241" s="107">
        <v>2700</v>
      </c>
      <c r="M241" s="107">
        <v>2700</v>
      </c>
      <c r="N241" s="107">
        <v>31718.99</v>
      </c>
    </row>
    <row r="242" spans="1:14">
      <c r="A242" s="64" t="s">
        <v>196</v>
      </c>
      <c r="B242" s="107">
        <v>1744.12</v>
      </c>
      <c r="C242" s="107">
        <v>1744.12</v>
      </c>
      <c r="D242" s="107">
        <v>1744.12</v>
      </c>
      <c r="E242" s="107">
        <v>1744.12</v>
      </c>
      <c r="F242" s="107">
        <v>1744.12</v>
      </c>
      <c r="G242" s="107">
        <v>1744.12</v>
      </c>
      <c r="H242" s="107">
        <v>1744.12</v>
      </c>
      <c r="I242" s="107">
        <v>1744.12</v>
      </c>
      <c r="J242" s="107">
        <v>1744.12</v>
      </c>
      <c r="K242" s="107">
        <v>1848.76</v>
      </c>
      <c r="L242" s="107">
        <v>1800</v>
      </c>
      <c r="M242" s="107">
        <v>1700</v>
      </c>
      <c r="N242" s="107">
        <v>21045.84</v>
      </c>
    </row>
    <row r="243" spans="1:14">
      <c r="A243" s="64" t="s">
        <v>197</v>
      </c>
      <c r="B243" s="107">
        <v>20330.36</v>
      </c>
      <c r="C243" s="107">
        <v>20330.36</v>
      </c>
      <c r="D243" s="107">
        <v>20200.349999999999</v>
      </c>
      <c r="E243" s="107">
        <v>20287.02</v>
      </c>
      <c r="F243" s="107">
        <v>20377.68</v>
      </c>
      <c r="G243" s="107">
        <v>21294.31</v>
      </c>
      <c r="H243" s="107">
        <v>21402.54</v>
      </c>
      <c r="I243" s="107">
        <v>21294.31</v>
      </c>
      <c r="J243" s="107">
        <v>21000</v>
      </c>
      <c r="K243" s="107">
        <v>25487.89</v>
      </c>
      <c r="L243" s="107">
        <v>17054.18</v>
      </c>
      <c r="M243" s="107">
        <v>22832.87</v>
      </c>
      <c r="N243" s="107">
        <v>251891.87</v>
      </c>
    </row>
    <row r="244" spans="1:14">
      <c r="A244" s="64" t="s">
        <v>198</v>
      </c>
      <c r="B244" s="107">
        <v>252.87</v>
      </c>
      <c r="C244" s="107">
        <v>257.13</v>
      </c>
      <c r="D244" s="107">
        <v>255</v>
      </c>
      <c r="E244" s="107">
        <v>255</v>
      </c>
      <c r="F244" s="107">
        <v>255</v>
      </c>
      <c r="G244" s="107">
        <v>255</v>
      </c>
      <c r="H244" s="107">
        <v>303.91000000000003</v>
      </c>
      <c r="I244" s="107">
        <v>248.91</v>
      </c>
      <c r="J244" s="107">
        <v>103.91</v>
      </c>
      <c r="K244" s="107">
        <v>303.91000000000003</v>
      </c>
      <c r="L244" s="107">
        <v>303.91000000000003</v>
      </c>
      <c r="M244" s="107">
        <v>303.91000000000003</v>
      </c>
      <c r="N244" s="107">
        <v>3098.46</v>
      </c>
    </row>
    <row r="245" spans="1:14">
      <c r="A245" s="64" t="s">
        <v>199</v>
      </c>
      <c r="B245" s="107"/>
      <c r="C245" s="107">
        <v>330.45</v>
      </c>
      <c r="D245" s="107">
        <v>440.45</v>
      </c>
      <c r="E245" s="107">
        <v>357.95</v>
      </c>
      <c r="F245" s="107">
        <v>514.23</v>
      </c>
      <c r="G245" s="107">
        <v>192.95</v>
      </c>
      <c r="H245" s="107">
        <v>165.45</v>
      </c>
      <c r="I245" s="107">
        <v>916.67</v>
      </c>
      <c r="J245" s="107">
        <v>281.11</v>
      </c>
      <c r="K245" s="107">
        <v>276.51</v>
      </c>
      <c r="L245" s="107">
        <v>487.47</v>
      </c>
      <c r="M245" s="107">
        <v>165.45</v>
      </c>
      <c r="N245" s="107">
        <v>4128.6899999999996</v>
      </c>
    </row>
    <row r="246" spans="1:14">
      <c r="A246" s="64" t="s">
        <v>200</v>
      </c>
      <c r="B246" s="107">
        <v>143.33000000000001</v>
      </c>
      <c r="C246" s="107">
        <v>196.67</v>
      </c>
      <c r="D246" s="107">
        <v>340</v>
      </c>
      <c r="E246" s="107">
        <v>226.67</v>
      </c>
      <c r="F246" s="107">
        <v>490.83</v>
      </c>
      <c r="G246" s="107">
        <v>-342.5</v>
      </c>
      <c r="H246" s="107">
        <v>805</v>
      </c>
      <c r="I246" s="107">
        <v>380</v>
      </c>
      <c r="J246" s="107">
        <v>380</v>
      </c>
      <c r="K246" s="107">
        <v>380</v>
      </c>
      <c r="L246" s="107">
        <v>380</v>
      </c>
      <c r="M246" s="107">
        <v>380</v>
      </c>
      <c r="N246" s="107">
        <v>3760</v>
      </c>
    </row>
    <row r="247" spans="1:14">
      <c r="A247" s="64" t="s">
        <v>201</v>
      </c>
      <c r="B247" s="107">
        <v>191.12</v>
      </c>
      <c r="C247" s="107">
        <v>191.12</v>
      </c>
      <c r="D247" s="107">
        <v>382.24</v>
      </c>
      <c r="E247" s="107">
        <v>254.83</v>
      </c>
      <c r="F247" s="107">
        <v>382.24</v>
      </c>
      <c r="G247" s="107">
        <v>-63.71</v>
      </c>
      <c r="H247" s="107"/>
      <c r="I247" s="107">
        <v>382.24</v>
      </c>
      <c r="J247" s="107">
        <v>210.23</v>
      </c>
      <c r="K247" s="107">
        <v>229.34</v>
      </c>
      <c r="L247" s="107">
        <v>210.23</v>
      </c>
      <c r="M247" s="107">
        <v>210.23</v>
      </c>
      <c r="N247" s="107">
        <v>2580.11</v>
      </c>
    </row>
    <row r="248" spans="1:14">
      <c r="A248" s="64" t="s">
        <v>202</v>
      </c>
      <c r="B248" s="107">
        <v>4600</v>
      </c>
      <c r="C248" s="22"/>
      <c r="D248" s="22"/>
      <c r="E248" s="22"/>
      <c r="F248" s="22"/>
      <c r="G248" s="107"/>
      <c r="H248" s="22"/>
      <c r="I248" s="107">
        <v>4510</v>
      </c>
      <c r="J248" s="22"/>
      <c r="K248" s="22"/>
      <c r="L248" s="107">
        <v>4160</v>
      </c>
      <c r="M248" s="22"/>
      <c r="N248" s="107">
        <v>13270</v>
      </c>
    </row>
    <row r="249" spans="1:14">
      <c r="A249" s="64" t="s">
        <v>203</v>
      </c>
      <c r="B249" s="107">
        <v>5147.59</v>
      </c>
      <c r="C249" s="107">
        <v>6064.92</v>
      </c>
      <c r="D249" s="107">
        <v>5270.78</v>
      </c>
      <c r="E249" s="107">
        <v>3935.91</v>
      </c>
      <c r="F249" s="107">
        <v>4080.95</v>
      </c>
      <c r="G249" s="107">
        <v>4430.24</v>
      </c>
      <c r="H249" s="107">
        <v>5051.5600000000004</v>
      </c>
      <c r="I249" s="107">
        <v>5919.01</v>
      </c>
      <c r="J249" s="107">
        <v>6469.17</v>
      </c>
      <c r="K249" s="107">
        <v>6507.89</v>
      </c>
      <c r="L249" s="107">
        <v>4474.95</v>
      </c>
      <c r="M249" s="107">
        <v>5554.25</v>
      </c>
      <c r="N249" s="107">
        <v>62907.22</v>
      </c>
    </row>
    <row r="250" spans="1:14">
      <c r="A250" s="64" t="s">
        <v>204</v>
      </c>
      <c r="B250" s="107">
        <v>15340</v>
      </c>
      <c r="C250" s="107">
        <v>15325</v>
      </c>
      <c r="D250" s="107">
        <v>18888</v>
      </c>
      <c r="E250" s="107">
        <v>17858</v>
      </c>
      <c r="F250" s="107">
        <v>17188</v>
      </c>
      <c r="G250" s="107">
        <v>17857</v>
      </c>
      <c r="H250" s="107">
        <v>16810</v>
      </c>
      <c r="I250" s="107">
        <v>18752</v>
      </c>
      <c r="J250" s="107">
        <v>16573</v>
      </c>
      <c r="K250" s="107">
        <v>17649</v>
      </c>
      <c r="L250" s="107">
        <v>16800</v>
      </c>
      <c r="M250" s="107">
        <v>19581</v>
      </c>
      <c r="N250" s="107">
        <v>208621</v>
      </c>
    </row>
    <row r="251" spans="1:14">
      <c r="A251" s="64" t="s">
        <v>205</v>
      </c>
      <c r="B251" s="107">
        <v>901.42</v>
      </c>
      <c r="C251" s="107">
        <v>913.96</v>
      </c>
      <c r="D251" s="107">
        <v>900.94</v>
      </c>
      <c r="E251" s="107">
        <v>904.52</v>
      </c>
      <c r="F251" s="107">
        <v>651.14</v>
      </c>
      <c r="G251" s="107">
        <v>617.01</v>
      </c>
      <c r="H251" s="107">
        <v>625.75</v>
      </c>
      <c r="I251" s="107">
        <v>761.09</v>
      </c>
      <c r="J251" s="107">
        <v>626.55999999999995</v>
      </c>
      <c r="K251" s="107">
        <v>642.07000000000005</v>
      </c>
      <c r="L251" s="107">
        <v>502.22</v>
      </c>
      <c r="M251" s="107">
        <v>618.87</v>
      </c>
      <c r="N251" s="107">
        <v>8665.5499999999993</v>
      </c>
    </row>
    <row r="252" spans="1:14">
      <c r="A252" s="64" t="s">
        <v>206</v>
      </c>
      <c r="B252" s="111">
        <v>607.04</v>
      </c>
      <c r="C252" s="111">
        <v>728.6</v>
      </c>
      <c r="D252" s="111">
        <v>122.41</v>
      </c>
      <c r="E252" s="111">
        <v>97.14</v>
      </c>
      <c r="F252" s="111">
        <v>111.38</v>
      </c>
      <c r="G252" s="111">
        <v>138.34</v>
      </c>
      <c r="H252" s="111">
        <v>337.48</v>
      </c>
      <c r="I252" s="111">
        <v>666.06</v>
      </c>
      <c r="J252" s="111">
        <v>356.44</v>
      </c>
      <c r="K252" s="111">
        <v>1503.9</v>
      </c>
      <c r="L252" s="111">
        <v>153.16</v>
      </c>
      <c r="M252" s="111">
        <v>278.27999999999997</v>
      </c>
      <c r="N252" s="111">
        <v>5100.2299999999996</v>
      </c>
    </row>
    <row r="253" spans="1:14">
      <c r="A253" s="64" t="s">
        <v>207</v>
      </c>
      <c r="B253" s="107">
        <f t="shared" ref="B253:M253" si="48">SUM(B229:B252)</f>
        <v>60764.340000000004</v>
      </c>
      <c r="C253" s="107">
        <f t="shared" si="48"/>
        <v>62926.539999999994</v>
      </c>
      <c r="D253" s="107">
        <f t="shared" si="48"/>
        <v>59497.969999999994</v>
      </c>
      <c r="E253" s="107">
        <f t="shared" si="48"/>
        <v>56921.589999999989</v>
      </c>
      <c r="F253" s="107">
        <f t="shared" si="48"/>
        <v>58772.74</v>
      </c>
      <c r="G253" s="107">
        <f t="shared" si="48"/>
        <v>57474.909999999996</v>
      </c>
      <c r="H253" s="107">
        <f t="shared" si="48"/>
        <v>53539.91</v>
      </c>
      <c r="I253" s="107">
        <f t="shared" si="48"/>
        <v>70358.53</v>
      </c>
      <c r="J253" s="107">
        <f t="shared" si="48"/>
        <v>60569.880000000005</v>
      </c>
      <c r="K253" s="107">
        <f t="shared" si="48"/>
        <v>70085.77</v>
      </c>
      <c r="L253" s="107">
        <f t="shared" si="48"/>
        <v>60940.950000000012</v>
      </c>
      <c r="M253" s="107">
        <f t="shared" si="48"/>
        <v>64785.780000000006</v>
      </c>
      <c r="N253" s="107">
        <v>736638.91</v>
      </c>
    </row>
    <row r="254" spans="1:14">
      <c r="A254" s="64"/>
      <c r="B254" s="22"/>
      <c r="C254" s="22"/>
      <c r="D254" s="22"/>
      <c r="E254" s="22"/>
      <c r="F254" s="22"/>
      <c r="G254" s="22"/>
      <c r="H254" s="22"/>
      <c r="I254" s="22"/>
      <c r="J254" s="22"/>
      <c r="K254" s="22"/>
      <c r="L254" s="22"/>
      <c r="M254" s="22"/>
      <c r="N254" s="22"/>
    </row>
    <row r="255" spans="1:14">
      <c r="A255" s="64" t="s">
        <v>15</v>
      </c>
      <c r="B255" s="22"/>
      <c r="C255" s="22"/>
      <c r="D255" s="22"/>
      <c r="E255" s="22"/>
      <c r="F255" s="22"/>
      <c r="G255" s="22"/>
      <c r="H255" s="22"/>
      <c r="I255" s="22"/>
      <c r="J255" s="22"/>
      <c r="K255" s="22"/>
      <c r="L255" s="22"/>
      <c r="M255" s="22"/>
      <c r="N255" s="22"/>
    </row>
    <row r="256" spans="1:14">
      <c r="A256" s="64" t="s">
        <v>208</v>
      </c>
      <c r="B256" s="107">
        <v>1609.95</v>
      </c>
      <c r="C256" s="107">
        <v>1618.86</v>
      </c>
      <c r="D256" s="107">
        <v>1368.27</v>
      </c>
      <c r="E256" s="107">
        <v>1004.91</v>
      </c>
      <c r="F256" s="107">
        <v>1221.9000000000001</v>
      </c>
      <c r="G256" s="107">
        <v>1572.94</v>
      </c>
      <c r="H256" s="107">
        <v>2447.25</v>
      </c>
      <c r="I256" s="107">
        <v>1275.0899999999999</v>
      </c>
      <c r="J256" s="107">
        <v>1802.28</v>
      </c>
      <c r="K256" s="107">
        <v>1943.67</v>
      </c>
      <c r="L256" s="107">
        <v>2510.4</v>
      </c>
      <c r="M256" s="107">
        <v>1705.12</v>
      </c>
      <c r="N256" s="107">
        <v>20080.64</v>
      </c>
    </row>
    <row r="257" spans="1:14">
      <c r="A257" s="64" t="s">
        <v>209</v>
      </c>
      <c r="B257" s="107">
        <v>505.84</v>
      </c>
      <c r="C257" s="107">
        <v>387.92</v>
      </c>
      <c r="D257" s="107">
        <v>366.12</v>
      </c>
      <c r="E257" s="107">
        <v>187.28</v>
      </c>
      <c r="F257" s="107">
        <v>304.10000000000002</v>
      </c>
      <c r="G257" s="107">
        <v>208.27</v>
      </c>
      <c r="H257" s="107">
        <v>310.64</v>
      </c>
      <c r="I257" s="107">
        <v>310.52999999999997</v>
      </c>
      <c r="J257" s="107">
        <v>533.77</v>
      </c>
      <c r="K257" s="107">
        <v>232.76</v>
      </c>
      <c r="L257" s="107">
        <v>313.51</v>
      </c>
      <c r="M257" s="107">
        <v>446.14</v>
      </c>
      <c r="N257" s="107">
        <v>4106.88</v>
      </c>
    </row>
    <row r="258" spans="1:14">
      <c r="A258" s="64" t="s">
        <v>210</v>
      </c>
      <c r="B258" s="107">
        <v>240.44</v>
      </c>
      <c r="C258" s="107">
        <v>517.70000000000005</v>
      </c>
      <c r="D258" s="107">
        <v>430.18</v>
      </c>
      <c r="E258" s="107">
        <v>262.17</v>
      </c>
      <c r="F258" s="107">
        <v>28</v>
      </c>
      <c r="G258" s="107">
        <v>247.32</v>
      </c>
      <c r="H258" s="107">
        <v>178.98</v>
      </c>
      <c r="I258" s="107">
        <v>134.58000000000001</v>
      </c>
      <c r="J258" s="107">
        <v>447.85</v>
      </c>
      <c r="K258" s="107">
        <v>828</v>
      </c>
      <c r="L258" s="107">
        <v>450.77</v>
      </c>
      <c r="M258" s="107">
        <v>487.12</v>
      </c>
      <c r="N258" s="107">
        <v>4253.1099999999997</v>
      </c>
    </row>
    <row r="259" spans="1:14">
      <c r="A259" s="64" t="s">
        <v>211</v>
      </c>
      <c r="B259" s="107">
        <v>130.1</v>
      </c>
      <c r="C259" s="107">
        <v>71.150000000000006</v>
      </c>
      <c r="D259" s="107">
        <v>71.150000000000006</v>
      </c>
      <c r="E259" s="107">
        <v>90.8</v>
      </c>
      <c r="F259" s="107">
        <v>122.9</v>
      </c>
      <c r="G259" s="107">
        <v>-19.649999999999999</v>
      </c>
      <c r="H259" s="107">
        <v>72.150000000000006</v>
      </c>
      <c r="I259" s="107">
        <v>71</v>
      </c>
      <c r="J259" s="107">
        <v>74.3</v>
      </c>
      <c r="K259" s="107">
        <v>73.150000000000006</v>
      </c>
      <c r="L259" s="107">
        <v>73.150000000000006</v>
      </c>
      <c r="M259" s="107">
        <v>73.150000000000006</v>
      </c>
      <c r="N259" s="107">
        <v>903.35</v>
      </c>
    </row>
    <row r="260" spans="1:14">
      <c r="A260" s="64" t="s">
        <v>195</v>
      </c>
      <c r="B260" s="107">
        <v>94.36</v>
      </c>
      <c r="C260" s="107">
        <v>1566.66</v>
      </c>
      <c r="D260" s="107">
        <v>391.23</v>
      </c>
      <c r="E260" s="107">
        <v>715.73</v>
      </c>
      <c r="F260" s="107">
        <v>451.71</v>
      </c>
      <c r="G260" s="107"/>
      <c r="H260" s="107">
        <v>1603.3</v>
      </c>
      <c r="I260" s="107">
        <v>1524.44</v>
      </c>
      <c r="J260" s="107">
        <v>1219.7</v>
      </c>
      <c r="K260" s="107">
        <v>1406.79</v>
      </c>
      <c r="L260" s="107">
        <v>83.76</v>
      </c>
      <c r="M260" s="107">
        <v>2136.0500000000002</v>
      </c>
      <c r="N260" s="107">
        <v>11193.73</v>
      </c>
    </row>
    <row r="261" spans="1:14">
      <c r="A261" s="64" t="s">
        <v>212</v>
      </c>
      <c r="B261" s="107">
        <v>826.55</v>
      </c>
      <c r="C261" s="107">
        <v>369.47</v>
      </c>
      <c r="D261" s="107">
        <v>116.65</v>
      </c>
      <c r="E261" s="107">
        <v>437.56</v>
      </c>
      <c r="F261" s="107">
        <v>-59.93</v>
      </c>
      <c r="G261" s="107"/>
      <c r="H261" s="107">
        <v>366.41</v>
      </c>
      <c r="I261" s="107">
        <v>1663.9</v>
      </c>
      <c r="J261" s="107">
        <v>323.7</v>
      </c>
      <c r="K261" s="107">
        <v>202.84</v>
      </c>
      <c r="L261" s="107">
        <v>481.26</v>
      </c>
      <c r="M261" s="107">
        <v>159.11000000000001</v>
      </c>
      <c r="N261" s="107">
        <v>4887.5200000000004</v>
      </c>
    </row>
    <row r="262" spans="1:14">
      <c r="A262" s="64" t="s">
        <v>213</v>
      </c>
      <c r="B262" s="22"/>
      <c r="C262" s="22"/>
      <c r="D262" s="22"/>
      <c r="E262" s="22"/>
      <c r="F262" s="22"/>
      <c r="G262" s="22"/>
      <c r="H262" s="22"/>
      <c r="I262" s="22"/>
      <c r="J262" s="107">
        <v>31.92</v>
      </c>
      <c r="K262" s="22"/>
      <c r="L262" s="107">
        <v>14.53</v>
      </c>
      <c r="M262" s="22"/>
      <c r="N262" s="107">
        <v>46.45</v>
      </c>
    </row>
    <row r="263" spans="1:14">
      <c r="A263" s="64" t="s">
        <v>214</v>
      </c>
      <c r="B263" s="107">
        <v>121.2</v>
      </c>
      <c r="C263" s="22"/>
      <c r="D263" s="107">
        <v>128.72999999999999</v>
      </c>
      <c r="E263" s="107">
        <v>83.31</v>
      </c>
      <c r="F263" s="107">
        <v>-83.31</v>
      </c>
      <c r="G263" s="22"/>
      <c r="H263" s="107"/>
      <c r="I263" s="22"/>
      <c r="J263" s="107">
        <v>30.74</v>
      </c>
      <c r="K263" s="22"/>
      <c r="L263" s="22"/>
      <c r="M263" s="107">
        <v>132.86000000000001</v>
      </c>
      <c r="N263" s="107">
        <v>413.53</v>
      </c>
    </row>
    <row r="264" spans="1:14">
      <c r="A264" s="64" t="s">
        <v>215</v>
      </c>
      <c r="B264" s="107">
        <v>45.77</v>
      </c>
      <c r="C264" s="107">
        <v>46.2</v>
      </c>
      <c r="D264" s="107">
        <v>46.2</v>
      </c>
      <c r="E264" s="107">
        <v>37</v>
      </c>
      <c r="F264" s="22"/>
      <c r="G264" s="22"/>
      <c r="H264" s="22"/>
      <c r="I264" s="22"/>
      <c r="J264" s="107">
        <v>17.21</v>
      </c>
      <c r="K264" s="107">
        <v>76.69</v>
      </c>
      <c r="L264" s="107">
        <v>144.27000000000001</v>
      </c>
      <c r="M264" s="22"/>
      <c r="N264" s="107">
        <v>413.34</v>
      </c>
    </row>
    <row r="265" spans="1:14">
      <c r="A265" s="64" t="s">
        <v>216</v>
      </c>
      <c r="B265" s="107">
        <v>1170.05</v>
      </c>
      <c r="C265" s="107">
        <v>685.18</v>
      </c>
      <c r="D265" s="107">
        <v>856.46</v>
      </c>
      <c r="E265" s="107">
        <v>1124.6099999999999</v>
      </c>
      <c r="F265" s="107">
        <v>-124.16</v>
      </c>
      <c r="G265" s="107">
        <v>522.32000000000005</v>
      </c>
      <c r="H265" s="107">
        <v>799.26</v>
      </c>
      <c r="I265" s="107">
        <v>474.29</v>
      </c>
      <c r="J265" s="107">
        <v>1464.18</v>
      </c>
      <c r="K265" s="107">
        <v>973.11</v>
      </c>
      <c r="L265" s="107">
        <v>605.66</v>
      </c>
      <c r="M265" s="107">
        <v>1632.65</v>
      </c>
      <c r="N265" s="107">
        <v>10183.61</v>
      </c>
    </row>
    <row r="266" spans="1:14">
      <c r="A266" s="64" t="s">
        <v>217</v>
      </c>
      <c r="B266" s="107">
        <v>733.75</v>
      </c>
      <c r="C266" s="107">
        <v>231.38</v>
      </c>
      <c r="D266" s="107">
        <v>436.16</v>
      </c>
      <c r="E266" s="107">
        <v>448.97</v>
      </c>
      <c r="F266" s="107">
        <v>140.31</v>
      </c>
      <c r="G266" s="107">
        <v>895</v>
      </c>
      <c r="H266" s="22"/>
      <c r="I266" s="22"/>
      <c r="J266" s="107">
        <v>33.03</v>
      </c>
      <c r="K266" s="107">
        <v>482.22</v>
      </c>
      <c r="L266" s="22"/>
      <c r="M266" s="107">
        <v>32.47</v>
      </c>
      <c r="N266" s="107">
        <v>3433.29</v>
      </c>
    </row>
    <row r="267" spans="1:14">
      <c r="A267" s="64" t="s">
        <v>218</v>
      </c>
      <c r="B267" s="107">
        <v>723.29</v>
      </c>
      <c r="C267" s="107">
        <v>526.37</v>
      </c>
      <c r="D267" s="107">
        <v>690.24</v>
      </c>
      <c r="E267" s="107">
        <v>696.24</v>
      </c>
      <c r="F267" s="107">
        <v>427.4</v>
      </c>
      <c r="G267" s="107">
        <v>397.75</v>
      </c>
      <c r="H267" s="107">
        <v>1052.3800000000001</v>
      </c>
      <c r="I267" s="107">
        <v>910.74</v>
      </c>
      <c r="J267" s="107">
        <v>216.66</v>
      </c>
      <c r="K267" s="107">
        <v>807.15</v>
      </c>
      <c r="L267" s="107">
        <v>365.7</v>
      </c>
      <c r="M267" s="107">
        <v>1403.66</v>
      </c>
      <c r="N267" s="107">
        <v>8217.58</v>
      </c>
    </row>
    <row r="268" spans="1:14">
      <c r="A268" s="64" t="s">
        <v>219</v>
      </c>
      <c r="B268" s="107">
        <v>1259.29</v>
      </c>
      <c r="C268" s="107">
        <v>666.93</v>
      </c>
      <c r="D268" s="107">
        <v>1278.8900000000001</v>
      </c>
      <c r="E268" s="107">
        <v>844.98</v>
      </c>
      <c r="F268" s="107">
        <v>812.12</v>
      </c>
      <c r="G268" s="107">
        <v>402.89</v>
      </c>
      <c r="H268" s="107">
        <v>282.98</v>
      </c>
      <c r="I268" s="107">
        <v>2124</v>
      </c>
      <c r="J268" s="107">
        <v>278.55</v>
      </c>
      <c r="K268" s="107">
        <v>934.01</v>
      </c>
      <c r="L268" s="107">
        <v>997.39</v>
      </c>
      <c r="M268" s="107">
        <v>713.94</v>
      </c>
      <c r="N268" s="107">
        <v>10595.97</v>
      </c>
    </row>
    <row r="269" spans="1:14">
      <c r="A269" s="64" t="s">
        <v>220</v>
      </c>
      <c r="B269" s="111">
        <v>349.88</v>
      </c>
      <c r="C269" s="111">
        <v>628</v>
      </c>
      <c r="D269" s="111">
        <v>249.8</v>
      </c>
      <c r="E269" s="111">
        <v>217.8</v>
      </c>
      <c r="F269" s="111">
        <v>443.53</v>
      </c>
      <c r="G269" s="111">
        <v>227.06</v>
      </c>
      <c r="H269" s="111">
        <v>637.25</v>
      </c>
      <c r="I269" s="111">
        <v>644.61</v>
      </c>
      <c r="J269" s="111">
        <v>304.43</v>
      </c>
      <c r="K269" s="111">
        <v>379.63</v>
      </c>
      <c r="L269" s="111">
        <v>284.97000000000003</v>
      </c>
      <c r="M269" s="111">
        <v>373.37</v>
      </c>
      <c r="N269" s="111">
        <v>4740.33</v>
      </c>
    </row>
    <row r="270" spans="1:14">
      <c r="A270" s="64" t="s">
        <v>221</v>
      </c>
      <c r="B270" s="107">
        <f t="shared" ref="B270:M270" si="49">SUM(B254:B269)</f>
        <v>7810.4699999999993</v>
      </c>
      <c r="C270" s="107">
        <f t="shared" si="49"/>
        <v>7315.8200000000006</v>
      </c>
      <c r="D270" s="107">
        <f t="shared" si="49"/>
        <v>6430.08</v>
      </c>
      <c r="E270" s="107">
        <f t="shared" si="49"/>
        <v>6151.36</v>
      </c>
      <c r="F270" s="107">
        <f t="shared" si="49"/>
        <v>3684.5699999999997</v>
      </c>
      <c r="G270" s="107">
        <f t="shared" si="49"/>
        <v>4453.9000000000005</v>
      </c>
      <c r="H270" s="107">
        <f t="shared" si="49"/>
        <v>7750.6</v>
      </c>
      <c r="I270" s="107">
        <f t="shared" si="49"/>
        <v>9133.18</v>
      </c>
      <c r="J270" s="107">
        <f t="shared" si="49"/>
        <v>6778.3200000000006</v>
      </c>
      <c r="K270" s="107">
        <f t="shared" si="49"/>
        <v>8340.02</v>
      </c>
      <c r="L270" s="107">
        <f t="shared" si="49"/>
        <v>6325.3700000000008</v>
      </c>
      <c r="M270" s="107">
        <f t="shared" si="49"/>
        <v>9295.6400000000012</v>
      </c>
      <c r="N270" s="107">
        <v>83469.33</v>
      </c>
    </row>
    <row r="271" spans="1:14">
      <c r="A271" s="64"/>
      <c r="B271" s="22"/>
      <c r="C271" s="22"/>
      <c r="D271" s="22"/>
      <c r="E271" s="22"/>
      <c r="F271" s="22"/>
      <c r="G271" s="22"/>
      <c r="H271" s="22"/>
      <c r="I271" s="22"/>
      <c r="J271" s="22"/>
      <c r="K271" s="22"/>
      <c r="L271" s="22"/>
      <c r="M271" s="22"/>
      <c r="N271" s="22"/>
    </row>
    <row r="272" spans="1:14">
      <c r="A272" s="64" t="s">
        <v>222</v>
      </c>
      <c r="B272" s="22"/>
      <c r="C272" s="22"/>
      <c r="D272" s="22"/>
      <c r="E272" s="22"/>
      <c r="F272" s="22"/>
      <c r="G272" s="22"/>
      <c r="H272" s="22"/>
      <c r="I272" s="22"/>
      <c r="J272" s="22"/>
      <c r="K272" s="22"/>
      <c r="L272" s="22"/>
      <c r="M272" s="22"/>
      <c r="N272" s="22"/>
    </row>
    <row r="273" spans="1:14">
      <c r="A273" s="64" t="s">
        <v>386</v>
      </c>
      <c r="B273" s="22"/>
      <c r="C273" s="22"/>
      <c r="D273" s="107"/>
      <c r="E273" s="22"/>
      <c r="F273" s="22"/>
      <c r="G273" s="107">
        <v>1003</v>
      </c>
      <c r="H273" s="22"/>
      <c r="I273" s="22"/>
      <c r="J273" s="22"/>
      <c r="K273" s="22"/>
      <c r="L273" s="22"/>
      <c r="M273" s="22"/>
      <c r="N273" s="107">
        <v>1003</v>
      </c>
    </row>
    <row r="274" spans="1:14">
      <c r="A274" s="64" t="s">
        <v>223</v>
      </c>
      <c r="B274" s="107">
        <v>670</v>
      </c>
      <c r="C274" s="107">
        <v>3257</v>
      </c>
      <c r="D274" s="107">
        <v>55</v>
      </c>
      <c r="E274" s="107">
        <v>679.27</v>
      </c>
      <c r="F274" s="107">
        <v>2449.21</v>
      </c>
      <c r="G274" s="22"/>
      <c r="H274" s="107">
        <v>3391.5</v>
      </c>
      <c r="I274" s="22"/>
      <c r="J274" s="107">
        <v>360</v>
      </c>
      <c r="K274" s="107">
        <v>329</v>
      </c>
      <c r="L274" s="22"/>
      <c r="M274" s="107">
        <v>1549.4</v>
      </c>
      <c r="N274" s="107">
        <v>12740.38</v>
      </c>
    </row>
    <row r="275" spans="1:14">
      <c r="A275" s="64" t="s">
        <v>224</v>
      </c>
      <c r="B275" s="107">
        <v>218</v>
      </c>
      <c r="C275" s="107">
        <v>546</v>
      </c>
      <c r="D275" s="107">
        <v>3417.45</v>
      </c>
      <c r="E275" s="107">
        <v>1255</v>
      </c>
      <c r="F275" s="107">
        <v>4549</v>
      </c>
      <c r="G275" s="107">
        <v>2460</v>
      </c>
      <c r="H275" s="107">
        <v>8380.3700000000008</v>
      </c>
      <c r="I275" s="107">
        <v>4979.25</v>
      </c>
      <c r="J275" s="107">
        <v>1736</v>
      </c>
      <c r="K275" s="107">
        <v>710</v>
      </c>
      <c r="L275" s="107">
        <v>1427.3</v>
      </c>
      <c r="M275" s="107">
        <v>1792.7</v>
      </c>
      <c r="N275" s="107">
        <v>31471.07</v>
      </c>
    </row>
    <row r="276" spans="1:14">
      <c r="A276" s="64" t="s">
        <v>225</v>
      </c>
      <c r="B276" s="107">
        <v>130</v>
      </c>
      <c r="C276" s="107">
        <v>347.5</v>
      </c>
      <c r="D276" s="107">
        <v>260</v>
      </c>
      <c r="E276" s="107">
        <v>1484.18</v>
      </c>
      <c r="F276" s="107">
        <v>140</v>
      </c>
      <c r="G276" s="107">
        <v>60</v>
      </c>
      <c r="H276" s="22"/>
      <c r="I276" s="107">
        <v>7306.55</v>
      </c>
      <c r="J276" s="107">
        <v>482.54</v>
      </c>
      <c r="K276" s="107">
        <v>300</v>
      </c>
      <c r="L276" s="107">
        <v>300</v>
      </c>
      <c r="M276" s="107">
        <v>1029.98</v>
      </c>
      <c r="N276" s="107">
        <v>11840.75</v>
      </c>
    </row>
    <row r="277" spans="1:14">
      <c r="A277" s="64" t="s">
        <v>226</v>
      </c>
      <c r="B277" s="107">
        <v>279.29000000000002</v>
      </c>
      <c r="C277" s="107">
        <v>139.75</v>
      </c>
      <c r="D277" s="107">
        <v>1132.9100000000001</v>
      </c>
      <c r="E277" s="107">
        <v>1483.48</v>
      </c>
      <c r="F277" s="107">
        <v>194.68</v>
      </c>
      <c r="G277" s="107">
        <v>133.41</v>
      </c>
      <c r="H277" s="107">
        <v>406.91</v>
      </c>
      <c r="I277" s="107">
        <v>1.22</v>
      </c>
      <c r="J277" s="22"/>
      <c r="K277" s="107">
        <v>260.11</v>
      </c>
      <c r="L277" s="107">
        <v>232.95</v>
      </c>
      <c r="M277" s="107">
        <v>495.95</v>
      </c>
      <c r="N277" s="107">
        <v>4760.66</v>
      </c>
    </row>
    <row r="278" spans="1:14">
      <c r="A278" s="64" t="s">
        <v>227</v>
      </c>
      <c r="B278" s="107">
        <v>112.6</v>
      </c>
      <c r="C278" s="22"/>
      <c r="D278" s="107">
        <v>72.48</v>
      </c>
      <c r="E278" s="107">
        <v>371.77</v>
      </c>
      <c r="F278" s="107">
        <v>1408.27</v>
      </c>
      <c r="G278" s="107">
        <v>494.28</v>
      </c>
      <c r="H278" s="107">
        <v>455.49</v>
      </c>
      <c r="I278" s="107">
        <v>162.07</v>
      </c>
      <c r="J278" s="22"/>
      <c r="K278" s="22"/>
      <c r="L278" s="22"/>
      <c r="M278" s="22"/>
      <c r="N278" s="107">
        <v>3076.96</v>
      </c>
    </row>
    <row r="279" spans="1:14">
      <c r="A279" s="64" t="s">
        <v>228</v>
      </c>
      <c r="B279" s="111">
        <v>1000</v>
      </c>
      <c r="C279" s="113"/>
      <c r="D279" s="113"/>
      <c r="E279" s="113"/>
      <c r="F279" s="113"/>
      <c r="G279" s="113"/>
      <c r="H279" s="113"/>
      <c r="I279" s="113"/>
      <c r="J279" s="113"/>
      <c r="K279" s="113"/>
      <c r="L279" s="113"/>
      <c r="M279" s="113"/>
      <c r="N279" s="111">
        <v>1000</v>
      </c>
    </row>
    <row r="280" spans="1:14">
      <c r="A280" s="64" t="s">
        <v>229</v>
      </c>
      <c r="B280" s="107">
        <f t="shared" ref="B280:M280" si="50">SUM(B271:B279)</f>
        <v>2409.89</v>
      </c>
      <c r="C280" s="107">
        <f t="shared" si="50"/>
        <v>4290.25</v>
      </c>
      <c r="D280" s="107">
        <f t="shared" si="50"/>
        <v>4937.8399999999992</v>
      </c>
      <c r="E280" s="107">
        <f t="shared" si="50"/>
        <v>5273.7000000000007</v>
      </c>
      <c r="F280" s="107">
        <f t="shared" si="50"/>
        <v>8741.16</v>
      </c>
      <c r="G280" s="107">
        <f t="shared" si="50"/>
        <v>4150.6899999999996</v>
      </c>
      <c r="H280" s="107">
        <f t="shared" si="50"/>
        <v>12634.27</v>
      </c>
      <c r="I280" s="107">
        <f t="shared" si="50"/>
        <v>12449.089999999998</v>
      </c>
      <c r="J280" s="107">
        <f t="shared" si="50"/>
        <v>2578.54</v>
      </c>
      <c r="K280" s="107">
        <f t="shared" si="50"/>
        <v>1599.1100000000001</v>
      </c>
      <c r="L280" s="107">
        <f t="shared" si="50"/>
        <v>1960.25</v>
      </c>
      <c r="M280" s="107">
        <f t="shared" si="50"/>
        <v>4868.03</v>
      </c>
      <c r="N280" s="107">
        <v>65892.820000000007</v>
      </c>
    </row>
    <row r="281" spans="1:14">
      <c r="A281" s="64"/>
      <c r="B281" s="22"/>
      <c r="C281" s="22"/>
      <c r="D281" s="22"/>
      <c r="E281" s="22"/>
      <c r="F281" s="22"/>
      <c r="G281" s="22"/>
      <c r="H281" s="22"/>
      <c r="I281" s="22"/>
      <c r="J281" s="22"/>
      <c r="K281" s="22"/>
      <c r="L281" s="22"/>
      <c r="M281" s="22"/>
      <c r="N281" s="22"/>
    </row>
    <row r="282" spans="1:14">
      <c r="A282" s="64" t="s">
        <v>230</v>
      </c>
      <c r="B282" s="22"/>
      <c r="C282" s="22"/>
      <c r="D282" s="22"/>
      <c r="E282" s="22"/>
      <c r="F282" s="22"/>
      <c r="G282" s="22"/>
      <c r="H282" s="22"/>
      <c r="I282" s="22"/>
      <c r="J282" s="22"/>
      <c r="K282" s="22"/>
      <c r="L282" s="22"/>
      <c r="M282" s="22"/>
      <c r="N282" s="22"/>
    </row>
    <row r="283" spans="1:14">
      <c r="A283" s="64" t="s">
        <v>231</v>
      </c>
      <c r="B283" s="107">
        <v>1392.11</v>
      </c>
      <c r="C283" s="107">
        <v>1392.11</v>
      </c>
      <c r="D283" s="107">
        <v>1392.11</v>
      </c>
      <c r="E283" s="107">
        <v>1392.11</v>
      </c>
      <c r="F283" s="107">
        <v>1392.11</v>
      </c>
      <c r="G283" s="107">
        <v>1392.11</v>
      </c>
      <c r="H283" s="107">
        <v>1392.11</v>
      </c>
      <c r="I283" s="107">
        <v>1392.11</v>
      </c>
      <c r="J283" s="107">
        <v>1392.11</v>
      </c>
      <c r="K283" s="107">
        <v>1392.11</v>
      </c>
      <c r="L283" s="107">
        <v>1392.11</v>
      </c>
      <c r="M283" s="107">
        <v>1392.11</v>
      </c>
      <c r="N283" s="107">
        <v>16705.32</v>
      </c>
    </row>
    <row r="284" spans="1:14">
      <c r="A284" s="64" t="s">
        <v>232</v>
      </c>
      <c r="B284" s="22"/>
      <c r="C284" s="22"/>
      <c r="D284" s="22"/>
      <c r="E284" s="22"/>
      <c r="F284" s="107">
        <v>271.32</v>
      </c>
      <c r="G284" s="22"/>
      <c r="H284" s="22"/>
      <c r="I284" s="22"/>
      <c r="J284" s="22"/>
      <c r="K284" s="22"/>
      <c r="L284" s="22"/>
      <c r="M284" s="22"/>
      <c r="N284" s="107">
        <v>271.32</v>
      </c>
    </row>
    <row r="285" spans="1:14">
      <c r="A285" s="64" t="s">
        <v>233</v>
      </c>
      <c r="B285" s="107">
        <v>22086</v>
      </c>
      <c r="C285" s="107">
        <v>22086</v>
      </c>
      <c r="D285" s="107">
        <v>22086</v>
      </c>
      <c r="E285" s="107">
        <v>22086</v>
      </c>
      <c r="F285" s="107">
        <v>22086</v>
      </c>
      <c r="G285" s="107">
        <v>22086</v>
      </c>
      <c r="H285" s="107">
        <v>22086</v>
      </c>
      <c r="I285" s="107">
        <v>22086</v>
      </c>
      <c r="J285" s="107">
        <v>22086</v>
      </c>
      <c r="K285" s="107">
        <v>22086</v>
      </c>
      <c r="L285" s="107">
        <v>22086</v>
      </c>
      <c r="M285" s="107">
        <v>22086</v>
      </c>
      <c r="N285" s="107">
        <v>265032</v>
      </c>
    </row>
    <row r="286" spans="1:14">
      <c r="A286" s="64" t="s">
        <v>234</v>
      </c>
      <c r="B286" s="107">
        <v>214.97</v>
      </c>
      <c r="C286" s="107"/>
      <c r="D286" s="107">
        <v>56.57</v>
      </c>
      <c r="E286" s="22"/>
      <c r="F286" s="107">
        <v>229.5</v>
      </c>
      <c r="G286" s="107">
        <v>240.62</v>
      </c>
      <c r="H286" s="22"/>
      <c r="I286" s="22"/>
      <c r="J286" s="107">
        <v>55</v>
      </c>
      <c r="K286" s="107">
        <v>1805.02</v>
      </c>
      <c r="L286" s="107">
        <v>32.729999999999997</v>
      </c>
      <c r="M286" s="107">
        <v>32.729999999999997</v>
      </c>
      <c r="N286" s="107">
        <v>2667.14</v>
      </c>
    </row>
    <row r="287" spans="1:14">
      <c r="A287" s="64" t="s">
        <v>352</v>
      </c>
      <c r="B287" s="107">
        <v>540</v>
      </c>
      <c r="C287" s="22"/>
      <c r="D287" s="22"/>
      <c r="E287" s="22"/>
      <c r="F287" s="22"/>
      <c r="G287" s="107">
        <v>3706.1</v>
      </c>
      <c r="H287" s="22"/>
      <c r="I287" s="22"/>
      <c r="J287" s="22"/>
      <c r="K287" s="22"/>
      <c r="L287" s="22"/>
      <c r="M287" s="22"/>
      <c r="N287" s="107">
        <v>4246.1000000000004</v>
      </c>
    </row>
    <row r="288" spans="1:14">
      <c r="A288" s="64" t="s">
        <v>235</v>
      </c>
      <c r="B288" s="107">
        <v>1193.3699999999999</v>
      </c>
      <c r="C288" s="107">
        <v>1475.23</v>
      </c>
      <c r="D288" s="22"/>
      <c r="E288" s="107">
        <v>526.46</v>
      </c>
      <c r="F288" s="107">
        <v>772.97</v>
      </c>
      <c r="G288" s="107">
        <v>-35.159999999999997</v>
      </c>
      <c r="H288" s="107">
        <v>32.729999999999997</v>
      </c>
      <c r="I288" s="107">
        <v>1255.19</v>
      </c>
      <c r="J288" s="107">
        <v>62.73</v>
      </c>
      <c r="K288" s="107">
        <v>1089.31</v>
      </c>
      <c r="L288" s="107">
        <v>202.65</v>
      </c>
      <c r="M288" s="107">
        <v>21.95</v>
      </c>
      <c r="N288" s="107">
        <v>6597.43</v>
      </c>
    </row>
    <row r="289" spans="1:14">
      <c r="A289" s="64" t="s">
        <v>228</v>
      </c>
      <c r="B289" s="113"/>
      <c r="C289" s="111">
        <v>607.30999999999995</v>
      </c>
      <c r="D289" s="113"/>
      <c r="E289" s="113"/>
      <c r="F289" s="113"/>
      <c r="G289" s="113"/>
      <c r="H289" s="113"/>
      <c r="I289" s="113"/>
      <c r="J289" s="113"/>
      <c r="K289" s="113"/>
      <c r="L289" s="113"/>
      <c r="M289" s="113"/>
      <c r="N289" s="111">
        <v>607.30999999999995</v>
      </c>
    </row>
    <row r="290" spans="1:14">
      <c r="A290" s="64" t="s">
        <v>236</v>
      </c>
      <c r="B290" s="107">
        <f t="shared" ref="B290:M290" si="51">SUM(B281:B289)</f>
        <v>25426.45</v>
      </c>
      <c r="C290" s="107">
        <f t="shared" si="51"/>
        <v>25560.65</v>
      </c>
      <c r="D290" s="107">
        <f t="shared" si="51"/>
        <v>23534.68</v>
      </c>
      <c r="E290" s="107">
        <f t="shared" si="51"/>
        <v>24004.57</v>
      </c>
      <c r="F290" s="107">
        <f t="shared" si="51"/>
        <v>24751.9</v>
      </c>
      <c r="G290" s="107">
        <f t="shared" si="51"/>
        <v>27389.67</v>
      </c>
      <c r="H290" s="107">
        <f t="shared" si="51"/>
        <v>23510.84</v>
      </c>
      <c r="I290" s="107">
        <f t="shared" si="51"/>
        <v>24733.3</v>
      </c>
      <c r="J290" s="107">
        <f t="shared" si="51"/>
        <v>23595.84</v>
      </c>
      <c r="K290" s="107">
        <f t="shared" si="51"/>
        <v>26372.440000000002</v>
      </c>
      <c r="L290" s="107">
        <f t="shared" si="51"/>
        <v>23713.49</v>
      </c>
      <c r="M290" s="107">
        <f t="shared" si="51"/>
        <v>23532.79</v>
      </c>
      <c r="N290" s="107">
        <v>296126.62</v>
      </c>
    </row>
    <row r="291" spans="1:14">
      <c r="A291" s="64"/>
      <c r="B291" s="22"/>
      <c r="C291" s="22"/>
      <c r="D291" s="22"/>
      <c r="E291" s="22"/>
      <c r="F291" s="22"/>
      <c r="G291" s="22"/>
      <c r="H291" s="22"/>
      <c r="I291" s="22"/>
      <c r="J291" s="22"/>
      <c r="K291" s="22"/>
      <c r="L291" s="22"/>
      <c r="M291" s="22"/>
      <c r="N291" s="22"/>
    </row>
    <row r="292" spans="1:14">
      <c r="A292" s="64" t="s">
        <v>237</v>
      </c>
      <c r="B292" s="22"/>
      <c r="C292" s="22"/>
      <c r="D292" s="22"/>
      <c r="E292" s="22"/>
      <c r="F292" s="22"/>
      <c r="G292" s="22"/>
      <c r="H292" s="22"/>
      <c r="I292" s="22"/>
      <c r="J292" s="22"/>
      <c r="K292" s="22"/>
      <c r="L292" s="22"/>
      <c r="M292" s="22"/>
      <c r="N292" s="22"/>
    </row>
    <row r="293" spans="1:14">
      <c r="A293" s="64" t="s">
        <v>375</v>
      </c>
      <c r="B293" s="22"/>
      <c r="C293" s="107">
        <v>3766</v>
      </c>
      <c r="D293" s="22"/>
      <c r="E293" s="22"/>
      <c r="F293" s="22"/>
      <c r="G293" s="22"/>
      <c r="H293" s="22"/>
      <c r="I293" s="107">
        <v>15110</v>
      </c>
      <c r="J293" s="22"/>
      <c r="K293" s="22"/>
      <c r="L293" s="22"/>
      <c r="M293" s="107">
        <v>15990</v>
      </c>
      <c r="N293" s="107">
        <v>34866</v>
      </c>
    </row>
    <row r="294" spans="1:14">
      <c r="A294" s="64" t="s">
        <v>228</v>
      </c>
      <c r="B294" s="111">
        <v>6136</v>
      </c>
      <c r="C294" s="111">
        <v>6130</v>
      </c>
      <c r="D294" s="111">
        <v>7555</v>
      </c>
      <c r="E294" s="111">
        <v>7143</v>
      </c>
      <c r="F294" s="111">
        <v>244723</v>
      </c>
      <c r="G294" s="111">
        <v>7143</v>
      </c>
      <c r="H294" s="111">
        <v>32138.48</v>
      </c>
      <c r="I294" s="111">
        <v>32501</v>
      </c>
      <c r="J294" s="111">
        <v>6629</v>
      </c>
      <c r="K294" s="111">
        <v>7059</v>
      </c>
      <c r="L294" s="111">
        <v>31720</v>
      </c>
      <c r="M294" s="111">
        <v>22832</v>
      </c>
      <c r="N294" s="111">
        <v>411709.48</v>
      </c>
    </row>
    <row r="295" spans="1:14">
      <c r="A295" s="64" t="s">
        <v>238</v>
      </c>
      <c r="B295" s="107">
        <f t="shared" ref="B295:M295" si="52">SUM(B291:B294)</f>
        <v>6136</v>
      </c>
      <c r="C295" s="107">
        <f t="shared" si="52"/>
        <v>9896</v>
      </c>
      <c r="D295" s="107">
        <f t="shared" si="52"/>
        <v>7555</v>
      </c>
      <c r="E295" s="107">
        <f t="shared" si="52"/>
        <v>7143</v>
      </c>
      <c r="F295" s="107">
        <f t="shared" si="52"/>
        <v>244723</v>
      </c>
      <c r="G295" s="107">
        <f t="shared" si="52"/>
        <v>7143</v>
      </c>
      <c r="H295" s="107">
        <f t="shared" si="52"/>
        <v>32138.48</v>
      </c>
      <c r="I295" s="107">
        <f t="shared" si="52"/>
        <v>47611</v>
      </c>
      <c r="J295" s="107">
        <f t="shared" si="52"/>
        <v>6629</v>
      </c>
      <c r="K295" s="107">
        <f t="shared" si="52"/>
        <v>7059</v>
      </c>
      <c r="L295" s="107">
        <f t="shared" si="52"/>
        <v>31720</v>
      </c>
      <c r="M295" s="107">
        <f t="shared" si="52"/>
        <v>38822</v>
      </c>
      <c r="N295" s="107">
        <v>446575.48</v>
      </c>
    </row>
    <row r="296" spans="1:14">
      <c r="A296" s="64"/>
      <c r="B296" s="22"/>
      <c r="C296" s="22"/>
      <c r="D296" s="22"/>
      <c r="E296" s="22"/>
      <c r="F296" s="22"/>
      <c r="G296" s="22"/>
      <c r="H296" s="22"/>
      <c r="I296" s="22"/>
      <c r="J296" s="22"/>
      <c r="K296" s="22"/>
      <c r="L296" s="22"/>
      <c r="M296" s="22"/>
      <c r="N296" s="22"/>
    </row>
    <row r="297" spans="1:14">
      <c r="A297" s="64" t="s">
        <v>239</v>
      </c>
      <c r="B297" s="22"/>
      <c r="C297" s="22"/>
      <c r="D297" s="22"/>
      <c r="E297" s="22"/>
      <c r="F297" s="22"/>
      <c r="G297" s="22"/>
      <c r="H297" s="22"/>
      <c r="I297" s="22"/>
      <c r="J297" s="22"/>
      <c r="K297" s="22"/>
      <c r="L297" s="22"/>
      <c r="M297" s="22"/>
      <c r="N297" s="22"/>
    </row>
    <row r="298" spans="1:14">
      <c r="A298" s="64" t="s">
        <v>240</v>
      </c>
      <c r="B298" s="107">
        <v>1094.58</v>
      </c>
      <c r="C298" s="107">
        <v>1094.58</v>
      </c>
      <c r="D298" s="107">
        <v>1094.58</v>
      </c>
      <c r="E298" s="107">
        <v>1094.58</v>
      </c>
      <c r="F298" s="107">
        <v>1094.58</v>
      </c>
      <c r="G298" s="107">
        <v>1094.58</v>
      </c>
      <c r="H298" s="107">
        <v>1094.58</v>
      </c>
      <c r="I298" s="107">
        <v>1520.92</v>
      </c>
      <c r="J298" s="107">
        <v>1307.75</v>
      </c>
      <c r="K298" s="107">
        <v>1307.75</v>
      </c>
      <c r="L298" s="107">
        <v>1307.75</v>
      </c>
      <c r="M298" s="107">
        <v>1307.75</v>
      </c>
      <c r="N298" s="107">
        <v>14413.98</v>
      </c>
    </row>
    <row r="299" spans="1:14">
      <c r="A299" s="64" t="s">
        <v>241</v>
      </c>
      <c r="B299" s="107">
        <v>125.5</v>
      </c>
      <c r="C299" s="107">
        <v>125.5</v>
      </c>
      <c r="D299" s="107">
        <v>125.5</v>
      </c>
      <c r="E299" s="107">
        <v>125.5</v>
      </c>
      <c r="F299" s="107">
        <v>125.5</v>
      </c>
      <c r="G299" s="107">
        <v>125.5</v>
      </c>
      <c r="H299" s="107">
        <v>125.5</v>
      </c>
      <c r="I299" s="107">
        <v>-125.5</v>
      </c>
      <c r="J299" s="22"/>
      <c r="K299" s="22"/>
      <c r="L299" s="22"/>
      <c r="M299" s="22"/>
      <c r="N299" s="107">
        <v>753</v>
      </c>
    </row>
    <row r="300" spans="1:14">
      <c r="A300" s="64" t="s">
        <v>242</v>
      </c>
      <c r="B300" s="107">
        <v>2648.75</v>
      </c>
      <c r="C300" s="107">
        <v>2648.75</v>
      </c>
      <c r="D300" s="107">
        <v>2648.75</v>
      </c>
      <c r="E300" s="107">
        <v>2648.75</v>
      </c>
      <c r="F300" s="107">
        <v>2648.75</v>
      </c>
      <c r="G300" s="107">
        <v>3237.37</v>
      </c>
      <c r="H300" s="107">
        <v>2657.71</v>
      </c>
      <c r="I300" s="107">
        <v>2657.71</v>
      </c>
      <c r="J300" s="107">
        <v>2925.86</v>
      </c>
      <c r="K300" s="107">
        <v>4441.75</v>
      </c>
      <c r="L300" s="107">
        <v>2657.71</v>
      </c>
      <c r="M300" s="107">
        <v>2657.71</v>
      </c>
      <c r="N300" s="107">
        <v>34479.57</v>
      </c>
    </row>
    <row r="301" spans="1:14">
      <c r="A301" s="64" t="s">
        <v>284</v>
      </c>
      <c r="B301" s="22"/>
      <c r="C301" s="107"/>
      <c r="D301" s="22"/>
      <c r="E301" s="22"/>
      <c r="F301" s="107">
        <v>-19858</v>
      </c>
      <c r="G301" s="22"/>
      <c r="H301" s="22"/>
      <c r="I301" s="22"/>
      <c r="J301" s="22"/>
      <c r="K301" s="22"/>
      <c r="L301" s="22"/>
      <c r="M301" s="22"/>
      <c r="N301" s="107">
        <v>-19858</v>
      </c>
    </row>
    <row r="302" spans="1:14">
      <c r="A302" s="64" t="s">
        <v>243</v>
      </c>
      <c r="B302" s="107">
        <v>3876.86</v>
      </c>
      <c r="C302" s="107">
        <v>3923.1</v>
      </c>
      <c r="D302" s="107">
        <v>3949.5</v>
      </c>
      <c r="E302" s="107">
        <v>3949.5</v>
      </c>
      <c r="F302" s="107">
        <v>7182.14</v>
      </c>
      <c r="G302" s="22"/>
      <c r="H302" s="22"/>
      <c r="I302" s="22"/>
      <c r="J302" s="107">
        <v>4345</v>
      </c>
      <c r="K302" s="22"/>
      <c r="L302" s="107">
        <v>2151</v>
      </c>
      <c r="M302" s="107">
        <v>3374</v>
      </c>
      <c r="N302" s="107">
        <v>32751.1</v>
      </c>
    </row>
    <row r="303" spans="1:14">
      <c r="A303" s="64" t="s">
        <v>387</v>
      </c>
      <c r="B303" s="113"/>
      <c r="C303" s="113"/>
      <c r="D303" s="113"/>
      <c r="E303" s="113"/>
      <c r="F303" s="113"/>
      <c r="G303" s="113"/>
      <c r="H303" s="113"/>
      <c r="I303" s="113"/>
      <c r="J303" s="113"/>
      <c r="K303" s="113"/>
      <c r="L303" s="113"/>
      <c r="M303" s="113"/>
      <c r="N303" s="113"/>
    </row>
    <row r="304" spans="1:14">
      <c r="A304" s="64" t="s">
        <v>244</v>
      </c>
      <c r="B304" s="107">
        <f t="shared" ref="B304:M304" si="53">SUM(B296:B303)</f>
        <v>7745.6900000000005</v>
      </c>
      <c r="C304" s="107">
        <f t="shared" si="53"/>
        <v>7791.93</v>
      </c>
      <c r="D304" s="107">
        <f t="shared" si="53"/>
        <v>7818.33</v>
      </c>
      <c r="E304" s="107">
        <f t="shared" si="53"/>
        <v>7818.33</v>
      </c>
      <c r="F304" s="107">
        <f t="shared" si="53"/>
        <v>-8807.0299999999988</v>
      </c>
      <c r="G304" s="107">
        <f t="shared" si="53"/>
        <v>4457.45</v>
      </c>
      <c r="H304" s="107">
        <f t="shared" si="53"/>
        <v>3877.79</v>
      </c>
      <c r="I304" s="107">
        <f t="shared" si="53"/>
        <v>4053.13</v>
      </c>
      <c r="J304" s="107">
        <f t="shared" si="53"/>
        <v>8578.61</v>
      </c>
      <c r="K304" s="107">
        <f t="shared" si="53"/>
        <v>5749.5</v>
      </c>
      <c r="L304" s="107">
        <f t="shared" si="53"/>
        <v>6116.46</v>
      </c>
      <c r="M304" s="107">
        <f t="shared" si="53"/>
        <v>7339.46</v>
      </c>
      <c r="N304" s="107">
        <v>62539.65</v>
      </c>
    </row>
    <row r="305" spans="1:14">
      <c r="A305" s="64"/>
      <c r="B305" s="22"/>
      <c r="C305" s="22"/>
      <c r="D305" s="22"/>
      <c r="E305" s="22"/>
      <c r="F305" s="22"/>
      <c r="G305" s="22"/>
      <c r="H305" s="22"/>
      <c r="I305" s="22"/>
      <c r="J305" s="22"/>
      <c r="K305" s="22"/>
      <c r="L305" s="22"/>
      <c r="M305" s="22"/>
      <c r="N305" s="22"/>
    </row>
    <row r="306" spans="1:14">
      <c r="A306" s="64" t="s">
        <v>245</v>
      </c>
      <c r="B306" s="22"/>
      <c r="C306" s="22"/>
      <c r="D306" s="22"/>
      <c r="E306" s="22"/>
      <c r="F306" s="22"/>
      <c r="G306" s="22"/>
      <c r="H306" s="22"/>
      <c r="I306" s="22"/>
      <c r="J306" s="22"/>
      <c r="K306" s="22"/>
      <c r="L306" s="22"/>
      <c r="M306" s="22"/>
      <c r="N306" s="22"/>
    </row>
    <row r="307" spans="1:14">
      <c r="A307" s="64" t="s">
        <v>246</v>
      </c>
      <c r="B307" s="107">
        <v>3260.42</v>
      </c>
      <c r="C307" s="107">
        <v>3260.42</v>
      </c>
      <c r="D307" s="107">
        <v>3260.42</v>
      </c>
      <c r="E307" s="107">
        <v>3260.42</v>
      </c>
      <c r="F307" s="107">
        <v>3342.89</v>
      </c>
      <c r="G307" s="107">
        <v>3342.89</v>
      </c>
      <c r="H307" s="107">
        <v>3225.93</v>
      </c>
      <c r="I307" s="107">
        <v>3284.41</v>
      </c>
      <c r="J307" s="107">
        <v>3276.39</v>
      </c>
      <c r="K307" s="107">
        <v>3268.34</v>
      </c>
      <c r="L307" s="107">
        <v>3268.34</v>
      </c>
      <c r="M307" s="107">
        <v>3349.59</v>
      </c>
      <c r="N307" s="107">
        <v>39400.46</v>
      </c>
    </row>
    <row r="308" spans="1:14">
      <c r="A308" s="64" t="s">
        <v>247</v>
      </c>
      <c r="B308" s="107">
        <v>1820.05</v>
      </c>
      <c r="C308" s="107">
        <v>1858.05</v>
      </c>
      <c r="D308" s="107">
        <v>1769.65</v>
      </c>
      <c r="E308" s="107">
        <v>1769.65</v>
      </c>
      <c r="F308" s="107">
        <v>1769.57</v>
      </c>
      <c r="G308" s="107">
        <v>1769.57</v>
      </c>
      <c r="H308" s="107">
        <v>1733.7</v>
      </c>
      <c r="I308" s="107">
        <v>1656.43</v>
      </c>
      <c r="J308" s="107">
        <v>1595.64</v>
      </c>
      <c r="K308" s="107">
        <v>1581</v>
      </c>
      <c r="L308" s="107">
        <v>1569.84</v>
      </c>
      <c r="M308" s="107">
        <v>1484.69</v>
      </c>
      <c r="N308" s="107">
        <v>20377.84</v>
      </c>
    </row>
    <row r="309" spans="1:14">
      <c r="A309" s="64" t="s">
        <v>362</v>
      </c>
      <c r="B309" s="113"/>
      <c r="C309" s="113"/>
      <c r="D309" s="113"/>
      <c r="E309" s="113"/>
      <c r="F309" s="113"/>
      <c r="G309" s="113"/>
      <c r="H309" s="113"/>
      <c r="I309" s="113"/>
      <c r="J309" s="113"/>
      <c r="K309" s="113"/>
      <c r="L309" s="113"/>
      <c r="M309" s="113"/>
      <c r="N309" s="113"/>
    </row>
    <row r="310" spans="1:14">
      <c r="A310" s="64" t="s">
        <v>250</v>
      </c>
      <c r="B310" s="107">
        <f t="shared" ref="B310:M310" si="54">SUM(B305:B309)</f>
        <v>5080.47</v>
      </c>
      <c r="C310" s="107">
        <f t="shared" si="54"/>
        <v>5118.47</v>
      </c>
      <c r="D310" s="107">
        <f t="shared" si="54"/>
        <v>5030.07</v>
      </c>
      <c r="E310" s="107">
        <f t="shared" si="54"/>
        <v>5030.07</v>
      </c>
      <c r="F310" s="107">
        <f t="shared" si="54"/>
        <v>5112.46</v>
      </c>
      <c r="G310" s="107">
        <f t="shared" si="54"/>
        <v>5112.46</v>
      </c>
      <c r="H310" s="107">
        <f t="shared" si="54"/>
        <v>4959.63</v>
      </c>
      <c r="I310" s="107">
        <f t="shared" si="54"/>
        <v>4940.84</v>
      </c>
      <c r="J310" s="107">
        <f t="shared" si="54"/>
        <v>4872.03</v>
      </c>
      <c r="K310" s="107">
        <f t="shared" si="54"/>
        <v>4849.34</v>
      </c>
      <c r="L310" s="107">
        <f t="shared" si="54"/>
        <v>4838.18</v>
      </c>
      <c r="M310" s="107">
        <f t="shared" si="54"/>
        <v>4834.2800000000007</v>
      </c>
      <c r="N310" s="107">
        <v>59778.3</v>
      </c>
    </row>
    <row r="311" spans="1:14">
      <c r="A311" s="64"/>
      <c r="B311" s="22"/>
      <c r="C311" s="22"/>
      <c r="D311" s="22"/>
      <c r="E311" s="22"/>
      <c r="F311" s="22"/>
      <c r="G311" s="22"/>
      <c r="H311" s="22"/>
      <c r="I311" s="22"/>
      <c r="J311" s="22"/>
      <c r="K311" s="22"/>
      <c r="L311" s="22"/>
      <c r="M311" s="22"/>
      <c r="N311" s="22"/>
    </row>
    <row r="312" spans="1:14">
      <c r="A312" s="64" t="s">
        <v>251</v>
      </c>
      <c r="B312" s="22"/>
      <c r="C312" s="22"/>
      <c r="D312" s="22"/>
      <c r="E312" s="22"/>
      <c r="F312" s="22"/>
      <c r="G312" s="22"/>
      <c r="H312" s="22"/>
      <c r="I312" s="22"/>
      <c r="J312" s="22"/>
      <c r="K312" s="22"/>
      <c r="L312" s="22"/>
      <c r="M312" s="22"/>
      <c r="N312" s="22"/>
    </row>
    <row r="313" spans="1:14">
      <c r="A313" s="64" t="s">
        <v>252</v>
      </c>
      <c r="B313" s="107">
        <v>28379</v>
      </c>
      <c r="C313" s="107">
        <v>29157.58</v>
      </c>
      <c r="D313" s="107">
        <v>29157.58</v>
      </c>
      <c r="E313" s="107">
        <v>29157.58</v>
      </c>
      <c r="F313" s="107">
        <v>29157.58</v>
      </c>
      <c r="G313" s="107">
        <v>29157.58</v>
      </c>
      <c r="H313" s="107">
        <v>29157.58</v>
      </c>
      <c r="I313" s="107">
        <v>29157.58</v>
      </c>
      <c r="J313" s="107">
        <v>29157.58</v>
      </c>
      <c r="K313" s="107">
        <v>29157.58</v>
      </c>
      <c r="L313" s="107">
        <v>29157.58</v>
      </c>
      <c r="M313" s="107">
        <v>31617.24</v>
      </c>
      <c r="N313" s="107">
        <v>351572.04</v>
      </c>
    </row>
    <row r="314" spans="1:14">
      <c r="A314" s="64" t="s">
        <v>253</v>
      </c>
      <c r="B314" s="107">
        <v>158.1</v>
      </c>
      <c r="C314" s="107">
        <v>157.06</v>
      </c>
      <c r="D314" s="107">
        <v>148.5</v>
      </c>
      <c r="E314" s="107">
        <v>141.46</v>
      </c>
      <c r="F314" s="107">
        <v>48.64</v>
      </c>
      <c r="G314" s="22"/>
      <c r="H314" s="22"/>
      <c r="I314" s="107">
        <v>93.42</v>
      </c>
      <c r="J314" s="107">
        <v>113.77</v>
      </c>
      <c r="K314" s="107">
        <v>113.77</v>
      </c>
      <c r="L314" s="107">
        <v>91.55</v>
      </c>
      <c r="M314" s="107">
        <v>91.55</v>
      </c>
      <c r="N314" s="107">
        <v>1157.82</v>
      </c>
    </row>
    <row r="315" spans="1:14">
      <c r="A315" s="64" t="s">
        <v>254</v>
      </c>
      <c r="B315" s="111">
        <v>16.399999999999999</v>
      </c>
      <c r="C315" s="111">
        <v>10.050000000000001</v>
      </c>
      <c r="D315" s="111">
        <v>42.05</v>
      </c>
      <c r="E315" s="111">
        <v>41.03</v>
      </c>
      <c r="F315" s="111">
        <v>151.30000000000001</v>
      </c>
      <c r="G315" s="111">
        <v>996.2</v>
      </c>
      <c r="H315" s="111">
        <v>276.85000000000002</v>
      </c>
      <c r="I315" s="111">
        <v>35.049999999999997</v>
      </c>
      <c r="J315" s="111">
        <v>0.56999999999999995</v>
      </c>
      <c r="K315" s="113"/>
      <c r="L315" s="111">
        <v>1.54</v>
      </c>
      <c r="M315" s="111">
        <v>32.65</v>
      </c>
      <c r="N315" s="111">
        <v>1603.69</v>
      </c>
    </row>
    <row r="316" spans="1:14">
      <c r="A316" s="64" t="s">
        <v>255</v>
      </c>
      <c r="B316" s="107">
        <f t="shared" ref="B316:M316" si="55">SUM(B311:B315)</f>
        <v>28553.5</v>
      </c>
      <c r="C316" s="107">
        <f t="shared" si="55"/>
        <v>29324.690000000002</v>
      </c>
      <c r="D316" s="107">
        <f t="shared" si="55"/>
        <v>29348.13</v>
      </c>
      <c r="E316" s="107">
        <f t="shared" si="55"/>
        <v>29340.07</v>
      </c>
      <c r="F316" s="107">
        <f t="shared" si="55"/>
        <v>29357.52</v>
      </c>
      <c r="G316" s="107">
        <f t="shared" si="55"/>
        <v>30153.780000000002</v>
      </c>
      <c r="H316" s="107">
        <f t="shared" si="55"/>
        <v>29434.43</v>
      </c>
      <c r="I316" s="107">
        <f t="shared" si="55"/>
        <v>29286.05</v>
      </c>
      <c r="J316" s="107">
        <f t="shared" si="55"/>
        <v>29271.920000000002</v>
      </c>
      <c r="K316" s="107">
        <f t="shared" si="55"/>
        <v>29271.350000000002</v>
      </c>
      <c r="L316" s="107">
        <f t="shared" si="55"/>
        <v>29250.670000000002</v>
      </c>
      <c r="M316" s="107">
        <f t="shared" si="55"/>
        <v>31741.440000000002</v>
      </c>
      <c r="N316" s="107">
        <v>354333.55</v>
      </c>
    </row>
    <row r="317" spans="1:14">
      <c r="A317" s="64"/>
      <c r="B317" s="22"/>
      <c r="C317" s="22"/>
      <c r="D317" s="22"/>
      <c r="E317" s="22"/>
      <c r="F317" s="22"/>
      <c r="G317" s="22"/>
      <c r="H317" s="22"/>
      <c r="I317" s="22"/>
      <c r="J317" s="22"/>
      <c r="K317" s="22"/>
      <c r="L317" s="22"/>
      <c r="M317" s="22"/>
      <c r="N317" s="22"/>
    </row>
    <row r="318" spans="1:14">
      <c r="A318" s="64" t="s">
        <v>256</v>
      </c>
      <c r="B318" s="22"/>
      <c r="C318" s="22"/>
      <c r="D318" s="22"/>
      <c r="E318" s="22"/>
      <c r="F318" s="22"/>
      <c r="G318" s="22"/>
      <c r="H318" s="22"/>
      <c r="I318" s="22"/>
      <c r="J318" s="22"/>
      <c r="K318" s="22"/>
      <c r="L318" s="22"/>
      <c r="M318" s="22"/>
      <c r="N318" s="22"/>
    </row>
    <row r="319" spans="1:14">
      <c r="A319" s="64" t="s">
        <v>257</v>
      </c>
      <c r="B319" s="111">
        <v>27.78</v>
      </c>
      <c r="C319" s="113"/>
      <c r="D319" s="111">
        <v>360.18</v>
      </c>
      <c r="E319" s="113"/>
      <c r="F319" s="111">
        <v>-68285.25</v>
      </c>
      <c r="G319" s="113"/>
      <c r="H319" s="113"/>
      <c r="I319" s="113"/>
      <c r="J319" s="113"/>
      <c r="K319" s="113"/>
      <c r="L319" s="113"/>
      <c r="M319" s="111">
        <v>3261.89</v>
      </c>
      <c r="N319" s="111">
        <v>-64635.4</v>
      </c>
    </row>
    <row r="320" spans="1:14">
      <c r="A320" s="64" t="s">
        <v>258</v>
      </c>
      <c r="B320" s="107">
        <f>SUM(B317:B319)</f>
        <v>27.78</v>
      </c>
      <c r="C320" s="107"/>
      <c r="D320" s="107">
        <f>SUM(D317:D319)</f>
        <v>360.18</v>
      </c>
      <c r="E320" s="107"/>
      <c r="F320" s="107">
        <f>SUM(F317:F319)</f>
        <v>-68285.25</v>
      </c>
      <c r="G320" s="107"/>
      <c r="H320" s="107"/>
      <c r="I320" s="107"/>
      <c r="J320" s="107"/>
      <c r="K320" s="107"/>
      <c r="L320" s="107"/>
      <c r="M320" s="107">
        <f>SUM(M317:M319)</f>
        <v>3261.89</v>
      </c>
      <c r="N320" s="107">
        <v>-64635.4</v>
      </c>
    </row>
    <row r="321" spans="1:14">
      <c r="A321" s="64"/>
      <c r="B321" s="22"/>
      <c r="C321" s="22"/>
      <c r="D321" s="22"/>
      <c r="E321" s="22"/>
      <c r="F321" s="22"/>
      <c r="G321" s="22"/>
      <c r="H321" s="22"/>
      <c r="I321" s="22"/>
      <c r="J321" s="22"/>
      <c r="K321" s="22"/>
      <c r="L321" s="22"/>
      <c r="M321" s="22"/>
      <c r="N321" s="22"/>
    </row>
    <row r="322" spans="1:14" ht="15.75" thickBot="1">
      <c r="A322" s="64" t="s">
        <v>62</v>
      </c>
      <c r="B322" s="112">
        <f t="shared" ref="B322:M322" si="56">SUM(B175:B321)-B193-B201-B212-B228-B253-B270-B280-B290-B295-B304-B310-B316-B320</f>
        <v>369158.19999999995</v>
      </c>
      <c r="C322" s="112">
        <f t="shared" si="56"/>
        <v>383191.48000000045</v>
      </c>
      <c r="D322" s="112">
        <f t="shared" si="56"/>
        <v>325909.26</v>
      </c>
      <c r="E322" s="112">
        <f t="shared" si="56"/>
        <v>349688.74999999994</v>
      </c>
      <c r="F322" s="112">
        <f t="shared" si="56"/>
        <v>422992.08</v>
      </c>
      <c r="G322" s="112">
        <f t="shared" si="56"/>
        <v>340307.32999999967</v>
      </c>
      <c r="H322" s="112">
        <f t="shared" si="56"/>
        <v>372609.20999999967</v>
      </c>
      <c r="I322" s="112">
        <f t="shared" si="56"/>
        <v>416796.60999999993</v>
      </c>
      <c r="J322" s="112">
        <f t="shared" si="56"/>
        <v>351029.27000000019</v>
      </c>
      <c r="K322" s="112">
        <f t="shared" si="56"/>
        <v>386532.4</v>
      </c>
      <c r="L322" s="112">
        <f t="shared" si="56"/>
        <v>359419.75999999995</v>
      </c>
      <c r="M322" s="112">
        <f t="shared" si="56"/>
        <v>431133.98999999982</v>
      </c>
      <c r="N322" s="112">
        <v>4508768.34</v>
      </c>
    </row>
    <row r="323" spans="1:14" ht="15.75" thickTop="1">
      <c r="A323" s="64"/>
      <c r="B323" s="22"/>
      <c r="C323" s="22"/>
      <c r="D323" s="22"/>
      <c r="E323" s="22"/>
      <c r="F323" s="22"/>
      <c r="G323" s="22"/>
      <c r="H323" s="22"/>
      <c r="I323" s="22"/>
      <c r="J323" s="22"/>
      <c r="K323" s="22"/>
      <c r="L323" s="22"/>
      <c r="M323" s="22"/>
      <c r="N323" s="22"/>
    </row>
    <row r="324" spans="1:14" ht="15.75" thickBot="1">
      <c r="A324" s="64" t="s">
        <v>259</v>
      </c>
      <c r="B324" s="112">
        <f t="shared" ref="B324:M324" si="57">+B172-B322</f>
        <v>-59357.489999999874</v>
      </c>
      <c r="C324" s="112">
        <f t="shared" si="57"/>
        <v>-30502.82000000024</v>
      </c>
      <c r="D324" s="112">
        <f t="shared" si="57"/>
        <v>53204.329999999842</v>
      </c>
      <c r="E324" s="112">
        <f t="shared" si="57"/>
        <v>8679.890000000014</v>
      </c>
      <c r="F324" s="112">
        <f t="shared" si="57"/>
        <v>-123806.00999999995</v>
      </c>
      <c r="G324" s="112">
        <f t="shared" si="57"/>
        <v>35068.120000000694</v>
      </c>
      <c r="H324" s="112">
        <f t="shared" si="57"/>
        <v>-8835.4700000000303</v>
      </c>
      <c r="I324" s="112">
        <f t="shared" si="57"/>
        <v>-39842.570000000647</v>
      </c>
      <c r="J324" s="112">
        <f t="shared" si="57"/>
        <v>-17277.080000000191</v>
      </c>
      <c r="K324" s="112">
        <f t="shared" si="57"/>
        <v>-32736.410000000091</v>
      </c>
      <c r="L324" s="112">
        <f t="shared" si="57"/>
        <v>-23415.469999999914</v>
      </c>
      <c r="M324" s="112">
        <f t="shared" si="57"/>
        <v>36950.010000000242</v>
      </c>
      <c r="N324" s="112">
        <v>-201870.97</v>
      </c>
    </row>
    <row r="325" spans="1:14" ht="15.75" thickTop="1">
      <c r="A325" s="64"/>
      <c r="B325" s="22"/>
      <c r="C325" s="22"/>
      <c r="D325" s="22"/>
      <c r="E325" s="22"/>
      <c r="F325" s="22"/>
      <c r="G325" s="22"/>
      <c r="H325" s="22"/>
      <c r="I325" s="22"/>
      <c r="J325" s="22"/>
      <c r="K325" s="22"/>
      <c r="L325" s="22"/>
      <c r="M325" s="22"/>
      <c r="N325" s="22"/>
    </row>
    <row r="326" spans="1:14">
      <c r="A326" s="64" t="s">
        <v>351</v>
      </c>
      <c r="B326" s="111">
        <v>3102.08</v>
      </c>
      <c r="C326" s="111">
        <v>1128.76</v>
      </c>
      <c r="D326" s="111">
        <v>1362.4</v>
      </c>
      <c r="E326" s="111">
        <v>1289.46</v>
      </c>
      <c r="F326" s="111">
        <v>102903.95</v>
      </c>
      <c r="G326" s="111">
        <v>18229.349999999999</v>
      </c>
      <c r="H326" s="111">
        <v>1855.09</v>
      </c>
      <c r="I326" s="111">
        <v>1233</v>
      </c>
      <c r="J326" s="111">
        <v>1787.29</v>
      </c>
      <c r="K326" s="111">
        <v>948.9</v>
      </c>
      <c r="L326" s="113"/>
      <c r="M326" s="113"/>
      <c r="N326" s="111">
        <v>133840.28</v>
      </c>
    </row>
    <row r="327" spans="1:14">
      <c r="A327" s="64" t="s">
        <v>64</v>
      </c>
      <c r="B327" s="107">
        <f t="shared" ref="B327:K327" si="58">SUM(B325:B326)</f>
        <v>3102.08</v>
      </c>
      <c r="C327" s="107">
        <f t="shared" si="58"/>
        <v>1128.76</v>
      </c>
      <c r="D327" s="107">
        <f t="shared" si="58"/>
        <v>1362.4</v>
      </c>
      <c r="E327" s="107">
        <f t="shared" si="58"/>
        <v>1289.46</v>
      </c>
      <c r="F327" s="107">
        <f t="shared" si="58"/>
        <v>102903.95</v>
      </c>
      <c r="G327" s="107">
        <f t="shared" si="58"/>
        <v>18229.349999999999</v>
      </c>
      <c r="H327" s="107">
        <f t="shared" si="58"/>
        <v>1855.09</v>
      </c>
      <c r="I327" s="107">
        <f t="shared" si="58"/>
        <v>1233</v>
      </c>
      <c r="J327" s="107">
        <f t="shared" si="58"/>
        <v>1787.29</v>
      </c>
      <c r="K327" s="107">
        <f t="shared" si="58"/>
        <v>948.9</v>
      </c>
      <c r="L327" s="107"/>
      <c r="M327" s="107"/>
      <c r="N327" s="107">
        <v>133840.28</v>
      </c>
    </row>
    <row r="328" spans="1:14">
      <c r="A328" s="64"/>
      <c r="B328" s="22"/>
      <c r="C328" s="22"/>
      <c r="D328" s="22"/>
      <c r="E328" s="22"/>
      <c r="F328" s="22"/>
      <c r="G328" s="22"/>
      <c r="H328" s="22"/>
      <c r="I328" s="22"/>
      <c r="J328" s="22"/>
      <c r="K328" s="22"/>
      <c r="L328" s="22"/>
      <c r="M328" s="22"/>
      <c r="N328" s="22"/>
    </row>
    <row r="329" spans="1:14" ht="15.75" thickBot="1">
      <c r="A329" s="64" t="s">
        <v>22</v>
      </c>
      <c r="B329" s="112">
        <f t="shared" ref="B329:M329" si="59">+B324-B327</f>
        <v>-62459.569999999876</v>
      </c>
      <c r="C329" s="112">
        <f t="shared" si="59"/>
        <v>-31631.580000000238</v>
      </c>
      <c r="D329" s="112">
        <f t="shared" si="59"/>
        <v>51841.92999999984</v>
      </c>
      <c r="E329" s="112">
        <f t="shared" si="59"/>
        <v>7390.4300000000139</v>
      </c>
      <c r="F329" s="112">
        <f t="shared" si="59"/>
        <v>-226709.95999999996</v>
      </c>
      <c r="G329" s="112">
        <f t="shared" si="59"/>
        <v>16838.770000000695</v>
      </c>
      <c r="H329" s="112">
        <f t="shared" si="59"/>
        <v>-10690.56000000003</v>
      </c>
      <c r="I329" s="112">
        <f t="shared" si="59"/>
        <v>-41075.570000000647</v>
      </c>
      <c r="J329" s="112">
        <f t="shared" si="59"/>
        <v>-19064.370000000192</v>
      </c>
      <c r="K329" s="112">
        <f t="shared" si="59"/>
        <v>-33685.310000000092</v>
      </c>
      <c r="L329" s="112">
        <f t="shared" si="59"/>
        <v>-23415.469999999914</v>
      </c>
      <c r="M329" s="112">
        <f t="shared" si="59"/>
        <v>36950.010000000242</v>
      </c>
      <c r="N329" s="112">
        <v>-335711.25</v>
      </c>
    </row>
    <row r="330" spans="1:14" ht="15.75" thickTop="1">
      <c r="A330" s="64"/>
      <c r="B330" s="22"/>
      <c r="C330" s="22"/>
      <c r="D330" s="22"/>
      <c r="E330" s="22"/>
      <c r="F330" s="22"/>
      <c r="G330" s="22"/>
      <c r="H330" s="22"/>
      <c r="I330" s="22"/>
      <c r="J330" s="22"/>
      <c r="K330" s="22"/>
      <c r="L330" s="22"/>
      <c r="M330" s="22"/>
      <c r="N330" s="22"/>
    </row>
    <row r="331" spans="1:14">
      <c r="A331" s="64"/>
      <c r="B331" s="22"/>
      <c r="C331" s="22"/>
      <c r="D331" s="22"/>
      <c r="E331" s="22"/>
      <c r="F331" s="22"/>
      <c r="G331" s="22"/>
      <c r="H331" s="22"/>
      <c r="I331" s="22"/>
      <c r="J331" s="22"/>
      <c r="K331" s="22"/>
      <c r="L331" s="22"/>
      <c r="M331" s="22"/>
      <c r="N331" s="22"/>
    </row>
    <row r="332" spans="1:14">
      <c r="A332" s="64" t="s">
        <v>260</v>
      </c>
      <c r="B332" s="22"/>
      <c r="C332" s="22"/>
      <c r="D332" s="22"/>
      <c r="E332" s="22"/>
      <c r="F332" s="22"/>
      <c r="G332" s="22"/>
      <c r="H332" s="22"/>
      <c r="I332" s="22"/>
      <c r="J332" s="22"/>
      <c r="K332" s="22"/>
      <c r="L332" s="22"/>
      <c r="M332" s="22"/>
      <c r="N332" s="22"/>
    </row>
    <row r="333" spans="1:14">
      <c r="A333" s="64"/>
      <c r="B333" s="22"/>
      <c r="C333" s="22"/>
      <c r="D333" s="22"/>
      <c r="E333" s="22"/>
      <c r="F333" s="22"/>
      <c r="G333" s="22"/>
      <c r="H333" s="22"/>
      <c r="I333" s="22"/>
      <c r="J333" s="22"/>
      <c r="K333" s="22"/>
      <c r="L333" s="22"/>
      <c r="M333" s="22"/>
      <c r="N333" s="22"/>
    </row>
    <row r="334" spans="1:14">
      <c r="A334" s="64" t="s">
        <v>19</v>
      </c>
      <c r="B334" s="22"/>
      <c r="C334" s="22"/>
      <c r="D334" s="22"/>
      <c r="E334" s="22"/>
      <c r="F334" s="22"/>
      <c r="G334" s="22"/>
      <c r="H334" s="22"/>
      <c r="I334" s="22"/>
      <c r="J334" s="22"/>
      <c r="K334" s="22"/>
      <c r="L334" s="22"/>
      <c r="M334" s="22"/>
      <c r="N334" s="22"/>
    </row>
    <row r="335" spans="1:14">
      <c r="A335" s="64" t="s">
        <v>261</v>
      </c>
      <c r="B335" s="107">
        <v>-243</v>
      </c>
      <c r="C335" s="107">
        <v>-268</v>
      </c>
      <c r="D335" s="107">
        <v>29</v>
      </c>
      <c r="E335" s="107">
        <v>-1</v>
      </c>
      <c r="F335" s="22"/>
      <c r="G335" s="22"/>
      <c r="H335" s="22"/>
      <c r="I335" s="107">
        <v>-244</v>
      </c>
      <c r="J335" s="107">
        <v>8</v>
      </c>
      <c r="K335" s="107">
        <v>-222</v>
      </c>
      <c r="L335" s="22"/>
      <c r="M335" s="107">
        <v>2</v>
      </c>
      <c r="N335" s="107">
        <v>-939</v>
      </c>
    </row>
    <row r="336" spans="1:14">
      <c r="A336" s="64" t="s">
        <v>66</v>
      </c>
      <c r="B336" s="111">
        <v>930</v>
      </c>
      <c r="C336" s="111">
        <v>953</v>
      </c>
      <c r="D336" s="111">
        <v>981</v>
      </c>
      <c r="E336" s="111">
        <v>982</v>
      </c>
      <c r="F336" s="111">
        <v>1008</v>
      </c>
      <c r="G336" s="111">
        <v>984</v>
      </c>
      <c r="H336" s="111">
        <v>871</v>
      </c>
      <c r="I336" s="111">
        <v>1052</v>
      </c>
      <c r="J336" s="111">
        <v>977</v>
      </c>
      <c r="K336" s="111">
        <v>934</v>
      </c>
      <c r="L336" s="111">
        <v>302</v>
      </c>
      <c r="M336" s="111">
        <v>831</v>
      </c>
      <c r="N336" s="111">
        <v>10805</v>
      </c>
    </row>
    <row r="337" spans="1:14">
      <c r="A337" s="64" t="s">
        <v>85</v>
      </c>
      <c r="B337" s="107">
        <f t="shared" ref="B337:M337" si="60">SUM(B334:B336)</f>
        <v>687</v>
      </c>
      <c r="C337" s="107">
        <f t="shared" si="60"/>
        <v>685</v>
      </c>
      <c r="D337" s="107">
        <f t="shared" si="60"/>
        <v>1010</v>
      </c>
      <c r="E337" s="107">
        <f t="shared" si="60"/>
        <v>981</v>
      </c>
      <c r="F337" s="107">
        <f t="shared" si="60"/>
        <v>1008</v>
      </c>
      <c r="G337" s="107">
        <f t="shared" si="60"/>
        <v>984</v>
      </c>
      <c r="H337" s="107">
        <f t="shared" si="60"/>
        <v>871</v>
      </c>
      <c r="I337" s="107">
        <f t="shared" si="60"/>
        <v>808</v>
      </c>
      <c r="J337" s="107">
        <f t="shared" si="60"/>
        <v>985</v>
      </c>
      <c r="K337" s="107">
        <f t="shared" si="60"/>
        <v>712</v>
      </c>
      <c r="L337" s="107">
        <f t="shared" si="60"/>
        <v>302</v>
      </c>
      <c r="M337" s="107">
        <f t="shared" si="60"/>
        <v>833</v>
      </c>
      <c r="N337" s="107">
        <v>9866</v>
      </c>
    </row>
    <row r="338" spans="1:14">
      <c r="A338" s="64"/>
      <c r="B338" s="22"/>
      <c r="C338" s="22"/>
      <c r="D338" s="22"/>
      <c r="E338" s="22"/>
      <c r="F338" s="22"/>
      <c r="G338" s="22"/>
      <c r="H338" s="22"/>
      <c r="I338" s="22"/>
      <c r="J338" s="22"/>
      <c r="K338" s="22"/>
      <c r="L338" s="22"/>
      <c r="M338" s="22"/>
      <c r="N338" s="22"/>
    </row>
    <row r="339" spans="1:14">
      <c r="A339" s="64" t="s">
        <v>20</v>
      </c>
      <c r="B339" s="22"/>
      <c r="C339" s="22"/>
      <c r="D339" s="22"/>
      <c r="E339" s="22"/>
      <c r="F339" s="22"/>
      <c r="G339" s="22"/>
      <c r="H339" s="22"/>
      <c r="I339" s="22"/>
      <c r="J339" s="22"/>
      <c r="K339" s="22"/>
      <c r="L339" s="22"/>
      <c r="M339" s="22"/>
      <c r="N339" s="22"/>
    </row>
    <row r="340" spans="1:14">
      <c r="A340" s="64" t="s">
        <v>261</v>
      </c>
      <c r="B340" s="22"/>
      <c r="C340" s="22"/>
      <c r="D340" s="22"/>
      <c r="E340" s="107">
        <v>32</v>
      </c>
      <c r="F340" s="22"/>
      <c r="G340" s="22"/>
      <c r="H340" s="22"/>
      <c r="I340" s="107">
        <v>-93</v>
      </c>
      <c r="J340" s="22"/>
      <c r="K340" s="22"/>
      <c r="L340" s="22"/>
      <c r="M340" s="107">
        <v>-66</v>
      </c>
      <c r="N340" s="107">
        <v>-127</v>
      </c>
    </row>
    <row r="341" spans="1:14">
      <c r="A341" s="64" t="s">
        <v>66</v>
      </c>
      <c r="B341" s="111">
        <v>140</v>
      </c>
      <c r="C341" s="111">
        <v>48</v>
      </c>
      <c r="D341" s="111">
        <v>14</v>
      </c>
      <c r="E341" s="111">
        <v>57</v>
      </c>
      <c r="F341" s="111">
        <v>85</v>
      </c>
      <c r="G341" s="111">
        <v>86</v>
      </c>
      <c r="H341" s="111">
        <v>91</v>
      </c>
      <c r="I341" s="111">
        <v>176</v>
      </c>
      <c r="J341" s="111">
        <v>175</v>
      </c>
      <c r="K341" s="111">
        <v>167</v>
      </c>
      <c r="L341" s="111">
        <v>151</v>
      </c>
      <c r="M341" s="111">
        <v>137</v>
      </c>
      <c r="N341" s="111">
        <v>1327</v>
      </c>
    </row>
    <row r="342" spans="1:14">
      <c r="A342" s="64" t="s">
        <v>262</v>
      </c>
      <c r="B342" s="107">
        <f t="shared" ref="B342:M342" si="61">SUM(B338:B341)</f>
        <v>140</v>
      </c>
      <c r="C342" s="107">
        <f t="shared" si="61"/>
        <v>48</v>
      </c>
      <c r="D342" s="107">
        <f t="shared" si="61"/>
        <v>14</v>
      </c>
      <c r="E342" s="107">
        <f t="shared" si="61"/>
        <v>89</v>
      </c>
      <c r="F342" s="107">
        <f t="shared" si="61"/>
        <v>85</v>
      </c>
      <c r="G342" s="107">
        <f t="shared" si="61"/>
        <v>86</v>
      </c>
      <c r="H342" s="107">
        <f t="shared" si="61"/>
        <v>91</v>
      </c>
      <c r="I342" s="107">
        <f t="shared" si="61"/>
        <v>83</v>
      </c>
      <c r="J342" s="107">
        <f t="shared" si="61"/>
        <v>175</v>
      </c>
      <c r="K342" s="107">
        <f t="shared" si="61"/>
        <v>167</v>
      </c>
      <c r="L342" s="107">
        <f t="shared" si="61"/>
        <v>151</v>
      </c>
      <c r="M342" s="107">
        <f t="shared" si="61"/>
        <v>71</v>
      </c>
      <c r="N342" s="107">
        <v>1200</v>
      </c>
    </row>
    <row r="343" spans="1:14">
      <c r="A343" s="64"/>
      <c r="B343" s="22"/>
      <c r="C343" s="22"/>
      <c r="D343" s="22"/>
      <c r="E343" s="22"/>
      <c r="F343" s="22"/>
      <c r="G343" s="22"/>
      <c r="H343" s="22"/>
      <c r="I343" s="22"/>
      <c r="J343" s="22"/>
      <c r="K343" s="22"/>
      <c r="L343" s="22"/>
      <c r="M343" s="22"/>
      <c r="N343" s="22"/>
    </row>
    <row r="344" spans="1:14">
      <c r="A344" s="64" t="s">
        <v>263</v>
      </c>
      <c r="B344" s="22"/>
      <c r="C344" s="22"/>
      <c r="D344" s="22"/>
      <c r="E344" s="22"/>
      <c r="F344" s="22"/>
      <c r="G344" s="22"/>
      <c r="H344" s="22"/>
      <c r="I344" s="22"/>
      <c r="J344" s="22"/>
      <c r="K344" s="22"/>
      <c r="L344" s="22"/>
      <c r="M344" s="22"/>
      <c r="N344" s="22"/>
    </row>
    <row r="345" spans="1:14">
      <c r="A345" s="64" t="s">
        <v>261</v>
      </c>
      <c r="B345" s="22"/>
      <c r="C345" s="22"/>
      <c r="D345" s="107">
        <v>-28</v>
      </c>
      <c r="E345" s="107">
        <v>1</v>
      </c>
      <c r="F345" s="22"/>
      <c r="G345" s="22"/>
      <c r="H345" s="22"/>
      <c r="I345" s="22"/>
      <c r="J345" s="22"/>
      <c r="K345" s="22"/>
      <c r="L345" s="22"/>
      <c r="M345" s="22"/>
      <c r="N345" s="107">
        <v>-27</v>
      </c>
    </row>
    <row r="346" spans="1:14">
      <c r="A346" s="64" t="s">
        <v>66</v>
      </c>
      <c r="B346" s="111">
        <v>126</v>
      </c>
      <c r="C346" s="111">
        <v>122</v>
      </c>
      <c r="D346" s="111">
        <v>211</v>
      </c>
      <c r="E346" s="111">
        <v>152</v>
      </c>
      <c r="F346" s="111">
        <v>90</v>
      </c>
      <c r="G346" s="111">
        <v>183</v>
      </c>
      <c r="H346" s="111">
        <v>256</v>
      </c>
      <c r="I346" s="111">
        <v>182</v>
      </c>
      <c r="J346" s="111">
        <v>171</v>
      </c>
      <c r="K346" s="111">
        <v>254</v>
      </c>
      <c r="L346" s="111">
        <v>178</v>
      </c>
      <c r="M346" s="111">
        <v>294</v>
      </c>
      <c r="N346" s="111">
        <v>2219</v>
      </c>
    </row>
    <row r="347" spans="1:14">
      <c r="A347" s="64" t="s">
        <v>264</v>
      </c>
      <c r="B347" s="107">
        <f t="shared" ref="B347:M347" si="62">SUM(B343:B346)</f>
        <v>126</v>
      </c>
      <c r="C347" s="107">
        <f t="shared" si="62"/>
        <v>122</v>
      </c>
      <c r="D347" s="107">
        <f t="shared" si="62"/>
        <v>183</v>
      </c>
      <c r="E347" s="107">
        <f t="shared" si="62"/>
        <v>153</v>
      </c>
      <c r="F347" s="107">
        <f t="shared" si="62"/>
        <v>90</v>
      </c>
      <c r="G347" s="107">
        <f t="shared" si="62"/>
        <v>183</v>
      </c>
      <c r="H347" s="107">
        <f t="shared" si="62"/>
        <v>256</v>
      </c>
      <c r="I347" s="107">
        <f t="shared" si="62"/>
        <v>182</v>
      </c>
      <c r="J347" s="107">
        <f t="shared" si="62"/>
        <v>171</v>
      </c>
      <c r="K347" s="107">
        <f t="shared" si="62"/>
        <v>254</v>
      </c>
      <c r="L347" s="107">
        <f t="shared" si="62"/>
        <v>178</v>
      </c>
      <c r="M347" s="107">
        <f t="shared" si="62"/>
        <v>294</v>
      </c>
      <c r="N347" s="107">
        <v>2192</v>
      </c>
    </row>
    <row r="348" spans="1:14">
      <c r="A348" s="64"/>
      <c r="B348" s="22"/>
      <c r="C348" s="22"/>
      <c r="D348" s="22"/>
      <c r="E348" s="22"/>
      <c r="F348" s="22"/>
      <c r="G348" s="22"/>
      <c r="H348" s="22"/>
      <c r="I348" s="22"/>
      <c r="J348" s="22"/>
      <c r="K348" s="22"/>
      <c r="L348" s="22"/>
      <c r="M348" s="22"/>
      <c r="N348" s="22"/>
    </row>
    <row r="349" spans="1:14">
      <c r="A349" s="64" t="s">
        <v>265</v>
      </c>
      <c r="B349" s="113"/>
      <c r="C349" s="113"/>
      <c r="D349" s="113"/>
      <c r="E349" s="113"/>
      <c r="F349" s="113"/>
      <c r="G349" s="113"/>
      <c r="H349" s="113"/>
      <c r="I349" s="113"/>
      <c r="J349" s="113"/>
      <c r="K349" s="113"/>
      <c r="L349" s="113"/>
      <c r="M349" s="113"/>
      <c r="N349" s="113"/>
    </row>
    <row r="350" spans="1:14">
      <c r="A350" s="64" t="s">
        <v>319</v>
      </c>
      <c r="B350" s="107"/>
      <c r="C350" s="107"/>
      <c r="D350" s="107"/>
      <c r="E350" s="107"/>
      <c r="F350" s="107"/>
      <c r="G350" s="107"/>
      <c r="H350" s="107"/>
      <c r="I350" s="107"/>
      <c r="J350" s="107"/>
      <c r="K350" s="107"/>
      <c r="L350" s="107"/>
      <c r="M350" s="107"/>
      <c r="N350" s="107"/>
    </row>
    <row r="351" spans="1:14">
      <c r="A351" s="64"/>
      <c r="B351" s="22"/>
      <c r="C351" s="22"/>
      <c r="D351" s="22"/>
      <c r="E351" s="22"/>
      <c r="F351" s="22"/>
      <c r="G351" s="22"/>
      <c r="H351" s="22"/>
      <c r="I351" s="22"/>
      <c r="J351" s="22"/>
      <c r="K351" s="22"/>
      <c r="L351" s="22"/>
      <c r="M351" s="22"/>
      <c r="N351" s="22"/>
    </row>
    <row r="352" spans="1:14">
      <c r="A352" s="64" t="s">
        <v>106</v>
      </c>
      <c r="B352" s="22"/>
      <c r="C352" s="22"/>
      <c r="D352" s="22"/>
      <c r="E352" s="22"/>
      <c r="F352" s="22"/>
      <c r="G352" s="22"/>
      <c r="H352" s="22"/>
      <c r="I352" s="22"/>
      <c r="J352" s="22"/>
      <c r="K352" s="22"/>
      <c r="L352" s="22"/>
      <c r="M352" s="22"/>
      <c r="N352" s="22"/>
    </row>
    <row r="353" spans="1:14">
      <c r="A353" s="64" t="s">
        <v>261</v>
      </c>
      <c r="B353" s="22"/>
      <c r="C353" s="22"/>
      <c r="D353" s="107">
        <v>28</v>
      </c>
      <c r="E353" s="22"/>
      <c r="F353" s="107">
        <v>-1</v>
      </c>
      <c r="G353" s="22"/>
      <c r="H353" s="22"/>
      <c r="I353" s="22"/>
      <c r="J353" s="107">
        <v>-8</v>
      </c>
      <c r="K353" s="22"/>
      <c r="L353" s="22"/>
      <c r="M353" s="107">
        <v>-2</v>
      </c>
      <c r="N353" s="107">
        <v>17</v>
      </c>
    </row>
    <row r="354" spans="1:14">
      <c r="A354" s="64" t="s">
        <v>66</v>
      </c>
      <c r="B354" s="111">
        <v>81</v>
      </c>
      <c r="C354" s="111">
        <v>71</v>
      </c>
      <c r="D354" s="111">
        <v>83</v>
      </c>
      <c r="E354" s="111">
        <v>91</v>
      </c>
      <c r="F354" s="111">
        <v>30</v>
      </c>
      <c r="G354" s="111">
        <v>125</v>
      </c>
      <c r="H354" s="111">
        <v>75</v>
      </c>
      <c r="I354" s="111">
        <v>73</v>
      </c>
      <c r="J354" s="111">
        <v>79</v>
      </c>
      <c r="K354" s="111">
        <v>49</v>
      </c>
      <c r="L354" s="111">
        <v>52</v>
      </c>
      <c r="M354" s="111">
        <v>34</v>
      </c>
      <c r="N354" s="111">
        <v>843</v>
      </c>
    </row>
    <row r="355" spans="1:14">
      <c r="A355" s="64" t="s">
        <v>116</v>
      </c>
      <c r="B355" s="107">
        <f t="shared" ref="B355:M355" si="63">SUM(B351:B354)</f>
        <v>81</v>
      </c>
      <c r="C355" s="107">
        <f t="shared" si="63"/>
        <v>71</v>
      </c>
      <c r="D355" s="107">
        <f t="shared" si="63"/>
        <v>111</v>
      </c>
      <c r="E355" s="107">
        <f t="shared" si="63"/>
        <v>91</v>
      </c>
      <c r="F355" s="107">
        <f t="shared" si="63"/>
        <v>29</v>
      </c>
      <c r="G355" s="107">
        <f t="shared" si="63"/>
        <v>125</v>
      </c>
      <c r="H355" s="107">
        <f t="shared" si="63"/>
        <v>75</v>
      </c>
      <c r="I355" s="107">
        <f t="shared" si="63"/>
        <v>73</v>
      </c>
      <c r="J355" s="107">
        <f t="shared" si="63"/>
        <v>71</v>
      </c>
      <c r="K355" s="107">
        <f t="shared" si="63"/>
        <v>49</v>
      </c>
      <c r="L355" s="107">
        <f t="shared" si="63"/>
        <v>52</v>
      </c>
      <c r="M355" s="107">
        <f t="shared" si="63"/>
        <v>32</v>
      </c>
      <c r="N355" s="107">
        <v>860</v>
      </c>
    </row>
    <row r="356" spans="1:14">
      <c r="A356" s="64"/>
      <c r="B356" s="22"/>
      <c r="C356" s="22"/>
      <c r="D356" s="22"/>
      <c r="E356" s="22"/>
      <c r="F356" s="22"/>
      <c r="G356" s="22"/>
      <c r="H356" s="22"/>
      <c r="I356" s="22"/>
      <c r="J356" s="22"/>
      <c r="K356" s="22"/>
      <c r="L356" s="22"/>
      <c r="M356" s="22"/>
      <c r="N356" s="22"/>
    </row>
    <row r="357" spans="1:14">
      <c r="A357" s="64" t="s">
        <v>117</v>
      </c>
      <c r="B357" s="22"/>
      <c r="C357" s="22"/>
      <c r="D357" s="22"/>
      <c r="E357" s="22"/>
      <c r="F357" s="22"/>
      <c r="G357" s="22"/>
      <c r="H357" s="22"/>
      <c r="I357" s="22"/>
      <c r="J357" s="22"/>
      <c r="K357" s="22"/>
      <c r="L357" s="22"/>
      <c r="M357" s="22"/>
      <c r="N357" s="22"/>
    </row>
    <row r="358" spans="1:14">
      <c r="A358" s="64" t="s">
        <v>261</v>
      </c>
      <c r="B358" s="107">
        <v>243</v>
      </c>
      <c r="C358" s="107">
        <v>268</v>
      </c>
      <c r="D358" s="107">
        <v>-29</v>
      </c>
      <c r="E358" s="107">
        <v>-32</v>
      </c>
      <c r="F358" s="22"/>
      <c r="G358" s="22"/>
      <c r="H358" s="22"/>
      <c r="I358" s="107">
        <v>337</v>
      </c>
      <c r="J358" s="22"/>
      <c r="K358" s="107">
        <v>222</v>
      </c>
      <c r="L358" s="22"/>
      <c r="M358" s="107">
        <v>66</v>
      </c>
      <c r="N358" s="107">
        <v>1075</v>
      </c>
    </row>
    <row r="359" spans="1:14">
      <c r="A359" s="64" t="s">
        <v>66</v>
      </c>
      <c r="B359" s="111">
        <v>32</v>
      </c>
      <c r="C359" s="111">
        <v>54</v>
      </c>
      <c r="D359" s="111">
        <v>165</v>
      </c>
      <c r="E359" s="111">
        <v>103</v>
      </c>
      <c r="F359" s="111">
        <v>120</v>
      </c>
      <c r="G359" s="111">
        <v>64</v>
      </c>
      <c r="H359" s="111">
        <v>28</v>
      </c>
      <c r="I359" s="111">
        <v>31</v>
      </c>
      <c r="J359" s="111">
        <v>30</v>
      </c>
      <c r="K359" s="111">
        <v>46</v>
      </c>
      <c r="L359" s="111">
        <v>688</v>
      </c>
      <c r="M359" s="111">
        <v>113</v>
      </c>
      <c r="N359" s="111">
        <v>1474</v>
      </c>
    </row>
    <row r="360" spans="1:14">
      <c r="A360" s="64" t="s">
        <v>127</v>
      </c>
      <c r="B360" s="107">
        <f t="shared" ref="B360:M360" si="64">SUM(B356:B359)</f>
        <v>275</v>
      </c>
      <c r="C360" s="107">
        <f t="shared" si="64"/>
        <v>322</v>
      </c>
      <c r="D360" s="107">
        <f t="shared" si="64"/>
        <v>136</v>
      </c>
      <c r="E360" s="107">
        <f t="shared" si="64"/>
        <v>71</v>
      </c>
      <c r="F360" s="107">
        <f t="shared" si="64"/>
        <v>120</v>
      </c>
      <c r="G360" s="107">
        <f t="shared" si="64"/>
        <v>64</v>
      </c>
      <c r="H360" s="107">
        <f t="shared" si="64"/>
        <v>28</v>
      </c>
      <c r="I360" s="107">
        <f t="shared" si="64"/>
        <v>368</v>
      </c>
      <c r="J360" s="107">
        <f t="shared" si="64"/>
        <v>30</v>
      </c>
      <c r="K360" s="107">
        <f t="shared" si="64"/>
        <v>268</v>
      </c>
      <c r="L360" s="107">
        <f t="shared" si="64"/>
        <v>688</v>
      </c>
      <c r="M360" s="107">
        <f t="shared" si="64"/>
        <v>179</v>
      </c>
      <c r="N360" s="107">
        <v>2549</v>
      </c>
    </row>
    <row r="361" spans="1:14">
      <c r="A361" s="64"/>
      <c r="B361" s="22"/>
      <c r="C361" s="22"/>
      <c r="D361" s="22"/>
      <c r="E361" s="22"/>
      <c r="F361" s="22"/>
      <c r="G361" s="22"/>
      <c r="H361" s="22"/>
      <c r="I361" s="22"/>
      <c r="J361" s="22"/>
      <c r="K361" s="22"/>
      <c r="L361" s="22"/>
      <c r="M361" s="22"/>
      <c r="N361" s="22"/>
    </row>
    <row r="362" spans="1:14" ht="15.75" thickBot="1">
      <c r="A362" s="64" t="s">
        <v>266</v>
      </c>
      <c r="B362" s="112">
        <f t="shared" ref="B362:M362" si="65">SUM(B332:B361)-B337-B342-B347-B350-B355-B360</f>
        <v>1309</v>
      </c>
      <c r="C362" s="112">
        <f t="shared" si="65"/>
        <v>1248</v>
      </c>
      <c r="D362" s="112">
        <f t="shared" si="65"/>
        <v>1454</v>
      </c>
      <c r="E362" s="112">
        <f t="shared" si="65"/>
        <v>1385</v>
      </c>
      <c r="F362" s="112">
        <f t="shared" si="65"/>
        <v>1332</v>
      </c>
      <c r="G362" s="112">
        <f t="shared" si="65"/>
        <v>1442</v>
      </c>
      <c r="H362" s="112">
        <f t="shared" si="65"/>
        <v>1321</v>
      </c>
      <c r="I362" s="112">
        <f t="shared" si="65"/>
        <v>1514</v>
      </c>
      <c r="J362" s="112">
        <f t="shared" si="65"/>
        <v>1432</v>
      </c>
      <c r="K362" s="112">
        <f t="shared" si="65"/>
        <v>1450</v>
      </c>
      <c r="L362" s="112">
        <f t="shared" si="65"/>
        <v>1371</v>
      </c>
      <c r="M362" s="112">
        <f t="shared" si="65"/>
        <v>1409</v>
      </c>
      <c r="N362" s="112">
        <v>16667</v>
      </c>
    </row>
    <row r="363" spans="1:14" ht="15.75" thickTop="1">
      <c r="A363" s="64"/>
      <c r="B363" s="22"/>
      <c r="C363" s="22"/>
      <c r="D363" s="22"/>
      <c r="E363" s="22"/>
      <c r="F363" s="22"/>
      <c r="G363" s="22"/>
      <c r="H363" s="22"/>
      <c r="I363" s="22"/>
      <c r="J363" s="22"/>
      <c r="K363" s="22"/>
      <c r="L363" s="22"/>
      <c r="M363" s="22"/>
      <c r="N363" s="22"/>
    </row>
    <row r="364" spans="1:14" hidden="1">
      <c r="A364" s="64"/>
      <c r="B364" s="107">
        <v>62459.57</v>
      </c>
      <c r="C364" s="107">
        <v>31631.58</v>
      </c>
      <c r="D364" s="107">
        <v>-51841.93</v>
      </c>
      <c r="E364" s="107">
        <v>-7390.43</v>
      </c>
      <c r="F364" s="107">
        <v>226709.96</v>
      </c>
      <c r="G364" s="107">
        <v>-16838.77</v>
      </c>
      <c r="H364" s="107">
        <v>10690.56</v>
      </c>
      <c r="I364" s="107">
        <v>41075.57</v>
      </c>
      <c r="J364" s="107">
        <v>19064.37</v>
      </c>
      <c r="K364" s="107">
        <v>33685.31</v>
      </c>
      <c r="L364" s="107">
        <v>23415.47</v>
      </c>
      <c r="M364" s="107">
        <v>-36950.01</v>
      </c>
      <c r="N364" s="107">
        <v>335711.25</v>
      </c>
    </row>
    <row r="365" spans="1:14">
      <c r="A365" s="64"/>
      <c r="B365" s="22"/>
      <c r="C365" s="22"/>
      <c r="D365" s="22"/>
      <c r="E365" s="22"/>
      <c r="F365" s="22"/>
      <c r="G365" s="22"/>
      <c r="H365" s="22"/>
      <c r="I365" s="22"/>
      <c r="J365" s="22"/>
      <c r="K365" s="22"/>
      <c r="L365" s="22"/>
      <c r="M365" s="22"/>
      <c r="N365" s="22"/>
    </row>
    <row r="366" spans="1:14" hidden="1">
      <c r="A366" s="64" t="s">
        <v>267</v>
      </c>
      <c r="B366" s="107">
        <f t="shared" ref="B366:M366" si="66">B336+B341+B346+B354+B359</f>
        <v>1309</v>
      </c>
      <c r="C366" s="107">
        <f t="shared" si="66"/>
        <v>1248</v>
      </c>
      <c r="D366" s="107">
        <f t="shared" si="66"/>
        <v>1454</v>
      </c>
      <c r="E366" s="107">
        <f t="shared" si="66"/>
        <v>1385</v>
      </c>
      <c r="F366" s="107">
        <f t="shared" si="66"/>
        <v>1333</v>
      </c>
      <c r="G366" s="107">
        <f t="shared" si="66"/>
        <v>1442</v>
      </c>
      <c r="H366" s="107">
        <f t="shared" si="66"/>
        <v>1321</v>
      </c>
      <c r="I366" s="107">
        <f t="shared" si="66"/>
        <v>1514</v>
      </c>
      <c r="J366" s="107">
        <f t="shared" si="66"/>
        <v>1432</v>
      </c>
      <c r="K366" s="107">
        <f t="shared" si="66"/>
        <v>1450</v>
      </c>
      <c r="L366" s="107">
        <f t="shared" si="66"/>
        <v>1371</v>
      </c>
      <c r="M366" s="107">
        <f t="shared" si="66"/>
        <v>1409</v>
      </c>
      <c r="N366" s="107">
        <v>16668</v>
      </c>
    </row>
    <row r="367" spans="1:14">
      <c r="A367" s="64"/>
      <c r="B367" s="22"/>
      <c r="C367" s="22"/>
      <c r="D367" s="22"/>
      <c r="E367" s="22"/>
      <c r="F367" s="22"/>
      <c r="G367" s="22"/>
      <c r="H367" s="22"/>
      <c r="I367" s="22"/>
      <c r="J367" s="22"/>
      <c r="K367" s="22"/>
      <c r="L367" s="22"/>
      <c r="M367" s="22"/>
      <c r="N367" s="22"/>
    </row>
  </sheetData>
  <pageMargins left="0.75" right="0.75" top="0.75" bottom="0.75" header="0.03" footer="0.03"/>
  <pageSetup scale="46" fitToHeight="0" pageOrder="overThenDown" orientation="landscape" r:id="rId1"/>
  <headerFooter>
    <oddHeader>&amp;L&amp;C&amp;"Arial,Regular"&amp;9&amp;K000000HMG Park Manor of Westwood, LLC 
Trailing 12 Months&amp;R</oddHeader>
  </headerFooter>
  <rowBreaks count="1" manualBreakCount="1">
    <brk id="62" max="16383" man="1"/>
  </rowBreaks>
  <customProperties>
    <customPr name="EpmWorksheetKeyString_GUID" r:id="rId2"/>
  </customProperties>
  <drawing r:id="rId3"/>
  <legacyDrawing r:id="rId4"/>
  <controls>
    <mc:AlternateContent xmlns:mc="http://schemas.openxmlformats.org/markup-compatibility/2006">
      <mc:Choice Requires="x14">
        <control shapeId="13313"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3313" r:id="rId5" name="FPMExcelClientSheetOptionstb1"/>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pageSetUpPr fitToPage="1"/>
  </sheetPr>
  <dimension ref="A1:N257"/>
  <sheetViews>
    <sheetView zoomScaleNormal="100" workbookViewId="0">
      <pane xSplit="1" ySplit="2" topLeftCell="B3" activePane="bottomRight" state="frozen"/>
      <selection pane="topRight" activeCell="B1" sqref="B1"/>
      <selection pane="bottomLeft" activeCell="A3" sqref="A3"/>
      <selection pane="bottomRight" activeCell="B3" sqref="B3"/>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38</v>
      </c>
      <c r="B4" s="114">
        <f t="shared" ref="B4:M4" si="0">B249</f>
        <v>989</v>
      </c>
      <c r="C4" s="114">
        <f t="shared" si="0"/>
        <v>907</v>
      </c>
      <c r="D4" s="114">
        <f t="shared" si="0"/>
        <v>988</v>
      </c>
      <c r="E4" s="114">
        <f t="shared" si="0"/>
        <v>985</v>
      </c>
      <c r="F4" s="114">
        <f t="shared" si="0"/>
        <v>1040</v>
      </c>
      <c r="G4" s="114">
        <f t="shared" si="0"/>
        <v>991</v>
      </c>
      <c r="H4" s="114">
        <f t="shared" si="0"/>
        <v>811</v>
      </c>
      <c r="I4" s="114">
        <f t="shared" si="0"/>
        <v>970</v>
      </c>
      <c r="J4" s="114">
        <f t="shared" si="0"/>
        <v>960</v>
      </c>
      <c r="K4" s="114">
        <f t="shared" si="0"/>
        <v>1004</v>
      </c>
      <c r="L4" s="114">
        <f t="shared" si="0"/>
        <v>938</v>
      </c>
      <c r="M4" s="114">
        <f t="shared" si="0"/>
        <v>931</v>
      </c>
      <c r="N4" s="114">
        <v>11514</v>
      </c>
    </row>
    <row r="5" spans="1:14" ht="15.75" thickBot="1">
      <c r="A5" s="64" t="s">
        <v>39</v>
      </c>
      <c r="B5" s="112">
        <f t="shared" ref="B5:M5" si="1">B256</f>
        <v>989</v>
      </c>
      <c r="C5" s="112">
        <f t="shared" si="1"/>
        <v>907</v>
      </c>
      <c r="D5" s="112">
        <f t="shared" si="1"/>
        <v>988</v>
      </c>
      <c r="E5" s="112">
        <f t="shared" si="1"/>
        <v>985</v>
      </c>
      <c r="F5" s="112">
        <f t="shared" si="1"/>
        <v>1040</v>
      </c>
      <c r="G5" s="112">
        <f t="shared" si="1"/>
        <v>991</v>
      </c>
      <c r="H5" s="112">
        <f t="shared" si="1"/>
        <v>811</v>
      </c>
      <c r="I5" s="112">
        <f t="shared" si="1"/>
        <v>970</v>
      </c>
      <c r="J5" s="112">
        <f t="shared" si="1"/>
        <v>960</v>
      </c>
      <c r="K5" s="112">
        <f t="shared" si="1"/>
        <v>1004</v>
      </c>
      <c r="L5" s="112">
        <f t="shared" si="1"/>
        <v>938</v>
      </c>
      <c r="M5" s="112">
        <f t="shared" si="1"/>
        <v>931</v>
      </c>
      <c r="N5" s="112">
        <v>11514</v>
      </c>
    </row>
    <row r="6" spans="1:14" ht="15.75" thickTop="1">
      <c r="A6" s="64"/>
      <c r="B6" s="22"/>
      <c r="C6" s="22"/>
      <c r="D6" s="22"/>
      <c r="E6" s="22"/>
      <c r="F6" s="22"/>
      <c r="G6" s="22"/>
      <c r="H6" s="22"/>
      <c r="I6" s="22"/>
      <c r="J6" s="22"/>
      <c r="K6" s="22"/>
      <c r="L6" s="22"/>
      <c r="M6" s="22"/>
      <c r="N6" s="22"/>
    </row>
    <row r="7" spans="1:14">
      <c r="A7" s="64" t="s">
        <v>40</v>
      </c>
      <c r="B7" s="22"/>
      <c r="C7" s="22"/>
      <c r="D7" s="22"/>
      <c r="E7" s="22"/>
      <c r="F7" s="22"/>
      <c r="G7" s="22"/>
      <c r="H7" s="22"/>
      <c r="I7" s="22"/>
      <c r="J7" s="22"/>
      <c r="K7" s="22"/>
      <c r="L7" s="22"/>
      <c r="M7" s="22"/>
      <c r="N7" s="22"/>
    </row>
    <row r="8" spans="1:14">
      <c r="A8" s="64"/>
      <c r="B8" s="22"/>
      <c r="C8" s="22"/>
      <c r="D8" s="22"/>
      <c r="E8" s="22"/>
      <c r="F8" s="22"/>
      <c r="G8" s="22"/>
      <c r="H8" s="22"/>
      <c r="I8" s="22"/>
      <c r="J8" s="22"/>
      <c r="K8" s="22"/>
      <c r="L8" s="22"/>
      <c r="M8" s="22"/>
      <c r="N8" s="22"/>
    </row>
    <row r="9" spans="1:14">
      <c r="A9" s="64" t="s">
        <v>41</v>
      </c>
      <c r="B9" s="22"/>
      <c r="C9" s="22"/>
      <c r="D9" s="22"/>
      <c r="E9" s="22"/>
      <c r="F9" s="22"/>
      <c r="G9" s="22"/>
      <c r="H9" s="22"/>
      <c r="I9" s="22"/>
      <c r="J9" s="22"/>
      <c r="K9" s="22"/>
      <c r="L9" s="22"/>
      <c r="M9" s="22"/>
      <c r="N9" s="22"/>
    </row>
    <row r="10" spans="1:14">
      <c r="A10" s="64" t="s">
        <v>38</v>
      </c>
      <c r="B10" s="111">
        <f t="shared" ref="B10:M10" si="2">B66</f>
        <v>80008.179999999993</v>
      </c>
      <c r="C10" s="111">
        <f t="shared" si="2"/>
        <v>76008.710000000006</v>
      </c>
      <c r="D10" s="111">
        <f t="shared" si="2"/>
        <v>79930.92</v>
      </c>
      <c r="E10" s="111">
        <f t="shared" si="2"/>
        <v>82235.55</v>
      </c>
      <c r="F10" s="111">
        <f t="shared" si="2"/>
        <v>83677.27</v>
      </c>
      <c r="G10" s="111">
        <f t="shared" si="2"/>
        <v>79156.350000000006</v>
      </c>
      <c r="H10" s="111">
        <f t="shared" si="2"/>
        <v>75972.639999999999</v>
      </c>
      <c r="I10" s="111">
        <f t="shared" si="2"/>
        <v>81845.2</v>
      </c>
      <c r="J10" s="111">
        <f t="shared" si="2"/>
        <v>83630</v>
      </c>
      <c r="K10" s="111">
        <f t="shared" si="2"/>
        <v>84847.4</v>
      </c>
      <c r="L10" s="111">
        <f t="shared" si="2"/>
        <v>82184.34</v>
      </c>
      <c r="M10" s="111">
        <f t="shared" si="2"/>
        <v>78335.64</v>
      </c>
      <c r="N10" s="111">
        <v>967832.2</v>
      </c>
    </row>
    <row r="11" spans="1:14">
      <c r="A11" s="64" t="s">
        <v>42</v>
      </c>
      <c r="B11" s="107">
        <f t="shared" ref="B11:M11" si="3">B68</f>
        <v>80008.179999999993</v>
      </c>
      <c r="C11" s="107">
        <f t="shared" si="3"/>
        <v>76008.710000000006</v>
      </c>
      <c r="D11" s="107">
        <f t="shared" si="3"/>
        <v>79930.92</v>
      </c>
      <c r="E11" s="107">
        <f t="shared" si="3"/>
        <v>82235.55</v>
      </c>
      <c r="F11" s="107">
        <f t="shared" si="3"/>
        <v>83677.27</v>
      </c>
      <c r="G11" s="107">
        <f t="shared" si="3"/>
        <v>79156.350000000006</v>
      </c>
      <c r="H11" s="107">
        <f t="shared" si="3"/>
        <v>75972.639999999999</v>
      </c>
      <c r="I11" s="107">
        <f t="shared" si="3"/>
        <v>81845.2</v>
      </c>
      <c r="J11" s="107">
        <f t="shared" si="3"/>
        <v>83630</v>
      </c>
      <c r="K11" s="107">
        <f t="shared" si="3"/>
        <v>84847.4</v>
      </c>
      <c r="L11" s="107">
        <f t="shared" si="3"/>
        <v>82184.34</v>
      </c>
      <c r="M11" s="107">
        <f t="shared" si="3"/>
        <v>78335.64</v>
      </c>
      <c r="N11" s="107">
        <v>967832.2</v>
      </c>
    </row>
    <row r="12" spans="1:14">
      <c r="A12" s="64"/>
      <c r="B12" s="22"/>
      <c r="C12" s="22"/>
      <c r="D12" s="22"/>
      <c r="E12" s="22"/>
      <c r="F12" s="22"/>
      <c r="G12" s="22"/>
      <c r="H12" s="22"/>
      <c r="I12" s="22"/>
      <c r="J12" s="22"/>
      <c r="K12" s="22"/>
      <c r="L12" s="22"/>
      <c r="M12" s="22"/>
      <c r="N12" s="22"/>
    </row>
    <row r="13" spans="1:14">
      <c r="A13" s="64" t="s">
        <v>43</v>
      </c>
      <c r="B13" s="22"/>
      <c r="C13" s="22"/>
      <c r="D13" s="22"/>
      <c r="E13" s="22"/>
      <c r="F13" s="22"/>
      <c r="G13" s="22"/>
      <c r="H13" s="22"/>
      <c r="I13" s="22"/>
      <c r="J13" s="22"/>
      <c r="K13" s="22"/>
      <c r="L13" s="22"/>
      <c r="M13" s="22"/>
      <c r="N13" s="22"/>
    </row>
    <row r="14" spans="1:14">
      <c r="A14" s="64" t="s">
        <v>38</v>
      </c>
      <c r="B14" s="111">
        <f>B89</f>
        <v>-0.1</v>
      </c>
      <c r="C14" s="111"/>
      <c r="D14" s="111"/>
      <c r="E14" s="111"/>
      <c r="F14" s="111"/>
      <c r="G14" s="111"/>
      <c r="H14" s="111"/>
      <c r="I14" s="111"/>
      <c r="J14" s="111"/>
      <c r="K14" s="111"/>
      <c r="L14" s="111"/>
      <c r="M14" s="111"/>
      <c r="N14" s="111">
        <v>-0.1</v>
      </c>
    </row>
    <row r="15" spans="1:14">
      <c r="A15" s="64" t="s">
        <v>44</v>
      </c>
      <c r="B15" s="107">
        <f>B91</f>
        <v>-0.1</v>
      </c>
      <c r="C15" s="107"/>
      <c r="D15" s="107"/>
      <c r="E15" s="107"/>
      <c r="F15" s="107"/>
      <c r="G15" s="107"/>
      <c r="H15" s="107"/>
      <c r="I15" s="107"/>
      <c r="J15" s="107"/>
      <c r="K15" s="107"/>
      <c r="L15" s="107"/>
      <c r="M15" s="107"/>
      <c r="N15" s="107">
        <v>-0.1</v>
      </c>
    </row>
    <row r="16" spans="1:14">
      <c r="A16" s="64"/>
      <c r="B16" s="22"/>
      <c r="C16" s="22"/>
      <c r="D16" s="22"/>
      <c r="E16" s="22"/>
      <c r="F16" s="22"/>
      <c r="G16" s="22"/>
      <c r="H16" s="22"/>
      <c r="I16" s="22"/>
      <c r="J16" s="22"/>
      <c r="K16" s="22"/>
      <c r="L16" s="22"/>
      <c r="M16" s="22"/>
      <c r="N16" s="22"/>
    </row>
    <row r="17" spans="1:14">
      <c r="A17" s="64" t="s">
        <v>45</v>
      </c>
      <c r="B17" s="22"/>
      <c r="C17" s="22"/>
      <c r="D17" s="22"/>
      <c r="E17" s="22"/>
      <c r="F17" s="22"/>
      <c r="G17" s="22"/>
      <c r="H17" s="22"/>
      <c r="I17" s="22"/>
      <c r="J17" s="22"/>
      <c r="K17" s="22"/>
      <c r="L17" s="22"/>
      <c r="M17" s="22"/>
      <c r="N17" s="22"/>
    </row>
    <row r="18" spans="1:14">
      <c r="A18" s="64" t="s">
        <v>38</v>
      </c>
      <c r="B18" s="111">
        <f t="shared" ref="B18:M18" si="4">B110</f>
        <v>11466.94</v>
      </c>
      <c r="C18" s="111">
        <f t="shared" si="4"/>
        <v>10500</v>
      </c>
      <c r="D18" s="111">
        <f t="shared" si="4"/>
        <v>10275</v>
      </c>
      <c r="E18" s="111">
        <f t="shared" si="4"/>
        <v>10185.83</v>
      </c>
      <c r="F18" s="111">
        <f t="shared" si="4"/>
        <v>11986.29</v>
      </c>
      <c r="G18" s="111">
        <f t="shared" si="4"/>
        <v>9961.2900000000009</v>
      </c>
      <c r="H18" s="111">
        <f t="shared" si="4"/>
        <v>10653.86</v>
      </c>
      <c r="I18" s="111">
        <f t="shared" si="4"/>
        <v>11995.84</v>
      </c>
      <c r="J18" s="111">
        <f t="shared" si="4"/>
        <v>12018.71</v>
      </c>
      <c r="K18" s="111">
        <f t="shared" si="4"/>
        <v>17849.71</v>
      </c>
      <c r="L18" s="111">
        <f t="shared" si="4"/>
        <v>4292.8900000000003</v>
      </c>
      <c r="M18" s="111">
        <f t="shared" si="4"/>
        <v>9872.81</v>
      </c>
      <c r="N18" s="111">
        <v>131059.17</v>
      </c>
    </row>
    <row r="19" spans="1:14">
      <c r="A19" s="64" t="s">
        <v>47</v>
      </c>
      <c r="B19" s="107">
        <f t="shared" ref="B19:M19" si="5">B112</f>
        <v>11466.94</v>
      </c>
      <c r="C19" s="107">
        <f t="shared" si="5"/>
        <v>10500</v>
      </c>
      <c r="D19" s="107">
        <f t="shared" si="5"/>
        <v>10275</v>
      </c>
      <c r="E19" s="107">
        <f t="shared" si="5"/>
        <v>10185.83</v>
      </c>
      <c r="F19" s="107">
        <f t="shared" si="5"/>
        <v>11986.29</v>
      </c>
      <c r="G19" s="107">
        <f t="shared" si="5"/>
        <v>9961.2900000000009</v>
      </c>
      <c r="H19" s="107">
        <f t="shared" si="5"/>
        <v>10653.86</v>
      </c>
      <c r="I19" s="107">
        <f t="shared" si="5"/>
        <v>11995.84</v>
      </c>
      <c r="J19" s="107">
        <f t="shared" si="5"/>
        <v>12018.71</v>
      </c>
      <c r="K19" s="107">
        <f t="shared" si="5"/>
        <v>17849.71</v>
      </c>
      <c r="L19" s="107">
        <f t="shared" si="5"/>
        <v>4292.8900000000003</v>
      </c>
      <c r="M19" s="107">
        <f t="shared" si="5"/>
        <v>9872.81</v>
      </c>
      <c r="N19" s="107">
        <v>131059.17</v>
      </c>
    </row>
    <row r="20" spans="1:14">
      <c r="A20" s="64"/>
      <c r="B20" s="22"/>
      <c r="C20" s="22"/>
      <c r="D20" s="22"/>
      <c r="E20" s="22"/>
      <c r="F20" s="22"/>
      <c r="G20" s="22"/>
      <c r="H20" s="22"/>
      <c r="I20" s="22"/>
      <c r="J20" s="22"/>
      <c r="K20" s="22"/>
      <c r="L20" s="22"/>
      <c r="M20" s="22"/>
      <c r="N20" s="22"/>
    </row>
    <row r="21" spans="1:14">
      <c r="A21" s="64" t="s">
        <v>48</v>
      </c>
      <c r="B21" s="107">
        <f>B116</f>
        <v>500</v>
      </c>
      <c r="C21" s="107"/>
      <c r="D21" s="107"/>
      <c r="E21" s="107"/>
      <c r="F21" s="107"/>
      <c r="G21" s="107"/>
      <c r="H21" s="107"/>
      <c r="I21" s="107">
        <f>I116</f>
        <v>17.93</v>
      </c>
      <c r="J21" s="107">
        <f>J116</f>
        <v>550</v>
      </c>
      <c r="K21" s="107">
        <f>K116</f>
        <v>525</v>
      </c>
      <c r="L21" s="107">
        <f>L116</f>
        <v>1112.02</v>
      </c>
      <c r="M21" s="107"/>
      <c r="N21" s="107">
        <v>2704.95</v>
      </c>
    </row>
    <row r="22" spans="1:14">
      <c r="A22" s="64"/>
      <c r="B22" s="22"/>
      <c r="C22" s="22"/>
      <c r="D22" s="22"/>
      <c r="E22" s="22"/>
      <c r="F22" s="22"/>
      <c r="G22" s="22"/>
      <c r="H22" s="22"/>
      <c r="I22" s="22"/>
      <c r="J22" s="22"/>
      <c r="K22" s="22"/>
      <c r="L22" s="22"/>
      <c r="M22" s="22"/>
      <c r="N22" s="22"/>
    </row>
    <row r="23" spans="1:14" ht="15.75" thickBot="1">
      <c r="A23" s="64" t="s">
        <v>13</v>
      </c>
      <c r="B23" s="112">
        <f t="shared" ref="B23:M23" si="6">B118</f>
        <v>91975.01999999996</v>
      </c>
      <c r="C23" s="112">
        <f t="shared" si="6"/>
        <v>86508.709999999977</v>
      </c>
      <c r="D23" s="112">
        <f t="shared" si="6"/>
        <v>90205.920000000027</v>
      </c>
      <c r="E23" s="112">
        <f t="shared" si="6"/>
        <v>92421.380000000019</v>
      </c>
      <c r="F23" s="112">
        <f t="shared" si="6"/>
        <v>95663.55999999991</v>
      </c>
      <c r="G23" s="112">
        <f t="shared" si="6"/>
        <v>89117.640000000014</v>
      </c>
      <c r="H23" s="112">
        <f t="shared" si="6"/>
        <v>86626.499999999927</v>
      </c>
      <c r="I23" s="112">
        <f t="shared" si="6"/>
        <v>93858.969999999987</v>
      </c>
      <c r="J23" s="112">
        <f t="shared" si="6"/>
        <v>96198.710000000079</v>
      </c>
      <c r="K23" s="112">
        <f t="shared" si="6"/>
        <v>103222.11000000004</v>
      </c>
      <c r="L23" s="112">
        <f t="shared" si="6"/>
        <v>87589.250000000015</v>
      </c>
      <c r="M23" s="112">
        <f t="shared" si="6"/>
        <v>88208.449999999968</v>
      </c>
      <c r="N23" s="112">
        <v>1101596.22</v>
      </c>
    </row>
    <row r="24" spans="1:14" ht="15.75" thickTop="1">
      <c r="A24" s="64"/>
      <c r="B24" s="22"/>
      <c r="C24" s="22"/>
      <c r="D24" s="22"/>
      <c r="E24" s="22"/>
      <c r="F24" s="22"/>
      <c r="G24" s="22"/>
      <c r="H24" s="22"/>
      <c r="I24" s="22"/>
      <c r="J24" s="22"/>
      <c r="K24" s="22"/>
      <c r="L24" s="22"/>
      <c r="M24" s="22"/>
      <c r="N24" s="22"/>
    </row>
    <row r="25" spans="1:14">
      <c r="A25" s="64" t="s">
        <v>14</v>
      </c>
      <c r="B25" s="22"/>
      <c r="C25" s="22"/>
      <c r="D25" s="22"/>
      <c r="E25" s="22"/>
      <c r="F25" s="22"/>
      <c r="G25" s="22"/>
      <c r="H25" s="22"/>
      <c r="I25" s="22"/>
      <c r="J25" s="22"/>
      <c r="K25" s="22"/>
      <c r="L25" s="22"/>
      <c r="M25" s="22"/>
      <c r="N25" s="22"/>
    </row>
    <row r="26" spans="1:14">
      <c r="A26" s="64" t="s">
        <v>49</v>
      </c>
      <c r="B26" s="107">
        <f t="shared" ref="B26:M26" si="7">B130</f>
        <v>29842.449999999997</v>
      </c>
      <c r="C26" s="107">
        <f t="shared" si="7"/>
        <v>31353.469999999994</v>
      </c>
      <c r="D26" s="107">
        <f t="shared" si="7"/>
        <v>33325.03</v>
      </c>
      <c r="E26" s="107">
        <f t="shared" si="7"/>
        <v>31170.55</v>
      </c>
      <c r="F26" s="107">
        <f t="shared" si="7"/>
        <v>32098.75</v>
      </c>
      <c r="G26" s="107">
        <f t="shared" si="7"/>
        <v>29456.239999999998</v>
      </c>
      <c r="H26" s="107">
        <f t="shared" si="7"/>
        <v>29875.4</v>
      </c>
      <c r="I26" s="107">
        <f t="shared" si="7"/>
        <v>32231.960000000003</v>
      </c>
      <c r="J26" s="107">
        <f t="shared" si="7"/>
        <v>31977.280000000006</v>
      </c>
      <c r="K26" s="107">
        <f t="shared" si="7"/>
        <v>30135.909999999996</v>
      </c>
      <c r="L26" s="107">
        <f t="shared" si="7"/>
        <v>30218.89</v>
      </c>
      <c r="M26" s="107">
        <f t="shared" si="7"/>
        <v>31651.18</v>
      </c>
      <c r="N26" s="107">
        <v>373337.11</v>
      </c>
    </row>
    <row r="27" spans="1:14">
      <c r="A27" s="64" t="s">
        <v>51</v>
      </c>
      <c r="B27" s="107">
        <f t="shared" ref="B27:M27" si="8">B143</f>
        <v>6572.43</v>
      </c>
      <c r="C27" s="107">
        <f t="shared" si="8"/>
        <v>5430.72</v>
      </c>
      <c r="D27" s="107">
        <f t="shared" si="8"/>
        <v>3926.19</v>
      </c>
      <c r="E27" s="107">
        <f t="shared" si="8"/>
        <v>8689.26</v>
      </c>
      <c r="F27" s="107">
        <f t="shared" si="8"/>
        <v>6506.74</v>
      </c>
      <c r="G27" s="107">
        <f t="shared" si="8"/>
        <v>7388.65</v>
      </c>
      <c r="H27" s="107">
        <f t="shared" si="8"/>
        <v>4571.2699999999995</v>
      </c>
      <c r="I27" s="107">
        <f t="shared" si="8"/>
        <v>6718</v>
      </c>
      <c r="J27" s="107">
        <f t="shared" si="8"/>
        <v>4097.57</v>
      </c>
      <c r="K27" s="107">
        <f t="shared" si="8"/>
        <v>6402.78</v>
      </c>
      <c r="L27" s="107">
        <f t="shared" si="8"/>
        <v>7807.9100000000008</v>
      </c>
      <c r="M27" s="107">
        <f t="shared" si="8"/>
        <v>5517.73</v>
      </c>
      <c r="N27" s="107">
        <v>73629.25</v>
      </c>
    </row>
    <row r="28" spans="1:14">
      <c r="A28" s="64" t="s">
        <v>53</v>
      </c>
      <c r="B28" s="107">
        <f t="shared" ref="B28:M28" si="9">B164</f>
        <v>13394.729999999998</v>
      </c>
      <c r="C28" s="107">
        <f t="shared" si="9"/>
        <v>13900.07</v>
      </c>
      <c r="D28" s="107">
        <f t="shared" si="9"/>
        <v>14398.320000000002</v>
      </c>
      <c r="E28" s="107">
        <f t="shared" si="9"/>
        <v>14337.21</v>
      </c>
      <c r="F28" s="107">
        <f t="shared" si="9"/>
        <v>16450.960000000003</v>
      </c>
      <c r="G28" s="107">
        <f t="shared" si="9"/>
        <v>11827.02</v>
      </c>
      <c r="H28" s="107">
        <f t="shared" si="9"/>
        <v>13918.48</v>
      </c>
      <c r="I28" s="107">
        <f t="shared" si="9"/>
        <v>15137.860000000002</v>
      </c>
      <c r="J28" s="107">
        <f t="shared" si="9"/>
        <v>14698.19</v>
      </c>
      <c r="K28" s="107">
        <f t="shared" si="9"/>
        <v>18032.940000000002</v>
      </c>
      <c r="L28" s="107">
        <f t="shared" si="9"/>
        <v>13416.38</v>
      </c>
      <c r="M28" s="107">
        <f t="shared" si="9"/>
        <v>13076.449999999999</v>
      </c>
      <c r="N28" s="107">
        <v>172588.61</v>
      </c>
    </row>
    <row r="29" spans="1:14">
      <c r="A29" s="64" t="s">
        <v>54</v>
      </c>
      <c r="B29" s="107">
        <f t="shared" ref="B29:M29" si="10">B178</f>
        <v>6394.76</v>
      </c>
      <c r="C29" s="107">
        <f t="shared" si="10"/>
        <v>6901.2099999999991</v>
      </c>
      <c r="D29" s="107">
        <f t="shared" si="10"/>
        <v>6431.11</v>
      </c>
      <c r="E29" s="107">
        <f t="shared" si="10"/>
        <v>6787.7300000000005</v>
      </c>
      <c r="F29" s="107">
        <f t="shared" si="10"/>
        <v>10645.189999999999</v>
      </c>
      <c r="G29" s="107">
        <f t="shared" si="10"/>
        <v>6468.65</v>
      </c>
      <c r="H29" s="107">
        <f t="shared" si="10"/>
        <v>7174.6400000000012</v>
      </c>
      <c r="I29" s="107">
        <f t="shared" si="10"/>
        <v>7759.66</v>
      </c>
      <c r="J29" s="107">
        <f t="shared" si="10"/>
        <v>8819.7500000000018</v>
      </c>
      <c r="K29" s="107">
        <f t="shared" si="10"/>
        <v>7634.9599999999991</v>
      </c>
      <c r="L29" s="107">
        <f t="shared" si="10"/>
        <v>7784.5800000000008</v>
      </c>
      <c r="M29" s="107">
        <f t="shared" si="10"/>
        <v>8990.0499999999993</v>
      </c>
      <c r="N29" s="107">
        <v>91792.29</v>
      </c>
    </row>
    <row r="30" spans="1:14">
      <c r="A30" s="64" t="s">
        <v>55</v>
      </c>
      <c r="B30" s="107">
        <f t="shared" ref="B30:M30" si="11">B184</f>
        <v>200</v>
      </c>
      <c r="C30" s="107">
        <f t="shared" si="11"/>
        <v>1544.3</v>
      </c>
      <c r="D30" s="107">
        <f t="shared" si="11"/>
        <v>318.01</v>
      </c>
      <c r="E30" s="107">
        <f t="shared" si="11"/>
        <v>274</v>
      </c>
      <c r="F30" s="107">
        <f t="shared" si="11"/>
        <v>265.97000000000003</v>
      </c>
      <c r="G30" s="107">
        <f t="shared" si="11"/>
        <v>110</v>
      </c>
      <c r="H30" s="107">
        <f t="shared" si="11"/>
        <v>6136.28</v>
      </c>
      <c r="I30" s="107">
        <f t="shared" si="11"/>
        <v>470.5</v>
      </c>
      <c r="J30" s="107">
        <f t="shared" si="11"/>
        <v>402.63</v>
      </c>
      <c r="K30" s="107">
        <f t="shared" si="11"/>
        <v>2048.41</v>
      </c>
      <c r="L30" s="107">
        <f t="shared" si="11"/>
        <v>322.19</v>
      </c>
      <c r="M30" s="107">
        <f t="shared" si="11"/>
        <v>375.03</v>
      </c>
      <c r="N30" s="107">
        <v>12467.32</v>
      </c>
    </row>
    <row r="31" spans="1:14">
      <c r="A31" s="64" t="s">
        <v>56</v>
      </c>
      <c r="B31" s="107">
        <f t="shared" ref="B31:M31" si="12">B192</f>
        <v>1662.21</v>
      </c>
      <c r="C31" s="107">
        <f t="shared" si="12"/>
        <v>1662.21</v>
      </c>
      <c r="D31" s="107">
        <f t="shared" si="12"/>
        <v>1379.1100000000001</v>
      </c>
      <c r="E31" s="107">
        <f t="shared" si="12"/>
        <v>1590.66</v>
      </c>
      <c r="F31" s="107">
        <f t="shared" si="12"/>
        <v>-1163.6400000000001</v>
      </c>
      <c r="G31" s="107">
        <f t="shared" si="12"/>
        <v>1337.3300000000002</v>
      </c>
      <c r="H31" s="107">
        <f t="shared" si="12"/>
        <v>1270.6600000000001</v>
      </c>
      <c r="I31" s="107">
        <f t="shared" si="12"/>
        <v>1412.21</v>
      </c>
      <c r="J31" s="107">
        <f t="shared" si="12"/>
        <v>2405.31</v>
      </c>
      <c r="K31" s="107">
        <f t="shared" si="12"/>
        <v>1445.21</v>
      </c>
      <c r="L31" s="107">
        <f t="shared" si="12"/>
        <v>1412.21</v>
      </c>
      <c r="M31" s="107">
        <f t="shared" si="12"/>
        <v>1412.22</v>
      </c>
      <c r="N31" s="107">
        <v>15825.7</v>
      </c>
    </row>
    <row r="32" spans="1:14">
      <c r="A32" s="64" t="s">
        <v>58</v>
      </c>
      <c r="B32" s="107">
        <f t="shared" ref="B32:M32" si="13">B201</f>
        <v>1759.9100000000003</v>
      </c>
      <c r="C32" s="107">
        <f t="shared" si="13"/>
        <v>1807.44</v>
      </c>
      <c r="D32" s="107">
        <f t="shared" si="13"/>
        <v>1807.44</v>
      </c>
      <c r="E32" s="107">
        <f t="shared" si="13"/>
        <v>1807.44</v>
      </c>
      <c r="F32" s="107">
        <f t="shared" si="13"/>
        <v>1807.44</v>
      </c>
      <c r="G32" s="107">
        <f t="shared" si="13"/>
        <v>2387.08</v>
      </c>
      <c r="H32" s="107">
        <f t="shared" si="13"/>
        <v>1807.44</v>
      </c>
      <c r="I32" s="107">
        <f t="shared" si="13"/>
        <v>1970.1999999999998</v>
      </c>
      <c r="J32" s="107">
        <f t="shared" si="13"/>
        <v>1882.8200000000002</v>
      </c>
      <c r="K32" s="107">
        <f t="shared" si="13"/>
        <v>1888.8200000000002</v>
      </c>
      <c r="L32" s="107">
        <f t="shared" si="13"/>
        <v>1888.8200000000002</v>
      </c>
      <c r="M32" s="107">
        <f t="shared" si="13"/>
        <v>1888.8200000000002</v>
      </c>
      <c r="N32" s="107">
        <v>22703.67</v>
      </c>
    </row>
    <row r="33" spans="1:14">
      <c r="A33" s="64" t="s">
        <v>59</v>
      </c>
      <c r="B33" s="107">
        <f t="shared" ref="B33:M33" si="14">B208</f>
        <v>6773.8799999999992</v>
      </c>
      <c r="C33" s="107">
        <f t="shared" si="14"/>
        <v>6797.8099999999995</v>
      </c>
      <c r="D33" s="107">
        <f t="shared" si="14"/>
        <v>6787.2099999999991</v>
      </c>
      <c r="E33" s="107">
        <f t="shared" si="14"/>
        <v>6787.2099999999991</v>
      </c>
      <c r="F33" s="107">
        <f t="shared" si="14"/>
        <v>6754.2</v>
      </c>
      <c r="G33" s="107">
        <f t="shared" si="14"/>
        <v>6754.2</v>
      </c>
      <c r="H33" s="107">
        <f t="shared" si="14"/>
        <v>4826.04</v>
      </c>
      <c r="I33" s="107">
        <f t="shared" si="14"/>
        <v>5796.26</v>
      </c>
      <c r="J33" s="107">
        <f t="shared" si="14"/>
        <v>5914.5</v>
      </c>
      <c r="K33" s="107">
        <f t="shared" si="14"/>
        <v>5847.65</v>
      </c>
      <c r="L33" s="107">
        <f t="shared" si="14"/>
        <v>5865.33</v>
      </c>
      <c r="M33" s="107">
        <f t="shared" si="14"/>
        <v>5851.93</v>
      </c>
      <c r="N33" s="107">
        <v>74756.22</v>
      </c>
    </row>
    <row r="34" spans="1:14">
      <c r="A34" s="64" t="s">
        <v>60</v>
      </c>
      <c r="B34" s="107">
        <f t="shared" ref="B34:M34" si="15">B214</f>
        <v>9041.34</v>
      </c>
      <c r="C34" s="107">
        <f t="shared" si="15"/>
        <v>11119.32</v>
      </c>
      <c r="D34" s="107">
        <f t="shared" si="15"/>
        <v>9374.9599999999991</v>
      </c>
      <c r="E34" s="107">
        <f t="shared" si="15"/>
        <v>9366.6200000000008</v>
      </c>
      <c r="F34" s="107">
        <f t="shared" si="15"/>
        <v>9325.31</v>
      </c>
      <c r="G34" s="107">
        <f t="shared" si="15"/>
        <v>10118.58</v>
      </c>
      <c r="H34" s="107">
        <f t="shared" si="15"/>
        <v>8800.83</v>
      </c>
      <c r="I34" s="107">
        <f t="shared" si="15"/>
        <v>9510.1200000000008</v>
      </c>
      <c r="J34" s="107">
        <f t="shared" si="15"/>
        <v>9798.8200000000015</v>
      </c>
      <c r="K34" s="107">
        <f t="shared" si="15"/>
        <v>13094.54</v>
      </c>
      <c r="L34" s="107">
        <f t="shared" si="15"/>
        <v>9342.9500000000007</v>
      </c>
      <c r="M34" s="107">
        <f t="shared" si="15"/>
        <v>10190.370000000001</v>
      </c>
      <c r="N34" s="107">
        <v>119083.76</v>
      </c>
    </row>
    <row r="35" spans="1:14">
      <c r="A35" s="64" t="s">
        <v>61</v>
      </c>
      <c r="B35" s="107"/>
      <c r="C35" s="107"/>
      <c r="D35" s="107"/>
      <c r="E35" s="107"/>
      <c r="F35" s="107">
        <f>F218</f>
        <v>-1552.76</v>
      </c>
      <c r="G35" s="107"/>
      <c r="H35" s="107"/>
      <c r="I35" s="107"/>
      <c r="J35" s="107"/>
      <c r="K35" s="107"/>
      <c r="L35" s="107"/>
      <c r="M35" s="107"/>
      <c r="N35" s="107">
        <v>-1552.76</v>
      </c>
    </row>
    <row r="36" spans="1:14">
      <c r="A36" s="64"/>
      <c r="B36" s="22"/>
      <c r="C36" s="22"/>
      <c r="D36" s="22"/>
      <c r="E36" s="22"/>
      <c r="F36" s="22"/>
      <c r="G36" s="22"/>
      <c r="H36" s="22"/>
      <c r="I36" s="22"/>
      <c r="J36" s="22"/>
      <c r="K36" s="22"/>
      <c r="L36" s="22"/>
      <c r="M36" s="22"/>
      <c r="N36" s="22"/>
    </row>
    <row r="37" spans="1:14" ht="15.75" thickBot="1">
      <c r="A37" s="64" t="s">
        <v>62</v>
      </c>
      <c r="B37" s="112">
        <f t="shared" ref="B37:M37" si="16">B220</f>
        <v>75641.709999999977</v>
      </c>
      <c r="C37" s="112">
        <f t="shared" si="16"/>
        <v>80516.549999999988</v>
      </c>
      <c r="D37" s="112">
        <f t="shared" si="16"/>
        <v>77747.379999999976</v>
      </c>
      <c r="E37" s="112">
        <f t="shared" si="16"/>
        <v>80810.679999999906</v>
      </c>
      <c r="F37" s="112">
        <f t="shared" si="16"/>
        <v>81138.159999999989</v>
      </c>
      <c r="G37" s="112">
        <f t="shared" si="16"/>
        <v>75847.749999999985</v>
      </c>
      <c r="H37" s="112">
        <f t="shared" si="16"/>
        <v>78381.039999999994</v>
      </c>
      <c r="I37" s="112">
        <f t="shared" si="16"/>
        <v>81006.770000000062</v>
      </c>
      <c r="J37" s="112">
        <f t="shared" si="16"/>
        <v>79996.87</v>
      </c>
      <c r="K37" s="112">
        <f t="shared" si="16"/>
        <v>86531.22</v>
      </c>
      <c r="L37" s="112">
        <f t="shared" si="16"/>
        <v>78059.259999999995</v>
      </c>
      <c r="M37" s="112">
        <f t="shared" si="16"/>
        <v>78953.779999999941</v>
      </c>
      <c r="N37" s="112">
        <v>954631.17</v>
      </c>
    </row>
    <row r="38" spans="1:14" ht="15.75" thickTop="1">
      <c r="A38" s="64"/>
      <c r="B38" s="22"/>
      <c r="C38" s="22"/>
      <c r="D38" s="22"/>
      <c r="E38" s="22"/>
      <c r="F38" s="22"/>
      <c r="G38" s="22"/>
      <c r="H38" s="22"/>
      <c r="I38" s="22"/>
      <c r="J38" s="22"/>
      <c r="K38" s="22"/>
      <c r="L38" s="22"/>
      <c r="M38" s="22"/>
      <c r="N38" s="22"/>
    </row>
    <row r="39" spans="1:14" ht="15.75" thickBot="1">
      <c r="A39" s="64" t="s">
        <v>63</v>
      </c>
      <c r="B39" s="112">
        <f t="shared" ref="B39:M39" si="17">B222</f>
        <v>16333.309999999983</v>
      </c>
      <c r="C39" s="112">
        <f t="shared" si="17"/>
        <v>5992.1599999999889</v>
      </c>
      <c r="D39" s="112">
        <f t="shared" si="17"/>
        <v>12458.540000000052</v>
      </c>
      <c r="E39" s="112">
        <f t="shared" si="17"/>
        <v>11610.700000000114</v>
      </c>
      <c r="F39" s="112">
        <f t="shared" si="17"/>
        <v>14525.399999999921</v>
      </c>
      <c r="G39" s="112">
        <f t="shared" si="17"/>
        <v>13269.890000000029</v>
      </c>
      <c r="H39" s="112">
        <f t="shared" si="17"/>
        <v>8245.4599999999336</v>
      </c>
      <c r="I39" s="112">
        <f t="shared" si="17"/>
        <v>12852.199999999924</v>
      </c>
      <c r="J39" s="112">
        <f t="shared" si="17"/>
        <v>16201.840000000084</v>
      </c>
      <c r="K39" s="112">
        <f t="shared" si="17"/>
        <v>16690.890000000043</v>
      </c>
      <c r="L39" s="112">
        <f t="shared" si="17"/>
        <v>9529.9900000000198</v>
      </c>
      <c r="M39" s="112">
        <f t="shared" si="17"/>
        <v>9254.6700000000274</v>
      </c>
      <c r="N39" s="112">
        <v>146965.04999999999</v>
      </c>
    </row>
    <row r="40" spans="1:14" ht="15.75" thickTop="1">
      <c r="A40" s="64"/>
      <c r="B40" s="22"/>
      <c r="C40" s="22"/>
      <c r="D40" s="22"/>
      <c r="E40" s="22"/>
      <c r="F40" s="22"/>
      <c r="G40" s="22"/>
      <c r="H40" s="22"/>
      <c r="I40" s="22"/>
      <c r="J40" s="22"/>
      <c r="K40" s="22"/>
      <c r="L40" s="22"/>
      <c r="M40" s="22"/>
      <c r="N40" s="22"/>
    </row>
    <row r="41" spans="1:14" ht="15.75" thickBot="1">
      <c r="A41" s="64" t="s">
        <v>64</v>
      </c>
      <c r="B41" s="112">
        <f t="shared" ref="B41:M41" si="18">B226</f>
        <v>1359.67</v>
      </c>
      <c r="C41" s="112">
        <f t="shared" si="18"/>
        <v>1370.42</v>
      </c>
      <c r="D41" s="112">
        <f t="shared" si="18"/>
        <v>1868.76</v>
      </c>
      <c r="E41" s="112">
        <f t="shared" si="18"/>
        <v>1955.84</v>
      </c>
      <c r="F41" s="112">
        <f t="shared" si="18"/>
        <v>30515.279999999999</v>
      </c>
      <c r="G41" s="112">
        <f t="shared" si="18"/>
        <v>2381.5100000000002</v>
      </c>
      <c r="H41" s="112">
        <f t="shared" si="18"/>
        <v>935.9</v>
      </c>
      <c r="I41" s="112">
        <f t="shared" si="18"/>
        <v>870.98</v>
      </c>
      <c r="J41" s="112">
        <f t="shared" si="18"/>
        <v>1805.68</v>
      </c>
      <c r="K41" s="112">
        <f t="shared" si="18"/>
        <v>1959.18</v>
      </c>
      <c r="L41" s="112">
        <f t="shared" si="18"/>
        <v>1362.65</v>
      </c>
      <c r="M41" s="112">
        <f t="shared" si="18"/>
        <v>2192.1999999999998</v>
      </c>
      <c r="N41" s="112">
        <v>48578.07</v>
      </c>
    </row>
    <row r="42" spans="1:14" ht="15.75" thickTop="1">
      <c r="A42" s="64"/>
      <c r="B42" s="22"/>
      <c r="C42" s="22"/>
      <c r="D42" s="22"/>
      <c r="E42" s="22"/>
      <c r="F42" s="22"/>
      <c r="G42" s="22"/>
      <c r="H42" s="22"/>
      <c r="I42" s="22"/>
      <c r="J42" s="22"/>
      <c r="K42" s="22"/>
      <c r="L42" s="22"/>
      <c r="M42" s="22"/>
      <c r="N42" s="22"/>
    </row>
    <row r="43" spans="1:14" ht="15.75" thickBot="1">
      <c r="A43" s="64" t="s">
        <v>22</v>
      </c>
      <c r="B43" s="112">
        <f t="shared" ref="B43:M43" si="19">B228</f>
        <v>14973.639999999983</v>
      </c>
      <c r="C43" s="112">
        <f t="shared" si="19"/>
        <v>4621.7399999999889</v>
      </c>
      <c r="D43" s="112">
        <f t="shared" si="19"/>
        <v>10589.780000000052</v>
      </c>
      <c r="E43" s="112">
        <f t="shared" si="19"/>
        <v>9654.8600000001134</v>
      </c>
      <c r="F43" s="112">
        <f t="shared" si="19"/>
        <v>-15989.880000000077</v>
      </c>
      <c r="G43" s="112">
        <f t="shared" si="19"/>
        <v>10888.380000000028</v>
      </c>
      <c r="H43" s="112">
        <f t="shared" si="19"/>
        <v>7309.559999999934</v>
      </c>
      <c r="I43" s="112">
        <f t="shared" si="19"/>
        <v>11981.219999999925</v>
      </c>
      <c r="J43" s="112">
        <f t="shared" si="19"/>
        <v>14396.160000000084</v>
      </c>
      <c r="K43" s="112">
        <f t="shared" si="19"/>
        <v>14731.710000000043</v>
      </c>
      <c r="L43" s="112">
        <f t="shared" si="19"/>
        <v>8167.3400000000202</v>
      </c>
      <c r="M43" s="112">
        <f t="shared" si="19"/>
        <v>7062.4700000000275</v>
      </c>
      <c r="N43" s="112">
        <v>98386.98</v>
      </c>
    </row>
    <row r="44" spans="1:14" ht="15.75" thickTop="1">
      <c r="A44" s="64"/>
      <c r="B44" s="22"/>
      <c r="C44" s="22"/>
      <c r="D44" s="22"/>
      <c r="E44" s="22"/>
      <c r="F44" s="22"/>
      <c r="G44" s="22"/>
      <c r="H44" s="22"/>
      <c r="I44" s="22"/>
      <c r="J44" s="22"/>
      <c r="K44" s="22"/>
      <c r="L44" s="22"/>
      <c r="M44" s="22"/>
      <c r="N44" s="22"/>
    </row>
    <row r="45" spans="1:14">
      <c r="A45" s="64" t="s">
        <v>40</v>
      </c>
      <c r="B45" s="22"/>
      <c r="C45" s="22"/>
      <c r="D45" s="22"/>
      <c r="E45" s="22"/>
      <c r="F45" s="22"/>
      <c r="G45" s="22"/>
      <c r="H45" s="22"/>
      <c r="I45" s="22"/>
      <c r="J45" s="22"/>
      <c r="K45" s="22"/>
      <c r="L45" s="22"/>
      <c r="M45" s="22"/>
      <c r="N45" s="22"/>
    </row>
    <row r="46" spans="1:14">
      <c r="A46" s="64"/>
      <c r="B46" s="22"/>
      <c r="C46" s="22"/>
      <c r="D46" s="22"/>
      <c r="E46" s="22"/>
      <c r="F46" s="22"/>
      <c r="G46" s="22"/>
      <c r="H46" s="22"/>
      <c r="I46" s="22"/>
      <c r="J46" s="22"/>
      <c r="K46" s="22"/>
      <c r="L46" s="22"/>
      <c r="M46" s="22"/>
      <c r="N46" s="22"/>
    </row>
    <row r="47" spans="1:14">
      <c r="A47" s="64" t="s">
        <v>41</v>
      </c>
      <c r="B47" s="22"/>
      <c r="C47" s="22"/>
      <c r="D47" s="22"/>
      <c r="E47" s="22"/>
      <c r="F47" s="22"/>
      <c r="G47" s="22"/>
      <c r="H47" s="22"/>
      <c r="I47" s="22"/>
      <c r="J47" s="22"/>
      <c r="K47" s="22"/>
      <c r="L47" s="22"/>
      <c r="M47" s="22"/>
      <c r="N47" s="22"/>
    </row>
    <row r="48" spans="1:14">
      <c r="A48" s="64"/>
      <c r="B48" s="22"/>
      <c r="C48" s="22"/>
      <c r="D48" s="22"/>
      <c r="E48" s="22"/>
      <c r="F48" s="22"/>
      <c r="G48" s="22"/>
      <c r="H48" s="22"/>
      <c r="I48" s="22"/>
      <c r="J48" s="22"/>
      <c r="K48" s="22"/>
      <c r="L48" s="22"/>
      <c r="M48" s="22"/>
      <c r="N48" s="22"/>
    </row>
    <row r="49" spans="1:14">
      <c r="A49" s="64" t="s">
        <v>65</v>
      </c>
      <c r="B49" s="113"/>
      <c r="C49" s="113"/>
      <c r="D49" s="113"/>
      <c r="E49" s="113"/>
      <c r="F49" s="113"/>
      <c r="G49" s="113"/>
      <c r="H49" s="113"/>
      <c r="I49" s="113"/>
      <c r="J49" s="113"/>
      <c r="K49" s="113"/>
      <c r="L49" s="113"/>
      <c r="M49" s="113"/>
      <c r="N49" s="113"/>
    </row>
    <row r="50" spans="1:14">
      <c r="A50" s="64" t="s">
        <v>67</v>
      </c>
      <c r="B50" s="107"/>
      <c r="C50" s="107"/>
      <c r="D50" s="107"/>
      <c r="E50" s="107"/>
      <c r="F50" s="107"/>
      <c r="G50" s="107"/>
      <c r="H50" s="107"/>
      <c r="I50" s="107"/>
      <c r="J50" s="107"/>
      <c r="K50" s="107"/>
      <c r="L50" s="107"/>
      <c r="M50" s="107"/>
      <c r="N50" s="107"/>
    </row>
    <row r="51" spans="1:14">
      <c r="A51" s="64"/>
      <c r="B51" s="22"/>
      <c r="C51" s="22"/>
      <c r="D51" s="22"/>
      <c r="E51" s="22"/>
      <c r="F51" s="22"/>
      <c r="G51" s="22"/>
      <c r="H51" s="22"/>
      <c r="I51" s="22"/>
      <c r="J51" s="22"/>
      <c r="K51" s="22"/>
      <c r="L51" s="22"/>
      <c r="M51" s="22"/>
      <c r="N51" s="22"/>
    </row>
    <row r="52" spans="1:14">
      <c r="A52" s="64" t="s">
        <v>68</v>
      </c>
      <c r="B52" s="113"/>
      <c r="C52" s="113"/>
      <c r="D52" s="113"/>
      <c r="E52" s="113"/>
      <c r="F52" s="113"/>
      <c r="G52" s="113"/>
      <c r="H52" s="113"/>
      <c r="I52" s="113"/>
      <c r="J52" s="113"/>
      <c r="K52" s="113"/>
      <c r="L52" s="113"/>
      <c r="M52" s="113"/>
      <c r="N52" s="113"/>
    </row>
    <row r="53" spans="1:14">
      <c r="A53" s="64" t="s">
        <v>69</v>
      </c>
      <c r="B53" s="107"/>
      <c r="C53" s="107"/>
      <c r="D53" s="107"/>
      <c r="E53" s="107"/>
      <c r="F53" s="107"/>
      <c r="G53" s="107"/>
      <c r="H53" s="107"/>
      <c r="I53" s="107"/>
      <c r="J53" s="107"/>
      <c r="K53" s="107"/>
      <c r="L53" s="107"/>
      <c r="M53" s="107"/>
      <c r="N53" s="107"/>
    </row>
    <row r="54" spans="1:14">
      <c r="A54" s="64"/>
      <c r="B54" s="22"/>
      <c r="C54" s="22"/>
      <c r="D54" s="22"/>
      <c r="E54" s="22"/>
      <c r="F54" s="22"/>
      <c r="G54" s="22"/>
      <c r="H54" s="22"/>
      <c r="I54" s="22"/>
      <c r="J54" s="22"/>
      <c r="K54" s="22"/>
      <c r="L54" s="22"/>
      <c r="M54" s="22"/>
      <c r="N54" s="22"/>
    </row>
    <row r="55" spans="1:14">
      <c r="A55" s="64" t="s">
        <v>70</v>
      </c>
      <c r="B55" s="113"/>
      <c r="C55" s="113"/>
      <c r="D55" s="113"/>
      <c r="E55" s="113"/>
      <c r="F55" s="113"/>
      <c r="G55" s="113"/>
      <c r="H55" s="113"/>
      <c r="I55" s="113"/>
      <c r="J55" s="113"/>
      <c r="K55" s="113"/>
      <c r="L55" s="113"/>
      <c r="M55" s="113"/>
      <c r="N55" s="113"/>
    </row>
    <row r="56" spans="1:14">
      <c r="A56" s="64" t="s">
        <v>71</v>
      </c>
      <c r="B56" s="107"/>
      <c r="C56" s="107"/>
      <c r="D56" s="107"/>
      <c r="E56" s="107"/>
      <c r="F56" s="107"/>
      <c r="G56" s="107"/>
      <c r="H56" s="107"/>
      <c r="I56" s="107"/>
      <c r="J56" s="107"/>
      <c r="K56" s="107"/>
      <c r="L56" s="107"/>
      <c r="M56" s="107"/>
      <c r="N56" s="107"/>
    </row>
    <row r="57" spans="1:14">
      <c r="A57" s="64"/>
      <c r="B57" s="22"/>
      <c r="C57" s="22"/>
      <c r="D57" s="22"/>
      <c r="E57" s="22"/>
      <c r="F57" s="22"/>
      <c r="G57" s="22"/>
      <c r="H57" s="22"/>
      <c r="I57" s="22"/>
      <c r="J57" s="22"/>
      <c r="K57" s="22"/>
      <c r="L57" s="22"/>
      <c r="M57" s="22"/>
      <c r="N57" s="22"/>
    </row>
    <row r="58" spans="1:14">
      <c r="A58" s="64" t="s">
        <v>72</v>
      </c>
      <c r="B58" s="113"/>
      <c r="C58" s="113"/>
      <c r="D58" s="113"/>
      <c r="E58" s="113"/>
      <c r="F58" s="113"/>
      <c r="G58" s="113"/>
      <c r="H58" s="113"/>
      <c r="I58" s="113"/>
      <c r="J58" s="113"/>
      <c r="K58" s="113"/>
      <c r="L58" s="113"/>
      <c r="M58" s="113"/>
      <c r="N58" s="113"/>
    </row>
    <row r="59" spans="1:14">
      <c r="A59" s="64" t="s">
        <v>314</v>
      </c>
      <c r="B59" s="107"/>
      <c r="C59" s="107"/>
      <c r="D59" s="107"/>
      <c r="E59" s="107"/>
      <c r="F59" s="107"/>
      <c r="G59" s="107"/>
      <c r="H59" s="107"/>
      <c r="I59" s="107"/>
      <c r="J59" s="107"/>
      <c r="K59" s="107"/>
      <c r="L59" s="107"/>
      <c r="M59" s="107"/>
      <c r="N59" s="107"/>
    </row>
    <row r="60" spans="1:14">
      <c r="A60" s="64"/>
      <c r="B60" s="22"/>
      <c r="C60" s="22"/>
      <c r="D60" s="22"/>
      <c r="E60" s="22"/>
      <c r="F60" s="22"/>
      <c r="G60" s="22"/>
      <c r="H60" s="22"/>
      <c r="I60" s="22"/>
      <c r="J60" s="22"/>
      <c r="K60" s="22"/>
      <c r="L60" s="22"/>
      <c r="M60" s="22"/>
      <c r="N60" s="22"/>
    </row>
    <row r="61" spans="1:14">
      <c r="A61" s="64" t="s">
        <v>73</v>
      </c>
      <c r="B61" s="113"/>
      <c r="C61" s="113"/>
      <c r="D61" s="113"/>
      <c r="E61" s="113"/>
      <c r="F61" s="113"/>
      <c r="G61" s="113"/>
      <c r="H61" s="113"/>
      <c r="I61" s="113"/>
      <c r="J61" s="113"/>
      <c r="K61" s="113"/>
      <c r="L61" s="113"/>
      <c r="M61" s="113"/>
      <c r="N61" s="113"/>
    </row>
    <row r="62" spans="1:14">
      <c r="A62" s="64" t="s">
        <v>74</v>
      </c>
      <c r="B62" s="107"/>
      <c r="C62" s="107"/>
      <c r="D62" s="107"/>
      <c r="E62" s="107"/>
      <c r="F62" s="107"/>
      <c r="G62" s="107"/>
      <c r="H62" s="107"/>
      <c r="I62" s="107"/>
      <c r="J62" s="107"/>
      <c r="K62" s="107"/>
      <c r="L62" s="107"/>
      <c r="M62" s="107"/>
      <c r="N62" s="107"/>
    </row>
    <row r="63" spans="1:14">
      <c r="A63" s="64"/>
      <c r="B63" s="22"/>
      <c r="C63" s="22"/>
      <c r="D63" s="22"/>
      <c r="E63" s="22"/>
      <c r="F63" s="22"/>
      <c r="G63" s="22"/>
      <c r="H63" s="22"/>
      <c r="I63" s="22"/>
      <c r="J63" s="22"/>
      <c r="K63" s="22"/>
      <c r="L63" s="22"/>
      <c r="M63" s="22"/>
      <c r="N63" s="22"/>
    </row>
    <row r="64" spans="1:14">
      <c r="A64" s="64" t="s">
        <v>75</v>
      </c>
      <c r="B64" s="22"/>
      <c r="C64" s="22"/>
      <c r="D64" s="22"/>
      <c r="E64" s="22"/>
      <c r="F64" s="22"/>
      <c r="G64" s="22"/>
      <c r="H64" s="22"/>
      <c r="I64" s="22"/>
      <c r="J64" s="22"/>
      <c r="K64" s="22"/>
      <c r="L64" s="22"/>
      <c r="M64" s="22"/>
      <c r="N64" s="22"/>
    </row>
    <row r="65" spans="1:14">
      <c r="A65" s="64" t="s">
        <v>66</v>
      </c>
      <c r="B65" s="111">
        <v>80008.179999999993</v>
      </c>
      <c r="C65" s="111">
        <v>76008.710000000006</v>
      </c>
      <c r="D65" s="111">
        <v>79930.92</v>
      </c>
      <c r="E65" s="111">
        <v>82235.55</v>
      </c>
      <c r="F65" s="111">
        <v>83677.27</v>
      </c>
      <c r="G65" s="111">
        <v>79156.350000000006</v>
      </c>
      <c r="H65" s="111">
        <v>75972.639999999999</v>
      </c>
      <c r="I65" s="111">
        <v>81845.2</v>
      </c>
      <c r="J65" s="111">
        <v>83630</v>
      </c>
      <c r="K65" s="111">
        <v>84847.4</v>
      </c>
      <c r="L65" s="111">
        <v>82184.34</v>
      </c>
      <c r="M65" s="111">
        <v>78335.64</v>
      </c>
      <c r="N65" s="111">
        <v>967832.2</v>
      </c>
    </row>
    <row r="66" spans="1:14">
      <c r="A66" s="64" t="s">
        <v>76</v>
      </c>
      <c r="B66" s="107">
        <f t="shared" ref="B66:M66" si="20">SUM(B63:B65)</f>
        <v>80008.179999999993</v>
      </c>
      <c r="C66" s="107">
        <f t="shared" si="20"/>
        <v>76008.710000000006</v>
      </c>
      <c r="D66" s="107">
        <f t="shared" si="20"/>
        <v>79930.92</v>
      </c>
      <c r="E66" s="107">
        <f t="shared" si="20"/>
        <v>82235.55</v>
      </c>
      <c r="F66" s="107">
        <f t="shared" si="20"/>
        <v>83677.27</v>
      </c>
      <c r="G66" s="107">
        <f t="shared" si="20"/>
        <v>79156.350000000006</v>
      </c>
      <c r="H66" s="107">
        <f t="shared" si="20"/>
        <v>75972.639999999999</v>
      </c>
      <c r="I66" s="107">
        <f t="shared" si="20"/>
        <v>81845.2</v>
      </c>
      <c r="J66" s="107">
        <f t="shared" si="20"/>
        <v>83630</v>
      </c>
      <c r="K66" s="107">
        <f t="shared" si="20"/>
        <v>84847.4</v>
      </c>
      <c r="L66" s="107">
        <f t="shared" si="20"/>
        <v>82184.34</v>
      </c>
      <c r="M66" s="107">
        <f t="shared" si="20"/>
        <v>78335.64</v>
      </c>
      <c r="N66" s="107">
        <v>967832.2</v>
      </c>
    </row>
    <row r="67" spans="1:14">
      <c r="A67" s="64"/>
      <c r="B67" s="113"/>
      <c r="C67" s="113"/>
      <c r="D67" s="113"/>
      <c r="E67" s="113"/>
      <c r="F67" s="113"/>
      <c r="G67" s="113"/>
      <c r="H67" s="113"/>
      <c r="I67" s="113"/>
      <c r="J67" s="113"/>
      <c r="K67" s="113"/>
      <c r="L67" s="113"/>
      <c r="M67" s="113"/>
      <c r="N67" s="113"/>
    </row>
    <row r="68" spans="1:14">
      <c r="A68" s="64" t="s">
        <v>42</v>
      </c>
      <c r="B68" s="107">
        <f t="shared" ref="B68:M68" si="21">SUM(B49:B67)-B50-B53-B56-B59-B62-B66</f>
        <v>80008.179999999993</v>
      </c>
      <c r="C68" s="107">
        <f t="shared" si="21"/>
        <v>76008.710000000006</v>
      </c>
      <c r="D68" s="107">
        <f t="shared" si="21"/>
        <v>79930.92</v>
      </c>
      <c r="E68" s="107">
        <f t="shared" si="21"/>
        <v>82235.55</v>
      </c>
      <c r="F68" s="107">
        <f t="shared" si="21"/>
        <v>83677.27</v>
      </c>
      <c r="G68" s="107">
        <f t="shared" si="21"/>
        <v>79156.350000000006</v>
      </c>
      <c r="H68" s="107">
        <f t="shared" si="21"/>
        <v>75972.639999999999</v>
      </c>
      <c r="I68" s="107">
        <f t="shared" si="21"/>
        <v>81845.2</v>
      </c>
      <c r="J68" s="107">
        <f t="shared" si="21"/>
        <v>83630</v>
      </c>
      <c r="K68" s="107">
        <f t="shared" si="21"/>
        <v>84847.4</v>
      </c>
      <c r="L68" s="107">
        <f t="shared" si="21"/>
        <v>82184.34</v>
      </c>
      <c r="M68" s="107">
        <f t="shared" si="21"/>
        <v>78335.64</v>
      </c>
      <c r="N68" s="107">
        <v>967832.2</v>
      </c>
    </row>
    <row r="69" spans="1:14">
      <c r="A69" s="64"/>
      <c r="B69" s="22"/>
      <c r="C69" s="22"/>
      <c r="D69" s="22"/>
      <c r="E69" s="22"/>
      <c r="F69" s="22"/>
      <c r="G69" s="22"/>
      <c r="H69" s="22"/>
      <c r="I69" s="22"/>
      <c r="J69" s="22"/>
      <c r="K69" s="22"/>
      <c r="L69" s="22"/>
      <c r="M69" s="22"/>
      <c r="N69" s="22"/>
    </row>
    <row r="70" spans="1:14">
      <c r="A70" s="64" t="s">
        <v>43</v>
      </c>
      <c r="B70" s="22"/>
      <c r="C70" s="22"/>
      <c r="D70" s="22"/>
      <c r="E70" s="22"/>
      <c r="F70" s="22"/>
      <c r="G70" s="22"/>
      <c r="H70" s="22"/>
      <c r="I70" s="22"/>
      <c r="J70" s="22"/>
      <c r="K70" s="22"/>
      <c r="L70" s="22"/>
      <c r="M70" s="22"/>
      <c r="N70" s="22"/>
    </row>
    <row r="71" spans="1:14">
      <c r="A71" s="64"/>
      <c r="B71" s="22"/>
      <c r="C71" s="22"/>
      <c r="D71" s="22"/>
      <c r="E71" s="22"/>
      <c r="F71" s="22"/>
      <c r="G71" s="22"/>
      <c r="H71" s="22"/>
      <c r="I71" s="22"/>
      <c r="J71" s="22"/>
      <c r="K71" s="22"/>
      <c r="L71" s="22"/>
      <c r="M71" s="22"/>
      <c r="N71" s="22"/>
    </row>
    <row r="72" spans="1:14">
      <c r="A72" s="64" t="s">
        <v>65</v>
      </c>
      <c r="B72" s="113"/>
      <c r="C72" s="113"/>
      <c r="D72" s="113"/>
      <c r="E72" s="113"/>
      <c r="F72" s="113"/>
      <c r="G72" s="113"/>
      <c r="H72" s="113"/>
      <c r="I72" s="113"/>
      <c r="J72" s="113"/>
      <c r="K72" s="113"/>
      <c r="L72" s="113"/>
      <c r="M72" s="113"/>
      <c r="N72" s="113"/>
    </row>
    <row r="73" spans="1:14">
      <c r="A73" s="64" t="s">
        <v>67</v>
      </c>
      <c r="B73" s="107"/>
      <c r="C73" s="107"/>
      <c r="D73" s="107"/>
      <c r="E73" s="107"/>
      <c r="F73" s="107"/>
      <c r="G73" s="107"/>
      <c r="H73" s="107"/>
      <c r="I73" s="107"/>
      <c r="J73" s="107"/>
      <c r="K73" s="107"/>
      <c r="L73" s="107"/>
      <c r="M73" s="107"/>
      <c r="N73" s="107"/>
    </row>
    <row r="74" spans="1:14">
      <c r="A74" s="64"/>
      <c r="B74" s="22"/>
      <c r="C74" s="22"/>
      <c r="D74" s="22"/>
      <c r="E74" s="22"/>
      <c r="F74" s="22"/>
      <c r="G74" s="22"/>
      <c r="H74" s="22"/>
      <c r="I74" s="22"/>
      <c r="J74" s="22"/>
      <c r="K74" s="22"/>
      <c r="L74" s="22"/>
      <c r="M74" s="22"/>
      <c r="N74" s="22"/>
    </row>
    <row r="75" spans="1:14">
      <c r="A75" s="64" t="s">
        <v>68</v>
      </c>
      <c r="B75" s="113"/>
      <c r="C75" s="113"/>
      <c r="D75" s="113"/>
      <c r="E75" s="113"/>
      <c r="F75" s="113"/>
      <c r="G75" s="113"/>
      <c r="H75" s="113"/>
      <c r="I75" s="113"/>
      <c r="J75" s="113"/>
      <c r="K75" s="113"/>
      <c r="L75" s="113"/>
      <c r="M75" s="113"/>
      <c r="N75" s="113"/>
    </row>
    <row r="76" spans="1:14">
      <c r="A76" s="64" t="s">
        <v>69</v>
      </c>
      <c r="B76" s="107"/>
      <c r="C76" s="107"/>
      <c r="D76" s="107"/>
      <c r="E76" s="107"/>
      <c r="F76" s="107"/>
      <c r="G76" s="107"/>
      <c r="H76" s="107"/>
      <c r="I76" s="107"/>
      <c r="J76" s="107"/>
      <c r="K76" s="107"/>
      <c r="L76" s="107"/>
      <c r="M76" s="107"/>
      <c r="N76" s="107"/>
    </row>
    <row r="77" spans="1:14">
      <c r="A77" s="64"/>
      <c r="B77" s="22"/>
      <c r="C77" s="22"/>
      <c r="D77" s="22"/>
      <c r="E77" s="22"/>
      <c r="F77" s="22"/>
      <c r="G77" s="22"/>
      <c r="H77" s="22"/>
      <c r="I77" s="22"/>
      <c r="J77" s="22"/>
      <c r="K77" s="22"/>
      <c r="L77" s="22"/>
      <c r="M77" s="22"/>
      <c r="N77" s="22"/>
    </row>
    <row r="78" spans="1:14">
      <c r="A78" s="64" t="s">
        <v>70</v>
      </c>
      <c r="B78" s="113"/>
      <c r="C78" s="113"/>
      <c r="D78" s="113"/>
      <c r="E78" s="113"/>
      <c r="F78" s="113"/>
      <c r="G78" s="113"/>
      <c r="H78" s="113"/>
      <c r="I78" s="113"/>
      <c r="J78" s="113"/>
      <c r="K78" s="113"/>
      <c r="L78" s="113"/>
      <c r="M78" s="113"/>
      <c r="N78" s="113"/>
    </row>
    <row r="79" spans="1:14">
      <c r="A79" s="64" t="s">
        <v>71</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72</v>
      </c>
      <c r="B81" s="113"/>
      <c r="C81" s="113"/>
      <c r="D81" s="113"/>
      <c r="E81" s="113"/>
      <c r="F81" s="113"/>
      <c r="G81" s="113"/>
      <c r="H81" s="113"/>
      <c r="I81" s="113"/>
      <c r="J81" s="113"/>
      <c r="K81" s="113"/>
      <c r="L81" s="113"/>
      <c r="M81" s="113"/>
      <c r="N81" s="113"/>
    </row>
    <row r="82" spans="1:14">
      <c r="A82" s="64" t="s">
        <v>314</v>
      </c>
      <c r="B82" s="107"/>
      <c r="C82" s="107"/>
      <c r="D82" s="107"/>
      <c r="E82" s="107"/>
      <c r="F82" s="107"/>
      <c r="G82" s="107"/>
      <c r="H82" s="107"/>
      <c r="I82" s="107"/>
      <c r="J82" s="107"/>
      <c r="K82" s="107"/>
      <c r="L82" s="107"/>
      <c r="M82" s="107"/>
      <c r="N82" s="107"/>
    </row>
    <row r="83" spans="1:14">
      <c r="A83" s="64"/>
      <c r="B83" s="22"/>
      <c r="C83" s="22"/>
      <c r="D83" s="22"/>
      <c r="E83" s="22"/>
      <c r="F83" s="22"/>
      <c r="G83" s="22"/>
      <c r="H83" s="22"/>
      <c r="I83" s="22"/>
      <c r="J83" s="22"/>
      <c r="K83" s="22"/>
      <c r="L83" s="22"/>
      <c r="M83" s="22"/>
      <c r="N83" s="22"/>
    </row>
    <row r="84" spans="1:14">
      <c r="A84" s="64" t="s">
        <v>73</v>
      </c>
      <c r="B84" s="113"/>
      <c r="C84" s="113"/>
      <c r="D84" s="113"/>
      <c r="E84" s="113"/>
      <c r="F84" s="113"/>
      <c r="G84" s="113"/>
      <c r="H84" s="113"/>
      <c r="I84" s="113"/>
      <c r="J84" s="113"/>
      <c r="K84" s="113"/>
      <c r="L84" s="113"/>
      <c r="M84" s="113"/>
      <c r="N84" s="113"/>
    </row>
    <row r="85" spans="1:14">
      <c r="A85" s="64" t="s">
        <v>74</v>
      </c>
      <c r="B85" s="107"/>
      <c r="C85" s="107"/>
      <c r="D85" s="107"/>
      <c r="E85" s="107"/>
      <c r="F85" s="107"/>
      <c r="G85" s="107"/>
      <c r="H85" s="107"/>
      <c r="I85" s="107"/>
      <c r="J85" s="107"/>
      <c r="K85" s="107"/>
      <c r="L85" s="107"/>
      <c r="M85" s="107"/>
      <c r="N85" s="107"/>
    </row>
    <row r="86" spans="1:14">
      <c r="A86" s="64"/>
      <c r="B86" s="22"/>
      <c r="C86" s="22"/>
      <c r="D86" s="22"/>
      <c r="E86" s="22"/>
      <c r="F86" s="22"/>
      <c r="G86" s="22"/>
      <c r="H86" s="22"/>
      <c r="I86" s="22"/>
      <c r="J86" s="22"/>
      <c r="K86" s="22"/>
      <c r="L86" s="22"/>
      <c r="M86" s="22"/>
      <c r="N86" s="22"/>
    </row>
    <row r="87" spans="1:14">
      <c r="A87" s="64" t="s">
        <v>75</v>
      </c>
      <c r="B87" s="22"/>
      <c r="C87" s="22"/>
      <c r="D87" s="22"/>
      <c r="E87" s="22"/>
      <c r="F87" s="22"/>
      <c r="G87" s="22"/>
      <c r="H87" s="22"/>
      <c r="I87" s="22"/>
      <c r="J87" s="22"/>
      <c r="K87" s="22"/>
      <c r="L87" s="22"/>
      <c r="M87" s="22"/>
      <c r="N87" s="22"/>
    </row>
    <row r="88" spans="1:14">
      <c r="A88" s="64" t="s">
        <v>66</v>
      </c>
      <c r="B88" s="111">
        <v>-0.1</v>
      </c>
      <c r="C88" s="113"/>
      <c r="D88" s="113"/>
      <c r="E88" s="113"/>
      <c r="F88" s="113"/>
      <c r="G88" s="113"/>
      <c r="H88" s="113"/>
      <c r="I88" s="113"/>
      <c r="J88" s="113"/>
      <c r="K88" s="113"/>
      <c r="L88" s="113"/>
      <c r="M88" s="113"/>
      <c r="N88" s="111">
        <v>-0.1</v>
      </c>
    </row>
    <row r="89" spans="1:14">
      <c r="A89" s="64" t="s">
        <v>76</v>
      </c>
      <c r="B89" s="107">
        <f>SUM(B86:B88)</f>
        <v>-0.1</v>
      </c>
      <c r="C89" s="107"/>
      <c r="D89" s="107"/>
      <c r="E89" s="107"/>
      <c r="F89" s="107"/>
      <c r="G89" s="107"/>
      <c r="H89" s="107"/>
      <c r="I89" s="107"/>
      <c r="J89" s="107"/>
      <c r="K89" s="107"/>
      <c r="L89" s="107"/>
      <c r="M89" s="107"/>
      <c r="N89" s="107">
        <v>-0.1</v>
      </c>
    </row>
    <row r="90" spans="1:14">
      <c r="A90" s="64"/>
      <c r="B90" s="113"/>
      <c r="C90" s="113"/>
      <c r="D90" s="113"/>
      <c r="E90" s="113"/>
      <c r="F90" s="113"/>
      <c r="G90" s="113"/>
      <c r="H90" s="113"/>
      <c r="I90" s="113"/>
      <c r="J90" s="113"/>
      <c r="K90" s="113"/>
      <c r="L90" s="113"/>
      <c r="M90" s="113"/>
      <c r="N90" s="113"/>
    </row>
    <row r="91" spans="1:14">
      <c r="A91" s="64" t="s">
        <v>44</v>
      </c>
      <c r="B91" s="107">
        <f>SUM(B70:B90)-B73-B76-B79-B82-B85-B89</f>
        <v>-0.1</v>
      </c>
      <c r="C91" s="107"/>
      <c r="D91" s="107"/>
      <c r="E91" s="107"/>
      <c r="F91" s="107"/>
      <c r="G91" s="107"/>
      <c r="H91" s="107"/>
      <c r="I91" s="107"/>
      <c r="J91" s="107"/>
      <c r="K91" s="107"/>
      <c r="L91" s="107"/>
      <c r="M91" s="107"/>
      <c r="N91" s="107">
        <v>-0.1</v>
      </c>
    </row>
    <row r="92" spans="1:14">
      <c r="A92" s="64"/>
      <c r="B92" s="22"/>
      <c r="C92" s="22"/>
      <c r="D92" s="22"/>
      <c r="E92" s="22"/>
      <c r="F92" s="22"/>
      <c r="G92" s="22"/>
      <c r="H92" s="22"/>
      <c r="I92" s="22"/>
      <c r="J92" s="22"/>
      <c r="K92" s="22"/>
      <c r="L92" s="22"/>
      <c r="M92" s="22"/>
      <c r="N92" s="22"/>
    </row>
    <row r="93" spans="1:14">
      <c r="A93" s="64" t="s">
        <v>45</v>
      </c>
      <c r="B93" s="22"/>
      <c r="C93" s="22"/>
      <c r="D93" s="22"/>
      <c r="E93" s="22"/>
      <c r="F93" s="22"/>
      <c r="G93" s="22"/>
      <c r="H93" s="22"/>
      <c r="I93" s="22"/>
      <c r="J93" s="22"/>
      <c r="K93" s="22"/>
      <c r="L93" s="22"/>
      <c r="M93" s="22"/>
      <c r="N93" s="22"/>
    </row>
    <row r="94" spans="1:14">
      <c r="A94" s="64"/>
      <c r="B94" s="22"/>
      <c r="C94" s="22"/>
      <c r="D94" s="22"/>
      <c r="E94" s="22"/>
      <c r="F94" s="22"/>
      <c r="G94" s="22"/>
      <c r="H94" s="22"/>
      <c r="I94" s="22"/>
      <c r="J94" s="22"/>
      <c r="K94" s="22"/>
      <c r="L94" s="22"/>
      <c r="M94" s="22"/>
      <c r="N94" s="22"/>
    </row>
    <row r="95" spans="1:14">
      <c r="A95" s="64" t="s">
        <v>19</v>
      </c>
      <c r="B95" s="22"/>
      <c r="C95" s="22"/>
      <c r="D95" s="22"/>
      <c r="E95" s="22"/>
      <c r="F95" s="22"/>
      <c r="G95" s="22"/>
      <c r="H95" s="22"/>
      <c r="I95" s="22"/>
      <c r="J95" s="22"/>
      <c r="K95" s="22"/>
      <c r="L95" s="22"/>
      <c r="M95" s="22"/>
      <c r="N95" s="22"/>
    </row>
    <row r="96" spans="1:14">
      <c r="A96" s="64" t="s">
        <v>354</v>
      </c>
      <c r="B96" s="113"/>
      <c r="C96" s="113"/>
      <c r="D96" s="113"/>
      <c r="E96" s="113"/>
      <c r="F96" s="113"/>
      <c r="G96" s="113"/>
      <c r="H96" s="113"/>
      <c r="I96" s="113"/>
      <c r="J96" s="113"/>
      <c r="K96" s="113"/>
      <c r="L96" s="113"/>
      <c r="M96" s="113"/>
      <c r="N96" s="113"/>
    </row>
    <row r="97" spans="1:14">
      <c r="A97" s="64"/>
      <c r="B97" s="22"/>
      <c r="C97" s="22"/>
      <c r="D97" s="22"/>
      <c r="E97" s="22"/>
      <c r="F97" s="22"/>
      <c r="G97" s="22"/>
      <c r="H97" s="22"/>
      <c r="I97" s="22"/>
      <c r="J97" s="22"/>
      <c r="K97" s="22"/>
      <c r="L97" s="22"/>
      <c r="M97" s="22"/>
      <c r="N97" s="22"/>
    </row>
    <row r="98" spans="1:14">
      <c r="A98" s="64" t="s">
        <v>20</v>
      </c>
      <c r="B98" s="113"/>
      <c r="C98" s="113"/>
      <c r="D98" s="113"/>
      <c r="E98" s="113"/>
      <c r="F98" s="113"/>
      <c r="G98" s="113"/>
      <c r="H98" s="113"/>
      <c r="I98" s="113"/>
      <c r="J98" s="113"/>
      <c r="K98" s="113"/>
      <c r="L98" s="113"/>
      <c r="M98" s="113"/>
      <c r="N98" s="113"/>
    </row>
    <row r="99" spans="1:14">
      <c r="A99" s="64"/>
      <c r="B99" s="22"/>
      <c r="C99" s="22"/>
      <c r="D99" s="22"/>
      <c r="E99" s="22"/>
      <c r="F99" s="22"/>
      <c r="G99" s="22"/>
      <c r="H99" s="22"/>
      <c r="I99" s="22"/>
      <c r="J99" s="22"/>
      <c r="K99" s="22"/>
      <c r="L99" s="22"/>
      <c r="M99" s="22"/>
      <c r="N99" s="22"/>
    </row>
    <row r="100" spans="1:14">
      <c r="A100" s="64" t="s">
        <v>88</v>
      </c>
      <c r="B100" s="113"/>
      <c r="C100" s="113"/>
      <c r="D100" s="113"/>
      <c r="E100" s="113"/>
      <c r="F100" s="113"/>
      <c r="G100" s="113"/>
      <c r="H100" s="113"/>
      <c r="I100" s="113"/>
      <c r="J100" s="113"/>
      <c r="K100" s="113"/>
      <c r="L100" s="113"/>
      <c r="M100" s="113"/>
      <c r="N100" s="113"/>
    </row>
    <row r="101" spans="1:14">
      <c r="A101" s="64"/>
      <c r="B101" s="22"/>
      <c r="C101" s="22"/>
      <c r="D101" s="22"/>
      <c r="E101" s="22"/>
      <c r="F101" s="22"/>
      <c r="G101" s="22"/>
      <c r="H101" s="22"/>
      <c r="I101" s="22"/>
      <c r="J101" s="22"/>
      <c r="K101" s="22"/>
      <c r="L101" s="22"/>
      <c r="M101" s="22"/>
      <c r="N101" s="22"/>
    </row>
    <row r="102" spans="1:14">
      <c r="A102" s="64" t="s">
        <v>99</v>
      </c>
      <c r="B102" s="113"/>
      <c r="C102" s="113"/>
      <c r="D102" s="113"/>
      <c r="E102" s="113"/>
      <c r="F102" s="113"/>
      <c r="G102" s="113"/>
      <c r="H102" s="113"/>
      <c r="I102" s="113"/>
      <c r="J102" s="113"/>
      <c r="K102" s="113"/>
      <c r="L102" s="113"/>
      <c r="M102" s="113"/>
      <c r="N102" s="113"/>
    </row>
    <row r="103" spans="1:14">
      <c r="A103" s="64"/>
      <c r="B103" s="22"/>
      <c r="C103" s="22"/>
      <c r="D103" s="22"/>
      <c r="E103" s="22"/>
      <c r="F103" s="22"/>
      <c r="G103" s="22"/>
      <c r="H103" s="22"/>
      <c r="I103" s="22"/>
      <c r="J103" s="22"/>
      <c r="K103" s="22"/>
      <c r="L103" s="22"/>
      <c r="M103" s="22"/>
      <c r="N103" s="22"/>
    </row>
    <row r="104" spans="1:14">
      <c r="A104" s="64" t="s">
        <v>105</v>
      </c>
      <c r="B104" s="113"/>
      <c r="C104" s="113"/>
      <c r="D104" s="113"/>
      <c r="E104" s="113"/>
      <c r="F104" s="113"/>
      <c r="G104" s="113"/>
      <c r="H104" s="113"/>
      <c r="I104" s="113"/>
      <c r="J104" s="113"/>
      <c r="K104" s="113"/>
      <c r="L104" s="113"/>
      <c r="M104" s="113"/>
      <c r="N104" s="113"/>
    </row>
    <row r="105" spans="1:14">
      <c r="A105" s="64"/>
      <c r="B105" s="22"/>
      <c r="C105" s="22"/>
      <c r="D105" s="22"/>
      <c r="E105" s="22"/>
      <c r="F105" s="22"/>
      <c r="G105" s="22"/>
      <c r="H105" s="22"/>
      <c r="I105" s="22"/>
      <c r="J105" s="22"/>
      <c r="K105" s="22"/>
      <c r="L105" s="22"/>
      <c r="M105" s="22"/>
      <c r="N105" s="22"/>
    </row>
    <row r="106" spans="1:14">
      <c r="A106" s="64" t="s">
        <v>106</v>
      </c>
      <c r="B106" s="113"/>
      <c r="C106" s="113"/>
      <c r="D106" s="113"/>
      <c r="E106" s="113"/>
      <c r="F106" s="113"/>
      <c r="G106" s="113"/>
      <c r="H106" s="113"/>
      <c r="I106" s="113"/>
      <c r="J106" s="113"/>
      <c r="K106" s="113"/>
      <c r="L106" s="113"/>
      <c r="M106" s="113"/>
      <c r="N106" s="113"/>
    </row>
    <row r="107" spans="1:14">
      <c r="A107" s="64"/>
      <c r="B107" s="22"/>
      <c r="C107" s="22"/>
      <c r="D107" s="22"/>
      <c r="E107" s="22"/>
      <c r="F107" s="22"/>
      <c r="G107" s="22"/>
      <c r="H107" s="22"/>
      <c r="I107" s="22"/>
      <c r="J107" s="22"/>
      <c r="K107" s="22"/>
      <c r="L107" s="22"/>
      <c r="M107" s="22"/>
      <c r="N107" s="22"/>
    </row>
    <row r="108" spans="1:14">
      <c r="A108" s="64" t="s">
        <v>117</v>
      </c>
      <c r="B108" s="22"/>
      <c r="C108" s="22"/>
      <c r="D108" s="22"/>
      <c r="E108" s="22"/>
      <c r="F108" s="22"/>
      <c r="G108" s="22"/>
      <c r="H108" s="22"/>
      <c r="I108" s="22"/>
      <c r="J108" s="22"/>
      <c r="K108" s="22"/>
      <c r="L108" s="22"/>
      <c r="M108" s="22"/>
      <c r="N108" s="22"/>
    </row>
    <row r="109" spans="1:14">
      <c r="A109" s="64" t="s">
        <v>282</v>
      </c>
      <c r="B109" s="111">
        <v>11466.94</v>
      </c>
      <c r="C109" s="111">
        <v>10500</v>
      </c>
      <c r="D109" s="111">
        <v>10275</v>
      </c>
      <c r="E109" s="111">
        <v>10185.83</v>
      </c>
      <c r="F109" s="111">
        <v>11986.29</v>
      </c>
      <c r="G109" s="111">
        <v>9961.2900000000009</v>
      </c>
      <c r="H109" s="111">
        <v>10653.86</v>
      </c>
      <c r="I109" s="111">
        <v>11995.84</v>
      </c>
      <c r="J109" s="111">
        <v>12018.71</v>
      </c>
      <c r="K109" s="111">
        <v>17849.71</v>
      </c>
      <c r="L109" s="111">
        <v>4292.8900000000003</v>
      </c>
      <c r="M109" s="111">
        <v>9872.81</v>
      </c>
      <c r="N109" s="111">
        <v>131059.17</v>
      </c>
    </row>
    <row r="110" spans="1:14">
      <c r="A110" s="64" t="s">
        <v>127</v>
      </c>
      <c r="B110" s="107">
        <f t="shared" ref="B110:M110" si="22">SUM(B108:B109)</f>
        <v>11466.94</v>
      </c>
      <c r="C110" s="107">
        <f t="shared" si="22"/>
        <v>10500</v>
      </c>
      <c r="D110" s="107">
        <f t="shared" si="22"/>
        <v>10275</v>
      </c>
      <c r="E110" s="107">
        <f t="shared" si="22"/>
        <v>10185.83</v>
      </c>
      <c r="F110" s="107">
        <f t="shared" si="22"/>
        <v>11986.29</v>
      </c>
      <c r="G110" s="107">
        <f t="shared" si="22"/>
        <v>9961.2900000000009</v>
      </c>
      <c r="H110" s="107">
        <f t="shared" si="22"/>
        <v>10653.86</v>
      </c>
      <c r="I110" s="107">
        <f t="shared" si="22"/>
        <v>11995.84</v>
      </c>
      <c r="J110" s="107">
        <f t="shared" si="22"/>
        <v>12018.71</v>
      </c>
      <c r="K110" s="107">
        <f t="shared" si="22"/>
        <v>17849.71</v>
      </c>
      <c r="L110" s="107">
        <f t="shared" si="22"/>
        <v>4292.8900000000003</v>
      </c>
      <c r="M110" s="107">
        <f t="shared" si="22"/>
        <v>9872.81</v>
      </c>
      <c r="N110" s="107">
        <v>131059.17</v>
      </c>
    </row>
    <row r="111" spans="1:14">
      <c r="A111" s="64"/>
      <c r="B111" s="22"/>
      <c r="C111" s="22"/>
      <c r="D111" s="22"/>
      <c r="E111" s="22"/>
      <c r="F111" s="22"/>
      <c r="G111" s="22"/>
      <c r="H111" s="22"/>
      <c r="I111" s="22"/>
      <c r="J111" s="22"/>
      <c r="K111" s="22"/>
      <c r="L111" s="22"/>
      <c r="M111" s="22"/>
      <c r="N111" s="22"/>
    </row>
    <row r="112" spans="1:14">
      <c r="A112" s="64" t="s">
        <v>47</v>
      </c>
      <c r="B112" s="107">
        <f t="shared" ref="B112:M112" si="23">SUM(B93:B111)-0-0-0-0-0-0-B110</f>
        <v>11466.94</v>
      </c>
      <c r="C112" s="107">
        <f t="shared" si="23"/>
        <v>10500</v>
      </c>
      <c r="D112" s="107">
        <f t="shared" si="23"/>
        <v>10275</v>
      </c>
      <c r="E112" s="107">
        <f t="shared" si="23"/>
        <v>10185.83</v>
      </c>
      <c r="F112" s="107">
        <f t="shared" si="23"/>
        <v>11986.29</v>
      </c>
      <c r="G112" s="107">
        <f t="shared" si="23"/>
        <v>9961.2900000000009</v>
      </c>
      <c r="H112" s="107">
        <f t="shared" si="23"/>
        <v>10653.86</v>
      </c>
      <c r="I112" s="107">
        <f t="shared" si="23"/>
        <v>11995.84</v>
      </c>
      <c r="J112" s="107">
        <f t="shared" si="23"/>
        <v>12018.71</v>
      </c>
      <c r="K112" s="107">
        <f t="shared" si="23"/>
        <v>17849.71</v>
      </c>
      <c r="L112" s="107">
        <f t="shared" si="23"/>
        <v>4292.8900000000003</v>
      </c>
      <c r="M112" s="107">
        <f t="shared" si="23"/>
        <v>9872.81</v>
      </c>
      <c r="N112" s="107">
        <v>131059.17</v>
      </c>
    </row>
    <row r="113" spans="1:14">
      <c r="A113" s="64"/>
      <c r="B113" s="22"/>
      <c r="C113" s="22"/>
      <c r="D113" s="22"/>
      <c r="E113" s="22"/>
      <c r="F113" s="22"/>
      <c r="G113" s="22"/>
      <c r="H113" s="22"/>
      <c r="I113" s="22"/>
      <c r="J113" s="22"/>
      <c r="K113" s="22"/>
      <c r="L113" s="22"/>
      <c r="M113" s="22"/>
      <c r="N113" s="22"/>
    </row>
    <row r="114" spans="1:14">
      <c r="A114" s="64" t="s">
        <v>48</v>
      </c>
      <c r="B114" s="22"/>
      <c r="C114" s="22"/>
      <c r="D114" s="22"/>
      <c r="E114" s="22"/>
      <c r="F114" s="22"/>
      <c r="G114" s="22"/>
      <c r="H114" s="22"/>
      <c r="I114" s="22"/>
      <c r="J114" s="22"/>
      <c r="K114" s="22"/>
      <c r="L114" s="22"/>
      <c r="M114" s="22"/>
      <c r="N114" s="22"/>
    </row>
    <row r="115" spans="1:14">
      <c r="A115" s="64" t="s">
        <v>132</v>
      </c>
      <c r="B115" s="111">
        <v>500</v>
      </c>
      <c r="C115" s="113"/>
      <c r="D115" s="113"/>
      <c r="E115" s="113"/>
      <c r="F115" s="113"/>
      <c r="G115" s="113"/>
      <c r="H115" s="113"/>
      <c r="I115" s="111">
        <v>17.93</v>
      </c>
      <c r="J115" s="111">
        <v>550</v>
      </c>
      <c r="K115" s="111">
        <v>525</v>
      </c>
      <c r="L115" s="111">
        <v>1112.02</v>
      </c>
      <c r="M115" s="113"/>
      <c r="N115" s="111">
        <v>2704.95</v>
      </c>
    </row>
    <row r="116" spans="1:14">
      <c r="A116" s="64" t="s">
        <v>135</v>
      </c>
      <c r="B116" s="107">
        <f>SUM(B113:B115)</f>
        <v>500</v>
      </c>
      <c r="C116" s="107"/>
      <c r="D116" s="107"/>
      <c r="E116" s="107"/>
      <c r="F116" s="107"/>
      <c r="G116" s="107"/>
      <c r="H116" s="107"/>
      <c r="I116" s="107">
        <f>SUM(I113:I115)</f>
        <v>17.93</v>
      </c>
      <c r="J116" s="107">
        <f>SUM(J113:J115)</f>
        <v>550</v>
      </c>
      <c r="K116" s="107">
        <f>SUM(K113:K115)</f>
        <v>525</v>
      </c>
      <c r="L116" s="107">
        <f>SUM(L113:L115)</f>
        <v>1112.02</v>
      </c>
      <c r="M116" s="107"/>
      <c r="N116" s="107">
        <v>2704.95</v>
      </c>
    </row>
    <row r="117" spans="1:14">
      <c r="A117" s="64"/>
      <c r="B117" s="22"/>
      <c r="C117" s="22"/>
      <c r="D117" s="22"/>
      <c r="E117" s="22"/>
      <c r="F117" s="22"/>
      <c r="G117" s="22"/>
      <c r="H117" s="22"/>
      <c r="I117" s="22"/>
      <c r="J117" s="22"/>
      <c r="K117" s="22"/>
      <c r="L117" s="22"/>
      <c r="M117" s="22"/>
      <c r="N117" s="22"/>
    </row>
    <row r="118" spans="1:14" ht="15.75" thickBot="1">
      <c r="A118" s="64" t="s">
        <v>13</v>
      </c>
      <c r="B118" s="112">
        <f t="shared" ref="B118:M118" si="24">SUM(B49:B117)-B50-B53-B56-B59-B62-B66-B68-B73-B76-B79-B82-B85-B89-B91-0-0-0-0-0-0-B110-B112-B116</f>
        <v>91975.01999999996</v>
      </c>
      <c r="C118" s="112">
        <f t="shared" si="24"/>
        <v>86508.709999999977</v>
      </c>
      <c r="D118" s="112">
        <f t="shared" si="24"/>
        <v>90205.920000000027</v>
      </c>
      <c r="E118" s="112">
        <f t="shared" si="24"/>
        <v>92421.380000000019</v>
      </c>
      <c r="F118" s="112">
        <f t="shared" si="24"/>
        <v>95663.55999999991</v>
      </c>
      <c r="G118" s="112">
        <f t="shared" si="24"/>
        <v>89117.640000000014</v>
      </c>
      <c r="H118" s="112">
        <f t="shared" si="24"/>
        <v>86626.499999999927</v>
      </c>
      <c r="I118" s="112">
        <f t="shared" si="24"/>
        <v>93858.969999999987</v>
      </c>
      <c r="J118" s="112">
        <f t="shared" si="24"/>
        <v>96198.710000000079</v>
      </c>
      <c r="K118" s="112">
        <f t="shared" si="24"/>
        <v>103222.11000000004</v>
      </c>
      <c r="L118" s="112">
        <f t="shared" si="24"/>
        <v>87589.250000000015</v>
      </c>
      <c r="M118" s="112">
        <f t="shared" si="24"/>
        <v>88208.449999999968</v>
      </c>
      <c r="N118" s="112">
        <v>1101596.22</v>
      </c>
    </row>
    <row r="119" spans="1:14" ht="15.75" thickTop="1">
      <c r="A119" s="64"/>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14</v>
      </c>
      <c r="B121" s="22"/>
      <c r="C121" s="22"/>
      <c r="D121" s="22"/>
      <c r="E121" s="22"/>
      <c r="F121" s="22"/>
      <c r="G121" s="22"/>
      <c r="H121" s="22"/>
      <c r="I121" s="22"/>
      <c r="J121" s="22"/>
      <c r="K121" s="22"/>
      <c r="L121" s="22"/>
      <c r="M121" s="22"/>
      <c r="N121" s="22"/>
    </row>
    <row r="122" spans="1:14">
      <c r="A122" s="64"/>
      <c r="B122" s="22"/>
      <c r="C122" s="22"/>
      <c r="D122" s="22"/>
      <c r="E122" s="22"/>
      <c r="F122" s="22"/>
      <c r="G122" s="22"/>
      <c r="H122" s="22"/>
      <c r="I122" s="22"/>
      <c r="J122" s="22"/>
      <c r="K122" s="22"/>
      <c r="L122" s="22"/>
      <c r="M122" s="22"/>
      <c r="N122" s="22"/>
    </row>
    <row r="123" spans="1:14">
      <c r="A123" s="64" t="s">
        <v>136</v>
      </c>
      <c r="B123" s="22"/>
      <c r="C123" s="22"/>
      <c r="D123" s="22"/>
      <c r="E123" s="22"/>
      <c r="F123" s="22"/>
      <c r="G123" s="22"/>
      <c r="H123" s="22"/>
      <c r="I123" s="22"/>
      <c r="J123" s="22"/>
      <c r="K123" s="22"/>
      <c r="L123" s="22"/>
      <c r="M123" s="22"/>
      <c r="N123" s="22"/>
    </row>
    <row r="124" spans="1:14">
      <c r="A124" s="64" t="s">
        <v>137</v>
      </c>
      <c r="B124" s="107">
        <v>3448.01</v>
      </c>
      <c r="C124" s="107">
        <v>3674.33</v>
      </c>
      <c r="D124" s="107">
        <v>4193.5200000000004</v>
      </c>
      <c r="E124" s="107">
        <v>3807.46</v>
      </c>
      <c r="F124" s="107">
        <v>3940.58</v>
      </c>
      <c r="G124" s="107">
        <v>3288.26</v>
      </c>
      <c r="H124" s="107">
        <v>3727.58</v>
      </c>
      <c r="I124" s="107">
        <v>3115.2</v>
      </c>
      <c r="J124" s="107">
        <v>3980.52</v>
      </c>
      <c r="K124" s="107">
        <v>3732.9</v>
      </c>
      <c r="L124" s="107">
        <v>4108.32</v>
      </c>
      <c r="M124" s="107">
        <v>3940.59</v>
      </c>
      <c r="N124" s="107">
        <v>44957.27</v>
      </c>
    </row>
    <row r="125" spans="1:14">
      <c r="A125" s="64" t="s">
        <v>143</v>
      </c>
      <c r="B125" s="107">
        <v>11037.09</v>
      </c>
      <c r="C125" s="107">
        <v>11013.9</v>
      </c>
      <c r="D125" s="107">
        <v>12108.53</v>
      </c>
      <c r="E125" s="107">
        <v>11455.14</v>
      </c>
      <c r="F125" s="107">
        <v>12166.11</v>
      </c>
      <c r="G125" s="107">
        <v>11315.64</v>
      </c>
      <c r="H125" s="107">
        <v>11539.64</v>
      </c>
      <c r="I125" s="107">
        <v>12905.77</v>
      </c>
      <c r="J125" s="107">
        <v>11543.87</v>
      </c>
      <c r="K125" s="107">
        <v>10879.32</v>
      </c>
      <c r="L125" s="107">
        <v>11778.88</v>
      </c>
      <c r="M125" s="107">
        <v>11588.78</v>
      </c>
      <c r="N125" s="107">
        <v>139332.67000000001</v>
      </c>
    </row>
    <row r="126" spans="1:14">
      <c r="A126" s="64" t="s">
        <v>145</v>
      </c>
      <c r="B126" s="107">
        <v>2690.52</v>
      </c>
      <c r="C126" s="107">
        <v>2501.85</v>
      </c>
      <c r="D126" s="107">
        <v>2275.89</v>
      </c>
      <c r="E126" s="107">
        <v>2147.44</v>
      </c>
      <c r="F126" s="107">
        <v>2283.2199999999998</v>
      </c>
      <c r="G126" s="107">
        <v>2468.6999999999998</v>
      </c>
      <c r="H126" s="107">
        <v>2093.5700000000002</v>
      </c>
      <c r="I126" s="107">
        <v>2676.73</v>
      </c>
      <c r="J126" s="107">
        <v>2118.5500000000002</v>
      </c>
      <c r="K126" s="107">
        <v>2353.13</v>
      </c>
      <c r="L126" s="107">
        <v>2532.83</v>
      </c>
      <c r="M126" s="107">
        <v>3149.61</v>
      </c>
      <c r="N126" s="107">
        <v>29292.04</v>
      </c>
    </row>
    <row r="127" spans="1:14">
      <c r="A127" s="64" t="s">
        <v>151</v>
      </c>
      <c r="B127" s="107">
        <v>5242.4399999999996</v>
      </c>
      <c r="C127" s="107">
        <v>5780.9</v>
      </c>
      <c r="D127" s="107">
        <v>5945.44</v>
      </c>
      <c r="E127" s="107">
        <v>5513.06</v>
      </c>
      <c r="F127" s="107">
        <v>5506.59</v>
      </c>
      <c r="G127" s="107">
        <v>4543.1000000000004</v>
      </c>
      <c r="H127" s="107">
        <v>5421.73</v>
      </c>
      <c r="I127" s="107">
        <v>5755.95</v>
      </c>
      <c r="J127" s="107">
        <v>5941.58</v>
      </c>
      <c r="K127" s="107">
        <v>5222.71</v>
      </c>
      <c r="L127" s="107">
        <v>5802.5</v>
      </c>
      <c r="M127" s="107">
        <v>3704.31</v>
      </c>
      <c r="N127" s="107">
        <v>64380.31</v>
      </c>
    </row>
    <row r="128" spans="1:14">
      <c r="A128" s="64" t="s">
        <v>153</v>
      </c>
      <c r="B128" s="107">
        <v>2723.57</v>
      </c>
      <c r="C128" s="107">
        <v>2970</v>
      </c>
      <c r="D128" s="107">
        <v>2995.86</v>
      </c>
      <c r="E128" s="107">
        <v>2891.14</v>
      </c>
      <c r="F128" s="107">
        <v>2920.86</v>
      </c>
      <c r="G128" s="107">
        <v>2559.14</v>
      </c>
      <c r="H128" s="107">
        <v>2111.14</v>
      </c>
      <c r="I128" s="107">
        <v>2234.7199999999998</v>
      </c>
      <c r="J128" s="107">
        <v>2774.25</v>
      </c>
      <c r="K128" s="107">
        <v>2666.46</v>
      </c>
      <c r="L128" s="107">
        <v>2812.55</v>
      </c>
      <c r="M128" s="107">
        <v>2600.6</v>
      </c>
      <c r="N128" s="107">
        <v>32260.29</v>
      </c>
    </row>
    <row r="129" spans="1:14">
      <c r="A129" s="64" t="s">
        <v>154</v>
      </c>
      <c r="B129" s="111">
        <v>4700.82</v>
      </c>
      <c r="C129" s="111">
        <v>5412.49</v>
      </c>
      <c r="D129" s="111">
        <v>5805.79</v>
      </c>
      <c r="E129" s="111">
        <v>5356.31</v>
      </c>
      <c r="F129" s="111">
        <v>5281.39</v>
      </c>
      <c r="G129" s="111">
        <v>5281.4</v>
      </c>
      <c r="H129" s="111">
        <v>4981.74</v>
      </c>
      <c r="I129" s="111">
        <v>5543.59</v>
      </c>
      <c r="J129" s="111">
        <v>5618.51</v>
      </c>
      <c r="K129" s="111">
        <v>5281.39</v>
      </c>
      <c r="L129" s="111">
        <v>3183.81</v>
      </c>
      <c r="M129" s="111">
        <v>6667.29</v>
      </c>
      <c r="N129" s="111">
        <v>63114.53</v>
      </c>
    </row>
    <row r="130" spans="1:14">
      <c r="A130" s="64" t="s">
        <v>156</v>
      </c>
      <c r="B130" s="107">
        <f t="shared" ref="B130:M130" si="25">SUM(B119:B129)</f>
        <v>29842.449999999997</v>
      </c>
      <c r="C130" s="107">
        <f t="shared" si="25"/>
        <v>31353.469999999994</v>
      </c>
      <c r="D130" s="107">
        <f t="shared" si="25"/>
        <v>33325.03</v>
      </c>
      <c r="E130" s="107">
        <f t="shared" si="25"/>
        <v>31170.55</v>
      </c>
      <c r="F130" s="107">
        <f t="shared" si="25"/>
        <v>32098.75</v>
      </c>
      <c r="G130" s="107">
        <f t="shared" si="25"/>
        <v>29456.239999999998</v>
      </c>
      <c r="H130" s="107">
        <f t="shared" si="25"/>
        <v>29875.4</v>
      </c>
      <c r="I130" s="107">
        <f t="shared" si="25"/>
        <v>32231.960000000003</v>
      </c>
      <c r="J130" s="107">
        <f t="shared" si="25"/>
        <v>31977.280000000006</v>
      </c>
      <c r="K130" s="107">
        <f t="shared" si="25"/>
        <v>30135.909999999996</v>
      </c>
      <c r="L130" s="107">
        <f t="shared" si="25"/>
        <v>30218.89</v>
      </c>
      <c r="M130" s="107">
        <f t="shared" si="25"/>
        <v>31651.18</v>
      </c>
      <c r="N130" s="107">
        <v>373337.11</v>
      </c>
    </row>
    <row r="131" spans="1:14">
      <c r="A131" s="64"/>
      <c r="B131" s="22"/>
      <c r="C131" s="22"/>
      <c r="D131" s="22"/>
      <c r="E131" s="22"/>
      <c r="F131" s="22"/>
      <c r="G131" s="22"/>
      <c r="H131" s="22"/>
      <c r="I131" s="22"/>
      <c r="J131" s="22"/>
      <c r="K131" s="22"/>
      <c r="L131" s="22"/>
      <c r="M131" s="22"/>
      <c r="N131" s="22"/>
    </row>
    <row r="132" spans="1:14">
      <c r="A132" s="64"/>
      <c r="B132" s="22"/>
      <c r="C132" s="22"/>
      <c r="D132" s="22"/>
      <c r="E132" s="22"/>
      <c r="F132" s="22"/>
      <c r="G132" s="22"/>
      <c r="H132" s="22"/>
      <c r="I132" s="22"/>
      <c r="J132" s="22"/>
      <c r="K132" s="22"/>
      <c r="L132" s="22"/>
      <c r="M132" s="22"/>
      <c r="N132" s="22"/>
    </row>
    <row r="133" spans="1:14">
      <c r="A133" s="64" t="s">
        <v>157</v>
      </c>
      <c r="B133" s="113"/>
      <c r="C133" s="113"/>
      <c r="D133" s="113"/>
      <c r="E133" s="113"/>
      <c r="F133" s="113"/>
      <c r="G133" s="113"/>
      <c r="H133" s="113"/>
      <c r="I133" s="113"/>
      <c r="J133" s="113"/>
      <c r="K133" s="113"/>
      <c r="L133" s="113"/>
      <c r="M133" s="113"/>
      <c r="N133" s="113"/>
    </row>
    <row r="134" spans="1:14">
      <c r="A134" s="64"/>
      <c r="B134" s="22"/>
      <c r="C134" s="22"/>
      <c r="D134" s="22"/>
      <c r="E134" s="22"/>
      <c r="F134" s="22"/>
      <c r="G134" s="22"/>
      <c r="H134" s="22"/>
      <c r="I134" s="22"/>
      <c r="J134" s="22"/>
      <c r="K134" s="22"/>
      <c r="L134" s="22"/>
      <c r="M134" s="22"/>
      <c r="N134" s="22"/>
    </row>
    <row r="135" spans="1:14">
      <c r="A135" s="64" t="s">
        <v>163</v>
      </c>
      <c r="B135" s="22"/>
      <c r="C135" s="22"/>
      <c r="D135" s="22"/>
      <c r="E135" s="22"/>
      <c r="F135" s="22"/>
      <c r="G135" s="22"/>
      <c r="H135" s="22"/>
      <c r="I135" s="22"/>
      <c r="J135" s="22"/>
      <c r="K135" s="22"/>
      <c r="L135" s="22"/>
      <c r="M135" s="22"/>
      <c r="N135" s="22"/>
    </row>
    <row r="136" spans="1:14">
      <c r="A136" s="64" t="s">
        <v>164</v>
      </c>
      <c r="B136" s="107">
        <v>2495.1799999999998</v>
      </c>
      <c r="C136" s="107">
        <v>2509.6799999999998</v>
      </c>
      <c r="D136" s="107">
        <v>2607.5300000000002</v>
      </c>
      <c r="E136" s="107">
        <v>2520.75</v>
      </c>
      <c r="F136" s="107">
        <v>2701.62</v>
      </c>
      <c r="G136" s="107">
        <v>2638.97</v>
      </c>
      <c r="H136" s="107">
        <v>2330.29</v>
      </c>
      <c r="I136" s="107">
        <v>2616.75</v>
      </c>
      <c r="J136" s="107">
        <v>2488.29</v>
      </c>
      <c r="K136" s="107">
        <v>2521.75</v>
      </c>
      <c r="L136" s="107">
        <v>2603.46</v>
      </c>
      <c r="M136" s="107">
        <v>2624.03</v>
      </c>
      <c r="N136" s="107">
        <v>30658.3</v>
      </c>
    </row>
    <row r="137" spans="1:14">
      <c r="A137" s="64" t="s">
        <v>165</v>
      </c>
      <c r="B137" s="107">
        <v>175.17</v>
      </c>
      <c r="C137" s="107">
        <v>109.96</v>
      </c>
      <c r="D137" s="107">
        <v>127.96</v>
      </c>
      <c r="E137" s="107">
        <v>3875.01</v>
      </c>
      <c r="F137" s="107">
        <v>89.78</v>
      </c>
      <c r="G137" s="107">
        <v>886.4</v>
      </c>
      <c r="H137" s="107">
        <v>287.43</v>
      </c>
      <c r="I137" s="107">
        <v>294.20999999999998</v>
      </c>
      <c r="J137" s="107">
        <v>226.45</v>
      </c>
      <c r="K137" s="107">
        <v>183.12</v>
      </c>
      <c r="L137" s="107">
        <v>126.25</v>
      </c>
      <c r="M137" s="107">
        <v>46.85</v>
      </c>
      <c r="N137" s="107">
        <v>6428.59</v>
      </c>
    </row>
    <row r="138" spans="1:14">
      <c r="A138" s="64" t="s">
        <v>166</v>
      </c>
      <c r="B138" s="107">
        <v>948.85</v>
      </c>
      <c r="C138" s="107">
        <v>1074.6300000000001</v>
      </c>
      <c r="D138" s="107">
        <v>986.55</v>
      </c>
      <c r="E138" s="107">
        <v>-94.19</v>
      </c>
      <c r="F138" s="107">
        <v>-202.96</v>
      </c>
      <c r="G138" s="107">
        <v>898.47</v>
      </c>
      <c r="H138" s="107">
        <v>1044.52</v>
      </c>
      <c r="I138" s="107">
        <v>1320.78</v>
      </c>
      <c r="J138" s="107">
        <v>1206.24</v>
      </c>
      <c r="K138" s="107">
        <v>1315.7</v>
      </c>
      <c r="L138" s="107">
        <v>1285.56</v>
      </c>
      <c r="M138" s="107">
        <v>877.53</v>
      </c>
      <c r="N138" s="107">
        <v>10661.68</v>
      </c>
    </row>
    <row r="139" spans="1:14">
      <c r="A139" s="64" t="s">
        <v>167</v>
      </c>
      <c r="B139" s="107">
        <v>2646.23</v>
      </c>
      <c r="C139" s="107">
        <v>-5.36</v>
      </c>
      <c r="D139" s="107">
        <v>-66.56</v>
      </c>
      <c r="E139" s="107">
        <v>706.87</v>
      </c>
      <c r="F139" s="107">
        <v>2105.35</v>
      </c>
      <c r="G139" s="107">
        <v>492.6</v>
      </c>
      <c r="H139" s="107">
        <v>733.46</v>
      </c>
      <c r="I139" s="107">
        <v>1926.44</v>
      </c>
      <c r="J139" s="107">
        <v>76.59</v>
      </c>
      <c r="K139" s="107">
        <v>871.51</v>
      </c>
      <c r="L139" s="107">
        <v>3442.83</v>
      </c>
      <c r="M139" s="107">
        <v>384.35</v>
      </c>
      <c r="N139" s="107">
        <v>13314.31</v>
      </c>
    </row>
    <row r="140" spans="1:14">
      <c r="A140" s="64" t="s">
        <v>168</v>
      </c>
      <c r="B140" s="22"/>
      <c r="C140" s="107">
        <v>1248.27</v>
      </c>
      <c r="D140" s="22"/>
      <c r="E140" s="107">
        <v>1325.44</v>
      </c>
      <c r="F140" s="107">
        <v>1363.16</v>
      </c>
      <c r="G140" s="107">
        <v>1363.15</v>
      </c>
      <c r="H140" s="22"/>
      <c r="I140" s="22"/>
      <c r="J140" s="22"/>
      <c r="K140" s="107">
        <v>1410.7</v>
      </c>
      <c r="L140" s="107">
        <v>-138.65</v>
      </c>
      <c r="M140" s="107">
        <v>1333.34</v>
      </c>
      <c r="N140" s="107">
        <v>7905.41</v>
      </c>
    </row>
    <row r="141" spans="1:14">
      <c r="A141" s="64" t="s">
        <v>169</v>
      </c>
      <c r="B141" s="107">
        <v>132</v>
      </c>
      <c r="C141" s="107">
        <v>318.54000000000002</v>
      </c>
      <c r="D141" s="107">
        <v>95.71</v>
      </c>
      <c r="E141" s="107">
        <v>180.38</v>
      </c>
      <c r="F141" s="107">
        <v>-94.29</v>
      </c>
      <c r="G141" s="107">
        <v>1009.06</v>
      </c>
      <c r="H141" s="107">
        <v>75.569999999999993</v>
      </c>
      <c r="I141" s="107">
        <v>459.82</v>
      </c>
      <c r="J141" s="22"/>
      <c r="K141" s="22"/>
      <c r="L141" s="107">
        <v>388.46</v>
      </c>
      <c r="M141" s="107">
        <v>151.63</v>
      </c>
      <c r="N141" s="107">
        <v>2716.88</v>
      </c>
    </row>
    <row r="142" spans="1:14">
      <c r="A142" s="64" t="s">
        <v>171</v>
      </c>
      <c r="B142" s="111">
        <v>175</v>
      </c>
      <c r="C142" s="111">
        <v>175</v>
      </c>
      <c r="D142" s="111">
        <v>175</v>
      </c>
      <c r="E142" s="111">
        <v>175</v>
      </c>
      <c r="F142" s="111">
        <v>544.08000000000004</v>
      </c>
      <c r="G142" s="111">
        <v>100</v>
      </c>
      <c r="H142" s="111">
        <v>100</v>
      </c>
      <c r="I142" s="111">
        <v>100</v>
      </c>
      <c r="J142" s="111">
        <v>100</v>
      </c>
      <c r="K142" s="111">
        <v>100</v>
      </c>
      <c r="L142" s="111">
        <v>100</v>
      </c>
      <c r="M142" s="111">
        <v>100</v>
      </c>
      <c r="N142" s="111">
        <v>1944.08</v>
      </c>
    </row>
    <row r="143" spans="1:14">
      <c r="A143" s="64" t="s">
        <v>16</v>
      </c>
      <c r="B143" s="107">
        <f t="shared" ref="B143:M143" si="26">SUM(B134:B142)</f>
        <v>6572.43</v>
      </c>
      <c r="C143" s="107">
        <f t="shared" si="26"/>
        <v>5430.72</v>
      </c>
      <c r="D143" s="107">
        <f t="shared" si="26"/>
        <v>3926.19</v>
      </c>
      <c r="E143" s="107">
        <f t="shared" si="26"/>
        <v>8689.26</v>
      </c>
      <c r="F143" s="107">
        <f t="shared" si="26"/>
        <v>6506.74</v>
      </c>
      <c r="G143" s="107">
        <f t="shared" si="26"/>
        <v>7388.65</v>
      </c>
      <c r="H143" s="107">
        <f t="shared" si="26"/>
        <v>4571.2699999999995</v>
      </c>
      <c r="I143" s="107">
        <f t="shared" si="26"/>
        <v>6718</v>
      </c>
      <c r="J143" s="107">
        <f t="shared" si="26"/>
        <v>4097.57</v>
      </c>
      <c r="K143" s="107">
        <f t="shared" si="26"/>
        <v>6402.78</v>
      </c>
      <c r="L143" s="107">
        <f t="shared" si="26"/>
        <v>7807.9100000000008</v>
      </c>
      <c r="M143" s="107">
        <f t="shared" si="26"/>
        <v>5517.73</v>
      </c>
      <c r="N143" s="107">
        <v>73629.25</v>
      </c>
    </row>
    <row r="144" spans="1:14">
      <c r="A144" s="64"/>
      <c r="B144" s="22"/>
      <c r="C144" s="22"/>
      <c r="D144" s="22"/>
      <c r="E144" s="22"/>
      <c r="F144" s="22"/>
      <c r="G144" s="22"/>
      <c r="H144" s="22"/>
      <c r="I144" s="22"/>
      <c r="J144" s="22"/>
      <c r="K144" s="22"/>
      <c r="L144" s="22"/>
      <c r="M144" s="22"/>
      <c r="N144" s="22"/>
    </row>
    <row r="145" spans="1:14">
      <c r="A145" s="64" t="s">
        <v>17</v>
      </c>
      <c r="B145" s="113"/>
      <c r="C145" s="113"/>
      <c r="D145" s="113"/>
      <c r="E145" s="113"/>
      <c r="F145" s="113"/>
      <c r="G145" s="113"/>
      <c r="H145" s="113"/>
      <c r="I145" s="113"/>
      <c r="J145" s="113"/>
      <c r="K145" s="113"/>
      <c r="L145" s="113"/>
      <c r="M145" s="113"/>
      <c r="N145" s="113"/>
    </row>
    <row r="146" spans="1:14">
      <c r="A146" s="64"/>
      <c r="B146" s="22"/>
      <c r="C146" s="22"/>
      <c r="D146" s="22"/>
      <c r="E146" s="22"/>
      <c r="F146" s="22"/>
      <c r="G146" s="22"/>
      <c r="H146" s="22"/>
      <c r="I146" s="22"/>
      <c r="J146" s="22"/>
      <c r="K146" s="22"/>
      <c r="L146" s="22"/>
      <c r="M146" s="22"/>
      <c r="N146" s="22"/>
    </row>
    <row r="147" spans="1:14">
      <c r="A147" s="64" t="s">
        <v>186</v>
      </c>
      <c r="B147" s="22"/>
      <c r="C147" s="22"/>
      <c r="D147" s="22"/>
      <c r="E147" s="22"/>
      <c r="F147" s="22"/>
      <c r="G147" s="22"/>
      <c r="H147" s="22"/>
      <c r="I147" s="22"/>
      <c r="J147" s="22"/>
      <c r="K147" s="22"/>
      <c r="L147" s="22"/>
      <c r="M147" s="22"/>
      <c r="N147" s="22"/>
    </row>
    <row r="148" spans="1:14">
      <c r="A148" s="64" t="s">
        <v>191</v>
      </c>
      <c r="B148" s="107">
        <v>1299.2</v>
      </c>
      <c r="C148" s="107">
        <v>3016.51</v>
      </c>
      <c r="D148" s="107">
        <v>2817.87</v>
      </c>
      <c r="E148" s="107">
        <v>2713.14</v>
      </c>
      <c r="F148" s="107">
        <v>5603.49</v>
      </c>
      <c r="G148" s="107">
        <v>2516.9</v>
      </c>
      <c r="H148" s="107">
        <v>3690.15</v>
      </c>
      <c r="I148" s="107">
        <v>2747.28</v>
      </c>
      <c r="J148" s="107">
        <v>2470.09</v>
      </c>
      <c r="K148" s="107">
        <v>3035.36</v>
      </c>
      <c r="L148" s="107">
        <v>3212.77</v>
      </c>
      <c r="M148" s="107"/>
      <c r="N148" s="107">
        <v>33122.76</v>
      </c>
    </row>
    <row r="149" spans="1:14">
      <c r="A149" s="64" t="s">
        <v>415</v>
      </c>
      <c r="B149" s="22"/>
      <c r="C149" s="22"/>
      <c r="D149" s="22"/>
      <c r="E149" s="22"/>
      <c r="F149" s="22"/>
      <c r="G149" s="22"/>
      <c r="H149" s="22"/>
      <c r="I149" s="22"/>
      <c r="J149" s="22"/>
      <c r="K149" s="22"/>
      <c r="L149" s="22"/>
      <c r="M149" s="107">
        <v>912.51</v>
      </c>
      <c r="N149" s="107">
        <v>912.51</v>
      </c>
    </row>
    <row r="150" spans="1:14">
      <c r="A150" s="64" t="s">
        <v>416</v>
      </c>
      <c r="B150" s="22"/>
      <c r="C150" s="22"/>
      <c r="D150" s="22"/>
      <c r="E150" s="22"/>
      <c r="F150" s="22"/>
      <c r="G150" s="22"/>
      <c r="H150" s="22"/>
      <c r="I150" s="22"/>
      <c r="J150" s="22"/>
      <c r="K150" s="22"/>
      <c r="L150" s="22"/>
      <c r="M150" s="107">
        <v>955.72</v>
      </c>
      <c r="N150" s="107">
        <v>955.72</v>
      </c>
    </row>
    <row r="151" spans="1:14">
      <c r="A151" s="64" t="s">
        <v>417</v>
      </c>
      <c r="B151" s="22"/>
      <c r="C151" s="22"/>
      <c r="D151" s="22"/>
      <c r="E151" s="22"/>
      <c r="F151" s="22"/>
      <c r="G151" s="22"/>
      <c r="H151" s="22"/>
      <c r="I151" s="22"/>
      <c r="J151" s="22"/>
      <c r="K151" s="22"/>
      <c r="L151" s="22"/>
      <c r="M151" s="107">
        <v>1169.78</v>
      </c>
      <c r="N151" s="107">
        <v>1169.78</v>
      </c>
    </row>
    <row r="152" spans="1:14">
      <c r="A152" s="64" t="s">
        <v>192</v>
      </c>
      <c r="B152" s="107">
        <v>494.94</v>
      </c>
      <c r="C152" s="107">
        <v>494.98</v>
      </c>
      <c r="D152" s="107">
        <v>1234.79</v>
      </c>
      <c r="E152" s="107">
        <v>494.98</v>
      </c>
      <c r="F152" s="107">
        <v>418.95</v>
      </c>
      <c r="G152" s="107">
        <v>606.25</v>
      </c>
      <c r="H152" s="107">
        <v>497.25</v>
      </c>
      <c r="I152" s="107">
        <v>367.53</v>
      </c>
      <c r="J152" s="107">
        <v>795.95</v>
      </c>
      <c r="K152" s="107">
        <v>515.65</v>
      </c>
      <c r="L152" s="107">
        <v>470.67</v>
      </c>
      <c r="M152" s="107">
        <v>465.19</v>
      </c>
      <c r="N152" s="107">
        <v>6857.13</v>
      </c>
    </row>
    <row r="153" spans="1:14">
      <c r="A153" s="64" t="s">
        <v>193</v>
      </c>
      <c r="B153" s="107">
        <v>1005.03</v>
      </c>
      <c r="C153" s="107">
        <v>975.17</v>
      </c>
      <c r="D153" s="107">
        <v>1001.88</v>
      </c>
      <c r="E153" s="107">
        <v>1067.3</v>
      </c>
      <c r="F153" s="107">
        <v>1065.68</v>
      </c>
      <c r="G153" s="107">
        <v>510.47</v>
      </c>
      <c r="H153" s="107">
        <v>1030.3599999999999</v>
      </c>
      <c r="I153" s="107">
        <v>838.66</v>
      </c>
      <c r="J153" s="107">
        <v>1230.79</v>
      </c>
      <c r="K153" s="107">
        <v>1024.5999999999999</v>
      </c>
      <c r="L153" s="107">
        <v>1074.06</v>
      </c>
      <c r="M153" s="107">
        <v>1077.83</v>
      </c>
      <c r="N153" s="107">
        <v>11901.83</v>
      </c>
    </row>
    <row r="154" spans="1:14">
      <c r="A154" s="64" t="s">
        <v>194</v>
      </c>
      <c r="B154" s="107">
        <v>2059.39</v>
      </c>
      <c r="C154" s="107">
        <v>893.01</v>
      </c>
      <c r="D154" s="107">
        <v>1594.41</v>
      </c>
      <c r="E154" s="107">
        <v>1418.23</v>
      </c>
      <c r="F154" s="107">
        <v>525</v>
      </c>
      <c r="G154" s="107">
        <v>664.67</v>
      </c>
      <c r="H154" s="107">
        <v>867.8</v>
      </c>
      <c r="I154" s="107">
        <v>2096.3200000000002</v>
      </c>
      <c r="J154" s="107">
        <v>981.55</v>
      </c>
      <c r="K154" s="107">
        <v>2015.44</v>
      </c>
      <c r="L154" s="107"/>
      <c r="M154" s="107">
        <v>205</v>
      </c>
      <c r="N154" s="107">
        <v>13320.82</v>
      </c>
    </row>
    <row r="155" spans="1:14">
      <c r="A155" s="64" t="s">
        <v>198</v>
      </c>
      <c r="B155" s="107">
        <v>311.89999999999998</v>
      </c>
      <c r="C155" s="107">
        <v>512.61</v>
      </c>
      <c r="D155" s="107">
        <v>530.54</v>
      </c>
      <c r="E155" s="107">
        <v>451.68</v>
      </c>
      <c r="F155" s="107">
        <v>371.97</v>
      </c>
      <c r="G155" s="107">
        <v>451.4</v>
      </c>
      <c r="H155" s="107">
        <v>528.82000000000005</v>
      </c>
      <c r="I155" s="107">
        <v>500</v>
      </c>
      <c r="J155" s="107">
        <v>481.22</v>
      </c>
      <c r="K155" s="107">
        <v>490.11</v>
      </c>
      <c r="L155" s="107">
        <v>490.11</v>
      </c>
      <c r="M155" s="107">
        <v>490.11</v>
      </c>
      <c r="N155" s="107">
        <v>5610.47</v>
      </c>
    </row>
    <row r="156" spans="1:14">
      <c r="A156" s="64" t="s">
        <v>199</v>
      </c>
      <c r="B156" s="107">
        <v>88.5</v>
      </c>
      <c r="C156" s="107">
        <v>44.25</v>
      </c>
      <c r="D156" s="107">
        <v>44.25</v>
      </c>
      <c r="E156" s="107">
        <v>59</v>
      </c>
      <c r="F156" s="107">
        <v>135.25</v>
      </c>
      <c r="G156" s="107">
        <v>45</v>
      </c>
      <c r="H156" s="107">
        <v>45</v>
      </c>
      <c r="I156" s="107">
        <v>150</v>
      </c>
      <c r="J156" s="107">
        <v>173.25</v>
      </c>
      <c r="K156" s="107">
        <v>47.25</v>
      </c>
      <c r="L156" s="107">
        <v>47.25</v>
      </c>
      <c r="M156" s="107">
        <v>47.25</v>
      </c>
      <c r="N156" s="107">
        <v>926.25</v>
      </c>
    </row>
    <row r="157" spans="1:14">
      <c r="A157" s="64" t="s">
        <v>200</v>
      </c>
      <c r="B157" s="107">
        <v>1000</v>
      </c>
      <c r="C157" s="107">
        <v>1000</v>
      </c>
      <c r="D157" s="107">
        <v>1000</v>
      </c>
      <c r="E157" s="107">
        <v>1000</v>
      </c>
      <c r="F157" s="107">
        <v>700</v>
      </c>
      <c r="G157" s="107">
        <v>400</v>
      </c>
      <c r="H157" s="107">
        <v>700</v>
      </c>
      <c r="I157" s="107">
        <v>650</v>
      </c>
      <c r="J157" s="107">
        <v>700</v>
      </c>
      <c r="K157" s="107">
        <v>700</v>
      </c>
      <c r="L157" s="107">
        <v>1000</v>
      </c>
      <c r="M157" s="107">
        <v>1000</v>
      </c>
      <c r="N157" s="107">
        <v>9850</v>
      </c>
    </row>
    <row r="158" spans="1:14">
      <c r="A158" s="64" t="s">
        <v>201</v>
      </c>
      <c r="B158" s="107">
        <v>117.45</v>
      </c>
      <c r="C158" s="107">
        <v>117.45</v>
      </c>
      <c r="D158" s="107">
        <v>117.45</v>
      </c>
      <c r="E158" s="107">
        <v>117.45</v>
      </c>
      <c r="F158" s="107">
        <v>117.45</v>
      </c>
      <c r="G158" s="107">
        <v>117.45</v>
      </c>
      <c r="H158" s="107">
        <v>117.45</v>
      </c>
      <c r="I158" s="107">
        <v>262.38</v>
      </c>
      <c r="J158" s="107">
        <v>262.38</v>
      </c>
      <c r="K158" s="107">
        <v>152.35</v>
      </c>
      <c r="L158" s="107">
        <v>100</v>
      </c>
      <c r="M158" s="107">
        <v>100</v>
      </c>
      <c r="N158" s="107">
        <v>1699.26</v>
      </c>
    </row>
    <row r="159" spans="1:14">
      <c r="A159" s="64" t="s">
        <v>202</v>
      </c>
      <c r="B159" s="22"/>
      <c r="C159" s="22"/>
      <c r="D159" s="22"/>
      <c r="E159" s="22"/>
      <c r="F159" s="22"/>
      <c r="G159" s="107"/>
      <c r="H159" s="22"/>
      <c r="I159" s="107">
        <v>350</v>
      </c>
      <c r="J159" s="22"/>
      <c r="K159" s="107">
        <v>964.73</v>
      </c>
      <c r="L159" s="22"/>
      <c r="M159" s="22"/>
      <c r="N159" s="107">
        <v>1314.73</v>
      </c>
    </row>
    <row r="160" spans="1:14">
      <c r="A160" s="64" t="s">
        <v>203</v>
      </c>
      <c r="B160" s="107">
        <v>2270.2600000000002</v>
      </c>
      <c r="C160" s="107">
        <v>1793.52</v>
      </c>
      <c r="D160" s="107">
        <v>1755.69</v>
      </c>
      <c r="E160" s="107">
        <v>1900.11</v>
      </c>
      <c r="F160" s="107">
        <v>1951.85</v>
      </c>
      <c r="G160" s="107">
        <v>1773.69</v>
      </c>
      <c r="H160" s="107">
        <v>1885.12</v>
      </c>
      <c r="I160" s="107">
        <v>1985</v>
      </c>
      <c r="J160" s="107">
        <v>2395.1799999999998</v>
      </c>
      <c r="K160" s="107">
        <v>2291.0700000000002</v>
      </c>
      <c r="L160" s="107">
        <v>2480.0300000000002</v>
      </c>
      <c r="M160" s="107">
        <v>1893.25</v>
      </c>
      <c r="N160" s="107">
        <v>24374.77</v>
      </c>
    </row>
    <row r="161" spans="1:14">
      <c r="A161" s="64" t="s">
        <v>204</v>
      </c>
      <c r="B161" s="107">
        <v>4599</v>
      </c>
      <c r="C161" s="107">
        <v>4599</v>
      </c>
      <c r="D161" s="107">
        <v>4236</v>
      </c>
      <c r="E161" s="107">
        <v>4510</v>
      </c>
      <c r="F161" s="107">
        <v>4783</v>
      </c>
      <c r="G161" s="107">
        <v>4567</v>
      </c>
      <c r="H161" s="107">
        <v>4331</v>
      </c>
      <c r="I161" s="107">
        <v>4693</v>
      </c>
      <c r="J161" s="107">
        <v>4810</v>
      </c>
      <c r="K161" s="107">
        <v>5161</v>
      </c>
      <c r="L161" s="107">
        <v>4379</v>
      </c>
      <c r="M161" s="107">
        <v>4410</v>
      </c>
      <c r="N161" s="107">
        <v>55078</v>
      </c>
    </row>
    <row r="162" spans="1:14">
      <c r="A162" s="64" t="s">
        <v>205</v>
      </c>
      <c r="B162" s="22"/>
      <c r="C162" s="107">
        <v>116.1</v>
      </c>
      <c r="D162" s="22"/>
      <c r="E162" s="107">
        <v>116.1</v>
      </c>
      <c r="F162" s="22"/>
      <c r="G162" s="22"/>
      <c r="H162" s="22"/>
      <c r="I162" s="22"/>
      <c r="J162" s="22"/>
      <c r="K162" s="22"/>
      <c r="L162" s="22"/>
      <c r="M162" s="22"/>
      <c r="N162" s="107">
        <v>232.2</v>
      </c>
    </row>
    <row r="163" spans="1:14">
      <c r="A163" s="64" t="s">
        <v>206</v>
      </c>
      <c r="B163" s="111">
        <v>149.06</v>
      </c>
      <c r="C163" s="111">
        <v>337.47</v>
      </c>
      <c r="D163" s="111">
        <v>65.44</v>
      </c>
      <c r="E163" s="111">
        <v>489.22</v>
      </c>
      <c r="F163" s="111">
        <v>778.32</v>
      </c>
      <c r="G163" s="111">
        <v>174.19</v>
      </c>
      <c r="H163" s="111">
        <v>225.53</v>
      </c>
      <c r="I163" s="111">
        <v>497.69</v>
      </c>
      <c r="J163" s="111">
        <v>397.78</v>
      </c>
      <c r="K163" s="111">
        <v>1635.38</v>
      </c>
      <c r="L163" s="111">
        <v>162.49</v>
      </c>
      <c r="M163" s="111">
        <v>349.81</v>
      </c>
      <c r="N163" s="111">
        <v>5262.38</v>
      </c>
    </row>
    <row r="164" spans="1:14">
      <c r="A164" s="64" t="s">
        <v>207</v>
      </c>
      <c r="B164" s="107">
        <f t="shared" ref="B164:M164" si="27">SUM(B146:B163)</f>
        <v>13394.729999999998</v>
      </c>
      <c r="C164" s="107">
        <f t="shared" si="27"/>
        <v>13900.07</v>
      </c>
      <c r="D164" s="107">
        <f t="shared" si="27"/>
        <v>14398.320000000002</v>
      </c>
      <c r="E164" s="107">
        <f t="shared" si="27"/>
        <v>14337.21</v>
      </c>
      <c r="F164" s="107">
        <f t="shared" si="27"/>
        <v>16450.960000000003</v>
      </c>
      <c r="G164" s="107">
        <f t="shared" si="27"/>
        <v>11827.02</v>
      </c>
      <c r="H164" s="107">
        <f t="shared" si="27"/>
        <v>13918.48</v>
      </c>
      <c r="I164" s="107">
        <f t="shared" si="27"/>
        <v>15137.860000000002</v>
      </c>
      <c r="J164" s="107">
        <f t="shared" si="27"/>
        <v>14698.19</v>
      </c>
      <c r="K164" s="107">
        <f t="shared" si="27"/>
        <v>18032.940000000002</v>
      </c>
      <c r="L164" s="107">
        <f t="shared" si="27"/>
        <v>13416.38</v>
      </c>
      <c r="M164" s="107">
        <f t="shared" si="27"/>
        <v>13076.449999999999</v>
      </c>
      <c r="N164" s="107">
        <v>172588.61</v>
      </c>
    </row>
    <row r="165" spans="1:14">
      <c r="A165" s="64"/>
      <c r="B165" s="22"/>
      <c r="C165" s="22"/>
      <c r="D165" s="22"/>
      <c r="E165" s="22"/>
      <c r="F165" s="22"/>
      <c r="G165" s="22"/>
      <c r="H165" s="22"/>
      <c r="I165" s="22"/>
      <c r="J165" s="22"/>
      <c r="K165" s="22"/>
      <c r="L165" s="22"/>
      <c r="M165" s="22"/>
      <c r="N165" s="22"/>
    </row>
    <row r="166" spans="1:14">
      <c r="A166" s="64" t="s">
        <v>15</v>
      </c>
      <c r="B166" s="22"/>
      <c r="C166" s="22"/>
      <c r="D166" s="22"/>
      <c r="E166" s="22"/>
      <c r="F166" s="22"/>
      <c r="G166" s="22"/>
      <c r="H166" s="22"/>
      <c r="I166" s="22"/>
      <c r="J166" s="22"/>
      <c r="K166" s="22"/>
      <c r="L166" s="22"/>
      <c r="M166" s="22"/>
      <c r="N166" s="22"/>
    </row>
    <row r="167" spans="1:14">
      <c r="A167" s="64" t="s">
        <v>208</v>
      </c>
      <c r="B167" s="22"/>
      <c r="C167" s="107">
        <v>232.41</v>
      </c>
      <c r="D167" s="22"/>
      <c r="E167" s="22"/>
      <c r="F167" s="107">
        <v>295.56</v>
      </c>
      <c r="G167" s="107">
        <v>57.38</v>
      </c>
      <c r="H167" s="107">
        <v>56.84</v>
      </c>
      <c r="I167" s="107">
        <v>302.38</v>
      </c>
      <c r="J167" s="22"/>
      <c r="K167" s="107">
        <v>50.78</v>
      </c>
      <c r="L167" s="107">
        <v>29.09</v>
      </c>
      <c r="M167" s="107">
        <v>702.25</v>
      </c>
      <c r="N167" s="107">
        <v>1726.69</v>
      </c>
    </row>
    <row r="168" spans="1:14">
      <c r="A168" s="64" t="s">
        <v>210</v>
      </c>
      <c r="B168" s="107">
        <v>21.3</v>
      </c>
      <c r="C168" s="107">
        <v>351.98</v>
      </c>
      <c r="D168" s="107">
        <v>209.9</v>
      </c>
      <c r="E168" s="107">
        <v>220.48</v>
      </c>
      <c r="F168" s="107">
        <v>280.64</v>
      </c>
      <c r="G168" s="107">
        <v>122.97</v>
      </c>
      <c r="H168" s="107">
        <v>100.22</v>
      </c>
      <c r="I168" s="107">
        <v>55.74</v>
      </c>
      <c r="J168" s="107">
        <v>209.37</v>
      </c>
      <c r="K168" s="107">
        <v>183.79</v>
      </c>
      <c r="L168" s="107">
        <v>408.58</v>
      </c>
      <c r="M168" s="107">
        <v>138.26</v>
      </c>
      <c r="N168" s="107">
        <v>2303.23</v>
      </c>
    </row>
    <row r="169" spans="1:14">
      <c r="A169" s="64" t="s">
        <v>211</v>
      </c>
      <c r="B169" s="107"/>
      <c r="C169" s="107">
        <v>77.95</v>
      </c>
      <c r="D169" s="22"/>
      <c r="E169" s="107">
        <v>100.95</v>
      </c>
      <c r="F169" s="107">
        <v>98.95</v>
      </c>
      <c r="G169" s="107">
        <v>92.62</v>
      </c>
      <c r="H169" s="107">
        <v>67.28</v>
      </c>
      <c r="I169" s="107">
        <v>100</v>
      </c>
      <c r="J169" s="107">
        <v>185.85</v>
      </c>
      <c r="K169" s="107">
        <v>80</v>
      </c>
      <c r="L169" s="107">
        <v>63</v>
      </c>
      <c r="M169" s="107">
        <v>63</v>
      </c>
      <c r="N169" s="107">
        <v>929.6</v>
      </c>
    </row>
    <row r="170" spans="1:14">
      <c r="A170" s="64" t="s">
        <v>195</v>
      </c>
      <c r="B170" s="107">
        <v>359.82</v>
      </c>
      <c r="C170" s="107">
        <v>584.91</v>
      </c>
      <c r="D170" s="107">
        <v>317.7</v>
      </c>
      <c r="E170" s="107">
        <v>447.79</v>
      </c>
      <c r="F170" s="107">
        <v>657.76</v>
      </c>
      <c r="G170" s="107">
        <v>292.3</v>
      </c>
      <c r="H170" s="107">
        <v>551.5</v>
      </c>
      <c r="I170" s="107">
        <v>547.42999999999995</v>
      </c>
      <c r="J170" s="107">
        <v>445.26</v>
      </c>
      <c r="K170" s="107">
        <v>464.44</v>
      </c>
      <c r="L170" s="107">
        <v>537.15</v>
      </c>
      <c r="M170" s="107">
        <v>353.81</v>
      </c>
      <c r="N170" s="107">
        <v>5559.87</v>
      </c>
    </row>
    <row r="171" spans="1:14">
      <c r="A171" s="64" t="s">
        <v>213</v>
      </c>
      <c r="B171" s="107">
        <v>4019.32</v>
      </c>
      <c r="C171" s="107">
        <v>3542.34</v>
      </c>
      <c r="D171" s="107">
        <v>4382.7700000000004</v>
      </c>
      <c r="E171" s="107">
        <v>4564</v>
      </c>
      <c r="F171" s="107">
        <v>6401.69</v>
      </c>
      <c r="G171" s="107">
        <v>4889.79</v>
      </c>
      <c r="H171" s="107">
        <v>4444.07</v>
      </c>
      <c r="I171" s="107">
        <v>4830.33</v>
      </c>
      <c r="J171" s="107">
        <v>6311.89</v>
      </c>
      <c r="K171" s="107">
        <v>4824.91</v>
      </c>
      <c r="L171" s="107">
        <v>5012.0200000000004</v>
      </c>
      <c r="M171" s="107">
        <v>5711.89</v>
      </c>
      <c r="N171" s="107">
        <v>58935.02</v>
      </c>
    </row>
    <row r="172" spans="1:14">
      <c r="A172" s="64" t="s">
        <v>215</v>
      </c>
      <c r="B172" s="107">
        <v>448.04</v>
      </c>
      <c r="C172" s="107">
        <v>46.57</v>
      </c>
      <c r="D172" s="107">
        <v>121.62</v>
      </c>
      <c r="E172" s="107">
        <v>273.64</v>
      </c>
      <c r="F172" s="107">
        <v>427.71</v>
      </c>
      <c r="G172" s="107">
        <v>55.47</v>
      </c>
      <c r="H172" s="107">
        <v>138.46</v>
      </c>
      <c r="I172" s="107">
        <v>311.43</v>
      </c>
      <c r="J172" s="107">
        <v>328.02</v>
      </c>
      <c r="K172" s="107">
        <v>245.98</v>
      </c>
      <c r="L172" s="107">
        <v>227.7</v>
      </c>
      <c r="M172" s="107">
        <v>266</v>
      </c>
      <c r="N172" s="107">
        <v>2890.64</v>
      </c>
    </row>
    <row r="173" spans="1:14">
      <c r="A173" s="64" t="s">
        <v>216</v>
      </c>
      <c r="B173" s="107">
        <v>107</v>
      </c>
      <c r="C173" s="107">
        <v>341.91</v>
      </c>
      <c r="D173" s="107">
        <v>187.45</v>
      </c>
      <c r="E173" s="107">
        <v>42.4</v>
      </c>
      <c r="F173" s="107">
        <v>721</v>
      </c>
      <c r="G173" s="107">
        <v>355.46</v>
      </c>
      <c r="H173" s="107">
        <v>715.64</v>
      </c>
      <c r="I173" s="107">
        <v>357</v>
      </c>
      <c r="J173" s="107">
        <v>395.2</v>
      </c>
      <c r="K173" s="107">
        <v>207.98</v>
      </c>
      <c r="L173" s="107">
        <v>528.80999999999995</v>
      </c>
      <c r="M173" s="107">
        <v>584.95000000000005</v>
      </c>
      <c r="N173" s="107">
        <v>4544.8</v>
      </c>
    </row>
    <row r="174" spans="1:14">
      <c r="A174" s="64" t="s">
        <v>217</v>
      </c>
      <c r="B174" s="107">
        <v>192.69</v>
      </c>
      <c r="C174" s="107">
        <v>142.56</v>
      </c>
      <c r="D174" s="22"/>
      <c r="E174" s="107">
        <v>252.92</v>
      </c>
      <c r="F174" s="107">
        <v>324.07</v>
      </c>
      <c r="G174" s="22"/>
      <c r="H174" s="22"/>
      <c r="I174" s="22"/>
      <c r="J174" s="22"/>
      <c r="K174" s="22"/>
      <c r="L174" s="22"/>
      <c r="M174" s="22"/>
      <c r="N174" s="107">
        <v>912.24</v>
      </c>
    </row>
    <row r="175" spans="1:14">
      <c r="A175" s="64" t="s">
        <v>218</v>
      </c>
      <c r="B175" s="107">
        <v>931.99</v>
      </c>
      <c r="C175" s="107">
        <v>1299.3599999999999</v>
      </c>
      <c r="D175" s="107">
        <v>876.48</v>
      </c>
      <c r="E175" s="107">
        <v>798.43</v>
      </c>
      <c r="F175" s="107">
        <v>865.34</v>
      </c>
      <c r="G175" s="107">
        <v>427.47</v>
      </c>
      <c r="H175" s="107">
        <v>703.1</v>
      </c>
      <c r="I175" s="107">
        <v>676.99</v>
      </c>
      <c r="J175" s="107">
        <v>731.15</v>
      </c>
      <c r="K175" s="107">
        <v>858.66</v>
      </c>
      <c r="L175" s="107">
        <v>745.64</v>
      </c>
      <c r="M175" s="107">
        <v>696.15</v>
      </c>
      <c r="N175" s="107">
        <v>9610.76</v>
      </c>
    </row>
    <row r="176" spans="1:14">
      <c r="A176" s="64" t="s">
        <v>219</v>
      </c>
      <c r="B176" s="107">
        <v>120.75</v>
      </c>
      <c r="C176" s="107">
        <v>98.23</v>
      </c>
      <c r="D176" s="107">
        <v>223.44</v>
      </c>
      <c r="E176" s="22"/>
      <c r="F176" s="107">
        <v>89.34</v>
      </c>
      <c r="G176" s="107">
        <v>141.15</v>
      </c>
      <c r="H176" s="107">
        <v>164.51</v>
      </c>
      <c r="I176" s="107">
        <v>205.45</v>
      </c>
      <c r="J176" s="22"/>
      <c r="K176" s="107">
        <v>456.74</v>
      </c>
      <c r="L176" s="22"/>
      <c r="M176" s="107">
        <v>261.81</v>
      </c>
      <c r="N176" s="107">
        <v>1761.42</v>
      </c>
    </row>
    <row r="177" spans="1:14">
      <c r="A177" s="64" t="s">
        <v>220</v>
      </c>
      <c r="B177" s="111">
        <v>193.85</v>
      </c>
      <c r="C177" s="111">
        <v>182.99</v>
      </c>
      <c r="D177" s="111">
        <v>111.75</v>
      </c>
      <c r="E177" s="111">
        <v>87.12</v>
      </c>
      <c r="F177" s="111">
        <v>483.13</v>
      </c>
      <c r="G177" s="111">
        <v>34.04</v>
      </c>
      <c r="H177" s="111">
        <v>233.02</v>
      </c>
      <c r="I177" s="111">
        <v>372.91</v>
      </c>
      <c r="J177" s="111">
        <v>213.01</v>
      </c>
      <c r="K177" s="111">
        <v>261.68</v>
      </c>
      <c r="L177" s="111">
        <v>232.59</v>
      </c>
      <c r="M177" s="111">
        <v>211.93</v>
      </c>
      <c r="N177" s="111">
        <v>2618.02</v>
      </c>
    </row>
    <row r="178" spans="1:14">
      <c r="A178" s="64" t="s">
        <v>221</v>
      </c>
      <c r="B178" s="107">
        <f t="shared" ref="B178:M178" si="28">SUM(B165:B177)</f>
        <v>6394.76</v>
      </c>
      <c r="C178" s="107">
        <f t="shared" si="28"/>
        <v>6901.2099999999991</v>
      </c>
      <c r="D178" s="107">
        <f t="shared" si="28"/>
        <v>6431.11</v>
      </c>
      <c r="E178" s="107">
        <f t="shared" si="28"/>
        <v>6787.7300000000005</v>
      </c>
      <c r="F178" s="107">
        <f t="shared" si="28"/>
        <v>10645.189999999999</v>
      </c>
      <c r="G178" s="107">
        <f t="shared" si="28"/>
        <v>6468.65</v>
      </c>
      <c r="H178" s="107">
        <f t="shared" si="28"/>
        <v>7174.6400000000012</v>
      </c>
      <c r="I178" s="107">
        <f t="shared" si="28"/>
        <v>7759.66</v>
      </c>
      <c r="J178" s="107">
        <f t="shared" si="28"/>
        <v>8819.7500000000018</v>
      </c>
      <c r="K178" s="107">
        <f t="shared" si="28"/>
        <v>7634.9599999999991</v>
      </c>
      <c r="L178" s="107">
        <f t="shared" si="28"/>
        <v>7784.5800000000008</v>
      </c>
      <c r="M178" s="107">
        <f t="shared" si="28"/>
        <v>8990.0499999999993</v>
      </c>
      <c r="N178" s="107">
        <v>91792.29</v>
      </c>
    </row>
    <row r="179" spans="1:14">
      <c r="A179" s="64"/>
      <c r="B179" s="22"/>
      <c r="C179" s="22"/>
      <c r="D179" s="22"/>
      <c r="E179" s="22"/>
      <c r="F179" s="22"/>
      <c r="G179" s="22"/>
      <c r="H179" s="22"/>
      <c r="I179" s="22"/>
      <c r="J179" s="22"/>
      <c r="K179" s="22"/>
      <c r="L179" s="22"/>
      <c r="M179" s="22"/>
      <c r="N179" s="22"/>
    </row>
    <row r="180" spans="1:14">
      <c r="A180" s="64" t="s">
        <v>222</v>
      </c>
      <c r="B180" s="22"/>
      <c r="C180" s="22"/>
      <c r="D180" s="22"/>
      <c r="E180" s="22"/>
      <c r="F180" s="22"/>
      <c r="G180" s="22"/>
      <c r="H180" s="22"/>
      <c r="I180" s="22"/>
      <c r="J180" s="22"/>
      <c r="K180" s="22"/>
      <c r="L180" s="22"/>
      <c r="M180" s="22"/>
      <c r="N180" s="22"/>
    </row>
    <row r="181" spans="1:14">
      <c r="A181" s="64" t="s">
        <v>223</v>
      </c>
      <c r="B181" s="22"/>
      <c r="C181" s="107">
        <v>1050</v>
      </c>
      <c r="D181" s="22"/>
      <c r="E181" s="22"/>
      <c r="F181" s="22"/>
      <c r="G181" s="22"/>
      <c r="H181" s="22"/>
      <c r="I181" s="22"/>
      <c r="J181" s="22"/>
      <c r="K181" s="22"/>
      <c r="L181" s="22"/>
      <c r="M181" s="22"/>
      <c r="N181" s="107">
        <v>1050</v>
      </c>
    </row>
    <row r="182" spans="1:14">
      <c r="A182" s="64" t="s">
        <v>225</v>
      </c>
      <c r="B182" s="107">
        <v>200</v>
      </c>
      <c r="C182" s="107">
        <v>494.3</v>
      </c>
      <c r="D182" s="107">
        <v>318.01</v>
      </c>
      <c r="E182" s="107">
        <v>274</v>
      </c>
      <c r="F182" s="107">
        <v>265.97000000000003</v>
      </c>
      <c r="G182" s="107">
        <v>110</v>
      </c>
      <c r="H182" s="107">
        <v>6136.28</v>
      </c>
      <c r="I182" s="107">
        <v>470.5</v>
      </c>
      <c r="J182" s="107">
        <v>402.63</v>
      </c>
      <c r="K182" s="107">
        <v>2048.41</v>
      </c>
      <c r="L182" s="107">
        <v>290</v>
      </c>
      <c r="M182" s="107">
        <v>375.03</v>
      </c>
      <c r="N182" s="107">
        <v>11385.13</v>
      </c>
    </row>
    <row r="183" spans="1:14">
      <c r="A183" s="64" t="s">
        <v>226</v>
      </c>
      <c r="B183" s="113"/>
      <c r="C183" s="113"/>
      <c r="D183" s="113"/>
      <c r="E183" s="113"/>
      <c r="F183" s="113"/>
      <c r="G183" s="113"/>
      <c r="H183" s="113"/>
      <c r="I183" s="113"/>
      <c r="J183" s="113"/>
      <c r="K183" s="113"/>
      <c r="L183" s="111">
        <v>32.19</v>
      </c>
      <c r="M183" s="113"/>
      <c r="N183" s="111">
        <v>32.19</v>
      </c>
    </row>
    <row r="184" spans="1:14">
      <c r="A184" s="64" t="s">
        <v>229</v>
      </c>
      <c r="B184" s="107">
        <f t="shared" ref="B184:M184" si="29">SUM(B179:B183)</f>
        <v>200</v>
      </c>
      <c r="C184" s="107">
        <f t="shared" si="29"/>
        <v>1544.3</v>
      </c>
      <c r="D184" s="107">
        <f t="shared" si="29"/>
        <v>318.01</v>
      </c>
      <c r="E184" s="107">
        <f t="shared" si="29"/>
        <v>274</v>
      </c>
      <c r="F184" s="107">
        <f t="shared" si="29"/>
        <v>265.97000000000003</v>
      </c>
      <c r="G184" s="107">
        <f t="shared" si="29"/>
        <v>110</v>
      </c>
      <c r="H184" s="107">
        <f t="shared" si="29"/>
        <v>6136.28</v>
      </c>
      <c r="I184" s="107">
        <f t="shared" si="29"/>
        <v>470.5</v>
      </c>
      <c r="J184" s="107">
        <f t="shared" si="29"/>
        <v>402.63</v>
      </c>
      <c r="K184" s="107">
        <f t="shared" si="29"/>
        <v>2048.41</v>
      </c>
      <c r="L184" s="107">
        <f t="shared" si="29"/>
        <v>322.19</v>
      </c>
      <c r="M184" s="107">
        <f t="shared" si="29"/>
        <v>375.03</v>
      </c>
      <c r="N184" s="107">
        <v>12467.32</v>
      </c>
    </row>
    <row r="185" spans="1:14">
      <c r="A185" s="64"/>
      <c r="B185" s="22"/>
      <c r="C185" s="22"/>
      <c r="D185" s="22"/>
      <c r="E185" s="22"/>
      <c r="F185" s="22"/>
      <c r="G185" s="22"/>
      <c r="H185" s="22"/>
      <c r="I185" s="22"/>
      <c r="J185" s="22"/>
      <c r="K185" s="22"/>
      <c r="L185" s="22"/>
      <c r="M185" s="22"/>
      <c r="N185" s="22"/>
    </row>
    <row r="186" spans="1:14">
      <c r="A186" s="64" t="s">
        <v>230</v>
      </c>
      <c r="B186" s="22"/>
      <c r="C186" s="22"/>
      <c r="D186" s="22"/>
      <c r="E186" s="22"/>
      <c r="F186" s="22"/>
      <c r="G186" s="22"/>
      <c r="H186" s="22"/>
      <c r="I186" s="22"/>
      <c r="J186" s="22"/>
      <c r="K186" s="22"/>
      <c r="L186" s="22"/>
      <c r="M186" s="22"/>
      <c r="N186" s="22"/>
    </row>
    <row r="187" spans="1:14">
      <c r="A187" s="64" t="s">
        <v>231</v>
      </c>
      <c r="B187" s="107">
        <v>1370.66</v>
      </c>
      <c r="C187" s="107">
        <v>1370.66</v>
      </c>
      <c r="D187" s="107">
        <v>1370.66</v>
      </c>
      <c r="E187" s="107">
        <v>1370.66</v>
      </c>
      <c r="F187" s="107">
        <v>-97.71</v>
      </c>
      <c r="G187" s="107">
        <v>1270.6600000000001</v>
      </c>
      <c r="H187" s="107">
        <v>1270.6600000000001</v>
      </c>
      <c r="I187" s="107">
        <v>1270.6600000000001</v>
      </c>
      <c r="J187" s="107">
        <v>1270.6600000000001</v>
      </c>
      <c r="K187" s="107">
        <v>1270.6600000000001</v>
      </c>
      <c r="L187" s="107">
        <v>1270.6600000000001</v>
      </c>
      <c r="M187" s="107">
        <v>1270.67</v>
      </c>
      <c r="N187" s="107">
        <v>14279.56</v>
      </c>
    </row>
    <row r="188" spans="1:14">
      <c r="A188" s="64" t="s">
        <v>232</v>
      </c>
      <c r="B188" s="107">
        <v>150</v>
      </c>
      <c r="C188" s="107">
        <v>150</v>
      </c>
      <c r="D188" s="107">
        <v>150</v>
      </c>
      <c r="E188" s="107">
        <v>150</v>
      </c>
      <c r="F188" s="107">
        <v>-1065.93</v>
      </c>
      <c r="G188" s="22"/>
      <c r="H188" s="22"/>
      <c r="I188" s="22"/>
      <c r="J188" s="22"/>
      <c r="K188" s="22"/>
      <c r="L188" s="22"/>
      <c r="M188" s="22"/>
      <c r="N188" s="107">
        <v>-465.93</v>
      </c>
    </row>
    <row r="189" spans="1:14">
      <c r="A189" s="64" t="s">
        <v>234</v>
      </c>
      <c r="B189" s="22"/>
      <c r="C189" s="22"/>
      <c r="D189" s="22"/>
      <c r="E189" s="107">
        <v>70</v>
      </c>
      <c r="F189" s="22"/>
      <c r="G189" s="107">
        <v>66.67</v>
      </c>
      <c r="H189" s="22"/>
      <c r="I189" s="22"/>
      <c r="J189" s="107">
        <v>400</v>
      </c>
      <c r="K189" s="107">
        <v>33</v>
      </c>
      <c r="L189" s="22"/>
      <c r="M189" s="22"/>
      <c r="N189" s="107">
        <v>569.66999999999996</v>
      </c>
    </row>
    <row r="190" spans="1:14">
      <c r="A190" s="64" t="s">
        <v>352</v>
      </c>
      <c r="B190" s="107">
        <v>141.55000000000001</v>
      </c>
      <c r="C190" s="107">
        <v>141.55000000000001</v>
      </c>
      <c r="D190" s="107">
        <v>-141.55000000000001</v>
      </c>
      <c r="E190" s="22"/>
      <c r="F190" s="22"/>
      <c r="G190" s="22"/>
      <c r="H190" s="22"/>
      <c r="I190" s="107">
        <v>141.55000000000001</v>
      </c>
      <c r="J190" s="107">
        <v>424.65</v>
      </c>
      <c r="K190" s="107">
        <v>141.55000000000001</v>
      </c>
      <c r="L190" s="107">
        <v>141.55000000000001</v>
      </c>
      <c r="M190" s="107">
        <v>141.55000000000001</v>
      </c>
      <c r="N190" s="107">
        <v>1132.4000000000001</v>
      </c>
    </row>
    <row r="191" spans="1:14">
      <c r="A191" s="64" t="s">
        <v>235</v>
      </c>
      <c r="B191" s="113"/>
      <c r="C191" s="113"/>
      <c r="D191" s="113"/>
      <c r="E191" s="113"/>
      <c r="F191" s="113"/>
      <c r="G191" s="113"/>
      <c r="H191" s="113"/>
      <c r="I191" s="113"/>
      <c r="J191" s="111">
        <v>310</v>
      </c>
      <c r="K191" s="113"/>
      <c r="L191" s="113"/>
      <c r="M191" s="113"/>
      <c r="N191" s="111">
        <v>310</v>
      </c>
    </row>
    <row r="192" spans="1:14">
      <c r="A192" s="64" t="s">
        <v>236</v>
      </c>
      <c r="B192" s="107">
        <f t="shared" ref="B192:M192" si="30">SUM(B185:B191)</f>
        <v>1662.21</v>
      </c>
      <c r="C192" s="107">
        <f t="shared" si="30"/>
        <v>1662.21</v>
      </c>
      <c r="D192" s="107">
        <f t="shared" si="30"/>
        <v>1379.1100000000001</v>
      </c>
      <c r="E192" s="107">
        <f t="shared" si="30"/>
        <v>1590.66</v>
      </c>
      <c r="F192" s="107">
        <f t="shared" si="30"/>
        <v>-1163.6400000000001</v>
      </c>
      <c r="G192" s="107">
        <f t="shared" si="30"/>
        <v>1337.3300000000002</v>
      </c>
      <c r="H192" s="107">
        <f t="shared" si="30"/>
        <v>1270.6600000000001</v>
      </c>
      <c r="I192" s="107">
        <f t="shared" si="30"/>
        <v>1412.21</v>
      </c>
      <c r="J192" s="107">
        <f t="shared" si="30"/>
        <v>2405.31</v>
      </c>
      <c r="K192" s="107">
        <f t="shared" si="30"/>
        <v>1445.21</v>
      </c>
      <c r="L192" s="107">
        <f t="shared" si="30"/>
        <v>1412.21</v>
      </c>
      <c r="M192" s="107">
        <f t="shared" si="30"/>
        <v>1412.22</v>
      </c>
      <c r="N192" s="107">
        <v>15825.7</v>
      </c>
    </row>
    <row r="193" spans="1:14">
      <c r="A193" s="64"/>
      <c r="B193" s="22"/>
      <c r="C193" s="22"/>
      <c r="D193" s="22"/>
      <c r="E193" s="22"/>
      <c r="F193" s="22"/>
      <c r="G193" s="22"/>
      <c r="H193" s="22"/>
      <c r="I193" s="22"/>
      <c r="J193" s="22"/>
      <c r="K193" s="22"/>
      <c r="L193" s="22"/>
      <c r="M193" s="22"/>
      <c r="N193" s="22"/>
    </row>
    <row r="194" spans="1:14">
      <c r="A194" s="64" t="s">
        <v>237</v>
      </c>
      <c r="B194" s="113"/>
      <c r="C194" s="113"/>
      <c r="D194" s="113"/>
      <c r="E194" s="113"/>
      <c r="F194" s="113"/>
      <c r="G194" s="113"/>
      <c r="H194" s="113"/>
      <c r="I194" s="113"/>
      <c r="J194" s="113"/>
      <c r="K194" s="113"/>
      <c r="L194" s="113"/>
      <c r="M194" s="113"/>
      <c r="N194" s="113"/>
    </row>
    <row r="195" spans="1:14">
      <c r="A195" s="64"/>
      <c r="B195" s="22"/>
      <c r="C195" s="22"/>
      <c r="D195" s="22"/>
      <c r="E195" s="22"/>
      <c r="F195" s="22"/>
      <c r="G195" s="22"/>
      <c r="H195" s="22"/>
      <c r="I195" s="22"/>
      <c r="J195" s="22"/>
      <c r="K195" s="22"/>
      <c r="L195" s="22"/>
      <c r="M195" s="22"/>
      <c r="N195" s="22"/>
    </row>
    <row r="196" spans="1:14">
      <c r="A196" s="64" t="s">
        <v>239</v>
      </c>
      <c r="B196" s="22"/>
      <c r="C196" s="22"/>
      <c r="D196" s="22"/>
      <c r="E196" s="22"/>
      <c r="F196" s="22"/>
      <c r="G196" s="22"/>
      <c r="H196" s="22"/>
      <c r="I196" s="22"/>
      <c r="J196" s="22"/>
      <c r="K196" s="22"/>
      <c r="L196" s="22"/>
      <c r="M196" s="22"/>
      <c r="N196" s="22"/>
    </row>
    <row r="197" spans="1:14">
      <c r="A197" s="64" t="s">
        <v>240</v>
      </c>
      <c r="B197" s="107">
        <v>1081.1500000000001</v>
      </c>
      <c r="C197" s="107">
        <v>1081.1500000000001</v>
      </c>
      <c r="D197" s="107">
        <v>1081.1500000000001</v>
      </c>
      <c r="E197" s="107">
        <v>1081.1500000000001</v>
      </c>
      <c r="F197" s="107">
        <v>1081.1500000000001</v>
      </c>
      <c r="G197" s="107">
        <v>1081.1300000000001</v>
      </c>
      <c r="H197" s="107">
        <v>1081.1500000000001</v>
      </c>
      <c r="I197" s="107">
        <v>1502.25</v>
      </c>
      <c r="J197" s="107">
        <v>1291.7</v>
      </c>
      <c r="K197" s="107">
        <v>1291.7</v>
      </c>
      <c r="L197" s="107">
        <v>1291.7</v>
      </c>
      <c r="M197" s="107">
        <v>1291.7</v>
      </c>
      <c r="N197" s="107">
        <v>14237.08</v>
      </c>
    </row>
    <row r="198" spans="1:14">
      <c r="A198" s="64" t="s">
        <v>241</v>
      </c>
      <c r="B198" s="107">
        <v>129.16999999999999</v>
      </c>
      <c r="C198" s="107">
        <v>129.16999999999999</v>
      </c>
      <c r="D198" s="107">
        <v>129.16999999999999</v>
      </c>
      <c r="E198" s="107">
        <v>129.16999999999999</v>
      </c>
      <c r="F198" s="107">
        <v>129.16999999999999</v>
      </c>
      <c r="G198" s="107">
        <v>129.16999999999999</v>
      </c>
      <c r="H198" s="107">
        <v>129.16999999999999</v>
      </c>
      <c r="I198" s="107">
        <v>-129.16999999999999</v>
      </c>
      <c r="J198" s="22"/>
      <c r="K198" s="22"/>
      <c r="L198" s="22"/>
      <c r="M198" s="22"/>
      <c r="N198" s="107">
        <v>775.02</v>
      </c>
    </row>
    <row r="199" spans="1:14">
      <c r="A199" s="64" t="s">
        <v>242</v>
      </c>
      <c r="B199" s="107">
        <v>549.59</v>
      </c>
      <c r="C199" s="107">
        <v>597.12</v>
      </c>
      <c r="D199" s="107">
        <v>597.12</v>
      </c>
      <c r="E199" s="107">
        <v>597.12</v>
      </c>
      <c r="F199" s="107">
        <v>597.12</v>
      </c>
      <c r="G199" s="107">
        <v>1176.78</v>
      </c>
      <c r="H199" s="107">
        <v>597.12</v>
      </c>
      <c r="I199" s="107">
        <v>597.12</v>
      </c>
      <c r="J199" s="107">
        <v>591.12</v>
      </c>
      <c r="K199" s="107">
        <v>597.12</v>
      </c>
      <c r="L199" s="107">
        <v>597.12</v>
      </c>
      <c r="M199" s="107">
        <v>597.12</v>
      </c>
      <c r="N199" s="107">
        <v>7691.57</v>
      </c>
    </row>
    <row r="200" spans="1:14">
      <c r="A200" s="64" t="s">
        <v>387</v>
      </c>
      <c r="B200" s="113"/>
      <c r="C200" s="113"/>
      <c r="D200" s="113"/>
      <c r="E200" s="113"/>
      <c r="F200" s="113"/>
      <c r="G200" s="113"/>
      <c r="H200" s="113"/>
      <c r="I200" s="113"/>
      <c r="J200" s="113"/>
      <c r="K200" s="113"/>
      <c r="L200" s="113"/>
      <c r="M200" s="113"/>
      <c r="N200" s="113"/>
    </row>
    <row r="201" spans="1:14">
      <c r="A201" s="64" t="s">
        <v>244</v>
      </c>
      <c r="B201" s="107">
        <f t="shared" ref="B201:M201" si="31">SUM(B195:B200)</f>
        <v>1759.9100000000003</v>
      </c>
      <c r="C201" s="107">
        <f t="shared" si="31"/>
        <v>1807.44</v>
      </c>
      <c r="D201" s="107">
        <f t="shared" si="31"/>
        <v>1807.44</v>
      </c>
      <c r="E201" s="107">
        <f t="shared" si="31"/>
        <v>1807.44</v>
      </c>
      <c r="F201" s="107">
        <f t="shared" si="31"/>
        <v>1807.44</v>
      </c>
      <c r="G201" s="107">
        <f t="shared" si="31"/>
        <v>2387.08</v>
      </c>
      <c r="H201" s="107">
        <f t="shared" si="31"/>
        <v>1807.44</v>
      </c>
      <c r="I201" s="107">
        <f t="shared" si="31"/>
        <v>1970.1999999999998</v>
      </c>
      <c r="J201" s="107">
        <f t="shared" si="31"/>
        <v>1882.8200000000002</v>
      </c>
      <c r="K201" s="107">
        <f t="shared" si="31"/>
        <v>1888.8200000000002</v>
      </c>
      <c r="L201" s="107">
        <f t="shared" si="31"/>
        <v>1888.8200000000002</v>
      </c>
      <c r="M201" s="107">
        <f t="shared" si="31"/>
        <v>1888.8200000000002</v>
      </c>
      <c r="N201" s="107">
        <v>22703.67</v>
      </c>
    </row>
    <row r="202" spans="1:14">
      <c r="A202" s="64"/>
      <c r="B202" s="22"/>
      <c r="C202" s="22"/>
      <c r="D202" s="22"/>
      <c r="E202" s="22"/>
      <c r="F202" s="22"/>
      <c r="G202" s="22"/>
      <c r="H202" s="22"/>
      <c r="I202" s="22"/>
      <c r="J202" s="22"/>
      <c r="K202" s="22"/>
      <c r="L202" s="22"/>
      <c r="M202" s="22"/>
      <c r="N202" s="22"/>
    </row>
    <row r="203" spans="1:14">
      <c r="A203" s="64" t="s">
        <v>245</v>
      </c>
      <c r="B203" s="22"/>
      <c r="C203" s="22"/>
      <c r="D203" s="22"/>
      <c r="E203" s="22"/>
      <c r="F203" s="22"/>
      <c r="G203" s="22"/>
      <c r="H203" s="22"/>
      <c r="I203" s="22"/>
      <c r="J203" s="22"/>
      <c r="K203" s="22"/>
      <c r="L203" s="22"/>
      <c r="M203" s="22"/>
      <c r="N203" s="22"/>
    </row>
    <row r="204" spans="1:14">
      <c r="A204" s="64" t="s">
        <v>246</v>
      </c>
      <c r="B204" s="107">
        <v>5295.82</v>
      </c>
      <c r="C204" s="107">
        <v>5308.78</v>
      </c>
      <c r="D204" s="107">
        <v>5321.74</v>
      </c>
      <c r="E204" s="107">
        <v>5321.74</v>
      </c>
      <c r="F204" s="107">
        <v>5321.49</v>
      </c>
      <c r="G204" s="107">
        <v>5321.49</v>
      </c>
      <c r="H204" s="107">
        <v>5326.13</v>
      </c>
      <c r="I204" s="107">
        <v>5323.81</v>
      </c>
      <c r="J204" s="107">
        <v>5342.4</v>
      </c>
      <c r="K204" s="107">
        <v>5335.34</v>
      </c>
      <c r="L204" s="107">
        <v>5313.66</v>
      </c>
      <c r="M204" s="107">
        <v>5313.66</v>
      </c>
      <c r="N204" s="107">
        <v>63846.06</v>
      </c>
    </row>
    <row r="205" spans="1:14">
      <c r="A205" s="64" t="s">
        <v>247</v>
      </c>
      <c r="B205" s="107">
        <v>459.45</v>
      </c>
      <c r="C205" s="107">
        <v>470.42</v>
      </c>
      <c r="D205" s="107">
        <v>446.86</v>
      </c>
      <c r="E205" s="107">
        <v>446.86</v>
      </c>
      <c r="F205" s="107">
        <v>446.96</v>
      </c>
      <c r="G205" s="107">
        <v>446.96</v>
      </c>
      <c r="H205" s="107">
        <v>485.66</v>
      </c>
      <c r="I205" s="107">
        <v>472.45</v>
      </c>
      <c r="J205" s="107">
        <v>572.1</v>
      </c>
      <c r="K205" s="107">
        <v>512.30999999999995</v>
      </c>
      <c r="L205" s="107">
        <v>551.66999999999996</v>
      </c>
      <c r="M205" s="107">
        <v>538.27</v>
      </c>
      <c r="N205" s="107">
        <v>5849.97</v>
      </c>
    </row>
    <row r="206" spans="1:14">
      <c r="A206" s="64" t="s">
        <v>248</v>
      </c>
      <c r="B206" s="107">
        <v>1018.61</v>
      </c>
      <c r="C206" s="107">
        <v>1018.61</v>
      </c>
      <c r="D206" s="107">
        <v>1018.61</v>
      </c>
      <c r="E206" s="107">
        <v>1018.61</v>
      </c>
      <c r="F206" s="107">
        <v>985.75</v>
      </c>
      <c r="G206" s="107">
        <v>985.75</v>
      </c>
      <c r="H206" s="107">
        <v>-985.75</v>
      </c>
      <c r="I206" s="22"/>
      <c r="J206" s="22"/>
      <c r="K206" s="22"/>
      <c r="L206" s="22"/>
      <c r="M206" s="22"/>
      <c r="N206" s="107">
        <v>5060.1899999999996</v>
      </c>
    </row>
    <row r="207" spans="1:14">
      <c r="A207" s="64" t="s">
        <v>362</v>
      </c>
      <c r="B207" s="113"/>
      <c r="C207" s="113"/>
      <c r="D207" s="113"/>
      <c r="E207" s="113"/>
      <c r="F207" s="113"/>
      <c r="G207" s="113"/>
      <c r="H207" s="113"/>
      <c r="I207" s="113"/>
      <c r="J207" s="113"/>
      <c r="K207" s="113"/>
      <c r="L207" s="113"/>
      <c r="M207" s="113"/>
      <c r="N207" s="113"/>
    </row>
    <row r="208" spans="1:14">
      <c r="A208" s="64" t="s">
        <v>250</v>
      </c>
      <c r="B208" s="107">
        <f t="shared" ref="B208:M208" si="32">SUM(B202:B207)</f>
        <v>6773.8799999999992</v>
      </c>
      <c r="C208" s="107">
        <f t="shared" si="32"/>
        <v>6797.8099999999995</v>
      </c>
      <c r="D208" s="107">
        <f t="shared" si="32"/>
        <v>6787.2099999999991</v>
      </c>
      <c r="E208" s="107">
        <f t="shared" si="32"/>
        <v>6787.2099999999991</v>
      </c>
      <c r="F208" s="107">
        <f t="shared" si="32"/>
        <v>6754.2</v>
      </c>
      <c r="G208" s="107">
        <f t="shared" si="32"/>
        <v>6754.2</v>
      </c>
      <c r="H208" s="107">
        <f t="shared" si="32"/>
        <v>4826.04</v>
      </c>
      <c r="I208" s="107">
        <f t="shared" si="32"/>
        <v>5796.26</v>
      </c>
      <c r="J208" s="107">
        <f t="shared" si="32"/>
        <v>5914.5</v>
      </c>
      <c r="K208" s="107">
        <f t="shared" si="32"/>
        <v>5847.65</v>
      </c>
      <c r="L208" s="107">
        <f t="shared" si="32"/>
        <v>5865.33</v>
      </c>
      <c r="M208" s="107">
        <f t="shared" si="32"/>
        <v>5851.93</v>
      </c>
      <c r="N208" s="107">
        <v>74756.22</v>
      </c>
    </row>
    <row r="209" spans="1:14">
      <c r="A209" s="64"/>
      <c r="B209" s="22"/>
      <c r="C209" s="22"/>
      <c r="D209" s="22"/>
      <c r="E209" s="22"/>
      <c r="F209" s="22"/>
      <c r="G209" s="22"/>
      <c r="H209" s="22"/>
      <c r="I209" s="22"/>
      <c r="J209" s="22"/>
      <c r="K209" s="22"/>
      <c r="L209" s="22"/>
      <c r="M209" s="22"/>
      <c r="N209" s="22"/>
    </row>
    <row r="210" spans="1:14">
      <c r="A210" s="64" t="s">
        <v>251</v>
      </c>
      <c r="B210" s="22"/>
      <c r="C210" s="22"/>
      <c r="D210" s="22"/>
      <c r="E210" s="22"/>
      <c r="F210" s="22"/>
      <c r="G210" s="22"/>
      <c r="H210" s="22"/>
      <c r="I210" s="22"/>
      <c r="J210" s="22"/>
      <c r="K210" s="22"/>
      <c r="L210" s="22"/>
      <c r="M210" s="22"/>
      <c r="N210" s="22"/>
    </row>
    <row r="211" spans="1:14">
      <c r="A211" s="64" t="s">
        <v>252</v>
      </c>
      <c r="B211" s="107">
        <v>8929</v>
      </c>
      <c r="C211" s="107">
        <v>9318.58</v>
      </c>
      <c r="D211" s="107">
        <v>9318.58</v>
      </c>
      <c r="E211" s="107">
        <v>9318.58</v>
      </c>
      <c r="F211" s="107">
        <v>9318.58</v>
      </c>
      <c r="G211" s="107">
        <v>9318.58</v>
      </c>
      <c r="H211" s="107">
        <v>9318.58</v>
      </c>
      <c r="I211" s="107">
        <v>9318.58</v>
      </c>
      <c r="J211" s="107">
        <v>9318.58</v>
      </c>
      <c r="K211" s="107">
        <v>9318.58</v>
      </c>
      <c r="L211" s="107">
        <v>9318.58</v>
      </c>
      <c r="M211" s="107">
        <v>10166</v>
      </c>
      <c r="N211" s="107">
        <v>112280.8</v>
      </c>
    </row>
    <row r="212" spans="1:14">
      <c r="A212" s="64" t="s">
        <v>253</v>
      </c>
      <c r="B212" s="107">
        <v>60.52</v>
      </c>
      <c r="C212" s="107">
        <v>58.45</v>
      </c>
      <c r="D212" s="107">
        <v>56.38</v>
      </c>
      <c r="E212" s="107">
        <v>48.04</v>
      </c>
      <c r="F212" s="107">
        <v>6.73</v>
      </c>
      <c r="G212" s="107">
        <v>800</v>
      </c>
      <c r="H212" s="107">
        <v>-800</v>
      </c>
      <c r="I212" s="22"/>
      <c r="J212" s="107">
        <v>435.79</v>
      </c>
      <c r="K212" s="107">
        <v>24.37</v>
      </c>
      <c r="L212" s="107">
        <v>24.37</v>
      </c>
      <c r="M212" s="107">
        <v>24.37</v>
      </c>
      <c r="N212" s="107">
        <v>739.02</v>
      </c>
    </row>
    <row r="213" spans="1:14">
      <c r="A213" s="64" t="s">
        <v>254</v>
      </c>
      <c r="B213" s="111">
        <v>51.82</v>
      </c>
      <c r="C213" s="111">
        <v>1742.29</v>
      </c>
      <c r="D213" s="113"/>
      <c r="E213" s="113"/>
      <c r="F213" s="113"/>
      <c r="G213" s="113"/>
      <c r="H213" s="111">
        <v>282.25</v>
      </c>
      <c r="I213" s="111">
        <v>191.54</v>
      </c>
      <c r="J213" s="111">
        <v>44.45</v>
      </c>
      <c r="K213" s="111">
        <v>3751.59</v>
      </c>
      <c r="L213" s="113"/>
      <c r="M213" s="111"/>
      <c r="N213" s="111">
        <v>6063.94</v>
      </c>
    </row>
    <row r="214" spans="1:14">
      <c r="A214" s="64" t="s">
        <v>255</v>
      </c>
      <c r="B214" s="107">
        <f t="shared" ref="B214:M214" si="33">SUM(B209:B213)</f>
        <v>9041.34</v>
      </c>
      <c r="C214" s="107">
        <f t="shared" si="33"/>
        <v>11119.32</v>
      </c>
      <c r="D214" s="107">
        <f t="shared" si="33"/>
        <v>9374.9599999999991</v>
      </c>
      <c r="E214" s="107">
        <f t="shared" si="33"/>
        <v>9366.6200000000008</v>
      </c>
      <c r="F214" s="107">
        <f t="shared" si="33"/>
        <v>9325.31</v>
      </c>
      <c r="G214" s="107">
        <f t="shared" si="33"/>
        <v>10118.58</v>
      </c>
      <c r="H214" s="107">
        <f t="shared" si="33"/>
        <v>8800.83</v>
      </c>
      <c r="I214" s="107">
        <f t="shared" si="33"/>
        <v>9510.1200000000008</v>
      </c>
      <c r="J214" s="107">
        <f t="shared" si="33"/>
        <v>9798.8200000000015</v>
      </c>
      <c r="K214" s="107">
        <f t="shared" si="33"/>
        <v>13094.54</v>
      </c>
      <c r="L214" s="107">
        <f t="shared" si="33"/>
        <v>9342.9500000000007</v>
      </c>
      <c r="M214" s="107">
        <f t="shared" si="33"/>
        <v>10190.370000000001</v>
      </c>
      <c r="N214" s="107">
        <v>119083.76</v>
      </c>
    </row>
    <row r="215" spans="1:14">
      <c r="A215" s="64"/>
      <c r="B215" s="22"/>
      <c r="C215" s="22"/>
      <c r="D215" s="22"/>
      <c r="E215" s="22"/>
      <c r="F215" s="22"/>
      <c r="G215" s="22"/>
      <c r="H215" s="22"/>
      <c r="I215" s="22"/>
      <c r="J215" s="22"/>
      <c r="K215" s="22"/>
      <c r="L215" s="22"/>
      <c r="M215" s="22"/>
      <c r="N215" s="22"/>
    </row>
    <row r="216" spans="1:14">
      <c r="A216" s="64" t="s">
        <v>256</v>
      </c>
      <c r="B216" s="22"/>
      <c r="C216" s="22"/>
      <c r="D216" s="22"/>
      <c r="E216" s="22"/>
      <c r="F216" s="22"/>
      <c r="G216" s="22"/>
      <c r="H216" s="22"/>
      <c r="I216" s="22"/>
      <c r="J216" s="22"/>
      <c r="K216" s="22"/>
      <c r="L216" s="22"/>
      <c r="M216" s="22"/>
      <c r="N216" s="22"/>
    </row>
    <row r="217" spans="1:14">
      <c r="A217" s="64" t="s">
        <v>257</v>
      </c>
      <c r="B217" s="113"/>
      <c r="C217" s="113"/>
      <c r="D217" s="113"/>
      <c r="E217" s="113"/>
      <c r="F217" s="111">
        <v>-1552.76</v>
      </c>
      <c r="G217" s="113"/>
      <c r="H217" s="113"/>
      <c r="I217" s="113"/>
      <c r="J217" s="113"/>
      <c r="K217" s="113"/>
      <c r="L217" s="113"/>
      <c r="M217" s="113"/>
      <c r="N217" s="111">
        <v>-1552.76</v>
      </c>
    </row>
    <row r="218" spans="1:14">
      <c r="A218" s="64" t="s">
        <v>258</v>
      </c>
      <c r="B218" s="107"/>
      <c r="C218" s="107"/>
      <c r="D218" s="107"/>
      <c r="E218" s="107"/>
      <c r="F218" s="107">
        <f>SUM(F215:F217)</f>
        <v>-1552.76</v>
      </c>
      <c r="G218" s="107"/>
      <c r="H218" s="107"/>
      <c r="I218" s="107"/>
      <c r="J218" s="107"/>
      <c r="K218" s="107"/>
      <c r="L218" s="107"/>
      <c r="M218" s="107"/>
      <c r="N218" s="107">
        <v>-1552.76</v>
      </c>
    </row>
    <row r="219" spans="1:14">
      <c r="A219" s="64"/>
      <c r="B219" s="22"/>
      <c r="C219" s="22"/>
      <c r="D219" s="22"/>
      <c r="E219" s="22"/>
      <c r="F219" s="22"/>
      <c r="G219" s="22"/>
      <c r="H219" s="22"/>
      <c r="I219" s="22"/>
      <c r="J219" s="22"/>
      <c r="K219" s="22"/>
      <c r="L219" s="22"/>
      <c r="M219" s="22"/>
      <c r="N219" s="22"/>
    </row>
    <row r="220" spans="1:14" ht="15.75" thickBot="1">
      <c r="A220" s="64" t="s">
        <v>62</v>
      </c>
      <c r="B220" s="112">
        <f t="shared" ref="B220:M220" si="34">SUM(B121:B219)-B130-0-B143-0-B164-B178-B184-B192-0-B201-B208-B214-B218</f>
        <v>75641.709999999977</v>
      </c>
      <c r="C220" s="112">
        <f t="shared" si="34"/>
        <v>80516.549999999988</v>
      </c>
      <c r="D220" s="112">
        <f t="shared" si="34"/>
        <v>77747.379999999976</v>
      </c>
      <c r="E220" s="112">
        <f t="shared" si="34"/>
        <v>80810.679999999906</v>
      </c>
      <c r="F220" s="112">
        <f t="shared" si="34"/>
        <v>81138.159999999989</v>
      </c>
      <c r="G220" s="112">
        <f t="shared" si="34"/>
        <v>75847.749999999985</v>
      </c>
      <c r="H220" s="112">
        <f t="shared" si="34"/>
        <v>78381.039999999994</v>
      </c>
      <c r="I220" s="112">
        <f t="shared" si="34"/>
        <v>81006.770000000062</v>
      </c>
      <c r="J220" s="112">
        <f t="shared" si="34"/>
        <v>79996.87</v>
      </c>
      <c r="K220" s="112">
        <f t="shared" si="34"/>
        <v>86531.22</v>
      </c>
      <c r="L220" s="112">
        <f t="shared" si="34"/>
        <v>78059.259999999995</v>
      </c>
      <c r="M220" s="112">
        <f t="shared" si="34"/>
        <v>78953.779999999941</v>
      </c>
      <c r="N220" s="112">
        <v>954631.17</v>
      </c>
    </row>
    <row r="221" spans="1:14" ht="15.75" thickTop="1">
      <c r="A221" s="64"/>
      <c r="B221" s="22"/>
      <c r="C221" s="22"/>
      <c r="D221" s="22"/>
      <c r="E221" s="22"/>
      <c r="F221" s="22"/>
      <c r="G221" s="22"/>
      <c r="H221" s="22"/>
      <c r="I221" s="22"/>
      <c r="J221" s="22"/>
      <c r="K221" s="22"/>
      <c r="L221" s="22"/>
      <c r="M221" s="22"/>
      <c r="N221" s="22"/>
    </row>
    <row r="222" spans="1:14" ht="15.75" thickBot="1">
      <c r="A222" s="64" t="s">
        <v>259</v>
      </c>
      <c r="B222" s="112">
        <f t="shared" ref="B222:M222" si="35">+B118-B220</f>
        <v>16333.309999999983</v>
      </c>
      <c r="C222" s="112">
        <f t="shared" si="35"/>
        <v>5992.1599999999889</v>
      </c>
      <c r="D222" s="112">
        <f t="shared" si="35"/>
        <v>12458.540000000052</v>
      </c>
      <c r="E222" s="112">
        <f t="shared" si="35"/>
        <v>11610.700000000114</v>
      </c>
      <c r="F222" s="112">
        <f t="shared" si="35"/>
        <v>14525.399999999921</v>
      </c>
      <c r="G222" s="112">
        <f t="shared" si="35"/>
        <v>13269.890000000029</v>
      </c>
      <c r="H222" s="112">
        <f t="shared" si="35"/>
        <v>8245.4599999999336</v>
      </c>
      <c r="I222" s="112">
        <f t="shared" si="35"/>
        <v>12852.199999999924</v>
      </c>
      <c r="J222" s="112">
        <f t="shared" si="35"/>
        <v>16201.840000000084</v>
      </c>
      <c r="K222" s="112">
        <f t="shared" si="35"/>
        <v>16690.890000000043</v>
      </c>
      <c r="L222" s="112">
        <f t="shared" si="35"/>
        <v>9529.9900000000198</v>
      </c>
      <c r="M222" s="112">
        <f t="shared" si="35"/>
        <v>9254.6700000000274</v>
      </c>
      <c r="N222" s="112">
        <v>146965.04999999999</v>
      </c>
    </row>
    <row r="223" spans="1:14" ht="15.75" thickTop="1">
      <c r="A223" s="64"/>
      <c r="B223" s="22"/>
      <c r="C223" s="22"/>
      <c r="D223" s="22"/>
      <c r="E223" s="22"/>
      <c r="F223" s="22"/>
      <c r="G223" s="22"/>
      <c r="H223" s="22"/>
      <c r="I223" s="22"/>
      <c r="J223" s="22"/>
      <c r="K223" s="22"/>
      <c r="L223" s="22"/>
      <c r="M223" s="22"/>
      <c r="N223" s="22"/>
    </row>
    <row r="224" spans="1:14">
      <c r="A224" s="64" t="s">
        <v>351</v>
      </c>
      <c r="B224" s="107">
        <v>1359.67</v>
      </c>
      <c r="C224" s="107">
        <v>1370.42</v>
      </c>
      <c r="D224" s="107">
        <v>1868.76</v>
      </c>
      <c r="E224" s="107">
        <v>1955.84</v>
      </c>
      <c r="F224" s="107">
        <v>3473.28</v>
      </c>
      <c r="G224" s="107">
        <v>2381.5100000000002</v>
      </c>
      <c r="H224" s="107">
        <v>935.9</v>
      </c>
      <c r="I224" s="107">
        <v>870.98</v>
      </c>
      <c r="J224" s="107">
        <v>1805.68</v>
      </c>
      <c r="K224" s="107">
        <v>1959.18</v>
      </c>
      <c r="L224" s="107">
        <v>1362.65</v>
      </c>
      <c r="M224" s="107">
        <v>2192.1999999999998</v>
      </c>
      <c r="N224" s="107">
        <v>21536.07</v>
      </c>
    </row>
    <row r="225" spans="1:14">
      <c r="A225" s="64" t="s">
        <v>364</v>
      </c>
      <c r="B225" s="113"/>
      <c r="C225" s="113"/>
      <c r="D225" s="113"/>
      <c r="E225" s="113"/>
      <c r="F225" s="111">
        <v>27042</v>
      </c>
      <c r="G225" s="113"/>
      <c r="H225" s="113"/>
      <c r="I225" s="113"/>
      <c r="J225" s="113"/>
      <c r="K225" s="113"/>
      <c r="L225" s="113"/>
      <c r="M225" s="113"/>
      <c r="N225" s="111">
        <v>27042</v>
      </c>
    </row>
    <row r="226" spans="1:14">
      <c r="A226" s="64" t="s">
        <v>64</v>
      </c>
      <c r="B226" s="107">
        <f t="shared" ref="B226:M226" si="36">SUM(B223:B225)</f>
        <v>1359.67</v>
      </c>
      <c r="C226" s="107">
        <f t="shared" si="36"/>
        <v>1370.42</v>
      </c>
      <c r="D226" s="107">
        <f t="shared" si="36"/>
        <v>1868.76</v>
      </c>
      <c r="E226" s="107">
        <f t="shared" si="36"/>
        <v>1955.84</v>
      </c>
      <c r="F226" s="107">
        <f t="shared" si="36"/>
        <v>30515.279999999999</v>
      </c>
      <c r="G226" s="107">
        <f t="shared" si="36"/>
        <v>2381.5100000000002</v>
      </c>
      <c r="H226" s="107">
        <f t="shared" si="36"/>
        <v>935.9</v>
      </c>
      <c r="I226" s="107">
        <f t="shared" si="36"/>
        <v>870.98</v>
      </c>
      <c r="J226" s="107">
        <f t="shared" si="36"/>
        <v>1805.68</v>
      </c>
      <c r="K226" s="107">
        <f t="shared" si="36"/>
        <v>1959.18</v>
      </c>
      <c r="L226" s="107">
        <f t="shared" si="36"/>
        <v>1362.65</v>
      </c>
      <c r="M226" s="107">
        <f t="shared" si="36"/>
        <v>2192.1999999999998</v>
      </c>
      <c r="N226" s="107">
        <v>48578.07</v>
      </c>
    </row>
    <row r="227" spans="1:14">
      <c r="A227" s="64"/>
      <c r="B227" s="22"/>
      <c r="C227" s="22"/>
      <c r="D227" s="22"/>
      <c r="E227" s="22"/>
      <c r="F227" s="22"/>
      <c r="G227" s="22"/>
      <c r="H227" s="22"/>
      <c r="I227" s="22"/>
      <c r="J227" s="22"/>
      <c r="K227" s="22"/>
      <c r="L227" s="22"/>
      <c r="M227" s="22"/>
      <c r="N227" s="22"/>
    </row>
    <row r="228" spans="1:14" ht="15.75" thickBot="1">
      <c r="A228" s="64" t="s">
        <v>22</v>
      </c>
      <c r="B228" s="112">
        <f t="shared" ref="B228:M228" si="37">+B222-B226</f>
        <v>14973.639999999983</v>
      </c>
      <c r="C228" s="112">
        <f t="shared" si="37"/>
        <v>4621.7399999999889</v>
      </c>
      <c r="D228" s="112">
        <f t="shared" si="37"/>
        <v>10589.780000000052</v>
      </c>
      <c r="E228" s="112">
        <f t="shared" si="37"/>
        <v>9654.8600000001134</v>
      </c>
      <c r="F228" s="112">
        <f t="shared" si="37"/>
        <v>-15989.880000000077</v>
      </c>
      <c r="G228" s="112">
        <f t="shared" si="37"/>
        <v>10888.380000000028</v>
      </c>
      <c r="H228" s="112">
        <f t="shared" si="37"/>
        <v>7309.559999999934</v>
      </c>
      <c r="I228" s="112">
        <f t="shared" si="37"/>
        <v>11981.219999999925</v>
      </c>
      <c r="J228" s="112">
        <f t="shared" si="37"/>
        <v>14396.160000000084</v>
      </c>
      <c r="K228" s="112">
        <f t="shared" si="37"/>
        <v>14731.710000000043</v>
      </c>
      <c r="L228" s="112">
        <f t="shared" si="37"/>
        <v>8167.3400000000202</v>
      </c>
      <c r="M228" s="112">
        <f t="shared" si="37"/>
        <v>7062.4700000000275</v>
      </c>
      <c r="N228" s="112">
        <v>98386.98</v>
      </c>
    </row>
    <row r="229" spans="1:14" ht="15.75" thickTop="1">
      <c r="A229" s="64"/>
      <c r="B229" s="22"/>
      <c r="C229" s="22"/>
      <c r="D229" s="22"/>
      <c r="E229" s="22"/>
      <c r="F229" s="22"/>
      <c r="G229" s="22"/>
      <c r="H229" s="22"/>
      <c r="I229" s="22"/>
      <c r="J229" s="22"/>
      <c r="K229" s="22"/>
      <c r="L229" s="22"/>
      <c r="M229" s="22"/>
      <c r="N229" s="22"/>
    </row>
    <row r="230" spans="1:14">
      <c r="A230" s="64"/>
      <c r="B230" s="22"/>
      <c r="C230" s="22"/>
      <c r="D230" s="22"/>
      <c r="E230" s="22"/>
      <c r="F230" s="22"/>
      <c r="G230" s="22"/>
      <c r="H230" s="22"/>
      <c r="I230" s="22"/>
      <c r="J230" s="22"/>
      <c r="K230" s="22"/>
      <c r="L230" s="22"/>
      <c r="M230" s="22"/>
      <c r="N230" s="22"/>
    </row>
    <row r="231" spans="1:14">
      <c r="A231" s="64" t="s">
        <v>260</v>
      </c>
      <c r="B231" s="22"/>
      <c r="C231" s="22"/>
      <c r="D231" s="22"/>
      <c r="E231" s="22"/>
      <c r="F231" s="22"/>
      <c r="G231" s="22"/>
      <c r="H231" s="22"/>
      <c r="I231" s="22"/>
      <c r="J231" s="22"/>
      <c r="K231" s="22"/>
      <c r="L231" s="22"/>
      <c r="M231" s="22"/>
      <c r="N231" s="22"/>
    </row>
    <row r="232" spans="1:14">
      <c r="A232" s="64"/>
      <c r="B232" s="22"/>
      <c r="C232" s="22"/>
      <c r="D232" s="22"/>
      <c r="E232" s="22"/>
      <c r="F232" s="22"/>
      <c r="G232" s="22"/>
      <c r="H232" s="22"/>
      <c r="I232" s="22"/>
      <c r="J232" s="22"/>
      <c r="K232" s="22"/>
      <c r="L232" s="22"/>
      <c r="M232" s="22"/>
      <c r="N232" s="22"/>
    </row>
    <row r="233" spans="1:14">
      <c r="A233" s="64" t="s">
        <v>19</v>
      </c>
      <c r="B233" s="113"/>
      <c r="C233" s="113"/>
      <c r="D233" s="113"/>
      <c r="E233" s="113"/>
      <c r="F233" s="113"/>
      <c r="G233" s="113"/>
      <c r="H233" s="113"/>
      <c r="I233" s="113"/>
      <c r="J233" s="113"/>
      <c r="K233" s="113"/>
      <c r="L233" s="113"/>
      <c r="M233" s="113"/>
      <c r="N233" s="113"/>
    </row>
    <row r="234" spans="1:14">
      <c r="A234" s="64" t="s">
        <v>85</v>
      </c>
      <c r="B234" s="107"/>
      <c r="C234" s="107"/>
      <c r="D234" s="107"/>
      <c r="E234" s="107"/>
      <c r="F234" s="107"/>
      <c r="G234" s="107"/>
      <c r="H234" s="107"/>
      <c r="I234" s="107"/>
      <c r="J234" s="107"/>
      <c r="K234" s="107"/>
      <c r="L234" s="107"/>
      <c r="M234" s="107"/>
      <c r="N234" s="107"/>
    </row>
    <row r="235" spans="1:14">
      <c r="A235" s="64"/>
      <c r="B235" s="22"/>
      <c r="C235" s="22"/>
      <c r="D235" s="22"/>
      <c r="E235" s="22"/>
      <c r="F235" s="22"/>
      <c r="G235" s="22"/>
      <c r="H235" s="22"/>
      <c r="I235" s="22"/>
      <c r="J235" s="22"/>
      <c r="K235" s="22"/>
      <c r="L235" s="22"/>
      <c r="M235" s="22"/>
      <c r="N235" s="22"/>
    </row>
    <row r="236" spans="1:14">
      <c r="A236" s="64" t="s">
        <v>20</v>
      </c>
      <c r="B236" s="113"/>
      <c r="C236" s="113"/>
      <c r="D236" s="113"/>
      <c r="E236" s="113"/>
      <c r="F236" s="113"/>
      <c r="G236" s="113"/>
      <c r="H236" s="113"/>
      <c r="I236" s="113"/>
      <c r="J236" s="113"/>
      <c r="K236" s="113"/>
      <c r="L236" s="113"/>
      <c r="M236" s="113"/>
      <c r="N236" s="113"/>
    </row>
    <row r="237" spans="1:14">
      <c r="A237" s="64" t="s">
        <v>262</v>
      </c>
      <c r="B237" s="107"/>
      <c r="C237" s="107"/>
      <c r="D237" s="107"/>
      <c r="E237" s="107"/>
      <c r="F237" s="107"/>
      <c r="G237" s="107"/>
      <c r="H237" s="107"/>
      <c r="I237" s="107"/>
      <c r="J237" s="107"/>
      <c r="K237" s="107"/>
      <c r="L237" s="107"/>
      <c r="M237" s="107"/>
      <c r="N237" s="107"/>
    </row>
    <row r="238" spans="1:14">
      <c r="A238" s="64"/>
      <c r="B238" s="22"/>
      <c r="C238" s="22"/>
      <c r="D238" s="22"/>
      <c r="E238" s="22"/>
      <c r="F238" s="22"/>
      <c r="G238" s="22"/>
      <c r="H238" s="22"/>
      <c r="I238" s="22"/>
      <c r="J238" s="22"/>
      <c r="K238" s="22"/>
      <c r="L238" s="22"/>
      <c r="M238" s="22"/>
      <c r="N238" s="22"/>
    </row>
    <row r="239" spans="1:14">
      <c r="A239" s="64" t="s">
        <v>263</v>
      </c>
      <c r="B239" s="113"/>
      <c r="C239" s="113"/>
      <c r="D239" s="113"/>
      <c r="E239" s="113"/>
      <c r="F239" s="113"/>
      <c r="G239" s="113"/>
      <c r="H239" s="113"/>
      <c r="I239" s="113"/>
      <c r="J239" s="113"/>
      <c r="K239" s="113"/>
      <c r="L239" s="113"/>
      <c r="M239" s="113"/>
      <c r="N239" s="113"/>
    </row>
    <row r="240" spans="1:14">
      <c r="A240" s="64" t="s">
        <v>264</v>
      </c>
      <c r="B240" s="107"/>
      <c r="C240" s="107"/>
      <c r="D240" s="107"/>
      <c r="E240" s="107"/>
      <c r="F240" s="107"/>
      <c r="G240" s="107"/>
      <c r="H240" s="107"/>
      <c r="I240" s="107"/>
      <c r="J240" s="107"/>
      <c r="K240" s="107"/>
      <c r="L240" s="107"/>
      <c r="M240" s="107"/>
      <c r="N240" s="107"/>
    </row>
    <row r="241" spans="1:14">
      <c r="A241" s="64"/>
      <c r="B241" s="22"/>
      <c r="C241" s="22"/>
      <c r="D241" s="22"/>
      <c r="E241" s="22"/>
      <c r="F241" s="22"/>
      <c r="G241" s="22"/>
      <c r="H241" s="22"/>
      <c r="I241" s="22"/>
      <c r="J241" s="22"/>
      <c r="K241" s="22"/>
      <c r="L241" s="22"/>
      <c r="M241" s="22"/>
      <c r="N241" s="22"/>
    </row>
    <row r="242" spans="1:14">
      <c r="A242" s="64" t="s">
        <v>265</v>
      </c>
      <c r="B242" s="113"/>
      <c r="C242" s="113"/>
      <c r="D242" s="113"/>
      <c r="E242" s="113"/>
      <c r="F242" s="113"/>
      <c r="G242" s="113"/>
      <c r="H242" s="113"/>
      <c r="I242" s="113"/>
      <c r="J242" s="113"/>
      <c r="K242" s="113"/>
      <c r="L242" s="113"/>
      <c r="M242" s="113"/>
      <c r="N242" s="113"/>
    </row>
    <row r="243" spans="1:14">
      <c r="A243" s="64" t="s">
        <v>319</v>
      </c>
      <c r="B243" s="107"/>
      <c r="C243" s="107"/>
      <c r="D243" s="107"/>
      <c r="E243" s="107"/>
      <c r="F243" s="107"/>
      <c r="G243" s="107"/>
      <c r="H243" s="107"/>
      <c r="I243" s="107"/>
      <c r="J243" s="107"/>
      <c r="K243" s="107"/>
      <c r="L243" s="107"/>
      <c r="M243" s="107"/>
      <c r="N243" s="107"/>
    </row>
    <row r="244" spans="1:14">
      <c r="A244" s="64"/>
      <c r="B244" s="22"/>
      <c r="C244" s="22"/>
      <c r="D244" s="22"/>
      <c r="E244" s="22"/>
      <c r="F244" s="22"/>
      <c r="G244" s="22"/>
      <c r="H244" s="22"/>
      <c r="I244" s="22"/>
      <c r="J244" s="22"/>
      <c r="K244" s="22"/>
      <c r="L244" s="22"/>
      <c r="M244" s="22"/>
      <c r="N244" s="22"/>
    </row>
    <row r="245" spans="1:14">
      <c r="A245" s="64" t="s">
        <v>106</v>
      </c>
      <c r="B245" s="113"/>
      <c r="C245" s="113"/>
      <c r="D245" s="113"/>
      <c r="E245" s="113"/>
      <c r="F245" s="113"/>
      <c r="G245" s="113"/>
      <c r="H245" s="113"/>
      <c r="I245" s="113"/>
      <c r="J245" s="113"/>
      <c r="K245" s="113"/>
      <c r="L245" s="113"/>
      <c r="M245" s="113"/>
      <c r="N245" s="113"/>
    </row>
    <row r="246" spans="1:14">
      <c r="A246" s="64" t="s">
        <v>116</v>
      </c>
      <c r="B246" s="107"/>
      <c r="C246" s="107"/>
      <c r="D246" s="107"/>
      <c r="E246" s="107"/>
      <c r="F246" s="107"/>
      <c r="G246" s="107"/>
      <c r="H246" s="107"/>
      <c r="I246" s="107"/>
      <c r="J246" s="107"/>
      <c r="K246" s="107"/>
      <c r="L246" s="107"/>
      <c r="M246" s="107"/>
      <c r="N246" s="107"/>
    </row>
    <row r="247" spans="1:14">
      <c r="A247" s="64"/>
      <c r="B247" s="22"/>
      <c r="C247" s="22"/>
      <c r="D247" s="22"/>
      <c r="E247" s="22"/>
      <c r="F247" s="22"/>
      <c r="G247" s="22"/>
      <c r="H247" s="22"/>
      <c r="I247" s="22"/>
      <c r="J247" s="22"/>
      <c r="K247" s="22"/>
      <c r="L247" s="22"/>
      <c r="M247" s="22"/>
      <c r="N247" s="22"/>
    </row>
    <row r="248" spans="1:14">
      <c r="A248" s="64" t="s">
        <v>117</v>
      </c>
      <c r="B248" s="22"/>
      <c r="C248" s="22"/>
      <c r="D248" s="22"/>
      <c r="E248" s="22"/>
      <c r="F248" s="22"/>
      <c r="G248" s="22"/>
      <c r="H248" s="22"/>
      <c r="I248" s="22"/>
      <c r="J248" s="22"/>
      <c r="K248" s="22"/>
      <c r="L248" s="22"/>
      <c r="M248" s="22"/>
      <c r="N248" s="22"/>
    </row>
    <row r="249" spans="1:14">
      <c r="A249" s="64" t="s">
        <v>66</v>
      </c>
      <c r="B249" s="111">
        <v>989</v>
      </c>
      <c r="C249" s="111">
        <v>907</v>
      </c>
      <c r="D249" s="111">
        <v>988</v>
      </c>
      <c r="E249" s="111">
        <v>985</v>
      </c>
      <c r="F249" s="111">
        <v>1040</v>
      </c>
      <c r="G249" s="111">
        <v>991</v>
      </c>
      <c r="H249" s="111">
        <v>811</v>
      </c>
      <c r="I249" s="111">
        <v>970</v>
      </c>
      <c r="J249" s="111">
        <v>960</v>
      </c>
      <c r="K249" s="111">
        <v>1004</v>
      </c>
      <c r="L249" s="111">
        <v>938</v>
      </c>
      <c r="M249" s="111">
        <v>931</v>
      </c>
      <c r="N249" s="111">
        <v>11514</v>
      </c>
    </row>
    <row r="250" spans="1:14">
      <c r="A250" s="64" t="s">
        <v>127</v>
      </c>
      <c r="B250" s="107">
        <f t="shared" ref="B250:M250" si="38">SUM(B247:B249)</f>
        <v>989</v>
      </c>
      <c r="C250" s="107">
        <f t="shared" si="38"/>
        <v>907</v>
      </c>
      <c r="D250" s="107">
        <f t="shared" si="38"/>
        <v>988</v>
      </c>
      <c r="E250" s="107">
        <f t="shared" si="38"/>
        <v>985</v>
      </c>
      <c r="F250" s="107">
        <f t="shared" si="38"/>
        <v>1040</v>
      </c>
      <c r="G250" s="107">
        <f t="shared" si="38"/>
        <v>991</v>
      </c>
      <c r="H250" s="107">
        <f t="shared" si="38"/>
        <v>811</v>
      </c>
      <c r="I250" s="107">
        <f t="shared" si="38"/>
        <v>970</v>
      </c>
      <c r="J250" s="107">
        <f t="shared" si="38"/>
        <v>960</v>
      </c>
      <c r="K250" s="107">
        <f t="shared" si="38"/>
        <v>1004</v>
      </c>
      <c r="L250" s="107">
        <f t="shared" si="38"/>
        <v>938</v>
      </c>
      <c r="M250" s="107">
        <f t="shared" si="38"/>
        <v>931</v>
      </c>
      <c r="N250" s="107">
        <v>11514</v>
      </c>
    </row>
    <row r="251" spans="1:14">
      <c r="A251" s="64"/>
      <c r="B251" s="22"/>
      <c r="C251" s="22"/>
      <c r="D251" s="22"/>
      <c r="E251" s="22"/>
      <c r="F251" s="22"/>
      <c r="G251" s="22"/>
      <c r="H251" s="22"/>
      <c r="I251" s="22"/>
      <c r="J251" s="22"/>
      <c r="K251" s="22"/>
      <c r="L251" s="22"/>
      <c r="M251" s="22"/>
      <c r="N251" s="22"/>
    </row>
    <row r="252" spans="1:14" ht="15.75" thickBot="1">
      <c r="A252" s="64" t="s">
        <v>266</v>
      </c>
      <c r="B252" s="112">
        <f t="shared" ref="B252:M252" si="39">SUM(B231:B251)-B234-B237-B240-B243-B246-B250</f>
        <v>989</v>
      </c>
      <c r="C252" s="112">
        <f t="shared" si="39"/>
        <v>907</v>
      </c>
      <c r="D252" s="112">
        <f t="shared" si="39"/>
        <v>988</v>
      </c>
      <c r="E252" s="112">
        <f t="shared" si="39"/>
        <v>985</v>
      </c>
      <c r="F252" s="112">
        <f t="shared" si="39"/>
        <v>1040</v>
      </c>
      <c r="G252" s="112">
        <f t="shared" si="39"/>
        <v>991</v>
      </c>
      <c r="H252" s="112">
        <f t="shared" si="39"/>
        <v>811</v>
      </c>
      <c r="I252" s="112">
        <f t="shared" si="39"/>
        <v>970</v>
      </c>
      <c r="J252" s="112">
        <f t="shared" si="39"/>
        <v>960</v>
      </c>
      <c r="K252" s="112">
        <f t="shared" si="39"/>
        <v>1004</v>
      </c>
      <c r="L252" s="112">
        <f t="shared" si="39"/>
        <v>938</v>
      </c>
      <c r="M252" s="112">
        <f t="shared" si="39"/>
        <v>931</v>
      </c>
      <c r="N252" s="112">
        <v>11514</v>
      </c>
    </row>
    <row r="253" spans="1:14" ht="15.75" thickTop="1">
      <c r="A253" s="64"/>
      <c r="B253" s="22"/>
      <c r="C253" s="22"/>
      <c r="D253" s="22"/>
      <c r="E253" s="22"/>
      <c r="F253" s="22"/>
      <c r="G253" s="22"/>
      <c r="H253" s="22"/>
      <c r="I253" s="22"/>
      <c r="J253" s="22"/>
      <c r="K253" s="22"/>
      <c r="L253" s="22"/>
      <c r="M253" s="22"/>
      <c r="N253" s="22"/>
    </row>
    <row r="254" spans="1:14" hidden="1">
      <c r="A254" s="64"/>
      <c r="B254" s="107">
        <v>-14973.64</v>
      </c>
      <c r="C254" s="107">
        <v>-4621.74</v>
      </c>
      <c r="D254" s="107">
        <v>-10589.78</v>
      </c>
      <c r="E254" s="107">
        <v>-9654.86</v>
      </c>
      <c r="F254" s="107">
        <v>15989.88</v>
      </c>
      <c r="G254" s="107">
        <v>-10888.38</v>
      </c>
      <c r="H254" s="107">
        <v>-7309.56</v>
      </c>
      <c r="I254" s="107">
        <v>-11981.22</v>
      </c>
      <c r="J254" s="107">
        <v>-14396.16</v>
      </c>
      <c r="K254" s="107">
        <v>-14731.71</v>
      </c>
      <c r="L254" s="107">
        <v>-8167.34</v>
      </c>
      <c r="M254" s="107">
        <v>-7062.47</v>
      </c>
      <c r="N254" s="107">
        <v>-98386.98</v>
      </c>
    </row>
    <row r="255" spans="1:14">
      <c r="A255" s="64"/>
      <c r="B255" s="22"/>
      <c r="C255" s="22"/>
      <c r="D255" s="22"/>
      <c r="E255" s="22"/>
      <c r="F255" s="22"/>
      <c r="G255" s="22"/>
      <c r="H255" s="22"/>
      <c r="I255" s="22"/>
      <c r="J255" s="22"/>
      <c r="K255" s="22"/>
      <c r="L255" s="22"/>
      <c r="M255" s="22"/>
      <c r="N255" s="22"/>
    </row>
    <row r="256" spans="1:14" hidden="1">
      <c r="A256" s="64" t="s">
        <v>267</v>
      </c>
      <c r="B256" s="107">
        <f t="shared" ref="B256:M256" si="40">0+0+0+0+B249</f>
        <v>989</v>
      </c>
      <c r="C256" s="107">
        <f t="shared" si="40"/>
        <v>907</v>
      </c>
      <c r="D256" s="107">
        <f t="shared" si="40"/>
        <v>988</v>
      </c>
      <c r="E256" s="107">
        <f t="shared" si="40"/>
        <v>985</v>
      </c>
      <c r="F256" s="107">
        <f t="shared" si="40"/>
        <v>1040</v>
      </c>
      <c r="G256" s="107">
        <f t="shared" si="40"/>
        <v>991</v>
      </c>
      <c r="H256" s="107">
        <f t="shared" si="40"/>
        <v>811</v>
      </c>
      <c r="I256" s="107">
        <f t="shared" si="40"/>
        <v>970</v>
      </c>
      <c r="J256" s="107">
        <f t="shared" si="40"/>
        <v>960</v>
      </c>
      <c r="K256" s="107">
        <f t="shared" si="40"/>
        <v>1004</v>
      </c>
      <c r="L256" s="107">
        <f t="shared" si="40"/>
        <v>938</v>
      </c>
      <c r="M256" s="107">
        <f t="shared" si="40"/>
        <v>931</v>
      </c>
      <c r="N256" s="107">
        <v>11514</v>
      </c>
    </row>
    <row r="257" spans="1:14">
      <c r="A257" s="64"/>
      <c r="B257" s="22"/>
      <c r="C257" s="22"/>
      <c r="D257" s="22"/>
      <c r="E257" s="22"/>
      <c r="F257" s="22"/>
      <c r="G257" s="22"/>
      <c r="H257" s="22"/>
      <c r="I257" s="22"/>
      <c r="J257" s="22"/>
      <c r="K257" s="22"/>
      <c r="L257" s="22"/>
      <c r="M257" s="22"/>
      <c r="N257" s="22"/>
    </row>
  </sheetData>
  <pageMargins left="0.75" right="0.75" top="0.75" bottom="0.75" header="0.03" footer="0.03"/>
  <pageSetup scale="46" fitToHeight="0" pageOrder="overThenDown" orientation="landscape" r:id="rId1"/>
  <headerFooter>
    <oddHeader>&amp;L&amp;C&amp;"Arial,Regular"&amp;9&amp;K000000Gulf Pointe Village 
Trailing 12 Months&amp;R</oddHeader>
  </headerFooter>
  <rowBreaks count="1" manualBreakCount="1">
    <brk id="44" max="16383" man="1"/>
  </rowBreaks>
  <customProperties>
    <customPr name="EpmWorksheetKeyString_GUID" r:id="rId2"/>
  </customProperties>
  <drawing r:id="rId3"/>
  <legacyDrawing r:id="rId4"/>
  <controls>
    <mc:AlternateContent xmlns:mc="http://schemas.openxmlformats.org/markup-compatibility/2006">
      <mc:Choice Requires="x14">
        <control shapeId="23553"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23553" r:id="rId5" name="FPMExcelClientSheetOptionstb1"/>
      </mc:Fallback>
    </mc:AlternateContent>
  </control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N365"/>
  <sheetViews>
    <sheetView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B335</f>
        <v>963</v>
      </c>
      <c r="C4" s="110">
        <f t="shared" si="0"/>
        <v>1009</v>
      </c>
      <c r="D4" s="110">
        <f t="shared" si="0"/>
        <v>1065</v>
      </c>
      <c r="E4" s="110">
        <f t="shared" si="0"/>
        <v>1050</v>
      </c>
      <c r="F4" s="110">
        <f t="shared" si="0"/>
        <v>1032</v>
      </c>
      <c r="G4" s="110">
        <f t="shared" si="0"/>
        <v>875</v>
      </c>
      <c r="H4" s="110">
        <f t="shared" si="0"/>
        <v>816</v>
      </c>
      <c r="I4" s="110">
        <f t="shared" si="0"/>
        <v>1003</v>
      </c>
      <c r="J4" s="110">
        <f t="shared" si="0"/>
        <v>1022</v>
      </c>
      <c r="K4" s="110">
        <f t="shared" si="0"/>
        <v>1010</v>
      </c>
      <c r="L4" s="110">
        <f t="shared" si="0"/>
        <v>963</v>
      </c>
      <c r="M4" s="110">
        <f t="shared" si="0"/>
        <v>1072</v>
      </c>
      <c r="N4" s="110">
        <v>11880</v>
      </c>
    </row>
    <row r="5" spans="1:14">
      <c r="A5" s="64" t="s">
        <v>35</v>
      </c>
      <c r="B5" s="107">
        <f t="shared" ref="B5:M5" si="1">B339</f>
        <v>63</v>
      </c>
      <c r="C5" s="107">
        <f t="shared" si="1"/>
        <v>87</v>
      </c>
      <c r="D5" s="107">
        <f t="shared" si="1"/>
        <v>69</v>
      </c>
      <c r="E5" s="107">
        <f t="shared" si="1"/>
        <v>60</v>
      </c>
      <c r="F5" s="107">
        <f t="shared" si="1"/>
        <v>62</v>
      </c>
      <c r="G5" s="107">
        <f t="shared" si="1"/>
        <v>52</v>
      </c>
      <c r="H5" s="107">
        <f t="shared" si="1"/>
        <v>44</v>
      </c>
      <c r="I5" s="107">
        <f t="shared" si="1"/>
        <v>62</v>
      </c>
      <c r="J5" s="107">
        <f t="shared" si="1"/>
        <v>63</v>
      </c>
      <c r="K5" s="107">
        <f t="shared" si="1"/>
        <v>91</v>
      </c>
      <c r="L5" s="107">
        <f t="shared" si="1"/>
        <v>90</v>
      </c>
      <c r="M5" s="107">
        <f t="shared" si="1"/>
        <v>123</v>
      </c>
      <c r="N5" s="107">
        <v>866</v>
      </c>
    </row>
    <row r="6" spans="1:14">
      <c r="A6" s="64" t="s">
        <v>36</v>
      </c>
      <c r="B6" s="107">
        <f t="shared" ref="B6:M6" si="2">B344</f>
        <v>176</v>
      </c>
      <c r="C6" s="107">
        <f t="shared" si="2"/>
        <v>196</v>
      </c>
      <c r="D6" s="107">
        <f t="shared" si="2"/>
        <v>183</v>
      </c>
      <c r="E6" s="107">
        <f t="shared" si="2"/>
        <v>148</v>
      </c>
      <c r="F6" s="107">
        <f t="shared" si="2"/>
        <v>121</v>
      </c>
      <c r="G6" s="107">
        <f t="shared" si="2"/>
        <v>361</v>
      </c>
      <c r="H6" s="107">
        <f t="shared" si="2"/>
        <v>283</v>
      </c>
      <c r="I6" s="107">
        <f t="shared" si="2"/>
        <v>225</v>
      </c>
      <c r="J6" s="107">
        <f t="shared" si="2"/>
        <v>181</v>
      </c>
      <c r="K6" s="107">
        <f t="shared" si="2"/>
        <v>96</v>
      </c>
      <c r="L6" s="107">
        <f t="shared" si="2"/>
        <v>158</v>
      </c>
      <c r="M6" s="107">
        <f t="shared" si="2"/>
        <v>179</v>
      </c>
      <c r="N6" s="107">
        <v>2307</v>
      </c>
    </row>
    <row r="7" spans="1:14">
      <c r="A7" s="64" t="s">
        <v>37</v>
      </c>
      <c r="B7" s="107">
        <f t="shared" ref="B7:M7" si="3">B352</f>
        <v>173</v>
      </c>
      <c r="C7" s="107">
        <f t="shared" si="3"/>
        <v>183</v>
      </c>
      <c r="D7" s="107">
        <f t="shared" si="3"/>
        <v>142</v>
      </c>
      <c r="E7" s="107">
        <f t="shared" si="3"/>
        <v>78</v>
      </c>
      <c r="F7" s="107">
        <f t="shared" si="3"/>
        <v>75</v>
      </c>
      <c r="G7" s="107">
        <f t="shared" si="3"/>
        <v>92</v>
      </c>
      <c r="H7" s="107">
        <f t="shared" si="3"/>
        <v>103</v>
      </c>
      <c r="I7" s="107">
        <f t="shared" si="3"/>
        <v>99</v>
      </c>
      <c r="J7" s="107">
        <f t="shared" si="3"/>
        <v>117</v>
      </c>
      <c r="K7" s="107">
        <f t="shared" si="3"/>
        <v>169</v>
      </c>
      <c r="L7" s="107">
        <f t="shared" si="3"/>
        <v>183</v>
      </c>
      <c r="M7" s="107">
        <f t="shared" si="3"/>
        <v>150</v>
      </c>
      <c r="N7" s="107">
        <v>1564</v>
      </c>
    </row>
    <row r="8" spans="1:14">
      <c r="A8" s="64" t="s">
        <v>38</v>
      </c>
      <c r="B8" s="111">
        <f t="shared" ref="B8:M8" si="4">B357</f>
        <v>709</v>
      </c>
      <c r="C8" s="111">
        <f t="shared" si="4"/>
        <v>669</v>
      </c>
      <c r="D8" s="111">
        <f t="shared" si="4"/>
        <v>714</v>
      </c>
      <c r="E8" s="111">
        <f t="shared" si="4"/>
        <v>696</v>
      </c>
      <c r="F8" s="111">
        <f t="shared" si="4"/>
        <v>807</v>
      </c>
      <c r="G8" s="111">
        <f t="shared" si="4"/>
        <v>706</v>
      </c>
      <c r="H8" s="111">
        <f t="shared" si="4"/>
        <v>600</v>
      </c>
      <c r="I8" s="111">
        <f t="shared" si="4"/>
        <v>651</v>
      </c>
      <c r="J8" s="111">
        <f t="shared" si="4"/>
        <v>721</v>
      </c>
      <c r="K8" s="111">
        <f t="shared" si="4"/>
        <v>779</v>
      </c>
      <c r="L8" s="111">
        <f t="shared" si="4"/>
        <v>703</v>
      </c>
      <c r="M8" s="111">
        <f t="shared" si="4"/>
        <v>716</v>
      </c>
      <c r="N8" s="111">
        <v>8471</v>
      </c>
    </row>
    <row r="9" spans="1:14" ht="15.75" thickBot="1">
      <c r="A9" s="64" t="s">
        <v>39</v>
      </c>
      <c r="B9" s="112">
        <f t="shared" ref="B9:M9" si="5">B364</f>
        <v>2084</v>
      </c>
      <c r="C9" s="112">
        <f t="shared" si="5"/>
        <v>2144</v>
      </c>
      <c r="D9" s="112">
        <f t="shared" si="5"/>
        <v>2173</v>
      </c>
      <c r="E9" s="112">
        <f t="shared" si="5"/>
        <v>2032</v>
      </c>
      <c r="F9" s="112">
        <f t="shared" si="5"/>
        <v>2097</v>
      </c>
      <c r="G9" s="112">
        <f t="shared" si="5"/>
        <v>2086</v>
      </c>
      <c r="H9" s="112">
        <f t="shared" si="5"/>
        <v>1846</v>
      </c>
      <c r="I9" s="112">
        <f t="shared" si="5"/>
        <v>2040</v>
      </c>
      <c r="J9" s="112">
        <f t="shared" si="5"/>
        <v>2104</v>
      </c>
      <c r="K9" s="112">
        <f t="shared" si="5"/>
        <v>2145</v>
      </c>
      <c r="L9" s="112">
        <f t="shared" si="5"/>
        <v>2097</v>
      </c>
      <c r="M9" s="112">
        <f t="shared" si="5"/>
        <v>2240</v>
      </c>
      <c r="N9" s="112">
        <v>25088</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B69</f>
        <v>173850.13</v>
      </c>
      <c r="C14" s="107">
        <f t="shared" si="6"/>
        <v>179727.23</v>
      </c>
      <c r="D14" s="107">
        <f t="shared" si="6"/>
        <v>188263.79</v>
      </c>
      <c r="E14" s="107">
        <f t="shared" si="6"/>
        <v>188170.52</v>
      </c>
      <c r="F14" s="107">
        <f t="shared" si="6"/>
        <v>186874.43</v>
      </c>
      <c r="G14" s="107">
        <f t="shared" si="6"/>
        <v>155789.07</v>
      </c>
      <c r="H14" s="107">
        <f t="shared" si="6"/>
        <v>148851.34</v>
      </c>
      <c r="I14" s="107">
        <f t="shared" si="6"/>
        <v>185473.18</v>
      </c>
      <c r="J14" s="107">
        <f t="shared" si="6"/>
        <v>191803.92</v>
      </c>
      <c r="K14" s="107">
        <f t="shared" si="6"/>
        <v>187849.99</v>
      </c>
      <c r="L14" s="107">
        <f t="shared" si="6"/>
        <v>180542.19</v>
      </c>
      <c r="M14" s="107">
        <f t="shared" si="6"/>
        <v>199659.48</v>
      </c>
      <c r="N14" s="107">
        <v>2166855.27</v>
      </c>
    </row>
    <row r="15" spans="1:14">
      <c r="A15" s="64" t="s">
        <v>35</v>
      </c>
      <c r="B15" s="107">
        <f t="shared" ref="B15:M15" si="7">B73</f>
        <v>12057.83</v>
      </c>
      <c r="C15" s="107">
        <f t="shared" si="7"/>
        <v>18108.29</v>
      </c>
      <c r="D15" s="107">
        <f t="shared" si="7"/>
        <v>11855.84</v>
      </c>
      <c r="E15" s="107">
        <f t="shared" si="7"/>
        <v>9753.9</v>
      </c>
      <c r="F15" s="107">
        <f t="shared" si="7"/>
        <v>10079.030000000001</v>
      </c>
      <c r="G15" s="107">
        <f t="shared" si="7"/>
        <v>8636.8700000000008</v>
      </c>
      <c r="H15" s="107">
        <f t="shared" si="7"/>
        <v>7272.64</v>
      </c>
      <c r="I15" s="107">
        <f t="shared" si="7"/>
        <v>10079.030000000001</v>
      </c>
      <c r="J15" s="107">
        <f t="shared" si="7"/>
        <v>10334.969999999999</v>
      </c>
      <c r="K15" s="107">
        <f t="shared" si="7"/>
        <v>15696.04</v>
      </c>
      <c r="L15" s="107">
        <f t="shared" si="7"/>
        <v>15644.9</v>
      </c>
      <c r="M15" s="107">
        <f t="shared" si="7"/>
        <v>23994.400000000001</v>
      </c>
      <c r="N15" s="107">
        <v>153513.74</v>
      </c>
    </row>
    <row r="16" spans="1:14">
      <c r="A16" s="64" t="s">
        <v>36</v>
      </c>
      <c r="B16" s="107">
        <f t="shared" ref="B16:M16" si="8">B77</f>
        <v>106564.78</v>
      </c>
      <c r="C16" s="107">
        <f t="shared" si="8"/>
        <v>115105.54</v>
      </c>
      <c r="D16" s="107">
        <f t="shared" si="8"/>
        <v>101545.65</v>
      </c>
      <c r="E16" s="107">
        <f t="shared" si="8"/>
        <v>83662.87</v>
      </c>
      <c r="F16" s="107">
        <f t="shared" si="8"/>
        <v>67780.25</v>
      </c>
      <c r="G16" s="107">
        <f t="shared" si="8"/>
        <v>256254.27</v>
      </c>
      <c r="H16" s="107">
        <f t="shared" si="8"/>
        <v>187785.44</v>
      </c>
      <c r="I16" s="107">
        <f t="shared" si="8"/>
        <v>135091.13</v>
      </c>
      <c r="J16" s="107">
        <f t="shared" si="8"/>
        <v>102769.63</v>
      </c>
      <c r="K16" s="107">
        <f t="shared" si="8"/>
        <v>53696.75</v>
      </c>
      <c r="L16" s="107">
        <f t="shared" si="8"/>
        <v>85250.28</v>
      </c>
      <c r="M16" s="107">
        <f t="shared" si="8"/>
        <v>98629.64</v>
      </c>
      <c r="N16" s="107">
        <v>1394136.23</v>
      </c>
    </row>
    <row r="17" spans="1:14">
      <c r="A17" s="64" t="s">
        <v>37</v>
      </c>
      <c r="B17" s="107">
        <f t="shared" ref="B17:M17" si="9">B84</f>
        <v>75658.990000000005</v>
      </c>
      <c r="C17" s="107">
        <f t="shared" si="9"/>
        <v>75710.460000000006</v>
      </c>
      <c r="D17" s="107">
        <f t="shared" si="9"/>
        <v>63566.38</v>
      </c>
      <c r="E17" s="107">
        <f t="shared" si="9"/>
        <v>33781.74</v>
      </c>
      <c r="F17" s="107">
        <f t="shared" si="9"/>
        <v>31955.96</v>
      </c>
      <c r="G17" s="107">
        <f t="shared" si="9"/>
        <v>42138.34</v>
      </c>
      <c r="H17" s="107">
        <f t="shared" si="9"/>
        <v>43910.39</v>
      </c>
      <c r="I17" s="107">
        <f t="shared" si="9"/>
        <v>38027.550000000003</v>
      </c>
      <c r="J17" s="107">
        <f t="shared" si="9"/>
        <v>50844.480000000003</v>
      </c>
      <c r="K17" s="107">
        <f t="shared" si="9"/>
        <v>72172.800000000003</v>
      </c>
      <c r="L17" s="107">
        <f t="shared" si="9"/>
        <v>80975.66</v>
      </c>
      <c r="M17" s="107">
        <f t="shared" si="9"/>
        <v>63430.03</v>
      </c>
      <c r="N17" s="107">
        <v>672172.78</v>
      </c>
    </row>
    <row r="18" spans="1:14">
      <c r="A18" s="64" t="s">
        <v>38</v>
      </c>
      <c r="B18" s="111">
        <f t="shared" ref="B18:M18" si="10">B88</f>
        <v>112356</v>
      </c>
      <c r="C18" s="111">
        <f t="shared" si="10"/>
        <v>105810</v>
      </c>
      <c r="D18" s="111">
        <f t="shared" si="10"/>
        <v>112560</v>
      </c>
      <c r="E18" s="111">
        <f t="shared" si="10"/>
        <v>107858</v>
      </c>
      <c r="F18" s="111">
        <f t="shared" si="10"/>
        <v>128603</v>
      </c>
      <c r="G18" s="111">
        <f t="shared" si="10"/>
        <v>113278</v>
      </c>
      <c r="H18" s="111">
        <f t="shared" si="10"/>
        <v>105200</v>
      </c>
      <c r="I18" s="111">
        <f t="shared" si="10"/>
        <v>111290</v>
      </c>
      <c r="J18" s="111">
        <f t="shared" si="10"/>
        <v>123295</v>
      </c>
      <c r="K18" s="111">
        <f t="shared" si="10"/>
        <v>136715</v>
      </c>
      <c r="L18" s="111">
        <f t="shared" si="10"/>
        <v>120760</v>
      </c>
      <c r="M18" s="111">
        <f t="shared" si="10"/>
        <v>125485</v>
      </c>
      <c r="N18" s="111">
        <v>1403210</v>
      </c>
    </row>
    <row r="19" spans="1:14">
      <c r="A19" s="64" t="s">
        <v>42</v>
      </c>
      <c r="B19" s="107">
        <f t="shared" ref="B19:M19" si="11">B90</f>
        <v>480487.7300000001</v>
      </c>
      <c r="C19" s="107">
        <f t="shared" si="11"/>
        <v>494461.5199999999</v>
      </c>
      <c r="D19" s="107">
        <f t="shared" si="11"/>
        <v>477791.66000000003</v>
      </c>
      <c r="E19" s="107">
        <f t="shared" si="11"/>
        <v>423227.03</v>
      </c>
      <c r="F19" s="107">
        <f t="shared" si="11"/>
        <v>425292.66999999993</v>
      </c>
      <c r="G19" s="107">
        <f t="shared" si="11"/>
        <v>576096.55000000005</v>
      </c>
      <c r="H19" s="107">
        <f t="shared" si="11"/>
        <v>493019.81000000017</v>
      </c>
      <c r="I19" s="107">
        <f t="shared" si="11"/>
        <v>479960.89</v>
      </c>
      <c r="J19" s="107">
        <f t="shared" si="11"/>
        <v>479048</v>
      </c>
      <c r="K19" s="107">
        <f t="shared" si="11"/>
        <v>466130.57999999996</v>
      </c>
      <c r="L19" s="107">
        <f t="shared" si="11"/>
        <v>483173.03</v>
      </c>
      <c r="M19" s="107">
        <f t="shared" si="11"/>
        <v>511198.55000000005</v>
      </c>
      <c r="N19" s="107">
        <v>5789888.0199999996</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G22" si="12">B96</f>
        <v>123.66</v>
      </c>
      <c r="C22" s="107">
        <f t="shared" si="12"/>
        <v>128.46</v>
      </c>
      <c r="D22" s="107">
        <f t="shared" si="12"/>
        <v>4860.2299999999996</v>
      </c>
      <c r="E22" s="107">
        <f t="shared" si="12"/>
        <v>9996.0300000000007</v>
      </c>
      <c r="F22" s="107">
        <f t="shared" si="12"/>
        <v>-5277.37</v>
      </c>
      <c r="G22" s="107">
        <f t="shared" si="12"/>
        <v>-3730.73</v>
      </c>
      <c r="H22" s="107"/>
      <c r="I22" s="107">
        <f>I96</f>
        <v>12</v>
      </c>
      <c r="J22" s="107"/>
      <c r="K22" s="107">
        <f>K96</f>
        <v>-287.14999999999998</v>
      </c>
      <c r="L22" s="107"/>
      <c r="M22" s="107">
        <f>M96</f>
        <v>39.72</v>
      </c>
      <c r="N22" s="107">
        <v>5864.85</v>
      </c>
    </row>
    <row r="23" spans="1:14">
      <c r="A23" s="64" t="s">
        <v>35</v>
      </c>
      <c r="B23" s="107">
        <f>B100</f>
        <v>150.47999999999999</v>
      </c>
      <c r="C23" s="107"/>
      <c r="D23" s="107"/>
      <c r="E23" s="107"/>
      <c r="F23" s="107"/>
      <c r="G23" s="107"/>
      <c r="H23" s="107"/>
      <c r="I23" s="107">
        <f>I100</f>
        <v>30.5</v>
      </c>
      <c r="J23" s="107"/>
      <c r="K23" s="107"/>
      <c r="L23" s="107"/>
      <c r="M23" s="107"/>
      <c r="N23" s="107">
        <v>180.98</v>
      </c>
    </row>
    <row r="24" spans="1:14">
      <c r="A24" s="64" t="s">
        <v>36</v>
      </c>
      <c r="B24" s="107">
        <f>B104</f>
        <v>-132.29</v>
      </c>
      <c r="C24" s="107">
        <f>C104</f>
        <v>-351.15</v>
      </c>
      <c r="D24" s="107"/>
      <c r="E24" s="107">
        <f>E104</f>
        <v>-5692.27</v>
      </c>
      <c r="F24" s="107">
        <f>F104</f>
        <v>-2602.5100000000002</v>
      </c>
      <c r="G24" s="107">
        <f>G104</f>
        <v>-10187.219999999999</v>
      </c>
      <c r="H24" s="107"/>
      <c r="I24" s="107">
        <f>I104</f>
        <v>-1775.9</v>
      </c>
      <c r="J24" s="107"/>
      <c r="K24" s="107">
        <f>K104</f>
        <v>-7560.55</v>
      </c>
      <c r="L24" s="107">
        <f>L104</f>
        <v>-4998.9399999999996</v>
      </c>
      <c r="M24" s="107">
        <f>M104</f>
        <v>2155.73</v>
      </c>
      <c r="N24" s="107">
        <v>-31145.1</v>
      </c>
    </row>
    <row r="25" spans="1:14">
      <c r="A25" s="64" t="s">
        <v>37</v>
      </c>
      <c r="B25" s="107">
        <f t="shared" ref="B25:I25" si="13">B111</f>
        <v>-580.13</v>
      </c>
      <c r="C25" s="107">
        <f t="shared" si="13"/>
        <v>536.66</v>
      </c>
      <c r="D25" s="107">
        <f t="shared" si="13"/>
        <v>519.24</v>
      </c>
      <c r="E25" s="107">
        <f t="shared" si="13"/>
        <v>400.4</v>
      </c>
      <c r="F25" s="107">
        <f t="shared" si="13"/>
        <v>-227.65</v>
      </c>
      <c r="G25" s="107">
        <f t="shared" si="13"/>
        <v>-73.599999999999994</v>
      </c>
      <c r="H25" s="107">
        <f t="shared" si="13"/>
        <v>-1142.47</v>
      </c>
      <c r="I25" s="107">
        <f t="shared" si="13"/>
        <v>-2861.53</v>
      </c>
      <c r="J25" s="107"/>
      <c r="K25" s="107"/>
      <c r="L25" s="107">
        <f>L111</f>
        <v>-25.76</v>
      </c>
      <c r="M25" s="107">
        <f>M111</f>
        <v>-4695.3599999999997</v>
      </c>
      <c r="N25" s="107">
        <v>-8150.2</v>
      </c>
    </row>
    <row r="26" spans="1:14">
      <c r="A26" s="64" t="s">
        <v>38</v>
      </c>
      <c r="B26" s="111"/>
      <c r="C26" s="111">
        <f t="shared" ref="C26:H26" si="14">C115</f>
        <v>-150</v>
      </c>
      <c r="D26" s="111">
        <f t="shared" si="14"/>
        <v>-4650</v>
      </c>
      <c r="E26" s="111">
        <f t="shared" si="14"/>
        <v>-18300</v>
      </c>
      <c r="F26" s="111">
        <f t="shared" si="14"/>
        <v>7800</v>
      </c>
      <c r="G26" s="111">
        <f t="shared" si="14"/>
        <v>4500</v>
      </c>
      <c r="H26" s="111">
        <f t="shared" si="14"/>
        <v>-241</v>
      </c>
      <c r="I26" s="111"/>
      <c r="J26" s="111"/>
      <c r="K26" s="111"/>
      <c r="L26" s="111"/>
      <c r="M26" s="111"/>
      <c r="N26" s="111">
        <v>-11041</v>
      </c>
    </row>
    <row r="27" spans="1:14">
      <c r="A27" s="64" t="s">
        <v>44</v>
      </c>
      <c r="B27" s="107">
        <f t="shared" ref="B27:I27" si="15">B117</f>
        <v>-438.27999999999986</v>
      </c>
      <c r="C27" s="107">
        <f t="shared" si="15"/>
        <v>163.97000000000003</v>
      </c>
      <c r="D27" s="107">
        <f t="shared" si="15"/>
        <v>729.46999999999935</v>
      </c>
      <c r="E27" s="107">
        <f t="shared" si="15"/>
        <v>-13595.84</v>
      </c>
      <c r="F27" s="107">
        <f t="shared" si="15"/>
        <v>-307.52999999999975</v>
      </c>
      <c r="G27" s="107">
        <f t="shared" si="15"/>
        <v>-9491.5499999999993</v>
      </c>
      <c r="H27" s="107">
        <f t="shared" si="15"/>
        <v>-1383.47</v>
      </c>
      <c r="I27" s="107">
        <f t="shared" si="15"/>
        <v>-4594.93</v>
      </c>
      <c r="J27" s="107"/>
      <c r="K27" s="107">
        <f>K117</f>
        <v>-7847.7000000000016</v>
      </c>
      <c r="L27" s="107">
        <f>L117</f>
        <v>-5024.7</v>
      </c>
      <c r="M27" s="107">
        <f>M117</f>
        <v>-2499.9100000000008</v>
      </c>
      <c r="N27" s="107">
        <v>-44290.47</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36</v>
      </c>
      <c r="B30" s="107"/>
      <c r="C30" s="107"/>
      <c r="D30" s="107"/>
      <c r="E30" s="107"/>
      <c r="F30" s="107"/>
      <c r="G30" s="107"/>
      <c r="H30" s="107"/>
      <c r="I30" s="107">
        <f>I136</f>
        <v>2249.9999999999854</v>
      </c>
      <c r="J30" s="107">
        <f>J136</f>
        <v>-2250</v>
      </c>
      <c r="K30" s="107"/>
      <c r="L30" s="107"/>
      <c r="M30" s="107"/>
      <c r="N30" s="107"/>
    </row>
    <row r="31" spans="1:14">
      <c r="A31" s="64" t="s">
        <v>46</v>
      </c>
      <c r="B31" s="107">
        <f t="shared" ref="B31:M31" si="16">B144</f>
        <v>12925.23</v>
      </c>
      <c r="C31" s="107">
        <f t="shared" si="16"/>
        <v>18163.52</v>
      </c>
      <c r="D31" s="107">
        <f t="shared" si="16"/>
        <v>11029.96</v>
      </c>
      <c r="E31" s="107">
        <f t="shared" si="16"/>
        <v>19198.84</v>
      </c>
      <c r="F31" s="107">
        <f t="shared" si="16"/>
        <v>19961.940000000002</v>
      </c>
      <c r="G31" s="107">
        <f t="shared" si="16"/>
        <v>24071.139999999992</v>
      </c>
      <c r="H31" s="107">
        <f t="shared" si="16"/>
        <v>12015.740000000002</v>
      </c>
      <c r="I31" s="107">
        <f t="shared" si="16"/>
        <v>23361.85</v>
      </c>
      <c r="J31" s="107">
        <f t="shared" si="16"/>
        <v>14888.130000000001</v>
      </c>
      <c r="K31" s="107">
        <f t="shared" si="16"/>
        <v>20919.809999999998</v>
      </c>
      <c r="L31" s="107">
        <f t="shared" si="16"/>
        <v>17276.480000000003</v>
      </c>
      <c r="M31" s="107">
        <f t="shared" si="16"/>
        <v>17111.919999999998</v>
      </c>
      <c r="N31" s="107">
        <v>210924.56</v>
      </c>
    </row>
    <row r="32" spans="1:14">
      <c r="A32" s="64" t="s">
        <v>37</v>
      </c>
      <c r="B32" s="107">
        <f t="shared" ref="B32:M32" si="17">B157</f>
        <v>3263.8500000000058</v>
      </c>
      <c r="C32" s="107">
        <f t="shared" si="17"/>
        <v>11080.76999999999</v>
      </c>
      <c r="D32" s="107">
        <f t="shared" si="17"/>
        <v>18848.61</v>
      </c>
      <c r="E32" s="107">
        <f t="shared" si="17"/>
        <v>30213.699999999997</v>
      </c>
      <c r="F32" s="107">
        <f t="shared" si="17"/>
        <v>21859.32</v>
      </c>
      <c r="G32" s="107">
        <f t="shared" si="17"/>
        <v>3304.0099999999802</v>
      </c>
      <c r="H32" s="107">
        <f t="shared" si="17"/>
        <v>2200.7100000000064</v>
      </c>
      <c r="I32" s="107">
        <f t="shared" si="17"/>
        <v>-1942.5299999999988</v>
      </c>
      <c r="J32" s="107">
        <f t="shared" si="17"/>
        <v>5074.5899999999965</v>
      </c>
      <c r="K32" s="107">
        <f t="shared" si="17"/>
        <v>9865.4199999999983</v>
      </c>
      <c r="L32" s="107">
        <f t="shared" si="17"/>
        <v>2601.4799999999959</v>
      </c>
      <c r="M32" s="107">
        <f t="shared" si="17"/>
        <v>4366.4199999999983</v>
      </c>
      <c r="N32" s="107">
        <v>110736.35</v>
      </c>
    </row>
    <row r="33" spans="1:14">
      <c r="A33" s="64" t="s">
        <v>38</v>
      </c>
      <c r="B33" s="111">
        <f>B162</f>
        <v>35</v>
      </c>
      <c r="C33" s="111"/>
      <c r="D33" s="111"/>
      <c r="E33" s="111"/>
      <c r="F33" s="111"/>
      <c r="G33" s="111"/>
      <c r="H33" s="111"/>
      <c r="I33" s="111"/>
      <c r="J33" s="111"/>
      <c r="K33" s="111"/>
      <c r="L33" s="111"/>
      <c r="M33" s="111"/>
      <c r="N33" s="111">
        <v>35</v>
      </c>
    </row>
    <row r="34" spans="1:14">
      <c r="A34" s="64" t="s">
        <v>47</v>
      </c>
      <c r="B34" s="107">
        <f t="shared" ref="B34:M34" si="18">B164</f>
        <v>16224.080000000013</v>
      </c>
      <c r="C34" s="107">
        <f t="shared" si="18"/>
        <v>29244.290000000023</v>
      </c>
      <c r="D34" s="107">
        <f t="shared" si="18"/>
        <v>29878.570000000014</v>
      </c>
      <c r="E34" s="107">
        <f t="shared" si="18"/>
        <v>49412.539999999994</v>
      </c>
      <c r="F34" s="107">
        <f t="shared" si="18"/>
        <v>41821.26</v>
      </c>
      <c r="G34" s="107">
        <f t="shared" si="18"/>
        <v>27375.149999999987</v>
      </c>
      <c r="H34" s="107">
        <f t="shared" si="18"/>
        <v>14216.450000000015</v>
      </c>
      <c r="I34" s="107">
        <f t="shared" si="18"/>
        <v>23669.32</v>
      </c>
      <c r="J34" s="107">
        <f t="shared" si="18"/>
        <v>17712.71999999999</v>
      </c>
      <c r="K34" s="107">
        <f t="shared" si="18"/>
        <v>30785.229999999981</v>
      </c>
      <c r="L34" s="107">
        <f t="shared" si="18"/>
        <v>19877.96</v>
      </c>
      <c r="M34" s="107">
        <f t="shared" si="18"/>
        <v>21478.340000000011</v>
      </c>
      <c r="N34" s="107">
        <v>321695.90999999997</v>
      </c>
    </row>
    <row r="35" spans="1:14">
      <c r="A35" s="64"/>
      <c r="B35" s="22"/>
      <c r="C35" s="22"/>
      <c r="D35" s="22"/>
      <c r="E35" s="22"/>
      <c r="F35" s="22"/>
      <c r="G35" s="22"/>
      <c r="H35" s="22"/>
      <c r="I35" s="22"/>
      <c r="J35" s="22"/>
      <c r="K35" s="22"/>
      <c r="L35" s="22"/>
      <c r="M35" s="22"/>
      <c r="N35" s="22"/>
    </row>
    <row r="36" spans="1:14">
      <c r="A36" s="64" t="s">
        <v>48</v>
      </c>
      <c r="B36" s="107">
        <f t="shared" ref="B36:M36" si="19">B174</f>
        <v>33092.03</v>
      </c>
      <c r="C36" s="107">
        <f t="shared" si="19"/>
        <v>59700.2</v>
      </c>
      <c r="D36" s="107">
        <f t="shared" si="19"/>
        <v>64987.700000000004</v>
      </c>
      <c r="E36" s="107">
        <f t="shared" si="19"/>
        <v>57259.96</v>
      </c>
      <c r="F36" s="107">
        <f t="shared" si="19"/>
        <v>10044.429999999993</v>
      </c>
      <c r="G36" s="107">
        <f t="shared" si="19"/>
        <v>41028.119999999995</v>
      </c>
      <c r="H36" s="107">
        <f t="shared" si="19"/>
        <v>30334.989999999998</v>
      </c>
      <c r="I36" s="107">
        <f t="shared" si="19"/>
        <v>34185.79</v>
      </c>
      <c r="J36" s="107">
        <f t="shared" si="19"/>
        <v>33853.360000000001</v>
      </c>
      <c r="K36" s="107">
        <f t="shared" si="19"/>
        <v>202188.47</v>
      </c>
      <c r="L36" s="107">
        <f t="shared" si="19"/>
        <v>30987.07</v>
      </c>
      <c r="M36" s="107">
        <f t="shared" si="19"/>
        <v>41920.959999999999</v>
      </c>
      <c r="N36" s="107">
        <v>639583.07999999996</v>
      </c>
    </row>
    <row r="37" spans="1:14">
      <c r="A37" s="64"/>
      <c r="B37" s="22"/>
      <c r="C37" s="22"/>
      <c r="D37" s="22"/>
      <c r="E37" s="22"/>
      <c r="F37" s="22"/>
      <c r="G37" s="22"/>
      <c r="H37" s="22"/>
      <c r="I37" s="22"/>
      <c r="J37" s="22"/>
      <c r="K37" s="22"/>
      <c r="L37" s="22"/>
      <c r="M37" s="22"/>
      <c r="N37" s="22"/>
    </row>
    <row r="38" spans="1:14" ht="15.75" thickBot="1">
      <c r="A38" s="64" t="s">
        <v>13</v>
      </c>
      <c r="B38" s="112">
        <f t="shared" ref="B38:M38" si="20">B176</f>
        <v>529365.56000000041</v>
      </c>
      <c r="C38" s="112">
        <f t="shared" si="20"/>
        <v>583569.9800000001</v>
      </c>
      <c r="D38" s="112">
        <f t="shared" si="20"/>
        <v>573387.40000000014</v>
      </c>
      <c r="E38" s="112">
        <f t="shared" si="20"/>
        <v>516303.68999999977</v>
      </c>
      <c r="F38" s="112">
        <f t="shared" si="20"/>
        <v>476850.8299999999</v>
      </c>
      <c r="G38" s="112">
        <f t="shared" si="20"/>
        <v>635008.26999999909</v>
      </c>
      <c r="H38" s="112">
        <f t="shared" si="20"/>
        <v>536187.78</v>
      </c>
      <c r="I38" s="112">
        <f t="shared" si="20"/>
        <v>533221.07000000111</v>
      </c>
      <c r="J38" s="112">
        <f t="shared" si="20"/>
        <v>530614.07999999996</v>
      </c>
      <c r="K38" s="112">
        <f t="shared" si="20"/>
        <v>691256.58000000042</v>
      </c>
      <c r="L38" s="112">
        <f t="shared" si="20"/>
        <v>529013.36000000045</v>
      </c>
      <c r="M38" s="112">
        <f t="shared" si="20"/>
        <v>572097.93999999983</v>
      </c>
      <c r="N38" s="112">
        <v>6706876.54</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M41" si="21">B196</f>
        <v>182912.41000000003</v>
      </c>
      <c r="C41" s="107">
        <f t="shared" si="21"/>
        <v>189116.72000000003</v>
      </c>
      <c r="D41" s="107">
        <f t="shared" si="21"/>
        <v>182542.05000000005</v>
      </c>
      <c r="E41" s="107">
        <f t="shared" si="21"/>
        <v>179864.19</v>
      </c>
      <c r="F41" s="107">
        <f t="shared" si="21"/>
        <v>167965.28999999998</v>
      </c>
      <c r="G41" s="107">
        <f t="shared" si="21"/>
        <v>173140.77999999997</v>
      </c>
      <c r="H41" s="107">
        <f t="shared" si="21"/>
        <v>167258.78999999995</v>
      </c>
      <c r="I41" s="107">
        <f t="shared" si="21"/>
        <v>187420.27999999997</v>
      </c>
      <c r="J41" s="107">
        <f t="shared" si="21"/>
        <v>181930.63000000003</v>
      </c>
      <c r="K41" s="107">
        <f t="shared" si="21"/>
        <v>181586.22</v>
      </c>
      <c r="L41" s="107">
        <f t="shared" si="21"/>
        <v>196487.4</v>
      </c>
      <c r="M41" s="107">
        <f t="shared" si="21"/>
        <v>188034.21</v>
      </c>
      <c r="N41" s="107">
        <v>2178258.9700000002</v>
      </c>
    </row>
    <row r="42" spans="1:14">
      <c r="A42" s="64" t="s">
        <v>50</v>
      </c>
      <c r="B42" s="107">
        <f>B201</f>
        <v>5005.6899999999996</v>
      </c>
      <c r="C42" s="107"/>
      <c r="D42" s="107"/>
      <c r="E42" s="107"/>
      <c r="F42" s="107">
        <f>F201</f>
        <v>-5005.6899999999996</v>
      </c>
      <c r="G42" s="107"/>
      <c r="H42" s="107"/>
      <c r="I42" s="107"/>
      <c r="J42" s="107"/>
      <c r="K42" s="107"/>
      <c r="L42" s="107"/>
      <c r="M42" s="107"/>
      <c r="N42" s="107"/>
    </row>
    <row r="43" spans="1:14">
      <c r="A43" s="64" t="s">
        <v>51</v>
      </c>
      <c r="B43" s="107">
        <f t="shared" ref="B43:M43" si="22">B212</f>
        <v>39576.69</v>
      </c>
      <c r="C43" s="107">
        <f t="shared" si="22"/>
        <v>56035.28</v>
      </c>
      <c r="D43" s="107">
        <f t="shared" si="22"/>
        <v>27703.469999999998</v>
      </c>
      <c r="E43" s="107">
        <f t="shared" si="22"/>
        <v>33661.46</v>
      </c>
      <c r="F43" s="107">
        <f t="shared" si="22"/>
        <v>48425.71</v>
      </c>
      <c r="G43" s="107">
        <f t="shared" si="22"/>
        <v>47407.99</v>
      </c>
      <c r="H43" s="107">
        <f t="shared" si="22"/>
        <v>25609.51</v>
      </c>
      <c r="I43" s="107">
        <f t="shared" si="22"/>
        <v>33767.78</v>
      </c>
      <c r="J43" s="107">
        <f t="shared" si="22"/>
        <v>27515.56</v>
      </c>
      <c r="K43" s="107">
        <f t="shared" si="22"/>
        <v>42030.34</v>
      </c>
      <c r="L43" s="107">
        <f t="shared" si="22"/>
        <v>30637.820000000003</v>
      </c>
      <c r="M43" s="107">
        <f t="shared" si="22"/>
        <v>42523.57</v>
      </c>
      <c r="N43" s="107">
        <v>454895.18</v>
      </c>
    </row>
    <row r="44" spans="1:14">
      <c r="A44" s="64" t="s">
        <v>52</v>
      </c>
      <c r="B44" s="107">
        <f t="shared" ref="B44:M44" si="23">B228</f>
        <v>58673.270000000004</v>
      </c>
      <c r="C44" s="107">
        <f t="shared" si="23"/>
        <v>68350.069999999992</v>
      </c>
      <c r="D44" s="107">
        <f t="shared" si="23"/>
        <v>59830.029999999984</v>
      </c>
      <c r="E44" s="107">
        <f t="shared" si="23"/>
        <v>61513.130000000012</v>
      </c>
      <c r="F44" s="107">
        <f t="shared" si="23"/>
        <v>57237.930000000008</v>
      </c>
      <c r="G44" s="107">
        <f t="shared" si="23"/>
        <v>59008.32</v>
      </c>
      <c r="H44" s="107">
        <f t="shared" si="23"/>
        <v>59874.049999999996</v>
      </c>
      <c r="I44" s="107">
        <f t="shared" si="23"/>
        <v>66657.900000000009</v>
      </c>
      <c r="J44" s="107">
        <f t="shared" si="23"/>
        <v>55484.109999999986</v>
      </c>
      <c r="K44" s="107">
        <f t="shared" si="23"/>
        <v>57773.89</v>
      </c>
      <c r="L44" s="107">
        <f t="shared" si="23"/>
        <v>60145.78</v>
      </c>
      <c r="M44" s="107">
        <f t="shared" si="23"/>
        <v>54602.750000000007</v>
      </c>
      <c r="N44" s="107">
        <v>719151.23</v>
      </c>
    </row>
    <row r="45" spans="1:14">
      <c r="A45" s="64" t="s">
        <v>53</v>
      </c>
      <c r="B45" s="107">
        <f t="shared" ref="B45:M45" si="24">B254</f>
        <v>119542.97</v>
      </c>
      <c r="C45" s="107">
        <f t="shared" si="24"/>
        <v>119041.76000000001</v>
      </c>
      <c r="D45" s="107">
        <f t="shared" si="24"/>
        <v>122384.61</v>
      </c>
      <c r="E45" s="107">
        <f t="shared" si="24"/>
        <v>116820.31999999999</v>
      </c>
      <c r="F45" s="107">
        <f t="shared" si="24"/>
        <v>143108.74</v>
      </c>
      <c r="G45" s="107">
        <f t="shared" si="24"/>
        <v>115821.91999999998</v>
      </c>
      <c r="H45" s="107">
        <f t="shared" si="24"/>
        <v>115888.11999999998</v>
      </c>
      <c r="I45" s="107">
        <f t="shared" si="24"/>
        <v>115215.55999999997</v>
      </c>
      <c r="J45" s="107">
        <f t="shared" si="24"/>
        <v>120293.54</v>
      </c>
      <c r="K45" s="107">
        <f t="shared" si="24"/>
        <v>126829.09000000003</v>
      </c>
      <c r="L45" s="107">
        <f t="shared" si="24"/>
        <v>116710.82999999999</v>
      </c>
      <c r="M45" s="107">
        <f t="shared" si="24"/>
        <v>126963.49</v>
      </c>
      <c r="N45" s="107">
        <v>1458620.95</v>
      </c>
    </row>
    <row r="46" spans="1:14">
      <c r="A46" s="64" t="s">
        <v>54</v>
      </c>
      <c r="B46" s="107">
        <f t="shared" ref="B46:M46" si="25">B271</f>
        <v>5175.4199999999992</v>
      </c>
      <c r="C46" s="107">
        <f t="shared" si="25"/>
        <v>9577.8500000000022</v>
      </c>
      <c r="D46" s="107">
        <f t="shared" si="25"/>
        <v>6369.2199999999993</v>
      </c>
      <c r="E46" s="107">
        <f t="shared" si="25"/>
        <v>6679.0999999999995</v>
      </c>
      <c r="F46" s="107">
        <f t="shared" si="25"/>
        <v>13548.350000000002</v>
      </c>
      <c r="G46" s="107">
        <f t="shared" si="25"/>
        <v>5079.6299999999992</v>
      </c>
      <c r="H46" s="107">
        <f t="shared" si="25"/>
        <v>8491.74</v>
      </c>
      <c r="I46" s="107">
        <f t="shared" si="25"/>
        <v>12170.31</v>
      </c>
      <c r="J46" s="107">
        <f t="shared" si="25"/>
        <v>6695.3799999999992</v>
      </c>
      <c r="K46" s="107">
        <f t="shared" si="25"/>
        <v>9421.1000000000022</v>
      </c>
      <c r="L46" s="107">
        <f t="shared" si="25"/>
        <v>7819.6200000000008</v>
      </c>
      <c r="M46" s="107">
        <f t="shared" si="25"/>
        <v>8345.9599999999991</v>
      </c>
      <c r="N46" s="107">
        <v>99373.68</v>
      </c>
    </row>
    <row r="47" spans="1:14">
      <c r="A47" s="64" t="s">
        <v>55</v>
      </c>
      <c r="B47" s="107">
        <f t="shared" ref="B47:M47" si="26">B279</f>
        <v>3667.5499999999997</v>
      </c>
      <c r="C47" s="107">
        <f t="shared" si="26"/>
        <v>3953.33</v>
      </c>
      <c r="D47" s="107">
        <f t="shared" si="26"/>
        <v>4805.7299999999996</v>
      </c>
      <c r="E47" s="107">
        <f t="shared" si="26"/>
        <v>3671.67</v>
      </c>
      <c r="F47" s="107">
        <f t="shared" si="26"/>
        <v>6576.63</v>
      </c>
      <c r="G47" s="107">
        <f t="shared" si="26"/>
        <v>1526.75</v>
      </c>
      <c r="H47" s="107">
        <f t="shared" si="26"/>
        <v>5276.11</v>
      </c>
      <c r="I47" s="107">
        <f t="shared" si="26"/>
        <v>1104.57</v>
      </c>
      <c r="J47" s="107">
        <f t="shared" si="26"/>
        <v>2852.88</v>
      </c>
      <c r="K47" s="107">
        <f t="shared" si="26"/>
        <v>3630.62</v>
      </c>
      <c r="L47" s="107">
        <f t="shared" si="26"/>
        <v>3572.2799999999997</v>
      </c>
      <c r="M47" s="107">
        <f t="shared" si="26"/>
        <v>4349.01</v>
      </c>
      <c r="N47" s="107">
        <v>44987.13</v>
      </c>
    </row>
    <row r="48" spans="1:14">
      <c r="A48" s="64" t="s">
        <v>56</v>
      </c>
      <c r="B48" s="107">
        <f t="shared" ref="B48:M48" si="27">B287</f>
        <v>4675.49</v>
      </c>
      <c r="C48" s="107">
        <f t="shared" si="27"/>
        <v>4179.03</v>
      </c>
      <c r="D48" s="107">
        <f t="shared" si="27"/>
        <v>3942.05</v>
      </c>
      <c r="E48" s="107">
        <f t="shared" si="27"/>
        <v>3827.15</v>
      </c>
      <c r="F48" s="107">
        <f t="shared" si="27"/>
        <v>114.71000000000004</v>
      </c>
      <c r="G48" s="107">
        <f t="shared" si="27"/>
        <v>4823.66</v>
      </c>
      <c r="H48" s="107">
        <f t="shared" si="27"/>
        <v>4686.99</v>
      </c>
      <c r="I48" s="107">
        <f t="shared" si="27"/>
        <v>4688.99</v>
      </c>
      <c r="J48" s="107">
        <f t="shared" si="27"/>
        <v>4686.99</v>
      </c>
      <c r="K48" s="107">
        <f t="shared" si="27"/>
        <v>4686.99</v>
      </c>
      <c r="L48" s="107">
        <f t="shared" si="27"/>
        <v>4766.49</v>
      </c>
      <c r="M48" s="107">
        <f t="shared" si="27"/>
        <v>4825.1799999999994</v>
      </c>
      <c r="N48" s="107">
        <v>49903.72</v>
      </c>
    </row>
    <row r="49" spans="1:14">
      <c r="A49" s="64" t="s">
        <v>57</v>
      </c>
      <c r="B49" s="107">
        <f t="shared" ref="B49:M49" si="28">B292</f>
        <v>9932</v>
      </c>
      <c r="C49" s="107">
        <f t="shared" si="28"/>
        <v>10950</v>
      </c>
      <c r="D49" s="107">
        <f t="shared" si="28"/>
        <v>10646</v>
      </c>
      <c r="E49" s="107">
        <f t="shared" si="28"/>
        <v>9181</v>
      </c>
      <c r="F49" s="107">
        <f t="shared" si="28"/>
        <v>68436</v>
      </c>
      <c r="G49" s="107">
        <f t="shared" si="28"/>
        <v>11904</v>
      </c>
      <c r="H49" s="107">
        <f t="shared" si="28"/>
        <v>11588.95</v>
      </c>
      <c r="I49" s="107">
        <f t="shared" si="28"/>
        <v>9892</v>
      </c>
      <c r="J49" s="107">
        <f t="shared" si="28"/>
        <v>9522</v>
      </c>
      <c r="K49" s="107">
        <f t="shared" si="28"/>
        <v>-40209</v>
      </c>
      <c r="L49" s="107">
        <f t="shared" si="28"/>
        <v>-40033</v>
      </c>
      <c r="M49" s="107">
        <f t="shared" si="28"/>
        <v>-13982</v>
      </c>
      <c r="N49" s="107">
        <v>57827.95</v>
      </c>
    </row>
    <row r="50" spans="1:14">
      <c r="A50" s="64" t="s">
        <v>58</v>
      </c>
      <c r="B50" s="107">
        <f t="shared" ref="B50:M50" si="29">B299</f>
        <v>8702.4699999999993</v>
      </c>
      <c r="C50" s="107">
        <f t="shared" si="29"/>
        <v>9184.7800000000007</v>
      </c>
      <c r="D50" s="107">
        <f t="shared" si="29"/>
        <v>9184.7800000000007</v>
      </c>
      <c r="E50" s="107">
        <f t="shared" si="29"/>
        <v>9184.7800000000007</v>
      </c>
      <c r="F50" s="107">
        <f t="shared" si="29"/>
        <v>9184.7800000000007</v>
      </c>
      <c r="G50" s="107">
        <f t="shared" si="29"/>
        <v>9764.44</v>
      </c>
      <c r="H50" s="107">
        <f t="shared" si="29"/>
        <v>12006.86</v>
      </c>
      <c r="I50" s="107">
        <f t="shared" si="29"/>
        <v>9396.0400000000009</v>
      </c>
      <c r="J50" s="107">
        <f t="shared" si="29"/>
        <v>9290.41</v>
      </c>
      <c r="K50" s="107">
        <f t="shared" si="29"/>
        <v>9290.41</v>
      </c>
      <c r="L50" s="107">
        <f t="shared" si="29"/>
        <v>9290.41</v>
      </c>
      <c r="M50" s="107">
        <f t="shared" si="29"/>
        <v>9290.41</v>
      </c>
      <c r="N50" s="107">
        <v>113770.57</v>
      </c>
    </row>
    <row r="51" spans="1:14">
      <c r="A51" s="64" t="s">
        <v>59</v>
      </c>
      <c r="B51" s="107">
        <f t="shared" ref="B51:M51" si="30">B307</f>
        <v>10814.02</v>
      </c>
      <c r="C51" s="107">
        <f t="shared" si="30"/>
        <v>10787.700000000003</v>
      </c>
      <c r="D51" s="107">
        <f t="shared" si="30"/>
        <v>10832.810000000001</v>
      </c>
      <c r="E51" s="107">
        <f t="shared" si="30"/>
        <v>10934.940000000002</v>
      </c>
      <c r="F51" s="107">
        <f t="shared" si="30"/>
        <v>11372.190000000002</v>
      </c>
      <c r="G51" s="107">
        <f t="shared" si="30"/>
        <v>11372.19</v>
      </c>
      <c r="H51" s="107">
        <f t="shared" si="30"/>
        <v>11784.18</v>
      </c>
      <c r="I51" s="107">
        <f t="shared" si="30"/>
        <v>11551.740000000002</v>
      </c>
      <c r="J51" s="107">
        <f t="shared" si="30"/>
        <v>13115.750000000002</v>
      </c>
      <c r="K51" s="107">
        <f t="shared" si="30"/>
        <v>11714.210000000001</v>
      </c>
      <c r="L51" s="107">
        <f t="shared" si="30"/>
        <v>12253.820000000002</v>
      </c>
      <c r="M51" s="107">
        <f t="shared" si="30"/>
        <v>11947.950000000003</v>
      </c>
      <c r="N51" s="107">
        <v>138481.5</v>
      </c>
    </row>
    <row r="52" spans="1:14">
      <c r="A52" s="64" t="s">
        <v>60</v>
      </c>
      <c r="B52" s="107">
        <f t="shared" ref="B52:M52" si="31">B314</f>
        <v>76271.649999999994</v>
      </c>
      <c r="C52" s="107">
        <f t="shared" si="31"/>
        <v>82081.86</v>
      </c>
      <c r="D52" s="107">
        <f t="shared" si="31"/>
        <v>78074.48</v>
      </c>
      <c r="E52" s="107">
        <f t="shared" si="31"/>
        <v>78063.179999999993</v>
      </c>
      <c r="F52" s="107">
        <f t="shared" si="31"/>
        <v>78015.92</v>
      </c>
      <c r="G52" s="107">
        <f t="shared" si="31"/>
        <v>77862.58</v>
      </c>
      <c r="H52" s="107">
        <f t="shared" si="31"/>
        <v>77948.650000000009</v>
      </c>
      <c r="I52" s="107">
        <f t="shared" si="31"/>
        <v>78340.19</v>
      </c>
      <c r="J52" s="107">
        <f t="shared" si="31"/>
        <v>81756.490000000005</v>
      </c>
      <c r="K52" s="107">
        <f t="shared" si="31"/>
        <v>77954.090000000011</v>
      </c>
      <c r="L52" s="107">
        <f t="shared" si="31"/>
        <v>78924.100000000006</v>
      </c>
      <c r="M52" s="107">
        <f t="shared" si="31"/>
        <v>84493.3</v>
      </c>
      <c r="N52" s="107">
        <v>949786.49</v>
      </c>
    </row>
    <row r="53" spans="1:14">
      <c r="A53" s="64" t="s">
        <v>61</v>
      </c>
      <c r="B53" s="107">
        <f>B318</f>
        <v>1152.8599999999999</v>
      </c>
      <c r="C53" s="107"/>
      <c r="D53" s="107"/>
      <c r="E53" s="107"/>
      <c r="F53" s="107">
        <f>F318</f>
        <v>-29003.58</v>
      </c>
      <c r="G53" s="107"/>
      <c r="H53" s="107">
        <f>H318</f>
        <v>-6633.78</v>
      </c>
      <c r="I53" s="107"/>
      <c r="J53" s="107"/>
      <c r="K53" s="107"/>
      <c r="L53" s="107"/>
      <c r="M53" s="107"/>
      <c r="N53" s="107">
        <v>-34484.5</v>
      </c>
    </row>
    <row r="54" spans="1:14">
      <c r="A54" s="64"/>
      <c r="B54" s="22"/>
      <c r="C54" s="22"/>
      <c r="D54" s="22"/>
      <c r="E54" s="22"/>
      <c r="F54" s="22"/>
      <c r="G54" s="22"/>
      <c r="H54" s="22"/>
      <c r="I54" s="22"/>
      <c r="J54" s="22"/>
      <c r="K54" s="22"/>
      <c r="L54" s="22"/>
      <c r="M54" s="22"/>
      <c r="N54" s="22"/>
    </row>
    <row r="55" spans="1:14" ht="15.75" thickBot="1">
      <c r="A55" s="64" t="s">
        <v>62</v>
      </c>
      <c r="B55" s="112">
        <f t="shared" ref="B55:M55" si="32">B320</f>
        <v>526102.49000000011</v>
      </c>
      <c r="C55" s="112">
        <f t="shared" si="32"/>
        <v>563258.38000000035</v>
      </c>
      <c r="D55" s="112">
        <f t="shared" si="32"/>
        <v>516315.23</v>
      </c>
      <c r="E55" s="112">
        <f t="shared" si="32"/>
        <v>513400.92000000057</v>
      </c>
      <c r="F55" s="112">
        <f t="shared" si="32"/>
        <v>569976.97999999975</v>
      </c>
      <c r="G55" s="112">
        <f t="shared" si="32"/>
        <v>517712.25999999983</v>
      </c>
      <c r="H55" s="112">
        <f t="shared" si="32"/>
        <v>493780.16999999969</v>
      </c>
      <c r="I55" s="112">
        <f t="shared" si="32"/>
        <v>530205.35999999987</v>
      </c>
      <c r="J55" s="112">
        <f t="shared" si="32"/>
        <v>513143.73999999987</v>
      </c>
      <c r="K55" s="112">
        <f t="shared" si="32"/>
        <v>484707.9599999999</v>
      </c>
      <c r="L55" s="112">
        <f t="shared" si="32"/>
        <v>480575.55000000016</v>
      </c>
      <c r="M55" s="112">
        <f t="shared" si="32"/>
        <v>521393.83000000025</v>
      </c>
      <c r="N55" s="112">
        <v>6230572.8700000001</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M57" si="33">B322</f>
        <v>3263.070000000298</v>
      </c>
      <c r="C57" s="112">
        <f t="shared" si="33"/>
        <v>20311.599999999744</v>
      </c>
      <c r="D57" s="112">
        <f t="shared" si="33"/>
        <v>57072.170000000158</v>
      </c>
      <c r="E57" s="112">
        <f t="shared" si="33"/>
        <v>2902.7699999992037</v>
      </c>
      <c r="F57" s="112">
        <f t="shared" si="33"/>
        <v>-93126.149999999849</v>
      </c>
      <c r="G57" s="112">
        <f t="shared" si="33"/>
        <v>117296.00999999925</v>
      </c>
      <c r="H57" s="112">
        <f t="shared" si="33"/>
        <v>42407.610000000335</v>
      </c>
      <c r="I57" s="112">
        <f t="shared" si="33"/>
        <v>3015.7100000012433</v>
      </c>
      <c r="J57" s="112">
        <f t="shared" si="33"/>
        <v>17470.340000000084</v>
      </c>
      <c r="K57" s="112">
        <f t="shared" si="33"/>
        <v>206548.62000000052</v>
      </c>
      <c r="L57" s="112">
        <f t="shared" si="33"/>
        <v>48437.810000000289</v>
      </c>
      <c r="M57" s="112">
        <f t="shared" si="33"/>
        <v>50704.109999999579</v>
      </c>
      <c r="N57" s="112">
        <v>476303.67</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4">B326</f>
        <v>10074.459999999999</v>
      </c>
      <c r="C59" s="112">
        <f t="shared" si="34"/>
        <v>10915.67</v>
      </c>
      <c r="D59" s="112">
        <f t="shared" si="34"/>
        <v>9319.8799999999992</v>
      </c>
      <c r="E59" s="112">
        <f t="shared" si="34"/>
        <v>8486.49</v>
      </c>
      <c r="F59" s="112">
        <f t="shared" si="34"/>
        <v>59630.8</v>
      </c>
      <c r="G59" s="112">
        <f t="shared" si="34"/>
        <v>15743.67</v>
      </c>
      <c r="H59" s="112">
        <f t="shared" si="34"/>
        <v>11379.07</v>
      </c>
      <c r="I59" s="112">
        <f t="shared" si="34"/>
        <v>10377.08</v>
      </c>
      <c r="J59" s="112">
        <f t="shared" si="34"/>
        <v>9499.5499999999993</v>
      </c>
      <c r="K59" s="112">
        <f t="shared" si="34"/>
        <v>15158.32</v>
      </c>
      <c r="L59" s="112">
        <f t="shared" si="34"/>
        <v>7910.48</v>
      </c>
      <c r="M59" s="112">
        <f t="shared" si="34"/>
        <v>11717.97</v>
      </c>
      <c r="N59" s="112">
        <v>180213.44</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5">B328</f>
        <v>-6811.3899999997011</v>
      </c>
      <c r="C61" s="112">
        <f t="shared" si="35"/>
        <v>9395.9299999997438</v>
      </c>
      <c r="D61" s="112">
        <f t="shared" si="35"/>
        <v>47752.290000000161</v>
      </c>
      <c r="E61" s="112">
        <f t="shared" si="35"/>
        <v>-5583.7200000007961</v>
      </c>
      <c r="F61" s="112">
        <f t="shared" si="35"/>
        <v>-152756.94999999984</v>
      </c>
      <c r="G61" s="112">
        <f t="shared" si="35"/>
        <v>101552.33999999925</v>
      </c>
      <c r="H61" s="112">
        <f t="shared" si="35"/>
        <v>31028.540000000336</v>
      </c>
      <c r="I61" s="112">
        <f t="shared" si="35"/>
        <v>-7361.3699999987566</v>
      </c>
      <c r="J61" s="112">
        <f t="shared" si="35"/>
        <v>7970.7900000000845</v>
      </c>
      <c r="K61" s="112">
        <f t="shared" si="35"/>
        <v>191390.30000000051</v>
      </c>
      <c r="L61" s="112">
        <f t="shared" si="35"/>
        <v>40527.330000000293</v>
      </c>
      <c r="M61" s="112">
        <f t="shared" si="35"/>
        <v>38986.139999999577</v>
      </c>
      <c r="N61" s="112">
        <v>296090.23</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173850.13</v>
      </c>
      <c r="C68" s="111">
        <v>179727.23</v>
      </c>
      <c r="D68" s="111">
        <v>188263.79</v>
      </c>
      <c r="E68" s="111">
        <v>188170.52</v>
      </c>
      <c r="F68" s="111">
        <v>186874.43</v>
      </c>
      <c r="G68" s="111">
        <v>155789.07</v>
      </c>
      <c r="H68" s="111">
        <v>148851.34</v>
      </c>
      <c r="I68" s="111">
        <v>185473.18</v>
      </c>
      <c r="J68" s="111">
        <v>191803.92</v>
      </c>
      <c r="K68" s="111">
        <v>187849.99</v>
      </c>
      <c r="L68" s="111">
        <v>180542.19</v>
      </c>
      <c r="M68" s="111">
        <v>199659.48</v>
      </c>
      <c r="N68" s="111">
        <v>2166855.27</v>
      </c>
    </row>
    <row r="69" spans="1:14">
      <c r="A69" s="64" t="s">
        <v>67</v>
      </c>
      <c r="B69" s="107">
        <f t="shared" ref="B69:M69" si="36">SUM(B65:B68)</f>
        <v>173850.13</v>
      </c>
      <c r="C69" s="107">
        <f t="shared" si="36"/>
        <v>179727.23</v>
      </c>
      <c r="D69" s="107">
        <f t="shared" si="36"/>
        <v>188263.79</v>
      </c>
      <c r="E69" s="107">
        <f t="shared" si="36"/>
        <v>188170.52</v>
      </c>
      <c r="F69" s="107">
        <f t="shared" si="36"/>
        <v>186874.43</v>
      </c>
      <c r="G69" s="107">
        <f t="shared" si="36"/>
        <v>155789.07</v>
      </c>
      <c r="H69" s="107">
        <f t="shared" si="36"/>
        <v>148851.34</v>
      </c>
      <c r="I69" s="107">
        <f t="shared" si="36"/>
        <v>185473.18</v>
      </c>
      <c r="J69" s="107">
        <f t="shared" si="36"/>
        <v>191803.92</v>
      </c>
      <c r="K69" s="107">
        <f t="shared" si="36"/>
        <v>187849.99</v>
      </c>
      <c r="L69" s="107">
        <f t="shared" si="36"/>
        <v>180542.19</v>
      </c>
      <c r="M69" s="107">
        <f t="shared" si="36"/>
        <v>199659.48</v>
      </c>
      <c r="N69" s="107">
        <v>2166855.27</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12057.83</v>
      </c>
      <c r="C72" s="111">
        <v>18108.29</v>
      </c>
      <c r="D72" s="111">
        <v>11855.84</v>
      </c>
      <c r="E72" s="111">
        <v>9753.9</v>
      </c>
      <c r="F72" s="111">
        <v>10079.030000000001</v>
      </c>
      <c r="G72" s="111">
        <v>8636.8700000000008</v>
      </c>
      <c r="H72" s="111">
        <v>7272.64</v>
      </c>
      <c r="I72" s="111">
        <v>10079.030000000001</v>
      </c>
      <c r="J72" s="111">
        <v>10334.969999999999</v>
      </c>
      <c r="K72" s="111">
        <v>15696.04</v>
      </c>
      <c r="L72" s="111">
        <v>15644.9</v>
      </c>
      <c r="M72" s="111">
        <v>23994.400000000001</v>
      </c>
      <c r="N72" s="111">
        <v>153513.74</v>
      </c>
    </row>
    <row r="73" spans="1:14">
      <c r="A73" s="64" t="s">
        <v>69</v>
      </c>
      <c r="B73" s="107">
        <f t="shared" ref="B73:M73" si="37">SUM(B70:B72)</f>
        <v>12057.83</v>
      </c>
      <c r="C73" s="107">
        <f t="shared" si="37"/>
        <v>18108.29</v>
      </c>
      <c r="D73" s="107">
        <f t="shared" si="37"/>
        <v>11855.84</v>
      </c>
      <c r="E73" s="107">
        <f t="shared" si="37"/>
        <v>9753.9</v>
      </c>
      <c r="F73" s="107">
        <f t="shared" si="37"/>
        <v>10079.030000000001</v>
      </c>
      <c r="G73" s="107">
        <f t="shared" si="37"/>
        <v>8636.8700000000008</v>
      </c>
      <c r="H73" s="107">
        <f t="shared" si="37"/>
        <v>7272.64</v>
      </c>
      <c r="I73" s="107">
        <f t="shared" si="37"/>
        <v>10079.030000000001</v>
      </c>
      <c r="J73" s="107">
        <f t="shared" si="37"/>
        <v>10334.969999999999</v>
      </c>
      <c r="K73" s="107">
        <f t="shared" si="37"/>
        <v>15696.04</v>
      </c>
      <c r="L73" s="107">
        <f t="shared" si="37"/>
        <v>15644.9</v>
      </c>
      <c r="M73" s="107">
        <f t="shared" si="37"/>
        <v>23994.400000000001</v>
      </c>
      <c r="N73" s="107">
        <v>153513.74</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106564.78</v>
      </c>
      <c r="C76" s="111">
        <v>115105.54</v>
      </c>
      <c r="D76" s="111">
        <v>101545.65</v>
      </c>
      <c r="E76" s="111">
        <v>83662.87</v>
      </c>
      <c r="F76" s="111">
        <v>67780.25</v>
      </c>
      <c r="G76" s="111">
        <v>256254.27</v>
      </c>
      <c r="H76" s="111">
        <v>187785.44</v>
      </c>
      <c r="I76" s="111">
        <v>135091.13</v>
      </c>
      <c r="J76" s="111">
        <v>102769.63</v>
      </c>
      <c r="K76" s="111">
        <v>53696.75</v>
      </c>
      <c r="L76" s="111">
        <v>85250.28</v>
      </c>
      <c r="M76" s="111">
        <v>98629.64</v>
      </c>
      <c r="N76" s="111">
        <v>1394136.23</v>
      </c>
    </row>
    <row r="77" spans="1:14">
      <c r="A77" s="64" t="s">
        <v>71</v>
      </c>
      <c r="B77" s="107">
        <f t="shared" ref="B77:M77" si="38">SUM(B74:B76)</f>
        <v>106564.78</v>
      </c>
      <c r="C77" s="107">
        <f t="shared" si="38"/>
        <v>115105.54</v>
      </c>
      <c r="D77" s="107">
        <f t="shared" si="38"/>
        <v>101545.65</v>
      </c>
      <c r="E77" s="107">
        <f t="shared" si="38"/>
        <v>83662.87</v>
      </c>
      <c r="F77" s="107">
        <f t="shared" si="38"/>
        <v>67780.25</v>
      </c>
      <c r="G77" s="107">
        <f t="shared" si="38"/>
        <v>256254.27</v>
      </c>
      <c r="H77" s="107">
        <f t="shared" si="38"/>
        <v>187785.44</v>
      </c>
      <c r="I77" s="107">
        <f t="shared" si="38"/>
        <v>135091.13</v>
      </c>
      <c r="J77" s="107">
        <f t="shared" si="38"/>
        <v>102769.63</v>
      </c>
      <c r="K77" s="107">
        <f t="shared" si="38"/>
        <v>53696.75</v>
      </c>
      <c r="L77" s="107">
        <f t="shared" si="38"/>
        <v>85250.28</v>
      </c>
      <c r="M77" s="107">
        <f t="shared" si="38"/>
        <v>98629.64</v>
      </c>
      <c r="N77" s="107">
        <v>1394136.23</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75658.990000000005</v>
      </c>
      <c r="C83" s="111">
        <v>75710.460000000006</v>
      </c>
      <c r="D83" s="111">
        <v>63566.38</v>
      </c>
      <c r="E83" s="111">
        <v>33781.74</v>
      </c>
      <c r="F83" s="111">
        <v>31955.96</v>
      </c>
      <c r="G83" s="111">
        <v>42138.34</v>
      </c>
      <c r="H83" s="111">
        <v>43910.39</v>
      </c>
      <c r="I83" s="111">
        <v>38027.550000000003</v>
      </c>
      <c r="J83" s="111">
        <v>50844.480000000003</v>
      </c>
      <c r="K83" s="111">
        <v>72172.800000000003</v>
      </c>
      <c r="L83" s="111">
        <v>80975.66</v>
      </c>
      <c r="M83" s="111">
        <v>63430.03</v>
      </c>
      <c r="N83" s="111">
        <v>672172.78</v>
      </c>
    </row>
    <row r="84" spans="1:14">
      <c r="A84" s="64" t="s">
        <v>74</v>
      </c>
      <c r="B84" s="107">
        <f t="shared" ref="B84:M84" si="39">SUM(B81:B83)</f>
        <v>75658.990000000005</v>
      </c>
      <c r="C84" s="107">
        <f t="shared" si="39"/>
        <v>75710.460000000006</v>
      </c>
      <c r="D84" s="107">
        <f t="shared" si="39"/>
        <v>63566.38</v>
      </c>
      <c r="E84" s="107">
        <f t="shared" si="39"/>
        <v>33781.74</v>
      </c>
      <c r="F84" s="107">
        <f t="shared" si="39"/>
        <v>31955.96</v>
      </c>
      <c r="G84" s="107">
        <f t="shared" si="39"/>
        <v>42138.34</v>
      </c>
      <c r="H84" s="107">
        <f t="shared" si="39"/>
        <v>43910.39</v>
      </c>
      <c r="I84" s="107">
        <f t="shared" si="39"/>
        <v>38027.550000000003</v>
      </c>
      <c r="J84" s="107">
        <f t="shared" si="39"/>
        <v>50844.480000000003</v>
      </c>
      <c r="K84" s="107">
        <f t="shared" si="39"/>
        <v>72172.800000000003</v>
      </c>
      <c r="L84" s="107">
        <f t="shared" si="39"/>
        <v>80975.66</v>
      </c>
      <c r="M84" s="107">
        <f t="shared" si="39"/>
        <v>63430.03</v>
      </c>
      <c r="N84" s="107">
        <v>672172.78</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112356</v>
      </c>
      <c r="C87" s="111">
        <v>105810</v>
      </c>
      <c r="D87" s="111">
        <v>112560</v>
      </c>
      <c r="E87" s="111">
        <v>107858</v>
      </c>
      <c r="F87" s="111">
        <v>128603</v>
      </c>
      <c r="G87" s="111">
        <v>113278</v>
      </c>
      <c r="H87" s="111">
        <v>105200</v>
      </c>
      <c r="I87" s="111">
        <v>111290</v>
      </c>
      <c r="J87" s="111">
        <v>123295</v>
      </c>
      <c r="K87" s="111">
        <v>136715</v>
      </c>
      <c r="L87" s="111">
        <v>120760</v>
      </c>
      <c r="M87" s="111">
        <v>125485</v>
      </c>
      <c r="N87" s="111">
        <v>1403210</v>
      </c>
    </row>
    <row r="88" spans="1:14">
      <c r="A88" s="64" t="s">
        <v>76</v>
      </c>
      <c r="B88" s="107">
        <f t="shared" ref="B88:M88" si="40">SUM(B85:B87)</f>
        <v>112356</v>
      </c>
      <c r="C88" s="107">
        <f t="shared" si="40"/>
        <v>105810</v>
      </c>
      <c r="D88" s="107">
        <f t="shared" si="40"/>
        <v>112560</v>
      </c>
      <c r="E88" s="107">
        <f t="shared" si="40"/>
        <v>107858</v>
      </c>
      <c r="F88" s="107">
        <f t="shared" si="40"/>
        <v>128603</v>
      </c>
      <c r="G88" s="107">
        <f t="shared" si="40"/>
        <v>113278</v>
      </c>
      <c r="H88" s="107">
        <f t="shared" si="40"/>
        <v>105200</v>
      </c>
      <c r="I88" s="107">
        <f t="shared" si="40"/>
        <v>111290</v>
      </c>
      <c r="J88" s="107">
        <f t="shared" si="40"/>
        <v>123295</v>
      </c>
      <c r="K88" s="107">
        <f t="shared" si="40"/>
        <v>136715</v>
      </c>
      <c r="L88" s="107">
        <f t="shared" si="40"/>
        <v>120760</v>
      </c>
      <c r="M88" s="107">
        <f t="shared" si="40"/>
        <v>125485</v>
      </c>
      <c r="N88" s="107">
        <v>1403210</v>
      </c>
    </row>
    <row r="89" spans="1:14">
      <c r="A89" s="64"/>
      <c r="B89" s="113"/>
      <c r="C89" s="113"/>
      <c r="D89" s="113"/>
      <c r="E89" s="113"/>
      <c r="F89" s="113"/>
      <c r="G89" s="113"/>
      <c r="H89" s="113"/>
      <c r="I89" s="113"/>
      <c r="J89" s="113"/>
      <c r="K89" s="113"/>
      <c r="L89" s="113"/>
      <c r="M89" s="113"/>
      <c r="N89" s="113"/>
    </row>
    <row r="90" spans="1:14">
      <c r="A90" s="64" t="s">
        <v>42</v>
      </c>
      <c r="B90" s="107">
        <f t="shared" ref="B90:M90" si="41">SUM(B67:B89)-B69-B73-B77-B80-B84-B88</f>
        <v>480487.7300000001</v>
      </c>
      <c r="C90" s="107">
        <f t="shared" si="41"/>
        <v>494461.5199999999</v>
      </c>
      <c r="D90" s="107">
        <f t="shared" si="41"/>
        <v>477791.66000000003</v>
      </c>
      <c r="E90" s="107">
        <f t="shared" si="41"/>
        <v>423227.03</v>
      </c>
      <c r="F90" s="107">
        <f t="shared" si="41"/>
        <v>425292.66999999993</v>
      </c>
      <c r="G90" s="107">
        <f t="shared" si="41"/>
        <v>576096.55000000005</v>
      </c>
      <c r="H90" s="107">
        <f t="shared" si="41"/>
        <v>493019.81000000017</v>
      </c>
      <c r="I90" s="107">
        <f t="shared" si="41"/>
        <v>479960.89</v>
      </c>
      <c r="J90" s="107">
        <f t="shared" si="41"/>
        <v>479048</v>
      </c>
      <c r="K90" s="107">
        <f t="shared" si="41"/>
        <v>466130.57999999996</v>
      </c>
      <c r="L90" s="107">
        <f t="shared" si="41"/>
        <v>483173.03</v>
      </c>
      <c r="M90" s="107">
        <f t="shared" si="41"/>
        <v>511198.55000000005</v>
      </c>
      <c r="N90" s="107">
        <v>5789888.0199999996</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123.66</v>
      </c>
      <c r="C95" s="111">
        <v>128.46</v>
      </c>
      <c r="D95" s="111">
        <v>4860.2299999999996</v>
      </c>
      <c r="E95" s="111">
        <v>9996.0300000000007</v>
      </c>
      <c r="F95" s="111">
        <v>-5277.37</v>
      </c>
      <c r="G95" s="111">
        <v>-3730.73</v>
      </c>
      <c r="H95" s="113"/>
      <c r="I95" s="111">
        <v>12</v>
      </c>
      <c r="J95" s="111"/>
      <c r="K95" s="111">
        <v>-287.14999999999998</v>
      </c>
      <c r="L95" s="113"/>
      <c r="M95" s="111">
        <v>39.72</v>
      </c>
      <c r="N95" s="111">
        <v>5864.85</v>
      </c>
    </row>
    <row r="96" spans="1:14">
      <c r="A96" s="64" t="s">
        <v>67</v>
      </c>
      <c r="B96" s="107">
        <f t="shared" ref="B96:G96" si="42">SUM(B94:B95)</f>
        <v>123.66</v>
      </c>
      <c r="C96" s="107">
        <f t="shared" si="42"/>
        <v>128.46</v>
      </c>
      <c r="D96" s="107">
        <f t="shared" si="42"/>
        <v>4860.2299999999996</v>
      </c>
      <c r="E96" s="107">
        <f t="shared" si="42"/>
        <v>9996.0300000000007</v>
      </c>
      <c r="F96" s="107">
        <f t="shared" si="42"/>
        <v>-5277.37</v>
      </c>
      <c r="G96" s="107">
        <f t="shared" si="42"/>
        <v>-3730.73</v>
      </c>
      <c r="H96" s="107"/>
      <c r="I96" s="107">
        <f>SUM(I94:I95)</f>
        <v>12</v>
      </c>
      <c r="J96" s="107"/>
      <c r="K96" s="107">
        <f>SUM(K94:K95)</f>
        <v>-287.14999999999998</v>
      </c>
      <c r="L96" s="107"/>
      <c r="M96" s="107">
        <f>SUM(M94:M95)</f>
        <v>39.72</v>
      </c>
      <c r="N96" s="107">
        <v>5864.85</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1">
        <v>150.47999999999999</v>
      </c>
      <c r="C99" s="113"/>
      <c r="D99" s="113"/>
      <c r="E99" s="113"/>
      <c r="F99" s="113"/>
      <c r="G99" s="113"/>
      <c r="H99" s="113"/>
      <c r="I99" s="111">
        <v>30.5</v>
      </c>
      <c r="J99" s="113"/>
      <c r="K99" s="113"/>
      <c r="L99" s="113"/>
      <c r="M99" s="113"/>
      <c r="N99" s="111">
        <v>180.98</v>
      </c>
    </row>
    <row r="100" spans="1:14">
      <c r="A100" s="64" t="s">
        <v>69</v>
      </c>
      <c r="B100" s="107">
        <f>SUM(B97:B99)</f>
        <v>150.47999999999999</v>
      </c>
      <c r="C100" s="107"/>
      <c r="D100" s="107"/>
      <c r="E100" s="107"/>
      <c r="F100" s="107"/>
      <c r="G100" s="107"/>
      <c r="H100" s="107"/>
      <c r="I100" s="107">
        <f>SUM(I97:I99)</f>
        <v>30.5</v>
      </c>
      <c r="J100" s="107"/>
      <c r="K100" s="107"/>
      <c r="L100" s="107"/>
      <c r="M100" s="107"/>
      <c r="N100" s="107">
        <v>180.98</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-132.29</v>
      </c>
      <c r="C103" s="111">
        <v>-351.15</v>
      </c>
      <c r="D103" s="113"/>
      <c r="E103" s="111">
        <v>-5692.27</v>
      </c>
      <c r="F103" s="111">
        <v>-2602.5100000000002</v>
      </c>
      <c r="G103" s="111">
        <v>-10187.219999999999</v>
      </c>
      <c r="H103" s="113"/>
      <c r="I103" s="111">
        <v>-1775.9</v>
      </c>
      <c r="J103" s="111"/>
      <c r="K103" s="111">
        <v>-7560.55</v>
      </c>
      <c r="L103" s="111">
        <v>-4998.9399999999996</v>
      </c>
      <c r="M103" s="111">
        <v>2155.73</v>
      </c>
      <c r="N103" s="111">
        <v>-31145.1</v>
      </c>
    </row>
    <row r="104" spans="1:14">
      <c r="A104" s="64" t="s">
        <v>71</v>
      </c>
      <c r="B104" s="107">
        <f>SUM(B101:B103)</f>
        <v>-132.29</v>
      </c>
      <c r="C104" s="107">
        <f>SUM(C101:C103)</f>
        <v>-351.15</v>
      </c>
      <c r="D104" s="107"/>
      <c r="E104" s="107">
        <f>SUM(E101:E103)</f>
        <v>-5692.27</v>
      </c>
      <c r="F104" s="107">
        <f>SUM(F101:F103)</f>
        <v>-2602.5100000000002</v>
      </c>
      <c r="G104" s="107">
        <f>SUM(G101:G103)</f>
        <v>-10187.219999999999</v>
      </c>
      <c r="H104" s="107"/>
      <c r="I104" s="107">
        <f>SUM(I101:I103)</f>
        <v>-1775.9</v>
      </c>
      <c r="J104" s="107"/>
      <c r="K104" s="107">
        <f>SUM(K101:K103)</f>
        <v>-7560.55</v>
      </c>
      <c r="L104" s="107">
        <f>SUM(L101:L103)</f>
        <v>-4998.9399999999996</v>
      </c>
      <c r="M104" s="107">
        <f>SUM(M101:M103)</f>
        <v>2155.73</v>
      </c>
      <c r="N104" s="107">
        <v>-31145.1</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-580.13</v>
      </c>
      <c r="C110" s="111">
        <v>536.66</v>
      </c>
      <c r="D110" s="111">
        <v>519.24</v>
      </c>
      <c r="E110" s="111">
        <v>400.4</v>
      </c>
      <c r="F110" s="111">
        <v>-227.65</v>
      </c>
      <c r="G110" s="111">
        <v>-73.599999999999994</v>
      </c>
      <c r="H110" s="111">
        <v>-1142.47</v>
      </c>
      <c r="I110" s="111">
        <v>-2861.53</v>
      </c>
      <c r="J110" s="111"/>
      <c r="K110" s="113"/>
      <c r="L110" s="111">
        <v>-25.76</v>
      </c>
      <c r="M110" s="111">
        <v>-4695.3599999999997</v>
      </c>
      <c r="N110" s="111">
        <v>-8150.2</v>
      </c>
    </row>
    <row r="111" spans="1:14">
      <c r="A111" s="64" t="s">
        <v>74</v>
      </c>
      <c r="B111" s="107">
        <f t="shared" ref="B111:I111" si="43">SUM(B108:B110)</f>
        <v>-580.13</v>
      </c>
      <c r="C111" s="107">
        <f t="shared" si="43"/>
        <v>536.66</v>
      </c>
      <c r="D111" s="107">
        <f t="shared" si="43"/>
        <v>519.24</v>
      </c>
      <c r="E111" s="107">
        <f t="shared" si="43"/>
        <v>400.4</v>
      </c>
      <c r="F111" s="107">
        <f t="shared" si="43"/>
        <v>-227.65</v>
      </c>
      <c r="G111" s="107">
        <f t="shared" si="43"/>
        <v>-73.599999999999994</v>
      </c>
      <c r="H111" s="107">
        <f t="shared" si="43"/>
        <v>-1142.47</v>
      </c>
      <c r="I111" s="107">
        <f t="shared" si="43"/>
        <v>-2861.53</v>
      </c>
      <c r="J111" s="107"/>
      <c r="K111" s="107"/>
      <c r="L111" s="107">
        <f>SUM(L108:L110)</f>
        <v>-25.76</v>
      </c>
      <c r="M111" s="107">
        <f>SUM(M108:M110)</f>
        <v>-4695.3599999999997</v>
      </c>
      <c r="N111" s="107">
        <v>-8150.2</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3"/>
      <c r="C114" s="111">
        <v>-150</v>
      </c>
      <c r="D114" s="111">
        <v>-4650</v>
      </c>
      <c r="E114" s="111">
        <v>-18300</v>
      </c>
      <c r="F114" s="111">
        <v>7800</v>
      </c>
      <c r="G114" s="111">
        <v>4500</v>
      </c>
      <c r="H114" s="111">
        <v>-241</v>
      </c>
      <c r="I114" s="113"/>
      <c r="J114" s="113"/>
      <c r="K114" s="113"/>
      <c r="L114" s="113"/>
      <c r="M114" s="113"/>
      <c r="N114" s="111">
        <v>-11041</v>
      </c>
    </row>
    <row r="115" spans="1:14">
      <c r="A115" s="64" t="s">
        <v>76</v>
      </c>
      <c r="B115" s="107"/>
      <c r="C115" s="107">
        <f t="shared" ref="C115:H115" si="44">SUM(C112:C114)</f>
        <v>-150</v>
      </c>
      <c r="D115" s="107">
        <f t="shared" si="44"/>
        <v>-4650</v>
      </c>
      <c r="E115" s="107">
        <f t="shared" si="44"/>
        <v>-18300</v>
      </c>
      <c r="F115" s="107">
        <f t="shared" si="44"/>
        <v>7800</v>
      </c>
      <c r="G115" s="107">
        <f t="shared" si="44"/>
        <v>4500</v>
      </c>
      <c r="H115" s="107">
        <f t="shared" si="44"/>
        <v>-241</v>
      </c>
      <c r="I115" s="107"/>
      <c r="J115" s="107"/>
      <c r="K115" s="107"/>
      <c r="L115" s="107"/>
      <c r="M115" s="107"/>
      <c r="N115" s="107">
        <v>-11041</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I117" si="45">SUM(B92:B116)-B96-B100-B104-B107-B111-B115</f>
        <v>-438.27999999999986</v>
      </c>
      <c r="C117" s="107">
        <f t="shared" si="45"/>
        <v>163.97000000000003</v>
      </c>
      <c r="D117" s="107">
        <f t="shared" si="45"/>
        <v>729.46999999999935</v>
      </c>
      <c r="E117" s="107">
        <f t="shared" si="45"/>
        <v>-13595.84</v>
      </c>
      <c r="F117" s="107">
        <f t="shared" si="45"/>
        <v>-307.52999999999975</v>
      </c>
      <c r="G117" s="107">
        <f t="shared" si="45"/>
        <v>-9491.5499999999993</v>
      </c>
      <c r="H117" s="107">
        <f t="shared" si="45"/>
        <v>-1383.47</v>
      </c>
      <c r="I117" s="107">
        <f t="shared" si="45"/>
        <v>-4594.93</v>
      </c>
      <c r="J117" s="107"/>
      <c r="K117" s="107">
        <f>SUM(K92:K116)-K96-K100-K104-K107-K111-K115</f>
        <v>-7847.7000000000016</v>
      </c>
      <c r="L117" s="107">
        <f>SUM(L92:L116)-L96-L100-L104-L107-L111-L115</f>
        <v>-5024.7</v>
      </c>
      <c r="M117" s="107">
        <f>SUM(M92:M116)-M96-M100-M104-M107-M111-M115</f>
        <v>-2499.9100000000008</v>
      </c>
      <c r="N117" s="107">
        <v>-44290.47</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78</v>
      </c>
      <c r="B122" s="22"/>
      <c r="C122" s="22"/>
      <c r="D122" s="22"/>
      <c r="E122" s="22"/>
      <c r="F122" s="22"/>
      <c r="G122" s="22"/>
      <c r="H122" s="22"/>
      <c r="I122" s="22"/>
      <c r="J122" s="22"/>
      <c r="K122" s="22"/>
      <c r="L122" s="22"/>
      <c r="M122" s="107">
        <v>-2375</v>
      </c>
      <c r="N122" s="107">
        <v>-2375</v>
      </c>
    </row>
    <row r="123" spans="1:14">
      <c r="A123" s="64" t="s">
        <v>354</v>
      </c>
      <c r="B123" s="22"/>
      <c r="C123" s="22"/>
      <c r="D123" s="22"/>
      <c r="E123" s="22"/>
      <c r="F123" s="22"/>
      <c r="G123" s="22"/>
      <c r="H123" s="22"/>
      <c r="I123" s="22"/>
      <c r="J123" s="22"/>
      <c r="K123" s="22"/>
      <c r="L123" s="22"/>
      <c r="M123" s="22"/>
      <c r="N123" s="22"/>
    </row>
    <row r="124" spans="1:14">
      <c r="A124" s="64" t="s">
        <v>84</v>
      </c>
      <c r="B124" s="113"/>
      <c r="C124" s="113"/>
      <c r="D124" s="113"/>
      <c r="E124" s="113"/>
      <c r="F124" s="113"/>
      <c r="G124" s="113"/>
      <c r="H124" s="113"/>
      <c r="I124" s="113"/>
      <c r="J124" s="113"/>
      <c r="K124" s="113"/>
      <c r="L124" s="113"/>
      <c r="M124" s="111">
        <v>2375</v>
      </c>
      <c r="N124" s="111">
        <v>2375</v>
      </c>
    </row>
    <row r="125" spans="1:14">
      <c r="A125" s="64"/>
      <c r="B125" s="22"/>
      <c r="C125" s="22"/>
      <c r="D125" s="22"/>
      <c r="E125" s="22"/>
      <c r="F125" s="22"/>
      <c r="G125" s="22"/>
      <c r="H125" s="22"/>
      <c r="I125" s="22"/>
      <c r="J125" s="22"/>
      <c r="K125" s="22"/>
      <c r="L125" s="22"/>
      <c r="M125" s="22"/>
      <c r="N125" s="22"/>
    </row>
    <row r="126" spans="1:14">
      <c r="A126" s="64" t="s">
        <v>20</v>
      </c>
      <c r="B126" s="113"/>
      <c r="C126" s="113"/>
      <c r="D126" s="113"/>
      <c r="E126" s="113"/>
      <c r="F126" s="113"/>
      <c r="G126" s="113"/>
      <c r="H126" s="113"/>
      <c r="I126" s="113"/>
      <c r="J126" s="113"/>
      <c r="K126" s="113"/>
      <c r="L126" s="113"/>
      <c r="M126" s="113"/>
      <c r="N126" s="113"/>
    </row>
    <row r="127" spans="1:14">
      <c r="A127" s="64"/>
      <c r="B127" s="22"/>
      <c r="C127" s="22"/>
      <c r="D127" s="22"/>
      <c r="E127" s="22"/>
      <c r="F127" s="22"/>
      <c r="G127" s="22"/>
      <c r="H127" s="22"/>
      <c r="I127" s="22"/>
      <c r="J127" s="22"/>
      <c r="K127" s="22"/>
      <c r="L127" s="22"/>
      <c r="M127" s="22"/>
      <c r="N127" s="22"/>
    </row>
    <row r="128" spans="1:14">
      <c r="A128" s="64" t="s">
        <v>88</v>
      </c>
      <c r="B128" s="22"/>
      <c r="C128" s="22"/>
      <c r="D128" s="22"/>
      <c r="E128" s="22"/>
      <c r="F128" s="22"/>
      <c r="G128" s="22"/>
      <c r="H128" s="22"/>
      <c r="I128" s="22"/>
      <c r="J128" s="22"/>
      <c r="K128" s="22"/>
      <c r="L128" s="22"/>
      <c r="M128" s="22"/>
      <c r="N128" s="22"/>
    </row>
    <row r="129" spans="1:14">
      <c r="A129" s="64" t="s">
        <v>89</v>
      </c>
      <c r="B129" s="107">
        <v>3790.56</v>
      </c>
      <c r="C129" s="107">
        <v>3762.51</v>
      </c>
      <c r="D129" s="107">
        <v>4175.5200000000004</v>
      </c>
      <c r="E129" s="107">
        <v>4589.93</v>
      </c>
      <c r="F129" s="107">
        <v>1405</v>
      </c>
      <c r="G129" s="107">
        <v>7775</v>
      </c>
      <c r="H129" s="107">
        <v>7646.36</v>
      </c>
      <c r="I129" s="107">
        <v>6496.99</v>
      </c>
      <c r="J129" s="107">
        <v>6112.38</v>
      </c>
      <c r="K129" s="107">
        <v>3892.82</v>
      </c>
      <c r="L129" s="107">
        <v>4251.25</v>
      </c>
      <c r="M129" s="107">
        <v>3334.29</v>
      </c>
      <c r="N129" s="107">
        <v>57232.61</v>
      </c>
    </row>
    <row r="130" spans="1:14">
      <c r="A130" s="64" t="s">
        <v>90</v>
      </c>
      <c r="B130" s="107">
        <v>34380</v>
      </c>
      <c r="C130" s="107">
        <v>44210</v>
      </c>
      <c r="D130" s="107">
        <v>37620</v>
      </c>
      <c r="E130" s="107">
        <v>28865</v>
      </c>
      <c r="F130" s="107">
        <v>24015</v>
      </c>
      <c r="G130" s="107">
        <v>31115</v>
      </c>
      <c r="H130" s="107">
        <v>34710</v>
      </c>
      <c r="I130" s="107">
        <v>33485</v>
      </c>
      <c r="J130" s="107">
        <v>25500</v>
      </c>
      <c r="K130" s="107">
        <v>14840</v>
      </c>
      <c r="L130" s="107">
        <v>26945</v>
      </c>
      <c r="M130" s="107">
        <v>33110</v>
      </c>
      <c r="N130" s="107">
        <v>368795</v>
      </c>
    </row>
    <row r="131" spans="1:14">
      <c r="A131" s="64" t="s">
        <v>91</v>
      </c>
      <c r="B131" s="107">
        <v>32790</v>
      </c>
      <c r="C131" s="107">
        <v>39725</v>
      </c>
      <c r="D131" s="107">
        <v>35015</v>
      </c>
      <c r="E131" s="107">
        <v>30175</v>
      </c>
      <c r="F131" s="107">
        <v>24740</v>
      </c>
      <c r="G131" s="107">
        <v>30365</v>
      </c>
      <c r="H131" s="107">
        <v>32450</v>
      </c>
      <c r="I131" s="107">
        <v>30090</v>
      </c>
      <c r="J131" s="107">
        <v>26910</v>
      </c>
      <c r="K131" s="107">
        <v>14895</v>
      </c>
      <c r="L131" s="107">
        <v>25635</v>
      </c>
      <c r="M131" s="107">
        <v>29130</v>
      </c>
      <c r="N131" s="107">
        <v>351920</v>
      </c>
    </row>
    <row r="132" spans="1:14">
      <c r="A132" s="64" t="s">
        <v>92</v>
      </c>
      <c r="B132" s="107">
        <v>1085</v>
      </c>
      <c r="C132" s="107">
        <v>1860</v>
      </c>
      <c r="D132" s="22"/>
      <c r="E132" s="107">
        <v>4495</v>
      </c>
      <c r="F132" s="107">
        <v>5955</v>
      </c>
      <c r="G132" s="107">
        <v>7315</v>
      </c>
      <c r="H132" s="107">
        <v>7230</v>
      </c>
      <c r="I132" s="107">
        <v>8620</v>
      </c>
      <c r="J132" s="107">
        <v>3105</v>
      </c>
      <c r="K132" s="107">
        <v>1355</v>
      </c>
      <c r="L132" s="107">
        <v>7370</v>
      </c>
      <c r="M132" s="107">
        <v>3540</v>
      </c>
      <c r="N132" s="107">
        <v>51930</v>
      </c>
    </row>
    <row r="133" spans="1:14">
      <c r="A133" s="64" t="s">
        <v>94</v>
      </c>
      <c r="B133" s="107">
        <v>450</v>
      </c>
      <c r="C133" s="107">
        <v>1350</v>
      </c>
      <c r="D133" s="107">
        <v>900</v>
      </c>
      <c r="E133" s="107">
        <v>900</v>
      </c>
      <c r="F133" s="107">
        <v>450</v>
      </c>
      <c r="G133" s="107">
        <v>2700</v>
      </c>
      <c r="H133" s="107">
        <v>1800</v>
      </c>
      <c r="I133" s="107">
        <v>2250</v>
      </c>
      <c r="J133" s="107"/>
      <c r="K133" s="107">
        <v>450</v>
      </c>
      <c r="L133" s="107">
        <v>450</v>
      </c>
      <c r="M133" s="107">
        <v>1350</v>
      </c>
      <c r="N133" s="107">
        <v>13050</v>
      </c>
    </row>
    <row r="134" spans="1:14">
      <c r="A134" s="64" t="s">
        <v>95</v>
      </c>
      <c r="B134" s="107">
        <v>1146.6099999999999</v>
      </c>
      <c r="C134" s="107">
        <v>839.96</v>
      </c>
      <c r="D134" s="107">
        <v>212.33</v>
      </c>
      <c r="E134" s="107">
        <v>413.92</v>
      </c>
      <c r="F134" s="107">
        <v>420.99</v>
      </c>
      <c r="G134" s="107">
        <v>581</v>
      </c>
      <c r="H134" s="107">
        <v>1038.72</v>
      </c>
      <c r="I134" s="107">
        <v>258.64999999999998</v>
      </c>
      <c r="J134" s="107">
        <v>642.16999999999996</v>
      </c>
      <c r="K134" s="107">
        <v>578.33000000000004</v>
      </c>
      <c r="L134" s="107">
        <v>340.86</v>
      </c>
      <c r="M134" s="107">
        <v>691.07</v>
      </c>
      <c r="N134" s="107">
        <v>7164.61</v>
      </c>
    </row>
    <row r="135" spans="1:14">
      <c r="A135" s="64" t="s">
        <v>98</v>
      </c>
      <c r="B135" s="111">
        <v>-73642.17</v>
      </c>
      <c r="C135" s="111">
        <v>-91747.47</v>
      </c>
      <c r="D135" s="111">
        <v>-77922.850000000006</v>
      </c>
      <c r="E135" s="111">
        <v>-69438.850000000006</v>
      </c>
      <c r="F135" s="111">
        <v>-56985.99</v>
      </c>
      <c r="G135" s="111">
        <v>-79851</v>
      </c>
      <c r="H135" s="111">
        <v>-84875.08</v>
      </c>
      <c r="I135" s="111">
        <v>-78950.64</v>
      </c>
      <c r="J135" s="111">
        <v>-64519.55</v>
      </c>
      <c r="K135" s="111">
        <v>-36011.15</v>
      </c>
      <c r="L135" s="111">
        <v>-64992.11</v>
      </c>
      <c r="M135" s="111">
        <v>-71155.360000000001</v>
      </c>
      <c r="N135" s="111">
        <v>-850092.22</v>
      </c>
    </row>
    <row r="136" spans="1:14">
      <c r="A136" s="64" t="s">
        <v>357</v>
      </c>
      <c r="B136" s="107"/>
      <c r="C136" s="107"/>
      <c r="D136" s="107"/>
      <c r="E136" s="107"/>
      <c r="F136" s="107"/>
      <c r="G136" s="107"/>
      <c r="H136" s="107"/>
      <c r="I136" s="107">
        <f>SUM(I128:I135)</f>
        <v>2249.9999999999854</v>
      </c>
      <c r="J136" s="107">
        <f>SUM(J128:J135)</f>
        <v>-2250</v>
      </c>
      <c r="K136" s="107"/>
      <c r="L136" s="107"/>
      <c r="M136" s="107"/>
      <c r="N136" s="107"/>
    </row>
    <row r="137" spans="1:14">
      <c r="A137" s="64"/>
      <c r="B137" s="22"/>
      <c r="C137" s="22"/>
      <c r="D137" s="22"/>
      <c r="E137" s="22"/>
      <c r="F137" s="22"/>
      <c r="G137" s="22"/>
      <c r="H137" s="22"/>
      <c r="I137" s="22"/>
      <c r="J137" s="22"/>
      <c r="K137" s="22"/>
      <c r="L137" s="22"/>
      <c r="M137" s="22"/>
      <c r="N137" s="22"/>
    </row>
    <row r="138" spans="1:14">
      <c r="A138" s="64" t="s">
        <v>99</v>
      </c>
      <c r="B138" s="22"/>
      <c r="C138" s="22"/>
      <c r="D138" s="22"/>
      <c r="E138" s="22"/>
      <c r="F138" s="22"/>
      <c r="G138" s="22"/>
      <c r="H138" s="22"/>
      <c r="I138" s="22"/>
      <c r="J138" s="22"/>
      <c r="K138" s="22"/>
      <c r="L138" s="22"/>
      <c r="M138" s="22"/>
      <c r="N138" s="22"/>
    </row>
    <row r="139" spans="1:14">
      <c r="A139" s="64" t="s">
        <v>382</v>
      </c>
      <c r="B139" s="22"/>
      <c r="C139" s="22"/>
      <c r="D139" s="22"/>
      <c r="E139" s="22"/>
      <c r="F139" s="22"/>
      <c r="G139" s="107">
        <v>776.49</v>
      </c>
      <c r="H139" s="22"/>
      <c r="I139" s="22"/>
      <c r="J139" s="22"/>
      <c r="K139" s="22"/>
      <c r="L139" s="22"/>
      <c r="M139" s="22"/>
      <c r="N139" s="107">
        <v>776.49</v>
      </c>
    </row>
    <row r="140" spans="1:14">
      <c r="A140" s="64" t="s">
        <v>100</v>
      </c>
      <c r="B140" s="107">
        <v>20260</v>
      </c>
      <c r="C140" s="107">
        <v>26545</v>
      </c>
      <c r="D140" s="107">
        <v>7835</v>
      </c>
      <c r="E140" s="107">
        <v>15235</v>
      </c>
      <c r="F140" s="107">
        <v>41095</v>
      </c>
      <c r="G140" s="107">
        <v>45265</v>
      </c>
      <c r="H140" s="107">
        <v>15325</v>
      </c>
      <c r="I140" s="107">
        <v>43055</v>
      </c>
      <c r="J140" s="107">
        <v>24835</v>
      </c>
      <c r="K140" s="107">
        <v>37830</v>
      </c>
      <c r="L140" s="107">
        <v>26495</v>
      </c>
      <c r="M140" s="107">
        <v>27585</v>
      </c>
      <c r="N140" s="107">
        <v>331360</v>
      </c>
    </row>
    <row r="141" spans="1:14">
      <c r="A141" s="64" t="s">
        <v>101</v>
      </c>
      <c r="B141" s="107">
        <v>16165</v>
      </c>
      <c r="C141" s="107">
        <v>16615</v>
      </c>
      <c r="D141" s="107">
        <v>15445</v>
      </c>
      <c r="E141" s="107">
        <v>26250</v>
      </c>
      <c r="F141" s="107">
        <v>17300</v>
      </c>
      <c r="G141" s="107">
        <v>26865</v>
      </c>
      <c r="H141" s="107">
        <v>18140</v>
      </c>
      <c r="I141" s="107">
        <v>28205</v>
      </c>
      <c r="J141" s="107">
        <v>20100</v>
      </c>
      <c r="K141" s="107">
        <v>15330</v>
      </c>
      <c r="L141" s="107">
        <v>23910</v>
      </c>
      <c r="M141" s="107">
        <v>26845</v>
      </c>
      <c r="N141" s="107">
        <v>251170</v>
      </c>
    </row>
    <row r="142" spans="1:14">
      <c r="A142" s="64" t="s">
        <v>102</v>
      </c>
      <c r="B142" s="22"/>
      <c r="C142" s="107">
        <v>5240</v>
      </c>
      <c r="D142" s="107">
        <v>3840</v>
      </c>
      <c r="E142" s="107">
        <v>8385</v>
      </c>
      <c r="F142" s="107">
        <v>5625</v>
      </c>
      <c r="G142" s="107">
        <v>2700</v>
      </c>
      <c r="H142" s="107">
        <v>1625</v>
      </c>
      <c r="I142" s="107">
        <v>3810</v>
      </c>
      <c r="J142" s="107">
        <v>2135</v>
      </c>
      <c r="K142" s="107">
        <v>6885</v>
      </c>
      <c r="L142" s="107">
        <v>4350</v>
      </c>
      <c r="M142" s="107">
        <v>150</v>
      </c>
      <c r="N142" s="107">
        <v>44745</v>
      </c>
    </row>
    <row r="143" spans="1:14">
      <c r="A143" s="64" t="s">
        <v>103</v>
      </c>
      <c r="B143" s="111">
        <v>-23499.77</v>
      </c>
      <c r="C143" s="111">
        <v>-30236.48</v>
      </c>
      <c r="D143" s="111">
        <v>-16090.04</v>
      </c>
      <c r="E143" s="111">
        <v>-30671.16</v>
      </c>
      <c r="F143" s="111">
        <v>-44058.06</v>
      </c>
      <c r="G143" s="111">
        <v>-51535.35</v>
      </c>
      <c r="H143" s="111">
        <v>-23074.26</v>
      </c>
      <c r="I143" s="111">
        <v>-51708.15</v>
      </c>
      <c r="J143" s="111">
        <v>-32181.87</v>
      </c>
      <c r="K143" s="111">
        <v>-39125.19</v>
      </c>
      <c r="L143" s="111">
        <v>-37478.519999999997</v>
      </c>
      <c r="M143" s="111">
        <v>-37468.080000000002</v>
      </c>
      <c r="N143" s="111">
        <v>-417126.93</v>
      </c>
    </row>
    <row r="144" spans="1:14">
      <c r="A144" s="64" t="s">
        <v>104</v>
      </c>
      <c r="B144" s="107">
        <f t="shared" ref="B144:M144" si="46">SUM(B138:B143)</f>
        <v>12925.23</v>
      </c>
      <c r="C144" s="107">
        <f t="shared" si="46"/>
        <v>18163.52</v>
      </c>
      <c r="D144" s="107">
        <f t="shared" si="46"/>
        <v>11029.96</v>
      </c>
      <c r="E144" s="107">
        <f t="shared" si="46"/>
        <v>19198.84</v>
      </c>
      <c r="F144" s="107">
        <f t="shared" si="46"/>
        <v>19961.940000000002</v>
      </c>
      <c r="G144" s="107">
        <f t="shared" si="46"/>
        <v>24071.139999999992</v>
      </c>
      <c r="H144" s="107">
        <f t="shared" si="46"/>
        <v>12015.740000000002</v>
      </c>
      <c r="I144" s="107">
        <f t="shared" si="46"/>
        <v>23361.85</v>
      </c>
      <c r="J144" s="107">
        <f t="shared" si="46"/>
        <v>14888.130000000001</v>
      </c>
      <c r="K144" s="107">
        <f t="shared" si="46"/>
        <v>20919.809999999998</v>
      </c>
      <c r="L144" s="107">
        <f t="shared" si="46"/>
        <v>17276.480000000003</v>
      </c>
      <c r="M144" s="107">
        <f t="shared" si="46"/>
        <v>17111.919999999998</v>
      </c>
      <c r="N144" s="107">
        <v>210924.56</v>
      </c>
    </row>
    <row r="145" spans="1:14">
      <c r="A145" s="64"/>
      <c r="B145" s="22"/>
      <c r="C145" s="22"/>
      <c r="D145" s="22"/>
      <c r="E145" s="22"/>
      <c r="F145" s="22"/>
      <c r="G145" s="22"/>
      <c r="H145" s="22"/>
      <c r="I145" s="22"/>
      <c r="J145" s="22"/>
      <c r="K145" s="22"/>
      <c r="L145" s="22"/>
      <c r="M145" s="22"/>
      <c r="N145" s="22"/>
    </row>
    <row r="146" spans="1:14">
      <c r="A146" s="64" t="s">
        <v>105</v>
      </c>
      <c r="B146" s="113"/>
      <c r="C146" s="113"/>
      <c r="D146" s="113"/>
      <c r="E146" s="113"/>
      <c r="F146" s="113"/>
      <c r="G146" s="113"/>
      <c r="H146" s="113"/>
      <c r="I146" s="113"/>
      <c r="J146" s="113"/>
      <c r="K146" s="113"/>
      <c r="L146" s="113"/>
      <c r="M146" s="113"/>
      <c r="N146" s="113"/>
    </row>
    <row r="147" spans="1:14">
      <c r="A147" s="64"/>
      <c r="B147" s="22"/>
      <c r="C147" s="22"/>
      <c r="D147" s="22"/>
      <c r="E147" s="22"/>
      <c r="F147" s="22"/>
      <c r="G147" s="22"/>
      <c r="H147" s="22"/>
      <c r="I147" s="22"/>
      <c r="J147" s="22"/>
      <c r="K147" s="22"/>
      <c r="L147" s="22"/>
      <c r="M147" s="22"/>
      <c r="N147" s="22"/>
    </row>
    <row r="148" spans="1:14">
      <c r="A148" s="64" t="s">
        <v>106</v>
      </c>
      <c r="B148" s="22"/>
      <c r="C148" s="22"/>
      <c r="D148" s="22"/>
      <c r="E148" s="22"/>
      <c r="F148" s="22"/>
      <c r="G148" s="22"/>
      <c r="H148" s="22"/>
      <c r="I148" s="22"/>
      <c r="J148" s="22"/>
      <c r="K148" s="22"/>
      <c r="L148" s="22"/>
      <c r="M148" s="22"/>
      <c r="N148" s="22"/>
    </row>
    <row r="149" spans="1:14">
      <c r="A149" s="64" t="s">
        <v>107</v>
      </c>
      <c r="B149" s="107">
        <v>9209.76</v>
      </c>
      <c r="C149" s="107">
        <v>6016.74</v>
      </c>
      <c r="D149" s="107">
        <v>5993.34</v>
      </c>
      <c r="E149" s="107">
        <v>2511.06</v>
      </c>
      <c r="F149" s="107">
        <v>3209.47</v>
      </c>
      <c r="G149" s="107">
        <v>4969.51</v>
      </c>
      <c r="H149" s="107">
        <v>4541.47</v>
      </c>
      <c r="I149" s="107">
        <v>6299.87</v>
      </c>
      <c r="J149" s="107">
        <v>4171.17</v>
      </c>
      <c r="K149" s="107">
        <v>10552.34</v>
      </c>
      <c r="L149" s="107">
        <v>10723.69</v>
      </c>
      <c r="M149" s="107">
        <v>6202.78</v>
      </c>
      <c r="N149" s="107">
        <v>74401.2</v>
      </c>
    </row>
    <row r="150" spans="1:14">
      <c r="A150" s="64" t="s">
        <v>383</v>
      </c>
      <c r="B150" s="22"/>
      <c r="C150" s="22"/>
      <c r="D150" s="22"/>
      <c r="E150" s="22"/>
      <c r="F150" s="22"/>
      <c r="G150" s="107">
        <v>557.48</v>
      </c>
      <c r="H150" s="22"/>
      <c r="I150" s="22"/>
      <c r="J150" s="22"/>
      <c r="K150" s="22"/>
      <c r="L150" s="22"/>
      <c r="M150" s="22"/>
      <c r="N150" s="107">
        <v>557.48</v>
      </c>
    </row>
    <row r="151" spans="1:14">
      <c r="A151" s="64" t="s">
        <v>108</v>
      </c>
      <c r="B151" s="107">
        <v>59025</v>
      </c>
      <c r="C151" s="107">
        <v>53020</v>
      </c>
      <c r="D151" s="107">
        <v>60560</v>
      </c>
      <c r="E151" s="107">
        <v>70020</v>
      </c>
      <c r="F151" s="107">
        <v>35590</v>
      </c>
      <c r="G151" s="107">
        <v>27415</v>
      </c>
      <c r="H151" s="107">
        <v>43805</v>
      </c>
      <c r="I151" s="107">
        <v>29250</v>
      </c>
      <c r="J151" s="107">
        <v>33930</v>
      </c>
      <c r="K151" s="107">
        <v>48795</v>
      </c>
      <c r="L151" s="107">
        <v>47835</v>
      </c>
      <c r="M151" s="107">
        <v>44010</v>
      </c>
      <c r="N151" s="107">
        <v>553255</v>
      </c>
    </row>
    <row r="152" spans="1:14">
      <c r="A152" s="64" t="s">
        <v>109</v>
      </c>
      <c r="B152" s="107">
        <v>42745</v>
      </c>
      <c r="C152" s="107">
        <v>57920</v>
      </c>
      <c r="D152" s="107">
        <v>47380</v>
      </c>
      <c r="E152" s="107">
        <v>46890</v>
      </c>
      <c r="F152" s="107">
        <v>38270</v>
      </c>
      <c r="G152" s="107">
        <v>35025</v>
      </c>
      <c r="H152" s="107">
        <v>34085</v>
      </c>
      <c r="I152" s="107">
        <v>28980</v>
      </c>
      <c r="J152" s="107">
        <v>30555</v>
      </c>
      <c r="K152" s="107">
        <v>44050</v>
      </c>
      <c r="L152" s="107">
        <v>29405</v>
      </c>
      <c r="M152" s="107">
        <v>22550</v>
      </c>
      <c r="N152" s="107">
        <v>457855</v>
      </c>
    </row>
    <row r="153" spans="1:14">
      <c r="A153" s="64" t="s">
        <v>110</v>
      </c>
      <c r="B153" s="107">
        <v>4480</v>
      </c>
      <c r="C153" s="107">
        <v>6165</v>
      </c>
      <c r="D153" s="107">
        <v>5540</v>
      </c>
      <c r="E153" s="107">
        <v>4910</v>
      </c>
      <c r="F153" s="107">
        <v>8880</v>
      </c>
      <c r="G153" s="107">
        <v>6315</v>
      </c>
      <c r="H153" s="107">
        <v>7440</v>
      </c>
      <c r="I153" s="107">
        <v>5160</v>
      </c>
      <c r="J153" s="107">
        <v>7940</v>
      </c>
      <c r="K153" s="107">
        <v>8285</v>
      </c>
      <c r="L153" s="107">
        <v>5895</v>
      </c>
      <c r="M153" s="107">
        <v>9500</v>
      </c>
      <c r="N153" s="107">
        <v>80510</v>
      </c>
    </row>
    <row r="154" spans="1:14">
      <c r="A154" s="64" t="s">
        <v>111</v>
      </c>
      <c r="B154" s="107">
        <v>1800</v>
      </c>
      <c r="C154" s="22"/>
      <c r="D154" s="107">
        <v>900</v>
      </c>
      <c r="E154" s="107">
        <v>450</v>
      </c>
      <c r="F154" s="107">
        <v>900</v>
      </c>
      <c r="G154" s="22"/>
      <c r="H154" s="107">
        <v>450</v>
      </c>
      <c r="I154" s="107">
        <v>2250</v>
      </c>
      <c r="J154" s="107">
        <v>450</v>
      </c>
      <c r="K154" s="22"/>
      <c r="L154" s="22"/>
      <c r="M154" s="107">
        <v>900</v>
      </c>
      <c r="N154" s="107">
        <v>8100</v>
      </c>
    </row>
    <row r="155" spans="1:14">
      <c r="A155" s="64" t="s">
        <v>112</v>
      </c>
      <c r="B155" s="107">
        <v>1294.8499999999999</v>
      </c>
      <c r="C155" s="107">
        <v>387.12</v>
      </c>
      <c r="D155" s="107">
        <v>811.1</v>
      </c>
      <c r="E155" s="107">
        <v>90.75</v>
      </c>
      <c r="F155" s="107">
        <v>494.59</v>
      </c>
      <c r="G155" s="107">
        <v>362.01</v>
      </c>
      <c r="H155" s="107">
        <v>647.88</v>
      </c>
      <c r="I155" s="107">
        <v>613.49</v>
      </c>
      <c r="J155" s="107">
        <v>712.47</v>
      </c>
      <c r="K155" s="107">
        <v>1567.24</v>
      </c>
      <c r="L155" s="107">
        <v>611.12</v>
      </c>
      <c r="M155" s="107">
        <v>409.88</v>
      </c>
      <c r="N155" s="107">
        <v>8002.5</v>
      </c>
    </row>
    <row r="156" spans="1:14">
      <c r="A156" s="64" t="s">
        <v>115</v>
      </c>
      <c r="B156" s="111">
        <v>-115290.76</v>
      </c>
      <c r="C156" s="111">
        <v>-112428.09</v>
      </c>
      <c r="D156" s="111">
        <v>-102335.83</v>
      </c>
      <c r="E156" s="111">
        <v>-94658.11</v>
      </c>
      <c r="F156" s="111">
        <v>-65484.74</v>
      </c>
      <c r="G156" s="111">
        <v>-71339.990000000005</v>
      </c>
      <c r="H156" s="111">
        <v>-88768.639999999999</v>
      </c>
      <c r="I156" s="111">
        <v>-74495.89</v>
      </c>
      <c r="J156" s="111">
        <v>-72684.05</v>
      </c>
      <c r="K156" s="111">
        <v>-103384.16</v>
      </c>
      <c r="L156" s="111">
        <v>-91868.33</v>
      </c>
      <c r="M156" s="111">
        <v>-79206.240000000005</v>
      </c>
      <c r="N156" s="111">
        <v>-1071944.83</v>
      </c>
    </row>
    <row r="157" spans="1:14">
      <c r="A157" s="64" t="s">
        <v>116</v>
      </c>
      <c r="B157" s="107">
        <f t="shared" ref="B157:M157" si="47">SUM(B148:B156)</f>
        <v>3263.8500000000058</v>
      </c>
      <c r="C157" s="107">
        <f t="shared" si="47"/>
        <v>11080.76999999999</v>
      </c>
      <c r="D157" s="107">
        <f t="shared" si="47"/>
        <v>18848.61</v>
      </c>
      <c r="E157" s="107">
        <f t="shared" si="47"/>
        <v>30213.699999999997</v>
      </c>
      <c r="F157" s="107">
        <f t="shared" si="47"/>
        <v>21859.32</v>
      </c>
      <c r="G157" s="107">
        <f t="shared" si="47"/>
        <v>3304.0099999999802</v>
      </c>
      <c r="H157" s="107">
        <f t="shared" si="47"/>
        <v>2200.7100000000064</v>
      </c>
      <c r="I157" s="107">
        <f t="shared" si="47"/>
        <v>-1942.5299999999988</v>
      </c>
      <c r="J157" s="107">
        <f t="shared" si="47"/>
        <v>5074.5899999999965</v>
      </c>
      <c r="K157" s="107">
        <f t="shared" si="47"/>
        <v>9865.4199999999983</v>
      </c>
      <c r="L157" s="107">
        <f t="shared" si="47"/>
        <v>2601.4799999999959</v>
      </c>
      <c r="M157" s="107">
        <f t="shared" si="47"/>
        <v>4366.4199999999983</v>
      </c>
      <c r="N157" s="107">
        <v>110736.35</v>
      </c>
    </row>
    <row r="158" spans="1:14">
      <c r="A158" s="64"/>
      <c r="B158" s="22"/>
      <c r="C158" s="22"/>
      <c r="D158" s="22"/>
      <c r="E158" s="22"/>
      <c r="F158" s="22"/>
      <c r="G158" s="22"/>
      <c r="H158" s="22"/>
      <c r="I158" s="22"/>
      <c r="J158" s="22"/>
      <c r="K158" s="22"/>
      <c r="L158" s="22"/>
      <c r="M158" s="22"/>
      <c r="N158" s="22"/>
    </row>
    <row r="159" spans="1:14">
      <c r="A159" s="64" t="s">
        <v>117</v>
      </c>
      <c r="B159" s="22"/>
      <c r="C159" s="22"/>
      <c r="D159" s="22"/>
      <c r="E159" s="22"/>
      <c r="F159" s="22"/>
      <c r="G159" s="22"/>
      <c r="H159" s="22"/>
      <c r="I159" s="22"/>
      <c r="J159" s="22"/>
      <c r="K159" s="22"/>
      <c r="L159" s="22"/>
      <c r="M159" s="22"/>
      <c r="N159" s="22"/>
    </row>
    <row r="160" spans="1:14">
      <c r="A160" s="64" t="s">
        <v>282</v>
      </c>
      <c r="B160" s="22"/>
      <c r="C160" s="22"/>
      <c r="D160" s="22"/>
      <c r="E160" s="22"/>
      <c r="F160" s="22"/>
      <c r="G160" s="22"/>
      <c r="H160" s="22"/>
      <c r="I160" s="22"/>
      <c r="J160" s="22"/>
      <c r="K160" s="22"/>
      <c r="L160" s="22"/>
      <c r="M160" s="22"/>
      <c r="N160" s="22"/>
    </row>
    <row r="161" spans="1:14">
      <c r="A161" s="64" t="s">
        <v>361</v>
      </c>
      <c r="B161" s="111">
        <v>35</v>
      </c>
      <c r="C161" s="113"/>
      <c r="D161" s="113"/>
      <c r="E161" s="113"/>
      <c r="F161" s="113"/>
      <c r="G161" s="113"/>
      <c r="H161" s="113"/>
      <c r="I161" s="113"/>
      <c r="J161" s="113"/>
      <c r="K161" s="113"/>
      <c r="L161" s="113"/>
      <c r="M161" s="113"/>
      <c r="N161" s="111">
        <v>35</v>
      </c>
    </row>
    <row r="162" spans="1:14">
      <c r="A162" s="64" t="s">
        <v>127</v>
      </c>
      <c r="B162" s="107">
        <f>SUM(B159:B161)</f>
        <v>35</v>
      </c>
      <c r="C162" s="107"/>
      <c r="D162" s="107"/>
      <c r="E162" s="107"/>
      <c r="F162" s="107"/>
      <c r="G162" s="107"/>
      <c r="H162" s="107"/>
      <c r="I162" s="107"/>
      <c r="J162" s="107"/>
      <c r="K162" s="107"/>
      <c r="L162" s="107"/>
      <c r="M162" s="107"/>
      <c r="N162" s="107">
        <v>35</v>
      </c>
    </row>
    <row r="163" spans="1:14">
      <c r="A163" s="64"/>
      <c r="B163" s="22"/>
      <c r="C163" s="22"/>
      <c r="D163" s="22"/>
      <c r="E163" s="22"/>
      <c r="F163" s="22"/>
      <c r="G163" s="22"/>
      <c r="H163" s="22"/>
      <c r="I163" s="22"/>
      <c r="J163" s="22"/>
      <c r="K163" s="22"/>
      <c r="L163" s="22"/>
      <c r="M163" s="22"/>
      <c r="N163" s="22"/>
    </row>
    <row r="164" spans="1:14">
      <c r="A164" s="64" t="s">
        <v>47</v>
      </c>
      <c r="B164" s="107">
        <f t="shared" ref="B164:M164" si="48">SUM(B119:B163)-0-0-B136-B144-0-B157-B162</f>
        <v>16224.080000000013</v>
      </c>
      <c r="C164" s="107">
        <f t="shared" si="48"/>
        <v>29244.290000000023</v>
      </c>
      <c r="D164" s="107">
        <f t="shared" si="48"/>
        <v>29878.570000000014</v>
      </c>
      <c r="E164" s="107">
        <f t="shared" si="48"/>
        <v>49412.539999999994</v>
      </c>
      <c r="F164" s="107">
        <f t="shared" si="48"/>
        <v>41821.26</v>
      </c>
      <c r="G164" s="107">
        <f t="shared" si="48"/>
        <v>27375.149999999987</v>
      </c>
      <c r="H164" s="107">
        <f t="shared" si="48"/>
        <v>14216.450000000015</v>
      </c>
      <c r="I164" s="107">
        <f t="shared" si="48"/>
        <v>23669.32</v>
      </c>
      <c r="J164" s="107">
        <f t="shared" si="48"/>
        <v>17712.71999999999</v>
      </c>
      <c r="K164" s="107">
        <f t="shared" si="48"/>
        <v>30785.229999999981</v>
      </c>
      <c r="L164" s="107">
        <f t="shared" si="48"/>
        <v>19877.96</v>
      </c>
      <c r="M164" s="107">
        <f t="shared" si="48"/>
        <v>21478.340000000011</v>
      </c>
      <c r="N164" s="107">
        <v>321695.90999999997</v>
      </c>
    </row>
    <row r="165" spans="1:14">
      <c r="A165" s="64"/>
      <c r="B165" s="22"/>
      <c r="C165" s="22"/>
      <c r="D165" s="22"/>
      <c r="E165" s="22"/>
      <c r="F165" s="22"/>
      <c r="G165" s="22"/>
      <c r="H165" s="22"/>
      <c r="I165" s="22"/>
      <c r="J165" s="22"/>
      <c r="K165" s="22"/>
      <c r="L165" s="22"/>
      <c r="M165" s="22"/>
      <c r="N165" s="22"/>
    </row>
    <row r="166" spans="1:14">
      <c r="A166" s="64" t="s">
        <v>48</v>
      </c>
      <c r="B166" s="22"/>
      <c r="C166" s="22"/>
      <c r="D166" s="22"/>
      <c r="E166" s="22"/>
      <c r="F166" s="22"/>
      <c r="G166" s="22"/>
      <c r="H166" s="22"/>
      <c r="I166" s="22"/>
      <c r="J166" s="22"/>
      <c r="K166" s="22"/>
      <c r="L166" s="22"/>
      <c r="M166" s="22"/>
      <c r="N166" s="22"/>
    </row>
    <row r="167" spans="1:14">
      <c r="A167" s="64" t="s">
        <v>130</v>
      </c>
      <c r="B167" s="107">
        <v>68.180000000000007</v>
      </c>
      <c r="C167" s="22"/>
      <c r="D167" s="107">
        <v>72.22</v>
      </c>
      <c r="E167" s="22"/>
      <c r="F167" s="107">
        <v>66.760000000000005</v>
      </c>
      <c r="G167" s="107">
        <v>33.200000000000003</v>
      </c>
      <c r="H167" s="22"/>
      <c r="I167" s="107">
        <v>59.26</v>
      </c>
      <c r="J167" s="22"/>
      <c r="K167" s="107">
        <v>67.819999999999993</v>
      </c>
      <c r="L167" s="22"/>
      <c r="M167" s="107">
        <v>70.23</v>
      </c>
      <c r="N167" s="107">
        <v>437.67</v>
      </c>
    </row>
    <row r="168" spans="1:14">
      <c r="A168" s="64" t="s">
        <v>132</v>
      </c>
      <c r="B168" s="22"/>
      <c r="C168" s="107">
        <v>788.84</v>
      </c>
      <c r="D168" s="22"/>
      <c r="E168" s="107">
        <v>-0.01</v>
      </c>
      <c r="F168" s="107">
        <v>14329.97</v>
      </c>
      <c r="G168" s="107">
        <v>1176</v>
      </c>
      <c r="H168" s="107">
        <v>1.03</v>
      </c>
      <c r="I168" s="107">
        <v>-0.01</v>
      </c>
      <c r="J168" s="107">
        <v>100</v>
      </c>
      <c r="K168" s="22"/>
      <c r="L168" s="107">
        <v>312.38</v>
      </c>
      <c r="M168" s="107">
        <v>4728.01</v>
      </c>
      <c r="N168" s="107">
        <v>21436.21</v>
      </c>
    </row>
    <row r="169" spans="1:14">
      <c r="A169" s="64" t="s">
        <v>133</v>
      </c>
      <c r="B169" s="107">
        <v>22775</v>
      </c>
      <c r="C169" s="107">
        <v>47867</v>
      </c>
      <c r="D169" s="107">
        <v>55642</v>
      </c>
      <c r="E169" s="107">
        <v>48837</v>
      </c>
      <c r="F169" s="107">
        <v>-42831</v>
      </c>
      <c r="G169" s="107">
        <v>20694</v>
      </c>
      <c r="H169" s="107">
        <v>19298</v>
      </c>
      <c r="I169" s="107">
        <v>23721</v>
      </c>
      <c r="J169" s="107">
        <v>24170</v>
      </c>
      <c r="K169" s="107">
        <v>23887</v>
      </c>
      <c r="L169" s="107">
        <v>22775</v>
      </c>
      <c r="M169" s="107">
        <v>25353</v>
      </c>
      <c r="N169" s="107">
        <v>292188</v>
      </c>
    </row>
    <row r="170" spans="1:14">
      <c r="A170" s="64" t="s">
        <v>360</v>
      </c>
      <c r="B170" s="107">
        <v>10000</v>
      </c>
      <c r="C170" s="107">
        <v>11000</v>
      </c>
      <c r="D170" s="107">
        <v>9300</v>
      </c>
      <c r="E170" s="107">
        <v>8400</v>
      </c>
      <c r="F170" s="107">
        <v>8000</v>
      </c>
      <c r="G170" s="107">
        <v>15750</v>
      </c>
      <c r="H170" s="107">
        <v>11000</v>
      </c>
      <c r="I170" s="107">
        <v>10400</v>
      </c>
      <c r="J170" s="107">
        <v>9500</v>
      </c>
      <c r="K170" s="107">
        <v>177844</v>
      </c>
      <c r="L170" s="107">
        <v>7900</v>
      </c>
      <c r="M170" s="107">
        <v>11700</v>
      </c>
      <c r="N170" s="107">
        <v>290794</v>
      </c>
    </row>
    <row r="171" spans="1:14">
      <c r="A171" s="64" t="s">
        <v>134</v>
      </c>
      <c r="B171" s="107">
        <v>248.85</v>
      </c>
      <c r="C171" s="107">
        <v>44.36</v>
      </c>
      <c r="D171" s="107">
        <v>-26.52</v>
      </c>
      <c r="E171" s="107">
        <v>22.97</v>
      </c>
      <c r="F171" s="107">
        <v>1965.7</v>
      </c>
      <c r="G171" s="107">
        <v>3374.92</v>
      </c>
      <c r="H171" s="107">
        <v>35.96</v>
      </c>
      <c r="I171" s="107">
        <v>5.54</v>
      </c>
      <c r="J171" s="107">
        <v>83.36</v>
      </c>
      <c r="K171" s="107">
        <v>389.65</v>
      </c>
      <c r="L171" s="107">
        <v>-0.31</v>
      </c>
      <c r="M171" s="107">
        <v>69.72</v>
      </c>
      <c r="N171" s="107">
        <v>6214.2</v>
      </c>
    </row>
    <row r="172" spans="1:14">
      <c r="A172" s="64" t="s">
        <v>396</v>
      </c>
      <c r="B172" s="22"/>
      <c r="C172" s="22"/>
      <c r="D172" s="22"/>
      <c r="E172" s="22"/>
      <c r="F172" s="107">
        <v>298866</v>
      </c>
      <c r="G172" s="22"/>
      <c r="H172" s="22"/>
      <c r="I172" s="22"/>
      <c r="J172" s="22"/>
      <c r="K172" s="22"/>
      <c r="L172" s="22"/>
      <c r="M172" s="22"/>
      <c r="N172" s="107">
        <v>298866</v>
      </c>
    </row>
    <row r="173" spans="1:14">
      <c r="A173" s="64" t="s">
        <v>397</v>
      </c>
      <c r="B173" s="113"/>
      <c r="C173" s="113"/>
      <c r="D173" s="113"/>
      <c r="E173" s="113"/>
      <c r="F173" s="111">
        <v>-270353</v>
      </c>
      <c r="G173" s="113"/>
      <c r="H173" s="113"/>
      <c r="I173" s="113"/>
      <c r="J173" s="113"/>
      <c r="K173" s="113"/>
      <c r="L173" s="113"/>
      <c r="M173" s="113"/>
      <c r="N173" s="111">
        <v>-270353</v>
      </c>
    </row>
    <row r="174" spans="1:14">
      <c r="A174" s="64" t="s">
        <v>135</v>
      </c>
      <c r="B174" s="107">
        <f t="shared" ref="B174:M174" si="49">SUM(B165:B173)</f>
        <v>33092.03</v>
      </c>
      <c r="C174" s="107">
        <f t="shared" si="49"/>
        <v>59700.2</v>
      </c>
      <c r="D174" s="107">
        <f t="shared" si="49"/>
        <v>64987.700000000004</v>
      </c>
      <c r="E174" s="107">
        <f t="shared" si="49"/>
        <v>57259.96</v>
      </c>
      <c r="F174" s="107">
        <f t="shared" si="49"/>
        <v>10044.429999999993</v>
      </c>
      <c r="G174" s="107">
        <f t="shared" si="49"/>
        <v>41028.119999999995</v>
      </c>
      <c r="H174" s="107">
        <f t="shared" si="49"/>
        <v>30334.989999999998</v>
      </c>
      <c r="I174" s="107">
        <f t="shared" si="49"/>
        <v>34185.79</v>
      </c>
      <c r="J174" s="107">
        <f t="shared" si="49"/>
        <v>33853.360000000001</v>
      </c>
      <c r="K174" s="107">
        <f t="shared" si="49"/>
        <v>202188.47</v>
      </c>
      <c r="L174" s="107">
        <f t="shared" si="49"/>
        <v>30987.07</v>
      </c>
      <c r="M174" s="107">
        <f t="shared" si="49"/>
        <v>41920.959999999999</v>
      </c>
      <c r="N174" s="107">
        <v>639583.07999999996</v>
      </c>
    </row>
    <row r="175" spans="1:14">
      <c r="A175" s="64"/>
      <c r="B175" s="22"/>
      <c r="C175" s="22"/>
      <c r="D175" s="22"/>
      <c r="E175" s="22"/>
      <c r="F175" s="22"/>
      <c r="G175" s="22"/>
      <c r="H175" s="22"/>
      <c r="I175" s="22"/>
      <c r="J175" s="22"/>
      <c r="K175" s="22"/>
      <c r="L175" s="22"/>
      <c r="M175" s="22"/>
      <c r="N175" s="22"/>
    </row>
    <row r="176" spans="1:14" ht="15.75" thickBot="1">
      <c r="A176" s="64" t="s">
        <v>13</v>
      </c>
      <c r="B176" s="112">
        <f t="shared" ref="B176:M176" si="50">SUM(B67:B175)-B69-B73-B77-B80-B84-B88-B90-B96-B100-B104-B107-B111-B115-B117-0-0-B136-B144-0-B157-B162-B164-B174</f>
        <v>529365.56000000041</v>
      </c>
      <c r="C176" s="112">
        <f t="shared" si="50"/>
        <v>583569.9800000001</v>
      </c>
      <c r="D176" s="112">
        <f t="shared" si="50"/>
        <v>573387.40000000014</v>
      </c>
      <c r="E176" s="112">
        <f t="shared" si="50"/>
        <v>516303.68999999977</v>
      </c>
      <c r="F176" s="112">
        <f t="shared" si="50"/>
        <v>476850.8299999999</v>
      </c>
      <c r="G176" s="112">
        <f t="shared" si="50"/>
        <v>635008.26999999909</v>
      </c>
      <c r="H176" s="112">
        <f t="shared" si="50"/>
        <v>536187.78</v>
      </c>
      <c r="I176" s="112">
        <f t="shared" si="50"/>
        <v>533221.07000000111</v>
      </c>
      <c r="J176" s="112">
        <f t="shared" si="50"/>
        <v>530614.07999999996</v>
      </c>
      <c r="K176" s="112">
        <f t="shared" si="50"/>
        <v>691256.58000000042</v>
      </c>
      <c r="L176" s="112">
        <f t="shared" si="50"/>
        <v>529013.36000000045</v>
      </c>
      <c r="M176" s="112">
        <f t="shared" si="50"/>
        <v>572097.93999999983</v>
      </c>
      <c r="N176" s="112">
        <v>6706876.54</v>
      </c>
    </row>
    <row r="177" spans="1:14" ht="15.75" thickTop="1">
      <c r="A177" s="64"/>
      <c r="B177" s="22"/>
      <c r="C177" s="22"/>
      <c r="D177" s="22"/>
      <c r="E177" s="22"/>
      <c r="F177" s="22"/>
      <c r="G177" s="22"/>
      <c r="H177" s="22"/>
      <c r="I177" s="22"/>
      <c r="J177" s="22"/>
      <c r="K177" s="22"/>
      <c r="L177" s="22"/>
      <c r="M177" s="22"/>
      <c r="N177" s="22"/>
    </row>
    <row r="178" spans="1:14">
      <c r="A178" s="64"/>
      <c r="B178" s="22"/>
      <c r="C178" s="22"/>
      <c r="D178" s="22"/>
      <c r="E178" s="22"/>
      <c r="F178" s="22"/>
      <c r="G178" s="22"/>
      <c r="H178" s="22"/>
      <c r="I178" s="22"/>
      <c r="J178" s="22"/>
      <c r="K178" s="22"/>
      <c r="L178" s="22"/>
      <c r="M178" s="22"/>
      <c r="N178" s="22"/>
    </row>
    <row r="179" spans="1:14">
      <c r="A179" s="64" t="s">
        <v>14</v>
      </c>
      <c r="B179" s="22"/>
      <c r="C179" s="22"/>
      <c r="D179" s="22"/>
      <c r="E179" s="22"/>
      <c r="F179" s="22"/>
      <c r="G179" s="22"/>
      <c r="H179" s="22"/>
      <c r="I179" s="22"/>
      <c r="J179" s="22"/>
      <c r="K179" s="22"/>
      <c r="L179" s="22"/>
      <c r="M179" s="22"/>
      <c r="N179" s="22"/>
    </row>
    <row r="180" spans="1:14">
      <c r="A180" s="64"/>
      <c r="B180" s="22"/>
      <c r="C180" s="22"/>
      <c r="D180" s="22"/>
      <c r="E180" s="22"/>
      <c r="F180" s="22"/>
      <c r="G180" s="22"/>
      <c r="H180" s="22"/>
      <c r="I180" s="22"/>
      <c r="J180" s="22"/>
      <c r="K180" s="22"/>
      <c r="L180" s="22"/>
      <c r="M180" s="22"/>
      <c r="N180" s="22"/>
    </row>
    <row r="181" spans="1:14">
      <c r="A181" s="64" t="s">
        <v>136</v>
      </c>
      <c r="B181" s="22"/>
      <c r="C181" s="22"/>
      <c r="D181" s="22"/>
      <c r="E181" s="22"/>
      <c r="F181" s="22"/>
      <c r="G181" s="22"/>
      <c r="H181" s="22"/>
      <c r="I181" s="22"/>
      <c r="J181" s="22"/>
      <c r="K181" s="22"/>
      <c r="L181" s="22"/>
      <c r="M181" s="22"/>
      <c r="N181" s="22"/>
    </row>
    <row r="182" spans="1:14">
      <c r="A182" s="64" t="s">
        <v>137</v>
      </c>
      <c r="B182" s="107">
        <v>10293.959999999999</v>
      </c>
      <c r="C182" s="107">
        <v>12607.15</v>
      </c>
      <c r="D182" s="107">
        <v>7008.25</v>
      </c>
      <c r="E182" s="107">
        <v>9192.31</v>
      </c>
      <c r="F182" s="107">
        <v>5086.54</v>
      </c>
      <c r="G182" s="107">
        <v>7993.13</v>
      </c>
      <c r="H182" s="107">
        <v>9446.43</v>
      </c>
      <c r="I182" s="107">
        <v>10087.780000000001</v>
      </c>
      <c r="J182" s="107">
        <v>9762.3700000000008</v>
      </c>
      <c r="K182" s="107">
        <v>9632.19</v>
      </c>
      <c r="L182" s="107">
        <v>10217.950000000001</v>
      </c>
      <c r="M182" s="107">
        <v>9632.19</v>
      </c>
      <c r="N182" s="107">
        <v>110960.25</v>
      </c>
    </row>
    <row r="183" spans="1:14">
      <c r="A183" s="64" t="s">
        <v>138</v>
      </c>
      <c r="B183" s="107">
        <v>25444.89</v>
      </c>
      <c r="C183" s="107">
        <v>26851.18</v>
      </c>
      <c r="D183" s="107">
        <v>28843.439999999999</v>
      </c>
      <c r="E183" s="107">
        <v>24913.11</v>
      </c>
      <c r="F183" s="107">
        <v>25675.87</v>
      </c>
      <c r="G183" s="107">
        <v>23311.22</v>
      </c>
      <c r="H183" s="107">
        <v>19617.23</v>
      </c>
      <c r="I183" s="107">
        <v>26626.61</v>
      </c>
      <c r="J183" s="107">
        <v>27711.26</v>
      </c>
      <c r="K183" s="107">
        <v>26385.34</v>
      </c>
      <c r="L183" s="107">
        <v>28816.39</v>
      </c>
      <c r="M183" s="107">
        <v>31161.84</v>
      </c>
      <c r="N183" s="107">
        <v>315358.38</v>
      </c>
    </row>
    <row r="184" spans="1:14">
      <c r="A184" s="64" t="s">
        <v>139</v>
      </c>
      <c r="B184" s="107">
        <v>53566.82</v>
      </c>
      <c r="C184" s="107">
        <v>57454.17</v>
      </c>
      <c r="D184" s="107">
        <v>51537.34</v>
      </c>
      <c r="E184" s="107">
        <v>50111.48</v>
      </c>
      <c r="F184" s="107">
        <v>49576.160000000003</v>
      </c>
      <c r="G184" s="107">
        <v>56468.4</v>
      </c>
      <c r="H184" s="107">
        <v>54019.13</v>
      </c>
      <c r="I184" s="107">
        <v>54508.63</v>
      </c>
      <c r="J184" s="107">
        <v>49817.68</v>
      </c>
      <c r="K184" s="107">
        <v>50804.21</v>
      </c>
      <c r="L184" s="107">
        <v>53370.080000000002</v>
      </c>
      <c r="M184" s="107">
        <v>46239.89</v>
      </c>
      <c r="N184" s="107">
        <v>627473.99</v>
      </c>
    </row>
    <row r="185" spans="1:14">
      <c r="A185" s="64" t="s">
        <v>141</v>
      </c>
      <c r="B185" s="107">
        <v>13565.89</v>
      </c>
      <c r="C185" s="107">
        <v>11354.56</v>
      </c>
      <c r="D185" s="107">
        <v>11210.64</v>
      </c>
      <c r="E185" s="107">
        <v>10809.12</v>
      </c>
      <c r="F185" s="107">
        <v>9172.83</v>
      </c>
      <c r="G185" s="107">
        <v>10751.71</v>
      </c>
      <c r="H185" s="107">
        <v>8743.32</v>
      </c>
      <c r="I185" s="107">
        <v>10034.219999999999</v>
      </c>
      <c r="J185" s="107">
        <v>9558.5400000000009</v>
      </c>
      <c r="K185" s="107">
        <v>8752.65</v>
      </c>
      <c r="L185" s="107">
        <v>9825.33</v>
      </c>
      <c r="M185" s="107">
        <v>10209.280000000001</v>
      </c>
      <c r="N185" s="107">
        <v>123988.09</v>
      </c>
    </row>
    <row r="186" spans="1:14">
      <c r="A186" s="64" t="s">
        <v>142</v>
      </c>
      <c r="B186" s="107">
        <v>2206.13</v>
      </c>
      <c r="C186" s="107">
        <v>2609.23</v>
      </c>
      <c r="D186" s="107">
        <v>3176.9</v>
      </c>
      <c r="E186" s="107">
        <v>3214.62</v>
      </c>
      <c r="F186" s="107">
        <v>3133.68</v>
      </c>
      <c r="G186" s="107">
        <v>3120.11</v>
      </c>
      <c r="H186" s="107">
        <v>2776.13</v>
      </c>
      <c r="I186" s="107">
        <v>3029.08</v>
      </c>
      <c r="J186" s="107">
        <v>3050.74</v>
      </c>
      <c r="K186" s="107">
        <v>2358.92</v>
      </c>
      <c r="L186" s="107">
        <v>2567.67</v>
      </c>
      <c r="M186" s="107">
        <v>2437.58</v>
      </c>
      <c r="N186" s="107">
        <v>33680.79</v>
      </c>
    </row>
    <row r="187" spans="1:14">
      <c r="A187" s="64" t="s">
        <v>143</v>
      </c>
      <c r="B187" s="107">
        <v>47639.63</v>
      </c>
      <c r="C187" s="107">
        <v>44538.02</v>
      </c>
      <c r="D187" s="107">
        <v>50150.21</v>
      </c>
      <c r="E187" s="107">
        <v>45569.35</v>
      </c>
      <c r="F187" s="107">
        <v>46826.32</v>
      </c>
      <c r="G187" s="107">
        <v>46865.599999999999</v>
      </c>
      <c r="H187" s="107">
        <v>42338.18</v>
      </c>
      <c r="I187" s="107">
        <v>47206.39</v>
      </c>
      <c r="J187" s="107">
        <v>46799.199999999997</v>
      </c>
      <c r="K187" s="107">
        <v>47470.27</v>
      </c>
      <c r="L187" s="107">
        <v>55500.72</v>
      </c>
      <c r="M187" s="107">
        <v>52082.9</v>
      </c>
      <c r="N187" s="107">
        <v>572986.79</v>
      </c>
    </row>
    <row r="188" spans="1:14">
      <c r="A188" s="64" t="s">
        <v>144</v>
      </c>
      <c r="B188" s="107">
        <v>5668.57</v>
      </c>
      <c r="C188" s="107">
        <v>4882.29</v>
      </c>
      <c r="D188" s="107">
        <v>5760</v>
      </c>
      <c r="E188" s="107">
        <v>5485.71</v>
      </c>
      <c r="F188" s="107">
        <v>5412.57</v>
      </c>
      <c r="G188" s="107">
        <v>5156.57</v>
      </c>
      <c r="H188" s="107">
        <v>4827.43</v>
      </c>
      <c r="I188" s="107">
        <v>5745.86</v>
      </c>
      <c r="J188" s="107">
        <v>5475</v>
      </c>
      <c r="K188" s="107">
        <v>5412.57</v>
      </c>
      <c r="L188" s="107">
        <v>5741.72</v>
      </c>
      <c r="M188" s="107">
        <v>4644.57</v>
      </c>
      <c r="N188" s="107">
        <v>64212.86</v>
      </c>
    </row>
    <row r="189" spans="1:14">
      <c r="A189" s="64" t="s">
        <v>145</v>
      </c>
      <c r="B189" s="107">
        <v>2872.13</v>
      </c>
      <c r="C189" s="107">
        <v>2338.5500000000002</v>
      </c>
      <c r="D189" s="107">
        <v>2556.3200000000002</v>
      </c>
      <c r="E189" s="107">
        <v>3042.64</v>
      </c>
      <c r="F189" s="107">
        <v>2762.36</v>
      </c>
      <c r="G189" s="107">
        <v>1511.36</v>
      </c>
      <c r="H189" s="107">
        <v>2946.53</v>
      </c>
      <c r="I189" s="107">
        <v>2295.9699999999998</v>
      </c>
      <c r="J189" s="107">
        <v>3015.64</v>
      </c>
      <c r="K189" s="107">
        <v>2878.34</v>
      </c>
      <c r="L189" s="107">
        <v>3841.09</v>
      </c>
      <c r="M189" s="107">
        <v>3768.28</v>
      </c>
      <c r="N189" s="107">
        <v>33829.21</v>
      </c>
    </row>
    <row r="190" spans="1:14">
      <c r="A190" s="64" t="s">
        <v>146</v>
      </c>
      <c r="B190" s="107">
        <v>2207.09</v>
      </c>
      <c r="C190" s="107">
        <v>2052.4499999999998</v>
      </c>
      <c r="D190" s="107">
        <v>2545.1</v>
      </c>
      <c r="E190" s="107">
        <v>2874.95</v>
      </c>
      <c r="F190" s="107">
        <v>1819.39</v>
      </c>
      <c r="G190" s="107">
        <v>460.11</v>
      </c>
      <c r="H190" s="107">
        <v>1850.96</v>
      </c>
      <c r="I190" s="107">
        <v>2364.37</v>
      </c>
      <c r="J190" s="107">
        <v>2062.59</v>
      </c>
      <c r="K190" s="107">
        <v>4164.8100000000004</v>
      </c>
      <c r="L190" s="107">
        <v>4522.0200000000004</v>
      </c>
      <c r="M190" s="107">
        <v>3872.46</v>
      </c>
      <c r="N190" s="107">
        <v>30796.3</v>
      </c>
    </row>
    <row r="191" spans="1:14">
      <c r="A191" s="64" t="s">
        <v>147</v>
      </c>
      <c r="B191" s="22"/>
      <c r="C191" s="22"/>
      <c r="D191" s="22"/>
      <c r="E191" s="22"/>
      <c r="F191" s="22"/>
      <c r="G191" s="22"/>
      <c r="H191" s="22"/>
      <c r="I191" s="22"/>
      <c r="J191" s="22"/>
      <c r="K191" s="22"/>
      <c r="L191" s="22"/>
      <c r="M191" s="107">
        <v>1069.08</v>
      </c>
      <c r="N191" s="107">
        <v>1069.08</v>
      </c>
    </row>
    <row r="192" spans="1:14">
      <c r="A192" s="64" t="s">
        <v>283</v>
      </c>
      <c r="B192" s="107">
        <v>84.64</v>
      </c>
      <c r="C192" s="107">
        <v>92.15</v>
      </c>
      <c r="D192" s="107">
        <v>34.64</v>
      </c>
      <c r="E192" s="107">
        <v>-211.43</v>
      </c>
      <c r="F192" s="107">
        <v>526.96</v>
      </c>
      <c r="G192" s="107">
        <v>-526.96</v>
      </c>
      <c r="H192" s="22"/>
      <c r="I192" s="22"/>
      <c r="J192" s="22"/>
      <c r="K192" s="22"/>
      <c r="L192" s="22"/>
      <c r="M192" s="22"/>
      <c r="N192" s="107"/>
    </row>
    <row r="193" spans="1:14">
      <c r="A193" s="64" t="s">
        <v>153</v>
      </c>
      <c r="B193" s="107">
        <v>3345.81</v>
      </c>
      <c r="C193" s="107">
        <v>3060.26</v>
      </c>
      <c r="D193" s="107">
        <v>3179.13</v>
      </c>
      <c r="E193" s="107">
        <v>3008.12</v>
      </c>
      <c r="F193" s="107">
        <v>1349.46</v>
      </c>
      <c r="G193" s="107">
        <v>3669.6</v>
      </c>
      <c r="H193" s="107">
        <v>2980.55</v>
      </c>
      <c r="I193" s="107">
        <v>3564.99</v>
      </c>
      <c r="J193" s="107">
        <v>3302.14</v>
      </c>
      <c r="K193" s="107">
        <v>3426.75</v>
      </c>
      <c r="L193" s="107">
        <v>3422.32</v>
      </c>
      <c r="M193" s="107">
        <v>3451.64</v>
      </c>
      <c r="N193" s="107">
        <v>37760.769999999997</v>
      </c>
    </row>
    <row r="194" spans="1:14">
      <c r="A194" s="64" t="s">
        <v>154</v>
      </c>
      <c r="B194" s="107">
        <v>9796.7099999999991</v>
      </c>
      <c r="C194" s="107">
        <v>13000.01</v>
      </c>
      <c r="D194" s="107">
        <v>3807.69</v>
      </c>
      <c r="E194" s="107">
        <v>10131.89</v>
      </c>
      <c r="F194" s="107">
        <v>8241.77</v>
      </c>
      <c r="G194" s="107">
        <v>6659.34</v>
      </c>
      <c r="H194" s="107">
        <v>6923.08</v>
      </c>
      <c r="I194" s="107">
        <v>10549.46</v>
      </c>
      <c r="J194" s="107">
        <v>9890.1299999999992</v>
      </c>
      <c r="K194" s="107">
        <v>9758.25</v>
      </c>
      <c r="L194" s="107">
        <v>6961.53</v>
      </c>
      <c r="M194" s="107">
        <v>10390.120000000001</v>
      </c>
      <c r="N194" s="107">
        <v>106109.98</v>
      </c>
    </row>
    <row r="195" spans="1:14">
      <c r="A195" s="64" t="s">
        <v>155</v>
      </c>
      <c r="B195" s="111">
        <v>6220.14</v>
      </c>
      <c r="C195" s="111">
        <v>8276.7000000000007</v>
      </c>
      <c r="D195" s="111">
        <v>12732.39</v>
      </c>
      <c r="E195" s="111">
        <v>11722.32</v>
      </c>
      <c r="F195" s="111">
        <v>8381.3799999999992</v>
      </c>
      <c r="G195" s="111">
        <v>7700.59</v>
      </c>
      <c r="H195" s="111">
        <v>10789.82</v>
      </c>
      <c r="I195" s="111">
        <v>11406.92</v>
      </c>
      <c r="J195" s="111">
        <v>11485.34</v>
      </c>
      <c r="K195" s="111">
        <v>10541.92</v>
      </c>
      <c r="L195" s="111">
        <v>11700.58</v>
      </c>
      <c r="M195" s="111">
        <v>9074.3799999999992</v>
      </c>
      <c r="N195" s="111">
        <v>120032.48</v>
      </c>
    </row>
    <row r="196" spans="1:14">
      <c r="A196" s="64" t="s">
        <v>156</v>
      </c>
      <c r="B196" s="107">
        <f t="shared" ref="B196:M196" si="51">SUM(B177:B195)</f>
        <v>182912.41000000003</v>
      </c>
      <c r="C196" s="107">
        <f t="shared" si="51"/>
        <v>189116.72000000003</v>
      </c>
      <c r="D196" s="107">
        <f t="shared" si="51"/>
        <v>182542.05000000005</v>
      </c>
      <c r="E196" s="107">
        <f t="shared" si="51"/>
        <v>179864.19</v>
      </c>
      <c r="F196" s="107">
        <f t="shared" si="51"/>
        <v>167965.28999999998</v>
      </c>
      <c r="G196" s="107">
        <f t="shared" si="51"/>
        <v>173140.77999999997</v>
      </c>
      <c r="H196" s="107">
        <f t="shared" si="51"/>
        <v>167258.78999999995</v>
      </c>
      <c r="I196" s="107">
        <f t="shared" si="51"/>
        <v>187420.27999999997</v>
      </c>
      <c r="J196" s="107">
        <f t="shared" si="51"/>
        <v>181930.63000000003</v>
      </c>
      <c r="K196" s="107">
        <f t="shared" si="51"/>
        <v>181586.22</v>
      </c>
      <c r="L196" s="107">
        <f t="shared" si="51"/>
        <v>196487.4</v>
      </c>
      <c r="M196" s="107">
        <f t="shared" si="51"/>
        <v>188034.21</v>
      </c>
      <c r="N196" s="107">
        <v>2178258.9700000002</v>
      </c>
    </row>
    <row r="197" spans="1:14">
      <c r="A197" s="64"/>
      <c r="B197" s="22"/>
      <c r="C197" s="22"/>
      <c r="D197" s="22"/>
      <c r="E197" s="22"/>
      <c r="F197" s="22"/>
      <c r="G197" s="22"/>
      <c r="H197" s="22"/>
      <c r="I197" s="22"/>
      <c r="J197" s="22"/>
      <c r="K197" s="22"/>
      <c r="L197" s="22"/>
      <c r="M197" s="22"/>
      <c r="N197" s="22"/>
    </row>
    <row r="198" spans="1:14">
      <c r="A198" s="64"/>
      <c r="B198" s="22"/>
      <c r="C198" s="22"/>
      <c r="D198" s="22"/>
      <c r="E198" s="22"/>
      <c r="F198" s="22"/>
      <c r="G198" s="22"/>
      <c r="H198" s="22"/>
      <c r="I198" s="22"/>
      <c r="J198" s="22"/>
      <c r="K198" s="22"/>
      <c r="L198" s="22"/>
      <c r="M198" s="22"/>
      <c r="N198" s="22"/>
    </row>
    <row r="199" spans="1:14">
      <c r="A199" s="64" t="s">
        <v>157</v>
      </c>
      <c r="B199" s="22"/>
      <c r="C199" s="22"/>
      <c r="D199" s="22"/>
      <c r="E199" s="22"/>
      <c r="F199" s="22"/>
      <c r="G199" s="22"/>
      <c r="H199" s="22"/>
      <c r="I199" s="22"/>
      <c r="J199" s="22"/>
      <c r="K199" s="22"/>
      <c r="L199" s="22"/>
      <c r="M199" s="22"/>
      <c r="N199" s="22"/>
    </row>
    <row r="200" spans="1:14">
      <c r="A200" s="64" t="s">
        <v>161</v>
      </c>
      <c r="B200" s="111">
        <v>5005.6899999999996</v>
      </c>
      <c r="C200" s="113"/>
      <c r="D200" s="113"/>
      <c r="E200" s="113"/>
      <c r="F200" s="111">
        <v>-5005.6899999999996</v>
      </c>
      <c r="G200" s="113"/>
      <c r="H200" s="113"/>
      <c r="I200" s="113"/>
      <c r="J200" s="113"/>
      <c r="K200" s="113"/>
      <c r="L200" s="113"/>
      <c r="M200" s="113"/>
      <c r="N200" s="111"/>
    </row>
    <row r="201" spans="1:14">
      <c r="A201" s="64" t="s">
        <v>162</v>
      </c>
      <c r="B201" s="107">
        <f>SUM(B197:B200)</f>
        <v>5005.6899999999996</v>
      </c>
      <c r="C201" s="107"/>
      <c r="D201" s="107"/>
      <c r="E201" s="107"/>
      <c r="F201" s="107">
        <f>SUM(F197:F200)</f>
        <v>-5005.6899999999996</v>
      </c>
      <c r="G201" s="107"/>
      <c r="H201" s="107"/>
      <c r="I201" s="107"/>
      <c r="J201" s="107"/>
      <c r="K201" s="107"/>
      <c r="L201" s="107"/>
      <c r="M201" s="107"/>
      <c r="N201" s="107"/>
    </row>
    <row r="202" spans="1:14">
      <c r="A202" s="64"/>
      <c r="B202" s="22"/>
      <c r="C202" s="22"/>
      <c r="D202" s="22"/>
      <c r="E202" s="22"/>
      <c r="F202" s="22"/>
      <c r="G202" s="22"/>
      <c r="H202" s="22"/>
      <c r="I202" s="22"/>
      <c r="J202" s="22"/>
      <c r="K202" s="22"/>
      <c r="L202" s="22"/>
      <c r="M202" s="22"/>
      <c r="N202" s="22"/>
    </row>
    <row r="203" spans="1:14">
      <c r="A203" s="64" t="s">
        <v>163</v>
      </c>
      <c r="B203" s="22"/>
      <c r="C203" s="22"/>
      <c r="D203" s="22"/>
      <c r="E203" s="22"/>
      <c r="F203" s="22"/>
      <c r="G203" s="22"/>
      <c r="H203" s="22"/>
      <c r="I203" s="22"/>
      <c r="J203" s="22"/>
      <c r="K203" s="22"/>
      <c r="L203" s="22"/>
      <c r="M203" s="22"/>
      <c r="N203" s="22"/>
    </row>
    <row r="204" spans="1:14">
      <c r="A204" s="64" t="s">
        <v>164</v>
      </c>
      <c r="B204" s="107">
        <v>15547.49</v>
      </c>
      <c r="C204" s="107">
        <v>17136.22</v>
      </c>
      <c r="D204" s="107">
        <v>14725.08</v>
      </c>
      <c r="E204" s="107">
        <v>14338.28</v>
      </c>
      <c r="F204" s="107">
        <v>14784.22</v>
      </c>
      <c r="G204" s="107">
        <v>16204.01</v>
      </c>
      <c r="H204" s="107">
        <v>13409.71</v>
      </c>
      <c r="I204" s="107">
        <v>15480.29</v>
      </c>
      <c r="J204" s="107">
        <v>14703.92</v>
      </c>
      <c r="K204" s="107">
        <v>15259.33</v>
      </c>
      <c r="L204" s="107">
        <v>16123.18</v>
      </c>
      <c r="M204" s="107">
        <v>15955.8</v>
      </c>
      <c r="N204" s="107">
        <v>183667.53</v>
      </c>
    </row>
    <row r="205" spans="1:14">
      <c r="A205" s="64" t="s">
        <v>165</v>
      </c>
      <c r="B205" s="107">
        <v>84.79</v>
      </c>
      <c r="C205" s="107">
        <v>162.56</v>
      </c>
      <c r="D205" s="107">
        <v>-59.76</v>
      </c>
      <c r="E205" s="107">
        <v>24.54</v>
      </c>
      <c r="F205" s="107">
        <v>55.49</v>
      </c>
      <c r="G205" s="107">
        <v>2685.42</v>
      </c>
      <c r="H205" s="107">
        <v>630.87</v>
      </c>
      <c r="I205" s="107">
        <v>-123.39</v>
      </c>
      <c r="J205" s="107">
        <v>-1153.6099999999999</v>
      </c>
      <c r="K205" s="107">
        <v>101.44</v>
      </c>
      <c r="L205" s="107">
        <v>197.77</v>
      </c>
      <c r="M205" s="107">
        <v>207.08</v>
      </c>
      <c r="N205" s="107">
        <v>2813.2</v>
      </c>
    </row>
    <row r="206" spans="1:14">
      <c r="A206" s="64" t="s">
        <v>166</v>
      </c>
      <c r="B206" s="107">
        <v>3904.14</v>
      </c>
      <c r="C206" s="107">
        <v>5269.57</v>
      </c>
      <c r="D206" s="107">
        <v>4681.6000000000004</v>
      </c>
      <c r="E206" s="107">
        <v>5890.3</v>
      </c>
      <c r="F206" s="107">
        <v>5539.36</v>
      </c>
      <c r="G206" s="107">
        <v>3729.25</v>
      </c>
      <c r="H206" s="107">
        <v>5049.34</v>
      </c>
      <c r="I206" s="107">
        <v>5215.5600000000004</v>
      </c>
      <c r="J206" s="107">
        <v>4956.18</v>
      </c>
      <c r="K206" s="107">
        <v>6569.84</v>
      </c>
      <c r="L206" s="107">
        <v>5670.1</v>
      </c>
      <c r="M206" s="107">
        <v>5035.93</v>
      </c>
      <c r="N206" s="107">
        <v>61511.17</v>
      </c>
    </row>
    <row r="207" spans="1:14">
      <c r="A207" s="64" t="s">
        <v>167</v>
      </c>
      <c r="B207" s="107">
        <v>7085.99</v>
      </c>
      <c r="C207" s="107">
        <v>3750.74</v>
      </c>
      <c r="D207" s="107">
        <v>6572.21</v>
      </c>
      <c r="E207" s="107">
        <v>4524.5600000000004</v>
      </c>
      <c r="F207" s="107">
        <v>13408.62</v>
      </c>
      <c r="G207" s="107">
        <v>881.56</v>
      </c>
      <c r="H207" s="107">
        <v>5312.81</v>
      </c>
      <c r="I207" s="107">
        <v>3766.3</v>
      </c>
      <c r="J207" s="107">
        <v>7600.97</v>
      </c>
      <c r="K207" s="107">
        <v>5574.44</v>
      </c>
      <c r="L207" s="107">
        <v>3667.04</v>
      </c>
      <c r="M207" s="107">
        <v>11706.72</v>
      </c>
      <c r="N207" s="107">
        <v>73851.960000000006</v>
      </c>
    </row>
    <row r="208" spans="1:14">
      <c r="A208" s="64" t="s">
        <v>168</v>
      </c>
      <c r="B208" s="22"/>
      <c r="C208" s="107">
        <v>7521.56</v>
      </c>
      <c r="D208" s="22"/>
      <c r="E208" s="107">
        <v>7305.02</v>
      </c>
      <c r="F208" s="107">
        <v>8334.19</v>
      </c>
      <c r="G208" s="107">
        <v>8012.83</v>
      </c>
      <c r="H208" s="22"/>
      <c r="I208" s="22"/>
      <c r="J208" s="22"/>
      <c r="K208" s="107">
        <v>8563.4</v>
      </c>
      <c r="L208" s="107">
        <v>-2508.52</v>
      </c>
      <c r="M208" s="107">
        <v>7263.53</v>
      </c>
      <c r="N208" s="107">
        <v>44492.01</v>
      </c>
    </row>
    <row r="209" spans="1:14">
      <c r="A209" s="64" t="s">
        <v>169</v>
      </c>
      <c r="B209" s="107">
        <v>1168.3</v>
      </c>
      <c r="C209" s="107">
        <v>1668.59</v>
      </c>
      <c r="D209" s="107">
        <v>1463.43</v>
      </c>
      <c r="E209" s="107">
        <v>1147.24</v>
      </c>
      <c r="F209" s="107">
        <v>2854.27</v>
      </c>
      <c r="G209" s="107">
        <v>10794.92</v>
      </c>
      <c r="H209" s="107">
        <v>1176.8</v>
      </c>
      <c r="I209" s="107">
        <v>112.09</v>
      </c>
      <c r="J209" s="107">
        <v>1139.1099999999999</v>
      </c>
      <c r="K209" s="107">
        <v>2301.14</v>
      </c>
      <c r="L209" s="107">
        <v>-422.46</v>
      </c>
      <c r="M209" s="107">
        <v>1180.3</v>
      </c>
      <c r="N209" s="107">
        <v>24583.73</v>
      </c>
    </row>
    <row r="210" spans="1:14">
      <c r="A210" s="64" t="s">
        <v>318</v>
      </c>
      <c r="B210" s="107">
        <v>200</v>
      </c>
      <c r="C210" s="22"/>
      <c r="D210" s="22"/>
      <c r="E210" s="22"/>
      <c r="F210" s="22"/>
      <c r="G210" s="22"/>
      <c r="H210" s="22"/>
      <c r="I210" s="22"/>
      <c r="J210" s="22"/>
      <c r="K210" s="107">
        <v>832.44</v>
      </c>
      <c r="L210" s="22"/>
      <c r="M210" s="22"/>
      <c r="N210" s="107">
        <v>1032.44</v>
      </c>
    </row>
    <row r="211" spans="1:14">
      <c r="A211" s="64" t="s">
        <v>171</v>
      </c>
      <c r="B211" s="111">
        <v>11585.98</v>
      </c>
      <c r="C211" s="111">
        <v>20526.04</v>
      </c>
      <c r="D211" s="111">
        <v>320.91000000000003</v>
      </c>
      <c r="E211" s="111">
        <v>431.52</v>
      </c>
      <c r="F211" s="111">
        <v>3449.56</v>
      </c>
      <c r="G211" s="111">
        <v>5100</v>
      </c>
      <c r="H211" s="111">
        <v>29.98</v>
      </c>
      <c r="I211" s="111">
        <v>9316.93</v>
      </c>
      <c r="J211" s="111">
        <v>268.99</v>
      </c>
      <c r="K211" s="111">
        <v>2828.31</v>
      </c>
      <c r="L211" s="111">
        <v>7910.71</v>
      </c>
      <c r="M211" s="111">
        <v>1174.21</v>
      </c>
      <c r="N211" s="111">
        <v>62943.14</v>
      </c>
    </row>
    <row r="212" spans="1:14">
      <c r="A212" s="64" t="s">
        <v>16</v>
      </c>
      <c r="B212" s="107">
        <f t="shared" ref="B212:M212" si="52">SUM(B202:B211)</f>
        <v>39576.69</v>
      </c>
      <c r="C212" s="107">
        <f t="shared" si="52"/>
        <v>56035.28</v>
      </c>
      <c r="D212" s="107">
        <f t="shared" si="52"/>
        <v>27703.469999999998</v>
      </c>
      <c r="E212" s="107">
        <f t="shared" si="52"/>
        <v>33661.46</v>
      </c>
      <c r="F212" s="107">
        <f t="shared" si="52"/>
        <v>48425.71</v>
      </c>
      <c r="G212" s="107">
        <f t="shared" si="52"/>
        <v>47407.99</v>
      </c>
      <c r="H212" s="107">
        <f t="shared" si="52"/>
        <v>25609.51</v>
      </c>
      <c r="I212" s="107">
        <f t="shared" si="52"/>
        <v>33767.78</v>
      </c>
      <c r="J212" s="107">
        <f t="shared" si="52"/>
        <v>27515.56</v>
      </c>
      <c r="K212" s="107">
        <f t="shared" si="52"/>
        <v>42030.34</v>
      </c>
      <c r="L212" s="107">
        <f t="shared" si="52"/>
        <v>30637.820000000003</v>
      </c>
      <c r="M212" s="107">
        <f t="shared" si="52"/>
        <v>42523.57</v>
      </c>
      <c r="N212" s="107">
        <v>454895.18</v>
      </c>
    </row>
    <row r="213" spans="1:14">
      <c r="A213" s="64"/>
      <c r="B213" s="22"/>
      <c r="C213" s="22"/>
      <c r="D213" s="22"/>
      <c r="E213" s="22"/>
      <c r="F213" s="22"/>
      <c r="G213" s="22"/>
      <c r="H213" s="22"/>
      <c r="I213" s="22"/>
      <c r="J213" s="22"/>
      <c r="K213" s="22"/>
      <c r="L213" s="22"/>
      <c r="M213" s="22"/>
      <c r="N213" s="22"/>
    </row>
    <row r="214" spans="1:14">
      <c r="A214" s="64" t="s">
        <v>17</v>
      </c>
      <c r="B214" s="22"/>
      <c r="C214" s="22"/>
      <c r="D214" s="22"/>
      <c r="E214" s="22"/>
      <c r="F214" s="22"/>
      <c r="G214" s="22"/>
      <c r="H214" s="22"/>
      <c r="I214" s="22"/>
      <c r="J214" s="22"/>
      <c r="K214" s="22"/>
      <c r="L214" s="22"/>
      <c r="M214" s="22"/>
      <c r="N214" s="22"/>
    </row>
    <row r="215" spans="1:14">
      <c r="A215" s="64" t="s">
        <v>172</v>
      </c>
      <c r="B215" s="107">
        <v>9010.9500000000007</v>
      </c>
      <c r="C215" s="107">
        <v>6924.64</v>
      </c>
      <c r="D215" s="107">
        <v>9786.2000000000007</v>
      </c>
      <c r="E215" s="107">
        <v>6579.35</v>
      </c>
      <c r="F215" s="107">
        <v>3133.31</v>
      </c>
      <c r="G215" s="107">
        <v>8531.0499999999993</v>
      </c>
      <c r="H215" s="107">
        <v>9168.32</v>
      </c>
      <c r="I215" s="107">
        <v>10000</v>
      </c>
      <c r="J215" s="107">
        <v>7151.53</v>
      </c>
      <c r="K215" s="107">
        <v>9386.6</v>
      </c>
      <c r="L215" s="107">
        <v>8674.09</v>
      </c>
      <c r="M215" s="107">
        <v>8276.57</v>
      </c>
      <c r="N215" s="107">
        <v>96622.61</v>
      </c>
    </row>
    <row r="216" spans="1:14">
      <c r="A216" s="64" t="s">
        <v>173</v>
      </c>
      <c r="B216" s="107">
        <v>21652.959999999999</v>
      </c>
      <c r="C216" s="107">
        <v>23620.080000000002</v>
      </c>
      <c r="D216" s="107">
        <v>20966.45</v>
      </c>
      <c r="E216" s="107">
        <v>22655.1</v>
      </c>
      <c r="F216" s="107">
        <v>20023.53</v>
      </c>
      <c r="G216" s="107">
        <v>20946.95</v>
      </c>
      <c r="H216" s="107">
        <v>18261.18</v>
      </c>
      <c r="I216" s="107">
        <v>22024.98</v>
      </c>
      <c r="J216" s="107">
        <v>17498.96</v>
      </c>
      <c r="K216" s="107">
        <v>18311.919999999998</v>
      </c>
      <c r="L216" s="107">
        <v>19225.490000000002</v>
      </c>
      <c r="M216" s="107">
        <v>17598.82</v>
      </c>
      <c r="N216" s="107">
        <v>242786.42</v>
      </c>
    </row>
    <row r="217" spans="1:14">
      <c r="A217" s="64" t="s">
        <v>174</v>
      </c>
      <c r="B217" s="107">
        <v>19560.47</v>
      </c>
      <c r="C217" s="107">
        <v>23521.78</v>
      </c>
      <c r="D217" s="107">
        <v>21541.27</v>
      </c>
      <c r="E217" s="107">
        <v>23002.29</v>
      </c>
      <c r="F217" s="107">
        <v>19827.18</v>
      </c>
      <c r="G217" s="107">
        <v>20792.87</v>
      </c>
      <c r="H217" s="107">
        <v>21002.19</v>
      </c>
      <c r="I217" s="107">
        <v>22400</v>
      </c>
      <c r="J217" s="107">
        <v>19793.439999999999</v>
      </c>
      <c r="K217" s="107">
        <v>15878.28</v>
      </c>
      <c r="L217" s="107">
        <v>19396.18</v>
      </c>
      <c r="M217" s="107">
        <v>18010.72</v>
      </c>
      <c r="N217" s="107">
        <v>244726.67</v>
      </c>
    </row>
    <row r="218" spans="1:14">
      <c r="A218" s="64" t="s">
        <v>175</v>
      </c>
      <c r="B218" s="107">
        <v>1222.76</v>
      </c>
      <c r="C218" s="107">
        <v>2901.38</v>
      </c>
      <c r="D218" s="107">
        <v>2158.63</v>
      </c>
      <c r="E218" s="107">
        <v>4875.58</v>
      </c>
      <c r="F218" s="107">
        <v>6156.58</v>
      </c>
      <c r="G218" s="107">
        <v>4705.3</v>
      </c>
      <c r="H218" s="107">
        <v>4353.07</v>
      </c>
      <c r="I218" s="107">
        <v>4800</v>
      </c>
      <c r="J218" s="107">
        <v>4135.74</v>
      </c>
      <c r="K218" s="107">
        <v>4067.79</v>
      </c>
      <c r="L218" s="107">
        <v>4315.1899999999996</v>
      </c>
      <c r="M218" s="107">
        <v>5076.5200000000004</v>
      </c>
      <c r="N218" s="107">
        <v>48768.54</v>
      </c>
    </row>
    <row r="219" spans="1:14">
      <c r="A219" s="64" t="s">
        <v>176</v>
      </c>
      <c r="B219" s="22"/>
      <c r="C219" s="107">
        <v>622.71</v>
      </c>
      <c r="D219" s="107">
        <v>150</v>
      </c>
      <c r="E219" s="22"/>
      <c r="F219" s="107">
        <v>338.87</v>
      </c>
      <c r="G219" s="107"/>
      <c r="H219" s="22"/>
      <c r="I219" s="107">
        <v>215.42</v>
      </c>
      <c r="J219" s="22"/>
      <c r="K219" s="22"/>
      <c r="L219" s="22"/>
      <c r="M219" s="22"/>
      <c r="N219" s="107">
        <v>1327</v>
      </c>
    </row>
    <row r="220" spans="1:14">
      <c r="A220" s="64" t="s">
        <v>177</v>
      </c>
      <c r="B220" s="107"/>
      <c r="C220" s="107">
        <v>646.38</v>
      </c>
      <c r="D220" s="107">
        <v>260.02</v>
      </c>
      <c r="E220" s="22"/>
      <c r="F220" s="107">
        <v>452.29</v>
      </c>
      <c r="G220" s="107"/>
      <c r="H220" s="107">
        <v>926.35</v>
      </c>
      <c r="I220" s="107">
        <v>127.23</v>
      </c>
      <c r="J220" s="22"/>
      <c r="K220" s="107">
        <v>46.34</v>
      </c>
      <c r="L220" s="107">
        <v>107.71</v>
      </c>
      <c r="M220" s="22"/>
      <c r="N220" s="107">
        <v>2566.3200000000002</v>
      </c>
    </row>
    <row r="221" spans="1:14">
      <c r="A221" s="64" t="s">
        <v>178</v>
      </c>
      <c r="B221" s="107">
        <v>87.25</v>
      </c>
      <c r="C221" s="107">
        <v>249.03</v>
      </c>
      <c r="D221" s="107">
        <v>81.25</v>
      </c>
      <c r="E221" s="107">
        <v>148.66</v>
      </c>
      <c r="F221" s="107">
        <v>86.5</v>
      </c>
      <c r="G221" s="107">
        <v>212.49</v>
      </c>
      <c r="H221" s="107">
        <v>663.25</v>
      </c>
      <c r="I221" s="107">
        <v>282.19</v>
      </c>
      <c r="J221" s="107">
        <v>81</v>
      </c>
      <c r="K221" s="107">
        <v>164.99</v>
      </c>
      <c r="L221" s="107">
        <v>318.95</v>
      </c>
      <c r="M221" s="107">
        <v>297.64</v>
      </c>
      <c r="N221" s="107">
        <v>2673.2</v>
      </c>
    </row>
    <row r="222" spans="1:14">
      <c r="A222" s="64" t="s">
        <v>179</v>
      </c>
      <c r="B222" s="107">
        <v>1911.42</v>
      </c>
      <c r="C222" s="107">
        <v>1196.92</v>
      </c>
      <c r="D222" s="107">
        <v>849.06</v>
      </c>
      <c r="E222" s="107">
        <v>487.12</v>
      </c>
      <c r="F222" s="107">
        <v>610.41</v>
      </c>
      <c r="G222" s="107">
        <v>628.69000000000005</v>
      </c>
      <c r="H222" s="107">
        <v>1209.31</v>
      </c>
      <c r="I222" s="107">
        <v>580</v>
      </c>
      <c r="J222" s="107">
        <v>1001.45</v>
      </c>
      <c r="K222" s="107">
        <v>1433.11</v>
      </c>
      <c r="L222" s="107">
        <v>1060.4000000000001</v>
      </c>
      <c r="M222" s="107">
        <v>298.66000000000003</v>
      </c>
      <c r="N222" s="107">
        <v>11266.55</v>
      </c>
    </row>
    <row r="223" spans="1:14">
      <c r="A223" s="64" t="s">
        <v>180</v>
      </c>
      <c r="B223" s="107">
        <v>563.53</v>
      </c>
      <c r="C223" s="107">
        <v>2471.14</v>
      </c>
      <c r="D223" s="107">
        <v>359.17</v>
      </c>
      <c r="E223" s="107">
        <v>299.44</v>
      </c>
      <c r="F223" s="107">
        <v>567.6</v>
      </c>
      <c r="G223" s="107">
        <v>460.64</v>
      </c>
      <c r="H223" s="107">
        <v>501.93</v>
      </c>
      <c r="I223" s="107">
        <v>692.71</v>
      </c>
      <c r="J223" s="107">
        <v>582.87</v>
      </c>
      <c r="K223" s="107">
        <v>1455.05</v>
      </c>
      <c r="L223" s="107">
        <v>991.5</v>
      </c>
      <c r="M223" s="107">
        <v>654.23</v>
      </c>
      <c r="N223" s="107">
        <v>9599.81</v>
      </c>
    </row>
    <row r="224" spans="1:14">
      <c r="A224" s="64" t="s">
        <v>181</v>
      </c>
      <c r="B224" s="107">
        <v>1220.3599999999999</v>
      </c>
      <c r="C224" s="107">
        <v>3201.73</v>
      </c>
      <c r="D224" s="107">
        <v>1613.32</v>
      </c>
      <c r="E224" s="107">
        <v>2116.56</v>
      </c>
      <c r="F224" s="107">
        <v>4402.13</v>
      </c>
      <c r="G224" s="107">
        <v>1556.25</v>
      </c>
      <c r="H224" s="107">
        <v>1846.43</v>
      </c>
      <c r="I224" s="107">
        <v>2552.21</v>
      </c>
      <c r="J224" s="107">
        <v>1995.32</v>
      </c>
      <c r="K224" s="107">
        <v>2539.8000000000002</v>
      </c>
      <c r="L224" s="107">
        <v>2987.24</v>
      </c>
      <c r="M224" s="107">
        <v>2382.92</v>
      </c>
      <c r="N224" s="107">
        <v>28414.27</v>
      </c>
    </row>
    <row r="225" spans="1:14">
      <c r="A225" s="64" t="s">
        <v>182</v>
      </c>
      <c r="B225" s="107">
        <v>51.91</v>
      </c>
      <c r="C225" s="107">
        <v>96.04</v>
      </c>
      <c r="D225" s="107">
        <v>46.34</v>
      </c>
      <c r="E225" s="107">
        <v>184.76</v>
      </c>
      <c r="F225" s="107">
        <v>228.57</v>
      </c>
      <c r="G225" s="107">
        <v>244.75</v>
      </c>
      <c r="H225" s="107">
        <v>90.7</v>
      </c>
      <c r="I225" s="107">
        <v>209.4</v>
      </c>
      <c r="J225" s="107">
        <v>435.06</v>
      </c>
      <c r="K225" s="107">
        <v>16.71</v>
      </c>
      <c r="L225" s="107">
        <v>90.7</v>
      </c>
      <c r="M225" s="107">
        <v>97.63</v>
      </c>
      <c r="N225" s="107">
        <v>1792.57</v>
      </c>
    </row>
    <row r="226" spans="1:14">
      <c r="A226" s="64" t="s">
        <v>183</v>
      </c>
      <c r="B226" s="107">
        <v>714.49</v>
      </c>
      <c r="C226" s="107">
        <v>827.96</v>
      </c>
      <c r="D226" s="22"/>
      <c r="E226" s="107">
        <v>234.94</v>
      </c>
      <c r="F226" s="107">
        <v>718.97</v>
      </c>
      <c r="G226" s="107"/>
      <c r="H226" s="22"/>
      <c r="I226" s="107">
        <v>579.54999999999995</v>
      </c>
      <c r="J226" s="107">
        <v>378</v>
      </c>
      <c r="K226" s="107">
        <v>1252.1600000000001</v>
      </c>
      <c r="L226" s="107">
        <v>101.04</v>
      </c>
      <c r="M226" s="107">
        <v>368.1</v>
      </c>
      <c r="N226" s="107">
        <v>5175.21</v>
      </c>
    </row>
    <row r="227" spans="1:14">
      <c r="A227" s="64" t="s">
        <v>184</v>
      </c>
      <c r="B227" s="111">
        <v>2677.17</v>
      </c>
      <c r="C227" s="111">
        <v>2070.2800000000002</v>
      </c>
      <c r="D227" s="111">
        <v>2018.32</v>
      </c>
      <c r="E227" s="111">
        <v>929.33</v>
      </c>
      <c r="F227" s="111">
        <v>691.99</v>
      </c>
      <c r="G227" s="111">
        <v>929.33</v>
      </c>
      <c r="H227" s="111">
        <v>1851.32</v>
      </c>
      <c r="I227" s="111">
        <v>2194.21</v>
      </c>
      <c r="J227" s="111">
        <v>2430.7399999999998</v>
      </c>
      <c r="K227" s="111">
        <v>3221.14</v>
      </c>
      <c r="L227" s="111">
        <v>2877.29</v>
      </c>
      <c r="M227" s="111">
        <v>1540.94</v>
      </c>
      <c r="N227" s="111">
        <v>23432.06</v>
      </c>
    </row>
    <row r="228" spans="1:14">
      <c r="A228" s="64" t="s">
        <v>185</v>
      </c>
      <c r="B228" s="107">
        <f t="shared" ref="B228:M228" si="53">SUM(B213:B227)</f>
        <v>58673.270000000004</v>
      </c>
      <c r="C228" s="107">
        <f t="shared" si="53"/>
        <v>68350.069999999992</v>
      </c>
      <c r="D228" s="107">
        <f t="shared" si="53"/>
        <v>59830.029999999984</v>
      </c>
      <c r="E228" s="107">
        <f t="shared" si="53"/>
        <v>61513.130000000012</v>
      </c>
      <c r="F228" s="107">
        <f t="shared" si="53"/>
        <v>57237.930000000008</v>
      </c>
      <c r="G228" s="107">
        <f t="shared" si="53"/>
        <v>59008.32</v>
      </c>
      <c r="H228" s="107">
        <f t="shared" si="53"/>
        <v>59874.049999999996</v>
      </c>
      <c r="I228" s="107">
        <f t="shared" si="53"/>
        <v>66657.900000000009</v>
      </c>
      <c r="J228" s="107">
        <f t="shared" si="53"/>
        <v>55484.109999999986</v>
      </c>
      <c r="K228" s="107">
        <f t="shared" si="53"/>
        <v>57773.89</v>
      </c>
      <c r="L228" s="107">
        <f t="shared" si="53"/>
        <v>60145.78</v>
      </c>
      <c r="M228" s="107">
        <f t="shared" si="53"/>
        <v>54602.750000000007</v>
      </c>
      <c r="N228" s="107">
        <v>719151.23</v>
      </c>
    </row>
    <row r="229" spans="1:14">
      <c r="A229" s="64"/>
      <c r="B229" s="22"/>
      <c r="C229" s="22"/>
      <c r="D229" s="22"/>
      <c r="E229" s="22"/>
      <c r="F229" s="22"/>
      <c r="G229" s="22"/>
      <c r="H229" s="22"/>
      <c r="I229" s="22"/>
      <c r="J229" s="22"/>
      <c r="K229" s="22"/>
      <c r="L229" s="22"/>
      <c r="M229" s="22"/>
      <c r="N229" s="22"/>
    </row>
    <row r="230" spans="1:14">
      <c r="A230" s="64" t="s">
        <v>186</v>
      </c>
      <c r="B230" s="22"/>
      <c r="C230" s="22"/>
      <c r="D230" s="22"/>
      <c r="E230" s="22"/>
      <c r="F230" s="22"/>
      <c r="G230" s="22"/>
      <c r="H230" s="22"/>
      <c r="I230" s="22"/>
      <c r="J230" s="22"/>
      <c r="K230" s="22"/>
      <c r="L230" s="22"/>
      <c r="M230" s="22"/>
      <c r="N230" s="22"/>
    </row>
    <row r="231" spans="1:14">
      <c r="A231" s="64" t="s">
        <v>187</v>
      </c>
      <c r="B231" s="107">
        <v>7000</v>
      </c>
      <c r="C231" s="107">
        <v>7000</v>
      </c>
      <c r="D231" s="107">
        <v>7000</v>
      </c>
      <c r="E231" s="107">
        <v>7000</v>
      </c>
      <c r="F231" s="107">
        <v>7000</v>
      </c>
      <c r="G231" s="107">
        <v>7000</v>
      </c>
      <c r="H231" s="107">
        <v>7000</v>
      </c>
      <c r="I231" s="107">
        <v>7000</v>
      </c>
      <c r="J231" s="107">
        <v>7000</v>
      </c>
      <c r="K231" s="107">
        <v>7000</v>
      </c>
      <c r="L231" s="107">
        <v>7000</v>
      </c>
      <c r="M231" s="107">
        <v>7000</v>
      </c>
      <c r="N231" s="107">
        <v>84000</v>
      </c>
    </row>
    <row r="232" spans="1:14">
      <c r="A232" s="64" t="s">
        <v>188</v>
      </c>
      <c r="B232" s="107">
        <v>1085</v>
      </c>
      <c r="C232" s="107">
        <v>1165</v>
      </c>
      <c r="D232" s="107">
        <v>885</v>
      </c>
      <c r="E232" s="107">
        <v>1005</v>
      </c>
      <c r="F232" s="107">
        <v>1085</v>
      </c>
      <c r="G232" s="107">
        <v>960</v>
      </c>
      <c r="H232" s="107">
        <v>1085</v>
      </c>
      <c r="I232" s="107">
        <v>1100</v>
      </c>
      <c r="J232" s="107">
        <v>990</v>
      </c>
      <c r="K232" s="107">
        <v>1305</v>
      </c>
      <c r="L232" s="107">
        <v>1100</v>
      </c>
      <c r="M232" s="107">
        <v>1310</v>
      </c>
      <c r="N232" s="107">
        <v>13075</v>
      </c>
    </row>
    <row r="233" spans="1:14">
      <c r="A233" s="64" t="s">
        <v>189</v>
      </c>
      <c r="B233" s="22"/>
      <c r="C233" s="22"/>
      <c r="D233" s="22"/>
      <c r="E233" s="22"/>
      <c r="F233" s="22"/>
      <c r="G233" s="22"/>
      <c r="H233" s="22"/>
      <c r="I233" s="22"/>
      <c r="J233" s="107">
        <v>550</v>
      </c>
      <c r="K233" s="22"/>
      <c r="L233" s="22"/>
      <c r="M233" s="22"/>
      <c r="N233" s="107">
        <v>550</v>
      </c>
    </row>
    <row r="234" spans="1:14">
      <c r="A234" s="64" t="s">
        <v>190</v>
      </c>
      <c r="B234" s="107">
        <v>1500</v>
      </c>
      <c r="C234" s="107">
        <v>1500</v>
      </c>
      <c r="D234" s="107">
        <v>1500</v>
      </c>
      <c r="E234" s="107">
        <v>1500</v>
      </c>
      <c r="F234" s="107">
        <v>2405</v>
      </c>
      <c r="G234" s="107">
        <v>1500</v>
      </c>
      <c r="H234" s="107">
        <v>1500</v>
      </c>
      <c r="I234" s="107">
        <v>1500</v>
      </c>
      <c r="J234" s="107">
        <v>1711.08</v>
      </c>
      <c r="K234" s="107">
        <v>1500</v>
      </c>
      <c r="L234" s="107">
        <v>3030</v>
      </c>
      <c r="M234" s="107">
        <v>2035.47</v>
      </c>
      <c r="N234" s="107">
        <v>21181.55</v>
      </c>
    </row>
    <row r="235" spans="1:14">
      <c r="A235" s="64" t="s">
        <v>191</v>
      </c>
      <c r="B235" s="107">
        <v>11111.62</v>
      </c>
      <c r="C235" s="107">
        <v>12388.05</v>
      </c>
      <c r="D235" s="107">
        <v>9422.7999999999993</v>
      </c>
      <c r="E235" s="107">
        <v>9290.18</v>
      </c>
      <c r="F235" s="107">
        <v>9821.68</v>
      </c>
      <c r="G235" s="107">
        <v>9355.56</v>
      </c>
      <c r="H235" s="107">
        <v>8909.77</v>
      </c>
      <c r="I235" s="107">
        <v>8458.06</v>
      </c>
      <c r="J235" s="107">
        <v>10090</v>
      </c>
      <c r="K235" s="107">
        <v>9382.34</v>
      </c>
      <c r="L235" s="107">
        <v>10837.8</v>
      </c>
      <c r="M235" s="107"/>
      <c r="N235" s="107">
        <v>109067.86</v>
      </c>
    </row>
    <row r="236" spans="1:14">
      <c r="A236" s="64" t="s">
        <v>415</v>
      </c>
      <c r="B236" s="22"/>
      <c r="C236" s="22"/>
      <c r="D236" s="22"/>
      <c r="E236" s="22"/>
      <c r="F236" s="22"/>
      <c r="G236" s="22"/>
      <c r="H236" s="22"/>
      <c r="I236" s="22"/>
      <c r="J236" s="22"/>
      <c r="K236" s="22"/>
      <c r="L236" s="22"/>
      <c r="M236" s="107">
        <v>4303.5200000000004</v>
      </c>
      <c r="N236" s="107">
        <v>4303.5200000000004</v>
      </c>
    </row>
    <row r="237" spans="1:14">
      <c r="A237" s="64" t="s">
        <v>416</v>
      </c>
      <c r="B237" s="22"/>
      <c r="C237" s="22"/>
      <c r="D237" s="22"/>
      <c r="E237" s="22"/>
      <c r="F237" s="22"/>
      <c r="G237" s="22"/>
      <c r="H237" s="22"/>
      <c r="I237" s="22"/>
      <c r="J237" s="22"/>
      <c r="K237" s="22"/>
      <c r="L237" s="22"/>
      <c r="M237" s="107">
        <v>1030.22</v>
      </c>
      <c r="N237" s="107">
        <v>1030.22</v>
      </c>
    </row>
    <row r="238" spans="1:14">
      <c r="A238" s="64" t="s">
        <v>417</v>
      </c>
      <c r="B238" s="22"/>
      <c r="C238" s="22"/>
      <c r="D238" s="22"/>
      <c r="E238" s="22"/>
      <c r="F238" s="22"/>
      <c r="G238" s="22"/>
      <c r="H238" s="22"/>
      <c r="I238" s="22"/>
      <c r="J238" s="22"/>
      <c r="K238" s="22"/>
      <c r="L238" s="22"/>
      <c r="M238" s="107">
        <v>2589.5700000000002</v>
      </c>
      <c r="N238" s="107">
        <v>2589.5700000000002</v>
      </c>
    </row>
    <row r="239" spans="1:14">
      <c r="A239" s="64" t="s">
        <v>192</v>
      </c>
      <c r="B239" s="107">
        <v>1222.05</v>
      </c>
      <c r="C239" s="107">
        <v>1222.05</v>
      </c>
      <c r="D239" s="107">
        <v>1222.05</v>
      </c>
      <c r="E239" s="107">
        <v>1222.05</v>
      </c>
      <c r="F239" s="107">
        <v>1222.05</v>
      </c>
      <c r="G239" s="107">
        <v>1222.05</v>
      </c>
      <c r="H239" s="107">
        <v>1222.05</v>
      </c>
      <c r="I239" s="107">
        <v>1200</v>
      </c>
      <c r="J239" s="107">
        <v>1244.0999999999999</v>
      </c>
      <c r="K239" s="107">
        <v>1222.05</v>
      </c>
      <c r="L239" s="107">
        <v>1222.05</v>
      </c>
      <c r="M239" s="107">
        <v>1222.05</v>
      </c>
      <c r="N239" s="107">
        <v>14664.6</v>
      </c>
    </row>
    <row r="240" spans="1:14">
      <c r="A240" s="64" t="s">
        <v>193</v>
      </c>
      <c r="B240" s="107">
        <v>1404.28</v>
      </c>
      <c r="C240" s="107">
        <v>1418.49</v>
      </c>
      <c r="D240" s="107">
        <v>1382.75</v>
      </c>
      <c r="E240" s="107">
        <v>1892.24</v>
      </c>
      <c r="F240" s="107">
        <v>1396.06</v>
      </c>
      <c r="G240" s="107">
        <v>1336.98</v>
      </c>
      <c r="H240" s="107">
        <v>1883.14</v>
      </c>
      <c r="I240" s="107">
        <v>1407.23</v>
      </c>
      <c r="J240" s="107">
        <v>1352.26</v>
      </c>
      <c r="K240" s="107">
        <v>1506.37</v>
      </c>
      <c r="L240" s="107">
        <v>1144.54</v>
      </c>
      <c r="M240" s="107">
        <v>1751.13</v>
      </c>
      <c r="N240" s="107">
        <v>17875.47</v>
      </c>
    </row>
    <row r="241" spans="1:14">
      <c r="A241" s="64" t="s">
        <v>194</v>
      </c>
      <c r="B241" s="107">
        <v>3138.27</v>
      </c>
      <c r="C241" s="107">
        <v>2794.06</v>
      </c>
      <c r="D241" s="107">
        <v>4455.91</v>
      </c>
      <c r="E241" s="107">
        <v>3698.41</v>
      </c>
      <c r="F241" s="107">
        <v>3215.68</v>
      </c>
      <c r="G241" s="107">
        <v>444</v>
      </c>
      <c r="H241" s="107">
        <v>5108.8900000000003</v>
      </c>
      <c r="I241" s="107">
        <v>2718.14</v>
      </c>
      <c r="J241" s="107">
        <v>5335.86</v>
      </c>
      <c r="K241" s="107">
        <v>2812.93</v>
      </c>
      <c r="L241" s="107">
        <v>2128.62</v>
      </c>
      <c r="M241" s="107">
        <v>7707.98</v>
      </c>
      <c r="N241" s="107">
        <v>43558.75</v>
      </c>
    </row>
    <row r="242" spans="1:14">
      <c r="A242" s="64" t="s">
        <v>195</v>
      </c>
      <c r="B242" s="107">
        <v>9255.3799999999992</v>
      </c>
      <c r="C242" s="107">
        <v>9255.3799999999992</v>
      </c>
      <c r="D242" s="107">
        <v>9255.3799999999992</v>
      </c>
      <c r="E242" s="107">
        <v>10175.5</v>
      </c>
      <c r="F242" s="107">
        <v>9255.3799999999992</v>
      </c>
      <c r="G242" s="107">
        <v>9255.3799999999992</v>
      </c>
      <c r="H242" s="107">
        <v>9255.3799999999992</v>
      </c>
      <c r="I242" s="107">
        <v>9300</v>
      </c>
      <c r="J242" s="107">
        <v>9455.3799999999992</v>
      </c>
      <c r="K242" s="107">
        <v>9533.02</v>
      </c>
      <c r="L242" s="107">
        <v>9533.02</v>
      </c>
      <c r="M242" s="107">
        <v>9533.02</v>
      </c>
      <c r="N242" s="107">
        <v>113062.22</v>
      </c>
    </row>
    <row r="243" spans="1:14">
      <c r="A243" s="64" t="s">
        <v>196</v>
      </c>
      <c r="B243" s="107">
        <v>6170.25</v>
      </c>
      <c r="C243" s="107">
        <v>6170.25</v>
      </c>
      <c r="D243" s="107">
        <v>6170.25</v>
      </c>
      <c r="E243" s="107">
        <v>6783.67</v>
      </c>
      <c r="F243" s="107">
        <v>6170.25</v>
      </c>
      <c r="G243" s="107">
        <v>6170.25</v>
      </c>
      <c r="H243" s="107">
        <v>6170.25</v>
      </c>
      <c r="I243" s="107">
        <v>6200</v>
      </c>
      <c r="J243" s="107">
        <v>6370.25</v>
      </c>
      <c r="K243" s="107">
        <v>6355.37</v>
      </c>
      <c r="L243" s="107">
        <v>6355.37</v>
      </c>
      <c r="M243" s="107">
        <v>6355.37</v>
      </c>
      <c r="N243" s="107">
        <v>75441.53</v>
      </c>
    </row>
    <row r="244" spans="1:14">
      <c r="A244" s="64" t="s">
        <v>197</v>
      </c>
      <c r="B244" s="107">
        <v>36989.22</v>
      </c>
      <c r="C244" s="107">
        <v>36989.22</v>
      </c>
      <c r="D244" s="107">
        <v>41325.449999999997</v>
      </c>
      <c r="E244" s="107">
        <v>37154.620000000003</v>
      </c>
      <c r="F244" s="107">
        <v>37154.620000000003</v>
      </c>
      <c r="G244" s="107">
        <v>37395.25</v>
      </c>
      <c r="H244" s="107">
        <v>37395.25</v>
      </c>
      <c r="I244" s="107">
        <v>37400</v>
      </c>
      <c r="J244" s="107">
        <v>38795.25</v>
      </c>
      <c r="K244" s="107">
        <v>39275.89</v>
      </c>
      <c r="L244" s="107">
        <v>38113.339999999997</v>
      </c>
      <c r="M244" s="107">
        <v>39275.89</v>
      </c>
      <c r="N244" s="107">
        <v>457264</v>
      </c>
    </row>
    <row r="245" spans="1:14">
      <c r="A245" s="64" t="s">
        <v>198</v>
      </c>
      <c r="B245" s="107">
        <v>512.61</v>
      </c>
      <c r="C245" s="107">
        <v>512.61</v>
      </c>
      <c r="D245" s="107">
        <v>530.54</v>
      </c>
      <c r="E245" s="107">
        <v>530.54</v>
      </c>
      <c r="F245" s="107">
        <v>530.54</v>
      </c>
      <c r="G245" s="107">
        <v>530.54</v>
      </c>
      <c r="H245" s="107">
        <v>530.54</v>
      </c>
      <c r="I245" s="107">
        <v>449.68</v>
      </c>
      <c r="J245" s="107">
        <v>500</v>
      </c>
      <c r="K245" s="107">
        <v>530.54</v>
      </c>
      <c r="L245" s="107">
        <v>530.54</v>
      </c>
      <c r="M245" s="107">
        <v>490</v>
      </c>
      <c r="N245" s="107">
        <v>6178.68</v>
      </c>
    </row>
    <row r="246" spans="1:14">
      <c r="A246" s="64" t="s">
        <v>199</v>
      </c>
      <c r="B246" s="107">
        <v>383.5</v>
      </c>
      <c r="C246" s="107">
        <v>162.25</v>
      </c>
      <c r="D246" s="107">
        <v>231.08</v>
      </c>
      <c r="E246" s="107">
        <v>158.91999999999999</v>
      </c>
      <c r="F246" s="107">
        <v>184.08</v>
      </c>
      <c r="G246" s="107">
        <v>330</v>
      </c>
      <c r="H246" s="107">
        <v>240</v>
      </c>
      <c r="I246" s="107">
        <v>175.92</v>
      </c>
      <c r="J246" s="107">
        <v>31</v>
      </c>
      <c r="K246" s="107">
        <v>150</v>
      </c>
      <c r="L246" s="107">
        <v>97.75</v>
      </c>
      <c r="M246" s="107">
        <v>6.25</v>
      </c>
      <c r="N246" s="107">
        <v>2150.75</v>
      </c>
    </row>
    <row r="247" spans="1:14">
      <c r="A247" s="64" t="s">
        <v>200</v>
      </c>
      <c r="B247" s="107">
        <v>950</v>
      </c>
      <c r="C247" s="107">
        <v>950</v>
      </c>
      <c r="D247" s="107">
        <v>1540</v>
      </c>
      <c r="E247" s="107">
        <v>650</v>
      </c>
      <c r="F247" s="107">
        <v>650</v>
      </c>
      <c r="G247" s="107">
        <v>650</v>
      </c>
      <c r="H247" s="107">
        <v>650</v>
      </c>
      <c r="I247" s="107">
        <v>650</v>
      </c>
      <c r="J247" s="107">
        <v>650</v>
      </c>
      <c r="K247" s="107">
        <v>1000</v>
      </c>
      <c r="L247" s="107">
        <v>950</v>
      </c>
      <c r="M247" s="107">
        <v>650</v>
      </c>
      <c r="N247" s="107">
        <v>9940</v>
      </c>
    </row>
    <row r="248" spans="1:14">
      <c r="A248" s="64" t="s">
        <v>201</v>
      </c>
      <c r="B248" s="107">
        <v>127.1</v>
      </c>
      <c r="C248" s="107">
        <v>204.75</v>
      </c>
      <c r="D248" s="107">
        <v>374.21</v>
      </c>
      <c r="E248" s="107">
        <v>289.48</v>
      </c>
      <c r="F248" s="107">
        <v>289.48</v>
      </c>
      <c r="G248" s="107">
        <v>289.48</v>
      </c>
      <c r="H248" s="107">
        <v>289.48</v>
      </c>
      <c r="I248" s="107">
        <v>300</v>
      </c>
      <c r="J248" s="107">
        <v>300</v>
      </c>
      <c r="K248" s="107">
        <v>278.95999999999998</v>
      </c>
      <c r="L248" s="107">
        <v>256.89999999999998</v>
      </c>
      <c r="M248" s="107">
        <v>267.42</v>
      </c>
      <c r="N248" s="107">
        <v>3267.26</v>
      </c>
    </row>
    <row r="249" spans="1:14">
      <c r="A249" s="64" t="s">
        <v>202</v>
      </c>
      <c r="B249" s="107">
        <v>4600</v>
      </c>
      <c r="C249" s="22"/>
      <c r="D249" s="22"/>
      <c r="E249" s="22"/>
      <c r="F249" s="22"/>
      <c r="G249" s="107"/>
      <c r="H249" s="107">
        <v>75</v>
      </c>
      <c r="I249" s="107">
        <v>350</v>
      </c>
      <c r="J249" s="22"/>
      <c r="K249" s="107">
        <v>7104.13</v>
      </c>
      <c r="L249" s="22"/>
      <c r="M249" s="107">
        <v>4160</v>
      </c>
      <c r="N249" s="107">
        <v>16289.13</v>
      </c>
    </row>
    <row r="250" spans="1:14">
      <c r="A250" s="64" t="s">
        <v>203</v>
      </c>
      <c r="B250" s="107">
        <v>8136.78</v>
      </c>
      <c r="C250" s="107">
        <v>8931.1200000000008</v>
      </c>
      <c r="D250" s="107">
        <v>9150.6299999999992</v>
      </c>
      <c r="E250" s="107">
        <v>10370.57</v>
      </c>
      <c r="F250" s="107">
        <v>8951.84</v>
      </c>
      <c r="G250" s="107">
        <v>8809.2099999999991</v>
      </c>
      <c r="H250" s="107">
        <v>7607.15</v>
      </c>
      <c r="I250" s="107">
        <v>11011.4</v>
      </c>
      <c r="J250" s="107">
        <v>10968.58</v>
      </c>
      <c r="K250" s="107">
        <v>12252.35</v>
      </c>
      <c r="L250" s="107">
        <v>8053.43</v>
      </c>
      <c r="M250" s="107">
        <v>9673.66</v>
      </c>
      <c r="N250" s="107">
        <v>113916.72</v>
      </c>
    </row>
    <row r="251" spans="1:14">
      <c r="A251" s="64" t="s">
        <v>204</v>
      </c>
      <c r="B251" s="107">
        <v>24830</v>
      </c>
      <c r="C251" s="107">
        <v>27374</v>
      </c>
      <c r="D251" s="107">
        <v>26615</v>
      </c>
      <c r="E251" s="107">
        <v>22953</v>
      </c>
      <c r="F251" s="107">
        <v>52082</v>
      </c>
      <c r="G251" s="107">
        <v>29760</v>
      </c>
      <c r="H251" s="107">
        <v>26015</v>
      </c>
      <c r="I251" s="107">
        <v>24730</v>
      </c>
      <c r="J251" s="107">
        <v>23805</v>
      </c>
      <c r="K251" s="107">
        <v>24476</v>
      </c>
      <c r="L251" s="107">
        <v>24917</v>
      </c>
      <c r="M251" s="107">
        <v>26516</v>
      </c>
      <c r="N251" s="107">
        <v>334073</v>
      </c>
    </row>
    <row r="252" spans="1:14">
      <c r="A252" s="64" t="s">
        <v>205</v>
      </c>
      <c r="B252" s="107">
        <v>1016.62</v>
      </c>
      <c r="C252" s="107">
        <v>913.96</v>
      </c>
      <c r="D252" s="107">
        <v>900.94</v>
      </c>
      <c r="E252" s="107">
        <v>904.52</v>
      </c>
      <c r="F252" s="107">
        <v>651.14</v>
      </c>
      <c r="G252" s="107">
        <v>617.01</v>
      </c>
      <c r="H252" s="107">
        <v>625.75</v>
      </c>
      <c r="I252" s="107">
        <v>761.09</v>
      </c>
      <c r="J252" s="107">
        <v>626.55999999999995</v>
      </c>
      <c r="K252" s="107">
        <v>642.07000000000005</v>
      </c>
      <c r="L252" s="107">
        <v>500</v>
      </c>
      <c r="M252" s="107">
        <v>621.09</v>
      </c>
      <c r="N252" s="107">
        <v>8780.75</v>
      </c>
    </row>
    <row r="253" spans="1:14">
      <c r="A253" s="64" t="s">
        <v>206</v>
      </c>
      <c r="B253" s="111">
        <v>110.29</v>
      </c>
      <c r="C253" s="111">
        <v>90.57</v>
      </c>
      <c r="D253" s="111">
        <v>422.62</v>
      </c>
      <c r="E253" s="111">
        <v>1241.6199999999999</v>
      </c>
      <c r="F253" s="111">
        <v>1043.94</v>
      </c>
      <c r="G253" s="111">
        <v>196.21</v>
      </c>
      <c r="H253" s="111">
        <v>325.47000000000003</v>
      </c>
      <c r="I253" s="111">
        <v>504.04</v>
      </c>
      <c r="J253" s="111">
        <v>518.22</v>
      </c>
      <c r="K253" s="111">
        <v>502.07</v>
      </c>
      <c r="L253" s="111">
        <v>940.47</v>
      </c>
      <c r="M253" s="111">
        <v>464.85</v>
      </c>
      <c r="N253" s="111">
        <v>6360.37</v>
      </c>
    </row>
    <row r="254" spans="1:14">
      <c r="A254" s="64" t="s">
        <v>207</v>
      </c>
      <c r="B254" s="107">
        <f t="shared" ref="B254:M254" si="54">SUM(B229:B253)</f>
        <v>119542.97</v>
      </c>
      <c r="C254" s="107">
        <f t="shared" si="54"/>
        <v>119041.76000000001</v>
      </c>
      <c r="D254" s="107">
        <f t="shared" si="54"/>
        <v>122384.61</v>
      </c>
      <c r="E254" s="107">
        <f t="shared" si="54"/>
        <v>116820.31999999999</v>
      </c>
      <c r="F254" s="107">
        <f t="shared" si="54"/>
        <v>143108.74</v>
      </c>
      <c r="G254" s="107">
        <f t="shared" si="54"/>
        <v>115821.91999999998</v>
      </c>
      <c r="H254" s="107">
        <f t="shared" si="54"/>
        <v>115888.11999999998</v>
      </c>
      <c r="I254" s="107">
        <f t="shared" si="54"/>
        <v>115215.55999999997</v>
      </c>
      <c r="J254" s="107">
        <f t="shared" si="54"/>
        <v>120293.54</v>
      </c>
      <c r="K254" s="107">
        <f t="shared" si="54"/>
        <v>126829.09000000003</v>
      </c>
      <c r="L254" s="107">
        <f t="shared" si="54"/>
        <v>116710.82999999999</v>
      </c>
      <c r="M254" s="107">
        <f t="shared" si="54"/>
        <v>126963.49</v>
      </c>
      <c r="N254" s="107">
        <v>1458620.95</v>
      </c>
    </row>
    <row r="255" spans="1:14">
      <c r="A255" s="64"/>
      <c r="B255" s="22"/>
      <c r="C255" s="22"/>
      <c r="D255" s="22"/>
      <c r="E255" s="22"/>
      <c r="F255" s="22"/>
      <c r="G255" s="22"/>
      <c r="H255" s="22"/>
      <c r="I255" s="22"/>
      <c r="J255" s="22"/>
      <c r="K255" s="22"/>
      <c r="L255" s="22"/>
      <c r="M255" s="22"/>
      <c r="N255" s="22"/>
    </row>
    <row r="256" spans="1:14">
      <c r="A256" s="64" t="s">
        <v>15</v>
      </c>
      <c r="B256" s="22"/>
      <c r="C256" s="22"/>
      <c r="D256" s="22"/>
      <c r="E256" s="22"/>
      <c r="F256" s="22"/>
      <c r="G256" s="22"/>
      <c r="H256" s="22"/>
      <c r="I256" s="22"/>
      <c r="J256" s="22"/>
      <c r="K256" s="22"/>
      <c r="L256" s="22"/>
      <c r="M256" s="22"/>
      <c r="N256" s="22"/>
    </row>
    <row r="257" spans="1:14">
      <c r="A257" s="64" t="s">
        <v>208</v>
      </c>
      <c r="B257" s="107">
        <v>622.69000000000005</v>
      </c>
      <c r="C257" s="107">
        <v>2974.26</v>
      </c>
      <c r="D257" s="107">
        <v>1433.68</v>
      </c>
      <c r="E257" s="107">
        <v>1721.46</v>
      </c>
      <c r="F257" s="107">
        <v>4797.3599999999997</v>
      </c>
      <c r="G257" s="107">
        <v>956.57</v>
      </c>
      <c r="H257" s="107">
        <v>1397.56</v>
      </c>
      <c r="I257" s="107">
        <v>1792.3</v>
      </c>
      <c r="J257" s="107">
        <v>2172.73</v>
      </c>
      <c r="K257" s="107">
        <v>2891.19</v>
      </c>
      <c r="L257" s="107">
        <v>1855.29</v>
      </c>
      <c r="M257" s="107">
        <v>2078.08</v>
      </c>
      <c r="N257" s="107">
        <v>24693.17</v>
      </c>
    </row>
    <row r="258" spans="1:14">
      <c r="A258" s="64" t="s">
        <v>209</v>
      </c>
      <c r="B258" s="107">
        <v>896.6</v>
      </c>
      <c r="C258" s="107">
        <v>1388.19</v>
      </c>
      <c r="D258" s="107">
        <v>1017.21</v>
      </c>
      <c r="E258" s="107">
        <v>968.02</v>
      </c>
      <c r="F258" s="107">
        <v>1595.56</v>
      </c>
      <c r="G258" s="107">
        <v>617.54999999999995</v>
      </c>
      <c r="H258" s="107">
        <v>1486.52</v>
      </c>
      <c r="I258" s="107">
        <v>1927.09</v>
      </c>
      <c r="J258" s="107">
        <v>795.23</v>
      </c>
      <c r="K258" s="107">
        <v>1200.6300000000001</v>
      </c>
      <c r="L258" s="107">
        <v>977.36</v>
      </c>
      <c r="M258" s="107">
        <v>1464.62</v>
      </c>
      <c r="N258" s="107">
        <v>14334.58</v>
      </c>
    </row>
    <row r="259" spans="1:14">
      <c r="A259" s="64" t="s">
        <v>210</v>
      </c>
      <c r="B259" s="107">
        <v>366.3</v>
      </c>
      <c r="C259" s="107">
        <v>472.58</v>
      </c>
      <c r="D259" s="107">
        <v>544.39</v>
      </c>
      <c r="E259" s="107">
        <v>567.75</v>
      </c>
      <c r="F259" s="107">
        <v>736.3</v>
      </c>
      <c r="G259" s="107">
        <v>476.73</v>
      </c>
      <c r="H259" s="107">
        <v>632.35</v>
      </c>
      <c r="I259" s="107">
        <v>517.37</v>
      </c>
      <c r="J259" s="107">
        <v>708</v>
      </c>
      <c r="K259" s="107">
        <v>948.32</v>
      </c>
      <c r="L259" s="107">
        <v>727.32</v>
      </c>
      <c r="M259" s="107">
        <v>542.38</v>
      </c>
      <c r="N259" s="107">
        <v>7239.79</v>
      </c>
    </row>
    <row r="260" spans="1:14">
      <c r="A260" s="64" t="s">
        <v>211</v>
      </c>
      <c r="B260" s="107">
        <v>144.94999999999999</v>
      </c>
      <c r="C260" s="107">
        <v>165.31</v>
      </c>
      <c r="D260" s="107">
        <v>160.94999999999999</v>
      </c>
      <c r="E260" s="107">
        <v>140.63999999999999</v>
      </c>
      <c r="F260" s="107">
        <v>157.94999999999999</v>
      </c>
      <c r="G260" s="107"/>
      <c r="H260" s="107">
        <v>217.59</v>
      </c>
      <c r="I260" s="107">
        <v>326.89999999999998</v>
      </c>
      <c r="J260" s="107">
        <v>162.94999999999999</v>
      </c>
      <c r="K260" s="107">
        <v>164.95</v>
      </c>
      <c r="L260" s="107">
        <v>76</v>
      </c>
      <c r="M260" s="107">
        <v>122.95</v>
      </c>
      <c r="N260" s="107">
        <v>1841.14</v>
      </c>
    </row>
    <row r="261" spans="1:14">
      <c r="A261" s="64" t="s">
        <v>195</v>
      </c>
      <c r="B261" s="22"/>
      <c r="C261" s="107">
        <v>52.66</v>
      </c>
      <c r="D261" s="107">
        <v>119.97</v>
      </c>
      <c r="E261" s="107">
        <v>78.45</v>
      </c>
      <c r="F261" s="22"/>
      <c r="G261" s="107"/>
      <c r="H261" s="22"/>
      <c r="I261" s="22"/>
      <c r="J261" s="107">
        <v>202.21</v>
      </c>
      <c r="K261" s="107">
        <v>80.02</v>
      </c>
      <c r="L261" s="107">
        <v>300</v>
      </c>
      <c r="M261" s="107">
        <v>116.01</v>
      </c>
      <c r="N261" s="107">
        <v>949.32</v>
      </c>
    </row>
    <row r="262" spans="1:14">
      <c r="A262" s="64" t="s">
        <v>212</v>
      </c>
      <c r="B262" s="107">
        <v>153.93</v>
      </c>
      <c r="C262" s="107"/>
      <c r="D262" s="22"/>
      <c r="E262" s="22"/>
      <c r="F262" s="107">
        <v>260</v>
      </c>
      <c r="G262" s="22"/>
      <c r="H262" s="107">
        <v>1074.69</v>
      </c>
      <c r="I262" s="107">
        <v>575.91999999999996</v>
      </c>
      <c r="J262" s="107">
        <v>575.91999999999996</v>
      </c>
      <c r="K262" s="22"/>
      <c r="L262" s="22"/>
      <c r="M262" s="22"/>
      <c r="N262" s="107">
        <v>2640.46</v>
      </c>
    </row>
    <row r="263" spans="1:14">
      <c r="A263" s="64" t="s">
        <v>213</v>
      </c>
      <c r="B263" s="107">
        <v>21.68</v>
      </c>
      <c r="C263" s="107">
        <v>206</v>
      </c>
      <c r="D263" s="22"/>
      <c r="E263" s="22"/>
      <c r="F263" s="107">
        <v>406.39</v>
      </c>
      <c r="G263" s="107">
        <v>-152.75</v>
      </c>
      <c r="H263" s="107">
        <v>338.43</v>
      </c>
      <c r="I263" s="22"/>
      <c r="J263" s="22"/>
      <c r="K263" s="22"/>
      <c r="L263" s="107">
        <v>76.8</v>
      </c>
      <c r="M263" s="22"/>
      <c r="N263" s="107">
        <v>896.55</v>
      </c>
    </row>
    <row r="264" spans="1:14">
      <c r="A264" s="64" t="s">
        <v>214</v>
      </c>
      <c r="B264" s="107">
        <v>236.52</v>
      </c>
      <c r="C264" s="107">
        <v>39.42</v>
      </c>
      <c r="D264" s="107">
        <v>172.32</v>
      </c>
      <c r="E264" s="107">
        <v>318.06</v>
      </c>
      <c r="F264" s="107">
        <v>544.6</v>
      </c>
      <c r="G264" s="107">
        <v>189.33</v>
      </c>
      <c r="H264" s="107">
        <v>334.11</v>
      </c>
      <c r="I264" s="107">
        <v>427.14</v>
      </c>
      <c r="J264" s="22"/>
      <c r="K264" s="107">
        <v>-307.86</v>
      </c>
      <c r="L264" s="107">
        <v>145.46</v>
      </c>
      <c r="M264" s="107">
        <v>140.91999999999999</v>
      </c>
      <c r="N264" s="107">
        <v>2240.02</v>
      </c>
    </row>
    <row r="265" spans="1:14">
      <c r="A265" s="64" t="s">
        <v>215</v>
      </c>
      <c r="B265" s="22"/>
      <c r="C265" s="107">
        <v>18.02</v>
      </c>
      <c r="D265" s="107">
        <v>633.91999999999996</v>
      </c>
      <c r="E265" s="107">
        <v>19.91</v>
      </c>
      <c r="F265" s="107">
        <v>-40.21</v>
      </c>
      <c r="G265" s="107">
        <v>80.94</v>
      </c>
      <c r="H265" s="22"/>
      <c r="I265" s="107">
        <v>36.86</v>
      </c>
      <c r="J265" s="22"/>
      <c r="K265" s="107">
        <v>65.02</v>
      </c>
      <c r="L265" s="107">
        <v>267.55</v>
      </c>
      <c r="M265" s="107">
        <v>61.53</v>
      </c>
      <c r="N265" s="107">
        <v>1143.54</v>
      </c>
    </row>
    <row r="266" spans="1:14">
      <c r="A266" s="64" t="s">
        <v>216</v>
      </c>
      <c r="B266" s="107">
        <v>426.68</v>
      </c>
      <c r="C266" s="107">
        <v>1144.93</v>
      </c>
      <c r="D266" s="107">
        <v>514.85</v>
      </c>
      <c r="E266" s="107">
        <v>1219.95</v>
      </c>
      <c r="F266" s="107">
        <v>886.37</v>
      </c>
      <c r="G266" s="107">
        <v>553.96</v>
      </c>
      <c r="H266" s="107">
        <v>880.66</v>
      </c>
      <c r="I266" s="107">
        <v>2607.14</v>
      </c>
      <c r="J266" s="107">
        <v>445.9</v>
      </c>
      <c r="K266" s="107">
        <v>1402.01</v>
      </c>
      <c r="L266" s="107">
        <v>1057.5999999999999</v>
      </c>
      <c r="M266" s="107">
        <v>1127.3499999999999</v>
      </c>
      <c r="N266" s="107">
        <v>12267.4</v>
      </c>
    </row>
    <row r="267" spans="1:14">
      <c r="A267" s="64" t="s">
        <v>217</v>
      </c>
      <c r="B267" s="107">
        <v>461.02</v>
      </c>
      <c r="C267" s="107">
        <v>506.56</v>
      </c>
      <c r="D267" s="107">
        <v>14.16</v>
      </c>
      <c r="E267" s="107"/>
      <c r="F267" s="107"/>
      <c r="G267" s="107">
        <v>551</v>
      </c>
      <c r="H267" s="107"/>
      <c r="I267" s="107">
        <v>311</v>
      </c>
      <c r="J267" s="107"/>
      <c r="K267" s="107">
        <v>966.6</v>
      </c>
      <c r="L267" s="107">
        <v>58.28</v>
      </c>
      <c r="M267" s="107"/>
      <c r="N267" s="107">
        <v>2868.62</v>
      </c>
    </row>
    <row r="268" spans="1:14">
      <c r="A268" s="64" t="s">
        <v>218</v>
      </c>
      <c r="B268" s="107">
        <v>1141.57</v>
      </c>
      <c r="C268" s="107">
        <v>1223.9100000000001</v>
      </c>
      <c r="D268" s="107">
        <v>654.27</v>
      </c>
      <c r="E268" s="107">
        <v>503.55</v>
      </c>
      <c r="F268" s="107">
        <v>2119.8000000000002</v>
      </c>
      <c r="G268" s="107">
        <v>963.82</v>
      </c>
      <c r="H268" s="107">
        <v>1094.3699999999999</v>
      </c>
      <c r="I268" s="107">
        <v>974.87</v>
      </c>
      <c r="J268" s="107">
        <v>828.77</v>
      </c>
      <c r="K268" s="107">
        <v>1088.94</v>
      </c>
      <c r="L268" s="107">
        <v>854</v>
      </c>
      <c r="M268" s="107">
        <v>1197.3</v>
      </c>
      <c r="N268" s="107">
        <v>12645.17</v>
      </c>
    </row>
    <row r="269" spans="1:14">
      <c r="A269" s="64" t="s">
        <v>219</v>
      </c>
      <c r="B269" s="107">
        <v>433.28</v>
      </c>
      <c r="C269" s="107">
        <v>1128.71</v>
      </c>
      <c r="D269" s="107">
        <v>976.39</v>
      </c>
      <c r="E269" s="107">
        <v>750.52</v>
      </c>
      <c r="F269" s="107">
        <v>1202.1400000000001</v>
      </c>
      <c r="G269" s="107">
        <v>769.57</v>
      </c>
      <c r="H269" s="107">
        <v>522.23</v>
      </c>
      <c r="I269" s="107">
        <v>1376.66</v>
      </c>
      <c r="J269" s="107">
        <v>548.25</v>
      </c>
      <c r="K269" s="107">
        <v>720.43</v>
      </c>
      <c r="L269" s="107">
        <v>1232.47</v>
      </c>
      <c r="M269" s="107">
        <v>818.32</v>
      </c>
      <c r="N269" s="107">
        <v>10478.969999999999</v>
      </c>
    </row>
    <row r="270" spans="1:14">
      <c r="A270" s="64" t="s">
        <v>220</v>
      </c>
      <c r="B270" s="111">
        <v>270.2</v>
      </c>
      <c r="C270" s="111">
        <v>257.3</v>
      </c>
      <c r="D270" s="111">
        <v>127.11</v>
      </c>
      <c r="E270" s="111">
        <v>390.79</v>
      </c>
      <c r="F270" s="111">
        <v>882.09</v>
      </c>
      <c r="G270" s="111">
        <v>72.91</v>
      </c>
      <c r="H270" s="111">
        <v>513.23</v>
      </c>
      <c r="I270" s="111">
        <v>1297.06</v>
      </c>
      <c r="J270" s="111">
        <v>255.42</v>
      </c>
      <c r="K270" s="111">
        <v>200.85</v>
      </c>
      <c r="L270" s="111">
        <v>191.49</v>
      </c>
      <c r="M270" s="111">
        <v>676.5</v>
      </c>
      <c r="N270" s="111">
        <v>5134.95</v>
      </c>
    </row>
    <row r="271" spans="1:14">
      <c r="A271" s="64" t="s">
        <v>221</v>
      </c>
      <c r="B271" s="107">
        <f t="shared" ref="B271:M271" si="55">SUM(B255:B270)</f>
        <v>5175.4199999999992</v>
      </c>
      <c r="C271" s="107">
        <f t="shared" si="55"/>
        <v>9577.8500000000022</v>
      </c>
      <c r="D271" s="107">
        <f t="shared" si="55"/>
        <v>6369.2199999999993</v>
      </c>
      <c r="E271" s="107">
        <f t="shared" si="55"/>
        <v>6679.0999999999995</v>
      </c>
      <c r="F271" s="107">
        <f t="shared" si="55"/>
        <v>13548.350000000002</v>
      </c>
      <c r="G271" s="107">
        <f t="shared" si="55"/>
        <v>5079.6299999999992</v>
      </c>
      <c r="H271" s="107">
        <f t="shared" si="55"/>
        <v>8491.74</v>
      </c>
      <c r="I271" s="107">
        <f t="shared" si="55"/>
        <v>12170.31</v>
      </c>
      <c r="J271" s="107">
        <f t="shared" si="55"/>
        <v>6695.3799999999992</v>
      </c>
      <c r="K271" s="107">
        <f t="shared" si="55"/>
        <v>9421.1000000000022</v>
      </c>
      <c r="L271" s="107">
        <f t="shared" si="55"/>
        <v>7819.6200000000008</v>
      </c>
      <c r="M271" s="107">
        <f t="shared" si="55"/>
        <v>8345.9599999999991</v>
      </c>
      <c r="N271" s="107">
        <v>99373.68</v>
      </c>
    </row>
    <row r="272" spans="1:14">
      <c r="A272" s="64"/>
      <c r="B272" s="22"/>
      <c r="C272" s="22"/>
      <c r="D272" s="22"/>
      <c r="E272" s="22"/>
      <c r="F272" s="22"/>
      <c r="G272" s="22"/>
      <c r="H272" s="22"/>
      <c r="I272" s="22"/>
      <c r="J272" s="22"/>
      <c r="K272" s="22"/>
      <c r="L272" s="22"/>
      <c r="M272" s="22"/>
      <c r="N272" s="22"/>
    </row>
    <row r="273" spans="1:14">
      <c r="A273" s="64" t="s">
        <v>222</v>
      </c>
      <c r="B273" s="22"/>
      <c r="C273" s="22"/>
      <c r="D273" s="22"/>
      <c r="E273" s="22"/>
      <c r="F273" s="22"/>
      <c r="G273" s="22"/>
      <c r="H273" s="22"/>
      <c r="I273" s="22"/>
      <c r="J273" s="22"/>
      <c r="K273" s="22"/>
      <c r="L273" s="22"/>
      <c r="M273" s="22"/>
      <c r="N273" s="22"/>
    </row>
    <row r="274" spans="1:14">
      <c r="A274" s="64" t="s">
        <v>223</v>
      </c>
      <c r="B274" s="22"/>
      <c r="C274" s="107">
        <v>1050</v>
      </c>
      <c r="D274" s="22"/>
      <c r="E274" s="107">
        <v>79.27</v>
      </c>
      <c r="F274" s="107">
        <v>865.62</v>
      </c>
      <c r="G274" s="22"/>
      <c r="H274" s="107">
        <v>2966.51</v>
      </c>
      <c r="I274" s="22"/>
      <c r="J274" s="22"/>
      <c r="K274" s="22"/>
      <c r="L274" s="107">
        <v>182.5</v>
      </c>
      <c r="M274" s="22"/>
      <c r="N274" s="107">
        <v>5143.8999999999996</v>
      </c>
    </row>
    <row r="275" spans="1:14">
      <c r="A275" s="64" t="s">
        <v>224</v>
      </c>
      <c r="B275" s="107">
        <v>2122.5</v>
      </c>
      <c r="C275" s="107">
        <v>2563.5</v>
      </c>
      <c r="D275" s="107">
        <v>2453</v>
      </c>
      <c r="E275" s="107">
        <v>2539.67</v>
      </c>
      <c r="F275" s="107">
        <v>2739.83</v>
      </c>
      <c r="G275" s="107">
        <v>1267.25</v>
      </c>
      <c r="H275" s="107">
        <v>2128.92</v>
      </c>
      <c r="I275" s="107">
        <v>560.89</v>
      </c>
      <c r="J275" s="107">
        <v>919</v>
      </c>
      <c r="K275" s="107">
        <v>2094.5</v>
      </c>
      <c r="L275" s="107">
        <v>2686.14</v>
      </c>
      <c r="M275" s="107">
        <v>1600</v>
      </c>
      <c r="N275" s="107">
        <v>23675.200000000001</v>
      </c>
    </row>
    <row r="276" spans="1:14">
      <c r="A276" s="64" t="s">
        <v>225</v>
      </c>
      <c r="B276" s="107">
        <v>1363.66</v>
      </c>
      <c r="C276" s="22"/>
      <c r="D276" s="22"/>
      <c r="E276" s="22"/>
      <c r="F276" s="107">
        <v>45.4</v>
      </c>
      <c r="G276" s="107">
        <v>50</v>
      </c>
      <c r="H276" s="22"/>
      <c r="I276" s="22"/>
      <c r="J276" s="22"/>
      <c r="K276" s="107">
        <v>162.5</v>
      </c>
      <c r="L276" s="107">
        <v>280</v>
      </c>
      <c r="M276" s="107">
        <v>2485.5500000000002</v>
      </c>
      <c r="N276" s="107">
        <v>4387.1099999999997</v>
      </c>
    </row>
    <row r="277" spans="1:14">
      <c r="A277" s="64" t="s">
        <v>226</v>
      </c>
      <c r="B277" s="22"/>
      <c r="C277" s="107">
        <v>96.49</v>
      </c>
      <c r="D277" s="107">
        <v>1424.74</v>
      </c>
      <c r="E277" s="107">
        <v>665.6</v>
      </c>
      <c r="F277" s="107">
        <v>2701.22</v>
      </c>
      <c r="G277" s="107">
        <v>178.5</v>
      </c>
      <c r="H277" s="107">
        <v>56.61</v>
      </c>
      <c r="I277" s="107">
        <v>115.22</v>
      </c>
      <c r="J277" s="107">
        <v>1040.25</v>
      </c>
      <c r="K277" s="107">
        <v>674.58</v>
      </c>
      <c r="L277" s="107">
        <v>423.64</v>
      </c>
      <c r="M277" s="107">
        <v>218.12</v>
      </c>
      <c r="N277" s="107">
        <v>7594.97</v>
      </c>
    </row>
    <row r="278" spans="1:14">
      <c r="A278" s="64" t="s">
        <v>227</v>
      </c>
      <c r="B278" s="111">
        <v>181.39</v>
      </c>
      <c r="C278" s="111">
        <v>243.34</v>
      </c>
      <c r="D278" s="111">
        <v>927.99</v>
      </c>
      <c r="E278" s="111">
        <v>387.13</v>
      </c>
      <c r="F278" s="111">
        <v>224.56</v>
      </c>
      <c r="G278" s="111">
        <v>31</v>
      </c>
      <c r="H278" s="111">
        <v>124.07</v>
      </c>
      <c r="I278" s="111">
        <v>428.46</v>
      </c>
      <c r="J278" s="111">
        <v>893.63</v>
      </c>
      <c r="K278" s="111">
        <v>699.04</v>
      </c>
      <c r="L278" s="113"/>
      <c r="M278" s="111">
        <v>45.34</v>
      </c>
      <c r="N278" s="111">
        <v>4185.95</v>
      </c>
    </row>
    <row r="279" spans="1:14">
      <c r="A279" s="64" t="s">
        <v>229</v>
      </c>
      <c r="B279" s="107">
        <f t="shared" ref="B279:M279" si="56">SUM(B272:B278)</f>
        <v>3667.5499999999997</v>
      </c>
      <c r="C279" s="107">
        <f t="shared" si="56"/>
        <v>3953.33</v>
      </c>
      <c r="D279" s="107">
        <f t="shared" si="56"/>
        <v>4805.7299999999996</v>
      </c>
      <c r="E279" s="107">
        <f t="shared" si="56"/>
        <v>3671.67</v>
      </c>
      <c r="F279" s="107">
        <f t="shared" si="56"/>
        <v>6576.63</v>
      </c>
      <c r="G279" s="107">
        <f t="shared" si="56"/>
        <v>1526.75</v>
      </c>
      <c r="H279" s="107">
        <f t="shared" si="56"/>
        <v>5276.11</v>
      </c>
      <c r="I279" s="107">
        <f t="shared" si="56"/>
        <v>1104.57</v>
      </c>
      <c r="J279" s="107">
        <f t="shared" si="56"/>
        <v>2852.88</v>
      </c>
      <c r="K279" s="107">
        <f t="shared" si="56"/>
        <v>3630.62</v>
      </c>
      <c r="L279" s="107">
        <f t="shared" si="56"/>
        <v>3572.2799999999997</v>
      </c>
      <c r="M279" s="107">
        <f t="shared" si="56"/>
        <v>4349.01</v>
      </c>
      <c r="N279" s="107">
        <v>44987.13</v>
      </c>
    </row>
    <row r="280" spans="1:14">
      <c r="A280" s="64"/>
      <c r="B280" s="22"/>
      <c r="C280" s="22"/>
      <c r="D280" s="22"/>
      <c r="E280" s="22"/>
      <c r="F280" s="22"/>
      <c r="G280" s="22"/>
      <c r="H280" s="22"/>
      <c r="I280" s="22"/>
      <c r="J280" s="22"/>
      <c r="K280" s="22"/>
      <c r="L280" s="22"/>
      <c r="M280" s="22"/>
      <c r="N280" s="22"/>
    </row>
    <row r="281" spans="1:14">
      <c r="A281" s="64" t="s">
        <v>230</v>
      </c>
      <c r="B281" s="22"/>
      <c r="C281" s="22"/>
      <c r="D281" s="22"/>
      <c r="E281" s="22"/>
      <c r="F281" s="22"/>
      <c r="G281" s="22"/>
      <c r="H281" s="22"/>
      <c r="I281" s="22"/>
      <c r="J281" s="22"/>
      <c r="K281" s="22"/>
      <c r="L281" s="22"/>
      <c r="M281" s="22"/>
      <c r="N281" s="22"/>
    </row>
    <row r="282" spans="1:14">
      <c r="A282" s="64" t="s">
        <v>231</v>
      </c>
      <c r="B282" s="107">
        <v>3727.15</v>
      </c>
      <c r="C282" s="107">
        <v>3727.15</v>
      </c>
      <c r="D282" s="107">
        <v>3727.15</v>
      </c>
      <c r="E282" s="107">
        <v>3727.15</v>
      </c>
      <c r="F282" s="107">
        <v>-1082.53</v>
      </c>
      <c r="G282" s="107">
        <v>3727.15</v>
      </c>
      <c r="H282" s="107">
        <v>3727.15</v>
      </c>
      <c r="I282" s="107">
        <v>3727.15</v>
      </c>
      <c r="J282" s="107">
        <v>3727.15</v>
      </c>
      <c r="K282" s="107">
        <v>3727.15</v>
      </c>
      <c r="L282" s="107">
        <v>3727.15</v>
      </c>
      <c r="M282" s="107">
        <v>3727.16</v>
      </c>
      <c r="N282" s="107">
        <v>39916.129999999997</v>
      </c>
    </row>
    <row r="283" spans="1:14">
      <c r="A283" s="64" t="s">
        <v>232</v>
      </c>
      <c r="B283" s="107">
        <v>100</v>
      </c>
      <c r="C283" s="107">
        <v>100</v>
      </c>
      <c r="D283" s="107">
        <v>100</v>
      </c>
      <c r="E283" s="107">
        <v>100</v>
      </c>
      <c r="F283" s="107">
        <v>441.74</v>
      </c>
      <c r="G283" s="107">
        <v>125</v>
      </c>
      <c r="H283" s="107">
        <v>125</v>
      </c>
      <c r="I283" s="107">
        <v>125</v>
      </c>
      <c r="J283" s="107">
        <v>125</v>
      </c>
      <c r="K283" s="107">
        <v>125</v>
      </c>
      <c r="L283" s="107">
        <v>125</v>
      </c>
      <c r="M283" s="107">
        <v>125</v>
      </c>
      <c r="N283" s="107">
        <v>1716.74</v>
      </c>
    </row>
    <row r="284" spans="1:14">
      <c r="A284" s="64" t="s">
        <v>234</v>
      </c>
      <c r="B284" s="22"/>
      <c r="C284" s="107">
        <v>351.88</v>
      </c>
      <c r="D284" s="107">
        <v>101.4</v>
      </c>
      <c r="E284" s="22"/>
      <c r="F284" s="107">
        <v>300</v>
      </c>
      <c r="G284" s="107">
        <v>136.66999999999999</v>
      </c>
      <c r="H284" s="22"/>
      <c r="I284" s="107">
        <v>2</v>
      </c>
      <c r="J284" s="22"/>
      <c r="K284" s="22"/>
      <c r="L284" s="22"/>
      <c r="M284" s="107">
        <v>112.68</v>
      </c>
      <c r="N284" s="107">
        <v>1004.63</v>
      </c>
    </row>
    <row r="285" spans="1:14">
      <c r="A285" s="64" t="s">
        <v>352</v>
      </c>
      <c r="B285" s="107">
        <v>834.84</v>
      </c>
      <c r="C285" s="107"/>
      <c r="D285" s="107"/>
      <c r="E285" s="22"/>
      <c r="F285" s="22"/>
      <c r="G285" s="107">
        <v>834.84</v>
      </c>
      <c r="H285" s="107">
        <v>834.84</v>
      </c>
      <c r="I285" s="107">
        <v>834.84</v>
      </c>
      <c r="J285" s="107">
        <v>834.84</v>
      </c>
      <c r="K285" s="107">
        <v>834.84</v>
      </c>
      <c r="L285" s="107">
        <v>834.84</v>
      </c>
      <c r="M285" s="107">
        <v>834.84</v>
      </c>
      <c r="N285" s="107">
        <v>6678.72</v>
      </c>
    </row>
    <row r="286" spans="1:14">
      <c r="A286" s="64" t="s">
        <v>235</v>
      </c>
      <c r="B286" s="111">
        <v>13.5</v>
      </c>
      <c r="C286" s="113"/>
      <c r="D286" s="111">
        <v>13.5</v>
      </c>
      <c r="E286" s="113"/>
      <c r="F286" s="111">
        <v>455.5</v>
      </c>
      <c r="G286" s="113"/>
      <c r="H286" s="113"/>
      <c r="I286" s="113"/>
      <c r="J286" s="113"/>
      <c r="K286" s="113"/>
      <c r="L286" s="111">
        <v>79.5</v>
      </c>
      <c r="M286" s="111">
        <v>25.5</v>
      </c>
      <c r="N286" s="111">
        <v>587.5</v>
      </c>
    </row>
    <row r="287" spans="1:14">
      <c r="A287" s="64" t="s">
        <v>236</v>
      </c>
      <c r="B287" s="107">
        <f t="shared" ref="B287:M287" si="57">SUM(B280:B286)</f>
        <v>4675.49</v>
      </c>
      <c r="C287" s="107">
        <f t="shared" si="57"/>
        <v>4179.03</v>
      </c>
      <c r="D287" s="107">
        <f t="shared" si="57"/>
        <v>3942.05</v>
      </c>
      <c r="E287" s="107">
        <f t="shared" si="57"/>
        <v>3827.15</v>
      </c>
      <c r="F287" s="107">
        <f t="shared" si="57"/>
        <v>114.71000000000004</v>
      </c>
      <c r="G287" s="107">
        <f t="shared" si="57"/>
        <v>4823.66</v>
      </c>
      <c r="H287" s="107">
        <f t="shared" si="57"/>
        <v>4686.99</v>
      </c>
      <c r="I287" s="107">
        <f t="shared" si="57"/>
        <v>4688.99</v>
      </c>
      <c r="J287" s="107">
        <f t="shared" si="57"/>
        <v>4686.99</v>
      </c>
      <c r="K287" s="107">
        <f t="shared" si="57"/>
        <v>4686.99</v>
      </c>
      <c r="L287" s="107">
        <f t="shared" si="57"/>
        <v>4766.49</v>
      </c>
      <c r="M287" s="107">
        <f t="shared" si="57"/>
        <v>4825.1799999999994</v>
      </c>
      <c r="N287" s="107">
        <v>49903.72</v>
      </c>
    </row>
    <row r="288" spans="1:14">
      <c r="A288" s="64"/>
      <c r="B288" s="22"/>
      <c r="C288" s="22"/>
      <c r="D288" s="22"/>
      <c r="E288" s="22"/>
      <c r="F288" s="22"/>
      <c r="G288" s="22"/>
      <c r="H288" s="22"/>
      <c r="I288" s="22"/>
      <c r="J288" s="22"/>
      <c r="K288" s="22"/>
      <c r="L288" s="22"/>
      <c r="M288" s="22"/>
      <c r="N288" s="22"/>
    </row>
    <row r="289" spans="1:14">
      <c r="A289" s="64" t="s">
        <v>237</v>
      </c>
      <c r="B289" s="22"/>
      <c r="C289" s="22"/>
      <c r="D289" s="22"/>
      <c r="E289" s="22"/>
      <c r="F289" s="22"/>
      <c r="G289" s="22"/>
      <c r="H289" s="22"/>
      <c r="I289" s="22"/>
      <c r="J289" s="22"/>
      <c r="K289" s="22"/>
      <c r="L289" s="22"/>
      <c r="M289" s="22"/>
      <c r="N289" s="22"/>
    </row>
    <row r="290" spans="1:14">
      <c r="A290" s="64" t="s">
        <v>375</v>
      </c>
      <c r="B290" s="22"/>
      <c r="C290" s="22"/>
      <c r="D290" s="22"/>
      <c r="E290" s="22"/>
      <c r="F290" s="22"/>
      <c r="G290" s="22"/>
      <c r="H290" s="22"/>
      <c r="I290" s="22"/>
      <c r="J290" s="22"/>
      <c r="K290" s="22"/>
      <c r="L290" s="22"/>
      <c r="M290" s="107">
        <v>5412</v>
      </c>
      <c r="N290" s="107">
        <v>5412</v>
      </c>
    </row>
    <row r="291" spans="1:14">
      <c r="A291" s="64" t="s">
        <v>228</v>
      </c>
      <c r="B291" s="111">
        <v>9932</v>
      </c>
      <c r="C291" s="111">
        <v>10950</v>
      </c>
      <c r="D291" s="111">
        <v>10646</v>
      </c>
      <c r="E291" s="111">
        <v>9181</v>
      </c>
      <c r="F291" s="111">
        <v>68436</v>
      </c>
      <c r="G291" s="111">
        <v>11904</v>
      </c>
      <c r="H291" s="111">
        <v>11588.95</v>
      </c>
      <c r="I291" s="111">
        <v>9892</v>
      </c>
      <c r="J291" s="111">
        <v>9522</v>
      </c>
      <c r="K291" s="111">
        <v>-40209</v>
      </c>
      <c r="L291" s="111">
        <v>-40033</v>
      </c>
      <c r="M291" s="111">
        <v>-19394</v>
      </c>
      <c r="N291" s="111">
        <v>52415.95</v>
      </c>
    </row>
    <row r="292" spans="1:14">
      <c r="A292" s="64" t="s">
        <v>238</v>
      </c>
      <c r="B292" s="107">
        <f t="shared" ref="B292:M292" si="58">SUM(B288:B291)</f>
        <v>9932</v>
      </c>
      <c r="C292" s="107">
        <f t="shared" si="58"/>
        <v>10950</v>
      </c>
      <c r="D292" s="107">
        <f t="shared" si="58"/>
        <v>10646</v>
      </c>
      <c r="E292" s="107">
        <f t="shared" si="58"/>
        <v>9181</v>
      </c>
      <c r="F292" s="107">
        <f t="shared" si="58"/>
        <v>68436</v>
      </c>
      <c r="G292" s="107">
        <f t="shared" si="58"/>
        <v>11904</v>
      </c>
      <c r="H292" s="107">
        <f t="shared" si="58"/>
        <v>11588.95</v>
      </c>
      <c r="I292" s="107">
        <f t="shared" si="58"/>
        <v>9892</v>
      </c>
      <c r="J292" s="107">
        <f t="shared" si="58"/>
        <v>9522</v>
      </c>
      <c r="K292" s="107">
        <f t="shared" si="58"/>
        <v>-40209</v>
      </c>
      <c r="L292" s="107">
        <f t="shared" si="58"/>
        <v>-40033</v>
      </c>
      <c r="M292" s="107">
        <f t="shared" si="58"/>
        <v>-13982</v>
      </c>
      <c r="N292" s="107">
        <v>57827.95</v>
      </c>
    </row>
    <row r="293" spans="1:14">
      <c r="A293" s="64"/>
      <c r="B293" s="22"/>
      <c r="C293" s="22"/>
      <c r="D293" s="22"/>
      <c r="E293" s="22"/>
      <c r="F293" s="22"/>
      <c r="G293" s="22"/>
      <c r="H293" s="22"/>
      <c r="I293" s="22"/>
      <c r="J293" s="22"/>
      <c r="K293" s="22"/>
      <c r="L293" s="22"/>
      <c r="M293" s="22"/>
      <c r="N293" s="22"/>
    </row>
    <row r="294" spans="1:14">
      <c r="A294" s="64" t="s">
        <v>239</v>
      </c>
      <c r="B294" s="22"/>
      <c r="C294" s="22"/>
      <c r="D294" s="22"/>
      <c r="E294" s="22"/>
      <c r="F294" s="22"/>
      <c r="G294" s="22"/>
      <c r="H294" s="22"/>
      <c r="I294" s="22"/>
      <c r="J294" s="22"/>
      <c r="K294" s="22"/>
      <c r="L294" s="22"/>
      <c r="M294" s="22"/>
      <c r="N294" s="22"/>
    </row>
    <row r="295" spans="1:14">
      <c r="A295" s="64" t="s">
        <v>240</v>
      </c>
      <c r="B295" s="107">
        <v>2729.9</v>
      </c>
      <c r="C295" s="107">
        <v>2729.9</v>
      </c>
      <c r="D295" s="107">
        <v>2729.9</v>
      </c>
      <c r="E295" s="107">
        <v>2729.9</v>
      </c>
      <c r="F295" s="107">
        <v>2729.9</v>
      </c>
      <c r="G295" s="107">
        <v>2729.9</v>
      </c>
      <c r="H295" s="107">
        <v>2729.9</v>
      </c>
      <c r="I295" s="107">
        <v>3793.16</v>
      </c>
      <c r="J295" s="107">
        <v>3261.53</v>
      </c>
      <c r="K295" s="107">
        <v>3261.53</v>
      </c>
      <c r="L295" s="107">
        <v>3261.53</v>
      </c>
      <c r="M295" s="107">
        <v>3261.53</v>
      </c>
      <c r="N295" s="107">
        <v>35948.58</v>
      </c>
    </row>
    <row r="296" spans="1:14">
      <c r="A296" s="64" t="s">
        <v>241</v>
      </c>
      <c r="B296" s="107">
        <v>426</v>
      </c>
      <c r="C296" s="107">
        <v>426</v>
      </c>
      <c r="D296" s="107">
        <v>426</v>
      </c>
      <c r="E296" s="107">
        <v>426</v>
      </c>
      <c r="F296" s="107">
        <v>426</v>
      </c>
      <c r="G296" s="107">
        <v>426</v>
      </c>
      <c r="H296" s="107">
        <v>3248.08</v>
      </c>
      <c r="I296" s="107">
        <v>-426</v>
      </c>
      <c r="J296" s="22"/>
      <c r="K296" s="22"/>
      <c r="L296" s="22"/>
      <c r="M296" s="22"/>
      <c r="N296" s="107">
        <v>5378.08</v>
      </c>
    </row>
    <row r="297" spans="1:14">
      <c r="A297" s="64" t="s">
        <v>242</v>
      </c>
      <c r="B297" s="107">
        <v>5546.57</v>
      </c>
      <c r="C297" s="107">
        <v>6028.88</v>
      </c>
      <c r="D297" s="107">
        <v>6028.88</v>
      </c>
      <c r="E297" s="107">
        <v>6028.88</v>
      </c>
      <c r="F297" s="107">
        <v>6028.88</v>
      </c>
      <c r="G297" s="107">
        <v>6608.54</v>
      </c>
      <c r="H297" s="107">
        <v>6028.88</v>
      </c>
      <c r="I297" s="107">
        <v>6028.88</v>
      </c>
      <c r="J297" s="107">
        <v>6028.88</v>
      </c>
      <c r="K297" s="107">
        <v>6028.88</v>
      </c>
      <c r="L297" s="107">
        <v>6028.88</v>
      </c>
      <c r="M297" s="107">
        <v>6028.88</v>
      </c>
      <c r="N297" s="107">
        <v>72443.91</v>
      </c>
    </row>
    <row r="298" spans="1:14">
      <c r="A298" s="64" t="s">
        <v>387</v>
      </c>
      <c r="B298" s="113"/>
      <c r="C298" s="113"/>
      <c r="D298" s="113"/>
      <c r="E298" s="113"/>
      <c r="F298" s="113"/>
      <c r="G298" s="113"/>
      <c r="H298" s="113"/>
      <c r="I298" s="113"/>
      <c r="J298" s="113"/>
      <c r="K298" s="113"/>
      <c r="L298" s="113"/>
      <c r="M298" s="113"/>
      <c r="N298" s="113"/>
    </row>
    <row r="299" spans="1:14">
      <c r="A299" s="64" t="s">
        <v>244</v>
      </c>
      <c r="B299" s="107">
        <f t="shared" ref="B299:M299" si="59">SUM(B293:B298)</f>
        <v>8702.4699999999993</v>
      </c>
      <c r="C299" s="107">
        <f t="shared" si="59"/>
        <v>9184.7800000000007</v>
      </c>
      <c r="D299" s="107">
        <f t="shared" si="59"/>
        <v>9184.7800000000007</v>
      </c>
      <c r="E299" s="107">
        <f t="shared" si="59"/>
        <v>9184.7800000000007</v>
      </c>
      <c r="F299" s="107">
        <f t="shared" si="59"/>
        <v>9184.7800000000007</v>
      </c>
      <c r="G299" s="107">
        <f t="shared" si="59"/>
        <v>9764.44</v>
      </c>
      <c r="H299" s="107">
        <f t="shared" si="59"/>
        <v>12006.86</v>
      </c>
      <c r="I299" s="107">
        <f t="shared" si="59"/>
        <v>9396.0400000000009</v>
      </c>
      <c r="J299" s="107">
        <f t="shared" si="59"/>
        <v>9290.41</v>
      </c>
      <c r="K299" s="107">
        <f t="shared" si="59"/>
        <v>9290.41</v>
      </c>
      <c r="L299" s="107">
        <f t="shared" si="59"/>
        <v>9290.41</v>
      </c>
      <c r="M299" s="107">
        <f t="shared" si="59"/>
        <v>9290.41</v>
      </c>
      <c r="N299" s="107">
        <v>113770.57</v>
      </c>
    </row>
    <row r="300" spans="1:14">
      <c r="A300" s="64"/>
      <c r="B300" s="22"/>
      <c r="C300" s="22"/>
      <c r="D300" s="22"/>
      <c r="E300" s="22"/>
      <c r="F300" s="22"/>
      <c r="G300" s="22"/>
      <c r="H300" s="22"/>
      <c r="I300" s="22"/>
      <c r="J300" s="22"/>
      <c r="K300" s="22"/>
      <c r="L300" s="22"/>
      <c r="M300" s="22"/>
      <c r="N300" s="22"/>
    </row>
    <row r="301" spans="1:14">
      <c r="A301" s="64" t="s">
        <v>245</v>
      </c>
      <c r="B301" s="22"/>
      <c r="C301" s="22"/>
      <c r="D301" s="22"/>
      <c r="E301" s="22"/>
      <c r="F301" s="22"/>
      <c r="G301" s="22"/>
      <c r="H301" s="22"/>
      <c r="I301" s="22"/>
      <c r="J301" s="22"/>
      <c r="K301" s="22"/>
      <c r="L301" s="22"/>
      <c r="M301" s="22"/>
      <c r="N301" s="22"/>
    </row>
    <row r="302" spans="1:14">
      <c r="A302" s="64" t="s">
        <v>246</v>
      </c>
      <c r="B302" s="107">
        <v>17147.22</v>
      </c>
      <c r="C302" s="107">
        <v>17163.7</v>
      </c>
      <c r="D302" s="107">
        <v>17266.62</v>
      </c>
      <c r="E302" s="107">
        <v>17501.3</v>
      </c>
      <c r="F302" s="107">
        <v>17615.150000000001</v>
      </c>
      <c r="G302" s="107">
        <v>8940.19</v>
      </c>
      <c r="H302" s="107">
        <v>28019.83</v>
      </c>
      <c r="I302" s="107">
        <v>18466.099999999999</v>
      </c>
      <c r="J302" s="107">
        <v>18581.64</v>
      </c>
      <c r="K302" s="107">
        <v>18450.78</v>
      </c>
      <c r="L302" s="107">
        <v>18780.32</v>
      </c>
      <c r="M302" s="107">
        <v>18566.5</v>
      </c>
      <c r="N302" s="107">
        <v>216499.35</v>
      </c>
    </row>
    <row r="303" spans="1:14">
      <c r="A303" s="64" t="s">
        <v>247</v>
      </c>
      <c r="B303" s="107">
        <v>2573.2800000000002</v>
      </c>
      <c r="C303" s="107">
        <v>2530.48</v>
      </c>
      <c r="D303" s="107">
        <v>2491.46</v>
      </c>
      <c r="E303" s="107">
        <v>2461.04</v>
      </c>
      <c r="F303" s="107">
        <v>2958.07</v>
      </c>
      <c r="G303" s="107">
        <v>1478.18</v>
      </c>
      <c r="H303" s="107">
        <v>4059.46</v>
      </c>
      <c r="I303" s="107">
        <v>2729.84</v>
      </c>
      <c r="J303" s="107">
        <v>5742.32</v>
      </c>
      <c r="K303" s="107">
        <v>3070.1</v>
      </c>
      <c r="L303" s="107">
        <v>3819.78</v>
      </c>
      <c r="M303" s="107">
        <v>3421.86</v>
      </c>
      <c r="N303" s="107">
        <v>37335.870000000003</v>
      </c>
    </row>
    <row r="304" spans="1:14">
      <c r="A304" s="64" t="s">
        <v>285</v>
      </c>
      <c r="B304" s="107">
        <v>45.44</v>
      </c>
      <c r="C304" s="107">
        <v>90.88</v>
      </c>
      <c r="D304" s="107">
        <v>90.88</v>
      </c>
      <c r="E304" s="107">
        <v>90.88</v>
      </c>
      <c r="F304" s="107">
        <v>90.98</v>
      </c>
      <c r="G304" s="107">
        <v>45.49</v>
      </c>
      <c r="H304" s="107">
        <v>136.27000000000001</v>
      </c>
      <c r="I304" s="107">
        <v>90.88</v>
      </c>
      <c r="J304" s="107">
        <v>90.88</v>
      </c>
      <c r="K304" s="107">
        <v>90.88</v>
      </c>
      <c r="L304" s="107">
        <v>90.88</v>
      </c>
      <c r="M304" s="107">
        <v>90.88</v>
      </c>
      <c r="N304" s="107">
        <v>1045.22</v>
      </c>
    </row>
    <row r="305" spans="1:14">
      <c r="A305" s="64" t="s">
        <v>362</v>
      </c>
      <c r="B305" s="107">
        <v>908.33</v>
      </c>
      <c r="C305" s="107">
        <v>908.33</v>
      </c>
      <c r="D305" s="107">
        <v>908.33</v>
      </c>
      <c r="E305" s="107">
        <v>908.33</v>
      </c>
      <c r="F305" s="107">
        <v>908.33</v>
      </c>
      <c r="G305" s="107">
        <v>908.33</v>
      </c>
      <c r="H305" s="107">
        <v>908.33</v>
      </c>
      <c r="I305" s="107">
        <v>908.33</v>
      </c>
      <c r="J305" s="107">
        <v>908.33</v>
      </c>
      <c r="K305" s="107">
        <v>908.33</v>
      </c>
      <c r="L305" s="107">
        <v>908.33</v>
      </c>
      <c r="M305" s="107">
        <v>908.33</v>
      </c>
      <c r="N305" s="107">
        <v>10899.96</v>
      </c>
    </row>
    <row r="306" spans="1:14">
      <c r="A306" s="64" t="s">
        <v>363</v>
      </c>
      <c r="B306" s="111">
        <v>-9860.25</v>
      </c>
      <c r="C306" s="111">
        <v>-9905.69</v>
      </c>
      <c r="D306" s="111">
        <v>-9924.48</v>
      </c>
      <c r="E306" s="111">
        <v>-10026.61</v>
      </c>
      <c r="F306" s="111">
        <v>-10200.34</v>
      </c>
      <c r="G306" s="113"/>
      <c r="H306" s="111">
        <v>-21339.71</v>
      </c>
      <c r="I306" s="111">
        <v>-10643.41</v>
      </c>
      <c r="J306" s="111">
        <v>-12207.42</v>
      </c>
      <c r="K306" s="111">
        <v>-10805.88</v>
      </c>
      <c r="L306" s="111">
        <v>-11345.49</v>
      </c>
      <c r="M306" s="111">
        <v>-11039.62</v>
      </c>
      <c r="N306" s="111">
        <v>-127298.9</v>
      </c>
    </row>
    <row r="307" spans="1:14">
      <c r="A307" s="64" t="s">
        <v>250</v>
      </c>
      <c r="B307" s="107">
        <f t="shared" ref="B307:M307" si="60">SUM(B300:B306)</f>
        <v>10814.02</v>
      </c>
      <c r="C307" s="107">
        <f t="shared" si="60"/>
        <v>10787.700000000003</v>
      </c>
      <c r="D307" s="107">
        <f t="shared" si="60"/>
        <v>10832.810000000001</v>
      </c>
      <c r="E307" s="107">
        <f t="shared" si="60"/>
        <v>10934.940000000002</v>
      </c>
      <c r="F307" s="107">
        <f t="shared" si="60"/>
        <v>11372.190000000002</v>
      </c>
      <c r="G307" s="107">
        <f t="shared" si="60"/>
        <v>11372.19</v>
      </c>
      <c r="H307" s="107">
        <f t="shared" si="60"/>
        <v>11784.18</v>
      </c>
      <c r="I307" s="107">
        <f t="shared" si="60"/>
        <v>11551.740000000002</v>
      </c>
      <c r="J307" s="107">
        <f t="shared" si="60"/>
        <v>13115.750000000002</v>
      </c>
      <c r="K307" s="107">
        <f t="shared" si="60"/>
        <v>11714.210000000001</v>
      </c>
      <c r="L307" s="107">
        <f t="shared" si="60"/>
        <v>12253.820000000002</v>
      </c>
      <c r="M307" s="107">
        <f t="shared" si="60"/>
        <v>11947.950000000003</v>
      </c>
      <c r="N307" s="107">
        <v>138481.5</v>
      </c>
    </row>
    <row r="308" spans="1:14">
      <c r="A308" s="64"/>
      <c r="B308" s="22"/>
      <c r="C308" s="22"/>
      <c r="D308" s="22"/>
      <c r="E308" s="22"/>
      <c r="F308" s="22"/>
      <c r="G308" s="22"/>
      <c r="H308" s="22"/>
      <c r="I308" s="22"/>
      <c r="J308" s="22"/>
      <c r="K308" s="22"/>
      <c r="L308" s="22"/>
      <c r="M308" s="22"/>
      <c r="N308" s="22"/>
    </row>
    <row r="309" spans="1:14">
      <c r="A309" s="64" t="s">
        <v>251</v>
      </c>
      <c r="B309" s="22"/>
      <c r="C309" s="22"/>
      <c r="D309" s="22"/>
      <c r="E309" s="22"/>
      <c r="F309" s="22"/>
      <c r="G309" s="22"/>
      <c r="H309" s="22"/>
      <c r="I309" s="22"/>
      <c r="J309" s="22"/>
      <c r="K309" s="22"/>
      <c r="L309" s="22"/>
      <c r="M309" s="22"/>
      <c r="N309" s="22"/>
    </row>
    <row r="310" spans="1:14">
      <c r="A310" s="64" t="s">
        <v>252</v>
      </c>
      <c r="B310" s="107">
        <v>76129</v>
      </c>
      <c r="C310" s="107">
        <v>77862.58</v>
      </c>
      <c r="D310" s="107">
        <v>77862.58</v>
      </c>
      <c r="E310" s="107">
        <v>77862.58</v>
      </c>
      <c r="F310" s="107">
        <v>77862.58</v>
      </c>
      <c r="G310" s="107">
        <v>77862.58</v>
      </c>
      <c r="H310" s="107">
        <v>77862.58</v>
      </c>
      <c r="I310" s="107">
        <v>77862.58</v>
      </c>
      <c r="J310" s="107">
        <v>77862.58</v>
      </c>
      <c r="K310" s="107">
        <v>77862.58</v>
      </c>
      <c r="L310" s="107">
        <v>77862.58</v>
      </c>
      <c r="M310" s="107">
        <v>84431.78</v>
      </c>
      <c r="N310" s="107">
        <v>939186.58</v>
      </c>
    </row>
    <row r="311" spans="1:14">
      <c r="A311" s="64" t="s">
        <v>253</v>
      </c>
      <c r="B311" s="107">
        <v>121.31</v>
      </c>
      <c r="C311" s="107">
        <v>121.31</v>
      </c>
      <c r="D311" s="107">
        <v>121.31</v>
      </c>
      <c r="E311" s="107">
        <v>121.31</v>
      </c>
      <c r="F311" s="107">
        <v>121.34</v>
      </c>
      <c r="G311" s="22"/>
      <c r="H311" s="22"/>
      <c r="I311" s="22"/>
      <c r="J311" s="107">
        <v>61.52</v>
      </c>
      <c r="K311" s="107">
        <v>61.52</v>
      </c>
      <c r="L311" s="107">
        <v>61.52</v>
      </c>
      <c r="M311" s="107">
        <v>61.52</v>
      </c>
      <c r="N311" s="107">
        <v>852.66</v>
      </c>
    </row>
    <row r="312" spans="1:14">
      <c r="A312" s="64" t="s">
        <v>321</v>
      </c>
      <c r="B312" s="22"/>
      <c r="C312" s="22"/>
      <c r="D312" s="22"/>
      <c r="E312" s="22"/>
      <c r="F312" s="22"/>
      <c r="G312" s="22"/>
      <c r="H312" s="22"/>
      <c r="I312" s="22"/>
      <c r="J312" s="22"/>
      <c r="K312" s="22"/>
      <c r="L312" s="107">
        <v>1000</v>
      </c>
      <c r="M312" s="22"/>
      <c r="N312" s="107">
        <v>1000</v>
      </c>
    </row>
    <row r="313" spans="1:14">
      <c r="A313" s="64" t="s">
        <v>254</v>
      </c>
      <c r="B313" s="111">
        <v>21.34</v>
      </c>
      <c r="C313" s="111">
        <v>4097.97</v>
      </c>
      <c r="D313" s="111">
        <v>90.59</v>
      </c>
      <c r="E313" s="111">
        <v>79.290000000000006</v>
      </c>
      <c r="F313" s="111">
        <v>32</v>
      </c>
      <c r="G313" s="113"/>
      <c r="H313" s="111">
        <v>86.07</v>
      </c>
      <c r="I313" s="111">
        <v>477.61</v>
      </c>
      <c r="J313" s="111">
        <v>3832.39</v>
      </c>
      <c r="K313" s="111">
        <v>29.99</v>
      </c>
      <c r="L313" s="113"/>
      <c r="M313" s="113"/>
      <c r="N313" s="111">
        <v>8747.25</v>
      </c>
    </row>
    <row r="314" spans="1:14">
      <c r="A314" s="64" t="s">
        <v>255</v>
      </c>
      <c r="B314" s="107">
        <f t="shared" ref="B314:M314" si="61">SUM(B308:B313)</f>
        <v>76271.649999999994</v>
      </c>
      <c r="C314" s="107">
        <f t="shared" si="61"/>
        <v>82081.86</v>
      </c>
      <c r="D314" s="107">
        <f t="shared" si="61"/>
        <v>78074.48</v>
      </c>
      <c r="E314" s="107">
        <f t="shared" si="61"/>
        <v>78063.179999999993</v>
      </c>
      <c r="F314" s="107">
        <f t="shared" si="61"/>
        <v>78015.92</v>
      </c>
      <c r="G314" s="107">
        <f t="shared" si="61"/>
        <v>77862.58</v>
      </c>
      <c r="H314" s="107">
        <f t="shared" si="61"/>
        <v>77948.650000000009</v>
      </c>
      <c r="I314" s="107">
        <f t="shared" si="61"/>
        <v>78340.19</v>
      </c>
      <c r="J314" s="107">
        <f t="shared" si="61"/>
        <v>81756.490000000005</v>
      </c>
      <c r="K314" s="107">
        <f t="shared" si="61"/>
        <v>77954.090000000011</v>
      </c>
      <c r="L314" s="107">
        <f t="shared" si="61"/>
        <v>78924.100000000006</v>
      </c>
      <c r="M314" s="107">
        <f t="shared" si="61"/>
        <v>84493.3</v>
      </c>
      <c r="N314" s="107">
        <v>949786.49</v>
      </c>
    </row>
    <row r="315" spans="1:14">
      <c r="A315" s="64"/>
      <c r="B315" s="22"/>
      <c r="C315" s="22"/>
      <c r="D315" s="22"/>
      <c r="E315" s="22"/>
      <c r="F315" s="22"/>
      <c r="G315" s="22"/>
      <c r="H315" s="22"/>
      <c r="I315" s="22"/>
      <c r="J315" s="22"/>
      <c r="K315" s="22"/>
      <c r="L315" s="22"/>
      <c r="M315" s="22"/>
      <c r="N315" s="22"/>
    </row>
    <row r="316" spans="1:14">
      <c r="A316" s="64" t="s">
        <v>256</v>
      </c>
      <c r="B316" s="22"/>
      <c r="C316" s="22"/>
      <c r="D316" s="22"/>
      <c r="E316" s="22"/>
      <c r="F316" s="22"/>
      <c r="G316" s="22"/>
      <c r="H316" s="22"/>
      <c r="I316" s="22"/>
      <c r="J316" s="22"/>
      <c r="K316" s="22"/>
      <c r="L316" s="22"/>
      <c r="M316" s="22"/>
      <c r="N316" s="22"/>
    </row>
    <row r="317" spans="1:14">
      <c r="A317" s="64" t="s">
        <v>257</v>
      </c>
      <c r="B317" s="111">
        <v>1152.8599999999999</v>
      </c>
      <c r="C317" s="113"/>
      <c r="D317" s="113"/>
      <c r="E317" s="113"/>
      <c r="F317" s="111">
        <v>-29003.58</v>
      </c>
      <c r="G317" s="111"/>
      <c r="H317" s="111">
        <v>-6633.78</v>
      </c>
      <c r="I317" s="113"/>
      <c r="J317" s="113"/>
      <c r="K317" s="113"/>
      <c r="L317" s="113"/>
      <c r="M317" s="113"/>
      <c r="N317" s="111">
        <v>-34484.5</v>
      </c>
    </row>
    <row r="318" spans="1:14">
      <c r="A318" s="64" t="s">
        <v>258</v>
      </c>
      <c r="B318" s="107">
        <f>SUM(B315:B317)</f>
        <v>1152.8599999999999</v>
      </c>
      <c r="C318" s="107"/>
      <c r="D318" s="107"/>
      <c r="E318" s="107"/>
      <c r="F318" s="107">
        <f>SUM(F315:F317)</f>
        <v>-29003.58</v>
      </c>
      <c r="G318" s="107"/>
      <c r="H318" s="107">
        <f>SUM(H315:H317)</f>
        <v>-6633.78</v>
      </c>
      <c r="I318" s="107"/>
      <c r="J318" s="107"/>
      <c r="K318" s="107"/>
      <c r="L318" s="107"/>
      <c r="M318" s="107"/>
      <c r="N318" s="107">
        <v>-34484.5</v>
      </c>
    </row>
    <row r="319" spans="1:14">
      <c r="A319" s="64"/>
      <c r="B319" s="22"/>
      <c r="C319" s="22"/>
      <c r="D319" s="22"/>
      <c r="E319" s="22"/>
      <c r="F319" s="22"/>
      <c r="G319" s="22"/>
      <c r="H319" s="22"/>
      <c r="I319" s="22"/>
      <c r="J319" s="22"/>
      <c r="K319" s="22"/>
      <c r="L319" s="22"/>
      <c r="M319" s="22"/>
      <c r="N319" s="22"/>
    </row>
    <row r="320" spans="1:14" ht="15.75" thickBot="1">
      <c r="A320" s="64" t="s">
        <v>62</v>
      </c>
      <c r="B320" s="112">
        <f t="shared" ref="B320:M320" si="62">SUM(B179:B319)-B196-B201-B212-B228-B254-B271-B279-B287-B292-B299-B307-B314-B318</f>
        <v>526102.49000000011</v>
      </c>
      <c r="C320" s="112">
        <f t="shared" si="62"/>
        <v>563258.38000000035</v>
      </c>
      <c r="D320" s="112">
        <f t="shared" si="62"/>
        <v>516315.23</v>
      </c>
      <c r="E320" s="112">
        <f t="shared" si="62"/>
        <v>513400.92000000057</v>
      </c>
      <c r="F320" s="112">
        <f t="shared" si="62"/>
        <v>569976.97999999975</v>
      </c>
      <c r="G320" s="112">
        <f t="shared" si="62"/>
        <v>517712.25999999983</v>
      </c>
      <c r="H320" s="112">
        <f t="shared" si="62"/>
        <v>493780.16999999969</v>
      </c>
      <c r="I320" s="112">
        <f t="shared" si="62"/>
        <v>530205.35999999987</v>
      </c>
      <c r="J320" s="112">
        <f t="shared" si="62"/>
        <v>513143.73999999987</v>
      </c>
      <c r="K320" s="112">
        <f t="shared" si="62"/>
        <v>484707.9599999999</v>
      </c>
      <c r="L320" s="112">
        <f t="shared" si="62"/>
        <v>480575.55000000016</v>
      </c>
      <c r="M320" s="112">
        <f t="shared" si="62"/>
        <v>521393.83000000025</v>
      </c>
      <c r="N320" s="112">
        <v>6230572.8700000001</v>
      </c>
    </row>
    <row r="321" spans="1:14" ht="15.75" thickTop="1">
      <c r="A321" s="64"/>
      <c r="B321" s="22"/>
      <c r="C321" s="22"/>
      <c r="D321" s="22"/>
      <c r="E321" s="22"/>
      <c r="F321" s="22"/>
      <c r="G321" s="22"/>
      <c r="H321" s="22"/>
      <c r="I321" s="22"/>
      <c r="J321" s="22"/>
      <c r="K321" s="22"/>
      <c r="L321" s="22"/>
      <c r="M321" s="22"/>
      <c r="N321" s="22"/>
    </row>
    <row r="322" spans="1:14" ht="15.75" thickBot="1">
      <c r="A322" s="64" t="s">
        <v>259</v>
      </c>
      <c r="B322" s="112">
        <f t="shared" ref="B322:M322" si="63">+B176-B320</f>
        <v>3263.070000000298</v>
      </c>
      <c r="C322" s="112">
        <f t="shared" si="63"/>
        <v>20311.599999999744</v>
      </c>
      <c r="D322" s="112">
        <f t="shared" si="63"/>
        <v>57072.170000000158</v>
      </c>
      <c r="E322" s="112">
        <f t="shared" si="63"/>
        <v>2902.7699999992037</v>
      </c>
      <c r="F322" s="112">
        <f t="shared" si="63"/>
        <v>-93126.149999999849</v>
      </c>
      <c r="G322" s="112">
        <f t="shared" si="63"/>
        <v>117296.00999999925</v>
      </c>
      <c r="H322" s="112">
        <f t="shared" si="63"/>
        <v>42407.610000000335</v>
      </c>
      <c r="I322" s="112">
        <f t="shared" si="63"/>
        <v>3015.7100000012433</v>
      </c>
      <c r="J322" s="112">
        <f t="shared" si="63"/>
        <v>17470.340000000084</v>
      </c>
      <c r="K322" s="112">
        <f t="shared" si="63"/>
        <v>206548.62000000052</v>
      </c>
      <c r="L322" s="112">
        <f t="shared" si="63"/>
        <v>48437.810000000289</v>
      </c>
      <c r="M322" s="112">
        <f t="shared" si="63"/>
        <v>50704.109999999579</v>
      </c>
      <c r="N322" s="112">
        <v>476303.67</v>
      </c>
    </row>
    <row r="323" spans="1:14" ht="15.75" thickTop="1">
      <c r="A323" s="64"/>
      <c r="B323" s="22"/>
      <c r="C323" s="22"/>
      <c r="D323" s="22"/>
      <c r="E323" s="22"/>
      <c r="F323" s="22"/>
      <c r="G323" s="22"/>
      <c r="H323" s="22"/>
      <c r="I323" s="22"/>
      <c r="J323" s="22"/>
      <c r="K323" s="22"/>
      <c r="L323" s="22"/>
      <c r="M323" s="22"/>
      <c r="N323" s="22"/>
    </row>
    <row r="324" spans="1:14">
      <c r="A324" s="64" t="s">
        <v>351</v>
      </c>
      <c r="B324" s="107">
        <v>10074.459999999999</v>
      </c>
      <c r="C324" s="107">
        <v>10915.67</v>
      </c>
      <c r="D324" s="107">
        <v>9319.8799999999992</v>
      </c>
      <c r="E324" s="107">
        <v>8486.49</v>
      </c>
      <c r="F324" s="107">
        <v>18311.8</v>
      </c>
      <c r="G324" s="107">
        <v>15743.67</v>
      </c>
      <c r="H324" s="107">
        <v>11379.07</v>
      </c>
      <c r="I324" s="107">
        <v>10377.08</v>
      </c>
      <c r="J324" s="107">
        <v>9499.5499999999993</v>
      </c>
      <c r="K324" s="107">
        <v>15158.32</v>
      </c>
      <c r="L324" s="107">
        <v>7910.48</v>
      </c>
      <c r="M324" s="107">
        <v>11717.97</v>
      </c>
      <c r="N324" s="107">
        <v>138894.44</v>
      </c>
    </row>
    <row r="325" spans="1:14">
      <c r="A325" s="64" t="s">
        <v>364</v>
      </c>
      <c r="B325" s="113"/>
      <c r="C325" s="113"/>
      <c r="D325" s="113"/>
      <c r="E325" s="113"/>
      <c r="F325" s="111">
        <v>41319</v>
      </c>
      <c r="G325" s="113"/>
      <c r="H325" s="113"/>
      <c r="I325" s="113"/>
      <c r="J325" s="113"/>
      <c r="K325" s="113"/>
      <c r="L325" s="113"/>
      <c r="M325" s="113"/>
      <c r="N325" s="111">
        <v>41319</v>
      </c>
    </row>
    <row r="326" spans="1:14">
      <c r="A326" s="64" t="s">
        <v>64</v>
      </c>
      <c r="B326" s="107">
        <f t="shared" ref="B326:M326" si="64">SUM(B323:B325)</f>
        <v>10074.459999999999</v>
      </c>
      <c r="C326" s="107">
        <f t="shared" si="64"/>
        <v>10915.67</v>
      </c>
      <c r="D326" s="107">
        <f t="shared" si="64"/>
        <v>9319.8799999999992</v>
      </c>
      <c r="E326" s="107">
        <f t="shared" si="64"/>
        <v>8486.49</v>
      </c>
      <c r="F326" s="107">
        <f t="shared" si="64"/>
        <v>59630.8</v>
      </c>
      <c r="G326" s="107">
        <f t="shared" si="64"/>
        <v>15743.67</v>
      </c>
      <c r="H326" s="107">
        <f t="shared" si="64"/>
        <v>11379.07</v>
      </c>
      <c r="I326" s="107">
        <f t="shared" si="64"/>
        <v>10377.08</v>
      </c>
      <c r="J326" s="107">
        <f t="shared" si="64"/>
        <v>9499.5499999999993</v>
      </c>
      <c r="K326" s="107">
        <f t="shared" si="64"/>
        <v>15158.32</v>
      </c>
      <c r="L326" s="107">
        <f t="shared" si="64"/>
        <v>7910.48</v>
      </c>
      <c r="M326" s="107">
        <f t="shared" si="64"/>
        <v>11717.97</v>
      </c>
      <c r="N326" s="107">
        <v>180213.44</v>
      </c>
    </row>
    <row r="327" spans="1:14">
      <c r="A327" s="64"/>
      <c r="B327" s="22"/>
      <c r="C327" s="22"/>
      <c r="D327" s="22"/>
      <c r="E327" s="22"/>
      <c r="F327" s="22"/>
      <c r="G327" s="22"/>
      <c r="H327" s="22"/>
      <c r="I327" s="22"/>
      <c r="J327" s="22"/>
      <c r="K327" s="22"/>
      <c r="L327" s="22"/>
      <c r="M327" s="22"/>
      <c r="N327" s="22"/>
    </row>
    <row r="328" spans="1:14" ht="15.75" thickBot="1">
      <c r="A328" s="64" t="s">
        <v>22</v>
      </c>
      <c r="B328" s="112">
        <f t="shared" ref="B328:M328" si="65">+B322-B326</f>
        <v>-6811.3899999997011</v>
      </c>
      <c r="C328" s="112">
        <f t="shared" si="65"/>
        <v>9395.9299999997438</v>
      </c>
      <c r="D328" s="112">
        <f t="shared" si="65"/>
        <v>47752.290000000161</v>
      </c>
      <c r="E328" s="112">
        <f t="shared" si="65"/>
        <v>-5583.7200000007961</v>
      </c>
      <c r="F328" s="112">
        <f t="shared" si="65"/>
        <v>-152756.94999999984</v>
      </c>
      <c r="G328" s="112">
        <f t="shared" si="65"/>
        <v>101552.33999999925</v>
      </c>
      <c r="H328" s="112">
        <f t="shared" si="65"/>
        <v>31028.540000000336</v>
      </c>
      <c r="I328" s="112">
        <f t="shared" si="65"/>
        <v>-7361.3699999987566</v>
      </c>
      <c r="J328" s="112">
        <f t="shared" si="65"/>
        <v>7970.7900000000845</v>
      </c>
      <c r="K328" s="112">
        <f t="shared" si="65"/>
        <v>191390.30000000051</v>
      </c>
      <c r="L328" s="112">
        <f t="shared" si="65"/>
        <v>40527.330000000293</v>
      </c>
      <c r="M328" s="112">
        <f t="shared" si="65"/>
        <v>38986.139999999577</v>
      </c>
      <c r="N328" s="112">
        <v>296090.23</v>
      </c>
    </row>
    <row r="329" spans="1:14" ht="15.75" thickTop="1">
      <c r="A329" s="64"/>
      <c r="B329" s="22"/>
      <c r="C329" s="22"/>
      <c r="D329" s="22"/>
      <c r="E329" s="22"/>
      <c r="F329" s="22"/>
      <c r="G329" s="22"/>
      <c r="H329" s="22"/>
      <c r="I329" s="22"/>
      <c r="J329" s="22"/>
      <c r="K329" s="22"/>
      <c r="L329" s="22"/>
      <c r="M329" s="22"/>
      <c r="N329" s="22"/>
    </row>
    <row r="330" spans="1:14">
      <c r="A330" s="64"/>
      <c r="B330" s="22"/>
      <c r="C330" s="22"/>
      <c r="D330" s="22"/>
      <c r="E330" s="22"/>
      <c r="F330" s="22"/>
      <c r="G330" s="22"/>
      <c r="H330" s="22"/>
      <c r="I330" s="22"/>
      <c r="J330" s="22"/>
      <c r="K330" s="22"/>
      <c r="L330" s="22"/>
      <c r="M330" s="22"/>
      <c r="N330" s="22"/>
    </row>
    <row r="331" spans="1:14">
      <c r="A331" s="64" t="s">
        <v>260</v>
      </c>
      <c r="B331" s="22"/>
      <c r="C331" s="22"/>
      <c r="D331" s="22"/>
      <c r="E331" s="22"/>
      <c r="F331" s="22"/>
      <c r="G331" s="22"/>
      <c r="H331" s="22"/>
      <c r="I331" s="22"/>
      <c r="J331" s="22"/>
      <c r="K331" s="22"/>
      <c r="L331" s="22"/>
      <c r="M331" s="22"/>
      <c r="N331" s="22"/>
    </row>
    <row r="332" spans="1:14">
      <c r="A332" s="64"/>
      <c r="B332" s="22"/>
      <c r="C332" s="22"/>
      <c r="D332" s="22"/>
      <c r="E332" s="22"/>
      <c r="F332" s="22"/>
      <c r="G332" s="22"/>
      <c r="H332" s="22"/>
      <c r="I332" s="22"/>
      <c r="J332" s="22"/>
      <c r="K332" s="22"/>
      <c r="L332" s="22"/>
      <c r="M332" s="22"/>
      <c r="N332" s="22"/>
    </row>
    <row r="333" spans="1:14">
      <c r="A333" s="64" t="s">
        <v>19</v>
      </c>
      <c r="B333" s="22"/>
      <c r="C333" s="22"/>
      <c r="D333" s="22"/>
      <c r="E333" s="22"/>
      <c r="F333" s="22"/>
      <c r="G333" s="22"/>
      <c r="H333" s="22"/>
      <c r="I333" s="22"/>
      <c r="J333" s="22"/>
      <c r="K333" s="22"/>
      <c r="L333" s="22"/>
      <c r="M333" s="22"/>
      <c r="N333" s="22"/>
    </row>
    <row r="334" spans="1:14">
      <c r="A334" s="64" t="s">
        <v>261</v>
      </c>
      <c r="B334" s="22"/>
      <c r="C334" s="107">
        <v>1</v>
      </c>
      <c r="D334" s="107">
        <v>31</v>
      </c>
      <c r="E334" s="107">
        <v>122</v>
      </c>
      <c r="F334" s="107">
        <v>-52</v>
      </c>
      <c r="G334" s="107">
        <v>-30</v>
      </c>
      <c r="H334" s="22"/>
      <c r="I334" s="22"/>
      <c r="J334" s="22"/>
      <c r="K334" s="22"/>
      <c r="L334" s="22"/>
      <c r="M334" s="22"/>
      <c r="N334" s="107">
        <v>72</v>
      </c>
    </row>
    <row r="335" spans="1:14">
      <c r="A335" s="64" t="s">
        <v>66</v>
      </c>
      <c r="B335" s="111">
        <v>963</v>
      </c>
      <c r="C335" s="111">
        <v>1009</v>
      </c>
      <c r="D335" s="111">
        <v>1065</v>
      </c>
      <c r="E335" s="111">
        <v>1050</v>
      </c>
      <c r="F335" s="111">
        <v>1032</v>
      </c>
      <c r="G335" s="111">
        <v>875</v>
      </c>
      <c r="H335" s="111">
        <v>816</v>
      </c>
      <c r="I335" s="111">
        <v>1003</v>
      </c>
      <c r="J335" s="111">
        <v>1022</v>
      </c>
      <c r="K335" s="111">
        <v>1010</v>
      </c>
      <c r="L335" s="111">
        <v>963</v>
      </c>
      <c r="M335" s="111">
        <v>1072</v>
      </c>
      <c r="N335" s="111">
        <v>11880</v>
      </c>
    </row>
    <row r="336" spans="1:14">
      <c r="A336" s="64" t="s">
        <v>85</v>
      </c>
      <c r="B336" s="107">
        <f t="shared" ref="B336:M336" si="66">SUM(B333:B335)</f>
        <v>963</v>
      </c>
      <c r="C336" s="107">
        <f t="shared" si="66"/>
        <v>1010</v>
      </c>
      <c r="D336" s="107">
        <f t="shared" si="66"/>
        <v>1096</v>
      </c>
      <c r="E336" s="107">
        <f t="shared" si="66"/>
        <v>1172</v>
      </c>
      <c r="F336" s="107">
        <f t="shared" si="66"/>
        <v>980</v>
      </c>
      <c r="G336" s="107">
        <f t="shared" si="66"/>
        <v>845</v>
      </c>
      <c r="H336" s="107">
        <f t="shared" si="66"/>
        <v>816</v>
      </c>
      <c r="I336" s="107">
        <f t="shared" si="66"/>
        <v>1003</v>
      </c>
      <c r="J336" s="107">
        <f t="shared" si="66"/>
        <v>1022</v>
      </c>
      <c r="K336" s="107">
        <f t="shared" si="66"/>
        <v>1010</v>
      </c>
      <c r="L336" s="107">
        <f t="shared" si="66"/>
        <v>963</v>
      </c>
      <c r="M336" s="107">
        <f t="shared" si="66"/>
        <v>1072</v>
      </c>
      <c r="N336" s="107">
        <v>11952</v>
      </c>
    </row>
    <row r="337" spans="1:14">
      <c r="A337" s="64"/>
      <c r="B337" s="22"/>
      <c r="C337" s="22"/>
      <c r="D337" s="22"/>
      <c r="E337" s="22"/>
      <c r="F337" s="22"/>
      <c r="G337" s="22"/>
      <c r="H337" s="22"/>
      <c r="I337" s="22"/>
      <c r="J337" s="22"/>
      <c r="K337" s="22"/>
      <c r="L337" s="22"/>
      <c r="M337" s="22"/>
      <c r="N337" s="22"/>
    </row>
    <row r="338" spans="1:14">
      <c r="A338" s="64" t="s">
        <v>20</v>
      </c>
      <c r="B338" s="22"/>
      <c r="C338" s="22"/>
      <c r="D338" s="22"/>
      <c r="E338" s="22"/>
      <c r="F338" s="22"/>
      <c r="G338" s="22"/>
      <c r="H338" s="22"/>
      <c r="I338" s="22"/>
      <c r="J338" s="22"/>
      <c r="K338" s="22"/>
      <c r="L338" s="22"/>
      <c r="M338" s="22"/>
      <c r="N338" s="22"/>
    </row>
    <row r="339" spans="1:14">
      <c r="A339" s="64" t="s">
        <v>66</v>
      </c>
      <c r="B339" s="111">
        <v>63</v>
      </c>
      <c r="C339" s="111">
        <v>87</v>
      </c>
      <c r="D339" s="111">
        <v>69</v>
      </c>
      <c r="E339" s="111">
        <v>60</v>
      </c>
      <c r="F339" s="111">
        <v>62</v>
      </c>
      <c r="G339" s="111">
        <v>52</v>
      </c>
      <c r="H339" s="111">
        <v>44</v>
      </c>
      <c r="I339" s="111">
        <v>62</v>
      </c>
      <c r="J339" s="111">
        <v>63</v>
      </c>
      <c r="K339" s="111">
        <v>91</v>
      </c>
      <c r="L339" s="111">
        <v>90</v>
      </c>
      <c r="M339" s="111">
        <v>123</v>
      </c>
      <c r="N339" s="111">
        <v>866</v>
      </c>
    </row>
    <row r="340" spans="1:14">
      <c r="A340" s="64" t="s">
        <v>262</v>
      </c>
      <c r="B340" s="107">
        <f t="shared" ref="B340:M340" si="67">SUM(B337:B339)</f>
        <v>63</v>
      </c>
      <c r="C340" s="107">
        <f t="shared" si="67"/>
        <v>87</v>
      </c>
      <c r="D340" s="107">
        <f t="shared" si="67"/>
        <v>69</v>
      </c>
      <c r="E340" s="107">
        <f t="shared" si="67"/>
        <v>60</v>
      </c>
      <c r="F340" s="107">
        <f t="shared" si="67"/>
        <v>62</v>
      </c>
      <c r="G340" s="107">
        <f t="shared" si="67"/>
        <v>52</v>
      </c>
      <c r="H340" s="107">
        <f t="shared" si="67"/>
        <v>44</v>
      </c>
      <c r="I340" s="107">
        <f t="shared" si="67"/>
        <v>62</v>
      </c>
      <c r="J340" s="107">
        <f t="shared" si="67"/>
        <v>63</v>
      </c>
      <c r="K340" s="107">
        <f t="shared" si="67"/>
        <v>91</v>
      </c>
      <c r="L340" s="107">
        <f t="shared" si="67"/>
        <v>90</v>
      </c>
      <c r="M340" s="107">
        <f t="shared" si="67"/>
        <v>123</v>
      </c>
      <c r="N340" s="107">
        <v>866</v>
      </c>
    </row>
    <row r="341" spans="1:14">
      <c r="A341" s="64"/>
      <c r="B341" s="22"/>
      <c r="C341" s="22"/>
      <c r="D341" s="22"/>
      <c r="E341" s="22"/>
      <c r="F341" s="22"/>
      <c r="G341" s="22"/>
      <c r="H341" s="22"/>
      <c r="I341" s="22"/>
      <c r="J341" s="22"/>
      <c r="K341" s="22"/>
      <c r="L341" s="22"/>
      <c r="M341" s="22"/>
      <c r="N341" s="22"/>
    </row>
    <row r="342" spans="1:14">
      <c r="A342" s="64" t="s">
        <v>263</v>
      </c>
      <c r="B342" s="22"/>
      <c r="C342" s="22"/>
      <c r="D342" s="22"/>
      <c r="E342" s="22"/>
      <c r="F342" s="22"/>
      <c r="G342" s="22"/>
      <c r="H342" s="22"/>
      <c r="I342" s="22"/>
      <c r="J342" s="22"/>
      <c r="K342" s="22"/>
      <c r="L342" s="22"/>
      <c r="M342" s="22"/>
      <c r="N342" s="22"/>
    </row>
    <row r="343" spans="1:14">
      <c r="A343" s="64" t="s">
        <v>261</v>
      </c>
      <c r="B343" s="22"/>
      <c r="C343" s="22"/>
      <c r="D343" s="22"/>
      <c r="E343" s="22"/>
      <c r="F343" s="22"/>
      <c r="G343" s="22"/>
      <c r="H343" s="22"/>
      <c r="I343" s="22"/>
      <c r="J343" s="22"/>
      <c r="K343" s="22"/>
      <c r="L343" s="22"/>
      <c r="M343" s="107">
        <v>9</v>
      </c>
      <c r="N343" s="107">
        <v>9</v>
      </c>
    </row>
    <row r="344" spans="1:14">
      <c r="A344" s="64" t="s">
        <v>66</v>
      </c>
      <c r="B344" s="111">
        <v>176</v>
      </c>
      <c r="C344" s="111">
        <v>196</v>
      </c>
      <c r="D344" s="111">
        <v>183</v>
      </c>
      <c r="E344" s="111">
        <v>148</v>
      </c>
      <c r="F344" s="111">
        <v>121</v>
      </c>
      <c r="G344" s="111">
        <v>361</v>
      </c>
      <c r="H344" s="111">
        <v>283</v>
      </c>
      <c r="I344" s="111">
        <v>225</v>
      </c>
      <c r="J344" s="111">
        <v>181</v>
      </c>
      <c r="K344" s="111">
        <v>96</v>
      </c>
      <c r="L344" s="111">
        <v>158</v>
      </c>
      <c r="M344" s="111">
        <v>179</v>
      </c>
      <c r="N344" s="111">
        <v>2307</v>
      </c>
    </row>
    <row r="345" spans="1:14">
      <c r="A345" s="64" t="s">
        <v>264</v>
      </c>
      <c r="B345" s="107">
        <f t="shared" ref="B345:M345" si="68">SUM(B341:B344)</f>
        <v>176</v>
      </c>
      <c r="C345" s="107">
        <f t="shared" si="68"/>
        <v>196</v>
      </c>
      <c r="D345" s="107">
        <f t="shared" si="68"/>
        <v>183</v>
      </c>
      <c r="E345" s="107">
        <f t="shared" si="68"/>
        <v>148</v>
      </c>
      <c r="F345" s="107">
        <f t="shared" si="68"/>
        <v>121</v>
      </c>
      <c r="G345" s="107">
        <f t="shared" si="68"/>
        <v>361</v>
      </c>
      <c r="H345" s="107">
        <f t="shared" si="68"/>
        <v>283</v>
      </c>
      <c r="I345" s="107">
        <f t="shared" si="68"/>
        <v>225</v>
      </c>
      <c r="J345" s="107">
        <f t="shared" si="68"/>
        <v>181</v>
      </c>
      <c r="K345" s="107">
        <f t="shared" si="68"/>
        <v>96</v>
      </c>
      <c r="L345" s="107">
        <f t="shared" si="68"/>
        <v>158</v>
      </c>
      <c r="M345" s="107">
        <f t="shared" si="68"/>
        <v>188</v>
      </c>
      <c r="N345" s="107">
        <v>2316</v>
      </c>
    </row>
    <row r="346" spans="1:14">
      <c r="A346" s="64"/>
      <c r="B346" s="22"/>
      <c r="C346" s="22"/>
      <c r="D346" s="22"/>
      <c r="E346" s="22"/>
      <c r="F346" s="22"/>
      <c r="G346" s="22"/>
      <c r="H346" s="22"/>
      <c r="I346" s="22"/>
      <c r="J346" s="22"/>
      <c r="K346" s="22"/>
      <c r="L346" s="22"/>
      <c r="M346" s="22"/>
      <c r="N346" s="22"/>
    </row>
    <row r="347" spans="1:14">
      <c r="A347" s="64" t="s">
        <v>265</v>
      </c>
      <c r="B347" s="113"/>
      <c r="C347" s="113"/>
      <c r="D347" s="113"/>
      <c r="E347" s="113"/>
      <c r="F347" s="113"/>
      <c r="G347" s="113"/>
      <c r="H347" s="113"/>
      <c r="I347" s="113"/>
      <c r="J347" s="113"/>
      <c r="K347" s="113"/>
      <c r="L347" s="113"/>
      <c r="M347" s="113"/>
      <c r="N347" s="113"/>
    </row>
    <row r="348" spans="1:14">
      <c r="A348" s="64" t="s">
        <v>319</v>
      </c>
      <c r="B348" s="107"/>
      <c r="C348" s="107"/>
      <c r="D348" s="107"/>
      <c r="E348" s="107"/>
      <c r="F348" s="107"/>
      <c r="G348" s="107"/>
      <c r="H348" s="107"/>
      <c r="I348" s="107"/>
      <c r="J348" s="107"/>
      <c r="K348" s="107"/>
      <c r="L348" s="107"/>
      <c r="M348" s="107"/>
      <c r="N348" s="107"/>
    </row>
    <row r="349" spans="1:14">
      <c r="A349" s="64"/>
      <c r="B349" s="22"/>
      <c r="C349" s="22"/>
      <c r="D349" s="22"/>
      <c r="E349" s="22"/>
      <c r="F349" s="22"/>
      <c r="G349" s="22"/>
      <c r="H349" s="22"/>
      <c r="I349" s="22"/>
      <c r="J349" s="22"/>
      <c r="K349" s="22"/>
      <c r="L349" s="22"/>
      <c r="M349" s="22"/>
      <c r="N349" s="22"/>
    </row>
    <row r="350" spans="1:14">
      <c r="A350" s="64" t="s">
        <v>106</v>
      </c>
      <c r="B350" s="22"/>
      <c r="C350" s="22"/>
      <c r="D350" s="22"/>
      <c r="E350" s="22"/>
      <c r="F350" s="22"/>
      <c r="G350" s="22"/>
      <c r="H350" s="22"/>
      <c r="I350" s="22"/>
      <c r="J350" s="22"/>
      <c r="K350" s="22"/>
      <c r="L350" s="22"/>
      <c r="M350" s="22"/>
      <c r="N350" s="22"/>
    </row>
    <row r="351" spans="1:14">
      <c r="A351" s="64" t="s">
        <v>261</v>
      </c>
      <c r="B351" s="22"/>
      <c r="C351" s="22"/>
      <c r="D351" s="22"/>
      <c r="E351" s="22"/>
      <c r="F351" s="22"/>
      <c r="G351" s="22"/>
      <c r="H351" s="22"/>
      <c r="I351" s="22"/>
      <c r="J351" s="22"/>
      <c r="K351" s="22"/>
      <c r="L351" s="22"/>
      <c r="M351" s="107">
        <v>-9</v>
      </c>
      <c r="N351" s="107">
        <v>-9</v>
      </c>
    </row>
    <row r="352" spans="1:14">
      <c r="A352" s="64" t="s">
        <v>66</v>
      </c>
      <c r="B352" s="111">
        <v>173</v>
      </c>
      <c r="C352" s="111">
        <v>183</v>
      </c>
      <c r="D352" s="111">
        <v>142</v>
      </c>
      <c r="E352" s="111">
        <v>78</v>
      </c>
      <c r="F352" s="111">
        <v>75</v>
      </c>
      <c r="G352" s="111">
        <v>92</v>
      </c>
      <c r="H352" s="111">
        <v>103</v>
      </c>
      <c r="I352" s="111">
        <v>99</v>
      </c>
      <c r="J352" s="111">
        <v>117</v>
      </c>
      <c r="K352" s="111">
        <v>169</v>
      </c>
      <c r="L352" s="111">
        <v>183</v>
      </c>
      <c r="M352" s="111">
        <v>150</v>
      </c>
      <c r="N352" s="111">
        <v>1564</v>
      </c>
    </row>
    <row r="353" spans="1:14">
      <c r="A353" s="64" t="s">
        <v>116</v>
      </c>
      <c r="B353" s="107">
        <f t="shared" ref="B353:M353" si="69">SUM(B349:B352)</f>
        <v>173</v>
      </c>
      <c r="C353" s="107">
        <f t="shared" si="69"/>
        <v>183</v>
      </c>
      <c r="D353" s="107">
        <f t="shared" si="69"/>
        <v>142</v>
      </c>
      <c r="E353" s="107">
        <f t="shared" si="69"/>
        <v>78</v>
      </c>
      <c r="F353" s="107">
        <f t="shared" si="69"/>
        <v>75</v>
      </c>
      <c r="G353" s="107">
        <f t="shared" si="69"/>
        <v>92</v>
      </c>
      <c r="H353" s="107">
        <f t="shared" si="69"/>
        <v>103</v>
      </c>
      <c r="I353" s="107">
        <f t="shared" si="69"/>
        <v>99</v>
      </c>
      <c r="J353" s="107">
        <f t="shared" si="69"/>
        <v>117</v>
      </c>
      <c r="K353" s="107">
        <f t="shared" si="69"/>
        <v>169</v>
      </c>
      <c r="L353" s="107">
        <f t="shared" si="69"/>
        <v>183</v>
      </c>
      <c r="M353" s="107">
        <f t="shared" si="69"/>
        <v>141</v>
      </c>
      <c r="N353" s="107">
        <v>1555</v>
      </c>
    </row>
    <row r="354" spans="1:14">
      <c r="A354" s="64"/>
      <c r="B354" s="22"/>
      <c r="C354" s="22"/>
      <c r="D354" s="22"/>
      <c r="E354" s="22"/>
      <c r="F354" s="22"/>
      <c r="G354" s="22"/>
      <c r="H354" s="22"/>
      <c r="I354" s="22"/>
      <c r="J354" s="22"/>
      <c r="K354" s="22"/>
      <c r="L354" s="22"/>
      <c r="M354" s="22"/>
      <c r="N354" s="22"/>
    </row>
    <row r="355" spans="1:14">
      <c r="A355" s="64" t="s">
        <v>117</v>
      </c>
      <c r="B355" s="22"/>
      <c r="C355" s="22"/>
      <c r="D355" s="22"/>
      <c r="E355" s="22"/>
      <c r="F355" s="22"/>
      <c r="G355" s="22"/>
      <c r="H355" s="22"/>
      <c r="I355" s="22"/>
      <c r="J355" s="22"/>
      <c r="K355" s="22"/>
      <c r="L355" s="22"/>
      <c r="M355" s="22"/>
      <c r="N355" s="22"/>
    </row>
    <row r="356" spans="1:14">
      <c r="A356" s="64" t="s">
        <v>261</v>
      </c>
      <c r="B356" s="22"/>
      <c r="C356" s="107">
        <v>-1</v>
      </c>
      <c r="D356" s="107">
        <v>-31</v>
      </c>
      <c r="E356" s="107">
        <v>-122</v>
      </c>
      <c r="F356" s="107">
        <v>52</v>
      </c>
      <c r="G356" s="107">
        <v>30</v>
      </c>
      <c r="H356" s="107">
        <v>-1</v>
      </c>
      <c r="I356" s="22"/>
      <c r="J356" s="22"/>
      <c r="K356" s="22"/>
      <c r="L356" s="22"/>
      <c r="M356" s="22"/>
      <c r="N356" s="107">
        <v>-73</v>
      </c>
    </row>
    <row r="357" spans="1:14">
      <c r="A357" s="64" t="s">
        <v>66</v>
      </c>
      <c r="B357" s="111">
        <v>709</v>
      </c>
      <c r="C357" s="111">
        <v>669</v>
      </c>
      <c r="D357" s="111">
        <v>714</v>
      </c>
      <c r="E357" s="111">
        <v>696</v>
      </c>
      <c r="F357" s="111">
        <v>807</v>
      </c>
      <c r="G357" s="111">
        <v>706</v>
      </c>
      <c r="H357" s="111">
        <v>600</v>
      </c>
      <c r="I357" s="111">
        <v>651</v>
      </c>
      <c r="J357" s="111">
        <v>721</v>
      </c>
      <c r="K357" s="111">
        <v>779</v>
      </c>
      <c r="L357" s="111">
        <v>703</v>
      </c>
      <c r="M357" s="111">
        <v>716</v>
      </c>
      <c r="N357" s="111">
        <v>8471</v>
      </c>
    </row>
    <row r="358" spans="1:14">
      <c r="A358" s="64" t="s">
        <v>127</v>
      </c>
      <c r="B358" s="107">
        <f t="shared" ref="B358:M358" si="70">SUM(B354:B357)</f>
        <v>709</v>
      </c>
      <c r="C358" s="107">
        <f t="shared" si="70"/>
        <v>668</v>
      </c>
      <c r="D358" s="107">
        <f t="shared" si="70"/>
        <v>683</v>
      </c>
      <c r="E358" s="107">
        <f t="shared" si="70"/>
        <v>574</v>
      </c>
      <c r="F358" s="107">
        <f t="shared" si="70"/>
        <v>859</v>
      </c>
      <c r="G358" s="107">
        <f t="shared" si="70"/>
        <v>736</v>
      </c>
      <c r="H358" s="107">
        <f t="shared" si="70"/>
        <v>599</v>
      </c>
      <c r="I358" s="107">
        <f t="shared" si="70"/>
        <v>651</v>
      </c>
      <c r="J358" s="107">
        <f t="shared" si="70"/>
        <v>721</v>
      </c>
      <c r="K358" s="107">
        <f t="shared" si="70"/>
        <v>779</v>
      </c>
      <c r="L358" s="107">
        <f t="shared" si="70"/>
        <v>703</v>
      </c>
      <c r="M358" s="107">
        <f t="shared" si="70"/>
        <v>716</v>
      </c>
      <c r="N358" s="107">
        <v>8398</v>
      </c>
    </row>
    <row r="359" spans="1:14">
      <c r="A359" s="64"/>
      <c r="B359" s="22"/>
      <c r="C359" s="22"/>
      <c r="D359" s="22"/>
      <c r="E359" s="22"/>
      <c r="F359" s="22"/>
      <c r="G359" s="22"/>
      <c r="H359" s="22"/>
      <c r="I359" s="22"/>
      <c r="J359" s="22"/>
      <c r="K359" s="22"/>
      <c r="L359" s="22"/>
      <c r="M359" s="22"/>
      <c r="N359" s="22"/>
    </row>
    <row r="360" spans="1:14" ht="15.75" thickBot="1">
      <c r="A360" s="64" t="s">
        <v>266</v>
      </c>
      <c r="B360" s="112">
        <f t="shared" ref="B360:M360" si="71">SUM(B331:B359)-B336-B340-B345-B348-B353-B358</f>
        <v>2084</v>
      </c>
      <c r="C360" s="112">
        <f t="shared" si="71"/>
        <v>2144</v>
      </c>
      <c r="D360" s="112">
        <f t="shared" si="71"/>
        <v>2173</v>
      </c>
      <c r="E360" s="112">
        <f t="shared" si="71"/>
        <v>2032</v>
      </c>
      <c r="F360" s="112">
        <f t="shared" si="71"/>
        <v>2097</v>
      </c>
      <c r="G360" s="112">
        <f t="shared" si="71"/>
        <v>2086</v>
      </c>
      <c r="H360" s="112">
        <f t="shared" si="71"/>
        <v>1845</v>
      </c>
      <c r="I360" s="112">
        <f t="shared" si="71"/>
        <v>2040</v>
      </c>
      <c r="J360" s="112">
        <f t="shared" si="71"/>
        <v>2104</v>
      </c>
      <c r="K360" s="112">
        <f t="shared" si="71"/>
        <v>2145</v>
      </c>
      <c r="L360" s="112">
        <f t="shared" si="71"/>
        <v>2097</v>
      </c>
      <c r="M360" s="112">
        <f t="shared" si="71"/>
        <v>2240</v>
      </c>
      <c r="N360" s="112">
        <v>25087</v>
      </c>
    </row>
    <row r="361" spans="1:14" ht="15.75" thickTop="1">
      <c r="A361" s="64"/>
      <c r="B361" s="22"/>
      <c r="C361" s="22"/>
      <c r="D361" s="22"/>
      <c r="E361" s="22"/>
      <c r="F361" s="22"/>
      <c r="G361" s="22"/>
      <c r="H361" s="22"/>
      <c r="I361" s="22"/>
      <c r="J361" s="22"/>
      <c r="K361" s="22"/>
      <c r="L361" s="22"/>
      <c r="M361" s="22"/>
      <c r="N361" s="22"/>
    </row>
    <row r="362" spans="1:14" hidden="1">
      <c r="A362" s="64"/>
      <c r="B362" s="107">
        <v>6811.39</v>
      </c>
      <c r="C362" s="107">
        <v>-9395.93</v>
      </c>
      <c r="D362" s="107">
        <v>-47752.29</v>
      </c>
      <c r="E362" s="107">
        <v>5583.72</v>
      </c>
      <c r="F362" s="107">
        <v>152756.95000000001</v>
      </c>
      <c r="G362" s="107">
        <v>-101552.34</v>
      </c>
      <c r="H362" s="107">
        <v>-31028.54</v>
      </c>
      <c r="I362" s="107">
        <v>7361.37</v>
      </c>
      <c r="J362" s="107">
        <v>-7970.79</v>
      </c>
      <c r="K362" s="107">
        <v>-191390.3</v>
      </c>
      <c r="L362" s="107">
        <v>-40527.33</v>
      </c>
      <c r="M362" s="107">
        <v>-38986.14</v>
      </c>
      <c r="N362" s="107">
        <v>-296090.23</v>
      </c>
    </row>
    <row r="363" spans="1:14">
      <c r="A363" s="64"/>
      <c r="B363" s="22"/>
      <c r="C363" s="22"/>
      <c r="D363" s="22"/>
      <c r="E363" s="22"/>
      <c r="F363" s="22"/>
      <c r="G363" s="22"/>
      <c r="H363" s="22"/>
      <c r="I363" s="22"/>
      <c r="J363" s="22"/>
      <c r="K363" s="22"/>
      <c r="L363" s="22"/>
      <c r="M363" s="22"/>
      <c r="N363" s="22"/>
    </row>
    <row r="364" spans="1:14" hidden="1">
      <c r="A364" s="64" t="s">
        <v>267</v>
      </c>
      <c r="B364" s="107">
        <f t="shared" ref="B364:M364" si="72">B335+B339+B344+B352+B357</f>
        <v>2084</v>
      </c>
      <c r="C364" s="107">
        <f t="shared" si="72"/>
        <v>2144</v>
      </c>
      <c r="D364" s="107">
        <f t="shared" si="72"/>
        <v>2173</v>
      </c>
      <c r="E364" s="107">
        <f t="shared" si="72"/>
        <v>2032</v>
      </c>
      <c r="F364" s="107">
        <f t="shared" si="72"/>
        <v>2097</v>
      </c>
      <c r="G364" s="107">
        <f t="shared" si="72"/>
        <v>2086</v>
      </c>
      <c r="H364" s="107">
        <f t="shared" si="72"/>
        <v>1846</v>
      </c>
      <c r="I364" s="107">
        <f t="shared" si="72"/>
        <v>2040</v>
      </c>
      <c r="J364" s="107">
        <f t="shared" si="72"/>
        <v>2104</v>
      </c>
      <c r="K364" s="107">
        <f t="shared" si="72"/>
        <v>2145</v>
      </c>
      <c r="L364" s="107">
        <f t="shared" si="72"/>
        <v>2097</v>
      </c>
      <c r="M364" s="107">
        <f t="shared" si="72"/>
        <v>2240</v>
      </c>
      <c r="N364" s="107">
        <v>25088</v>
      </c>
    </row>
    <row r="365" spans="1:14">
      <c r="A365" s="64"/>
      <c r="B365" s="22"/>
      <c r="C365" s="22"/>
      <c r="D365" s="22"/>
      <c r="E365" s="22"/>
      <c r="F365" s="22"/>
      <c r="G365" s="22"/>
      <c r="H365" s="22"/>
      <c r="I365" s="22"/>
      <c r="J365" s="22"/>
      <c r="K365" s="22"/>
      <c r="L365" s="22"/>
      <c r="M365" s="22"/>
      <c r="N365" s="22"/>
    </row>
  </sheetData>
  <pageMargins left="0.75" right="0.75" top="0.75" bottom="0.75" header="0.03" footer="0.03"/>
  <pageSetup scale="46" fitToHeight="0" pageOrder="overThenDown" orientation="landscape" r:id="rId1"/>
  <headerFooter>
    <oddHeader>&amp;L&amp;C&amp;"Arial,Regular"&amp;9&amp;K000000Gulf Pointe Plaza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22529"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22529" r:id="rId5" name="FPMExcelClientSheetOptionstb1"/>
      </mc:Fallback>
    </mc:AlternateContent>
  </control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A1:N372"/>
  <sheetViews>
    <sheetView workbookViewId="0"/>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B341</f>
        <v>1193</v>
      </c>
      <c r="C4" s="110">
        <f t="shared" si="0"/>
        <v>1155</v>
      </c>
      <c r="D4" s="110">
        <f t="shared" si="0"/>
        <v>1168</v>
      </c>
      <c r="E4" s="110">
        <f t="shared" si="0"/>
        <v>1182</v>
      </c>
      <c r="F4" s="110">
        <f t="shared" si="0"/>
        <v>1246</v>
      </c>
      <c r="G4" s="110">
        <f t="shared" si="0"/>
        <v>1313</v>
      </c>
      <c r="H4" s="110">
        <f t="shared" si="0"/>
        <v>1166</v>
      </c>
      <c r="I4" s="110">
        <f t="shared" si="0"/>
        <v>1257</v>
      </c>
      <c r="J4" s="110">
        <f t="shared" si="0"/>
        <v>1148</v>
      </c>
      <c r="K4" s="110">
        <f t="shared" si="0"/>
        <v>1208</v>
      </c>
      <c r="L4" s="110">
        <f t="shared" si="0"/>
        <v>1242</v>
      </c>
      <c r="M4" s="110">
        <f t="shared" si="0"/>
        <v>1371</v>
      </c>
      <c r="N4" s="110">
        <v>14649</v>
      </c>
    </row>
    <row r="5" spans="1:14">
      <c r="A5" s="64" t="s">
        <v>35</v>
      </c>
      <c r="B5" s="107">
        <f t="shared" ref="B5:M5" si="1">B346</f>
        <v>103</v>
      </c>
      <c r="C5" s="107">
        <f t="shared" si="1"/>
        <v>137</v>
      </c>
      <c r="D5" s="107">
        <f t="shared" si="1"/>
        <v>103</v>
      </c>
      <c r="E5" s="107">
        <f t="shared" si="1"/>
        <v>111</v>
      </c>
      <c r="F5" s="107">
        <f t="shared" si="1"/>
        <v>139</v>
      </c>
      <c r="G5" s="107">
        <f t="shared" si="1"/>
        <v>173</v>
      </c>
      <c r="H5" s="107">
        <f t="shared" si="1"/>
        <v>197</v>
      </c>
      <c r="I5" s="107">
        <f t="shared" si="1"/>
        <v>302</v>
      </c>
      <c r="J5" s="107">
        <f t="shared" si="1"/>
        <v>309</v>
      </c>
      <c r="K5" s="107">
        <f t="shared" si="1"/>
        <v>326</v>
      </c>
      <c r="L5" s="107">
        <f t="shared" si="1"/>
        <v>282</v>
      </c>
      <c r="M5" s="107">
        <f t="shared" si="1"/>
        <v>248</v>
      </c>
      <c r="N5" s="107">
        <v>2430</v>
      </c>
    </row>
    <row r="6" spans="1:14">
      <c r="A6" s="64" t="s">
        <v>36</v>
      </c>
      <c r="B6" s="107">
        <f t="shared" ref="B6:M6" si="2">B351</f>
        <v>416</v>
      </c>
      <c r="C6" s="107">
        <f t="shared" si="2"/>
        <v>331</v>
      </c>
      <c r="D6" s="107">
        <f t="shared" si="2"/>
        <v>384</v>
      </c>
      <c r="E6" s="107">
        <f t="shared" si="2"/>
        <v>304</v>
      </c>
      <c r="F6" s="107">
        <f t="shared" si="2"/>
        <v>298</v>
      </c>
      <c r="G6" s="107">
        <f t="shared" si="2"/>
        <v>343</v>
      </c>
      <c r="H6" s="107">
        <f t="shared" si="2"/>
        <v>332</v>
      </c>
      <c r="I6" s="107">
        <f t="shared" si="2"/>
        <v>349</v>
      </c>
      <c r="J6" s="107">
        <f t="shared" si="2"/>
        <v>379</v>
      </c>
      <c r="K6" s="107">
        <f t="shared" si="2"/>
        <v>214</v>
      </c>
      <c r="L6" s="107">
        <f t="shared" si="2"/>
        <v>314</v>
      </c>
      <c r="M6" s="107">
        <f t="shared" si="2"/>
        <v>342</v>
      </c>
      <c r="N6" s="107">
        <v>4006</v>
      </c>
    </row>
    <row r="7" spans="1:14">
      <c r="A7" s="64" t="s">
        <v>37</v>
      </c>
      <c r="B7" s="107">
        <f t="shared" ref="B7:M7" si="3">B359</f>
        <v>516</v>
      </c>
      <c r="C7" s="107">
        <f t="shared" si="3"/>
        <v>394</v>
      </c>
      <c r="D7" s="107">
        <f t="shared" si="3"/>
        <v>531</v>
      </c>
      <c r="E7" s="107">
        <f t="shared" si="3"/>
        <v>585</v>
      </c>
      <c r="F7" s="107">
        <f t="shared" si="3"/>
        <v>682</v>
      </c>
      <c r="G7" s="107">
        <f t="shared" si="3"/>
        <v>503</v>
      </c>
      <c r="H7" s="107">
        <f t="shared" si="3"/>
        <v>579</v>
      </c>
      <c r="I7" s="107">
        <f t="shared" si="3"/>
        <v>684</v>
      </c>
      <c r="J7" s="107">
        <f t="shared" si="3"/>
        <v>529</v>
      </c>
      <c r="K7" s="107">
        <f t="shared" si="3"/>
        <v>594</v>
      </c>
      <c r="L7" s="107">
        <f t="shared" si="3"/>
        <v>611</v>
      </c>
      <c r="M7" s="107">
        <f t="shared" si="3"/>
        <v>655</v>
      </c>
      <c r="N7" s="107">
        <v>6863</v>
      </c>
    </row>
    <row r="8" spans="1:14">
      <c r="A8" s="64" t="s">
        <v>38</v>
      </c>
      <c r="B8" s="111">
        <f t="shared" ref="B8:M8" si="4">B364</f>
        <v>182</v>
      </c>
      <c r="C8" s="111">
        <f t="shared" si="4"/>
        <v>158</v>
      </c>
      <c r="D8" s="111">
        <f t="shared" si="4"/>
        <v>194</v>
      </c>
      <c r="E8" s="111">
        <f t="shared" si="4"/>
        <v>179</v>
      </c>
      <c r="F8" s="111">
        <f t="shared" si="4"/>
        <v>153</v>
      </c>
      <c r="G8" s="111">
        <f t="shared" si="4"/>
        <v>221</v>
      </c>
      <c r="H8" s="111">
        <f t="shared" si="4"/>
        <v>128</v>
      </c>
      <c r="I8" s="111">
        <f t="shared" si="4"/>
        <v>152</v>
      </c>
      <c r="J8" s="111">
        <f t="shared" si="4"/>
        <v>186</v>
      </c>
      <c r="K8" s="111">
        <f t="shared" si="4"/>
        <v>265</v>
      </c>
      <c r="L8" s="111">
        <f t="shared" si="4"/>
        <v>131</v>
      </c>
      <c r="M8" s="111">
        <f t="shared" si="4"/>
        <v>133</v>
      </c>
      <c r="N8" s="111">
        <v>2082</v>
      </c>
    </row>
    <row r="9" spans="1:14" ht="15.75" thickBot="1">
      <c r="A9" s="64" t="s">
        <v>39</v>
      </c>
      <c r="B9" s="112">
        <f t="shared" ref="B9:M9" si="5">B371</f>
        <v>2410</v>
      </c>
      <c r="C9" s="112">
        <f t="shared" si="5"/>
        <v>2175</v>
      </c>
      <c r="D9" s="112">
        <f t="shared" si="5"/>
        <v>2380</v>
      </c>
      <c r="E9" s="112">
        <f t="shared" si="5"/>
        <v>2361</v>
      </c>
      <c r="F9" s="112">
        <f t="shared" si="5"/>
        <v>2518</v>
      </c>
      <c r="G9" s="112">
        <f t="shared" si="5"/>
        <v>2553</v>
      </c>
      <c r="H9" s="112">
        <f t="shared" si="5"/>
        <v>2402</v>
      </c>
      <c r="I9" s="112">
        <f t="shared" si="5"/>
        <v>2744</v>
      </c>
      <c r="J9" s="112">
        <f t="shared" si="5"/>
        <v>2551</v>
      </c>
      <c r="K9" s="112">
        <f t="shared" si="5"/>
        <v>2607</v>
      </c>
      <c r="L9" s="112">
        <f t="shared" si="5"/>
        <v>2580</v>
      </c>
      <c r="M9" s="112">
        <f t="shared" si="5"/>
        <v>2749</v>
      </c>
      <c r="N9" s="112">
        <v>30030</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B68</f>
        <v>216032.78</v>
      </c>
      <c r="C14" s="107">
        <f t="shared" si="6"/>
        <v>206637.84</v>
      </c>
      <c r="D14" s="107">
        <f t="shared" si="6"/>
        <v>211110.68</v>
      </c>
      <c r="E14" s="107">
        <f t="shared" si="6"/>
        <v>216228.77</v>
      </c>
      <c r="F14" s="107">
        <f t="shared" si="6"/>
        <v>224179.3</v>
      </c>
      <c r="G14" s="107">
        <f t="shared" si="6"/>
        <v>234538.57</v>
      </c>
      <c r="H14" s="107">
        <f t="shared" si="6"/>
        <v>201270.16</v>
      </c>
      <c r="I14" s="107">
        <f t="shared" si="6"/>
        <v>217018.87</v>
      </c>
      <c r="J14" s="107">
        <f t="shared" si="6"/>
        <v>203404.25</v>
      </c>
      <c r="K14" s="107">
        <f t="shared" si="6"/>
        <v>223126.99</v>
      </c>
      <c r="L14" s="107">
        <f t="shared" si="6"/>
        <v>232961.53</v>
      </c>
      <c r="M14" s="107">
        <f t="shared" si="6"/>
        <v>255140.01</v>
      </c>
      <c r="N14" s="107">
        <v>2641649.75</v>
      </c>
    </row>
    <row r="15" spans="1:14">
      <c r="A15" s="64" t="s">
        <v>35</v>
      </c>
      <c r="B15" s="107">
        <f t="shared" ref="B15:M15" si="7">B72</f>
        <v>19067.07</v>
      </c>
      <c r="C15" s="107">
        <f t="shared" si="7"/>
        <v>26780.29</v>
      </c>
      <c r="D15" s="107">
        <f t="shared" si="7"/>
        <v>19110.490000000002</v>
      </c>
      <c r="E15" s="107">
        <f t="shared" si="7"/>
        <v>20187.27</v>
      </c>
      <c r="F15" s="107">
        <f t="shared" si="7"/>
        <v>25870.63</v>
      </c>
      <c r="G15" s="107">
        <f t="shared" si="7"/>
        <v>29245.599999999999</v>
      </c>
      <c r="H15" s="107">
        <f t="shared" si="7"/>
        <v>32938.410000000003</v>
      </c>
      <c r="I15" s="107">
        <f t="shared" si="7"/>
        <v>48373.760000000002</v>
      </c>
      <c r="J15" s="107">
        <f t="shared" si="7"/>
        <v>50068.68</v>
      </c>
      <c r="K15" s="107">
        <f t="shared" si="7"/>
        <v>54172.99</v>
      </c>
      <c r="L15" s="107">
        <f t="shared" si="7"/>
        <v>44552.55</v>
      </c>
      <c r="M15" s="107">
        <f t="shared" si="7"/>
        <v>36382.050000000003</v>
      </c>
      <c r="N15" s="107">
        <v>406749.79</v>
      </c>
    </row>
    <row r="16" spans="1:14">
      <c r="A16" s="64" t="s">
        <v>36</v>
      </c>
      <c r="B16" s="107">
        <f t="shared" ref="B16:M16" si="8">B76</f>
        <v>241430.3</v>
      </c>
      <c r="C16" s="107">
        <f t="shared" si="8"/>
        <v>192807.46</v>
      </c>
      <c r="D16" s="107">
        <f t="shared" si="8"/>
        <v>238970.64</v>
      </c>
      <c r="E16" s="107">
        <f t="shared" si="8"/>
        <v>183147.66</v>
      </c>
      <c r="F16" s="107">
        <f t="shared" si="8"/>
        <v>186582.97</v>
      </c>
      <c r="G16" s="107">
        <f t="shared" si="8"/>
        <v>227341.36</v>
      </c>
      <c r="H16" s="107">
        <f t="shared" si="8"/>
        <v>216761.83</v>
      </c>
      <c r="I16" s="107">
        <f t="shared" si="8"/>
        <v>217790.69</v>
      </c>
      <c r="J16" s="107">
        <f t="shared" si="8"/>
        <v>228854.39</v>
      </c>
      <c r="K16" s="107">
        <f t="shared" si="8"/>
        <v>129725.44</v>
      </c>
      <c r="L16" s="107">
        <f t="shared" si="8"/>
        <v>202282.08</v>
      </c>
      <c r="M16" s="107">
        <f t="shared" si="8"/>
        <v>212561.7</v>
      </c>
      <c r="N16" s="107">
        <v>2478256.52</v>
      </c>
    </row>
    <row r="17" spans="1:14">
      <c r="A17" s="64" t="s">
        <v>37</v>
      </c>
      <c r="B17" s="107">
        <f t="shared" ref="B17:M17" si="9">B83</f>
        <v>232470.33</v>
      </c>
      <c r="C17" s="107">
        <f t="shared" si="9"/>
        <v>180716.21</v>
      </c>
      <c r="D17" s="107">
        <f t="shared" si="9"/>
        <v>219596.7</v>
      </c>
      <c r="E17" s="107">
        <f t="shared" si="9"/>
        <v>254120.81</v>
      </c>
      <c r="F17" s="107">
        <f t="shared" si="9"/>
        <v>305540.96999999997</v>
      </c>
      <c r="G17" s="107">
        <f t="shared" si="9"/>
        <v>232110.36</v>
      </c>
      <c r="H17" s="107">
        <f t="shared" si="9"/>
        <v>288771.71000000002</v>
      </c>
      <c r="I17" s="107">
        <f t="shared" si="9"/>
        <v>336506.7</v>
      </c>
      <c r="J17" s="107">
        <f t="shared" si="9"/>
        <v>261754.39</v>
      </c>
      <c r="K17" s="107">
        <f t="shared" si="9"/>
        <v>287209.42</v>
      </c>
      <c r="L17" s="107">
        <f t="shared" si="9"/>
        <v>270583.32</v>
      </c>
      <c r="M17" s="107">
        <f t="shared" si="9"/>
        <v>294451.59000000003</v>
      </c>
      <c r="N17" s="107">
        <v>3163832.51</v>
      </c>
    </row>
    <row r="18" spans="1:14">
      <c r="A18" s="64" t="s">
        <v>38</v>
      </c>
      <c r="B18" s="111">
        <f t="shared" ref="B18:M18" si="10">B87</f>
        <v>31850</v>
      </c>
      <c r="C18" s="111">
        <f t="shared" si="10"/>
        <v>27650</v>
      </c>
      <c r="D18" s="111">
        <f t="shared" si="10"/>
        <v>33950</v>
      </c>
      <c r="E18" s="111">
        <f t="shared" si="10"/>
        <v>31325</v>
      </c>
      <c r="F18" s="111">
        <f t="shared" si="10"/>
        <v>26775</v>
      </c>
      <c r="G18" s="111">
        <f t="shared" si="10"/>
        <v>40443</v>
      </c>
      <c r="H18" s="111">
        <f t="shared" si="10"/>
        <v>23424</v>
      </c>
      <c r="I18" s="111">
        <f t="shared" si="10"/>
        <v>27816</v>
      </c>
      <c r="J18" s="111">
        <f t="shared" si="10"/>
        <v>34038</v>
      </c>
      <c r="K18" s="111">
        <f t="shared" si="10"/>
        <v>48495</v>
      </c>
      <c r="L18" s="111">
        <f t="shared" si="10"/>
        <v>23973</v>
      </c>
      <c r="M18" s="111">
        <f t="shared" si="10"/>
        <v>24339</v>
      </c>
      <c r="N18" s="111">
        <v>374078</v>
      </c>
    </row>
    <row r="19" spans="1:14">
      <c r="A19" s="64" t="s">
        <v>42</v>
      </c>
      <c r="B19" s="107">
        <f t="shared" ref="B19:M19" si="11">B89</f>
        <v>740850.4800000001</v>
      </c>
      <c r="C19" s="107">
        <f t="shared" si="11"/>
        <v>634591.79999999981</v>
      </c>
      <c r="D19" s="107">
        <f t="shared" si="11"/>
        <v>722738.51</v>
      </c>
      <c r="E19" s="107">
        <f t="shared" si="11"/>
        <v>705009.51</v>
      </c>
      <c r="F19" s="107">
        <f t="shared" si="11"/>
        <v>768948.87000000011</v>
      </c>
      <c r="G19" s="107">
        <f t="shared" si="11"/>
        <v>763678.88999999966</v>
      </c>
      <c r="H19" s="107">
        <f t="shared" si="11"/>
        <v>763166.1100000001</v>
      </c>
      <c r="I19" s="107">
        <f t="shared" si="11"/>
        <v>847506.02</v>
      </c>
      <c r="J19" s="107">
        <f t="shared" si="11"/>
        <v>778119.71000000008</v>
      </c>
      <c r="K19" s="107">
        <f t="shared" si="11"/>
        <v>742729.83999999985</v>
      </c>
      <c r="L19" s="107">
        <f t="shared" si="11"/>
        <v>774352.47999999975</v>
      </c>
      <c r="M19" s="107">
        <f t="shared" si="11"/>
        <v>822874.35000000009</v>
      </c>
      <c r="N19" s="107">
        <v>9064566.5700000003</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M22" si="12">B95</f>
        <v>7126.05</v>
      </c>
      <c r="C22" s="107">
        <f t="shared" si="12"/>
        <v>-29822.7</v>
      </c>
      <c r="D22" s="107">
        <f t="shared" si="12"/>
        <v>5006.84</v>
      </c>
      <c r="E22" s="107">
        <f t="shared" si="12"/>
        <v>2983.59</v>
      </c>
      <c r="F22" s="107">
        <f t="shared" si="12"/>
        <v>6493.68</v>
      </c>
      <c r="G22" s="107">
        <f t="shared" si="12"/>
        <v>-13361.33</v>
      </c>
      <c r="H22" s="107">
        <f t="shared" si="12"/>
        <v>7473.08</v>
      </c>
      <c r="I22" s="107">
        <f t="shared" si="12"/>
        <v>1924.8</v>
      </c>
      <c r="J22" s="107">
        <f t="shared" si="12"/>
        <v>49811.98</v>
      </c>
      <c r="K22" s="107">
        <f t="shared" si="12"/>
        <v>21850.61</v>
      </c>
      <c r="L22" s="107">
        <f t="shared" si="12"/>
        <v>-5499.88</v>
      </c>
      <c r="M22" s="107">
        <f t="shared" si="12"/>
        <v>152.01</v>
      </c>
      <c r="N22" s="107">
        <v>54138.73</v>
      </c>
    </row>
    <row r="23" spans="1:14">
      <c r="A23" s="64" t="s">
        <v>35</v>
      </c>
      <c r="B23" s="107">
        <f>B99</f>
        <v>-3176.23</v>
      </c>
      <c r="C23" s="107">
        <f>C99</f>
        <v>373</v>
      </c>
      <c r="D23" s="107">
        <f>D99</f>
        <v>9056.94</v>
      </c>
      <c r="E23" s="107"/>
      <c r="F23" s="107"/>
      <c r="G23" s="107"/>
      <c r="H23" s="107"/>
      <c r="I23" s="107">
        <f>I99</f>
        <v>-4123.2</v>
      </c>
      <c r="J23" s="107">
        <f>J99</f>
        <v>1194</v>
      </c>
      <c r="K23" s="107">
        <f>K99</f>
        <v>-4447.79</v>
      </c>
      <c r="L23" s="107"/>
      <c r="M23" s="107"/>
      <c r="N23" s="107">
        <v>-1123.28</v>
      </c>
    </row>
    <row r="24" spans="1:14">
      <c r="A24" s="64" t="s">
        <v>36</v>
      </c>
      <c r="B24" s="107">
        <f t="shared" ref="B24:M24" si="13">B103</f>
        <v>1515.26</v>
      </c>
      <c r="C24" s="107">
        <f t="shared" si="13"/>
        <v>-7684.05</v>
      </c>
      <c r="D24" s="107">
        <f t="shared" si="13"/>
        <v>-481.32</v>
      </c>
      <c r="E24" s="107">
        <f t="shared" si="13"/>
        <v>-11962.69</v>
      </c>
      <c r="F24" s="107">
        <f t="shared" si="13"/>
        <v>-1458.02</v>
      </c>
      <c r="G24" s="107">
        <f t="shared" si="13"/>
        <v>-712.67</v>
      </c>
      <c r="H24" s="107">
        <f t="shared" si="13"/>
        <v>5582.97</v>
      </c>
      <c r="I24" s="107">
        <f t="shared" si="13"/>
        <v>38658.61</v>
      </c>
      <c r="J24" s="107">
        <f t="shared" si="13"/>
        <v>-11054.17</v>
      </c>
      <c r="K24" s="107">
        <f t="shared" si="13"/>
        <v>-44489.16</v>
      </c>
      <c r="L24" s="107">
        <f t="shared" si="13"/>
        <v>140.35</v>
      </c>
      <c r="M24" s="107">
        <f t="shared" si="13"/>
        <v>1438.03</v>
      </c>
      <c r="N24" s="107">
        <v>-30506.86</v>
      </c>
    </row>
    <row r="25" spans="1:14">
      <c r="A25" s="64" t="s">
        <v>37</v>
      </c>
      <c r="B25" s="107">
        <f t="shared" ref="B25:M25" si="14">B110</f>
        <v>-351</v>
      </c>
      <c r="C25" s="107">
        <f t="shared" si="14"/>
        <v>-2946.61</v>
      </c>
      <c r="D25" s="107">
        <f t="shared" si="14"/>
        <v>-7680.46</v>
      </c>
      <c r="E25" s="107">
        <f t="shared" si="14"/>
        <v>1178.71</v>
      </c>
      <c r="F25" s="107">
        <f t="shared" si="14"/>
        <v>23909.88</v>
      </c>
      <c r="G25" s="107">
        <f t="shared" si="14"/>
        <v>-282.86</v>
      </c>
      <c r="H25" s="107">
        <f t="shared" si="14"/>
        <v>-1532.26</v>
      </c>
      <c r="I25" s="107">
        <f t="shared" si="14"/>
        <v>79583.259999999995</v>
      </c>
      <c r="J25" s="107">
        <f t="shared" si="14"/>
        <v>16927.88</v>
      </c>
      <c r="K25" s="107">
        <f t="shared" si="14"/>
        <v>30480.39</v>
      </c>
      <c r="L25" s="107">
        <f t="shared" si="14"/>
        <v>8774.7199999999993</v>
      </c>
      <c r="M25" s="107">
        <f t="shared" si="14"/>
        <v>4492.2</v>
      </c>
      <c r="N25" s="107">
        <v>152553.85</v>
      </c>
    </row>
    <row r="26" spans="1:14">
      <c r="A26" s="64" t="s">
        <v>38</v>
      </c>
      <c r="B26" s="111">
        <f>B114</f>
        <v>-2275</v>
      </c>
      <c r="C26" s="111">
        <f>C114</f>
        <v>26425</v>
      </c>
      <c r="D26" s="111">
        <f>D114</f>
        <v>-2275</v>
      </c>
      <c r="E26" s="111"/>
      <c r="F26" s="111">
        <f>F114</f>
        <v>3150</v>
      </c>
      <c r="G26" s="111">
        <f>G114</f>
        <v>8925</v>
      </c>
      <c r="H26" s="111">
        <f>H114</f>
        <v>-8998</v>
      </c>
      <c r="I26" s="111"/>
      <c r="J26" s="111">
        <f>J114</f>
        <v>-45695</v>
      </c>
      <c r="K26" s="111">
        <f>K114</f>
        <v>-14119</v>
      </c>
      <c r="L26" s="111">
        <f>L114</f>
        <v>6898</v>
      </c>
      <c r="M26" s="111"/>
      <c r="N26" s="111">
        <v>-27964</v>
      </c>
    </row>
    <row r="27" spans="1:14">
      <c r="A27" s="64" t="s">
        <v>44</v>
      </c>
      <c r="B27" s="107">
        <f t="shared" ref="B27:M27" si="15">B116</f>
        <v>2839.0800000000017</v>
      </c>
      <c r="C27" s="107">
        <f t="shared" si="15"/>
        <v>-13655.36</v>
      </c>
      <c r="D27" s="107">
        <f t="shared" si="15"/>
        <v>3627.0000000000064</v>
      </c>
      <c r="E27" s="107">
        <f t="shared" si="15"/>
        <v>-7800.3900000000021</v>
      </c>
      <c r="F27" s="107">
        <f t="shared" si="15"/>
        <v>32095.539999999994</v>
      </c>
      <c r="G27" s="107">
        <f t="shared" si="15"/>
        <v>-5431.8599999999969</v>
      </c>
      <c r="H27" s="107">
        <f t="shared" si="15"/>
        <v>2525.7900000000054</v>
      </c>
      <c r="I27" s="107">
        <f t="shared" si="15"/>
        <v>116043.47000000004</v>
      </c>
      <c r="J27" s="107">
        <f t="shared" si="15"/>
        <v>11184.690000000017</v>
      </c>
      <c r="K27" s="107">
        <f t="shared" si="15"/>
        <v>-10724.950000000004</v>
      </c>
      <c r="L27" s="107">
        <f t="shared" si="15"/>
        <v>10313.190000000002</v>
      </c>
      <c r="M27" s="107">
        <f t="shared" si="15"/>
        <v>6082.2399999999989</v>
      </c>
      <c r="N27" s="107">
        <v>147098.44</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46</v>
      </c>
      <c r="B30" s="107">
        <f t="shared" ref="B30:M30" si="16">B143</f>
        <v>9986.0800000000017</v>
      </c>
      <c r="C30" s="107">
        <f t="shared" si="16"/>
        <v>9072.51</v>
      </c>
      <c r="D30" s="107">
        <f t="shared" si="16"/>
        <v>1489.62</v>
      </c>
      <c r="E30" s="107">
        <f t="shared" si="16"/>
        <v>-2506.44</v>
      </c>
      <c r="F30" s="107">
        <f t="shared" si="16"/>
        <v>823.13000000000011</v>
      </c>
      <c r="G30" s="107">
        <f t="shared" si="16"/>
        <v>1021.1700000000001</v>
      </c>
      <c r="H30" s="107">
        <f t="shared" si="16"/>
        <v>907.92999999999984</v>
      </c>
      <c r="I30" s="107">
        <f t="shared" si="16"/>
        <v>5624.1299999999992</v>
      </c>
      <c r="J30" s="107">
        <f t="shared" si="16"/>
        <v>8024.33</v>
      </c>
      <c r="K30" s="107">
        <f t="shared" si="16"/>
        <v>7196.76</v>
      </c>
      <c r="L30" s="107">
        <f t="shared" si="16"/>
        <v>6778.3799999999992</v>
      </c>
      <c r="M30" s="107">
        <f t="shared" si="16"/>
        <v>456.53999999999996</v>
      </c>
      <c r="N30" s="107">
        <v>48874.14</v>
      </c>
    </row>
    <row r="31" spans="1:14">
      <c r="A31" s="64" t="s">
        <v>37</v>
      </c>
      <c r="B31" s="107">
        <f t="shared" ref="B31:M31" si="17">B156</f>
        <v>4022.1199999999953</v>
      </c>
      <c r="C31" s="107">
        <f t="shared" si="17"/>
        <v>6255.0899999999965</v>
      </c>
      <c r="D31" s="107">
        <f t="shared" si="17"/>
        <v>12151.039999999979</v>
      </c>
      <c r="E31" s="107">
        <f t="shared" si="17"/>
        <v>10875.219999999972</v>
      </c>
      <c r="F31" s="107">
        <f t="shared" si="17"/>
        <v>4749.7799999999697</v>
      </c>
      <c r="G31" s="107">
        <f t="shared" si="17"/>
        <v>12713.779999999999</v>
      </c>
      <c r="H31" s="107">
        <f t="shared" si="17"/>
        <v>4593.1100000000151</v>
      </c>
      <c r="I31" s="107">
        <f t="shared" si="17"/>
        <v>4044.0200000000186</v>
      </c>
      <c r="J31" s="107">
        <f t="shared" si="17"/>
        <v>10777.969999999972</v>
      </c>
      <c r="K31" s="107">
        <f t="shared" si="17"/>
        <v>28950.379999999976</v>
      </c>
      <c r="L31" s="107">
        <f t="shared" si="17"/>
        <v>-3411.9100000000035</v>
      </c>
      <c r="M31" s="107">
        <f t="shared" si="17"/>
        <v>6294.2299999999814</v>
      </c>
      <c r="N31" s="107">
        <v>102014.83</v>
      </c>
    </row>
    <row r="32" spans="1:14">
      <c r="A32" s="64" t="s">
        <v>38</v>
      </c>
      <c r="B32" s="111"/>
      <c r="C32" s="111"/>
      <c r="D32" s="111"/>
      <c r="E32" s="111"/>
      <c r="F32" s="111"/>
      <c r="G32" s="111">
        <f>G166</f>
        <v>1232</v>
      </c>
      <c r="H32" s="111"/>
      <c r="I32" s="111"/>
      <c r="J32" s="111"/>
      <c r="K32" s="111">
        <f>K166</f>
        <v>2995</v>
      </c>
      <c r="L32" s="111">
        <f>L166</f>
        <v>-760</v>
      </c>
      <c r="M32" s="111">
        <f>M166</f>
        <v>-1180</v>
      </c>
      <c r="N32" s="111">
        <v>2287</v>
      </c>
    </row>
    <row r="33" spans="1:14">
      <c r="A33" s="64" t="s">
        <v>47</v>
      </c>
      <c r="B33" s="107">
        <f t="shared" ref="B33:M33" si="18">B168</f>
        <v>14008.200000000026</v>
      </c>
      <c r="C33" s="107">
        <f t="shared" si="18"/>
        <v>15327.599999999984</v>
      </c>
      <c r="D33" s="107">
        <f t="shared" si="18"/>
        <v>13640.66</v>
      </c>
      <c r="E33" s="107">
        <f t="shared" si="18"/>
        <v>8368.7799999999661</v>
      </c>
      <c r="F33" s="107">
        <f t="shared" si="18"/>
        <v>5572.909999999978</v>
      </c>
      <c r="G33" s="107">
        <f t="shared" si="18"/>
        <v>14966.949999999997</v>
      </c>
      <c r="H33" s="107">
        <f t="shared" si="18"/>
        <v>5501.0400000000009</v>
      </c>
      <c r="I33" s="107">
        <f t="shared" si="18"/>
        <v>9668.15</v>
      </c>
      <c r="J33" s="107">
        <f t="shared" si="18"/>
        <v>18802.300000000003</v>
      </c>
      <c r="K33" s="107">
        <f t="shared" si="18"/>
        <v>39142.13999999997</v>
      </c>
      <c r="L33" s="107">
        <f t="shared" si="18"/>
        <v>2606.4699999999775</v>
      </c>
      <c r="M33" s="107">
        <f t="shared" si="18"/>
        <v>5570.7699999999677</v>
      </c>
      <c r="N33" s="107">
        <v>153175.97</v>
      </c>
    </row>
    <row r="34" spans="1:14">
      <c r="A34" s="64"/>
      <c r="B34" s="22"/>
      <c r="C34" s="22"/>
      <c r="D34" s="22"/>
      <c r="E34" s="22"/>
      <c r="F34" s="22"/>
      <c r="G34" s="22"/>
      <c r="H34" s="22"/>
      <c r="I34" s="22"/>
      <c r="J34" s="22"/>
      <c r="K34" s="22"/>
      <c r="L34" s="22"/>
      <c r="M34" s="22"/>
      <c r="N34" s="22"/>
    </row>
    <row r="35" spans="1:14">
      <c r="A35" s="64" t="s">
        <v>48</v>
      </c>
      <c r="B35" s="107">
        <f t="shared" ref="B35:M35" si="19">B178</f>
        <v>43949.56</v>
      </c>
      <c r="C35" s="107">
        <f t="shared" si="19"/>
        <v>71301.38</v>
      </c>
      <c r="D35" s="107">
        <f t="shared" si="19"/>
        <v>51991.31</v>
      </c>
      <c r="E35" s="107">
        <f t="shared" si="19"/>
        <v>51712.69</v>
      </c>
      <c r="F35" s="107">
        <f t="shared" si="19"/>
        <v>413783.5</v>
      </c>
      <c r="G35" s="107">
        <f t="shared" si="19"/>
        <v>31395.329999999998</v>
      </c>
      <c r="H35" s="107">
        <f t="shared" si="19"/>
        <v>31995.29</v>
      </c>
      <c r="I35" s="107">
        <f t="shared" si="19"/>
        <v>50334.11</v>
      </c>
      <c r="J35" s="107">
        <f t="shared" si="19"/>
        <v>48110.71</v>
      </c>
      <c r="K35" s="107">
        <f t="shared" si="19"/>
        <v>40923.1</v>
      </c>
      <c r="L35" s="107">
        <f t="shared" si="19"/>
        <v>36878.120000000003</v>
      </c>
      <c r="M35" s="107">
        <f t="shared" si="19"/>
        <v>38184.39</v>
      </c>
      <c r="N35" s="107">
        <v>910559.49</v>
      </c>
    </row>
    <row r="36" spans="1:14">
      <c r="A36" s="64"/>
      <c r="B36" s="22"/>
      <c r="C36" s="22"/>
      <c r="D36" s="22"/>
      <c r="E36" s="22"/>
      <c r="F36" s="22"/>
      <c r="G36" s="22"/>
      <c r="H36" s="22"/>
      <c r="I36" s="22"/>
      <c r="J36" s="22"/>
      <c r="K36" s="22"/>
      <c r="L36" s="22"/>
      <c r="M36" s="22"/>
      <c r="N36" s="22"/>
    </row>
    <row r="37" spans="1:14" ht="15.75" thickBot="1">
      <c r="A37" s="64" t="s">
        <v>13</v>
      </c>
      <c r="B37" s="112">
        <f t="shared" ref="B37:M37" si="20">B180</f>
        <v>801647.320000001</v>
      </c>
      <c r="C37" s="112">
        <f t="shared" si="20"/>
        <v>707565.41999999958</v>
      </c>
      <c r="D37" s="112">
        <f t="shared" si="20"/>
        <v>791997.48000000045</v>
      </c>
      <c r="E37" s="112">
        <f t="shared" si="20"/>
        <v>757290.58999999962</v>
      </c>
      <c r="F37" s="112">
        <f t="shared" si="20"/>
        <v>1220400.82</v>
      </c>
      <c r="G37" s="112">
        <f t="shared" si="20"/>
        <v>804609.30999999936</v>
      </c>
      <c r="H37" s="112">
        <f t="shared" si="20"/>
        <v>803188.2300000008</v>
      </c>
      <c r="I37" s="112">
        <f t="shared" si="20"/>
        <v>1023551.7499999978</v>
      </c>
      <c r="J37" s="112">
        <f t="shared" si="20"/>
        <v>856217.4099999991</v>
      </c>
      <c r="K37" s="112">
        <f t="shared" si="20"/>
        <v>812070.12999999896</v>
      </c>
      <c r="L37" s="112">
        <f t="shared" si="20"/>
        <v>824150.26000000129</v>
      </c>
      <c r="M37" s="112">
        <f t="shared" si="20"/>
        <v>872711.74999999965</v>
      </c>
      <c r="N37" s="112">
        <v>10275400.470000001</v>
      </c>
    </row>
    <row r="38" spans="1:14" ht="15.75" thickTop="1">
      <c r="A38" s="64"/>
      <c r="B38" s="22"/>
      <c r="C38" s="22"/>
      <c r="D38" s="22"/>
      <c r="E38" s="22"/>
      <c r="F38" s="22"/>
      <c r="G38" s="22"/>
      <c r="H38" s="22"/>
      <c r="I38" s="22"/>
      <c r="J38" s="22"/>
      <c r="K38" s="22"/>
      <c r="L38" s="22"/>
      <c r="M38" s="22"/>
      <c r="N38" s="22"/>
    </row>
    <row r="39" spans="1:14">
      <c r="A39" s="64" t="s">
        <v>14</v>
      </c>
      <c r="B39" s="22"/>
      <c r="C39" s="22"/>
      <c r="D39" s="22"/>
      <c r="E39" s="22"/>
      <c r="F39" s="22"/>
      <c r="G39" s="22"/>
      <c r="H39" s="22"/>
      <c r="I39" s="22"/>
      <c r="J39" s="22"/>
      <c r="K39" s="22"/>
      <c r="L39" s="22"/>
      <c r="M39" s="22"/>
      <c r="N39" s="22"/>
    </row>
    <row r="40" spans="1:14">
      <c r="A40" s="64" t="s">
        <v>49</v>
      </c>
      <c r="B40" s="107">
        <f t="shared" ref="B40:M40" si="21">B201</f>
        <v>261968</v>
      </c>
      <c r="C40" s="107">
        <f t="shared" si="21"/>
        <v>247094.22999999998</v>
      </c>
      <c r="D40" s="107">
        <f t="shared" si="21"/>
        <v>254348.01</v>
      </c>
      <c r="E40" s="107">
        <f t="shared" si="21"/>
        <v>259400.44999999998</v>
      </c>
      <c r="F40" s="107">
        <f t="shared" si="21"/>
        <v>253602.54999999996</v>
      </c>
      <c r="G40" s="107">
        <f t="shared" si="21"/>
        <v>269940.27999999997</v>
      </c>
      <c r="H40" s="107">
        <f t="shared" si="21"/>
        <v>245727.55</v>
      </c>
      <c r="I40" s="107">
        <f t="shared" si="21"/>
        <v>307877.15999999992</v>
      </c>
      <c r="J40" s="107">
        <f t="shared" si="21"/>
        <v>273321.69999999995</v>
      </c>
      <c r="K40" s="107">
        <f t="shared" si="21"/>
        <v>271316.55</v>
      </c>
      <c r="L40" s="107">
        <f t="shared" si="21"/>
        <v>308984.93000000005</v>
      </c>
      <c r="M40" s="107">
        <f t="shared" si="21"/>
        <v>279505.45</v>
      </c>
      <c r="N40" s="107">
        <v>3233086.86</v>
      </c>
    </row>
    <row r="41" spans="1:14">
      <c r="A41" s="64" t="s">
        <v>50</v>
      </c>
      <c r="B41" s="107">
        <f>B208</f>
        <v>12554.59</v>
      </c>
      <c r="C41" s="107">
        <f>C208</f>
        <v>28868.09</v>
      </c>
      <c r="D41" s="107">
        <f>D208</f>
        <v>17264.18</v>
      </c>
      <c r="E41" s="107">
        <f>E208</f>
        <v>16994.28</v>
      </c>
      <c r="F41" s="107">
        <f>F208</f>
        <v>-138022.75999999998</v>
      </c>
      <c r="G41" s="107"/>
      <c r="H41" s="107"/>
      <c r="I41" s="107"/>
      <c r="J41" s="107"/>
      <c r="K41" s="107"/>
      <c r="L41" s="107"/>
      <c r="M41" s="107"/>
      <c r="N41" s="107">
        <v>-62341.62</v>
      </c>
    </row>
    <row r="42" spans="1:14">
      <c r="A42" s="64" t="s">
        <v>51</v>
      </c>
      <c r="B42" s="107">
        <f t="shared" ref="B42:M42" si="22">B219</f>
        <v>38190.469999999994</v>
      </c>
      <c r="C42" s="107">
        <f t="shared" si="22"/>
        <v>42983.26</v>
      </c>
      <c r="D42" s="107">
        <f t="shared" si="22"/>
        <v>43911.110000000008</v>
      </c>
      <c r="E42" s="107">
        <f t="shared" si="22"/>
        <v>40899.199999999997</v>
      </c>
      <c r="F42" s="107">
        <f t="shared" si="22"/>
        <v>53263.92</v>
      </c>
      <c r="G42" s="107">
        <f t="shared" si="22"/>
        <v>44380.18</v>
      </c>
      <c r="H42" s="107">
        <f t="shared" si="22"/>
        <v>57063.400000000009</v>
      </c>
      <c r="I42" s="107">
        <f t="shared" si="22"/>
        <v>63785.95</v>
      </c>
      <c r="J42" s="107">
        <f t="shared" si="22"/>
        <v>44422.2</v>
      </c>
      <c r="K42" s="107">
        <f t="shared" si="22"/>
        <v>58068.69</v>
      </c>
      <c r="L42" s="107">
        <f t="shared" si="22"/>
        <v>32922.43</v>
      </c>
      <c r="M42" s="107">
        <f t="shared" si="22"/>
        <v>55045.420000000006</v>
      </c>
      <c r="N42" s="107">
        <v>574936.23</v>
      </c>
    </row>
    <row r="43" spans="1:14">
      <c r="A43" s="64" t="s">
        <v>52</v>
      </c>
      <c r="B43" s="107">
        <f t="shared" ref="B43:M43" si="23">B235</f>
        <v>110827.46</v>
      </c>
      <c r="C43" s="107">
        <f t="shared" si="23"/>
        <v>109009.42</v>
      </c>
      <c r="D43" s="107">
        <f t="shared" si="23"/>
        <v>110898.23000000001</v>
      </c>
      <c r="E43" s="107">
        <f t="shared" si="23"/>
        <v>114630.32999999999</v>
      </c>
      <c r="F43" s="107">
        <f t="shared" si="23"/>
        <v>120716.22</v>
      </c>
      <c r="G43" s="107">
        <f t="shared" si="23"/>
        <v>113597.34</v>
      </c>
      <c r="H43" s="107">
        <f t="shared" si="23"/>
        <v>98782.170000000013</v>
      </c>
      <c r="I43" s="107">
        <f t="shared" si="23"/>
        <v>153390.67000000001</v>
      </c>
      <c r="J43" s="107">
        <f t="shared" si="23"/>
        <v>133300.33000000002</v>
      </c>
      <c r="K43" s="107">
        <f t="shared" si="23"/>
        <v>147621.28</v>
      </c>
      <c r="L43" s="107">
        <f t="shared" si="23"/>
        <v>108503.24999999999</v>
      </c>
      <c r="M43" s="107">
        <f t="shared" si="23"/>
        <v>115469.14</v>
      </c>
      <c r="N43" s="107">
        <v>1436745.84</v>
      </c>
    </row>
    <row r="44" spans="1:14">
      <c r="A44" s="64" t="s">
        <v>53</v>
      </c>
      <c r="B44" s="107">
        <f t="shared" ref="B44:M44" si="24">B261</f>
        <v>155500.22</v>
      </c>
      <c r="C44" s="107">
        <f t="shared" si="24"/>
        <v>136121.16999999998</v>
      </c>
      <c r="D44" s="107">
        <f t="shared" si="24"/>
        <v>168418.77</v>
      </c>
      <c r="E44" s="107">
        <f t="shared" si="24"/>
        <v>137646.51</v>
      </c>
      <c r="F44" s="107">
        <f t="shared" si="24"/>
        <v>303473.98</v>
      </c>
      <c r="G44" s="107">
        <f t="shared" si="24"/>
        <v>144141.47000000003</v>
      </c>
      <c r="H44" s="107">
        <f t="shared" si="24"/>
        <v>152302.81</v>
      </c>
      <c r="I44" s="107">
        <f t="shared" si="24"/>
        <v>170278.52000000002</v>
      </c>
      <c r="J44" s="107">
        <f t="shared" si="24"/>
        <v>156170.79999999999</v>
      </c>
      <c r="K44" s="107">
        <f t="shared" si="24"/>
        <v>159994.12999999998</v>
      </c>
      <c r="L44" s="107">
        <f t="shared" si="24"/>
        <v>161496.07</v>
      </c>
      <c r="M44" s="107">
        <f t="shared" si="24"/>
        <v>170631.59</v>
      </c>
      <c r="N44" s="107">
        <v>2016176.04</v>
      </c>
    </row>
    <row r="45" spans="1:14">
      <c r="A45" s="64" t="s">
        <v>54</v>
      </c>
      <c r="B45" s="107">
        <f t="shared" ref="B45:M45" si="25">B278</f>
        <v>15951.190000000002</v>
      </c>
      <c r="C45" s="107">
        <f t="shared" si="25"/>
        <v>11766.249999999998</v>
      </c>
      <c r="D45" s="107">
        <f t="shared" si="25"/>
        <v>9997.6699999999983</v>
      </c>
      <c r="E45" s="107">
        <f t="shared" si="25"/>
        <v>15090.890000000001</v>
      </c>
      <c r="F45" s="107">
        <f t="shared" si="25"/>
        <v>13327.780000000002</v>
      </c>
      <c r="G45" s="107">
        <f t="shared" si="25"/>
        <v>17538.309999999998</v>
      </c>
      <c r="H45" s="107">
        <f t="shared" si="25"/>
        <v>13507.3</v>
      </c>
      <c r="I45" s="107">
        <f t="shared" si="25"/>
        <v>15380.3</v>
      </c>
      <c r="J45" s="107">
        <f t="shared" si="25"/>
        <v>12380.560000000001</v>
      </c>
      <c r="K45" s="107">
        <f t="shared" si="25"/>
        <v>20203.61</v>
      </c>
      <c r="L45" s="107">
        <f t="shared" si="25"/>
        <v>16617.88</v>
      </c>
      <c r="M45" s="107">
        <f t="shared" si="25"/>
        <v>12214.089999999998</v>
      </c>
      <c r="N45" s="107">
        <v>173975.83</v>
      </c>
    </row>
    <row r="46" spans="1:14">
      <c r="A46" s="64" t="s">
        <v>55</v>
      </c>
      <c r="B46" s="107">
        <f t="shared" ref="B46:M46" si="26">B285</f>
        <v>11015.970000000001</v>
      </c>
      <c r="C46" s="107">
        <f t="shared" si="26"/>
        <v>17018.049999999996</v>
      </c>
      <c r="D46" s="107">
        <f t="shared" si="26"/>
        <v>6427.47</v>
      </c>
      <c r="E46" s="107">
        <f t="shared" si="26"/>
        <v>6876.69</v>
      </c>
      <c r="F46" s="107">
        <f t="shared" si="26"/>
        <v>20569.809999999998</v>
      </c>
      <c r="G46" s="107">
        <f t="shared" si="26"/>
        <v>10487.48</v>
      </c>
      <c r="H46" s="107">
        <f t="shared" si="26"/>
        <v>12990.460000000001</v>
      </c>
      <c r="I46" s="107">
        <f t="shared" si="26"/>
        <v>9886.49</v>
      </c>
      <c r="J46" s="107">
        <f t="shared" si="26"/>
        <v>2670.3199999999997</v>
      </c>
      <c r="K46" s="107">
        <f t="shared" si="26"/>
        <v>60020.04</v>
      </c>
      <c r="L46" s="107">
        <f t="shared" si="26"/>
        <v>24524.9</v>
      </c>
      <c r="M46" s="107">
        <f t="shared" si="26"/>
        <v>21464.550000000003</v>
      </c>
      <c r="N46" s="107">
        <v>203952.23</v>
      </c>
    </row>
    <row r="47" spans="1:14">
      <c r="A47" s="64" t="s">
        <v>56</v>
      </c>
      <c r="B47" s="107">
        <f t="shared" ref="B47:M47" si="27">B293</f>
        <v>15731.76</v>
      </c>
      <c r="C47" s="107">
        <f t="shared" si="27"/>
        <v>15731.76</v>
      </c>
      <c r="D47" s="107">
        <f t="shared" si="27"/>
        <v>14062.08</v>
      </c>
      <c r="E47" s="107">
        <f t="shared" si="27"/>
        <v>14722.97</v>
      </c>
      <c r="F47" s="107">
        <f t="shared" si="27"/>
        <v>-1783.3600000000001</v>
      </c>
      <c r="G47" s="107">
        <f t="shared" si="27"/>
        <v>12368.43</v>
      </c>
      <c r="H47" s="107">
        <f t="shared" si="27"/>
        <v>12336.76</v>
      </c>
      <c r="I47" s="107">
        <f t="shared" si="27"/>
        <v>14101.76</v>
      </c>
      <c r="J47" s="107">
        <f t="shared" si="27"/>
        <v>12301.76</v>
      </c>
      <c r="K47" s="107">
        <f t="shared" si="27"/>
        <v>12460.72</v>
      </c>
      <c r="L47" s="107">
        <f t="shared" si="27"/>
        <v>12301.76</v>
      </c>
      <c r="M47" s="107">
        <f t="shared" si="27"/>
        <v>12301.76</v>
      </c>
      <c r="N47" s="107">
        <v>146638.16</v>
      </c>
    </row>
    <row r="48" spans="1:14">
      <c r="A48" s="64" t="s">
        <v>57</v>
      </c>
      <c r="B48" s="107">
        <f t="shared" ref="B48:M48" si="28">B298</f>
        <v>23927</v>
      </c>
      <c r="C48" s="107">
        <f t="shared" si="28"/>
        <v>19095</v>
      </c>
      <c r="D48" s="107">
        <f t="shared" si="28"/>
        <v>22204</v>
      </c>
      <c r="E48" s="107">
        <f t="shared" si="28"/>
        <v>21168</v>
      </c>
      <c r="F48" s="107">
        <f t="shared" si="28"/>
        <v>189434</v>
      </c>
      <c r="G48" s="107">
        <f t="shared" si="28"/>
        <v>22894</v>
      </c>
      <c r="H48" s="107">
        <f t="shared" si="28"/>
        <v>38711.61</v>
      </c>
      <c r="I48" s="107">
        <f t="shared" si="28"/>
        <v>46029</v>
      </c>
      <c r="J48" s="107">
        <f t="shared" si="28"/>
        <v>24245</v>
      </c>
      <c r="K48" s="107">
        <f t="shared" si="28"/>
        <v>23142</v>
      </c>
      <c r="L48" s="107">
        <f t="shared" si="28"/>
        <v>-76202</v>
      </c>
      <c r="M48" s="107">
        <f t="shared" si="28"/>
        <v>36</v>
      </c>
      <c r="N48" s="107">
        <v>354683.61</v>
      </c>
    </row>
    <row r="49" spans="1:14">
      <c r="A49" s="64" t="s">
        <v>58</v>
      </c>
      <c r="B49" s="107">
        <f t="shared" ref="B49:M49" si="29">B305</f>
        <v>8790.02</v>
      </c>
      <c r="C49" s="107">
        <f t="shared" si="29"/>
        <v>9272.33</v>
      </c>
      <c r="D49" s="107">
        <f t="shared" si="29"/>
        <v>9272.33</v>
      </c>
      <c r="E49" s="107">
        <f t="shared" si="29"/>
        <v>9272.33</v>
      </c>
      <c r="F49" s="107">
        <f t="shared" si="29"/>
        <v>-15727.6</v>
      </c>
      <c r="G49" s="107">
        <f t="shared" si="29"/>
        <v>9851.99</v>
      </c>
      <c r="H49" s="107">
        <f t="shared" si="29"/>
        <v>9272.33</v>
      </c>
      <c r="I49" s="107">
        <f t="shared" si="29"/>
        <v>10535.61</v>
      </c>
      <c r="J49" s="107">
        <f t="shared" si="29"/>
        <v>9903.9700000000012</v>
      </c>
      <c r="K49" s="107">
        <f t="shared" si="29"/>
        <v>9903.9700000000012</v>
      </c>
      <c r="L49" s="107">
        <f t="shared" si="29"/>
        <v>9903.9700000000012</v>
      </c>
      <c r="M49" s="107">
        <f t="shared" si="29"/>
        <v>9903.9700000000012</v>
      </c>
      <c r="N49" s="107">
        <v>90155.22</v>
      </c>
    </row>
    <row r="50" spans="1:14">
      <c r="A50" s="64" t="s">
        <v>59</v>
      </c>
      <c r="B50" s="107">
        <f t="shared" ref="B50:M50" si="30">B313</f>
        <v>4414.3700000000008</v>
      </c>
      <c r="C50" s="107">
        <f t="shared" si="30"/>
        <v>4438.9799999999996</v>
      </c>
      <c r="D50" s="107">
        <f t="shared" si="30"/>
        <v>4524.8099999999995</v>
      </c>
      <c r="E50" s="107">
        <f t="shared" si="30"/>
        <v>4436.99</v>
      </c>
      <c r="F50" s="107">
        <f t="shared" si="30"/>
        <v>4524.2</v>
      </c>
      <c r="G50" s="107">
        <f t="shared" si="30"/>
        <v>4524.2</v>
      </c>
      <c r="H50" s="107">
        <f t="shared" si="30"/>
        <v>4667.0599999999995</v>
      </c>
      <c r="I50" s="107">
        <f t="shared" si="30"/>
        <v>4896.4500000000016</v>
      </c>
      <c r="J50" s="107">
        <f t="shared" si="30"/>
        <v>5214.62</v>
      </c>
      <c r="K50" s="107">
        <f t="shared" si="30"/>
        <v>4744.7199999999993</v>
      </c>
      <c r="L50" s="107">
        <f t="shared" si="30"/>
        <v>3648.37</v>
      </c>
      <c r="M50" s="107">
        <f t="shared" si="30"/>
        <v>5334.22</v>
      </c>
      <c r="N50" s="107">
        <v>55368.99</v>
      </c>
    </row>
    <row r="51" spans="1:14">
      <c r="A51" s="64" t="s">
        <v>60</v>
      </c>
      <c r="B51" s="107">
        <f t="shared" ref="B51:M51" si="31">B320</f>
        <v>99483.66</v>
      </c>
      <c r="C51" s="107">
        <f t="shared" si="31"/>
        <v>103544.86</v>
      </c>
      <c r="D51" s="107">
        <f t="shared" si="31"/>
        <v>101466.71</v>
      </c>
      <c r="E51" s="107">
        <f t="shared" si="31"/>
        <v>101515.34000000001</v>
      </c>
      <c r="F51" s="107">
        <f t="shared" si="31"/>
        <v>101667.61</v>
      </c>
      <c r="G51" s="107">
        <f t="shared" si="31"/>
        <v>101370.49</v>
      </c>
      <c r="H51" s="107">
        <f t="shared" si="31"/>
        <v>101654.58</v>
      </c>
      <c r="I51" s="107">
        <f t="shared" si="31"/>
        <v>101322.58</v>
      </c>
      <c r="J51" s="107">
        <f t="shared" si="31"/>
        <v>102016.35</v>
      </c>
      <c r="K51" s="107">
        <f t="shared" si="31"/>
        <v>101714.34000000001</v>
      </c>
      <c r="L51" s="107">
        <f t="shared" si="31"/>
        <v>101915.55</v>
      </c>
      <c r="M51" s="107">
        <f t="shared" si="31"/>
        <v>110912.54000000001</v>
      </c>
      <c r="N51" s="107">
        <v>1228584.6100000001</v>
      </c>
    </row>
    <row r="52" spans="1:14">
      <c r="A52" s="64" t="s">
        <v>61</v>
      </c>
      <c r="B52" s="107"/>
      <c r="C52" s="107">
        <f>C324</f>
        <v>862.77</v>
      </c>
      <c r="D52" s="107"/>
      <c r="E52" s="107">
        <f>E324</f>
        <v>595.30999999999995</v>
      </c>
      <c r="F52" s="107">
        <f>F324</f>
        <v>-23055.24</v>
      </c>
      <c r="G52" s="107"/>
      <c r="H52" s="107"/>
      <c r="I52" s="107"/>
      <c r="J52" s="107"/>
      <c r="K52" s="107"/>
      <c r="L52" s="107"/>
      <c r="M52" s="107"/>
      <c r="N52" s="107">
        <v>-21597.16</v>
      </c>
    </row>
    <row r="53" spans="1:14">
      <c r="A53" s="64"/>
      <c r="B53" s="22"/>
      <c r="C53" s="22"/>
      <c r="D53" s="22"/>
      <c r="E53" s="22"/>
      <c r="F53" s="22"/>
      <c r="G53" s="22"/>
      <c r="H53" s="22"/>
      <c r="I53" s="22"/>
      <c r="J53" s="22"/>
      <c r="K53" s="22"/>
      <c r="L53" s="22"/>
      <c r="M53" s="22"/>
      <c r="N53" s="22"/>
    </row>
    <row r="54" spans="1:14" ht="15.75" thickBot="1">
      <c r="A54" s="64" t="s">
        <v>62</v>
      </c>
      <c r="B54" s="112">
        <f t="shared" ref="B54:M54" si="32">B326</f>
        <v>758354.71000000066</v>
      </c>
      <c r="C54" s="112">
        <f t="shared" si="32"/>
        <v>745806.17000000016</v>
      </c>
      <c r="D54" s="112">
        <f t="shared" si="32"/>
        <v>762795.36999999976</v>
      </c>
      <c r="E54" s="112">
        <f t="shared" si="32"/>
        <v>743249.29000000062</v>
      </c>
      <c r="F54" s="112">
        <f t="shared" si="32"/>
        <v>881991.11000000034</v>
      </c>
      <c r="G54" s="112">
        <f t="shared" si="32"/>
        <v>751094.16999999981</v>
      </c>
      <c r="H54" s="112">
        <f t="shared" si="32"/>
        <v>747016.03000000061</v>
      </c>
      <c r="I54" s="112">
        <f t="shared" si="32"/>
        <v>897484.49000000022</v>
      </c>
      <c r="J54" s="112">
        <f t="shared" si="32"/>
        <v>775947.61000000022</v>
      </c>
      <c r="K54" s="112">
        <f t="shared" si="32"/>
        <v>869190.05000000016</v>
      </c>
      <c r="L54" s="112">
        <f t="shared" si="32"/>
        <v>704617.11000000045</v>
      </c>
      <c r="M54" s="112">
        <f t="shared" si="32"/>
        <v>792818.73000000091</v>
      </c>
      <c r="N54" s="112">
        <v>9430364.8399999999</v>
      </c>
    </row>
    <row r="55" spans="1:14" ht="15.75" thickTop="1">
      <c r="A55" s="64"/>
      <c r="B55" s="22"/>
      <c r="C55" s="22"/>
      <c r="D55" s="22"/>
      <c r="E55" s="22"/>
      <c r="F55" s="22"/>
      <c r="G55" s="22"/>
      <c r="H55" s="22"/>
      <c r="I55" s="22"/>
      <c r="J55" s="22"/>
      <c r="K55" s="22"/>
      <c r="L55" s="22"/>
      <c r="M55" s="22"/>
      <c r="N55" s="22"/>
    </row>
    <row r="56" spans="1:14" ht="15.75" thickBot="1">
      <c r="A56" s="64" t="s">
        <v>63</v>
      </c>
      <c r="B56" s="112">
        <f t="shared" ref="B56:M56" si="33">B328</f>
        <v>43292.610000000335</v>
      </c>
      <c r="C56" s="112">
        <f t="shared" si="33"/>
        <v>-38240.750000000582</v>
      </c>
      <c r="D56" s="112">
        <f t="shared" si="33"/>
        <v>29202.110000000685</v>
      </c>
      <c r="E56" s="112">
        <f t="shared" si="33"/>
        <v>14041.299999998999</v>
      </c>
      <c r="F56" s="112">
        <f t="shared" si="33"/>
        <v>338409.70999999973</v>
      </c>
      <c r="G56" s="112">
        <f t="shared" si="33"/>
        <v>53515.139999999548</v>
      </c>
      <c r="H56" s="112">
        <f t="shared" si="33"/>
        <v>56172.200000000186</v>
      </c>
      <c r="I56" s="112">
        <f t="shared" si="33"/>
        <v>126067.25999999756</v>
      </c>
      <c r="J56" s="112">
        <f t="shared" si="33"/>
        <v>80269.799999998882</v>
      </c>
      <c r="K56" s="112">
        <f t="shared" si="33"/>
        <v>-57119.920000001206</v>
      </c>
      <c r="L56" s="112">
        <f t="shared" si="33"/>
        <v>119533.15000000084</v>
      </c>
      <c r="M56" s="112">
        <f t="shared" si="33"/>
        <v>79893.019999998738</v>
      </c>
      <c r="N56" s="112">
        <v>845035.63</v>
      </c>
    </row>
    <row r="57" spans="1:14" ht="15.75" thickTop="1">
      <c r="A57" s="64"/>
      <c r="B57" s="22"/>
      <c r="C57" s="22"/>
      <c r="D57" s="22"/>
      <c r="E57" s="22"/>
      <c r="F57" s="22"/>
      <c r="G57" s="22"/>
      <c r="H57" s="22"/>
      <c r="I57" s="22"/>
      <c r="J57" s="22"/>
      <c r="K57" s="22"/>
      <c r="L57" s="22"/>
      <c r="M57" s="22"/>
      <c r="N57" s="22"/>
    </row>
    <row r="58" spans="1:14" ht="15.75" thickBot="1">
      <c r="A58" s="64" t="s">
        <v>64</v>
      </c>
      <c r="B58" s="112">
        <f t="shared" ref="B58:M58" si="34">B332</f>
        <v>2328.06</v>
      </c>
      <c r="C58" s="112">
        <f t="shared" si="34"/>
        <v>20468.73</v>
      </c>
      <c r="D58" s="112">
        <f t="shared" si="34"/>
        <v>-6087.02</v>
      </c>
      <c r="E58" s="112">
        <f t="shared" si="34"/>
        <v>1049.8699999999999</v>
      </c>
      <c r="F58" s="112">
        <f t="shared" si="34"/>
        <v>230914.85</v>
      </c>
      <c r="G58" s="112">
        <f t="shared" si="34"/>
        <v>630.71</v>
      </c>
      <c r="H58" s="112">
        <f t="shared" si="34"/>
        <v>3757.34</v>
      </c>
      <c r="I58" s="112">
        <f t="shared" si="34"/>
        <v>20438.97</v>
      </c>
      <c r="J58" s="112">
        <f t="shared" si="34"/>
        <v>20757.84</v>
      </c>
      <c r="K58" s="112">
        <f t="shared" si="34"/>
        <v>12169.26</v>
      </c>
      <c r="L58" s="112">
        <f t="shared" si="34"/>
        <v>1560.93</v>
      </c>
      <c r="M58" s="112">
        <f t="shared" si="34"/>
        <v>2017.36</v>
      </c>
      <c r="N58" s="112">
        <v>310006.90000000002</v>
      </c>
    </row>
    <row r="59" spans="1:14" ht="15.75" thickTop="1">
      <c r="A59" s="64"/>
      <c r="B59" s="22"/>
      <c r="C59" s="22"/>
      <c r="D59" s="22"/>
      <c r="E59" s="22"/>
      <c r="F59" s="22"/>
      <c r="G59" s="22"/>
      <c r="H59" s="22"/>
      <c r="I59" s="22"/>
      <c r="J59" s="22"/>
      <c r="K59" s="22"/>
      <c r="L59" s="22"/>
      <c r="M59" s="22"/>
      <c r="N59" s="22"/>
    </row>
    <row r="60" spans="1:14" ht="15.75" thickBot="1">
      <c r="A60" s="64" t="s">
        <v>22</v>
      </c>
      <c r="B60" s="112">
        <f t="shared" ref="B60:M60" si="35">B334</f>
        <v>40964.550000000338</v>
      </c>
      <c r="C60" s="112">
        <f t="shared" si="35"/>
        <v>-58709.480000000578</v>
      </c>
      <c r="D60" s="112">
        <f t="shared" si="35"/>
        <v>35289.130000000689</v>
      </c>
      <c r="E60" s="112">
        <f t="shared" si="35"/>
        <v>12991.429999999</v>
      </c>
      <c r="F60" s="112">
        <f t="shared" si="35"/>
        <v>107494.85999999972</v>
      </c>
      <c r="G60" s="112">
        <f t="shared" si="35"/>
        <v>52884.429999999549</v>
      </c>
      <c r="H60" s="112">
        <f t="shared" si="35"/>
        <v>52414.86000000019</v>
      </c>
      <c r="I60" s="112">
        <f t="shared" si="35"/>
        <v>105628.28999999756</v>
      </c>
      <c r="J60" s="112">
        <f t="shared" si="35"/>
        <v>59511.959999998886</v>
      </c>
      <c r="K60" s="112">
        <f t="shared" si="35"/>
        <v>-69289.180000001201</v>
      </c>
      <c r="L60" s="112">
        <f t="shared" si="35"/>
        <v>117972.22000000085</v>
      </c>
      <c r="M60" s="112">
        <f t="shared" si="35"/>
        <v>77875.659999998737</v>
      </c>
      <c r="N60" s="112">
        <v>535028.73</v>
      </c>
    </row>
    <row r="61" spans="1:14" ht="15.75" thickTop="1">
      <c r="A61" s="64"/>
      <c r="B61" s="22"/>
      <c r="C61" s="22"/>
      <c r="D61" s="22"/>
      <c r="E61" s="22"/>
      <c r="F61" s="22"/>
      <c r="G61" s="22"/>
      <c r="H61" s="22"/>
      <c r="I61" s="22"/>
      <c r="J61" s="22"/>
      <c r="K61" s="22"/>
      <c r="L61" s="22"/>
      <c r="M61" s="22"/>
      <c r="N61" s="22"/>
    </row>
    <row r="62" spans="1:14">
      <c r="A62" s="64" t="s">
        <v>40</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41</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65</v>
      </c>
      <c r="B66" s="22"/>
      <c r="C66" s="22"/>
      <c r="D66" s="22"/>
      <c r="E66" s="22"/>
      <c r="F66" s="22"/>
      <c r="G66" s="22"/>
      <c r="H66" s="22"/>
      <c r="I66" s="22"/>
      <c r="J66" s="22"/>
      <c r="K66" s="22"/>
      <c r="L66" s="22"/>
      <c r="M66" s="22"/>
      <c r="N66" s="22"/>
    </row>
    <row r="67" spans="1:14">
      <c r="A67" s="64" t="s">
        <v>66</v>
      </c>
      <c r="B67" s="111">
        <v>216032.78</v>
      </c>
      <c r="C67" s="111">
        <v>206637.84</v>
      </c>
      <c r="D67" s="111">
        <v>211110.68</v>
      </c>
      <c r="E67" s="111">
        <v>216228.77</v>
      </c>
      <c r="F67" s="111">
        <v>224179.3</v>
      </c>
      <c r="G67" s="111">
        <v>234538.57</v>
      </c>
      <c r="H67" s="111">
        <v>201270.16</v>
      </c>
      <c r="I67" s="111">
        <v>217018.87</v>
      </c>
      <c r="J67" s="111">
        <v>203404.25</v>
      </c>
      <c r="K67" s="111">
        <v>223126.99</v>
      </c>
      <c r="L67" s="111">
        <v>232961.53</v>
      </c>
      <c r="M67" s="111">
        <v>255140.01</v>
      </c>
      <c r="N67" s="111">
        <v>2641649.75</v>
      </c>
    </row>
    <row r="68" spans="1:14">
      <c r="A68" s="64" t="s">
        <v>67</v>
      </c>
      <c r="B68" s="107">
        <f t="shared" ref="B68:M68" si="36">SUM(B64:B67)</f>
        <v>216032.78</v>
      </c>
      <c r="C68" s="107">
        <f t="shared" si="36"/>
        <v>206637.84</v>
      </c>
      <c r="D68" s="107">
        <f t="shared" si="36"/>
        <v>211110.68</v>
      </c>
      <c r="E68" s="107">
        <f t="shared" si="36"/>
        <v>216228.77</v>
      </c>
      <c r="F68" s="107">
        <f t="shared" si="36"/>
        <v>224179.3</v>
      </c>
      <c r="G68" s="107">
        <f t="shared" si="36"/>
        <v>234538.57</v>
      </c>
      <c r="H68" s="107">
        <f t="shared" si="36"/>
        <v>201270.16</v>
      </c>
      <c r="I68" s="107">
        <f t="shared" si="36"/>
        <v>217018.87</v>
      </c>
      <c r="J68" s="107">
        <f t="shared" si="36"/>
        <v>203404.25</v>
      </c>
      <c r="K68" s="107">
        <f t="shared" si="36"/>
        <v>223126.99</v>
      </c>
      <c r="L68" s="107">
        <f t="shared" si="36"/>
        <v>232961.53</v>
      </c>
      <c r="M68" s="107">
        <f t="shared" si="36"/>
        <v>255140.01</v>
      </c>
      <c r="N68" s="107">
        <v>2641649.75</v>
      </c>
    </row>
    <row r="69" spans="1:14">
      <c r="A69" s="64"/>
      <c r="B69" s="22"/>
      <c r="C69" s="22"/>
      <c r="D69" s="22"/>
      <c r="E69" s="22"/>
      <c r="F69" s="22"/>
      <c r="G69" s="22"/>
      <c r="H69" s="22"/>
      <c r="I69" s="22"/>
      <c r="J69" s="22"/>
      <c r="K69" s="22"/>
      <c r="L69" s="22"/>
      <c r="M69" s="22"/>
      <c r="N69" s="22"/>
    </row>
    <row r="70" spans="1:14">
      <c r="A70" s="64" t="s">
        <v>68</v>
      </c>
      <c r="B70" s="22"/>
      <c r="C70" s="22"/>
      <c r="D70" s="22"/>
      <c r="E70" s="22"/>
      <c r="F70" s="22"/>
      <c r="G70" s="22"/>
      <c r="H70" s="22"/>
      <c r="I70" s="22"/>
      <c r="J70" s="22"/>
      <c r="K70" s="22"/>
      <c r="L70" s="22"/>
      <c r="M70" s="22"/>
      <c r="N70" s="22"/>
    </row>
    <row r="71" spans="1:14">
      <c r="A71" s="64" t="s">
        <v>66</v>
      </c>
      <c r="B71" s="111">
        <v>19067.07</v>
      </c>
      <c r="C71" s="111">
        <v>26780.29</v>
      </c>
      <c r="D71" s="111">
        <v>19110.490000000002</v>
      </c>
      <c r="E71" s="111">
        <v>20187.27</v>
      </c>
      <c r="F71" s="111">
        <v>25870.63</v>
      </c>
      <c r="G71" s="111">
        <v>29245.599999999999</v>
      </c>
      <c r="H71" s="111">
        <v>32938.410000000003</v>
      </c>
      <c r="I71" s="111">
        <v>48373.760000000002</v>
      </c>
      <c r="J71" s="111">
        <v>50068.68</v>
      </c>
      <c r="K71" s="111">
        <v>54172.99</v>
      </c>
      <c r="L71" s="111">
        <v>44552.55</v>
      </c>
      <c r="M71" s="111">
        <v>36382.050000000003</v>
      </c>
      <c r="N71" s="111">
        <v>406749.79</v>
      </c>
    </row>
    <row r="72" spans="1:14">
      <c r="A72" s="64" t="s">
        <v>69</v>
      </c>
      <c r="B72" s="107">
        <f t="shared" ref="B72:M72" si="37">SUM(B69:B71)</f>
        <v>19067.07</v>
      </c>
      <c r="C72" s="107">
        <f t="shared" si="37"/>
        <v>26780.29</v>
      </c>
      <c r="D72" s="107">
        <f t="shared" si="37"/>
        <v>19110.490000000002</v>
      </c>
      <c r="E72" s="107">
        <f t="shared" si="37"/>
        <v>20187.27</v>
      </c>
      <c r="F72" s="107">
        <f t="shared" si="37"/>
        <v>25870.63</v>
      </c>
      <c r="G72" s="107">
        <f t="shared" si="37"/>
        <v>29245.599999999999</v>
      </c>
      <c r="H72" s="107">
        <f t="shared" si="37"/>
        <v>32938.410000000003</v>
      </c>
      <c r="I72" s="107">
        <f t="shared" si="37"/>
        <v>48373.760000000002</v>
      </c>
      <c r="J72" s="107">
        <f t="shared" si="37"/>
        <v>50068.68</v>
      </c>
      <c r="K72" s="107">
        <f t="shared" si="37"/>
        <v>54172.99</v>
      </c>
      <c r="L72" s="107">
        <f t="shared" si="37"/>
        <v>44552.55</v>
      </c>
      <c r="M72" s="107">
        <f t="shared" si="37"/>
        <v>36382.050000000003</v>
      </c>
      <c r="N72" s="107">
        <v>406749.79</v>
      </c>
    </row>
    <row r="73" spans="1:14">
      <c r="A73" s="64"/>
      <c r="B73" s="22"/>
      <c r="C73" s="22"/>
      <c r="D73" s="22"/>
      <c r="E73" s="22"/>
      <c r="F73" s="22"/>
      <c r="G73" s="22"/>
      <c r="H73" s="22"/>
      <c r="I73" s="22"/>
      <c r="J73" s="22"/>
      <c r="K73" s="22"/>
      <c r="L73" s="22"/>
      <c r="M73" s="22"/>
      <c r="N73" s="22"/>
    </row>
    <row r="74" spans="1:14">
      <c r="A74" s="64" t="s">
        <v>70</v>
      </c>
      <c r="B74" s="22"/>
      <c r="C74" s="22"/>
      <c r="D74" s="22"/>
      <c r="E74" s="22"/>
      <c r="F74" s="22"/>
      <c r="G74" s="22"/>
      <c r="H74" s="22"/>
      <c r="I74" s="22"/>
      <c r="J74" s="22"/>
      <c r="K74" s="22"/>
      <c r="L74" s="22"/>
      <c r="M74" s="22"/>
      <c r="N74" s="22"/>
    </row>
    <row r="75" spans="1:14">
      <c r="A75" s="64" t="s">
        <v>66</v>
      </c>
      <c r="B75" s="111">
        <v>241430.3</v>
      </c>
      <c r="C75" s="111">
        <v>192807.46</v>
      </c>
      <c r="D75" s="111">
        <v>238970.64</v>
      </c>
      <c r="E75" s="111">
        <v>183147.66</v>
      </c>
      <c r="F75" s="111">
        <v>186582.97</v>
      </c>
      <c r="G75" s="111">
        <v>227341.36</v>
      </c>
      <c r="H75" s="111">
        <v>216761.83</v>
      </c>
      <c r="I75" s="111">
        <v>217790.69</v>
      </c>
      <c r="J75" s="111">
        <v>228854.39</v>
      </c>
      <c r="K75" s="111">
        <v>129725.44</v>
      </c>
      <c r="L75" s="111">
        <v>202282.08</v>
      </c>
      <c r="M75" s="111">
        <v>212561.7</v>
      </c>
      <c r="N75" s="111">
        <v>2478256.52</v>
      </c>
    </row>
    <row r="76" spans="1:14">
      <c r="A76" s="64" t="s">
        <v>71</v>
      </c>
      <c r="B76" s="107">
        <f t="shared" ref="B76:M76" si="38">SUM(B73:B75)</f>
        <v>241430.3</v>
      </c>
      <c r="C76" s="107">
        <f t="shared" si="38"/>
        <v>192807.46</v>
      </c>
      <c r="D76" s="107">
        <f t="shared" si="38"/>
        <v>238970.64</v>
      </c>
      <c r="E76" s="107">
        <f t="shared" si="38"/>
        <v>183147.66</v>
      </c>
      <c r="F76" s="107">
        <f t="shared" si="38"/>
        <v>186582.97</v>
      </c>
      <c r="G76" s="107">
        <f t="shared" si="38"/>
        <v>227341.36</v>
      </c>
      <c r="H76" s="107">
        <f t="shared" si="38"/>
        <v>216761.83</v>
      </c>
      <c r="I76" s="107">
        <f t="shared" si="38"/>
        <v>217790.69</v>
      </c>
      <c r="J76" s="107">
        <f t="shared" si="38"/>
        <v>228854.39</v>
      </c>
      <c r="K76" s="107">
        <f t="shared" si="38"/>
        <v>129725.44</v>
      </c>
      <c r="L76" s="107">
        <f t="shared" si="38"/>
        <v>202282.08</v>
      </c>
      <c r="M76" s="107">
        <f t="shared" si="38"/>
        <v>212561.7</v>
      </c>
      <c r="N76" s="107">
        <v>2478256.52</v>
      </c>
    </row>
    <row r="77" spans="1:14">
      <c r="A77" s="64"/>
      <c r="B77" s="22"/>
      <c r="C77" s="22"/>
      <c r="D77" s="22"/>
      <c r="E77" s="22"/>
      <c r="F77" s="22"/>
      <c r="G77" s="22"/>
      <c r="H77" s="22"/>
      <c r="I77" s="22"/>
      <c r="J77" s="22"/>
      <c r="K77" s="22"/>
      <c r="L77" s="22"/>
      <c r="M77" s="22"/>
      <c r="N77" s="22"/>
    </row>
    <row r="78" spans="1:14">
      <c r="A78" s="64" t="s">
        <v>72</v>
      </c>
      <c r="B78" s="113"/>
      <c r="C78" s="113"/>
      <c r="D78" s="113"/>
      <c r="E78" s="113"/>
      <c r="F78" s="113"/>
      <c r="G78" s="113"/>
      <c r="H78" s="113"/>
      <c r="I78" s="113"/>
      <c r="J78" s="113"/>
      <c r="K78" s="113"/>
      <c r="L78" s="113"/>
      <c r="M78" s="113"/>
      <c r="N78" s="113"/>
    </row>
    <row r="79" spans="1:14">
      <c r="A79" s="64" t="s">
        <v>314</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73</v>
      </c>
      <c r="B81" s="22"/>
      <c r="C81" s="22"/>
      <c r="D81" s="22"/>
      <c r="E81" s="22"/>
      <c r="F81" s="22"/>
      <c r="G81" s="22"/>
      <c r="H81" s="22"/>
      <c r="I81" s="22"/>
      <c r="J81" s="22"/>
      <c r="K81" s="22"/>
      <c r="L81" s="22"/>
      <c r="M81" s="22"/>
      <c r="N81" s="22"/>
    </row>
    <row r="82" spans="1:14">
      <c r="A82" s="64" t="s">
        <v>66</v>
      </c>
      <c r="B82" s="111">
        <v>232470.33</v>
      </c>
      <c r="C82" s="111">
        <v>180716.21</v>
      </c>
      <c r="D82" s="111">
        <v>219596.7</v>
      </c>
      <c r="E82" s="111">
        <v>254120.81</v>
      </c>
      <c r="F82" s="111">
        <v>305540.96999999997</v>
      </c>
      <c r="G82" s="111">
        <v>232110.36</v>
      </c>
      <c r="H82" s="111">
        <v>288771.71000000002</v>
      </c>
      <c r="I82" s="111">
        <v>336506.7</v>
      </c>
      <c r="J82" s="111">
        <v>261754.39</v>
      </c>
      <c r="K82" s="111">
        <v>287209.42</v>
      </c>
      <c r="L82" s="111">
        <v>270583.32</v>
      </c>
      <c r="M82" s="111">
        <v>294451.59000000003</v>
      </c>
      <c r="N82" s="111">
        <v>3163832.51</v>
      </c>
    </row>
    <row r="83" spans="1:14">
      <c r="A83" s="64" t="s">
        <v>74</v>
      </c>
      <c r="B83" s="107">
        <f t="shared" ref="B83:M83" si="39">SUM(B80:B82)</f>
        <v>232470.33</v>
      </c>
      <c r="C83" s="107">
        <f t="shared" si="39"/>
        <v>180716.21</v>
      </c>
      <c r="D83" s="107">
        <f t="shared" si="39"/>
        <v>219596.7</v>
      </c>
      <c r="E83" s="107">
        <f t="shared" si="39"/>
        <v>254120.81</v>
      </c>
      <c r="F83" s="107">
        <f t="shared" si="39"/>
        <v>305540.96999999997</v>
      </c>
      <c r="G83" s="107">
        <f t="shared" si="39"/>
        <v>232110.36</v>
      </c>
      <c r="H83" s="107">
        <f t="shared" si="39"/>
        <v>288771.71000000002</v>
      </c>
      <c r="I83" s="107">
        <f t="shared" si="39"/>
        <v>336506.7</v>
      </c>
      <c r="J83" s="107">
        <f t="shared" si="39"/>
        <v>261754.39</v>
      </c>
      <c r="K83" s="107">
        <f t="shared" si="39"/>
        <v>287209.42</v>
      </c>
      <c r="L83" s="107">
        <f t="shared" si="39"/>
        <v>270583.32</v>
      </c>
      <c r="M83" s="107">
        <f t="shared" si="39"/>
        <v>294451.59000000003</v>
      </c>
      <c r="N83" s="107">
        <v>3163832.51</v>
      </c>
    </row>
    <row r="84" spans="1:14">
      <c r="A84" s="64"/>
      <c r="B84" s="22"/>
      <c r="C84" s="22"/>
      <c r="D84" s="22"/>
      <c r="E84" s="22"/>
      <c r="F84" s="22"/>
      <c r="G84" s="22"/>
      <c r="H84" s="22"/>
      <c r="I84" s="22"/>
      <c r="J84" s="22"/>
      <c r="K84" s="22"/>
      <c r="L84" s="22"/>
      <c r="M84" s="22"/>
      <c r="N84" s="22"/>
    </row>
    <row r="85" spans="1:14">
      <c r="A85" s="64" t="s">
        <v>75</v>
      </c>
      <c r="B85" s="22"/>
      <c r="C85" s="22"/>
      <c r="D85" s="22"/>
      <c r="E85" s="22"/>
      <c r="F85" s="22"/>
      <c r="G85" s="22"/>
      <c r="H85" s="22"/>
      <c r="I85" s="22"/>
      <c r="J85" s="22"/>
      <c r="K85" s="22"/>
      <c r="L85" s="22"/>
      <c r="M85" s="22"/>
      <c r="N85" s="22"/>
    </row>
    <row r="86" spans="1:14">
      <c r="A86" s="64" t="s">
        <v>66</v>
      </c>
      <c r="B86" s="111">
        <v>31850</v>
      </c>
      <c r="C86" s="111">
        <v>27650</v>
      </c>
      <c r="D86" s="111">
        <v>33950</v>
      </c>
      <c r="E86" s="111">
        <v>31325</v>
      </c>
      <c r="F86" s="111">
        <v>26775</v>
      </c>
      <c r="G86" s="111">
        <v>40443</v>
      </c>
      <c r="H86" s="111">
        <v>23424</v>
      </c>
      <c r="I86" s="111">
        <v>27816</v>
      </c>
      <c r="J86" s="111">
        <v>34038</v>
      </c>
      <c r="K86" s="111">
        <v>48495</v>
      </c>
      <c r="L86" s="111">
        <v>23973</v>
      </c>
      <c r="M86" s="111">
        <v>24339</v>
      </c>
      <c r="N86" s="111">
        <v>374078</v>
      </c>
    </row>
    <row r="87" spans="1:14">
      <c r="A87" s="64" t="s">
        <v>76</v>
      </c>
      <c r="B87" s="107">
        <f t="shared" ref="B87:M87" si="40">SUM(B84:B86)</f>
        <v>31850</v>
      </c>
      <c r="C87" s="107">
        <f t="shared" si="40"/>
        <v>27650</v>
      </c>
      <c r="D87" s="107">
        <f t="shared" si="40"/>
        <v>33950</v>
      </c>
      <c r="E87" s="107">
        <f t="shared" si="40"/>
        <v>31325</v>
      </c>
      <c r="F87" s="107">
        <f t="shared" si="40"/>
        <v>26775</v>
      </c>
      <c r="G87" s="107">
        <f t="shared" si="40"/>
        <v>40443</v>
      </c>
      <c r="H87" s="107">
        <f t="shared" si="40"/>
        <v>23424</v>
      </c>
      <c r="I87" s="107">
        <f t="shared" si="40"/>
        <v>27816</v>
      </c>
      <c r="J87" s="107">
        <f t="shared" si="40"/>
        <v>34038</v>
      </c>
      <c r="K87" s="107">
        <f t="shared" si="40"/>
        <v>48495</v>
      </c>
      <c r="L87" s="107">
        <f t="shared" si="40"/>
        <v>23973</v>
      </c>
      <c r="M87" s="107">
        <f t="shared" si="40"/>
        <v>24339</v>
      </c>
      <c r="N87" s="107">
        <v>374078</v>
      </c>
    </row>
    <row r="88" spans="1:14">
      <c r="A88" s="64"/>
      <c r="B88" s="113"/>
      <c r="C88" s="113"/>
      <c r="D88" s="113"/>
      <c r="E88" s="113"/>
      <c r="F88" s="113"/>
      <c r="G88" s="113"/>
      <c r="H88" s="113"/>
      <c r="I88" s="113"/>
      <c r="J88" s="113"/>
      <c r="K88" s="113"/>
      <c r="L88" s="113"/>
      <c r="M88" s="113"/>
      <c r="N88" s="113"/>
    </row>
    <row r="89" spans="1:14">
      <c r="A89" s="64" t="s">
        <v>42</v>
      </c>
      <c r="B89" s="107">
        <f t="shared" ref="B89:M89" si="41">SUM(B66:B88)-B68-B72-B76-B79-B83-B87</f>
        <v>740850.4800000001</v>
      </c>
      <c r="C89" s="107">
        <f t="shared" si="41"/>
        <v>634591.79999999981</v>
      </c>
      <c r="D89" s="107">
        <f t="shared" si="41"/>
        <v>722738.51</v>
      </c>
      <c r="E89" s="107">
        <f t="shared" si="41"/>
        <v>705009.51</v>
      </c>
      <c r="F89" s="107">
        <f t="shared" si="41"/>
        <v>768948.87000000011</v>
      </c>
      <c r="G89" s="107">
        <f t="shared" si="41"/>
        <v>763678.88999999966</v>
      </c>
      <c r="H89" s="107">
        <f t="shared" si="41"/>
        <v>763166.1100000001</v>
      </c>
      <c r="I89" s="107">
        <f t="shared" si="41"/>
        <v>847506.02</v>
      </c>
      <c r="J89" s="107">
        <f t="shared" si="41"/>
        <v>778119.71000000008</v>
      </c>
      <c r="K89" s="107">
        <f t="shared" si="41"/>
        <v>742729.83999999985</v>
      </c>
      <c r="L89" s="107">
        <f t="shared" si="41"/>
        <v>774352.47999999975</v>
      </c>
      <c r="M89" s="107">
        <f t="shared" si="41"/>
        <v>822874.35000000009</v>
      </c>
      <c r="N89" s="107">
        <v>9064566.5700000003</v>
      </c>
    </row>
    <row r="90" spans="1:14">
      <c r="A90" s="64"/>
      <c r="B90" s="22"/>
      <c r="C90" s="22"/>
      <c r="D90" s="22"/>
      <c r="E90" s="22"/>
      <c r="F90" s="22"/>
      <c r="G90" s="22"/>
      <c r="H90" s="22"/>
      <c r="I90" s="22"/>
      <c r="J90" s="22"/>
      <c r="K90" s="22"/>
      <c r="L90" s="22"/>
      <c r="M90" s="22"/>
      <c r="N90" s="22"/>
    </row>
    <row r="91" spans="1:14">
      <c r="A91" s="64" t="s">
        <v>43</v>
      </c>
      <c r="B91" s="22"/>
      <c r="C91" s="22"/>
      <c r="D91" s="22"/>
      <c r="E91" s="22"/>
      <c r="F91" s="22"/>
      <c r="G91" s="22"/>
      <c r="H91" s="22"/>
      <c r="I91" s="22"/>
      <c r="J91" s="22"/>
      <c r="K91" s="22"/>
      <c r="L91" s="22"/>
      <c r="M91" s="22"/>
      <c r="N91" s="22"/>
    </row>
    <row r="92" spans="1:14">
      <c r="A92" s="64"/>
      <c r="B92" s="22"/>
      <c r="C92" s="22"/>
      <c r="D92" s="22"/>
      <c r="E92" s="22"/>
      <c r="F92" s="22"/>
      <c r="G92" s="22"/>
      <c r="H92" s="22"/>
      <c r="I92" s="22"/>
      <c r="J92" s="22"/>
      <c r="K92" s="22"/>
      <c r="L92" s="22"/>
      <c r="M92" s="22"/>
      <c r="N92" s="22"/>
    </row>
    <row r="93" spans="1:14">
      <c r="A93" s="64" t="s">
        <v>65</v>
      </c>
      <c r="B93" s="22"/>
      <c r="C93" s="22"/>
      <c r="D93" s="22"/>
      <c r="E93" s="22"/>
      <c r="F93" s="22"/>
      <c r="G93" s="22"/>
      <c r="H93" s="22"/>
      <c r="I93" s="22"/>
      <c r="J93" s="22"/>
      <c r="K93" s="22"/>
      <c r="L93" s="22"/>
      <c r="M93" s="22"/>
      <c r="N93" s="22"/>
    </row>
    <row r="94" spans="1:14">
      <c r="A94" s="64" t="s">
        <v>66</v>
      </c>
      <c r="B94" s="111">
        <v>7126.05</v>
      </c>
      <c r="C94" s="111">
        <v>-29822.7</v>
      </c>
      <c r="D94" s="111">
        <v>5006.84</v>
      </c>
      <c r="E94" s="111">
        <v>2983.59</v>
      </c>
      <c r="F94" s="111">
        <v>6493.68</v>
      </c>
      <c r="G94" s="111">
        <v>-13361.33</v>
      </c>
      <c r="H94" s="111">
        <v>7473.08</v>
      </c>
      <c r="I94" s="111">
        <v>1924.8</v>
      </c>
      <c r="J94" s="111">
        <v>49811.98</v>
      </c>
      <c r="K94" s="111">
        <v>21850.61</v>
      </c>
      <c r="L94" s="111">
        <v>-5499.88</v>
      </c>
      <c r="M94" s="111">
        <v>152.01</v>
      </c>
      <c r="N94" s="111">
        <v>54138.73</v>
      </c>
    </row>
    <row r="95" spans="1:14">
      <c r="A95" s="64" t="s">
        <v>67</v>
      </c>
      <c r="B95" s="107">
        <f t="shared" ref="B95:M95" si="42">SUM(B93:B94)</f>
        <v>7126.05</v>
      </c>
      <c r="C95" s="107">
        <f t="shared" si="42"/>
        <v>-29822.7</v>
      </c>
      <c r="D95" s="107">
        <f t="shared" si="42"/>
        <v>5006.84</v>
      </c>
      <c r="E95" s="107">
        <f t="shared" si="42"/>
        <v>2983.59</v>
      </c>
      <c r="F95" s="107">
        <f t="shared" si="42"/>
        <v>6493.68</v>
      </c>
      <c r="G95" s="107">
        <f t="shared" si="42"/>
        <v>-13361.33</v>
      </c>
      <c r="H95" s="107">
        <f t="shared" si="42"/>
        <v>7473.08</v>
      </c>
      <c r="I95" s="107">
        <f t="shared" si="42"/>
        <v>1924.8</v>
      </c>
      <c r="J95" s="107">
        <f t="shared" si="42"/>
        <v>49811.98</v>
      </c>
      <c r="K95" s="107">
        <f t="shared" si="42"/>
        <v>21850.61</v>
      </c>
      <c r="L95" s="107">
        <f t="shared" si="42"/>
        <v>-5499.88</v>
      </c>
      <c r="M95" s="107">
        <f t="shared" si="42"/>
        <v>152.01</v>
      </c>
      <c r="N95" s="107">
        <v>54138.73</v>
      </c>
    </row>
    <row r="96" spans="1:14">
      <c r="A96" s="64"/>
      <c r="B96" s="22"/>
      <c r="C96" s="22"/>
      <c r="D96" s="22"/>
      <c r="E96" s="22"/>
      <c r="F96" s="22"/>
      <c r="G96" s="22"/>
      <c r="H96" s="22"/>
      <c r="I96" s="22"/>
      <c r="J96" s="22"/>
      <c r="K96" s="22"/>
      <c r="L96" s="22"/>
      <c r="M96" s="22"/>
      <c r="N96" s="22"/>
    </row>
    <row r="97" spans="1:14">
      <c r="A97" s="64" t="s">
        <v>68</v>
      </c>
      <c r="B97" s="22"/>
      <c r="C97" s="22"/>
      <c r="D97" s="22"/>
      <c r="E97" s="22"/>
      <c r="F97" s="22"/>
      <c r="G97" s="22"/>
      <c r="H97" s="22"/>
      <c r="I97" s="22"/>
      <c r="J97" s="22"/>
      <c r="K97" s="22"/>
      <c r="L97" s="22"/>
      <c r="M97" s="22"/>
      <c r="N97" s="22"/>
    </row>
    <row r="98" spans="1:14">
      <c r="A98" s="64" t="s">
        <v>66</v>
      </c>
      <c r="B98" s="111">
        <v>-3176.23</v>
      </c>
      <c r="C98" s="111">
        <v>373</v>
      </c>
      <c r="D98" s="111">
        <v>9056.94</v>
      </c>
      <c r="E98" s="113"/>
      <c r="F98" s="113"/>
      <c r="G98" s="113"/>
      <c r="H98" s="113"/>
      <c r="I98" s="111">
        <v>-4123.2</v>
      </c>
      <c r="J98" s="111">
        <v>1194</v>
      </c>
      <c r="K98" s="111">
        <v>-4447.79</v>
      </c>
      <c r="L98" s="113"/>
      <c r="M98" s="113"/>
      <c r="N98" s="111">
        <v>-1123.28</v>
      </c>
    </row>
    <row r="99" spans="1:14">
      <c r="A99" s="64" t="s">
        <v>69</v>
      </c>
      <c r="B99" s="107">
        <f>SUM(B96:B98)</f>
        <v>-3176.23</v>
      </c>
      <c r="C99" s="107">
        <f>SUM(C96:C98)</f>
        <v>373</v>
      </c>
      <c r="D99" s="107">
        <f>SUM(D96:D98)</f>
        <v>9056.94</v>
      </c>
      <c r="E99" s="107"/>
      <c r="F99" s="107"/>
      <c r="G99" s="107"/>
      <c r="H99" s="107"/>
      <c r="I99" s="107">
        <f>SUM(I96:I98)</f>
        <v>-4123.2</v>
      </c>
      <c r="J99" s="107">
        <f>SUM(J96:J98)</f>
        <v>1194</v>
      </c>
      <c r="K99" s="107">
        <f>SUM(K96:K98)</f>
        <v>-4447.79</v>
      </c>
      <c r="L99" s="107"/>
      <c r="M99" s="107"/>
      <c r="N99" s="107">
        <v>-1123.28</v>
      </c>
    </row>
    <row r="100" spans="1:14">
      <c r="A100" s="64"/>
      <c r="B100" s="22"/>
      <c r="C100" s="22"/>
      <c r="D100" s="22"/>
      <c r="E100" s="22"/>
      <c r="F100" s="22"/>
      <c r="G100" s="22"/>
      <c r="H100" s="22"/>
      <c r="I100" s="22"/>
      <c r="J100" s="22"/>
      <c r="K100" s="22"/>
      <c r="L100" s="22"/>
      <c r="M100" s="22"/>
      <c r="N100" s="22"/>
    </row>
    <row r="101" spans="1:14">
      <c r="A101" s="64" t="s">
        <v>70</v>
      </c>
      <c r="B101" s="22"/>
      <c r="C101" s="22"/>
      <c r="D101" s="22"/>
      <c r="E101" s="22"/>
      <c r="F101" s="22"/>
      <c r="G101" s="22"/>
      <c r="H101" s="22"/>
      <c r="I101" s="22"/>
      <c r="J101" s="22"/>
      <c r="K101" s="22"/>
      <c r="L101" s="22"/>
      <c r="M101" s="22"/>
      <c r="N101" s="22"/>
    </row>
    <row r="102" spans="1:14">
      <c r="A102" s="64" t="s">
        <v>66</v>
      </c>
      <c r="B102" s="111">
        <v>1515.26</v>
      </c>
      <c r="C102" s="111">
        <v>-7684.05</v>
      </c>
      <c r="D102" s="111">
        <v>-481.32</v>
      </c>
      <c r="E102" s="111">
        <v>-11962.69</v>
      </c>
      <c r="F102" s="111">
        <v>-1458.02</v>
      </c>
      <c r="G102" s="111">
        <v>-712.67</v>
      </c>
      <c r="H102" s="111">
        <v>5582.97</v>
      </c>
      <c r="I102" s="111">
        <v>38658.61</v>
      </c>
      <c r="J102" s="111">
        <v>-11054.17</v>
      </c>
      <c r="K102" s="111">
        <v>-44489.16</v>
      </c>
      <c r="L102" s="111">
        <v>140.35</v>
      </c>
      <c r="M102" s="111">
        <v>1438.03</v>
      </c>
      <c r="N102" s="111">
        <v>-30506.86</v>
      </c>
    </row>
    <row r="103" spans="1:14">
      <c r="A103" s="64" t="s">
        <v>71</v>
      </c>
      <c r="B103" s="107">
        <f t="shared" ref="B103:M103" si="43">SUM(B100:B102)</f>
        <v>1515.26</v>
      </c>
      <c r="C103" s="107">
        <f t="shared" si="43"/>
        <v>-7684.05</v>
      </c>
      <c r="D103" s="107">
        <f t="shared" si="43"/>
        <v>-481.32</v>
      </c>
      <c r="E103" s="107">
        <f t="shared" si="43"/>
        <v>-11962.69</v>
      </c>
      <c r="F103" s="107">
        <f t="shared" si="43"/>
        <v>-1458.02</v>
      </c>
      <c r="G103" s="107">
        <f t="shared" si="43"/>
        <v>-712.67</v>
      </c>
      <c r="H103" s="107">
        <f t="shared" si="43"/>
        <v>5582.97</v>
      </c>
      <c r="I103" s="107">
        <f t="shared" si="43"/>
        <v>38658.61</v>
      </c>
      <c r="J103" s="107">
        <f t="shared" si="43"/>
        <v>-11054.17</v>
      </c>
      <c r="K103" s="107">
        <f t="shared" si="43"/>
        <v>-44489.16</v>
      </c>
      <c r="L103" s="107">
        <f t="shared" si="43"/>
        <v>140.35</v>
      </c>
      <c r="M103" s="107">
        <f t="shared" si="43"/>
        <v>1438.03</v>
      </c>
      <c r="N103" s="107">
        <v>-30506.86</v>
      </c>
    </row>
    <row r="104" spans="1:14">
      <c r="A104" s="64"/>
      <c r="B104" s="22"/>
      <c r="C104" s="22"/>
      <c r="D104" s="22"/>
      <c r="E104" s="22"/>
      <c r="F104" s="22"/>
      <c r="G104" s="22"/>
      <c r="H104" s="22"/>
      <c r="I104" s="22"/>
      <c r="J104" s="22"/>
      <c r="K104" s="22"/>
      <c r="L104" s="22"/>
      <c r="M104" s="22"/>
      <c r="N104" s="22"/>
    </row>
    <row r="105" spans="1:14">
      <c r="A105" s="64" t="s">
        <v>72</v>
      </c>
      <c r="B105" s="113"/>
      <c r="C105" s="113"/>
      <c r="D105" s="113"/>
      <c r="E105" s="113"/>
      <c r="F105" s="113"/>
      <c r="G105" s="113"/>
      <c r="H105" s="113"/>
      <c r="I105" s="113"/>
      <c r="J105" s="113"/>
      <c r="K105" s="113"/>
      <c r="L105" s="113"/>
      <c r="M105" s="113"/>
      <c r="N105" s="113"/>
    </row>
    <row r="106" spans="1:14">
      <c r="A106" s="64" t="s">
        <v>314</v>
      </c>
      <c r="B106" s="107"/>
      <c r="C106" s="107"/>
      <c r="D106" s="107"/>
      <c r="E106" s="107"/>
      <c r="F106" s="107"/>
      <c r="G106" s="107"/>
      <c r="H106" s="107"/>
      <c r="I106" s="107"/>
      <c r="J106" s="107"/>
      <c r="K106" s="107"/>
      <c r="L106" s="107"/>
      <c r="M106" s="107"/>
      <c r="N106" s="107"/>
    </row>
    <row r="107" spans="1:14">
      <c r="A107" s="64"/>
      <c r="B107" s="22"/>
      <c r="C107" s="22"/>
      <c r="D107" s="22"/>
      <c r="E107" s="22"/>
      <c r="F107" s="22"/>
      <c r="G107" s="22"/>
      <c r="H107" s="22"/>
      <c r="I107" s="22"/>
      <c r="J107" s="22"/>
      <c r="K107" s="22"/>
      <c r="L107" s="22"/>
      <c r="M107" s="22"/>
      <c r="N107" s="22"/>
    </row>
    <row r="108" spans="1:14">
      <c r="A108" s="64" t="s">
        <v>73</v>
      </c>
      <c r="B108" s="22"/>
      <c r="C108" s="22"/>
      <c r="D108" s="22"/>
      <c r="E108" s="22"/>
      <c r="F108" s="22"/>
      <c r="G108" s="22"/>
      <c r="H108" s="22"/>
      <c r="I108" s="22"/>
      <c r="J108" s="22"/>
      <c r="K108" s="22"/>
      <c r="L108" s="22"/>
      <c r="M108" s="22"/>
      <c r="N108" s="22"/>
    </row>
    <row r="109" spans="1:14">
      <c r="A109" s="64" t="s">
        <v>66</v>
      </c>
      <c r="B109" s="111">
        <v>-351</v>
      </c>
      <c r="C109" s="111">
        <v>-2946.61</v>
      </c>
      <c r="D109" s="111">
        <v>-7680.46</v>
      </c>
      <c r="E109" s="111">
        <v>1178.71</v>
      </c>
      <c r="F109" s="111">
        <v>23909.88</v>
      </c>
      <c r="G109" s="111">
        <v>-282.86</v>
      </c>
      <c r="H109" s="111">
        <v>-1532.26</v>
      </c>
      <c r="I109" s="111">
        <v>79583.259999999995</v>
      </c>
      <c r="J109" s="111">
        <v>16927.88</v>
      </c>
      <c r="K109" s="111">
        <v>30480.39</v>
      </c>
      <c r="L109" s="111">
        <v>8774.7199999999993</v>
      </c>
      <c r="M109" s="111">
        <v>4492.2</v>
      </c>
      <c r="N109" s="111">
        <v>152553.85</v>
      </c>
    </row>
    <row r="110" spans="1:14">
      <c r="A110" s="64" t="s">
        <v>74</v>
      </c>
      <c r="B110" s="107">
        <f t="shared" ref="B110:M110" si="44">SUM(B107:B109)</f>
        <v>-351</v>
      </c>
      <c r="C110" s="107">
        <f t="shared" si="44"/>
        <v>-2946.61</v>
      </c>
      <c r="D110" s="107">
        <f t="shared" si="44"/>
        <v>-7680.46</v>
      </c>
      <c r="E110" s="107">
        <f t="shared" si="44"/>
        <v>1178.71</v>
      </c>
      <c r="F110" s="107">
        <f t="shared" si="44"/>
        <v>23909.88</v>
      </c>
      <c r="G110" s="107">
        <f t="shared" si="44"/>
        <v>-282.86</v>
      </c>
      <c r="H110" s="107">
        <f t="shared" si="44"/>
        <v>-1532.26</v>
      </c>
      <c r="I110" s="107">
        <f t="shared" si="44"/>
        <v>79583.259999999995</v>
      </c>
      <c r="J110" s="107">
        <f t="shared" si="44"/>
        <v>16927.88</v>
      </c>
      <c r="K110" s="107">
        <f t="shared" si="44"/>
        <v>30480.39</v>
      </c>
      <c r="L110" s="107">
        <f t="shared" si="44"/>
        <v>8774.7199999999993</v>
      </c>
      <c r="M110" s="107">
        <f t="shared" si="44"/>
        <v>4492.2</v>
      </c>
      <c r="N110" s="107">
        <v>152553.85</v>
      </c>
    </row>
    <row r="111" spans="1:14">
      <c r="A111" s="64"/>
      <c r="B111" s="22"/>
      <c r="C111" s="22"/>
      <c r="D111" s="22"/>
      <c r="E111" s="22"/>
      <c r="F111" s="22"/>
      <c r="G111" s="22"/>
      <c r="H111" s="22"/>
      <c r="I111" s="22"/>
      <c r="J111" s="22"/>
      <c r="K111" s="22"/>
      <c r="L111" s="22"/>
      <c r="M111" s="22"/>
      <c r="N111" s="22"/>
    </row>
    <row r="112" spans="1:14">
      <c r="A112" s="64" t="s">
        <v>75</v>
      </c>
      <c r="B112" s="22"/>
      <c r="C112" s="22"/>
      <c r="D112" s="22"/>
      <c r="E112" s="22"/>
      <c r="F112" s="22"/>
      <c r="G112" s="22"/>
      <c r="H112" s="22"/>
      <c r="I112" s="22"/>
      <c r="J112" s="22"/>
      <c r="K112" s="22"/>
      <c r="L112" s="22"/>
      <c r="M112" s="22"/>
      <c r="N112" s="22"/>
    </row>
    <row r="113" spans="1:14">
      <c r="A113" s="64" t="s">
        <v>66</v>
      </c>
      <c r="B113" s="111">
        <v>-2275</v>
      </c>
      <c r="C113" s="111">
        <v>26425</v>
      </c>
      <c r="D113" s="111">
        <v>-2275</v>
      </c>
      <c r="E113" s="113"/>
      <c r="F113" s="111">
        <v>3150</v>
      </c>
      <c r="G113" s="111">
        <v>8925</v>
      </c>
      <c r="H113" s="111">
        <v>-8998</v>
      </c>
      <c r="I113" s="113"/>
      <c r="J113" s="111">
        <v>-45695</v>
      </c>
      <c r="K113" s="111">
        <v>-14119</v>
      </c>
      <c r="L113" s="111">
        <v>6898</v>
      </c>
      <c r="M113" s="113"/>
      <c r="N113" s="111">
        <v>-27964</v>
      </c>
    </row>
    <row r="114" spans="1:14">
      <c r="A114" s="64" t="s">
        <v>76</v>
      </c>
      <c r="B114" s="107">
        <f>SUM(B111:B113)</f>
        <v>-2275</v>
      </c>
      <c r="C114" s="107">
        <f>SUM(C111:C113)</f>
        <v>26425</v>
      </c>
      <c r="D114" s="107">
        <f>SUM(D111:D113)</f>
        <v>-2275</v>
      </c>
      <c r="E114" s="107"/>
      <c r="F114" s="107">
        <f>SUM(F111:F113)</f>
        <v>3150</v>
      </c>
      <c r="G114" s="107">
        <f>SUM(G111:G113)</f>
        <v>8925</v>
      </c>
      <c r="H114" s="107">
        <f>SUM(H111:H113)</f>
        <v>-8998</v>
      </c>
      <c r="I114" s="107"/>
      <c r="J114" s="107">
        <f>SUM(J111:J113)</f>
        <v>-45695</v>
      </c>
      <c r="K114" s="107">
        <f>SUM(K111:K113)</f>
        <v>-14119</v>
      </c>
      <c r="L114" s="107">
        <f>SUM(L111:L113)</f>
        <v>6898</v>
      </c>
      <c r="M114" s="107"/>
      <c r="N114" s="107">
        <v>-27964</v>
      </c>
    </row>
    <row r="115" spans="1:14">
      <c r="A115" s="64"/>
      <c r="B115" s="113"/>
      <c r="C115" s="113"/>
      <c r="D115" s="113"/>
      <c r="E115" s="113"/>
      <c r="F115" s="113"/>
      <c r="G115" s="113"/>
      <c r="H115" s="113"/>
      <c r="I115" s="113"/>
      <c r="J115" s="113"/>
      <c r="K115" s="113"/>
      <c r="L115" s="113"/>
      <c r="M115" s="113"/>
      <c r="N115" s="113"/>
    </row>
    <row r="116" spans="1:14">
      <c r="A116" s="64" t="s">
        <v>44</v>
      </c>
      <c r="B116" s="107">
        <f t="shared" ref="B116:M116" si="45">SUM(B91:B115)-B95-B99-B103-B106-B110-B114</f>
        <v>2839.0800000000017</v>
      </c>
      <c r="C116" s="107">
        <f t="shared" si="45"/>
        <v>-13655.36</v>
      </c>
      <c r="D116" s="107">
        <f t="shared" si="45"/>
        <v>3627.0000000000064</v>
      </c>
      <c r="E116" s="107">
        <f t="shared" si="45"/>
        <v>-7800.3900000000021</v>
      </c>
      <c r="F116" s="107">
        <f t="shared" si="45"/>
        <v>32095.539999999994</v>
      </c>
      <c r="G116" s="107">
        <f t="shared" si="45"/>
        <v>-5431.8599999999969</v>
      </c>
      <c r="H116" s="107">
        <f t="shared" si="45"/>
        <v>2525.7900000000054</v>
      </c>
      <c r="I116" s="107">
        <f t="shared" si="45"/>
        <v>116043.47000000004</v>
      </c>
      <c r="J116" s="107">
        <f t="shared" si="45"/>
        <v>11184.690000000017</v>
      </c>
      <c r="K116" s="107">
        <f t="shared" si="45"/>
        <v>-10724.950000000004</v>
      </c>
      <c r="L116" s="107">
        <f t="shared" si="45"/>
        <v>10313.190000000002</v>
      </c>
      <c r="M116" s="107">
        <f t="shared" si="45"/>
        <v>6082.2399999999989</v>
      </c>
      <c r="N116" s="107">
        <v>147098.44</v>
      </c>
    </row>
    <row r="117" spans="1:14">
      <c r="A117" s="64"/>
      <c r="B117" s="22"/>
      <c r="C117" s="22"/>
      <c r="D117" s="22"/>
      <c r="E117" s="22"/>
      <c r="F117" s="22"/>
      <c r="G117" s="22"/>
      <c r="H117" s="22"/>
      <c r="I117" s="22"/>
      <c r="J117" s="22"/>
      <c r="K117" s="22"/>
      <c r="L117" s="22"/>
      <c r="M117" s="22"/>
      <c r="N117" s="22"/>
    </row>
    <row r="118" spans="1:14">
      <c r="A118" s="64" t="s">
        <v>45</v>
      </c>
      <c r="B118" s="22"/>
      <c r="C118" s="22"/>
      <c r="D118" s="22"/>
      <c r="E118" s="22"/>
      <c r="F118" s="22"/>
      <c r="G118" s="22"/>
      <c r="H118" s="22"/>
      <c r="I118" s="22"/>
      <c r="J118" s="22"/>
      <c r="K118" s="22"/>
      <c r="L118" s="22"/>
      <c r="M118" s="22"/>
      <c r="N118" s="22"/>
    </row>
    <row r="119" spans="1:14">
      <c r="A119" s="64"/>
      <c r="B119" s="22"/>
      <c r="C119" s="22"/>
      <c r="D119" s="22"/>
      <c r="E119" s="22"/>
      <c r="F119" s="22"/>
      <c r="G119" s="22"/>
      <c r="H119" s="22"/>
      <c r="I119" s="22"/>
      <c r="J119" s="22"/>
      <c r="K119" s="22"/>
      <c r="L119" s="22"/>
      <c r="M119" s="22"/>
      <c r="N119" s="22"/>
    </row>
    <row r="120" spans="1:14">
      <c r="A120" s="64" t="s">
        <v>19</v>
      </c>
      <c r="B120" s="22"/>
      <c r="C120" s="22"/>
      <c r="D120" s="22"/>
      <c r="E120" s="22"/>
      <c r="F120" s="22"/>
      <c r="G120" s="22"/>
      <c r="H120" s="22"/>
      <c r="I120" s="22"/>
      <c r="J120" s="22"/>
      <c r="K120" s="22"/>
      <c r="L120" s="22"/>
      <c r="M120" s="22"/>
      <c r="N120" s="22"/>
    </row>
    <row r="121" spans="1:14">
      <c r="A121" s="64" t="s">
        <v>78</v>
      </c>
      <c r="B121" s="107">
        <v>-5195</v>
      </c>
      <c r="C121" s="107">
        <v>1425</v>
      </c>
      <c r="D121" s="22"/>
      <c r="E121" s="22"/>
      <c r="F121" s="22"/>
      <c r="G121" s="107">
        <v>-1425</v>
      </c>
      <c r="H121" s="107">
        <v>2385</v>
      </c>
      <c r="I121" s="107">
        <v>2640</v>
      </c>
      <c r="J121" s="107">
        <v>-90</v>
      </c>
      <c r="K121" s="107">
        <v>7790</v>
      </c>
      <c r="L121" s="22"/>
      <c r="M121" s="22"/>
      <c r="N121" s="107">
        <v>7530</v>
      </c>
    </row>
    <row r="122" spans="1:14">
      <c r="A122" s="64" t="s">
        <v>315</v>
      </c>
      <c r="B122" s="22"/>
      <c r="C122" s="22"/>
      <c r="D122" s="22"/>
      <c r="E122" s="22"/>
      <c r="F122" s="22"/>
      <c r="G122" s="22"/>
      <c r="H122" s="107">
        <v>345</v>
      </c>
      <c r="I122" s="107">
        <v>3615</v>
      </c>
      <c r="J122" s="22"/>
      <c r="K122" s="107">
        <v>9720</v>
      </c>
      <c r="L122" s="22"/>
      <c r="M122" s="22"/>
      <c r="N122" s="107">
        <v>13680</v>
      </c>
    </row>
    <row r="123" spans="1:14">
      <c r="A123" s="64" t="s">
        <v>80</v>
      </c>
      <c r="B123" s="22"/>
      <c r="C123" s="107">
        <v>321.26</v>
      </c>
      <c r="D123" s="22"/>
      <c r="E123" s="22"/>
      <c r="F123" s="107">
        <v>47.22</v>
      </c>
      <c r="G123" s="22"/>
      <c r="H123" s="107">
        <v>80.69</v>
      </c>
      <c r="I123" s="22"/>
      <c r="J123" s="22"/>
      <c r="K123" s="22"/>
      <c r="L123" s="22"/>
      <c r="M123" s="22"/>
      <c r="N123" s="107">
        <v>449.17</v>
      </c>
    </row>
    <row r="124" spans="1:14">
      <c r="A124" s="64" t="s">
        <v>354</v>
      </c>
      <c r="B124" s="22"/>
      <c r="C124" s="22"/>
      <c r="D124" s="22"/>
      <c r="E124" s="22"/>
      <c r="F124" s="22"/>
      <c r="G124" s="22"/>
      <c r="H124" s="22"/>
      <c r="I124" s="22"/>
      <c r="J124" s="22"/>
      <c r="K124" s="22"/>
      <c r="L124" s="22"/>
      <c r="M124" s="22"/>
      <c r="N124" s="22"/>
    </row>
    <row r="125" spans="1:14">
      <c r="A125" s="64" t="s">
        <v>84</v>
      </c>
      <c r="B125" s="111">
        <v>5195</v>
      </c>
      <c r="C125" s="111">
        <v>-1746.26</v>
      </c>
      <c r="D125" s="113"/>
      <c r="E125" s="113"/>
      <c r="F125" s="111">
        <v>-47.22</v>
      </c>
      <c r="G125" s="111">
        <v>1425</v>
      </c>
      <c r="H125" s="111">
        <v>-2810.69</v>
      </c>
      <c r="I125" s="111">
        <v>-6255</v>
      </c>
      <c r="J125" s="111">
        <v>90</v>
      </c>
      <c r="K125" s="111">
        <v>-17510</v>
      </c>
      <c r="L125" s="113"/>
      <c r="M125" s="113"/>
      <c r="N125" s="111">
        <v>-21659.17</v>
      </c>
    </row>
    <row r="126" spans="1:14">
      <c r="A126" s="64"/>
      <c r="B126" s="22"/>
      <c r="C126" s="22"/>
      <c r="D126" s="22"/>
      <c r="E126" s="22"/>
      <c r="F126" s="22"/>
      <c r="G126" s="22"/>
      <c r="H126" s="22"/>
      <c r="I126" s="22"/>
      <c r="J126" s="22"/>
      <c r="K126" s="22"/>
      <c r="L126" s="22"/>
      <c r="M126" s="22"/>
      <c r="N126" s="22"/>
    </row>
    <row r="127" spans="1:14">
      <c r="A127" s="64" t="s">
        <v>20</v>
      </c>
      <c r="B127" s="113"/>
      <c r="C127" s="113"/>
      <c r="D127" s="113"/>
      <c r="E127" s="113"/>
      <c r="F127" s="113"/>
      <c r="G127" s="113"/>
      <c r="H127" s="113"/>
      <c r="I127" s="113"/>
      <c r="J127" s="113"/>
      <c r="K127" s="113"/>
      <c r="L127" s="113"/>
      <c r="M127" s="113"/>
      <c r="N127" s="113"/>
    </row>
    <row r="128" spans="1:14">
      <c r="A128" s="64"/>
      <c r="B128" s="22"/>
      <c r="C128" s="22"/>
      <c r="D128" s="22"/>
      <c r="E128" s="22"/>
      <c r="F128" s="22"/>
      <c r="G128" s="22"/>
      <c r="H128" s="22"/>
      <c r="I128" s="22"/>
      <c r="J128" s="22"/>
      <c r="K128" s="22"/>
      <c r="L128" s="22"/>
      <c r="M128" s="22"/>
      <c r="N128" s="22"/>
    </row>
    <row r="129" spans="1:14">
      <c r="A129" s="64" t="s">
        <v>88</v>
      </c>
      <c r="B129" s="22"/>
      <c r="C129" s="22"/>
      <c r="D129" s="22"/>
      <c r="E129" s="22"/>
      <c r="F129" s="22"/>
      <c r="G129" s="22"/>
      <c r="H129" s="22"/>
      <c r="I129" s="22"/>
      <c r="J129" s="22"/>
      <c r="K129" s="22"/>
      <c r="L129" s="22"/>
      <c r="M129" s="22"/>
      <c r="N129" s="22"/>
    </row>
    <row r="130" spans="1:14">
      <c r="A130" s="64" t="s">
        <v>89</v>
      </c>
      <c r="B130" s="107">
        <v>23070.41</v>
      </c>
      <c r="C130" s="107">
        <v>14634.06</v>
      </c>
      <c r="D130" s="107">
        <v>16535.47</v>
      </c>
      <c r="E130" s="107">
        <v>11867.03</v>
      </c>
      <c r="F130" s="107">
        <v>15443.61</v>
      </c>
      <c r="G130" s="107">
        <v>17619.05</v>
      </c>
      <c r="H130" s="107">
        <v>20082.21</v>
      </c>
      <c r="I130" s="107">
        <v>21158.28</v>
      </c>
      <c r="J130" s="107">
        <v>16705.939999999999</v>
      </c>
      <c r="K130" s="107">
        <v>7780.16</v>
      </c>
      <c r="L130" s="107">
        <v>13663.93</v>
      </c>
      <c r="M130" s="107">
        <v>23806.81</v>
      </c>
      <c r="N130" s="107">
        <v>202366.96</v>
      </c>
    </row>
    <row r="131" spans="1:14">
      <c r="A131" s="64" t="s">
        <v>90</v>
      </c>
      <c r="B131" s="107">
        <v>54290</v>
      </c>
      <c r="C131" s="107">
        <v>51555</v>
      </c>
      <c r="D131" s="107">
        <v>49590</v>
      </c>
      <c r="E131" s="107">
        <v>43065</v>
      </c>
      <c r="F131" s="107">
        <v>34635</v>
      </c>
      <c r="G131" s="107">
        <v>41115</v>
      </c>
      <c r="H131" s="107">
        <v>34730</v>
      </c>
      <c r="I131" s="107">
        <v>46255</v>
      </c>
      <c r="J131" s="107">
        <v>40475</v>
      </c>
      <c r="K131" s="107">
        <v>26690</v>
      </c>
      <c r="L131" s="107">
        <v>36405</v>
      </c>
      <c r="M131" s="107">
        <v>38560</v>
      </c>
      <c r="N131" s="107">
        <v>497365</v>
      </c>
    </row>
    <row r="132" spans="1:14">
      <c r="A132" s="64" t="s">
        <v>91</v>
      </c>
      <c r="B132" s="107">
        <v>43360</v>
      </c>
      <c r="C132" s="107">
        <v>37690</v>
      </c>
      <c r="D132" s="107">
        <v>38825</v>
      </c>
      <c r="E132" s="107">
        <v>33540</v>
      </c>
      <c r="F132" s="107">
        <v>27850</v>
      </c>
      <c r="G132" s="107">
        <v>31875</v>
      </c>
      <c r="H132" s="107">
        <v>23585</v>
      </c>
      <c r="I132" s="107">
        <v>35825</v>
      </c>
      <c r="J132" s="107">
        <v>31540</v>
      </c>
      <c r="K132" s="107">
        <v>22705</v>
      </c>
      <c r="L132" s="107">
        <v>28115</v>
      </c>
      <c r="M132" s="107">
        <v>37050</v>
      </c>
      <c r="N132" s="107">
        <v>391960</v>
      </c>
    </row>
    <row r="133" spans="1:14">
      <c r="A133" s="64" t="s">
        <v>92</v>
      </c>
      <c r="B133" s="107">
        <v>12250</v>
      </c>
      <c r="C133" s="107">
        <v>12550</v>
      </c>
      <c r="D133" s="107">
        <v>10790</v>
      </c>
      <c r="E133" s="107">
        <v>9780</v>
      </c>
      <c r="F133" s="107">
        <v>9785</v>
      </c>
      <c r="G133" s="107">
        <v>12370</v>
      </c>
      <c r="H133" s="107">
        <v>7245</v>
      </c>
      <c r="I133" s="107">
        <v>12475</v>
      </c>
      <c r="J133" s="107">
        <v>14315</v>
      </c>
      <c r="K133" s="107">
        <v>15780</v>
      </c>
      <c r="L133" s="107">
        <v>11270</v>
      </c>
      <c r="M133" s="107">
        <v>10665</v>
      </c>
      <c r="N133" s="107">
        <v>139275</v>
      </c>
    </row>
    <row r="134" spans="1:14">
      <c r="A134" s="64" t="s">
        <v>94</v>
      </c>
      <c r="B134" s="107">
        <v>900</v>
      </c>
      <c r="C134" s="107">
        <v>4050</v>
      </c>
      <c r="D134" s="107">
        <v>4500</v>
      </c>
      <c r="E134" s="107">
        <v>2250</v>
      </c>
      <c r="F134" s="107">
        <v>2700</v>
      </c>
      <c r="G134" s="107">
        <v>450</v>
      </c>
      <c r="H134" s="107">
        <v>1350</v>
      </c>
      <c r="I134" s="107">
        <v>3600</v>
      </c>
      <c r="J134" s="107">
        <v>4950</v>
      </c>
      <c r="K134" s="107">
        <v>1350</v>
      </c>
      <c r="L134" s="107">
        <v>1800</v>
      </c>
      <c r="M134" s="107">
        <v>4050</v>
      </c>
      <c r="N134" s="107">
        <v>31950</v>
      </c>
    </row>
    <row r="135" spans="1:14">
      <c r="A135" s="64" t="s">
        <v>95</v>
      </c>
      <c r="B135" s="107">
        <v>4789.68</v>
      </c>
      <c r="C135" s="107">
        <v>3958.4</v>
      </c>
      <c r="D135" s="107">
        <v>5253.57</v>
      </c>
      <c r="E135" s="107">
        <v>1170.5899999999999</v>
      </c>
      <c r="F135" s="107">
        <v>2737.49</v>
      </c>
      <c r="G135" s="107">
        <v>3767.9</v>
      </c>
      <c r="H135" s="107">
        <v>4287.12</v>
      </c>
      <c r="I135" s="107">
        <v>6348</v>
      </c>
      <c r="J135" s="107">
        <v>2988.62</v>
      </c>
      <c r="K135" s="107">
        <v>1891.78</v>
      </c>
      <c r="L135" s="107">
        <v>2167.83</v>
      </c>
      <c r="M135" s="107">
        <v>2187.19</v>
      </c>
      <c r="N135" s="107">
        <v>41548.17</v>
      </c>
    </row>
    <row r="136" spans="1:14">
      <c r="A136" s="64" t="s">
        <v>98</v>
      </c>
      <c r="B136" s="111">
        <v>-138660.09</v>
      </c>
      <c r="C136" s="111">
        <v>-124437.46</v>
      </c>
      <c r="D136" s="111">
        <v>-125494.04</v>
      </c>
      <c r="E136" s="111">
        <v>-101672.62</v>
      </c>
      <c r="F136" s="111">
        <v>-93151.1</v>
      </c>
      <c r="G136" s="111">
        <v>-107196.95</v>
      </c>
      <c r="H136" s="111">
        <v>-91279.33</v>
      </c>
      <c r="I136" s="111">
        <v>-125661.28</v>
      </c>
      <c r="J136" s="111">
        <v>-110974.56</v>
      </c>
      <c r="K136" s="111">
        <v>-76196.94</v>
      </c>
      <c r="L136" s="111">
        <v>-93421.759999999995</v>
      </c>
      <c r="M136" s="111">
        <v>-116319</v>
      </c>
      <c r="N136" s="111">
        <v>-1304465.1299999999</v>
      </c>
    </row>
    <row r="137" spans="1:14">
      <c r="A137" s="64"/>
      <c r="B137" s="22"/>
      <c r="C137" s="22"/>
      <c r="D137" s="22"/>
      <c r="E137" s="22"/>
      <c r="F137" s="22"/>
      <c r="G137" s="22"/>
      <c r="H137" s="22"/>
      <c r="I137" s="22"/>
      <c r="J137" s="22"/>
      <c r="K137" s="22"/>
      <c r="L137" s="22"/>
      <c r="M137" s="22"/>
      <c r="N137" s="22"/>
    </row>
    <row r="138" spans="1:14">
      <c r="A138" s="64" t="s">
        <v>99</v>
      </c>
      <c r="B138" s="22"/>
      <c r="C138" s="22"/>
      <c r="D138" s="22"/>
      <c r="E138" s="22"/>
      <c r="F138" s="22"/>
      <c r="G138" s="22"/>
      <c r="H138" s="22"/>
      <c r="I138" s="22"/>
      <c r="J138" s="22"/>
      <c r="K138" s="22"/>
      <c r="L138" s="22"/>
      <c r="M138" s="22"/>
      <c r="N138" s="22"/>
    </row>
    <row r="139" spans="1:14">
      <c r="A139" s="64" t="s">
        <v>100</v>
      </c>
      <c r="B139" s="107">
        <v>15310</v>
      </c>
      <c r="C139" s="107">
        <v>6995</v>
      </c>
      <c r="D139" s="107">
        <v>4170</v>
      </c>
      <c r="E139" s="107">
        <v>-1210</v>
      </c>
      <c r="F139" s="22"/>
      <c r="G139" s="107">
        <v>425</v>
      </c>
      <c r="H139" s="107">
        <v>3080</v>
      </c>
      <c r="I139" s="107">
        <v>16320</v>
      </c>
      <c r="J139" s="107">
        <v>14420</v>
      </c>
      <c r="K139" s="107">
        <v>7590</v>
      </c>
      <c r="L139" s="107">
        <v>11060</v>
      </c>
      <c r="M139" s="107">
        <v>2620</v>
      </c>
      <c r="N139" s="107">
        <v>80780</v>
      </c>
    </row>
    <row r="140" spans="1:14">
      <c r="A140" s="64" t="s">
        <v>101</v>
      </c>
      <c r="B140" s="107">
        <v>8545</v>
      </c>
      <c r="C140" s="107">
        <v>9685</v>
      </c>
      <c r="D140" s="107">
        <v>-2525</v>
      </c>
      <c r="E140" s="107">
        <v>-4015</v>
      </c>
      <c r="F140" s="107">
        <v>2560</v>
      </c>
      <c r="G140" s="107">
        <v>2980</v>
      </c>
      <c r="H140" s="22"/>
      <c r="I140" s="107">
        <v>1465</v>
      </c>
      <c r="J140" s="107">
        <v>5525</v>
      </c>
      <c r="K140" s="107">
        <v>13020</v>
      </c>
      <c r="L140" s="107">
        <v>9690</v>
      </c>
      <c r="M140" s="107">
        <v>-795</v>
      </c>
      <c r="N140" s="107">
        <v>46135</v>
      </c>
    </row>
    <row r="141" spans="1:14">
      <c r="A141" s="64" t="s">
        <v>102</v>
      </c>
      <c r="B141" s="107">
        <v>4385</v>
      </c>
      <c r="C141" s="107">
        <v>6770</v>
      </c>
      <c r="D141" s="107">
        <v>1690</v>
      </c>
      <c r="E141" s="107">
        <v>-700</v>
      </c>
      <c r="F141" s="22"/>
      <c r="G141" s="22"/>
      <c r="H141" s="22"/>
      <c r="I141" s="107">
        <v>1335</v>
      </c>
      <c r="J141" s="107">
        <v>2525</v>
      </c>
      <c r="K141" s="107">
        <v>-655</v>
      </c>
      <c r="L141" s="107">
        <v>1270</v>
      </c>
      <c r="M141" s="107">
        <v>-540</v>
      </c>
      <c r="N141" s="107">
        <v>16080</v>
      </c>
    </row>
    <row r="142" spans="1:14">
      <c r="A142" s="64" t="s">
        <v>103</v>
      </c>
      <c r="B142" s="111">
        <v>-18253.919999999998</v>
      </c>
      <c r="C142" s="111">
        <v>-14377.49</v>
      </c>
      <c r="D142" s="111">
        <v>-1845.38</v>
      </c>
      <c r="E142" s="111">
        <v>3418.56</v>
      </c>
      <c r="F142" s="111">
        <v>-1736.87</v>
      </c>
      <c r="G142" s="111">
        <v>-2383.83</v>
      </c>
      <c r="H142" s="111">
        <v>-2172.0700000000002</v>
      </c>
      <c r="I142" s="111">
        <v>-13495.87</v>
      </c>
      <c r="J142" s="111">
        <v>-14445.67</v>
      </c>
      <c r="K142" s="111">
        <v>-12758.24</v>
      </c>
      <c r="L142" s="111">
        <v>-15241.62</v>
      </c>
      <c r="M142" s="111">
        <v>-828.46</v>
      </c>
      <c r="N142" s="111">
        <v>-94120.86</v>
      </c>
    </row>
    <row r="143" spans="1:14">
      <c r="A143" s="64" t="s">
        <v>104</v>
      </c>
      <c r="B143" s="107">
        <f t="shared" ref="B143:M143" si="46">SUM(B138:B142)</f>
        <v>9986.0800000000017</v>
      </c>
      <c r="C143" s="107">
        <f t="shared" si="46"/>
        <v>9072.51</v>
      </c>
      <c r="D143" s="107">
        <f t="shared" si="46"/>
        <v>1489.62</v>
      </c>
      <c r="E143" s="107">
        <f t="shared" si="46"/>
        <v>-2506.44</v>
      </c>
      <c r="F143" s="107">
        <f t="shared" si="46"/>
        <v>823.13000000000011</v>
      </c>
      <c r="G143" s="107">
        <f t="shared" si="46"/>
        <v>1021.1700000000001</v>
      </c>
      <c r="H143" s="107">
        <f t="shared" si="46"/>
        <v>907.92999999999984</v>
      </c>
      <c r="I143" s="107">
        <f t="shared" si="46"/>
        <v>5624.1299999999992</v>
      </c>
      <c r="J143" s="107">
        <f t="shared" si="46"/>
        <v>8024.33</v>
      </c>
      <c r="K143" s="107">
        <f t="shared" si="46"/>
        <v>7196.76</v>
      </c>
      <c r="L143" s="107">
        <f t="shared" si="46"/>
        <v>6778.3799999999992</v>
      </c>
      <c r="M143" s="107">
        <f t="shared" si="46"/>
        <v>456.53999999999996</v>
      </c>
      <c r="N143" s="107">
        <v>48874.14</v>
      </c>
    </row>
    <row r="144" spans="1:14">
      <c r="A144" s="64"/>
      <c r="B144" s="22"/>
      <c r="C144" s="22"/>
      <c r="D144" s="22"/>
      <c r="E144" s="22"/>
      <c r="F144" s="22"/>
      <c r="G144" s="22"/>
      <c r="H144" s="22"/>
      <c r="I144" s="22"/>
      <c r="J144" s="22"/>
      <c r="K144" s="22"/>
      <c r="L144" s="22"/>
      <c r="M144" s="22"/>
      <c r="N144" s="22"/>
    </row>
    <row r="145" spans="1:14">
      <c r="A145" s="64" t="s">
        <v>105</v>
      </c>
      <c r="B145" s="113"/>
      <c r="C145" s="113"/>
      <c r="D145" s="113"/>
      <c r="E145" s="113"/>
      <c r="F145" s="113"/>
      <c r="G145" s="113"/>
      <c r="H145" s="113"/>
      <c r="I145" s="113"/>
      <c r="J145" s="113"/>
      <c r="K145" s="113"/>
      <c r="L145" s="113"/>
      <c r="M145" s="113"/>
      <c r="N145" s="113"/>
    </row>
    <row r="146" spans="1:14">
      <c r="A146" s="64"/>
      <c r="B146" s="22"/>
      <c r="C146" s="22"/>
      <c r="D146" s="22"/>
      <c r="E146" s="22"/>
      <c r="F146" s="22"/>
      <c r="G146" s="22"/>
      <c r="H146" s="22"/>
      <c r="I146" s="22"/>
      <c r="J146" s="22"/>
      <c r="K146" s="22"/>
      <c r="L146" s="22"/>
      <c r="M146" s="22"/>
      <c r="N146" s="22"/>
    </row>
    <row r="147" spans="1:14">
      <c r="A147" s="64" t="s">
        <v>106</v>
      </c>
      <c r="B147" s="22"/>
      <c r="C147" s="22"/>
      <c r="D147" s="22"/>
      <c r="E147" s="22"/>
      <c r="F147" s="22"/>
      <c r="G147" s="22"/>
      <c r="H147" s="22"/>
      <c r="I147" s="22"/>
      <c r="J147" s="22"/>
      <c r="K147" s="22"/>
      <c r="L147" s="22"/>
      <c r="M147" s="22"/>
      <c r="N147" s="22"/>
    </row>
    <row r="148" spans="1:14">
      <c r="A148" s="64" t="s">
        <v>107</v>
      </c>
      <c r="B148" s="107">
        <v>24451.24</v>
      </c>
      <c r="C148" s="107">
        <v>18102.21</v>
      </c>
      <c r="D148" s="107">
        <v>21293.919999999998</v>
      </c>
      <c r="E148" s="107">
        <v>30164.36</v>
      </c>
      <c r="F148" s="107">
        <v>41379.86</v>
      </c>
      <c r="G148" s="107">
        <v>25619.32</v>
      </c>
      <c r="H148" s="107">
        <v>21625.1</v>
      </c>
      <c r="I148" s="107">
        <v>40450.699999999997</v>
      </c>
      <c r="J148" s="107">
        <v>40419.86</v>
      </c>
      <c r="K148" s="107">
        <v>39737.65</v>
      </c>
      <c r="L148" s="107">
        <v>38339.199999999997</v>
      </c>
      <c r="M148" s="107">
        <v>33781.379999999997</v>
      </c>
      <c r="N148" s="107">
        <v>375364.8</v>
      </c>
    </row>
    <row r="149" spans="1:14">
      <c r="A149" s="64" t="s">
        <v>108</v>
      </c>
      <c r="B149" s="107">
        <v>84345</v>
      </c>
      <c r="C149" s="107">
        <v>79270</v>
      </c>
      <c r="D149" s="107">
        <v>95315</v>
      </c>
      <c r="E149" s="107">
        <v>100400</v>
      </c>
      <c r="F149" s="107">
        <v>100815</v>
      </c>
      <c r="G149" s="107">
        <v>83575</v>
      </c>
      <c r="H149" s="107">
        <v>85235</v>
      </c>
      <c r="I149" s="107">
        <v>88710</v>
      </c>
      <c r="J149" s="107">
        <v>74635</v>
      </c>
      <c r="K149" s="107">
        <v>89675</v>
      </c>
      <c r="L149" s="107">
        <v>76415</v>
      </c>
      <c r="M149" s="107">
        <v>66195</v>
      </c>
      <c r="N149" s="107">
        <v>1024585</v>
      </c>
    </row>
    <row r="150" spans="1:14">
      <c r="A150" s="64" t="s">
        <v>109</v>
      </c>
      <c r="B150" s="107">
        <v>65440</v>
      </c>
      <c r="C150" s="107">
        <v>52040</v>
      </c>
      <c r="D150" s="107">
        <v>76525</v>
      </c>
      <c r="E150" s="107">
        <v>75045</v>
      </c>
      <c r="F150" s="107">
        <v>79570</v>
      </c>
      <c r="G150" s="107">
        <v>61320</v>
      </c>
      <c r="H150" s="107">
        <v>56355</v>
      </c>
      <c r="I150" s="107">
        <v>67110</v>
      </c>
      <c r="J150" s="107">
        <v>63785</v>
      </c>
      <c r="K150" s="107">
        <v>81105</v>
      </c>
      <c r="L150" s="107">
        <v>62105</v>
      </c>
      <c r="M150" s="107">
        <v>70410</v>
      </c>
      <c r="N150" s="107">
        <v>810810</v>
      </c>
    </row>
    <row r="151" spans="1:14">
      <c r="A151" s="64" t="s">
        <v>110</v>
      </c>
      <c r="B151" s="107">
        <v>24530</v>
      </c>
      <c r="C151" s="107">
        <v>18870</v>
      </c>
      <c r="D151" s="107">
        <v>22580</v>
      </c>
      <c r="E151" s="107">
        <v>21200</v>
      </c>
      <c r="F151" s="107">
        <v>20655</v>
      </c>
      <c r="G151" s="107">
        <v>17740</v>
      </c>
      <c r="H151" s="107">
        <v>16555</v>
      </c>
      <c r="I151" s="107">
        <v>22515</v>
      </c>
      <c r="J151" s="107">
        <v>19520</v>
      </c>
      <c r="K151" s="107">
        <v>26265</v>
      </c>
      <c r="L151" s="107">
        <v>25720</v>
      </c>
      <c r="M151" s="107">
        <v>20850</v>
      </c>
      <c r="N151" s="107">
        <v>257000</v>
      </c>
    </row>
    <row r="152" spans="1:14">
      <c r="A152" s="64" t="s">
        <v>111</v>
      </c>
      <c r="B152" s="107">
        <v>2700</v>
      </c>
      <c r="C152" s="107">
        <v>4500</v>
      </c>
      <c r="D152" s="107">
        <v>4050</v>
      </c>
      <c r="E152" s="107">
        <v>3600</v>
      </c>
      <c r="F152" s="107">
        <v>8550</v>
      </c>
      <c r="G152" s="107">
        <v>5400</v>
      </c>
      <c r="H152" s="107">
        <v>2700</v>
      </c>
      <c r="I152" s="107">
        <v>5400</v>
      </c>
      <c r="J152" s="107">
        <v>4050</v>
      </c>
      <c r="K152" s="107">
        <v>3600</v>
      </c>
      <c r="L152" s="107">
        <v>4950</v>
      </c>
      <c r="M152" s="107">
        <v>6300</v>
      </c>
      <c r="N152" s="107">
        <v>55800</v>
      </c>
    </row>
    <row r="153" spans="1:14">
      <c r="A153" s="64" t="s">
        <v>112</v>
      </c>
      <c r="B153" s="107">
        <v>1248.54</v>
      </c>
      <c r="C153" s="107">
        <v>5213.59</v>
      </c>
      <c r="D153" s="107">
        <v>5228.78</v>
      </c>
      <c r="E153" s="107">
        <v>5312.99</v>
      </c>
      <c r="F153" s="107">
        <v>8458.6200000000008</v>
      </c>
      <c r="G153" s="107">
        <v>6620.53</v>
      </c>
      <c r="H153" s="107">
        <v>7326.09</v>
      </c>
      <c r="I153" s="107">
        <v>7217.69</v>
      </c>
      <c r="J153" s="107">
        <v>3008.18</v>
      </c>
      <c r="K153" s="107">
        <v>4661.6499999999996</v>
      </c>
      <c r="L153" s="107">
        <v>4313.1099999999997</v>
      </c>
      <c r="M153" s="107">
        <v>3673.86</v>
      </c>
      <c r="N153" s="107">
        <v>62283.63</v>
      </c>
    </row>
    <row r="154" spans="1:14">
      <c r="A154" s="64" t="s">
        <v>414</v>
      </c>
      <c r="B154" s="22"/>
      <c r="C154" s="22"/>
      <c r="D154" s="22"/>
      <c r="E154" s="22"/>
      <c r="F154" s="22"/>
      <c r="G154" s="22"/>
      <c r="H154" s="22"/>
      <c r="I154" s="22"/>
      <c r="J154" s="22"/>
      <c r="K154" s="22"/>
      <c r="L154" s="22"/>
      <c r="M154" s="107">
        <v>150</v>
      </c>
      <c r="N154" s="107">
        <v>150</v>
      </c>
    </row>
    <row r="155" spans="1:14">
      <c r="A155" s="64" t="s">
        <v>115</v>
      </c>
      <c r="B155" s="111">
        <v>-198692.66</v>
      </c>
      <c r="C155" s="111">
        <v>-171740.71</v>
      </c>
      <c r="D155" s="111">
        <v>-212841.66</v>
      </c>
      <c r="E155" s="111">
        <v>-224847.13</v>
      </c>
      <c r="F155" s="111">
        <v>-254678.7</v>
      </c>
      <c r="G155" s="111">
        <v>-187561.07</v>
      </c>
      <c r="H155" s="111">
        <v>-185203.08</v>
      </c>
      <c r="I155" s="111">
        <v>-227359.37</v>
      </c>
      <c r="J155" s="111">
        <v>-194640.07</v>
      </c>
      <c r="K155" s="111">
        <v>-216093.92</v>
      </c>
      <c r="L155" s="111">
        <v>-215254.22</v>
      </c>
      <c r="M155" s="111">
        <v>-195066.01</v>
      </c>
      <c r="N155" s="111">
        <v>-2483978.6</v>
      </c>
    </row>
    <row r="156" spans="1:14">
      <c r="A156" s="64" t="s">
        <v>116</v>
      </c>
      <c r="B156" s="107">
        <f t="shared" ref="B156:M156" si="47">SUM(B147:B155)</f>
        <v>4022.1199999999953</v>
      </c>
      <c r="C156" s="107">
        <f t="shared" si="47"/>
        <v>6255.0899999999965</v>
      </c>
      <c r="D156" s="107">
        <f t="shared" si="47"/>
        <v>12151.039999999979</v>
      </c>
      <c r="E156" s="107">
        <f t="shared" si="47"/>
        <v>10875.219999999972</v>
      </c>
      <c r="F156" s="107">
        <f t="shared" si="47"/>
        <v>4749.7799999999697</v>
      </c>
      <c r="G156" s="107">
        <f t="shared" si="47"/>
        <v>12713.779999999999</v>
      </c>
      <c r="H156" s="107">
        <f t="shared" si="47"/>
        <v>4593.1100000000151</v>
      </c>
      <c r="I156" s="107">
        <f t="shared" si="47"/>
        <v>4044.0200000000186</v>
      </c>
      <c r="J156" s="107">
        <f t="shared" si="47"/>
        <v>10777.969999999972</v>
      </c>
      <c r="K156" s="107">
        <f t="shared" si="47"/>
        <v>28950.379999999976</v>
      </c>
      <c r="L156" s="107">
        <f t="shared" si="47"/>
        <v>-3411.9100000000035</v>
      </c>
      <c r="M156" s="107">
        <f t="shared" si="47"/>
        <v>6294.2299999999814</v>
      </c>
      <c r="N156" s="107">
        <v>102014.83</v>
      </c>
    </row>
    <row r="157" spans="1:14">
      <c r="A157" s="64"/>
      <c r="B157" s="22"/>
      <c r="C157" s="22"/>
      <c r="D157" s="22"/>
      <c r="E157" s="22"/>
      <c r="F157" s="22"/>
      <c r="G157" s="22"/>
      <c r="H157" s="22"/>
      <c r="I157" s="22"/>
      <c r="J157" s="22"/>
      <c r="K157" s="22"/>
      <c r="L157" s="22"/>
      <c r="M157" s="22"/>
      <c r="N157" s="22"/>
    </row>
    <row r="158" spans="1:14">
      <c r="A158" s="64" t="s">
        <v>117</v>
      </c>
      <c r="B158" s="22"/>
      <c r="C158" s="22"/>
      <c r="D158" s="22"/>
      <c r="E158" s="22"/>
      <c r="F158" s="22"/>
      <c r="G158" s="22"/>
      <c r="H158" s="22"/>
      <c r="I158" s="22"/>
      <c r="J158" s="22"/>
      <c r="K158" s="22"/>
      <c r="L158" s="22"/>
      <c r="M158" s="22"/>
      <c r="N158" s="22"/>
    </row>
    <row r="159" spans="1:14">
      <c r="A159" s="64" t="s">
        <v>282</v>
      </c>
      <c r="B159" s="22"/>
      <c r="C159" s="22"/>
      <c r="D159" s="22"/>
      <c r="E159" s="22"/>
      <c r="F159" s="22"/>
      <c r="G159" s="22"/>
      <c r="H159" s="22"/>
      <c r="I159" s="22"/>
      <c r="J159" s="22"/>
      <c r="K159" s="22"/>
      <c r="L159" s="22"/>
      <c r="M159" s="22"/>
      <c r="N159" s="22"/>
    </row>
    <row r="160" spans="1:14">
      <c r="A160" s="64" t="s">
        <v>119</v>
      </c>
      <c r="B160" s="22"/>
      <c r="C160" s="22"/>
      <c r="D160" s="22"/>
      <c r="E160" s="22"/>
      <c r="F160" s="22"/>
      <c r="G160" s="22"/>
      <c r="H160" s="22"/>
      <c r="I160" s="22"/>
      <c r="J160" s="22"/>
      <c r="K160" s="107">
        <v>1145</v>
      </c>
      <c r="L160" s="107">
        <v>-295</v>
      </c>
      <c r="M160" s="107">
        <v>-425</v>
      </c>
      <c r="N160" s="107">
        <v>425</v>
      </c>
    </row>
    <row r="161" spans="1:14">
      <c r="A161" s="64" t="s">
        <v>120</v>
      </c>
      <c r="B161" s="22"/>
      <c r="C161" s="22"/>
      <c r="D161" s="22"/>
      <c r="E161" s="22"/>
      <c r="F161" s="22"/>
      <c r="G161" s="22"/>
      <c r="H161" s="22"/>
      <c r="I161" s="22"/>
      <c r="J161" s="22"/>
      <c r="K161" s="107">
        <v>995</v>
      </c>
      <c r="L161" s="107">
        <v>-465</v>
      </c>
      <c r="M161" s="107">
        <v>-350</v>
      </c>
      <c r="N161" s="107">
        <v>180</v>
      </c>
    </row>
    <row r="162" spans="1:14">
      <c r="A162" s="64" t="s">
        <v>121</v>
      </c>
      <c r="B162" s="22"/>
      <c r="C162" s="22"/>
      <c r="D162" s="22"/>
      <c r="E162" s="22"/>
      <c r="F162" s="22"/>
      <c r="G162" s="22"/>
      <c r="H162" s="22"/>
      <c r="I162" s="22"/>
      <c r="J162" s="22"/>
      <c r="K162" s="107">
        <v>405</v>
      </c>
      <c r="L162" s="22"/>
      <c r="M162" s="107">
        <v>-405</v>
      </c>
      <c r="N162" s="107"/>
    </row>
    <row r="163" spans="1:14">
      <c r="A163" s="64" t="s">
        <v>355</v>
      </c>
      <c r="B163" s="22"/>
      <c r="C163" s="22"/>
      <c r="D163" s="22"/>
      <c r="E163" s="22"/>
      <c r="F163" s="22"/>
      <c r="G163" s="22"/>
      <c r="H163" s="22"/>
      <c r="I163" s="22"/>
      <c r="J163" s="22"/>
      <c r="K163" s="107">
        <v>450</v>
      </c>
      <c r="L163" s="22"/>
      <c r="M163" s="22"/>
      <c r="N163" s="107">
        <v>450</v>
      </c>
    </row>
    <row r="164" spans="1:14">
      <c r="A164" s="64" t="s">
        <v>123</v>
      </c>
      <c r="B164" s="22"/>
      <c r="C164" s="22"/>
      <c r="D164" s="22"/>
      <c r="E164" s="22"/>
      <c r="F164" s="22"/>
      <c r="G164" s="107">
        <v>880</v>
      </c>
      <c r="H164" s="22"/>
      <c r="I164" s="22"/>
      <c r="J164" s="22"/>
      <c r="K164" s="22"/>
      <c r="L164" s="22"/>
      <c r="M164" s="22"/>
      <c r="N164" s="107">
        <v>880</v>
      </c>
    </row>
    <row r="165" spans="1:14">
      <c r="A165" s="64" t="s">
        <v>125</v>
      </c>
      <c r="B165" s="113"/>
      <c r="C165" s="113"/>
      <c r="D165" s="113"/>
      <c r="E165" s="113"/>
      <c r="F165" s="113"/>
      <c r="G165" s="111">
        <v>352</v>
      </c>
      <c r="H165" s="113"/>
      <c r="I165" s="113"/>
      <c r="J165" s="113"/>
      <c r="K165" s="113"/>
      <c r="L165" s="113"/>
      <c r="M165" s="113"/>
      <c r="N165" s="111">
        <v>352</v>
      </c>
    </row>
    <row r="166" spans="1:14">
      <c r="A166" s="64" t="s">
        <v>127</v>
      </c>
      <c r="B166" s="107"/>
      <c r="C166" s="107"/>
      <c r="D166" s="107"/>
      <c r="E166" s="107"/>
      <c r="F166" s="107"/>
      <c r="G166" s="107">
        <f>SUM(G158:G165)</f>
        <v>1232</v>
      </c>
      <c r="H166" s="107"/>
      <c r="I166" s="107"/>
      <c r="J166" s="107"/>
      <c r="K166" s="107">
        <f>SUM(K158:K165)</f>
        <v>2995</v>
      </c>
      <c r="L166" s="107">
        <f>SUM(L158:L165)</f>
        <v>-760</v>
      </c>
      <c r="M166" s="107">
        <f>SUM(M158:M165)</f>
        <v>-1180</v>
      </c>
      <c r="N166" s="107">
        <v>2287</v>
      </c>
    </row>
    <row r="167" spans="1:14">
      <c r="A167" s="64"/>
      <c r="B167" s="22"/>
      <c r="C167" s="22"/>
      <c r="D167" s="22"/>
      <c r="E167" s="22"/>
      <c r="F167" s="22"/>
      <c r="G167" s="22"/>
      <c r="H167" s="22"/>
      <c r="I167" s="22"/>
      <c r="J167" s="22"/>
      <c r="K167" s="22"/>
      <c r="L167" s="22"/>
      <c r="M167" s="22"/>
      <c r="N167" s="22"/>
    </row>
    <row r="168" spans="1:14">
      <c r="A168" s="64" t="s">
        <v>47</v>
      </c>
      <c r="B168" s="107">
        <f t="shared" ref="B168:M168" si="48">SUM(B118:B167)-0-0-0-B143-0-B156-B166</f>
        <v>14008.200000000026</v>
      </c>
      <c r="C168" s="107">
        <f t="shared" si="48"/>
        <v>15327.599999999984</v>
      </c>
      <c r="D168" s="107">
        <f t="shared" si="48"/>
        <v>13640.66</v>
      </c>
      <c r="E168" s="107">
        <f t="shared" si="48"/>
        <v>8368.7799999999661</v>
      </c>
      <c r="F168" s="107">
        <f t="shared" si="48"/>
        <v>5572.909999999978</v>
      </c>
      <c r="G168" s="107">
        <f t="shared" si="48"/>
        <v>14966.949999999997</v>
      </c>
      <c r="H168" s="107">
        <f t="shared" si="48"/>
        <v>5501.0400000000009</v>
      </c>
      <c r="I168" s="107">
        <f t="shared" si="48"/>
        <v>9668.15</v>
      </c>
      <c r="J168" s="107">
        <f t="shared" si="48"/>
        <v>18802.300000000003</v>
      </c>
      <c r="K168" s="107">
        <f t="shared" si="48"/>
        <v>39142.13999999997</v>
      </c>
      <c r="L168" s="107">
        <f t="shared" si="48"/>
        <v>2606.4699999999775</v>
      </c>
      <c r="M168" s="107">
        <f t="shared" si="48"/>
        <v>5570.7699999999677</v>
      </c>
      <c r="N168" s="107">
        <v>153175.97</v>
      </c>
    </row>
    <row r="169" spans="1:14">
      <c r="A169" s="64"/>
      <c r="B169" s="22"/>
      <c r="C169" s="22"/>
      <c r="D169" s="22"/>
      <c r="E169" s="22"/>
      <c r="F169" s="22"/>
      <c r="G169" s="22"/>
      <c r="H169" s="22"/>
      <c r="I169" s="22"/>
      <c r="J169" s="22"/>
      <c r="K169" s="22"/>
      <c r="L169" s="22"/>
      <c r="M169" s="22"/>
      <c r="N169" s="22"/>
    </row>
    <row r="170" spans="1:14">
      <c r="A170" s="64" t="s">
        <v>48</v>
      </c>
      <c r="B170" s="22"/>
      <c r="C170" s="22"/>
      <c r="D170" s="22"/>
      <c r="E170" s="22"/>
      <c r="F170" s="22"/>
      <c r="G170" s="22"/>
      <c r="H170" s="22"/>
      <c r="I170" s="22"/>
      <c r="J170" s="22"/>
      <c r="K170" s="22"/>
      <c r="L170" s="22"/>
      <c r="M170" s="22"/>
      <c r="N170" s="22"/>
    </row>
    <row r="171" spans="1:14">
      <c r="A171" s="64" t="s">
        <v>130</v>
      </c>
      <c r="B171" s="107">
        <v>65</v>
      </c>
      <c r="C171" s="22"/>
      <c r="D171" s="107">
        <v>65</v>
      </c>
      <c r="E171" s="22"/>
      <c r="F171" s="22"/>
      <c r="G171" s="107">
        <v>65</v>
      </c>
      <c r="H171" s="107">
        <v>65</v>
      </c>
      <c r="I171" s="22"/>
      <c r="J171" s="22"/>
      <c r="K171" s="107">
        <v>65</v>
      </c>
      <c r="L171" s="22"/>
      <c r="M171" s="22"/>
      <c r="N171" s="107">
        <v>325</v>
      </c>
    </row>
    <row r="172" spans="1:14">
      <c r="A172" s="64" t="s">
        <v>132</v>
      </c>
      <c r="B172" s="107">
        <v>13360</v>
      </c>
      <c r="C172" s="107">
        <v>201.72</v>
      </c>
      <c r="D172" s="22"/>
      <c r="E172" s="22"/>
      <c r="F172" s="107">
        <v>17203.740000000002</v>
      </c>
      <c r="G172" s="107">
        <v>-371.7</v>
      </c>
      <c r="H172" s="107">
        <v>227.5</v>
      </c>
      <c r="I172" s="107">
        <v>203.17</v>
      </c>
      <c r="J172" s="107">
        <v>200</v>
      </c>
      <c r="K172" s="22"/>
      <c r="L172" s="107">
        <v>5982.27</v>
      </c>
      <c r="M172" s="107">
        <v>3760.11</v>
      </c>
      <c r="N172" s="107">
        <v>40766.81</v>
      </c>
    </row>
    <row r="173" spans="1:14">
      <c r="A173" s="64" t="s">
        <v>133</v>
      </c>
      <c r="B173" s="107">
        <v>28214</v>
      </c>
      <c r="C173" s="107">
        <v>50564</v>
      </c>
      <c r="D173" s="107">
        <v>57946</v>
      </c>
      <c r="E173" s="107">
        <v>51202</v>
      </c>
      <c r="F173" s="107">
        <v>235266.9</v>
      </c>
      <c r="G173" s="107">
        <v>31052</v>
      </c>
      <c r="H173" s="107">
        <v>27576</v>
      </c>
      <c r="I173" s="107">
        <v>29728</v>
      </c>
      <c r="J173" s="107">
        <v>27150</v>
      </c>
      <c r="K173" s="107">
        <v>28569</v>
      </c>
      <c r="L173" s="107">
        <v>29373</v>
      </c>
      <c r="M173" s="107">
        <v>32424</v>
      </c>
      <c r="N173" s="107">
        <v>629064.9</v>
      </c>
    </row>
    <row r="174" spans="1:14">
      <c r="A174" s="64" t="s">
        <v>360</v>
      </c>
      <c r="B174" s="107">
        <v>2300</v>
      </c>
      <c r="C174" s="107">
        <v>20500</v>
      </c>
      <c r="D174" s="107">
        <v>-6087.02</v>
      </c>
      <c r="E174" s="107">
        <v>500</v>
      </c>
      <c r="F174" s="107">
        <v>4500</v>
      </c>
      <c r="G174" s="107">
        <v>630</v>
      </c>
      <c r="H174" s="107">
        <v>4000</v>
      </c>
      <c r="I174" s="107">
        <v>20400</v>
      </c>
      <c r="J174" s="107">
        <v>20700</v>
      </c>
      <c r="K174" s="107">
        <v>12100</v>
      </c>
      <c r="L174" s="107">
        <v>1500</v>
      </c>
      <c r="M174" s="107">
        <v>2000</v>
      </c>
      <c r="N174" s="107">
        <v>83042.98</v>
      </c>
    </row>
    <row r="175" spans="1:14">
      <c r="A175" s="64" t="s">
        <v>134</v>
      </c>
      <c r="B175" s="107">
        <v>10.56</v>
      </c>
      <c r="C175" s="107">
        <v>35.659999999999997</v>
      </c>
      <c r="D175" s="107">
        <v>67.33</v>
      </c>
      <c r="E175" s="107">
        <v>10.69</v>
      </c>
      <c r="F175" s="107">
        <v>21.86</v>
      </c>
      <c r="G175" s="107">
        <v>20.03</v>
      </c>
      <c r="H175" s="107">
        <v>126.79</v>
      </c>
      <c r="I175" s="107">
        <v>2.94</v>
      </c>
      <c r="J175" s="107">
        <v>60.71</v>
      </c>
      <c r="K175" s="107">
        <v>189.1</v>
      </c>
      <c r="L175" s="107">
        <v>22.85</v>
      </c>
      <c r="M175" s="107">
        <v>0.28000000000000003</v>
      </c>
      <c r="N175" s="107">
        <v>568.79999999999995</v>
      </c>
    </row>
    <row r="176" spans="1:14">
      <c r="A176" s="64" t="s">
        <v>396</v>
      </c>
      <c r="B176" s="22"/>
      <c r="C176" s="22"/>
      <c r="D176" s="22"/>
      <c r="E176" s="22"/>
      <c r="F176" s="107">
        <v>430779</v>
      </c>
      <c r="G176" s="22"/>
      <c r="H176" s="22"/>
      <c r="I176" s="22"/>
      <c r="J176" s="22"/>
      <c r="K176" s="22"/>
      <c r="L176" s="22"/>
      <c r="M176" s="22"/>
      <c r="N176" s="107">
        <v>430779</v>
      </c>
    </row>
    <row r="177" spans="1:14">
      <c r="A177" s="64" t="s">
        <v>397</v>
      </c>
      <c r="B177" s="113"/>
      <c r="C177" s="113"/>
      <c r="D177" s="113"/>
      <c r="E177" s="113"/>
      <c r="F177" s="111">
        <v>-273988</v>
      </c>
      <c r="G177" s="113"/>
      <c r="H177" s="113"/>
      <c r="I177" s="113"/>
      <c r="J177" s="113"/>
      <c r="K177" s="113"/>
      <c r="L177" s="113"/>
      <c r="M177" s="113"/>
      <c r="N177" s="111">
        <v>-273988</v>
      </c>
    </row>
    <row r="178" spans="1:14">
      <c r="A178" s="64" t="s">
        <v>135</v>
      </c>
      <c r="B178" s="107">
        <f t="shared" ref="B178:M178" si="49">SUM(B169:B177)</f>
        <v>43949.56</v>
      </c>
      <c r="C178" s="107">
        <f t="shared" si="49"/>
        <v>71301.38</v>
      </c>
      <c r="D178" s="107">
        <f t="shared" si="49"/>
        <v>51991.31</v>
      </c>
      <c r="E178" s="107">
        <f t="shared" si="49"/>
        <v>51712.69</v>
      </c>
      <c r="F178" s="107">
        <f t="shared" si="49"/>
        <v>413783.5</v>
      </c>
      <c r="G178" s="107">
        <f t="shared" si="49"/>
        <v>31395.329999999998</v>
      </c>
      <c r="H178" s="107">
        <f t="shared" si="49"/>
        <v>31995.29</v>
      </c>
      <c r="I178" s="107">
        <f t="shared" si="49"/>
        <v>50334.11</v>
      </c>
      <c r="J178" s="107">
        <f t="shared" si="49"/>
        <v>48110.71</v>
      </c>
      <c r="K178" s="107">
        <f t="shared" si="49"/>
        <v>40923.1</v>
      </c>
      <c r="L178" s="107">
        <f t="shared" si="49"/>
        <v>36878.120000000003</v>
      </c>
      <c r="M178" s="107">
        <f t="shared" si="49"/>
        <v>38184.39</v>
      </c>
      <c r="N178" s="107">
        <v>910559.49</v>
      </c>
    </row>
    <row r="179" spans="1:14">
      <c r="A179" s="64"/>
      <c r="B179" s="22"/>
      <c r="C179" s="22"/>
      <c r="D179" s="22"/>
      <c r="E179" s="22"/>
      <c r="F179" s="22"/>
      <c r="G179" s="22"/>
      <c r="H179" s="22"/>
      <c r="I179" s="22"/>
      <c r="J179" s="22"/>
      <c r="K179" s="22"/>
      <c r="L179" s="22"/>
      <c r="M179" s="22"/>
      <c r="N179" s="22"/>
    </row>
    <row r="180" spans="1:14" ht="15.75" thickBot="1">
      <c r="A180" s="64" t="s">
        <v>13</v>
      </c>
      <c r="B180" s="112">
        <f t="shared" ref="B180:M180" si="50">SUM(B66:B179)-B68-B72-B76-B79-B83-B87-B89-B95-B99-B103-B106-B110-B114-B116-0-0-0-B143-0-B156-B166-B168-B178</f>
        <v>801647.320000001</v>
      </c>
      <c r="C180" s="112">
        <f t="shared" si="50"/>
        <v>707565.41999999958</v>
      </c>
      <c r="D180" s="112">
        <f t="shared" si="50"/>
        <v>791997.48000000045</v>
      </c>
      <c r="E180" s="112">
        <f t="shared" si="50"/>
        <v>757290.58999999962</v>
      </c>
      <c r="F180" s="112">
        <f t="shared" si="50"/>
        <v>1220400.82</v>
      </c>
      <c r="G180" s="112">
        <f t="shared" si="50"/>
        <v>804609.30999999936</v>
      </c>
      <c r="H180" s="112">
        <f t="shared" si="50"/>
        <v>803188.2300000008</v>
      </c>
      <c r="I180" s="112">
        <f t="shared" si="50"/>
        <v>1023551.7499999978</v>
      </c>
      <c r="J180" s="112">
        <f t="shared" si="50"/>
        <v>856217.4099999991</v>
      </c>
      <c r="K180" s="112">
        <f t="shared" si="50"/>
        <v>812070.12999999896</v>
      </c>
      <c r="L180" s="112">
        <f t="shared" si="50"/>
        <v>824150.26000000129</v>
      </c>
      <c r="M180" s="112">
        <f t="shared" si="50"/>
        <v>872711.74999999965</v>
      </c>
      <c r="N180" s="112">
        <v>10275400.470000001</v>
      </c>
    </row>
    <row r="181" spans="1:14" ht="15.75" thickTop="1">
      <c r="A181" s="64"/>
      <c r="B181" s="22"/>
      <c r="C181" s="22"/>
      <c r="D181" s="22"/>
      <c r="E181" s="22"/>
      <c r="F181" s="22"/>
      <c r="G181" s="22"/>
      <c r="H181" s="22"/>
      <c r="I181" s="22"/>
      <c r="J181" s="22"/>
      <c r="K181" s="22"/>
      <c r="L181" s="22"/>
      <c r="M181" s="22"/>
      <c r="N181" s="22"/>
    </row>
    <row r="182" spans="1:14">
      <c r="A182" s="64"/>
      <c r="B182" s="22"/>
      <c r="C182" s="22"/>
      <c r="D182" s="22"/>
      <c r="E182" s="22"/>
      <c r="F182" s="22"/>
      <c r="G182" s="22"/>
      <c r="H182" s="22"/>
      <c r="I182" s="22"/>
      <c r="J182" s="22"/>
      <c r="K182" s="22"/>
      <c r="L182" s="22"/>
      <c r="M182" s="22"/>
      <c r="N182" s="22"/>
    </row>
    <row r="183" spans="1:14">
      <c r="A183" s="64" t="s">
        <v>14</v>
      </c>
      <c r="B183" s="22"/>
      <c r="C183" s="22"/>
      <c r="D183" s="22"/>
      <c r="E183" s="22"/>
      <c r="F183" s="22"/>
      <c r="G183" s="22"/>
      <c r="H183" s="22"/>
      <c r="I183" s="22"/>
      <c r="J183" s="22"/>
      <c r="K183" s="22"/>
      <c r="L183" s="22"/>
      <c r="M183" s="22"/>
      <c r="N183" s="22"/>
    </row>
    <row r="184" spans="1:14">
      <c r="A184" s="64"/>
      <c r="B184" s="22"/>
      <c r="C184" s="22"/>
      <c r="D184" s="22"/>
      <c r="E184" s="22"/>
      <c r="F184" s="22"/>
      <c r="G184" s="22"/>
      <c r="H184" s="22"/>
      <c r="I184" s="22"/>
      <c r="J184" s="22"/>
      <c r="K184" s="22"/>
      <c r="L184" s="22"/>
      <c r="M184" s="22"/>
      <c r="N184" s="22"/>
    </row>
    <row r="185" spans="1:14">
      <c r="A185" s="64" t="s">
        <v>136</v>
      </c>
      <c r="B185" s="22"/>
      <c r="C185" s="22"/>
      <c r="D185" s="22"/>
      <c r="E185" s="22"/>
      <c r="F185" s="22"/>
      <c r="G185" s="22"/>
      <c r="H185" s="22"/>
      <c r="I185" s="22"/>
      <c r="J185" s="22"/>
      <c r="K185" s="22"/>
      <c r="L185" s="22"/>
      <c r="M185" s="22"/>
      <c r="N185" s="22"/>
    </row>
    <row r="186" spans="1:14">
      <c r="A186" s="64" t="s">
        <v>137</v>
      </c>
      <c r="B186" s="107">
        <v>9028.9699999999993</v>
      </c>
      <c r="C186" s="107">
        <v>8329.9599999999991</v>
      </c>
      <c r="D186" s="107">
        <v>9316.4699999999993</v>
      </c>
      <c r="E186" s="107">
        <v>9594.85</v>
      </c>
      <c r="F186" s="107">
        <v>8264.07</v>
      </c>
      <c r="G186" s="107">
        <v>9365.86</v>
      </c>
      <c r="H186" s="107">
        <v>9730.7800000000007</v>
      </c>
      <c r="I186" s="107">
        <v>9319.7900000000009</v>
      </c>
      <c r="J186" s="107">
        <v>9710.1299999999992</v>
      </c>
      <c r="K186" s="107">
        <v>9758.25</v>
      </c>
      <c r="L186" s="107">
        <v>9890.1200000000008</v>
      </c>
      <c r="M186" s="107">
        <v>9758.25</v>
      </c>
      <c r="N186" s="107">
        <v>112067.5</v>
      </c>
    </row>
    <row r="187" spans="1:14">
      <c r="A187" s="64" t="s">
        <v>138</v>
      </c>
      <c r="B187" s="107">
        <v>34034.980000000003</v>
      </c>
      <c r="C187" s="107">
        <v>26213.31</v>
      </c>
      <c r="D187" s="107">
        <v>30048.9</v>
      </c>
      <c r="E187" s="107">
        <v>34893.26</v>
      </c>
      <c r="F187" s="107">
        <v>30091.49</v>
      </c>
      <c r="G187" s="107">
        <v>22361.82</v>
      </c>
      <c r="H187" s="107">
        <v>25934.57</v>
      </c>
      <c r="I187" s="107">
        <v>51877.39</v>
      </c>
      <c r="J187" s="107">
        <v>22283.17</v>
      </c>
      <c r="K187" s="107">
        <v>20964.84</v>
      </c>
      <c r="L187" s="107">
        <v>42383.42</v>
      </c>
      <c r="M187" s="107">
        <v>36173.83</v>
      </c>
      <c r="N187" s="107">
        <v>377260.98</v>
      </c>
    </row>
    <row r="188" spans="1:14">
      <c r="A188" s="64" t="s">
        <v>139</v>
      </c>
      <c r="B188" s="107">
        <v>101426.74</v>
      </c>
      <c r="C188" s="107">
        <v>97706.72</v>
      </c>
      <c r="D188" s="107">
        <v>104608.07</v>
      </c>
      <c r="E188" s="107">
        <v>106236.58</v>
      </c>
      <c r="F188" s="107">
        <v>93378.11</v>
      </c>
      <c r="G188" s="107">
        <v>110601.75</v>
      </c>
      <c r="H188" s="107">
        <v>98559.28</v>
      </c>
      <c r="I188" s="107">
        <v>92562.559999999998</v>
      </c>
      <c r="J188" s="107">
        <v>93023.76</v>
      </c>
      <c r="K188" s="107">
        <v>91468.11</v>
      </c>
      <c r="L188" s="107">
        <v>95217.08</v>
      </c>
      <c r="M188" s="107">
        <v>83399.490000000005</v>
      </c>
      <c r="N188" s="107">
        <v>1168188.25</v>
      </c>
    </row>
    <row r="189" spans="1:14">
      <c r="A189" s="64" t="s">
        <v>141</v>
      </c>
      <c r="B189" s="107">
        <v>18631.96</v>
      </c>
      <c r="C189" s="107">
        <v>17386.36</v>
      </c>
      <c r="D189" s="107">
        <v>14910.98</v>
      </c>
      <c r="E189" s="107">
        <v>11806.95</v>
      </c>
      <c r="F189" s="107">
        <v>13035.04</v>
      </c>
      <c r="G189" s="107">
        <v>19875.52</v>
      </c>
      <c r="H189" s="107">
        <v>9831.57</v>
      </c>
      <c r="I189" s="107">
        <v>15115.03</v>
      </c>
      <c r="J189" s="107">
        <v>16471.990000000002</v>
      </c>
      <c r="K189" s="107">
        <v>17756.099999999999</v>
      </c>
      <c r="L189" s="107">
        <v>21018.73</v>
      </c>
      <c r="M189" s="107">
        <v>20532.39</v>
      </c>
      <c r="N189" s="107">
        <v>196372.62</v>
      </c>
    </row>
    <row r="190" spans="1:14">
      <c r="A190" s="64" t="s">
        <v>142</v>
      </c>
      <c r="B190" s="107">
        <v>2455.85</v>
      </c>
      <c r="C190" s="107">
        <v>1993.63</v>
      </c>
      <c r="D190" s="107">
        <v>1594.2</v>
      </c>
      <c r="E190" s="107">
        <v>184.49</v>
      </c>
      <c r="F190" s="107">
        <v>6964.56</v>
      </c>
      <c r="G190" s="107">
        <v>4344.6499999999996</v>
      </c>
      <c r="H190" s="107">
        <v>5472.44</v>
      </c>
      <c r="I190" s="107">
        <v>5915.43</v>
      </c>
      <c r="J190" s="107">
        <v>4534</v>
      </c>
      <c r="K190" s="107">
        <v>6493.23</v>
      </c>
      <c r="L190" s="107">
        <v>4582.2</v>
      </c>
      <c r="M190" s="107">
        <v>5168.8599999999997</v>
      </c>
      <c r="N190" s="107">
        <v>49703.54</v>
      </c>
    </row>
    <row r="191" spans="1:14">
      <c r="A191" s="64" t="s">
        <v>143</v>
      </c>
      <c r="B191" s="107">
        <v>38239.550000000003</v>
      </c>
      <c r="C191" s="107">
        <v>42783.44</v>
      </c>
      <c r="D191" s="107">
        <v>40130.93</v>
      </c>
      <c r="E191" s="107">
        <v>35460.959999999999</v>
      </c>
      <c r="F191" s="107">
        <v>42266.080000000002</v>
      </c>
      <c r="G191" s="107">
        <v>42267.24</v>
      </c>
      <c r="H191" s="107">
        <v>32454.99</v>
      </c>
      <c r="I191" s="107">
        <v>48433.33</v>
      </c>
      <c r="J191" s="107">
        <v>44066.44</v>
      </c>
      <c r="K191" s="107">
        <v>48908</v>
      </c>
      <c r="L191" s="107">
        <v>56720.84</v>
      </c>
      <c r="M191" s="107">
        <v>64091.41</v>
      </c>
      <c r="N191" s="107">
        <v>535823.21</v>
      </c>
    </row>
    <row r="192" spans="1:14">
      <c r="A192" s="64" t="s">
        <v>144</v>
      </c>
      <c r="B192" s="107">
        <v>5262.07</v>
      </c>
      <c r="C192" s="107">
        <v>4854.68</v>
      </c>
      <c r="D192" s="107">
        <v>5262.07</v>
      </c>
      <c r="E192" s="107">
        <v>5092.33</v>
      </c>
      <c r="F192" s="107">
        <v>5024.43</v>
      </c>
      <c r="G192" s="107">
        <v>4786.79</v>
      </c>
      <c r="H192" s="107">
        <v>4752.84</v>
      </c>
      <c r="I192" s="107">
        <v>5262.07</v>
      </c>
      <c r="J192" s="107">
        <v>5092.33</v>
      </c>
      <c r="K192" s="107">
        <v>3106.32</v>
      </c>
      <c r="L192" s="107">
        <v>6584.39</v>
      </c>
      <c r="M192" s="107">
        <v>-1682.29</v>
      </c>
      <c r="N192" s="107">
        <v>53398.03</v>
      </c>
    </row>
    <row r="193" spans="1:14">
      <c r="A193" s="64" t="s">
        <v>145</v>
      </c>
      <c r="B193" s="107">
        <v>4617.22</v>
      </c>
      <c r="C193" s="107">
        <v>4384.79</v>
      </c>
      <c r="D193" s="107">
        <v>5530.82</v>
      </c>
      <c r="E193" s="107">
        <v>3772.77</v>
      </c>
      <c r="F193" s="107">
        <v>5294.43</v>
      </c>
      <c r="G193" s="107">
        <v>4378.9799999999996</v>
      </c>
      <c r="H193" s="107">
        <v>3314.82</v>
      </c>
      <c r="I193" s="107">
        <v>6108.27</v>
      </c>
      <c r="J193" s="107">
        <v>5452.91</v>
      </c>
      <c r="K193" s="107">
        <v>3245.44</v>
      </c>
      <c r="L193" s="107">
        <v>4581.3500000000004</v>
      </c>
      <c r="M193" s="107">
        <v>4557.59</v>
      </c>
      <c r="N193" s="107">
        <v>55239.39</v>
      </c>
    </row>
    <row r="194" spans="1:14">
      <c r="A194" s="64" t="s">
        <v>146</v>
      </c>
      <c r="B194" s="22"/>
      <c r="C194" s="22"/>
      <c r="D194" s="22"/>
      <c r="E194" s="22"/>
      <c r="F194" s="22"/>
      <c r="G194" s="107">
        <v>1670.19</v>
      </c>
      <c r="H194" s="107">
        <v>3083.3</v>
      </c>
      <c r="I194" s="107">
        <v>3496.27</v>
      </c>
      <c r="J194" s="107">
        <v>3442.58</v>
      </c>
      <c r="K194" s="107">
        <v>2888.56</v>
      </c>
      <c r="L194" s="107">
        <v>2775.49</v>
      </c>
      <c r="M194" s="107">
        <v>2813.97</v>
      </c>
      <c r="N194" s="107">
        <v>20170.36</v>
      </c>
    </row>
    <row r="195" spans="1:14">
      <c r="A195" s="64" t="s">
        <v>147</v>
      </c>
      <c r="B195" s="107">
        <v>714</v>
      </c>
      <c r="C195" s="107">
        <v>563.71</v>
      </c>
      <c r="D195" s="107">
        <v>769.72</v>
      </c>
      <c r="E195" s="107">
        <v>778.86</v>
      </c>
      <c r="F195" s="107">
        <v>789.42</v>
      </c>
      <c r="G195" s="107">
        <v>552.86</v>
      </c>
      <c r="H195" s="107">
        <v>-12.57</v>
      </c>
      <c r="I195" s="22"/>
      <c r="J195" s="107">
        <v>1956</v>
      </c>
      <c r="K195" s="107">
        <v>3545.09</v>
      </c>
      <c r="L195" s="107">
        <v>3312.05</v>
      </c>
      <c r="M195" s="107">
        <v>2265</v>
      </c>
      <c r="N195" s="107">
        <v>15234.14</v>
      </c>
    </row>
    <row r="196" spans="1:14">
      <c r="A196" s="64" t="s">
        <v>148</v>
      </c>
      <c r="B196" s="107">
        <v>3332.75</v>
      </c>
      <c r="C196" s="107">
        <v>2696.81</v>
      </c>
      <c r="D196" s="107">
        <v>2202.81</v>
      </c>
      <c r="E196" s="107">
        <v>3339.25</v>
      </c>
      <c r="F196" s="107">
        <v>7155.4</v>
      </c>
      <c r="G196" s="107">
        <v>7222.74</v>
      </c>
      <c r="H196" s="107">
        <v>7761.83</v>
      </c>
      <c r="I196" s="107">
        <v>7446.87</v>
      </c>
      <c r="J196" s="107">
        <v>5153.93</v>
      </c>
      <c r="K196" s="107">
        <v>3094.15</v>
      </c>
      <c r="L196" s="107">
        <v>2678.78</v>
      </c>
      <c r="M196" s="107">
        <v>3063.32</v>
      </c>
      <c r="N196" s="107">
        <v>55148.639999999999</v>
      </c>
    </row>
    <row r="197" spans="1:14">
      <c r="A197" s="64" t="s">
        <v>283</v>
      </c>
      <c r="B197" s="107">
        <v>6618</v>
      </c>
      <c r="C197" s="107">
        <v>6110.73</v>
      </c>
      <c r="D197" s="107">
        <v>8355.0300000000007</v>
      </c>
      <c r="E197" s="107">
        <v>8963.99</v>
      </c>
      <c r="F197" s="107">
        <v>5966.62</v>
      </c>
      <c r="G197" s="107">
        <v>7863.14</v>
      </c>
      <c r="H197" s="107">
        <v>9720.34</v>
      </c>
      <c r="I197" s="107">
        <v>22817.43</v>
      </c>
      <c r="J197" s="107">
        <v>23481.77</v>
      </c>
      <c r="K197" s="107">
        <v>17848.43</v>
      </c>
      <c r="L197" s="107">
        <v>16526.96</v>
      </c>
      <c r="M197" s="107">
        <v>9418.58</v>
      </c>
      <c r="N197" s="107">
        <v>143691.01999999999</v>
      </c>
    </row>
    <row r="198" spans="1:14">
      <c r="A198" s="64" t="s">
        <v>153</v>
      </c>
      <c r="B198" s="107">
        <v>4876.13</v>
      </c>
      <c r="C198" s="107">
        <v>4302.8999999999996</v>
      </c>
      <c r="D198" s="107">
        <v>4775</v>
      </c>
      <c r="E198" s="107">
        <v>4759.82</v>
      </c>
      <c r="F198" s="107">
        <v>4215.18</v>
      </c>
      <c r="G198" s="107">
        <v>4006.53</v>
      </c>
      <c r="H198" s="107">
        <v>4086.7</v>
      </c>
      <c r="I198" s="107">
        <v>5719.43</v>
      </c>
      <c r="J198" s="107">
        <v>4873.67</v>
      </c>
      <c r="K198" s="107">
        <v>4474.29</v>
      </c>
      <c r="L198" s="107">
        <v>5059.88</v>
      </c>
      <c r="M198" s="107">
        <v>3963.84</v>
      </c>
      <c r="N198" s="107">
        <v>55113.37</v>
      </c>
    </row>
    <row r="199" spans="1:14">
      <c r="A199" s="64" t="s">
        <v>154</v>
      </c>
      <c r="B199" s="107">
        <v>11071.43</v>
      </c>
      <c r="C199" s="107">
        <v>10214.280000000001</v>
      </c>
      <c r="D199" s="107">
        <v>7142.86</v>
      </c>
      <c r="E199" s="107">
        <v>12142.86</v>
      </c>
      <c r="F199" s="107">
        <v>10571.43</v>
      </c>
      <c r="G199" s="107">
        <v>10606.28</v>
      </c>
      <c r="H199" s="107">
        <v>10499.2</v>
      </c>
      <c r="I199" s="107">
        <v>11624.12</v>
      </c>
      <c r="J199" s="107">
        <v>11249.14</v>
      </c>
      <c r="K199" s="107">
        <v>11099.15</v>
      </c>
      <c r="L199" s="107">
        <v>11249.15</v>
      </c>
      <c r="M199" s="107">
        <v>11099.15</v>
      </c>
      <c r="N199" s="107">
        <v>128569.05</v>
      </c>
    </row>
    <row r="200" spans="1:14">
      <c r="A200" s="64" t="s">
        <v>155</v>
      </c>
      <c r="B200" s="111">
        <v>21658.35</v>
      </c>
      <c r="C200" s="111">
        <v>19552.91</v>
      </c>
      <c r="D200" s="111">
        <v>19700.150000000001</v>
      </c>
      <c r="E200" s="111">
        <v>22373.48</v>
      </c>
      <c r="F200" s="111">
        <v>20586.29</v>
      </c>
      <c r="G200" s="111">
        <v>20035.93</v>
      </c>
      <c r="H200" s="111">
        <v>20537.46</v>
      </c>
      <c r="I200" s="111">
        <v>22179.17</v>
      </c>
      <c r="J200" s="111">
        <v>22529.88</v>
      </c>
      <c r="K200" s="111">
        <v>26666.59</v>
      </c>
      <c r="L200" s="111">
        <v>26404.49</v>
      </c>
      <c r="M200" s="111">
        <v>24882.06</v>
      </c>
      <c r="N200" s="111">
        <v>267106.76</v>
      </c>
    </row>
    <row r="201" spans="1:14">
      <c r="A201" s="64" t="s">
        <v>156</v>
      </c>
      <c r="B201" s="107">
        <f t="shared" ref="B201:M201" si="51">SUM(B181:B200)</f>
        <v>261968</v>
      </c>
      <c r="C201" s="107">
        <f t="shared" si="51"/>
        <v>247094.22999999998</v>
      </c>
      <c r="D201" s="107">
        <f t="shared" si="51"/>
        <v>254348.01</v>
      </c>
      <c r="E201" s="107">
        <f t="shared" si="51"/>
        <v>259400.44999999998</v>
      </c>
      <c r="F201" s="107">
        <f t="shared" si="51"/>
        <v>253602.54999999996</v>
      </c>
      <c r="G201" s="107">
        <f t="shared" si="51"/>
        <v>269940.27999999997</v>
      </c>
      <c r="H201" s="107">
        <f t="shared" si="51"/>
        <v>245727.55</v>
      </c>
      <c r="I201" s="107">
        <f t="shared" si="51"/>
        <v>307877.15999999992</v>
      </c>
      <c r="J201" s="107">
        <f t="shared" si="51"/>
        <v>273321.69999999995</v>
      </c>
      <c r="K201" s="107">
        <f t="shared" si="51"/>
        <v>271316.55</v>
      </c>
      <c r="L201" s="107">
        <f t="shared" si="51"/>
        <v>308984.93000000005</v>
      </c>
      <c r="M201" s="107">
        <f t="shared" si="51"/>
        <v>279505.45</v>
      </c>
      <c r="N201" s="107">
        <v>3233086.86</v>
      </c>
    </row>
    <row r="202" spans="1:14">
      <c r="A202" s="64"/>
      <c r="B202" s="22"/>
      <c r="C202" s="22"/>
      <c r="D202" s="22"/>
      <c r="E202" s="22"/>
      <c r="F202" s="22"/>
      <c r="G202" s="22"/>
      <c r="H202" s="22"/>
      <c r="I202" s="22"/>
      <c r="J202" s="22"/>
      <c r="K202" s="22"/>
      <c r="L202" s="22"/>
      <c r="M202" s="22"/>
      <c r="N202" s="22"/>
    </row>
    <row r="203" spans="1:14">
      <c r="A203" s="64"/>
      <c r="B203" s="22"/>
      <c r="C203" s="22"/>
      <c r="D203" s="22"/>
      <c r="E203" s="22"/>
      <c r="F203" s="22"/>
      <c r="G203" s="22"/>
      <c r="H203" s="22"/>
      <c r="I203" s="22"/>
      <c r="J203" s="22"/>
      <c r="K203" s="22"/>
      <c r="L203" s="22"/>
      <c r="M203" s="22"/>
      <c r="N203" s="22"/>
    </row>
    <row r="204" spans="1:14">
      <c r="A204" s="64" t="s">
        <v>157</v>
      </c>
      <c r="B204" s="22"/>
      <c r="C204" s="22"/>
      <c r="D204" s="22"/>
      <c r="E204" s="22"/>
      <c r="F204" s="22"/>
      <c r="G204" s="22"/>
      <c r="H204" s="22"/>
      <c r="I204" s="22"/>
      <c r="J204" s="22"/>
      <c r="K204" s="22"/>
      <c r="L204" s="22"/>
      <c r="M204" s="22"/>
      <c r="N204" s="22"/>
    </row>
    <row r="205" spans="1:14">
      <c r="A205" s="64" t="s">
        <v>159</v>
      </c>
      <c r="B205" s="22"/>
      <c r="C205" s="22"/>
      <c r="D205" s="22"/>
      <c r="E205" s="22"/>
      <c r="F205" s="107">
        <v>-1660.36</v>
      </c>
      <c r="G205" s="22"/>
      <c r="H205" s="22"/>
      <c r="I205" s="107"/>
      <c r="J205" s="107"/>
      <c r="K205" s="107"/>
      <c r="L205" s="107"/>
      <c r="M205" s="22"/>
      <c r="N205" s="107">
        <v>-1660.36</v>
      </c>
    </row>
    <row r="206" spans="1:14">
      <c r="A206" s="64" t="s">
        <v>160</v>
      </c>
      <c r="B206" s="22"/>
      <c r="C206" s="22"/>
      <c r="D206" s="22"/>
      <c r="E206" s="22"/>
      <c r="F206" s="107">
        <v>-1302.0999999999999</v>
      </c>
      <c r="G206" s="22"/>
      <c r="H206" s="22"/>
      <c r="I206" s="107"/>
      <c r="J206" s="107"/>
      <c r="K206" s="107"/>
      <c r="L206" s="22"/>
      <c r="M206" s="22"/>
      <c r="N206" s="107">
        <v>-1302.0999999999999</v>
      </c>
    </row>
    <row r="207" spans="1:14">
      <c r="A207" s="64" t="s">
        <v>161</v>
      </c>
      <c r="B207" s="111">
        <v>12554.59</v>
      </c>
      <c r="C207" s="111">
        <v>28868.09</v>
      </c>
      <c r="D207" s="111">
        <v>17264.18</v>
      </c>
      <c r="E207" s="111">
        <v>16994.28</v>
      </c>
      <c r="F207" s="111">
        <v>-135060.29999999999</v>
      </c>
      <c r="G207" s="111"/>
      <c r="H207" s="111"/>
      <c r="I207" s="111"/>
      <c r="J207" s="111"/>
      <c r="K207" s="111"/>
      <c r="L207" s="113"/>
      <c r="M207" s="113"/>
      <c r="N207" s="111">
        <v>-59379.16</v>
      </c>
    </row>
    <row r="208" spans="1:14">
      <c r="A208" s="64" t="s">
        <v>162</v>
      </c>
      <c r="B208" s="107">
        <f>SUM(B202:B207)</f>
        <v>12554.59</v>
      </c>
      <c r="C208" s="107">
        <f>SUM(C202:C207)</f>
        <v>28868.09</v>
      </c>
      <c r="D208" s="107">
        <f>SUM(D202:D207)</f>
        <v>17264.18</v>
      </c>
      <c r="E208" s="107">
        <f>SUM(E202:E207)</f>
        <v>16994.28</v>
      </c>
      <c r="F208" s="107">
        <f>SUM(F202:F207)</f>
        <v>-138022.75999999998</v>
      </c>
      <c r="G208" s="107"/>
      <c r="H208" s="107"/>
      <c r="I208" s="107"/>
      <c r="J208" s="107"/>
      <c r="K208" s="107"/>
      <c r="L208" s="107"/>
      <c r="M208" s="107"/>
      <c r="N208" s="107">
        <v>-62341.62</v>
      </c>
    </row>
    <row r="209" spans="1:14">
      <c r="A209" s="64"/>
      <c r="B209" s="22"/>
      <c r="C209" s="22"/>
      <c r="D209" s="22"/>
      <c r="E209" s="22"/>
      <c r="F209" s="22"/>
      <c r="G209" s="22"/>
      <c r="H209" s="22"/>
      <c r="I209" s="22"/>
      <c r="J209" s="22"/>
      <c r="K209" s="22"/>
      <c r="L209" s="22"/>
      <c r="M209" s="22"/>
      <c r="N209" s="22"/>
    </row>
    <row r="210" spans="1:14">
      <c r="A210" s="64" t="s">
        <v>163</v>
      </c>
      <c r="B210" s="22"/>
      <c r="C210" s="22"/>
      <c r="D210" s="22"/>
      <c r="E210" s="22"/>
      <c r="F210" s="22"/>
      <c r="G210" s="22"/>
      <c r="H210" s="22"/>
      <c r="I210" s="22"/>
      <c r="J210" s="22"/>
      <c r="K210" s="22"/>
      <c r="L210" s="22"/>
      <c r="M210" s="22"/>
      <c r="N210" s="22"/>
    </row>
    <row r="211" spans="1:14">
      <c r="A211" s="64" t="s">
        <v>164</v>
      </c>
      <c r="B211" s="107">
        <v>20342.439999999999</v>
      </c>
      <c r="C211" s="107">
        <v>19818.34</v>
      </c>
      <c r="D211" s="107">
        <v>20846.72</v>
      </c>
      <c r="E211" s="107">
        <v>20197.91</v>
      </c>
      <c r="F211" s="107">
        <v>21145.54</v>
      </c>
      <c r="G211" s="107">
        <v>21772.23</v>
      </c>
      <c r="H211" s="107">
        <v>20893.21</v>
      </c>
      <c r="I211" s="107">
        <v>25415.41</v>
      </c>
      <c r="J211" s="107">
        <v>22071.72</v>
      </c>
      <c r="K211" s="107">
        <v>22839.59</v>
      </c>
      <c r="L211" s="107">
        <v>23618.33</v>
      </c>
      <c r="M211" s="107">
        <v>23170.17</v>
      </c>
      <c r="N211" s="107">
        <v>262131.61</v>
      </c>
    </row>
    <row r="212" spans="1:14">
      <c r="A212" s="64" t="s">
        <v>165</v>
      </c>
      <c r="B212" s="107">
        <v>1264.8800000000001</v>
      </c>
      <c r="C212" s="107">
        <v>1429.02</v>
      </c>
      <c r="D212" s="107">
        <v>1031.28</v>
      </c>
      <c r="E212" s="107">
        <v>754.86</v>
      </c>
      <c r="F212" s="107">
        <v>1089.52</v>
      </c>
      <c r="G212" s="107">
        <v>7849.86</v>
      </c>
      <c r="H212" s="107">
        <v>3178.43</v>
      </c>
      <c r="I212" s="107">
        <v>6732.94</v>
      </c>
      <c r="J212" s="107">
        <v>2373.64</v>
      </c>
      <c r="K212" s="107">
        <v>1703.64</v>
      </c>
      <c r="L212" s="107">
        <v>2206.89</v>
      </c>
      <c r="M212" s="107">
        <v>1696.35</v>
      </c>
      <c r="N212" s="107">
        <v>31311.31</v>
      </c>
    </row>
    <row r="213" spans="1:14">
      <c r="A213" s="64" t="s">
        <v>166</v>
      </c>
      <c r="B213" s="107">
        <v>452.8</v>
      </c>
      <c r="C213" s="107">
        <v>1815.26</v>
      </c>
      <c r="D213" s="107">
        <v>1412.13</v>
      </c>
      <c r="E213" s="107">
        <v>2387.36</v>
      </c>
      <c r="F213" s="107">
        <v>1829.02</v>
      </c>
      <c r="G213" s="107">
        <v>1185.18</v>
      </c>
      <c r="H213" s="107">
        <v>1523.9</v>
      </c>
      <c r="I213" s="107">
        <v>2590.88</v>
      </c>
      <c r="J213" s="107">
        <v>1503.95</v>
      </c>
      <c r="K213" s="107">
        <v>1975.4</v>
      </c>
      <c r="L213" s="107">
        <v>2109.4299999999998</v>
      </c>
      <c r="M213" s="107">
        <v>1070.18</v>
      </c>
      <c r="N213" s="107">
        <v>19855.490000000002</v>
      </c>
    </row>
    <row r="214" spans="1:14">
      <c r="A214" s="64" t="s">
        <v>167</v>
      </c>
      <c r="B214" s="107">
        <v>1223.78</v>
      </c>
      <c r="C214" s="107">
        <v>3202.13</v>
      </c>
      <c r="D214" s="107">
        <v>14001.99</v>
      </c>
      <c r="E214" s="107">
        <v>3434</v>
      </c>
      <c r="F214" s="107">
        <v>3547.52</v>
      </c>
      <c r="G214" s="107">
        <v>2302.71</v>
      </c>
      <c r="H214" s="107">
        <v>2086.91</v>
      </c>
      <c r="I214" s="107">
        <v>3016.39</v>
      </c>
      <c r="J214" s="107">
        <v>5247.79</v>
      </c>
      <c r="K214" s="107">
        <v>3991.14</v>
      </c>
      <c r="L214" s="107">
        <v>-572.29</v>
      </c>
      <c r="M214" s="107">
        <v>6579.66</v>
      </c>
      <c r="N214" s="107">
        <v>48061.73</v>
      </c>
    </row>
    <row r="215" spans="1:14">
      <c r="A215" s="64" t="s">
        <v>168</v>
      </c>
      <c r="B215" s="22"/>
      <c r="C215" s="107">
        <v>7732.6</v>
      </c>
      <c r="D215" s="22"/>
      <c r="E215" s="107">
        <v>7843.74</v>
      </c>
      <c r="F215" s="107">
        <v>8101.15</v>
      </c>
      <c r="G215" s="107">
        <v>8101.13</v>
      </c>
      <c r="H215" s="22"/>
      <c r="I215" s="22"/>
      <c r="J215" s="22"/>
      <c r="K215" s="107">
        <v>10523.52</v>
      </c>
      <c r="L215" s="107">
        <v>-2219.52</v>
      </c>
      <c r="M215" s="107">
        <v>8680.36</v>
      </c>
      <c r="N215" s="107">
        <v>48762.98</v>
      </c>
    </row>
    <row r="216" spans="1:14">
      <c r="A216" s="64" t="s">
        <v>169</v>
      </c>
      <c r="B216" s="107">
        <v>2840.64</v>
      </c>
      <c r="C216" s="107">
        <v>2899.54</v>
      </c>
      <c r="D216" s="107">
        <v>3376.55</v>
      </c>
      <c r="E216" s="107">
        <v>1713.02</v>
      </c>
      <c r="F216" s="107">
        <v>6799.17</v>
      </c>
      <c r="G216" s="107">
        <v>337.76</v>
      </c>
      <c r="H216" s="107">
        <v>3202.93</v>
      </c>
      <c r="I216" s="107">
        <v>1175.54</v>
      </c>
      <c r="J216" s="107">
        <v>5798.47</v>
      </c>
      <c r="K216" s="107">
        <v>3521.99</v>
      </c>
      <c r="L216" s="107">
        <v>454.34</v>
      </c>
      <c r="M216" s="107">
        <v>4715.22</v>
      </c>
      <c r="N216" s="107">
        <v>36835.17</v>
      </c>
    </row>
    <row r="217" spans="1:14">
      <c r="A217" s="64" t="s">
        <v>318</v>
      </c>
      <c r="B217" s="107">
        <v>7200</v>
      </c>
      <c r="C217" s="107">
        <v>5150</v>
      </c>
      <c r="D217" s="107">
        <v>1755</v>
      </c>
      <c r="E217" s="107">
        <v>2580</v>
      </c>
      <c r="F217" s="107">
        <v>2850</v>
      </c>
      <c r="G217" s="22"/>
      <c r="H217" s="107">
        <v>17880</v>
      </c>
      <c r="I217" s="107">
        <v>7650</v>
      </c>
      <c r="J217" s="107">
        <v>3450</v>
      </c>
      <c r="K217" s="107">
        <v>3050</v>
      </c>
      <c r="L217" s="107">
        <v>1890</v>
      </c>
      <c r="M217" s="107">
        <v>6360</v>
      </c>
      <c r="N217" s="107">
        <v>59815</v>
      </c>
    </row>
    <row r="218" spans="1:14">
      <c r="A218" s="64" t="s">
        <v>171</v>
      </c>
      <c r="B218" s="111">
        <v>4865.93</v>
      </c>
      <c r="C218" s="111">
        <v>936.37</v>
      </c>
      <c r="D218" s="111">
        <v>1487.44</v>
      </c>
      <c r="E218" s="111">
        <v>1988.31</v>
      </c>
      <c r="F218" s="111">
        <v>7902</v>
      </c>
      <c r="G218" s="111">
        <v>2831.31</v>
      </c>
      <c r="H218" s="111">
        <v>8298.02</v>
      </c>
      <c r="I218" s="111">
        <v>17204.79</v>
      </c>
      <c r="J218" s="111">
        <v>3976.63</v>
      </c>
      <c r="K218" s="111">
        <v>10463.41</v>
      </c>
      <c r="L218" s="111">
        <v>5435.25</v>
      </c>
      <c r="M218" s="111">
        <v>2773.48</v>
      </c>
      <c r="N218" s="111">
        <v>68162.94</v>
      </c>
    </row>
    <row r="219" spans="1:14">
      <c r="A219" s="64" t="s">
        <v>16</v>
      </c>
      <c r="B219" s="107">
        <f t="shared" ref="B219:M219" si="52">SUM(B209:B218)</f>
        <v>38190.469999999994</v>
      </c>
      <c r="C219" s="107">
        <f t="shared" si="52"/>
        <v>42983.26</v>
      </c>
      <c r="D219" s="107">
        <f t="shared" si="52"/>
        <v>43911.110000000008</v>
      </c>
      <c r="E219" s="107">
        <f t="shared" si="52"/>
        <v>40899.199999999997</v>
      </c>
      <c r="F219" s="107">
        <f t="shared" si="52"/>
        <v>53263.92</v>
      </c>
      <c r="G219" s="107">
        <f t="shared" si="52"/>
        <v>44380.18</v>
      </c>
      <c r="H219" s="107">
        <f t="shared" si="52"/>
        <v>57063.400000000009</v>
      </c>
      <c r="I219" s="107">
        <f t="shared" si="52"/>
        <v>63785.95</v>
      </c>
      <c r="J219" s="107">
        <f t="shared" si="52"/>
        <v>44422.2</v>
      </c>
      <c r="K219" s="107">
        <f t="shared" si="52"/>
        <v>58068.69</v>
      </c>
      <c r="L219" s="107">
        <f t="shared" si="52"/>
        <v>32922.43</v>
      </c>
      <c r="M219" s="107">
        <f t="shared" si="52"/>
        <v>55045.420000000006</v>
      </c>
      <c r="N219" s="107">
        <v>574936.23</v>
      </c>
    </row>
    <row r="220" spans="1:14">
      <c r="A220" s="64"/>
      <c r="B220" s="22"/>
      <c r="C220" s="22"/>
      <c r="D220" s="22"/>
      <c r="E220" s="22"/>
      <c r="F220" s="22"/>
      <c r="G220" s="22"/>
      <c r="H220" s="22"/>
      <c r="I220" s="22"/>
      <c r="J220" s="22"/>
      <c r="K220" s="22"/>
      <c r="L220" s="22"/>
      <c r="M220" s="22"/>
      <c r="N220" s="22"/>
    </row>
    <row r="221" spans="1:14">
      <c r="A221" s="64" t="s">
        <v>17</v>
      </c>
      <c r="B221" s="22"/>
      <c r="C221" s="22"/>
      <c r="D221" s="22"/>
      <c r="E221" s="22"/>
      <c r="F221" s="22"/>
      <c r="G221" s="22"/>
      <c r="H221" s="22"/>
      <c r="I221" s="22"/>
      <c r="J221" s="22"/>
      <c r="K221" s="22"/>
      <c r="L221" s="22"/>
      <c r="M221" s="22"/>
      <c r="N221" s="22"/>
    </row>
    <row r="222" spans="1:14">
      <c r="A222" s="64" t="s">
        <v>172</v>
      </c>
      <c r="B222" s="107">
        <v>23167.16</v>
      </c>
      <c r="C222" s="107">
        <v>22718.7</v>
      </c>
      <c r="D222" s="107">
        <v>25395.33</v>
      </c>
      <c r="E222" s="107">
        <v>25734.94</v>
      </c>
      <c r="F222" s="107">
        <v>38340.49</v>
      </c>
      <c r="G222" s="107">
        <v>27189.94</v>
      </c>
      <c r="H222" s="107">
        <v>24436.91</v>
      </c>
      <c r="I222" s="107">
        <v>43900</v>
      </c>
      <c r="J222" s="107">
        <v>31932.81</v>
      </c>
      <c r="K222" s="107">
        <v>50127.35</v>
      </c>
      <c r="L222" s="107">
        <v>21100</v>
      </c>
      <c r="M222" s="107">
        <v>33409.660000000003</v>
      </c>
      <c r="N222" s="107">
        <v>367453.29</v>
      </c>
    </row>
    <row r="223" spans="1:14">
      <c r="A223" s="64" t="s">
        <v>173</v>
      </c>
      <c r="B223" s="107">
        <v>27244.81</v>
      </c>
      <c r="C223" s="107">
        <v>26615.81</v>
      </c>
      <c r="D223" s="107">
        <v>28644.71</v>
      </c>
      <c r="E223" s="107">
        <v>27501.78</v>
      </c>
      <c r="F223" s="107">
        <v>24542.78</v>
      </c>
      <c r="G223" s="107">
        <v>23301.48</v>
      </c>
      <c r="H223" s="107">
        <v>24179.07</v>
      </c>
      <c r="I223" s="107">
        <v>31016.2</v>
      </c>
      <c r="J223" s="107">
        <v>26520.18</v>
      </c>
      <c r="K223" s="107">
        <v>28500.51</v>
      </c>
      <c r="L223" s="107">
        <v>19921.939999999999</v>
      </c>
      <c r="M223" s="107">
        <v>23424.57</v>
      </c>
      <c r="N223" s="107">
        <v>311413.84000000003</v>
      </c>
    </row>
    <row r="224" spans="1:14">
      <c r="A224" s="64" t="s">
        <v>174</v>
      </c>
      <c r="B224" s="107">
        <v>27511.84</v>
      </c>
      <c r="C224" s="107">
        <v>25068.79</v>
      </c>
      <c r="D224" s="107">
        <v>27584.23</v>
      </c>
      <c r="E224" s="107">
        <v>26721.62</v>
      </c>
      <c r="F224" s="107">
        <v>27577.02</v>
      </c>
      <c r="G224" s="107">
        <v>22135.66</v>
      </c>
      <c r="H224" s="107">
        <v>16424.47</v>
      </c>
      <c r="I224" s="107">
        <v>34200</v>
      </c>
      <c r="J224" s="107">
        <v>38574.980000000003</v>
      </c>
      <c r="K224" s="107">
        <v>36442.92</v>
      </c>
      <c r="L224" s="107">
        <v>31447.77</v>
      </c>
      <c r="M224" s="107">
        <v>25945.9</v>
      </c>
      <c r="N224" s="107">
        <v>339635.20000000001</v>
      </c>
    </row>
    <row r="225" spans="1:14">
      <c r="A225" s="64" t="s">
        <v>175</v>
      </c>
      <c r="B225" s="107">
        <v>11681.62</v>
      </c>
      <c r="C225" s="107">
        <v>12011.95</v>
      </c>
      <c r="D225" s="107">
        <v>10824.12</v>
      </c>
      <c r="E225" s="107">
        <v>11505.9</v>
      </c>
      <c r="F225" s="107">
        <v>6681.04</v>
      </c>
      <c r="G225" s="107">
        <v>14581.47</v>
      </c>
      <c r="H225" s="107">
        <v>8321.26</v>
      </c>
      <c r="I225" s="107">
        <v>11100.01</v>
      </c>
      <c r="J225" s="107">
        <v>8592.85</v>
      </c>
      <c r="K225" s="107">
        <v>9799.7199999999993</v>
      </c>
      <c r="L225" s="107">
        <v>18827.599999999999</v>
      </c>
      <c r="M225" s="107">
        <v>10314.86</v>
      </c>
      <c r="N225" s="107">
        <v>134242.4</v>
      </c>
    </row>
    <row r="226" spans="1:14">
      <c r="A226" s="64" t="s">
        <v>176</v>
      </c>
      <c r="B226" s="22"/>
      <c r="C226" s="22"/>
      <c r="D226" s="22"/>
      <c r="E226" s="22"/>
      <c r="F226" s="22"/>
      <c r="G226" s="22"/>
      <c r="H226" s="22"/>
      <c r="I226" s="107">
        <v>1070.8399999999999</v>
      </c>
      <c r="J226" s="22"/>
      <c r="K226" s="22"/>
      <c r="L226" s="22"/>
      <c r="M226" s="22"/>
      <c r="N226" s="107">
        <v>1070.8399999999999</v>
      </c>
    </row>
    <row r="227" spans="1:14">
      <c r="A227" s="64" t="s">
        <v>177</v>
      </c>
      <c r="B227" s="107">
        <v>850.44</v>
      </c>
      <c r="C227" s="107">
        <v>558.5</v>
      </c>
      <c r="D227" s="107">
        <v>727.44</v>
      </c>
      <c r="E227" s="107">
        <v>712.13</v>
      </c>
      <c r="F227" s="107">
        <v>549.88</v>
      </c>
      <c r="G227" s="107">
        <v>935.56</v>
      </c>
      <c r="H227" s="107">
        <v>702.3</v>
      </c>
      <c r="I227" s="107">
        <v>59.82</v>
      </c>
      <c r="J227" s="22"/>
      <c r="K227" s="107">
        <v>186.78</v>
      </c>
      <c r="L227" s="107">
        <v>84.15</v>
      </c>
      <c r="M227" s="107">
        <v>3853.24</v>
      </c>
      <c r="N227" s="107">
        <v>9220.24</v>
      </c>
    </row>
    <row r="228" spans="1:14">
      <c r="A228" s="64" t="s">
        <v>178</v>
      </c>
      <c r="B228" s="107">
        <v>1022.94</v>
      </c>
      <c r="C228" s="107">
        <v>1455</v>
      </c>
      <c r="D228" s="107">
        <v>1187.82</v>
      </c>
      <c r="E228" s="107">
        <v>1330</v>
      </c>
      <c r="F228" s="107">
        <v>1060</v>
      </c>
      <c r="G228" s="107">
        <v>1750</v>
      </c>
      <c r="H228" s="107">
        <v>1077.82</v>
      </c>
      <c r="I228" s="107">
        <v>700</v>
      </c>
      <c r="J228" s="107">
        <v>1575</v>
      </c>
      <c r="K228" s="107">
        <v>1602.82</v>
      </c>
      <c r="L228" s="107">
        <v>945</v>
      </c>
      <c r="M228" s="107">
        <v>2770</v>
      </c>
      <c r="N228" s="107">
        <v>16476.400000000001</v>
      </c>
    </row>
    <row r="229" spans="1:14">
      <c r="A229" s="64" t="s">
        <v>179</v>
      </c>
      <c r="B229" s="107">
        <v>4798.54</v>
      </c>
      <c r="C229" s="107">
        <v>6471.95</v>
      </c>
      <c r="D229" s="107">
        <v>5425.51</v>
      </c>
      <c r="E229" s="107">
        <v>5565.33</v>
      </c>
      <c r="F229" s="107">
        <v>3518.82</v>
      </c>
      <c r="G229" s="107">
        <v>9321.6200000000008</v>
      </c>
      <c r="H229" s="107">
        <v>8260.08</v>
      </c>
      <c r="I229" s="107">
        <v>11837.04</v>
      </c>
      <c r="J229" s="107">
        <v>10828.8</v>
      </c>
      <c r="K229" s="107">
        <v>5471.27</v>
      </c>
      <c r="L229" s="107">
        <v>1020.14</v>
      </c>
      <c r="M229" s="107">
        <v>4054.9</v>
      </c>
      <c r="N229" s="107">
        <v>76574</v>
      </c>
    </row>
    <row r="230" spans="1:14">
      <c r="A230" s="64" t="s">
        <v>180</v>
      </c>
      <c r="B230" s="107">
        <v>2549.1</v>
      </c>
      <c r="C230" s="107">
        <v>3454.03</v>
      </c>
      <c r="D230" s="107">
        <v>2023.55</v>
      </c>
      <c r="E230" s="107">
        <v>5258.26</v>
      </c>
      <c r="F230" s="107">
        <v>4825.6099999999997</v>
      </c>
      <c r="G230" s="107">
        <v>3715.79</v>
      </c>
      <c r="H230" s="107">
        <v>4621.83</v>
      </c>
      <c r="I230" s="107">
        <v>5804.03</v>
      </c>
      <c r="J230" s="107">
        <v>4702.28</v>
      </c>
      <c r="K230" s="107">
        <v>4252.49</v>
      </c>
      <c r="L230" s="107">
        <v>4332.8599999999997</v>
      </c>
      <c r="M230" s="107">
        <v>2764.21</v>
      </c>
      <c r="N230" s="107">
        <v>48304.04</v>
      </c>
    </row>
    <row r="231" spans="1:14">
      <c r="A231" s="64" t="s">
        <v>181</v>
      </c>
      <c r="B231" s="107">
        <v>3541.08</v>
      </c>
      <c r="C231" s="107">
        <v>2679.44</v>
      </c>
      <c r="D231" s="107">
        <v>2073.38</v>
      </c>
      <c r="E231" s="107">
        <v>3661.49</v>
      </c>
      <c r="F231" s="107">
        <v>2767.63</v>
      </c>
      <c r="G231" s="107">
        <v>3496.74</v>
      </c>
      <c r="H231" s="107">
        <v>3493.59</v>
      </c>
      <c r="I231" s="107">
        <v>5201.42</v>
      </c>
      <c r="J231" s="107">
        <v>3280.83</v>
      </c>
      <c r="K231" s="107">
        <v>3874.9</v>
      </c>
      <c r="L231" s="107">
        <v>4209.53</v>
      </c>
      <c r="M231" s="107">
        <v>3361.48</v>
      </c>
      <c r="N231" s="107">
        <v>41641.51</v>
      </c>
    </row>
    <row r="232" spans="1:14">
      <c r="A232" s="64" t="s">
        <v>182</v>
      </c>
      <c r="B232" s="107">
        <v>1388.5</v>
      </c>
      <c r="C232" s="107">
        <v>1926.94</v>
      </c>
      <c r="D232" s="107">
        <v>811.14</v>
      </c>
      <c r="E232" s="107">
        <v>481.34</v>
      </c>
      <c r="F232" s="107">
        <v>1755.2</v>
      </c>
      <c r="G232" s="107">
        <v>447.27</v>
      </c>
      <c r="H232" s="107">
        <v>729.33</v>
      </c>
      <c r="I232" s="107">
        <v>801.45</v>
      </c>
      <c r="J232" s="107">
        <v>400.09</v>
      </c>
      <c r="K232" s="107">
        <v>654.57000000000005</v>
      </c>
      <c r="L232" s="107">
        <v>743.98</v>
      </c>
      <c r="M232" s="107">
        <v>509.78</v>
      </c>
      <c r="N232" s="107">
        <v>10649.59</v>
      </c>
    </row>
    <row r="233" spans="1:14">
      <c r="A233" s="64" t="s">
        <v>183</v>
      </c>
      <c r="B233" s="107">
        <v>588.66</v>
      </c>
      <c r="C233" s="107">
        <v>1149.3599999999999</v>
      </c>
      <c r="D233" s="107">
        <v>607.95000000000005</v>
      </c>
      <c r="E233" s="107">
        <v>499.28</v>
      </c>
      <c r="F233" s="107">
        <v>1566.64</v>
      </c>
      <c r="G233" s="107">
        <v>817.31</v>
      </c>
      <c r="H233" s="107">
        <v>796.58</v>
      </c>
      <c r="I233" s="107">
        <v>399.86</v>
      </c>
      <c r="J233" s="107">
        <v>285.36</v>
      </c>
      <c r="K233" s="107">
        <v>752.01</v>
      </c>
      <c r="L233" s="107">
        <v>549.37</v>
      </c>
      <c r="M233" s="107">
        <v>441.92</v>
      </c>
      <c r="N233" s="107">
        <v>8454.2999999999993</v>
      </c>
    </row>
    <row r="234" spans="1:14">
      <c r="A234" s="64" t="s">
        <v>184</v>
      </c>
      <c r="B234" s="111">
        <v>6482.77</v>
      </c>
      <c r="C234" s="111">
        <v>4898.95</v>
      </c>
      <c r="D234" s="111">
        <v>5593.05</v>
      </c>
      <c r="E234" s="111">
        <v>5658.26</v>
      </c>
      <c r="F234" s="111">
        <v>7531.11</v>
      </c>
      <c r="G234" s="111">
        <v>5904.5</v>
      </c>
      <c r="H234" s="111">
        <v>5738.93</v>
      </c>
      <c r="I234" s="111">
        <v>7300</v>
      </c>
      <c r="J234" s="111">
        <v>6607.15</v>
      </c>
      <c r="K234" s="111">
        <v>5955.94</v>
      </c>
      <c r="L234" s="111">
        <v>5320.91</v>
      </c>
      <c r="M234" s="111">
        <v>4618.62</v>
      </c>
      <c r="N234" s="111">
        <v>71610.19</v>
      </c>
    </row>
    <row r="235" spans="1:14">
      <c r="A235" s="64" t="s">
        <v>185</v>
      </c>
      <c r="B235" s="107">
        <f t="shared" ref="B235:M235" si="53">SUM(B220:B234)</f>
        <v>110827.46</v>
      </c>
      <c r="C235" s="107">
        <f t="shared" si="53"/>
        <v>109009.42</v>
      </c>
      <c r="D235" s="107">
        <f t="shared" si="53"/>
        <v>110898.23000000001</v>
      </c>
      <c r="E235" s="107">
        <f t="shared" si="53"/>
        <v>114630.32999999999</v>
      </c>
      <c r="F235" s="107">
        <f t="shared" si="53"/>
        <v>120716.22</v>
      </c>
      <c r="G235" s="107">
        <f t="shared" si="53"/>
        <v>113597.34</v>
      </c>
      <c r="H235" s="107">
        <f t="shared" si="53"/>
        <v>98782.170000000013</v>
      </c>
      <c r="I235" s="107">
        <f t="shared" si="53"/>
        <v>153390.67000000001</v>
      </c>
      <c r="J235" s="107">
        <f t="shared" si="53"/>
        <v>133300.33000000002</v>
      </c>
      <c r="K235" s="107">
        <f t="shared" si="53"/>
        <v>147621.28</v>
      </c>
      <c r="L235" s="107">
        <f t="shared" si="53"/>
        <v>108503.24999999999</v>
      </c>
      <c r="M235" s="107">
        <f t="shared" si="53"/>
        <v>115469.14</v>
      </c>
      <c r="N235" s="107">
        <v>1436745.84</v>
      </c>
    </row>
    <row r="236" spans="1:14">
      <c r="A236" s="64"/>
      <c r="B236" s="22"/>
      <c r="C236" s="22"/>
      <c r="D236" s="22"/>
      <c r="E236" s="22"/>
      <c r="F236" s="22"/>
      <c r="G236" s="22"/>
      <c r="H236" s="22"/>
      <c r="I236" s="22"/>
      <c r="J236" s="22"/>
      <c r="K236" s="22"/>
      <c r="L236" s="22"/>
      <c r="M236" s="22"/>
      <c r="N236" s="22"/>
    </row>
    <row r="237" spans="1:14">
      <c r="A237" s="64" t="s">
        <v>186</v>
      </c>
      <c r="B237" s="22"/>
      <c r="C237" s="22"/>
      <c r="D237" s="22"/>
      <c r="E237" s="22"/>
      <c r="F237" s="22"/>
      <c r="G237" s="22"/>
      <c r="H237" s="22"/>
      <c r="I237" s="22"/>
      <c r="J237" s="22"/>
      <c r="K237" s="22"/>
      <c r="L237" s="22"/>
      <c r="M237" s="22"/>
      <c r="N237" s="22"/>
    </row>
    <row r="238" spans="1:14">
      <c r="A238" s="64" t="s">
        <v>187</v>
      </c>
      <c r="B238" s="107">
        <v>8500</v>
      </c>
      <c r="C238" s="107">
        <v>8500</v>
      </c>
      <c r="D238" s="107">
        <v>8500</v>
      </c>
      <c r="E238" s="107">
        <v>2500</v>
      </c>
      <c r="F238" s="107">
        <v>5500</v>
      </c>
      <c r="G238" s="107">
        <v>5500</v>
      </c>
      <c r="H238" s="107">
        <v>5500</v>
      </c>
      <c r="I238" s="107">
        <v>5500</v>
      </c>
      <c r="J238" s="107">
        <v>5500</v>
      </c>
      <c r="K238" s="107">
        <v>5500</v>
      </c>
      <c r="L238" s="107">
        <v>5500</v>
      </c>
      <c r="M238" s="107">
        <v>5500</v>
      </c>
      <c r="N238" s="107">
        <v>72000</v>
      </c>
    </row>
    <row r="239" spans="1:14">
      <c r="A239" s="64" t="s">
        <v>188</v>
      </c>
      <c r="B239" s="107">
        <v>1500</v>
      </c>
      <c r="C239" s="107">
        <v>1260</v>
      </c>
      <c r="D239" s="107">
        <v>1300</v>
      </c>
      <c r="E239" s="107">
        <v>1400</v>
      </c>
      <c r="F239" s="107">
        <v>1360</v>
      </c>
      <c r="G239" s="107">
        <v>1340</v>
      </c>
      <c r="H239" s="107">
        <v>1800</v>
      </c>
      <c r="I239" s="107">
        <v>1540</v>
      </c>
      <c r="J239" s="107">
        <v>1480</v>
      </c>
      <c r="K239" s="107">
        <v>1460</v>
      </c>
      <c r="L239" s="107">
        <v>1720</v>
      </c>
      <c r="M239" s="107">
        <v>1480</v>
      </c>
      <c r="N239" s="107">
        <v>17640</v>
      </c>
    </row>
    <row r="240" spans="1:14">
      <c r="A240" s="64" t="s">
        <v>189</v>
      </c>
      <c r="B240" s="22"/>
      <c r="C240" s="22"/>
      <c r="D240" s="22"/>
      <c r="E240" s="22"/>
      <c r="F240" s="22"/>
      <c r="G240" s="22"/>
      <c r="H240" s="22"/>
      <c r="I240" s="22"/>
      <c r="J240" s="22"/>
      <c r="K240" s="107">
        <v>1100</v>
      </c>
      <c r="L240" s="22"/>
      <c r="M240" s="22"/>
      <c r="N240" s="107">
        <v>1100</v>
      </c>
    </row>
    <row r="241" spans="1:14">
      <c r="A241" s="64" t="s">
        <v>190</v>
      </c>
      <c r="B241" s="107">
        <v>3310</v>
      </c>
      <c r="C241" s="107">
        <v>3280</v>
      </c>
      <c r="D241" s="107">
        <v>3795</v>
      </c>
      <c r="E241" s="107">
        <v>2835</v>
      </c>
      <c r="F241" s="107">
        <v>3085</v>
      </c>
      <c r="G241" s="107">
        <v>2570</v>
      </c>
      <c r="H241" s="107">
        <v>4370</v>
      </c>
      <c r="I241" s="107">
        <v>5320</v>
      </c>
      <c r="J241" s="107">
        <v>3740</v>
      </c>
      <c r="K241" s="107">
        <v>3915</v>
      </c>
      <c r="L241" s="107">
        <v>2295</v>
      </c>
      <c r="M241" s="107">
        <v>3135</v>
      </c>
      <c r="N241" s="107">
        <v>41650</v>
      </c>
    </row>
    <row r="242" spans="1:14">
      <c r="A242" s="64" t="s">
        <v>191</v>
      </c>
      <c r="B242" s="107">
        <v>10836.46</v>
      </c>
      <c r="C242" s="107">
        <v>11111.15</v>
      </c>
      <c r="D242" s="107">
        <v>11138.37</v>
      </c>
      <c r="E242" s="107">
        <v>12397.85</v>
      </c>
      <c r="F242" s="107">
        <v>11392.4</v>
      </c>
      <c r="G242" s="107">
        <v>12033.79</v>
      </c>
      <c r="H242" s="107">
        <v>12924.27</v>
      </c>
      <c r="I242" s="107">
        <v>13102.03</v>
      </c>
      <c r="J242" s="107">
        <v>10290.89</v>
      </c>
      <c r="K242" s="107">
        <v>10329.26</v>
      </c>
      <c r="L242" s="107">
        <v>10862.52</v>
      </c>
      <c r="M242" s="107"/>
      <c r="N242" s="107">
        <v>126418.99</v>
      </c>
    </row>
    <row r="243" spans="1:14">
      <c r="A243" s="64" t="s">
        <v>415</v>
      </c>
      <c r="B243" s="22"/>
      <c r="C243" s="22"/>
      <c r="D243" s="22"/>
      <c r="E243" s="22"/>
      <c r="F243" s="22"/>
      <c r="G243" s="22"/>
      <c r="H243" s="22"/>
      <c r="I243" s="22"/>
      <c r="J243" s="22"/>
      <c r="K243" s="22"/>
      <c r="L243" s="22"/>
      <c r="M243" s="107">
        <v>1210.21</v>
      </c>
      <c r="N243" s="107">
        <v>1210.21</v>
      </c>
    </row>
    <row r="244" spans="1:14">
      <c r="A244" s="64" t="s">
        <v>416</v>
      </c>
      <c r="B244" s="22"/>
      <c r="C244" s="22"/>
      <c r="D244" s="22"/>
      <c r="E244" s="22"/>
      <c r="F244" s="22"/>
      <c r="G244" s="22"/>
      <c r="H244" s="22"/>
      <c r="I244" s="22"/>
      <c r="J244" s="22"/>
      <c r="K244" s="22"/>
      <c r="L244" s="22"/>
      <c r="M244" s="107">
        <v>6125.95</v>
      </c>
      <c r="N244" s="107">
        <v>6125.95</v>
      </c>
    </row>
    <row r="245" spans="1:14">
      <c r="A245" s="64" t="s">
        <v>417</v>
      </c>
      <c r="B245" s="22"/>
      <c r="C245" s="22"/>
      <c r="D245" s="22"/>
      <c r="E245" s="22"/>
      <c r="F245" s="22"/>
      <c r="G245" s="22"/>
      <c r="H245" s="22"/>
      <c r="I245" s="22"/>
      <c r="J245" s="22"/>
      <c r="K245" s="22"/>
      <c r="L245" s="22"/>
      <c r="M245" s="107">
        <v>8878.44</v>
      </c>
      <c r="N245" s="107">
        <v>8878.44</v>
      </c>
    </row>
    <row r="246" spans="1:14">
      <c r="A246" s="64" t="s">
        <v>192</v>
      </c>
      <c r="B246" s="107">
        <v>868.8</v>
      </c>
      <c r="C246" s="107">
        <v>899.7</v>
      </c>
      <c r="D246" s="107">
        <v>898.8</v>
      </c>
      <c r="E246" s="107">
        <v>898.8</v>
      </c>
      <c r="F246" s="107">
        <v>898.8</v>
      </c>
      <c r="G246" s="107">
        <v>898.8</v>
      </c>
      <c r="H246" s="107">
        <v>898.8</v>
      </c>
      <c r="I246" s="107">
        <v>808.01</v>
      </c>
      <c r="J246" s="107">
        <v>898.8</v>
      </c>
      <c r="K246" s="107">
        <v>898.8</v>
      </c>
      <c r="L246" s="107">
        <v>898.8</v>
      </c>
      <c r="M246" s="107">
        <v>898.8</v>
      </c>
      <c r="N246" s="107">
        <v>10665.71</v>
      </c>
    </row>
    <row r="247" spans="1:14">
      <c r="A247" s="64" t="s">
        <v>193</v>
      </c>
      <c r="B247" s="107">
        <v>2749.16</v>
      </c>
      <c r="C247" s="107">
        <v>3389.03</v>
      </c>
      <c r="D247" s="107">
        <v>3424.05</v>
      </c>
      <c r="E247" s="107">
        <v>2277.6799999999998</v>
      </c>
      <c r="F247" s="107">
        <v>2147.1</v>
      </c>
      <c r="G247" s="107">
        <v>2654.27</v>
      </c>
      <c r="H247" s="107">
        <v>2349.38</v>
      </c>
      <c r="I247" s="107">
        <v>2761.67</v>
      </c>
      <c r="J247" s="107">
        <v>2224.4699999999998</v>
      </c>
      <c r="K247" s="107">
        <v>3153.7</v>
      </c>
      <c r="L247" s="107">
        <v>1660.52</v>
      </c>
      <c r="M247" s="107">
        <v>2256.38</v>
      </c>
      <c r="N247" s="107">
        <v>31047.41</v>
      </c>
    </row>
    <row r="248" spans="1:14">
      <c r="A248" s="64" t="s">
        <v>194</v>
      </c>
      <c r="B248" s="107">
        <v>3168.23</v>
      </c>
      <c r="C248" s="107">
        <v>5752.21</v>
      </c>
      <c r="D248" s="107">
        <v>1649.32</v>
      </c>
      <c r="E248" s="107">
        <v>724.44</v>
      </c>
      <c r="F248" s="107">
        <v>1506.41</v>
      </c>
      <c r="G248" s="107">
        <v>357.38</v>
      </c>
      <c r="H248" s="107">
        <v>1479.78</v>
      </c>
      <c r="I248" s="107">
        <v>2920.18</v>
      </c>
      <c r="J248" s="107">
        <v>4755.6499999999996</v>
      </c>
      <c r="K248" s="107">
        <v>3349.44</v>
      </c>
      <c r="L248" s="107">
        <v>2366.98</v>
      </c>
      <c r="M248" s="107">
        <v>5903.94</v>
      </c>
      <c r="N248" s="107">
        <v>33933.96</v>
      </c>
    </row>
    <row r="249" spans="1:14">
      <c r="A249" s="64" t="s">
        <v>195</v>
      </c>
      <c r="B249" s="107">
        <v>14075.85</v>
      </c>
      <c r="C249" s="107">
        <v>14075.85</v>
      </c>
      <c r="D249" s="107">
        <v>14075.85</v>
      </c>
      <c r="E249" s="107">
        <v>14075.85</v>
      </c>
      <c r="F249" s="107">
        <v>14075.85</v>
      </c>
      <c r="G249" s="107">
        <v>14075.85</v>
      </c>
      <c r="H249" s="107">
        <v>14075.85</v>
      </c>
      <c r="I249" s="107">
        <v>14075.85</v>
      </c>
      <c r="J249" s="107">
        <v>14075.85</v>
      </c>
      <c r="K249" s="107">
        <v>14920.41</v>
      </c>
      <c r="L249" s="107">
        <v>14498.13</v>
      </c>
      <c r="M249" s="107">
        <v>14498.13</v>
      </c>
      <c r="N249" s="107">
        <v>170599.32</v>
      </c>
    </row>
    <row r="250" spans="1:14">
      <c r="A250" s="64" t="s">
        <v>196</v>
      </c>
      <c r="B250" s="107">
        <v>9383.9</v>
      </c>
      <c r="C250" s="107"/>
      <c r="D250" s="107">
        <v>18767.8</v>
      </c>
      <c r="E250" s="107">
        <v>9383.9</v>
      </c>
      <c r="F250" s="107">
        <v>9383.9</v>
      </c>
      <c r="G250" s="107">
        <v>9383.9</v>
      </c>
      <c r="H250" s="107">
        <v>9383.9</v>
      </c>
      <c r="I250" s="107">
        <v>9383.9</v>
      </c>
      <c r="J250" s="107">
        <v>9383.9</v>
      </c>
      <c r="K250" s="107">
        <v>9946.92</v>
      </c>
      <c r="L250" s="107">
        <v>9665.41</v>
      </c>
      <c r="M250" s="107">
        <v>9665.41</v>
      </c>
      <c r="N250" s="107">
        <v>113732.84</v>
      </c>
    </row>
    <row r="251" spans="1:14">
      <c r="A251" s="64" t="s">
        <v>197</v>
      </c>
      <c r="B251" s="107">
        <v>39796.75</v>
      </c>
      <c r="C251" s="107">
        <v>39683.42</v>
      </c>
      <c r="D251" s="107">
        <v>41514.51</v>
      </c>
      <c r="E251" s="107">
        <v>41221.89</v>
      </c>
      <c r="F251" s="107">
        <v>41668.81</v>
      </c>
      <c r="G251" s="107">
        <v>42478.53</v>
      </c>
      <c r="H251" s="107">
        <v>44187.61</v>
      </c>
      <c r="I251" s="107">
        <v>43362.62</v>
      </c>
      <c r="J251" s="107">
        <v>46000</v>
      </c>
      <c r="K251" s="107">
        <v>44990.62</v>
      </c>
      <c r="L251" s="107">
        <v>43350.83</v>
      </c>
      <c r="M251" s="107">
        <v>47157.14</v>
      </c>
      <c r="N251" s="107">
        <v>515412.73</v>
      </c>
    </row>
    <row r="252" spans="1:14">
      <c r="A252" s="64" t="s">
        <v>198</v>
      </c>
      <c r="B252" s="107">
        <v>1465.17</v>
      </c>
      <c r="C252" s="107">
        <v>1465.17</v>
      </c>
      <c r="D252" s="107">
        <v>1541.54</v>
      </c>
      <c r="E252" s="107">
        <v>1525.33</v>
      </c>
      <c r="F252" s="107">
        <v>1542.38</v>
      </c>
      <c r="G252" s="107">
        <v>1525.33</v>
      </c>
      <c r="H252" s="107">
        <v>1525.33</v>
      </c>
      <c r="I252" s="107">
        <v>1525.33</v>
      </c>
      <c r="J252" s="107">
        <v>1525.33</v>
      </c>
      <c r="K252" s="107">
        <v>1525.33</v>
      </c>
      <c r="L252" s="107">
        <v>1525.33</v>
      </c>
      <c r="M252" s="107">
        <v>1593.53</v>
      </c>
      <c r="N252" s="107">
        <v>18285.099999999999</v>
      </c>
    </row>
    <row r="253" spans="1:14">
      <c r="A253" s="64" t="s">
        <v>199</v>
      </c>
      <c r="B253" s="107">
        <v>663.75</v>
      </c>
      <c r="C253" s="107">
        <v>309.75</v>
      </c>
      <c r="D253" s="107">
        <v>496.58</v>
      </c>
      <c r="E253" s="107">
        <v>490.03</v>
      </c>
      <c r="F253" s="107">
        <v>909.34</v>
      </c>
      <c r="G253" s="107">
        <v>150</v>
      </c>
      <c r="H253" s="107">
        <v>990</v>
      </c>
      <c r="I253" s="107">
        <v>1301.9000000000001</v>
      </c>
      <c r="J253" s="107">
        <v>1281.25</v>
      </c>
      <c r="K253" s="107">
        <v>1016.99</v>
      </c>
      <c r="L253" s="107">
        <v>630</v>
      </c>
      <c r="M253" s="107">
        <v>1606</v>
      </c>
      <c r="N253" s="107">
        <v>9845.59</v>
      </c>
    </row>
    <row r="254" spans="1:14">
      <c r="A254" s="64" t="s">
        <v>200</v>
      </c>
      <c r="B254" s="107">
        <v>1732</v>
      </c>
      <c r="C254" s="107">
        <v>1732</v>
      </c>
      <c r="D254" s="107">
        <v>1732</v>
      </c>
      <c r="E254" s="107">
        <v>1732</v>
      </c>
      <c r="F254" s="107">
        <v>1732</v>
      </c>
      <c r="G254" s="107">
        <v>1801.28</v>
      </c>
      <c r="H254" s="107">
        <v>1801.28</v>
      </c>
      <c r="I254" s="107">
        <v>3428.55</v>
      </c>
      <c r="J254" s="107">
        <v>1800</v>
      </c>
      <c r="K254" s="107">
        <v>1973.23</v>
      </c>
      <c r="L254" s="107">
        <v>1800</v>
      </c>
      <c r="M254" s="107">
        <v>1801.28</v>
      </c>
      <c r="N254" s="107">
        <v>23065.62</v>
      </c>
    </row>
    <row r="255" spans="1:14">
      <c r="A255" s="64" t="s">
        <v>201</v>
      </c>
      <c r="B255" s="107">
        <v>267.38</v>
      </c>
      <c r="C255" s="107">
        <v>267.38</v>
      </c>
      <c r="D255" s="107">
        <v>358.31</v>
      </c>
      <c r="E255" s="107">
        <v>768.58</v>
      </c>
      <c r="F255" s="107">
        <v>847.69</v>
      </c>
      <c r="G255" s="107">
        <v>550</v>
      </c>
      <c r="H255" s="107">
        <v>847.69</v>
      </c>
      <c r="I255" s="107">
        <v>825</v>
      </c>
      <c r="J255" s="107">
        <v>550</v>
      </c>
      <c r="K255" s="107">
        <v>550</v>
      </c>
      <c r="L255" s="107">
        <v>550</v>
      </c>
      <c r="M255" s="107">
        <v>850</v>
      </c>
      <c r="N255" s="107">
        <v>7232.03</v>
      </c>
    </row>
    <row r="256" spans="1:14">
      <c r="A256" s="64" t="s">
        <v>202</v>
      </c>
      <c r="B256" s="107">
        <v>3725</v>
      </c>
      <c r="C256" s="22"/>
      <c r="D256" s="107">
        <v>9700</v>
      </c>
      <c r="E256" s="22"/>
      <c r="F256" s="22"/>
      <c r="G256" s="107"/>
      <c r="H256" s="22"/>
      <c r="I256" s="107">
        <v>4510</v>
      </c>
      <c r="J256" s="22"/>
      <c r="K256" s="107">
        <v>4680</v>
      </c>
      <c r="L256" s="107">
        <v>9729.23</v>
      </c>
      <c r="M256" s="22"/>
      <c r="N256" s="107">
        <v>32344.23</v>
      </c>
    </row>
    <row r="257" spans="1:14">
      <c r="A257" s="64" t="s">
        <v>203</v>
      </c>
      <c r="B257" s="107">
        <v>11042.92</v>
      </c>
      <c r="C257" s="107">
        <v>11968.97</v>
      </c>
      <c r="D257" s="107">
        <v>10845.86</v>
      </c>
      <c r="E257" s="107">
        <v>8445.7199999999993</v>
      </c>
      <c r="F257" s="107">
        <v>8602.8700000000008</v>
      </c>
      <c r="G257" s="107">
        <v>8810.26</v>
      </c>
      <c r="H257" s="107">
        <v>11223.55</v>
      </c>
      <c r="I257" s="107">
        <v>8748.49</v>
      </c>
      <c r="J257" s="107">
        <v>10861.48</v>
      </c>
      <c r="K257" s="107">
        <v>10860.53</v>
      </c>
      <c r="L257" s="107">
        <v>12404.19</v>
      </c>
      <c r="M257" s="107">
        <v>14950.6</v>
      </c>
      <c r="N257" s="107">
        <v>128765.44</v>
      </c>
    </row>
    <row r="258" spans="1:14">
      <c r="A258" s="64" t="s">
        <v>204</v>
      </c>
      <c r="B258" s="107">
        <v>40963</v>
      </c>
      <c r="C258" s="107">
        <v>30741</v>
      </c>
      <c r="D258" s="107">
        <v>37007</v>
      </c>
      <c r="E258" s="107">
        <v>35279</v>
      </c>
      <c r="F258" s="107">
        <v>197983</v>
      </c>
      <c r="G258" s="107">
        <v>38665</v>
      </c>
      <c r="H258" s="107">
        <v>37778</v>
      </c>
      <c r="I258" s="107">
        <v>48671</v>
      </c>
      <c r="J258" s="107">
        <v>40408</v>
      </c>
      <c r="K258" s="107">
        <v>38570</v>
      </c>
      <c r="L258" s="107">
        <v>39664</v>
      </c>
      <c r="M258" s="107">
        <v>41726</v>
      </c>
      <c r="N258" s="107">
        <v>627455</v>
      </c>
    </row>
    <row r="259" spans="1:14">
      <c r="A259" s="64" t="s">
        <v>205</v>
      </c>
      <c r="B259" s="107">
        <v>901.42</v>
      </c>
      <c r="C259" s="107">
        <v>913.96</v>
      </c>
      <c r="D259" s="107">
        <v>900.94</v>
      </c>
      <c r="E259" s="107">
        <v>904.52</v>
      </c>
      <c r="F259" s="107">
        <v>651.14</v>
      </c>
      <c r="G259" s="107">
        <v>617.01</v>
      </c>
      <c r="H259" s="107">
        <v>625.75</v>
      </c>
      <c r="I259" s="107">
        <v>761.09</v>
      </c>
      <c r="J259" s="107">
        <v>626.55999999999995</v>
      </c>
      <c r="K259" s="107">
        <v>642.07000000000005</v>
      </c>
      <c r="L259" s="107">
        <v>502.22</v>
      </c>
      <c r="M259" s="107">
        <v>618.87</v>
      </c>
      <c r="N259" s="107">
        <v>8665.5499999999993</v>
      </c>
    </row>
    <row r="260" spans="1:14">
      <c r="A260" s="64" t="s">
        <v>206</v>
      </c>
      <c r="B260" s="111">
        <v>550.42999999999995</v>
      </c>
      <c r="C260" s="111">
        <v>771.58</v>
      </c>
      <c r="D260" s="111">
        <v>772.84</v>
      </c>
      <c r="E260" s="111">
        <v>785.92</v>
      </c>
      <c r="F260" s="111">
        <v>187.29</v>
      </c>
      <c r="G260" s="111">
        <v>730.07</v>
      </c>
      <c r="H260" s="111">
        <v>541.62</v>
      </c>
      <c r="I260" s="111">
        <v>1732.9</v>
      </c>
      <c r="J260" s="111">
        <v>768.62</v>
      </c>
      <c r="K260" s="111">
        <v>611.83000000000004</v>
      </c>
      <c r="L260" s="111">
        <v>1872.91</v>
      </c>
      <c r="M260" s="111">
        <v>775.91</v>
      </c>
      <c r="N260" s="111">
        <v>10101.92</v>
      </c>
    </row>
    <row r="261" spans="1:14">
      <c r="A261" s="64" t="s">
        <v>207</v>
      </c>
      <c r="B261" s="107">
        <f t="shared" ref="B261:M261" si="54">SUM(B236:B260)</f>
        <v>155500.22</v>
      </c>
      <c r="C261" s="107">
        <f t="shared" si="54"/>
        <v>136121.16999999998</v>
      </c>
      <c r="D261" s="107">
        <f t="shared" si="54"/>
        <v>168418.77</v>
      </c>
      <c r="E261" s="107">
        <f t="shared" si="54"/>
        <v>137646.51</v>
      </c>
      <c r="F261" s="107">
        <f t="shared" si="54"/>
        <v>303473.98</v>
      </c>
      <c r="G261" s="107">
        <f t="shared" si="54"/>
        <v>144141.47000000003</v>
      </c>
      <c r="H261" s="107">
        <f t="shared" si="54"/>
        <v>152302.81</v>
      </c>
      <c r="I261" s="107">
        <f t="shared" si="54"/>
        <v>170278.52000000002</v>
      </c>
      <c r="J261" s="107">
        <f t="shared" si="54"/>
        <v>156170.79999999999</v>
      </c>
      <c r="K261" s="107">
        <f t="shared" si="54"/>
        <v>159994.12999999998</v>
      </c>
      <c r="L261" s="107">
        <f t="shared" si="54"/>
        <v>161496.07</v>
      </c>
      <c r="M261" s="107">
        <f t="shared" si="54"/>
        <v>170631.59</v>
      </c>
      <c r="N261" s="107">
        <v>2016176.04</v>
      </c>
    </row>
    <row r="262" spans="1:14">
      <c r="A262" s="64"/>
      <c r="B262" s="22"/>
      <c r="C262" s="22"/>
      <c r="D262" s="22"/>
      <c r="E262" s="22"/>
      <c r="F262" s="22"/>
      <c r="G262" s="22"/>
      <c r="H262" s="22"/>
      <c r="I262" s="22"/>
      <c r="J262" s="22"/>
      <c r="K262" s="22"/>
      <c r="L262" s="22"/>
      <c r="M262" s="22"/>
      <c r="N262" s="22"/>
    </row>
    <row r="263" spans="1:14">
      <c r="A263" s="64" t="s">
        <v>15</v>
      </c>
      <c r="B263" s="22"/>
      <c r="C263" s="22"/>
      <c r="D263" s="22"/>
      <c r="E263" s="22"/>
      <c r="F263" s="22"/>
      <c r="G263" s="22"/>
      <c r="H263" s="22"/>
      <c r="I263" s="22"/>
      <c r="J263" s="22"/>
      <c r="K263" s="22"/>
      <c r="L263" s="22"/>
      <c r="M263" s="22"/>
      <c r="N263" s="22"/>
    </row>
    <row r="264" spans="1:14">
      <c r="A264" s="64" t="s">
        <v>208</v>
      </c>
      <c r="B264" s="107">
        <v>4547.25</v>
      </c>
      <c r="C264" s="107">
        <v>2614.5300000000002</v>
      </c>
      <c r="D264" s="107">
        <v>2691.22</v>
      </c>
      <c r="E264" s="107">
        <v>4242.01</v>
      </c>
      <c r="F264" s="107">
        <v>4188.09</v>
      </c>
      <c r="G264" s="107">
        <v>4625.1499999999996</v>
      </c>
      <c r="H264" s="107">
        <v>4273.6099999999997</v>
      </c>
      <c r="I264" s="107">
        <v>4617.1000000000004</v>
      </c>
      <c r="J264" s="107">
        <v>4060.85</v>
      </c>
      <c r="K264" s="107">
        <v>4516.8599999999997</v>
      </c>
      <c r="L264" s="107">
        <v>4429.99</v>
      </c>
      <c r="M264" s="107">
        <v>3454.4</v>
      </c>
      <c r="N264" s="107">
        <v>48261.06</v>
      </c>
    </row>
    <row r="265" spans="1:14">
      <c r="A265" s="64" t="s">
        <v>209</v>
      </c>
      <c r="B265" s="107">
        <v>1223.74</v>
      </c>
      <c r="C265" s="107">
        <v>1278.18</v>
      </c>
      <c r="D265" s="107">
        <v>1741.37</v>
      </c>
      <c r="E265" s="107">
        <v>1455.12</v>
      </c>
      <c r="F265" s="107">
        <v>1132.55</v>
      </c>
      <c r="G265" s="107">
        <v>2761.02</v>
      </c>
      <c r="H265" s="107">
        <v>1380.97</v>
      </c>
      <c r="I265" s="107">
        <v>1483.45</v>
      </c>
      <c r="J265" s="107">
        <v>1051.6400000000001</v>
      </c>
      <c r="K265" s="107">
        <v>812.23</v>
      </c>
      <c r="L265" s="107">
        <v>1001.77</v>
      </c>
      <c r="M265" s="107">
        <v>1770.31</v>
      </c>
      <c r="N265" s="107">
        <v>17092.349999999999</v>
      </c>
    </row>
    <row r="266" spans="1:14">
      <c r="A266" s="64" t="s">
        <v>210</v>
      </c>
      <c r="B266" s="107">
        <v>160.37</v>
      </c>
      <c r="C266" s="107">
        <v>559.77</v>
      </c>
      <c r="D266" s="107">
        <v>414.59</v>
      </c>
      <c r="E266" s="107">
        <v>1178.03</v>
      </c>
      <c r="F266" s="107">
        <v>920.31</v>
      </c>
      <c r="G266" s="107">
        <v>706.16</v>
      </c>
      <c r="H266" s="107">
        <v>467.43</v>
      </c>
      <c r="I266" s="107">
        <v>1321.02</v>
      </c>
      <c r="J266" s="107">
        <v>1545.21</v>
      </c>
      <c r="K266" s="107">
        <v>1382.07</v>
      </c>
      <c r="L266" s="107">
        <v>1610.16</v>
      </c>
      <c r="M266" s="107">
        <v>730.57</v>
      </c>
      <c r="N266" s="107">
        <v>10995.69</v>
      </c>
    </row>
    <row r="267" spans="1:14">
      <c r="A267" s="64" t="s">
        <v>211</v>
      </c>
      <c r="B267" s="107">
        <v>92.95</v>
      </c>
      <c r="C267" s="107">
        <v>93.95</v>
      </c>
      <c r="D267" s="107">
        <v>92.95</v>
      </c>
      <c r="E267" s="107">
        <v>93.28</v>
      </c>
      <c r="F267" s="107">
        <v>92.95</v>
      </c>
      <c r="G267" s="107">
        <v>162.62</v>
      </c>
      <c r="H267" s="107">
        <v>95.95</v>
      </c>
      <c r="I267" s="107">
        <v>196.95</v>
      </c>
      <c r="J267" s="107">
        <v>96.95</v>
      </c>
      <c r="K267" s="107">
        <v>130.94999999999999</v>
      </c>
      <c r="L267" s="107">
        <v>96.95</v>
      </c>
      <c r="M267" s="107">
        <v>96.95</v>
      </c>
      <c r="N267" s="107">
        <v>1343.4</v>
      </c>
    </row>
    <row r="268" spans="1:14">
      <c r="A268" s="64" t="s">
        <v>195</v>
      </c>
      <c r="B268" s="107">
        <v>249.01</v>
      </c>
      <c r="C268" s="107">
        <v>276.74</v>
      </c>
      <c r="D268" s="107">
        <v>127.71</v>
      </c>
      <c r="E268" s="107">
        <v>119.84</v>
      </c>
      <c r="F268" s="107">
        <v>364.06</v>
      </c>
      <c r="G268" s="107">
        <v>226.81</v>
      </c>
      <c r="H268" s="107">
        <v>283.56</v>
      </c>
      <c r="I268" s="107">
        <v>346.18</v>
      </c>
      <c r="J268" s="107">
        <v>147.22</v>
      </c>
      <c r="K268" s="107">
        <v>160.04</v>
      </c>
      <c r="L268" s="107">
        <v>381.58</v>
      </c>
      <c r="M268" s="107">
        <v>133.87</v>
      </c>
      <c r="N268" s="107">
        <v>2816.62</v>
      </c>
    </row>
    <row r="269" spans="1:14">
      <c r="A269" s="64" t="s">
        <v>212</v>
      </c>
      <c r="B269" s="22"/>
      <c r="C269" s="22"/>
      <c r="D269" s="22"/>
      <c r="E269" s="22"/>
      <c r="F269" s="22"/>
      <c r="G269" s="22"/>
      <c r="H269" s="22"/>
      <c r="I269" s="107"/>
      <c r="J269" s="22"/>
      <c r="K269" s="22"/>
      <c r="L269" s="107">
        <v>47.52</v>
      </c>
      <c r="M269" s="22"/>
      <c r="N269" s="107">
        <v>47.52</v>
      </c>
    </row>
    <row r="270" spans="1:14">
      <c r="A270" s="64" t="s">
        <v>213</v>
      </c>
      <c r="B270" s="107">
        <v>49.17</v>
      </c>
      <c r="C270" s="107">
        <v>31.79</v>
      </c>
      <c r="D270" s="107">
        <v>46.76</v>
      </c>
      <c r="E270" s="107">
        <v>-149.47999999999999</v>
      </c>
      <c r="F270" s="107">
        <v>42.72</v>
      </c>
      <c r="G270" s="107">
        <v>9.39</v>
      </c>
      <c r="H270" s="107">
        <v>60.35</v>
      </c>
      <c r="I270" s="107">
        <v>30.95</v>
      </c>
      <c r="J270" s="107">
        <v>32.68</v>
      </c>
      <c r="K270" s="107">
        <v>63.31</v>
      </c>
      <c r="L270" s="107">
        <v>54.44</v>
      </c>
      <c r="M270" s="107">
        <v>51.43</v>
      </c>
      <c r="N270" s="107">
        <v>323.51</v>
      </c>
    </row>
    <row r="271" spans="1:14">
      <c r="A271" s="64" t="s">
        <v>214</v>
      </c>
      <c r="B271" s="107">
        <v>67.430000000000007</v>
      </c>
      <c r="C271" s="107">
        <v>7.11</v>
      </c>
      <c r="D271" s="22"/>
      <c r="E271" s="107">
        <v>343.58</v>
      </c>
      <c r="F271" s="107">
        <v>725.01</v>
      </c>
      <c r="G271" s="107">
        <v>1768.77</v>
      </c>
      <c r="H271" s="107"/>
      <c r="I271" s="107"/>
      <c r="J271" s="107">
        <v>593.78</v>
      </c>
      <c r="K271" s="107">
        <v>1734.51</v>
      </c>
      <c r="L271" s="107">
        <v>963.24</v>
      </c>
      <c r="M271" s="107">
        <v>183.73</v>
      </c>
      <c r="N271" s="107">
        <v>6387.16</v>
      </c>
    </row>
    <row r="272" spans="1:14">
      <c r="A272" s="64" t="s">
        <v>215</v>
      </c>
      <c r="B272" s="107">
        <v>1011.12</v>
      </c>
      <c r="C272" s="107">
        <v>577.62</v>
      </c>
      <c r="D272" s="107">
        <v>-266.29000000000002</v>
      </c>
      <c r="E272" s="107">
        <v>38.590000000000003</v>
      </c>
      <c r="F272" s="107">
        <v>92.65</v>
      </c>
      <c r="G272" s="107">
        <v>383.17</v>
      </c>
      <c r="H272" s="107">
        <v>31.77</v>
      </c>
      <c r="I272" s="107">
        <v>121.53</v>
      </c>
      <c r="J272" s="107">
        <v>76.2</v>
      </c>
      <c r="K272" s="107">
        <v>60.7</v>
      </c>
      <c r="L272" s="107">
        <v>15.54</v>
      </c>
      <c r="M272" s="107">
        <v>11.38</v>
      </c>
      <c r="N272" s="107">
        <v>2153.98</v>
      </c>
    </row>
    <row r="273" spans="1:14">
      <c r="A273" s="64" t="s">
        <v>216</v>
      </c>
      <c r="B273" s="107">
        <v>2739.38</v>
      </c>
      <c r="C273" s="107">
        <v>1730.81</v>
      </c>
      <c r="D273" s="107">
        <v>1390.1</v>
      </c>
      <c r="E273" s="107">
        <v>2336.58</v>
      </c>
      <c r="F273" s="107">
        <v>1154.3800000000001</v>
      </c>
      <c r="G273" s="107">
        <v>2258.89</v>
      </c>
      <c r="H273" s="107">
        <v>1232.1199999999999</v>
      </c>
      <c r="I273" s="107">
        <v>2600.2800000000002</v>
      </c>
      <c r="J273" s="107">
        <v>1171.48</v>
      </c>
      <c r="K273" s="107">
        <v>7200.27</v>
      </c>
      <c r="L273" s="107">
        <v>4493.78</v>
      </c>
      <c r="M273" s="107">
        <v>2104.4299999999998</v>
      </c>
      <c r="N273" s="107">
        <v>30412.5</v>
      </c>
    </row>
    <row r="274" spans="1:14">
      <c r="A274" s="64" t="s">
        <v>217</v>
      </c>
      <c r="B274" s="107">
        <v>2922.37</v>
      </c>
      <c r="C274" s="107">
        <v>601.45000000000005</v>
      </c>
      <c r="D274" s="107">
        <v>451.98</v>
      </c>
      <c r="E274" s="107">
        <v>2668.09</v>
      </c>
      <c r="F274" s="107">
        <v>956.64</v>
      </c>
      <c r="G274" s="107">
        <v>971.64</v>
      </c>
      <c r="H274" s="107">
        <v>1523.76</v>
      </c>
      <c r="I274" s="107">
        <v>393.92</v>
      </c>
      <c r="J274" s="107">
        <v>199.44</v>
      </c>
      <c r="K274" s="107">
        <v>642.16999999999996</v>
      </c>
      <c r="L274" s="107">
        <v>400</v>
      </c>
      <c r="M274" s="107">
        <v>716.57</v>
      </c>
      <c r="N274" s="107">
        <v>12448.03</v>
      </c>
    </row>
    <row r="275" spans="1:14">
      <c r="A275" s="64" t="s">
        <v>218</v>
      </c>
      <c r="B275" s="107">
        <v>702.85</v>
      </c>
      <c r="C275" s="107">
        <v>1464.56</v>
      </c>
      <c r="D275" s="107">
        <v>840.95</v>
      </c>
      <c r="E275" s="107">
        <v>783.53</v>
      </c>
      <c r="F275" s="107">
        <v>980.53</v>
      </c>
      <c r="G275" s="107">
        <v>1486.99</v>
      </c>
      <c r="H275" s="107">
        <v>1664.56</v>
      </c>
      <c r="I275" s="107">
        <v>1781.71</v>
      </c>
      <c r="J275" s="107">
        <v>783.01</v>
      </c>
      <c r="K275" s="107">
        <v>892.65</v>
      </c>
      <c r="L275" s="107">
        <v>680.05</v>
      </c>
      <c r="M275" s="107">
        <v>721.57</v>
      </c>
      <c r="N275" s="107">
        <v>12782.96</v>
      </c>
    </row>
    <row r="276" spans="1:14">
      <c r="A276" s="64" t="s">
        <v>219</v>
      </c>
      <c r="B276" s="107">
        <v>1763.7</v>
      </c>
      <c r="C276" s="107">
        <v>1443.5</v>
      </c>
      <c r="D276" s="107">
        <v>2219.6799999999998</v>
      </c>
      <c r="E276" s="107">
        <v>1653.77</v>
      </c>
      <c r="F276" s="107">
        <v>2015.35</v>
      </c>
      <c r="G276" s="107">
        <v>1986.02</v>
      </c>
      <c r="H276" s="107">
        <v>1919.42</v>
      </c>
      <c r="I276" s="107">
        <v>2104.9699999999998</v>
      </c>
      <c r="J276" s="107">
        <v>2361.21</v>
      </c>
      <c r="K276" s="107">
        <v>2011.87</v>
      </c>
      <c r="L276" s="107">
        <v>1877.52</v>
      </c>
      <c r="M276" s="107">
        <v>1898.73</v>
      </c>
      <c r="N276" s="107">
        <v>23255.74</v>
      </c>
    </row>
    <row r="277" spans="1:14">
      <c r="A277" s="64" t="s">
        <v>220</v>
      </c>
      <c r="B277" s="111">
        <v>421.85</v>
      </c>
      <c r="C277" s="111">
        <v>1086.24</v>
      </c>
      <c r="D277" s="111">
        <v>246.65</v>
      </c>
      <c r="E277" s="111">
        <v>327.95</v>
      </c>
      <c r="F277" s="111">
        <v>662.54</v>
      </c>
      <c r="G277" s="111">
        <v>191.68</v>
      </c>
      <c r="H277" s="111">
        <v>573.79999999999995</v>
      </c>
      <c r="I277" s="111">
        <v>382.24</v>
      </c>
      <c r="J277" s="111">
        <v>260.89</v>
      </c>
      <c r="K277" s="111">
        <v>595.98</v>
      </c>
      <c r="L277" s="111">
        <v>565.34</v>
      </c>
      <c r="M277" s="111">
        <v>340.15</v>
      </c>
      <c r="N277" s="111">
        <v>5655.31</v>
      </c>
    </row>
    <row r="278" spans="1:14">
      <c r="A278" s="64" t="s">
        <v>221</v>
      </c>
      <c r="B278" s="107">
        <f t="shared" ref="B278:M278" si="55">SUM(B262:B277)</f>
        <v>15951.190000000002</v>
      </c>
      <c r="C278" s="107">
        <f t="shared" si="55"/>
        <v>11766.249999999998</v>
      </c>
      <c r="D278" s="107">
        <f t="shared" si="55"/>
        <v>9997.6699999999983</v>
      </c>
      <c r="E278" s="107">
        <f t="shared" si="55"/>
        <v>15090.890000000001</v>
      </c>
      <c r="F278" s="107">
        <f t="shared" si="55"/>
        <v>13327.780000000002</v>
      </c>
      <c r="G278" s="107">
        <f t="shared" si="55"/>
        <v>17538.309999999998</v>
      </c>
      <c r="H278" s="107">
        <f t="shared" si="55"/>
        <v>13507.3</v>
      </c>
      <c r="I278" s="107">
        <f t="shared" si="55"/>
        <v>15380.3</v>
      </c>
      <c r="J278" s="107">
        <f t="shared" si="55"/>
        <v>12380.560000000001</v>
      </c>
      <c r="K278" s="107">
        <f t="shared" si="55"/>
        <v>20203.61</v>
      </c>
      <c r="L278" s="107">
        <f t="shared" si="55"/>
        <v>16617.88</v>
      </c>
      <c r="M278" s="107">
        <f t="shared" si="55"/>
        <v>12214.089999999998</v>
      </c>
      <c r="N278" s="107">
        <v>173975.83</v>
      </c>
    </row>
    <row r="279" spans="1:14">
      <c r="A279" s="64"/>
      <c r="B279" s="22"/>
      <c r="C279" s="22"/>
      <c r="D279" s="22"/>
      <c r="E279" s="22"/>
      <c r="F279" s="22"/>
      <c r="G279" s="22"/>
      <c r="H279" s="22"/>
      <c r="I279" s="22"/>
      <c r="J279" s="22"/>
      <c r="K279" s="22"/>
      <c r="L279" s="22"/>
      <c r="M279" s="22"/>
      <c r="N279" s="22"/>
    </row>
    <row r="280" spans="1:14">
      <c r="A280" s="64" t="s">
        <v>222</v>
      </c>
      <c r="B280" s="22"/>
      <c r="C280" s="22"/>
      <c r="D280" s="22"/>
      <c r="E280" s="22"/>
      <c r="F280" s="22"/>
      <c r="G280" s="22"/>
      <c r="H280" s="22"/>
      <c r="I280" s="22"/>
      <c r="J280" s="22"/>
      <c r="K280" s="22"/>
      <c r="L280" s="22"/>
      <c r="M280" s="22"/>
      <c r="N280" s="22"/>
    </row>
    <row r="281" spans="1:14">
      <c r="A281" s="64" t="s">
        <v>223</v>
      </c>
      <c r="B281" s="22"/>
      <c r="C281" s="107">
        <v>1050</v>
      </c>
      <c r="D281" s="22"/>
      <c r="E281" s="107">
        <v>307</v>
      </c>
      <c r="F281" s="107">
        <v>3314.83</v>
      </c>
      <c r="G281" s="22"/>
      <c r="H281" s="107">
        <v>2966.51</v>
      </c>
      <c r="I281" s="22"/>
      <c r="J281" s="22"/>
      <c r="K281" s="22"/>
      <c r="L281" s="107">
        <v>182.5</v>
      </c>
      <c r="M281" s="22"/>
      <c r="N281" s="107">
        <v>7820.84</v>
      </c>
    </row>
    <row r="282" spans="1:14">
      <c r="A282" s="64" t="s">
        <v>224</v>
      </c>
      <c r="B282" s="107">
        <v>10609.82</v>
      </c>
      <c r="C282" s="107">
        <v>15388.56</v>
      </c>
      <c r="D282" s="107">
        <v>5547.8</v>
      </c>
      <c r="E282" s="107">
        <v>6398</v>
      </c>
      <c r="F282" s="107">
        <v>15232.48</v>
      </c>
      <c r="G282" s="107">
        <v>9763.7999999999993</v>
      </c>
      <c r="H282" s="107">
        <v>7982.6</v>
      </c>
      <c r="I282" s="107">
        <v>9541.9</v>
      </c>
      <c r="J282" s="107">
        <v>2103.1999999999998</v>
      </c>
      <c r="K282" s="107">
        <v>59149.4</v>
      </c>
      <c r="L282" s="107">
        <v>23698.7</v>
      </c>
      <c r="M282" s="107">
        <v>21258.29</v>
      </c>
      <c r="N282" s="107">
        <v>186674.55</v>
      </c>
    </row>
    <row r="283" spans="1:14">
      <c r="A283" s="64" t="s">
        <v>226</v>
      </c>
      <c r="B283" s="107">
        <v>61.61</v>
      </c>
      <c r="C283" s="107">
        <v>303.02999999999997</v>
      </c>
      <c r="D283" s="107">
        <v>352.82</v>
      </c>
      <c r="E283" s="107">
        <v>18.87</v>
      </c>
      <c r="F283" s="107">
        <v>2022.5</v>
      </c>
      <c r="G283" s="107">
        <v>533.55999999999995</v>
      </c>
      <c r="H283" s="107">
        <v>1167.03</v>
      </c>
      <c r="I283" s="22"/>
      <c r="J283" s="107">
        <v>338.98</v>
      </c>
      <c r="K283" s="107">
        <v>493.95</v>
      </c>
      <c r="L283" s="107">
        <v>362.61</v>
      </c>
      <c r="M283" s="107">
        <v>9.18</v>
      </c>
      <c r="N283" s="107">
        <v>5664.14</v>
      </c>
    </row>
    <row r="284" spans="1:14">
      <c r="A284" s="64" t="s">
        <v>227</v>
      </c>
      <c r="B284" s="111">
        <v>344.54</v>
      </c>
      <c r="C284" s="111">
        <v>276.45999999999998</v>
      </c>
      <c r="D284" s="111">
        <v>526.85</v>
      </c>
      <c r="E284" s="111">
        <v>152.82</v>
      </c>
      <c r="F284" s="113"/>
      <c r="G284" s="111">
        <v>190.12</v>
      </c>
      <c r="H284" s="111">
        <v>874.32</v>
      </c>
      <c r="I284" s="111">
        <v>344.59</v>
      </c>
      <c r="J284" s="111">
        <v>228.14</v>
      </c>
      <c r="K284" s="111">
        <v>376.69</v>
      </c>
      <c r="L284" s="111">
        <v>281.08999999999997</v>
      </c>
      <c r="M284" s="111">
        <v>197.08</v>
      </c>
      <c r="N284" s="111">
        <v>3792.7</v>
      </c>
    </row>
    <row r="285" spans="1:14">
      <c r="A285" s="64" t="s">
        <v>229</v>
      </c>
      <c r="B285" s="107">
        <f t="shared" ref="B285:M285" si="56">SUM(B279:B284)</f>
        <v>11015.970000000001</v>
      </c>
      <c r="C285" s="107">
        <f t="shared" si="56"/>
        <v>17018.049999999996</v>
      </c>
      <c r="D285" s="107">
        <f t="shared" si="56"/>
        <v>6427.47</v>
      </c>
      <c r="E285" s="107">
        <f t="shared" si="56"/>
        <v>6876.69</v>
      </c>
      <c r="F285" s="107">
        <f t="shared" si="56"/>
        <v>20569.809999999998</v>
      </c>
      <c r="G285" s="107">
        <f t="shared" si="56"/>
        <v>10487.48</v>
      </c>
      <c r="H285" s="107">
        <f t="shared" si="56"/>
        <v>12990.460000000001</v>
      </c>
      <c r="I285" s="107">
        <f t="shared" si="56"/>
        <v>9886.49</v>
      </c>
      <c r="J285" s="107">
        <f t="shared" si="56"/>
        <v>2670.3199999999997</v>
      </c>
      <c r="K285" s="107">
        <f t="shared" si="56"/>
        <v>60020.04</v>
      </c>
      <c r="L285" s="107">
        <f t="shared" si="56"/>
        <v>24524.9</v>
      </c>
      <c r="M285" s="107">
        <f t="shared" si="56"/>
        <v>21464.550000000003</v>
      </c>
      <c r="N285" s="107">
        <v>203952.23</v>
      </c>
    </row>
    <row r="286" spans="1:14">
      <c r="A286" s="64"/>
      <c r="B286" s="22"/>
      <c r="C286" s="22"/>
      <c r="D286" s="22"/>
      <c r="E286" s="22"/>
      <c r="F286" s="22"/>
      <c r="G286" s="22"/>
      <c r="H286" s="22"/>
      <c r="I286" s="22"/>
      <c r="J286" s="22"/>
      <c r="K286" s="22"/>
      <c r="L286" s="22"/>
      <c r="M286" s="22"/>
      <c r="N286" s="22"/>
    </row>
    <row r="287" spans="1:14">
      <c r="A287" s="64" t="s">
        <v>230</v>
      </c>
      <c r="B287" s="22"/>
      <c r="C287" s="22"/>
      <c r="D287" s="22"/>
      <c r="E287" s="22"/>
      <c r="F287" s="22"/>
      <c r="G287" s="22"/>
      <c r="H287" s="22"/>
      <c r="I287" s="22"/>
      <c r="J287" s="22"/>
      <c r="K287" s="22"/>
      <c r="L287" s="22"/>
      <c r="M287" s="22"/>
      <c r="N287" s="22"/>
    </row>
    <row r="288" spans="1:14">
      <c r="A288" s="64" t="s">
        <v>231</v>
      </c>
      <c r="B288" s="107">
        <v>14646.92</v>
      </c>
      <c r="C288" s="107">
        <v>14646.92</v>
      </c>
      <c r="D288" s="107">
        <v>14646.92</v>
      </c>
      <c r="E288" s="107">
        <v>14646.92</v>
      </c>
      <c r="F288" s="107">
        <v>-2828.19</v>
      </c>
      <c r="G288" s="107">
        <v>11146.92</v>
      </c>
      <c r="H288" s="107">
        <v>11146.92</v>
      </c>
      <c r="I288" s="107">
        <v>11146.92</v>
      </c>
      <c r="J288" s="107">
        <v>11146.92</v>
      </c>
      <c r="K288" s="107">
        <v>11146.92</v>
      </c>
      <c r="L288" s="107">
        <v>11146.92</v>
      </c>
      <c r="M288" s="107">
        <v>11146.92</v>
      </c>
      <c r="N288" s="107">
        <v>133787.93</v>
      </c>
    </row>
    <row r="289" spans="1:14">
      <c r="A289" s="64" t="s">
        <v>232</v>
      </c>
      <c r="B289" s="107">
        <v>250</v>
      </c>
      <c r="C289" s="107">
        <v>250</v>
      </c>
      <c r="D289" s="107">
        <v>250</v>
      </c>
      <c r="E289" s="107">
        <v>250</v>
      </c>
      <c r="F289" s="107">
        <v>1044.83</v>
      </c>
      <c r="G289" s="107">
        <v>320</v>
      </c>
      <c r="H289" s="107">
        <v>320</v>
      </c>
      <c r="I289" s="107">
        <v>320</v>
      </c>
      <c r="J289" s="107">
        <v>320</v>
      </c>
      <c r="K289" s="107">
        <v>320</v>
      </c>
      <c r="L289" s="107">
        <v>320</v>
      </c>
      <c r="M289" s="107">
        <v>320</v>
      </c>
      <c r="N289" s="107">
        <v>4284.83</v>
      </c>
    </row>
    <row r="290" spans="1:14">
      <c r="A290" s="64" t="s">
        <v>234</v>
      </c>
      <c r="B290" s="22"/>
      <c r="C290" s="22"/>
      <c r="D290" s="22"/>
      <c r="E290" s="107">
        <v>-173.95</v>
      </c>
      <c r="F290" s="22"/>
      <c r="G290" s="107">
        <v>66.67</v>
      </c>
      <c r="H290" s="22"/>
      <c r="I290" s="107">
        <v>1800</v>
      </c>
      <c r="J290" s="22"/>
      <c r="K290" s="22"/>
      <c r="L290" s="22"/>
      <c r="M290" s="22"/>
      <c r="N290" s="107">
        <v>1692.72</v>
      </c>
    </row>
    <row r="291" spans="1:14">
      <c r="A291" s="64" t="s">
        <v>352</v>
      </c>
      <c r="B291" s="107">
        <v>834.84</v>
      </c>
      <c r="C291" s="107">
        <v>834.84</v>
      </c>
      <c r="D291" s="107">
        <v>-834.84</v>
      </c>
      <c r="E291" s="22"/>
      <c r="F291" s="22"/>
      <c r="G291" s="107">
        <v>834.84</v>
      </c>
      <c r="H291" s="107">
        <v>834.84</v>
      </c>
      <c r="I291" s="107">
        <v>834.84</v>
      </c>
      <c r="J291" s="107">
        <v>834.84</v>
      </c>
      <c r="K291" s="107">
        <v>834.84</v>
      </c>
      <c r="L291" s="107">
        <v>834.84</v>
      </c>
      <c r="M291" s="107">
        <v>834.84</v>
      </c>
      <c r="N291" s="107">
        <v>6678.72</v>
      </c>
    </row>
    <row r="292" spans="1:14">
      <c r="A292" s="64" t="s">
        <v>235</v>
      </c>
      <c r="B292" s="113"/>
      <c r="C292" s="113"/>
      <c r="D292" s="113"/>
      <c r="E292" s="113"/>
      <c r="F292" s="111"/>
      <c r="G292" s="111"/>
      <c r="H292" s="111">
        <v>35</v>
      </c>
      <c r="I292" s="113"/>
      <c r="J292" s="113"/>
      <c r="K292" s="111">
        <v>158.96</v>
      </c>
      <c r="L292" s="113"/>
      <c r="M292" s="113"/>
      <c r="N292" s="111">
        <v>193.96</v>
      </c>
    </row>
    <row r="293" spans="1:14">
      <c r="A293" s="64" t="s">
        <v>236</v>
      </c>
      <c r="B293" s="107">
        <f t="shared" ref="B293:M293" si="57">SUM(B286:B292)</f>
        <v>15731.76</v>
      </c>
      <c r="C293" s="107">
        <f t="shared" si="57"/>
        <v>15731.76</v>
      </c>
      <c r="D293" s="107">
        <f t="shared" si="57"/>
        <v>14062.08</v>
      </c>
      <c r="E293" s="107">
        <f t="shared" si="57"/>
        <v>14722.97</v>
      </c>
      <c r="F293" s="107">
        <f t="shared" si="57"/>
        <v>-1783.3600000000001</v>
      </c>
      <c r="G293" s="107">
        <f t="shared" si="57"/>
        <v>12368.43</v>
      </c>
      <c r="H293" s="107">
        <f t="shared" si="57"/>
        <v>12336.76</v>
      </c>
      <c r="I293" s="107">
        <f t="shared" si="57"/>
        <v>14101.76</v>
      </c>
      <c r="J293" s="107">
        <f t="shared" si="57"/>
        <v>12301.76</v>
      </c>
      <c r="K293" s="107">
        <f t="shared" si="57"/>
        <v>12460.72</v>
      </c>
      <c r="L293" s="107">
        <f t="shared" si="57"/>
        <v>12301.76</v>
      </c>
      <c r="M293" s="107">
        <f t="shared" si="57"/>
        <v>12301.76</v>
      </c>
      <c r="N293" s="107">
        <v>146638.16</v>
      </c>
    </row>
    <row r="294" spans="1:14">
      <c r="A294" s="64"/>
      <c r="B294" s="22"/>
      <c r="C294" s="22"/>
      <c r="D294" s="22"/>
      <c r="E294" s="22"/>
      <c r="F294" s="22"/>
      <c r="G294" s="22"/>
      <c r="H294" s="22"/>
      <c r="I294" s="22"/>
      <c r="J294" s="22"/>
      <c r="K294" s="22"/>
      <c r="L294" s="22"/>
      <c r="M294" s="22"/>
      <c r="N294" s="22"/>
    </row>
    <row r="295" spans="1:14">
      <c r="A295" s="64" t="s">
        <v>237</v>
      </c>
      <c r="B295" s="22"/>
      <c r="C295" s="22"/>
      <c r="D295" s="22"/>
      <c r="E295" s="22"/>
      <c r="F295" s="22"/>
      <c r="G295" s="22"/>
      <c r="H295" s="22"/>
      <c r="I295" s="22"/>
      <c r="J295" s="22"/>
      <c r="K295" s="22"/>
      <c r="L295" s="22"/>
      <c r="M295" s="22"/>
      <c r="N295" s="22"/>
    </row>
    <row r="296" spans="1:14">
      <c r="A296" s="64" t="s">
        <v>375</v>
      </c>
      <c r="B296" s="22"/>
      <c r="C296" s="22"/>
      <c r="D296" s="22"/>
      <c r="E296" s="22"/>
      <c r="F296" s="22"/>
      <c r="G296" s="22"/>
      <c r="H296" s="22"/>
      <c r="I296" s="107">
        <v>16826</v>
      </c>
      <c r="J296" s="22"/>
      <c r="K296" s="22"/>
      <c r="L296" s="22"/>
      <c r="M296" s="22"/>
      <c r="N296" s="107">
        <v>16826</v>
      </c>
    </row>
    <row r="297" spans="1:14">
      <c r="A297" s="64" t="s">
        <v>228</v>
      </c>
      <c r="B297" s="111">
        <v>23927</v>
      </c>
      <c r="C297" s="111">
        <v>19095</v>
      </c>
      <c r="D297" s="111">
        <v>22204</v>
      </c>
      <c r="E297" s="111">
        <v>21168</v>
      </c>
      <c r="F297" s="111">
        <v>189434</v>
      </c>
      <c r="G297" s="111">
        <v>22894</v>
      </c>
      <c r="H297" s="111">
        <v>38711.61</v>
      </c>
      <c r="I297" s="111">
        <v>29203</v>
      </c>
      <c r="J297" s="111">
        <v>24245</v>
      </c>
      <c r="K297" s="111">
        <v>23142</v>
      </c>
      <c r="L297" s="111">
        <v>-76202</v>
      </c>
      <c r="M297" s="111">
        <v>36</v>
      </c>
      <c r="N297" s="111">
        <v>337857.61</v>
      </c>
    </row>
    <row r="298" spans="1:14">
      <c r="A298" s="64" t="s">
        <v>238</v>
      </c>
      <c r="B298" s="107">
        <f t="shared" ref="B298:M298" si="58">SUM(B294:B297)</f>
        <v>23927</v>
      </c>
      <c r="C298" s="107">
        <f t="shared" si="58"/>
        <v>19095</v>
      </c>
      <c r="D298" s="107">
        <f t="shared" si="58"/>
        <v>22204</v>
      </c>
      <c r="E298" s="107">
        <f t="shared" si="58"/>
        <v>21168</v>
      </c>
      <c r="F298" s="107">
        <f t="shared" si="58"/>
        <v>189434</v>
      </c>
      <c r="G298" s="107">
        <f t="shared" si="58"/>
        <v>22894</v>
      </c>
      <c r="H298" s="107">
        <f t="shared" si="58"/>
        <v>38711.61</v>
      </c>
      <c r="I298" s="107">
        <f t="shared" si="58"/>
        <v>46029</v>
      </c>
      <c r="J298" s="107">
        <f t="shared" si="58"/>
        <v>24245</v>
      </c>
      <c r="K298" s="107">
        <f t="shared" si="58"/>
        <v>23142</v>
      </c>
      <c r="L298" s="107">
        <f t="shared" si="58"/>
        <v>-76202</v>
      </c>
      <c r="M298" s="107">
        <f t="shared" si="58"/>
        <v>36</v>
      </c>
      <c r="N298" s="107">
        <v>354683.61</v>
      </c>
    </row>
    <row r="299" spans="1:14">
      <c r="A299" s="64"/>
      <c r="B299" s="22"/>
      <c r="C299" s="22"/>
      <c r="D299" s="22"/>
      <c r="E299" s="22"/>
      <c r="F299" s="22"/>
      <c r="G299" s="22"/>
      <c r="H299" s="22"/>
      <c r="I299" s="22"/>
      <c r="J299" s="22"/>
      <c r="K299" s="22"/>
      <c r="L299" s="22"/>
      <c r="M299" s="22"/>
      <c r="N299" s="22"/>
    </row>
    <row r="300" spans="1:14">
      <c r="A300" s="64" t="s">
        <v>239</v>
      </c>
      <c r="B300" s="22"/>
      <c r="C300" s="22"/>
      <c r="D300" s="22"/>
      <c r="E300" s="22"/>
      <c r="F300" s="22"/>
      <c r="G300" s="22"/>
      <c r="H300" s="22"/>
      <c r="I300" s="22"/>
      <c r="J300" s="22"/>
      <c r="K300" s="22"/>
      <c r="L300" s="22"/>
      <c r="M300" s="22"/>
      <c r="N300" s="22"/>
    </row>
    <row r="301" spans="1:14">
      <c r="A301" s="64" t="s">
        <v>240</v>
      </c>
      <c r="B301" s="107">
        <v>3243.45</v>
      </c>
      <c r="C301" s="107">
        <v>3243.45</v>
      </c>
      <c r="D301" s="107">
        <v>3243.45</v>
      </c>
      <c r="E301" s="107">
        <v>3243.45</v>
      </c>
      <c r="F301" s="107">
        <v>3243.52</v>
      </c>
      <c r="G301" s="107">
        <v>3243.45</v>
      </c>
      <c r="H301" s="107">
        <v>3243.45</v>
      </c>
      <c r="I301" s="107">
        <v>4506.7299999999996</v>
      </c>
      <c r="J301" s="107">
        <v>3875.09</v>
      </c>
      <c r="K301" s="107">
        <v>3875.09</v>
      </c>
      <c r="L301" s="107">
        <v>3875.09</v>
      </c>
      <c r="M301" s="107">
        <v>3875.09</v>
      </c>
      <c r="N301" s="107">
        <v>42711.31</v>
      </c>
    </row>
    <row r="302" spans="1:14">
      <c r="A302" s="64" t="s">
        <v>242</v>
      </c>
      <c r="B302" s="107">
        <v>5546.57</v>
      </c>
      <c r="C302" s="107">
        <v>6028.88</v>
      </c>
      <c r="D302" s="107">
        <v>6028.88</v>
      </c>
      <c r="E302" s="107">
        <v>6028.88</v>
      </c>
      <c r="F302" s="107">
        <v>6028.88</v>
      </c>
      <c r="G302" s="107">
        <v>6608.54</v>
      </c>
      <c r="H302" s="107">
        <v>6028.88</v>
      </c>
      <c r="I302" s="107">
        <v>6028.88</v>
      </c>
      <c r="J302" s="107">
        <v>6028.88</v>
      </c>
      <c r="K302" s="107">
        <v>6028.88</v>
      </c>
      <c r="L302" s="107">
        <v>6028.88</v>
      </c>
      <c r="M302" s="107">
        <v>6028.88</v>
      </c>
      <c r="N302" s="107">
        <v>72443.91</v>
      </c>
    </row>
    <row r="303" spans="1:14">
      <c r="A303" s="64" t="s">
        <v>284</v>
      </c>
      <c r="B303" s="22"/>
      <c r="C303" s="22"/>
      <c r="D303" s="22"/>
      <c r="E303" s="22"/>
      <c r="F303" s="107">
        <v>-25000</v>
      </c>
      <c r="G303" s="22"/>
      <c r="H303" s="22"/>
      <c r="I303" s="107"/>
      <c r="J303" s="22"/>
      <c r="K303" s="22"/>
      <c r="L303" s="22"/>
      <c r="M303" s="22"/>
      <c r="N303" s="107">
        <v>-25000</v>
      </c>
    </row>
    <row r="304" spans="1:14">
      <c r="A304" s="64" t="s">
        <v>387</v>
      </c>
      <c r="B304" s="113"/>
      <c r="C304" s="113"/>
      <c r="D304" s="113"/>
      <c r="E304" s="113"/>
      <c r="F304" s="113"/>
      <c r="G304" s="113"/>
      <c r="H304" s="113"/>
      <c r="I304" s="113"/>
      <c r="J304" s="113"/>
      <c r="K304" s="113"/>
      <c r="L304" s="113"/>
      <c r="M304" s="113"/>
      <c r="N304" s="113"/>
    </row>
    <row r="305" spans="1:14">
      <c r="A305" s="64" t="s">
        <v>244</v>
      </c>
      <c r="B305" s="107">
        <f t="shared" ref="B305:M305" si="59">SUM(B299:B304)</f>
        <v>8790.02</v>
      </c>
      <c r="C305" s="107">
        <f t="shared" si="59"/>
        <v>9272.33</v>
      </c>
      <c r="D305" s="107">
        <f t="shared" si="59"/>
        <v>9272.33</v>
      </c>
      <c r="E305" s="107">
        <f t="shared" si="59"/>
        <v>9272.33</v>
      </c>
      <c r="F305" s="107">
        <f t="shared" si="59"/>
        <v>-15727.6</v>
      </c>
      <c r="G305" s="107">
        <f t="shared" si="59"/>
        <v>9851.99</v>
      </c>
      <c r="H305" s="107">
        <f t="shared" si="59"/>
        <v>9272.33</v>
      </c>
      <c r="I305" s="107">
        <f t="shared" si="59"/>
        <v>10535.61</v>
      </c>
      <c r="J305" s="107">
        <f t="shared" si="59"/>
        <v>9903.9700000000012</v>
      </c>
      <c r="K305" s="107">
        <f t="shared" si="59"/>
        <v>9903.9700000000012</v>
      </c>
      <c r="L305" s="107">
        <f t="shared" si="59"/>
        <v>9903.9700000000012</v>
      </c>
      <c r="M305" s="107">
        <f t="shared" si="59"/>
        <v>9903.9700000000012</v>
      </c>
      <c r="N305" s="107">
        <v>90155.22</v>
      </c>
    </row>
    <row r="306" spans="1:14">
      <c r="A306" s="64"/>
      <c r="B306" s="22"/>
      <c r="C306" s="22"/>
      <c r="D306" s="22"/>
      <c r="E306" s="22"/>
      <c r="F306" s="22"/>
      <c r="G306" s="22"/>
      <c r="H306" s="22"/>
      <c r="I306" s="22"/>
      <c r="J306" s="22"/>
      <c r="K306" s="22"/>
      <c r="L306" s="22"/>
      <c r="M306" s="22"/>
      <c r="N306" s="22"/>
    </row>
    <row r="307" spans="1:14">
      <c r="A307" s="64" t="s">
        <v>245</v>
      </c>
      <c r="B307" s="22"/>
      <c r="C307" s="22"/>
      <c r="D307" s="22"/>
      <c r="E307" s="22"/>
      <c r="F307" s="22"/>
      <c r="G307" s="22"/>
      <c r="H307" s="22"/>
      <c r="I307" s="22"/>
      <c r="J307" s="22"/>
      <c r="K307" s="22"/>
      <c r="L307" s="22"/>
      <c r="M307" s="22"/>
      <c r="N307" s="22"/>
    </row>
    <row r="308" spans="1:14">
      <c r="A308" s="64" t="s">
        <v>246</v>
      </c>
      <c r="B308" s="107">
        <v>2365.92</v>
      </c>
      <c r="C308" s="107">
        <v>2357.88</v>
      </c>
      <c r="D308" s="107">
        <v>2357.88</v>
      </c>
      <c r="E308" s="107">
        <v>2357.88</v>
      </c>
      <c r="F308" s="107">
        <v>2459.6</v>
      </c>
      <c r="G308" s="107">
        <v>1229.8</v>
      </c>
      <c r="H308" s="107">
        <v>4002.92</v>
      </c>
      <c r="I308" s="107">
        <v>2585.2800000000002</v>
      </c>
      <c r="J308" s="107">
        <v>2991.8</v>
      </c>
      <c r="K308" s="107">
        <v>2676.96</v>
      </c>
      <c r="L308" s="107">
        <v>2855.5</v>
      </c>
      <c r="M308" s="107">
        <v>2766.22</v>
      </c>
      <c r="N308" s="107">
        <v>31007.64</v>
      </c>
    </row>
    <row r="309" spans="1:14">
      <c r="A309" s="64" t="s">
        <v>247</v>
      </c>
      <c r="B309" s="107">
        <v>4043.28</v>
      </c>
      <c r="C309" s="107">
        <v>4171.46</v>
      </c>
      <c r="D309" s="107">
        <v>4343.12</v>
      </c>
      <c r="E309" s="107">
        <v>4167.4799999999996</v>
      </c>
      <c r="F309" s="107">
        <v>4240.28</v>
      </c>
      <c r="G309" s="107">
        <v>2120.14</v>
      </c>
      <c r="H309" s="107">
        <v>6332.42</v>
      </c>
      <c r="I309" s="107">
        <v>4859</v>
      </c>
      <c r="J309" s="107">
        <v>5088.82</v>
      </c>
      <c r="K309" s="107">
        <v>4465.4399999999996</v>
      </c>
      <c r="L309" s="107">
        <v>3823.96</v>
      </c>
      <c r="M309" s="107">
        <v>5553.6</v>
      </c>
      <c r="N309" s="107">
        <v>53209</v>
      </c>
    </row>
    <row r="310" spans="1:14">
      <c r="A310" s="64" t="s">
        <v>285</v>
      </c>
      <c r="B310" s="107">
        <v>48.62</v>
      </c>
      <c r="C310" s="107">
        <v>48.62</v>
      </c>
      <c r="D310" s="107">
        <v>48.62</v>
      </c>
      <c r="E310" s="107">
        <v>48.62</v>
      </c>
      <c r="F310" s="107">
        <v>48.52</v>
      </c>
      <c r="G310" s="107">
        <v>24.26</v>
      </c>
      <c r="H310" s="107">
        <v>72.98</v>
      </c>
      <c r="I310" s="107">
        <v>48.62</v>
      </c>
      <c r="J310" s="107">
        <v>48.62</v>
      </c>
      <c r="K310" s="107">
        <v>47.04</v>
      </c>
      <c r="L310" s="107">
        <v>50.18</v>
      </c>
      <c r="M310" s="107">
        <v>48.62</v>
      </c>
      <c r="N310" s="107">
        <v>583.32000000000005</v>
      </c>
    </row>
    <row r="311" spans="1:14">
      <c r="A311" s="64" t="s">
        <v>362</v>
      </c>
      <c r="B311" s="107">
        <v>1150</v>
      </c>
      <c r="C311" s="107">
        <v>1150</v>
      </c>
      <c r="D311" s="107">
        <v>1150</v>
      </c>
      <c r="E311" s="107">
        <v>1150</v>
      </c>
      <c r="F311" s="107">
        <v>1150</v>
      </c>
      <c r="G311" s="107">
        <v>1150</v>
      </c>
      <c r="H311" s="107">
        <v>1150</v>
      </c>
      <c r="I311" s="107">
        <v>1150</v>
      </c>
      <c r="J311" s="107">
        <v>1150</v>
      </c>
      <c r="K311" s="107">
        <v>1150</v>
      </c>
      <c r="L311" s="107">
        <v>1150</v>
      </c>
      <c r="M311" s="107">
        <v>1150</v>
      </c>
      <c r="N311" s="107">
        <v>13800</v>
      </c>
    </row>
    <row r="312" spans="1:14">
      <c r="A312" s="64" t="s">
        <v>363</v>
      </c>
      <c r="B312" s="111">
        <v>-3193.45</v>
      </c>
      <c r="C312" s="111">
        <v>-3288.98</v>
      </c>
      <c r="D312" s="111">
        <v>-3374.81</v>
      </c>
      <c r="E312" s="111">
        <v>-3286.99</v>
      </c>
      <c r="F312" s="111">
        <v>-3374.2</v>
      </c>
      <c r="G312" s="111"/>
      <c r="H312" s="111">
        <v>-6891.26</v>
      </c>
      <c r="I312" s="111">
        <v>-3746.45</v>
      </c>
      <c r="J312" s="111">
        <v>-4064.62</v>
      </c>
      <c r="K312" s="111">
        <v>-3594.72</v>
      </c>
      <c r="L312" s="111">
        <v>-4231.2700000000004</v>
      </c>
      <c r="M312" s="111">
        <v>-4184.22</v>
      </c>
      <c r="N312" s="111">
        <v>-43230.97</v>
      </c>
    </row>
    <row r="313" spans="1:14">
      <c r="A313" s="64" t="s">
        <v>250</v>
      </c>
      <c r="B313" s="107">
        <f t="shared" ref="B313:M313" si="60">SUM(B306:B312)</f>
        <v>4414.3700000000008</v>
      </c>
      <c r="C313" s="107">
        <f t="shared" si="60"/>
        <v>4438.9799999999996</v>
      </c>
      <c r="D313" s="107">
        <f t="shared" si="60"/>
        <v>4524.8099999999995</v>
      </c>
      <c r="E313" s="107">
        <f t="shared" si="60"/>
        <v>4436.99</v>
      </c>
      <c r="F313" s="107">
        <f t="shared" si="60"/>
        <v>4524.2</v>
      </c>
      <c r="G313" s="107">
        <f t="shared" si="60"/>
        <v>4524.2</v>
      </c>
      <c r="H313" s="107">
        <f t="shared" si="60"/>
        <v>4667.0599999999995</v>
      </c>
      <c r="I313" s="107">
        <f t="shared" si="60"/>
        <v>4896.4500000000016</v>
      </c>
      <c r="J313" s="107">
        <f t="shared" si="60"/>
        <v>5214.62</v>
      </c>
      <c r="K313" s="107">
        <f t="shared" si="60"/>
        <v>4744.7199999999993</v>
      </c>
      <c r="L313" s="107">
        <f t="shared" si="60"/>
        <v>3648.37</v>
      </c>
      <c r="M313" s="107">
        <f t="shared" si="60"/>
        <v>5334.22</v>
      </c>
      <c r="N313" s="107">
        <v>55368.99</v>
      </c>
    </row>
    <row r="314" spans="1:14">
      <c r="A314" s="64"/>
      <c r="B314" s="22"/>
      <c r="C314" s="22"/>
      <c r="D314" s="22"/>
      <c r="E314" s="22"/>
      <c r="F314" s="22"/>
      <c r="G314" s="22"/>
      <c r="H314" s="22"/>
      <c r="I314" s="22"/>
      <c r="J314" s="22"/>
      <c r="K314" s="22"/>
      <c r="L314" s="22"/>
      <c r="M314" s="22"/>
      <c r="N314" s="22"/>
    </row>
    <row r="315" spans="1:14">
      <c r="A315" s="64" t="s">
        <v>251</v>
      </c>
      <c r="B315" s="22"/>
      <c r="C315" s="22"/>
      <c r="D315" s="22"/>
      <c r="E315" s="22"/>
      <c r="F315" s="22"/>
      <c r="G315" s="22"/>
      <c r="H315" s="22"/>
      <c r="I315" s="22"/>
      <c r="J315" s="22"/>
      <c r="K315" s="22"/>
      <c r="L315" s="22"/>
      <c r="M315" s="22"/>
      <c r="N315" s="22"/>
    </row>
    <row r="316" spans="1:14">
      <c r="A316" s="64" t="s">
        <v>252</v>
      </c>
      <c r="B316" s="107">
        <v>99129</v>
      </c>
      <c r="C316" s="107">
        <v>101322.58</v>
      </c>
      <c r="D316" s="107">
        <v>101322.58</v>
      </c>
      <c r="E316" s="107">
        <v>101322.58</v>
      </c>
      <c r="F316" s="107">
        <v>101322.58</v>
      </c>
      <c r="G316" s="107">
        <v>101322.58</v>
      </c>
      <c r="H316" s="107">
        <v>101322.58</v>
      </c>
      <c r="I316" s="107">
        <v>101322.58</v>
      </c>
      <c r="J316" s="107">
        <v>101322.58</v>
      </c>
      <c r="K316" s="107">
        <v>101322.58</v>
      </c>
      <c r="L316" s="107">
        <v>101322.58</v>
      </c>
      <c r="M316" s="107">
        <v>110498.83</v>
      </c>
      <c r="N316" s="107">
        <v>1222853.6299999999</v>
      </c>
    </row>
    <row r="317" spans="1:14">
      <c r="A317" s="64" t="s">
        <v>253</v>
      </c>
      <c r="B317" s="107">
        <v>144.13</v>
      </c>
      <c r="C317" s="107">
        <v>144.13</v>
      </c>
      <c r="D317" s="107">
        <v>144.13</v>
      </c>
      <c r="E317" s="107">
        <v>144.13</v>
      </c>
      <c r="F317" s="107">
        <v>144.13</v>
      </c>
      <c r="G317" s="22"/>
      <c r="H317" s="22"/>
      <c r="I317" s="22"/>
      <c r="J317" s="107">
        <v>73.099999999999994</v>
      </c>
      <c r="K317" s="107">
        <v>73.099999999999994</v>
      </c>
      <c r="L317" s="107">
        <v>73.099999999999994</v>
      </c>
      <c r="M317" s="107">
        <v>73.099999999999994</v>
      </c>
      <c r="N317" s="107">
        <v>1013.05</v>
      </c>
    </row>
    <row r="318" spans="1:14">
      <c r="A318" s="64" t="s">
        <v>321</v>
      </c>
      <c r="B318" s="107">
        <v>209.23</v>
      </c>
      <c r="C318" s="22"/>
      <c r="D318" s="22"/>
      <c r="E318" s="22"/>
      <c r="F318" s="22"/>
      <c r="G318" s="22"/>
      <c r="H318" s="107">
        <v>300</v>
      </c>
      <c r="I318" s="22"/>
      <c r="J318" s="22"/>
      <c r="K318" s="22"/>
      <c r="L318" s="22"/>
      <c r="M318" s="22"/>
      <c r="N318" s="107">
        <v>509.23</v>
      </c>
    </row>
    <row r="319" spans="1:14">
      <c r="A319" s="64" t="s">
        <v>254</v>
      </c>
      <c r="B319" s="111">
        <v>1.3</v>
      </c>
      <c r="C319" s="111">
        <v>2078.15</v>
      </c>
      <c r="D319" s="113"/>
      <c r="E319" s="111">
        <v>48.63</v>
      </c>
      <c r="F319" s="111">
        <v>200.9</v>
      </c>
      <c r="G319" s="111">
        <v>47.91</v>
      </c>
      <c r="H319" s="111">
        <v>32</v>
      </c>
      <c r="I319" s="113"/>
      <c r="J319" s="111">
        <v>620.66999999999996</v>
      </c>
      <c r="K319" s="111">
        <v>318.66000000000003</v>
      </c>
      <c r="L319" s="111">
        <v>519.87</v>
      </c>
      <c r="M319" s="111">
        <v>340.61</v>
      </c>
      <c r="N319" s="111">
        <v>4208.7</v>
      </c>
    </row>
    <row r="320" spans="1:14">
      <c r="A320" s="64" t="s">
        <v>255</v>
      </c>
      <c r="B320" s="107">
        <f t="shared" ref="B320:M320" si="61">SUM(B314:B319)</f>
        <v>99483.66</v>
      </c>
      <c r="C320" s="107">
        <f t="shared" si="61"/>
        <v>103544.86</v>
      </c>
      <c r="D320" s="107">
        <f t="shared" si="61"/>
        <v>101466.71</v>
      </c>
      <c r="E320" s="107">
        <f t="shared" si="61"/>
        <v>101515.34000000001</v>
      </c>
      <c r="F320" s="107">
        <f t="shared" si="61"/>
        <v>101667.61</v>
      </c>
      <c r="G320" s="107">
        <f t="shared" si="61"/>
        <v>101370.49</v>
      </c>
      <c r="H320" s="107">
        <f t="shared" si="61"/>
        <v>101654.58</v>
      </c>
      <c r="I320" s="107">
        <f t="shared" si="61"/>
        <v>101322.58</v>
      </c>
      <c r="J320" s="107">
        <f t="shared" si="61"/>
        <v>102016.35</v>
      </c>
      <c r="K320" s="107">
        <f t="shared" si="61"/>
        <v>101714.34000000001</v>
      </c>
      <c r="L320" s="107">
        <f t="shared" si="61"/>
        <v>101915.55</v>
      </c>
      <c r="M320" s="107">
        <f t="shared" si="61"/>
        <v>110912.54000000001</v>
      </c>
      <c r="N320" s="107">
        <v>1228584.6100000001</v>
      </c>
    </row>
    <row r="321" spans="1:14">
      <c r="A321" s="64"/>
      <c r="B321" s="22"/>
      <c r="C321" s="22"/>
      <c r="D321" s="22"/>
      <c r="E321" s="22"/>
      <c r="F321" s="22"/>
      <c r="G321" s="22"/>
      <c r="H321" s="22"/>
      <c r="I321" s="22"/>
      <c r="J321" s="22"/>
      <c r="K321" s="22"/>
      <c r="L321" s="22"/>
      <c r="M321" s="22"/>
      <c r="N321" s="22"/>
    </row>
    <row r="322" spans="1:14">
      <c r="A322" s="64" t="s">
        <v>256</v>
      </c>
      <c r="B322" s="22"/>
      <c r="C322" s="22"/>
      <c r="D322" s="22"/>
      <c r="E322" s="22"/>
      <c r="F322" s="22"/>
      <c r="G322" s="22"/>
      <c r="H322" s="22"/>
      <c r="I322" s="22"/>
      <c r="J322" s="22"/>
      <c r="K322" s="22"/>
      <c r="L322" s="22"/>
      <c r="M322" s="22"/>
      <c r="N322" s="22"/>
    </row>
    <row r="323" spans="1:14">
      <c r="A323" s="64" t="s">
        <v>257</v>
      </c>
      <c r="B323" s="111"/>
      <c r="C323" s="111">
        <v>862.77</v>
      </c>
      <c r="D323" s="111"/>
      <c r="E323" s="111">
        <v>595.30999999999995</v>
      </c>
      <c r="F323" s="111">
        <v>-23055.24</v>
      </c>
      <c r="G323" s="113"/>
      <c r="H323" s="111"/>
      <c r="I323" s="113"/>
      <c r="J323" s="113"/>
      <c r="K323" s="113"/>
      <c r="L323" s="113"/>
      <c r="M323" s="113"/>
      <c r="N323" s="111">
        <v>-21597.16</v>
      </c>
    </row>
    <row r="324" spans="1:14">
      <c r="A324" s="64" t="s">
        <v>258</v>
      </c>
      <c r="B324" s="107"/>
      <c r="C324" s="107">
        <f>SUM(C321:C323)</f>
        <v>862.77</v>
      </c>
      <c r="D324" s="107"/>
      <c r="E324" s="107">
        <f>SUM(E321:E323)</f>
        <v>595.30999999999995</v>
      </c>
      <c r="F324" s="107">
        <f>SUM(F321:F323)</f>
        <v>-23055.24</v>
      </c>
      <c r="G324" s="107"/>
      <c r="H324" s="107"/>
      <c r="I324" s="107"/>
      <c r="J324" s="107"/>
      <c r="K324" s="107"/>
      <c r="L324" s="107"/>
      <c r="M324" s="107"/>
      <c r="N324" s="107">
        <v>-21597.16</v>
      </c>
    </row>
    <row r="325" spans="1:14">
      <c r="A325" s="64"/>
      <c r="B325" s="22"/>
      <c r="C325" s="22"/>
      <c r="D325" s="22"/>
      <c r="E325" s="22"/>
      <c r="F325" s="22"/>
      <c r="G325" s="22"/>
      <c r="H325" s="22"/>
      <c r="I325" s="22"/>
      <c r="J325" s="22"/>
      <c r="K325" s="22"/>
      <c r="L325" s="22"/>
      <c r="M325" s="22"/>
      <c r="N325" s="22"/>
    </row>
    <row r="326" spans="1:14" ht="15.75" thickBot="1">
      <c r="A326" s="64" t="s">
        <v>62</v>
      </c>
      <c r="B326" s="112">
        <f t="shared" ref="B326:M326" si="62">SUM(B183:B325)-B201-B208-B219-B235-B261-B278-B285-B293-B298-B305-B313-B320-B324</f>
        <v>758354.71000000066</v>
      </c>
      <c r="C326" s="112">
        <f t="shared" si="62"/>
        <v>745806.17000000016</v>
      </c>
      <c r="D326" s="112">
        <f t="shared" si="62"/>
        <v>762795.36999999976</v>
      </c>
      <c r="E326" s="112">
        <f t="shared" si="62"/>
        <v>743249.29000000062</v>
      </c>
      <c r="F326" s="112">
        <f t="shared" si="62"/>
        <v>881991.11000000034</v>
      </c>
      <c r="G326" s="112">
        <f t="shared" si="62"/>
        <v>751094.16999999981</v>
      </c>
      <c r="H326" s="112">
        <f t="shared" si="62"/>
        <v>747016.03000000061</v>
      </c>
      <c r="I326" s="112">
        <f t="shared" si="62"/>
        <v>897484.49000000022</v>
      </c>
      <c r="J326" s="112">
        <f t="shared" si="62"/>
        <v>775947.61000000022</v>
      </c>
      <c r="K326" s="112">
        <f t="shared" si="62"/>
        <v>869190.05000000016</v>
      </c>
      <c r="L326" s="112">
        <f t="shared" si="62"/>
        <v>704617.11000000045</v>
      </c>
      <c r="M326" s="112">
        <f t="shared" si="62"/>
        <v>792818.73000000091</v>
      </c>
      <c r="N326" s="112">
        <v>9430364.8399999999</v>
      </c>
    </row>
    <row r="327" spans="1:14" ht="15.75" thickTop="1">
      <c r="A327" s="64"/>
      <c r="B327" s="22"/>
      <c r="C327" s="22"/>
      <c r="D327" s="22"/>
      <c r="E327" s="22"/>
      <c r="F327" s="22"/>
      <c r="G327" s="22"/>
      <c r="H327" s="22"/>
      <c r="I327" s="22"/>
      <c r="J327" s="22"/>
      <c r="K327" s="22"/>
      <c r="L327" s="22"/>
      <c r="M327" s="22"/>
      <c r="N327" s="22"/>
    </row>
    <row r="328" spans="1:14" ht="15.75" thickBot="1">
      <c r="A328" s="64" t="s">
        <v>259</v>
      </c>
      <c r="B328" s="112">
        <f t="shared" ref="B328:M328" si="63">+B180-B326</f>
        <v>43292.610000000335</v>
      </c>
      <c r="C328" s="112">
        <f t="shared" si="63"/>
        <v>-38240.750000000582</v>
      </c>
      <c r="D328" s="112">
        <f t="shared" si="63"/>
        <v>29202.110000000685</v>
      </c>
      <c r="E328" s="112">
        <f t="shared" si="63"/>
        <v>14041.299999998999</v>
      </c>
      <c r="F328" s="112">
        <f t="shared" si="63"/>
        <v>338409.70999999973</v>
      </c>
      <c r="G328" s="112">
        <f t="shared" si="63"/>
        <v>53515.139999999548</v>
      </c>
      <c r="H328" s="112">
        <f t="shared" si="63"/>
        <v>56172.200000000186</v>
      </c>
      <c r="I328" s="112">
        <f t="shared" si="63"/>
        <v>126067.25999999756</v>
      </c>
      <c r="J328" s="112">
        <f t="shared" si="63"/>
        <v>80269.799999998882</v>
      </c>
      <c r="K328" s="112">
        <f t="shared" si="63"/>
        <v>-57119.920000001206</v>
      </c>
      <c r="L328" s="112">
        <f t="shared" si="63"/>
        <v>119533.15000000084</v>
      </c>
      <c r="M328" s="112">
        <f t="shared" si="63"/>
        <v>79893.019999998738</v>
      </c>
      <c r="N328" s="112">
        <v>845035.63</v>
      </c>
    </row>
    <row r="329" spans="1:14" ht="15.75" thickTop="1">
      <c r="A329" s="64"/>
      <c r="B329" s="22"/>
      <c r="C329" s="22"/>
      <c r="D329" s="22"/>
      <c r="E329" s="22"/>
      <c r="F329" s="22"/>
      <c r="G329" s="22"/>
      <c r="H329" s="22"/>
      <c r="I329" s="22"/>
      <c r="J329" s="22"/>
      <c r="K329" s="22"/>
      <c r="L329" s="22"/>
      <c r="M329" s="22"/>
      <c r="N329" s="22"/>
    </row>
    <row r="330" spans="1:14">
      <c r="A330" s="64" t="s">
        <v>351</v>
      </c>
      <c r="B330" s="107">
        <v>2328.06</v>
      </c>
      <c r="C330" s="107">
        <v>20468.73</v>
      </c>
      <c r="D330" s="107">
        <v>-6087.02</v>
      </c>
      <c r="E330" s="107">
        <v>1049.8699999999999</v>
      </c>
      <c r="F330" s="107">
        <v>163553.85</v>
      </c>
      <c r="G330" s="107">
        <v>630.71</v>
      </c>
      <c r="H330" s="107">
        <v>3757.34</v>
      </c>
      <c r="I330" s="107">
        <v>20438.97</v>
      </c>
      <c r="J330" s="107">
        <v>20757.84</v>
      </c>
      <c r="K330" s="107">
        <v>12169.26</v>
      </c>
      <c r="L330" s="107">
        <v>1560.93</v>
      </c>
      <c r="M330" s="107">
        <v>2017.36</v>
      </c>
      <c r="N330" s="107">
        <v>242645.9</v>
      </c>
    </row>
    <row r="331" spans="1:14">
      <c r="A331" s="64" t="s">
        <v>364</v>
      </c>
      <c r="B331" s="113"/>
      <c r="C331" s="113"/>
      <c r="D331" s="113"/>
      <c r="E331" s="113"/>
      <c r="F331" s="111">
        <v>67361</v>
      </c>
      <c r="G331" s="113"/>
      <c r="H331" s="113"/>
      <c r="I331" s="113"/>
      <c r="J331" s="113"/>
      <c r="K331" s="113"/>
      <c r="L331" s="113"/>
      <c r="M331" s="113"/>
      <c r="N331" s="111">
        <v>67361</v>
      </c>
    </row>
    <row r="332" spans="1:14">
      <c r="A332" s="64" t="s">
        <v>64</v>
      </c>
      <c r="B332" s="107">
        <f t="shared" ref="B332:M332" si="64">SUM(B329:B331)</f>
        <v>2328.06</v>
      </c>
      <c r="C332" s="107">
        <f t="shared" si="64"/>
        <v>20468.73</v>
      </c>
      <c r="D332" s="107">
        <f t="shared" si="64"/>
        <v>-6087.02</v>
      </c>
      <c r="E332" s="107">
        <f t="shared" si="64"/>
        <v>1049.8699999999999</v>
      </c>
      <c r="F332" s="107">
        <f t="shared" si="64"/>
        <v>230914.85</v>
      </c>
      <c r="G332" s="107">
        <f t="shared" si="64"/>
        <v>630.71</v>
      </c>
      <c r="H332" s="107">
        <f t="shared" si="64"/>
        <v>3757.34</v>
      </c>
      <c r="I332" s="107">
        <f t="shared" si="64"/>
        <v>20438.97</v>
      </c>
      <c r="J332" s="107">
        <f t="shared" si="64"/>
        <v>20757.84</v>
      </c>
      <c r="K332" s="107">
        <f t="shared" si="64"/>
        <v>12169.26</v>
      </c>
      <c r="L332" s="107">
        <f t="shared" si="64"/>
        <v>1560.93</v>
      </c>
      <c r="M332" s="107">
        <f t="shared" si="64"/>
        <v>2017.36</v>
      </c>
      <c r="N332" s="107">
        <v>310006.90000000002</v>
      </c>
    </row>
    <row r="333" spans="1:14">
      <c r="A333" s="64"/>
      <c r="B333" s="22"/>
      <c r="C333" s="22"/>
      <c r="D333" s="22"/>
      <c r="E333" s="22"/>
      <c r="F333" s="22"/>
      <c r="G333" s="22"/>
      <c r="H333" s="22"/>
      <c r="I333" s="22"/>
      <c r="J333" s="22"/>
      <c r="K333" s="22"/>
      <c r="L333" s="22"/>
      <c r="M333" s="22"/>
      <c r="N333" s="22"/>
    </row>
    <row r="334" spans="1:14" ht="15.75" thickBot="1">
      <c r="A334" s="64" t="s">
        <v>22</v>
      </c>
      <c r="B334" s="112">
        <f t="shared" ref="B334:M334" si="65">+B328-B332</f>
        <v>40964.550000000338</v>
      </c>
      <c r="C334" s="112">
        <f t="shared" si="65"/>
        <v>-58709.480000000578</v>
      </c>
      <c r="D334" s="112">
        <f t="shared" si="65"/>
        <v>35289.130000000689</v>
      </c>
      <c r="E334" s="112">
        <f t="shared" si="65"/>
        <v>12991.429999999</v>
      </c>
      <c r="F334" s="112">
        <f t="shared" si="65"/>
        <v>107494.85999999972</v>
      </c>
      <c r="G334" s="112">
        <f t="shared" si="65"/>
        <v>52884.429999999549</v>
      </c>
      <c r="H334" s="112">
        <f t="shared" si="65"/>
        <v>52414.86000000019</v>
      </c>
      <c r="I334" s="112">
        <f t="shared" si="65"/>
        <v>105628.28999999756</v>
      </c>
      <c r="J334" s="112">
        <f t="shared" si="65"/>
        <v>59511.959999998886</v>
      </c>
      <c r="K334" s="112">
        <f t="shared" si="65"/>
        <v>-69289.180000001201</v>
      </c>
      <c r="L334" s="112">
        <f t="shared" si="65"/>
        <v>117972.22000000085</v>
      </c>
      <c r="M334" s="112">
        <f t="shared" si="65"/>
        <v>77875.659999998737</v>
      </c>
      <c r="N334" s="112">
        <v>535028.73</v>
      </c>
    </row>
    <row r="335" spans="1:14" ht="15.75" thickTop="1">
      <c r="A335" s="64"/>
      <c r="B335" s="22"/>
      <c r="C335" s="22"/>
      <c r="D335" s="22"/>
      <c r="E335" s="22"/>
      <c r="F335" s="22"/>
      <c r="G335" s="22"/>
      <c r="H335" s="22"/>
      <c r="I335" s="22"/>
      <c r="J335" s="22"/>
      <c r="K335" s="22"/>
      <c r="L335" s="22"/>
      <c r="M335" s="22"/>
      <c r="N335" s="22"/>
    </row>
    <row r="336" spans="1:14">
      <c r="A336" s="64"/>
      <c r="B336" s="22"/>
      <c r="C336" s="22"/>
      <c r="D336" s="22"/>
      <c r="E336" s="22"/>
      <c r="F336" s="22"/>
      <c r="G336" s="22"/>
      <c r="H336" s="22"/>
      <c r="I336" s="22"/>
      <c r="J336" s="22"/>
      <c r="K336" s="22"/>
      <c r="L336" s="22"/>
      <c r="M336" s="22"/>
      <c r="N336" s="22"/>
    </row>
    <row r="337" spans="1:14">
      <c r="A337" s="64" t="s">
        <v>260</v>
      </c>
      <c r="B337" s="22"/>
      <c r="C337" s="22"/>
      <c r="D337" s="22"/>
      <c r="E337" s="22"/>
      <c r="F337" s="22"/>
      <c r="G337" s="22"/>
      <c r="H337" s="22"/>
      <c r="I337" s="22"/>
      <c r="J337" s="22"/>
      <c r="K337" s="22"/>
      <c r="L337" s="22"/>
      <c r="M337" s="22"/>
      <c r="N337" s="22"/>
    </row>
    <row r="338" spans="1:14">
      <c r="A338" s="64"/>
      <c r="B338" s="22"/>
      <c r="C338" s="22"/>
      <c r="D338" s="22"/>
      <c r="E338" s="22"/>
      <c r="F338" s="22"/>
      <c r="G338" s="22"/>
      <c r="H338" s="22"/>
      <c r="I338" s="22"/>
      <c r="J338" s="22"/>
      <c r="K338" s="22"/>
      <c r="L338" s="22"/>
      <c r="M338" s="22"/>
      <c r="N338" s="22"/>
    </row>
    <row r="339" spans="1:14">
      <c r="A339" s="64" t="s">
        <v>19</v>
      </c>
      <c r="B339" s="22"/>
      <c r="C339" s="22"/>
      <c r="D339" s="22"/>
      <c r="E339" s="22"/>
      <c r="F339" s="22"/>
      <c r="G339" s="22"/>
      <c r="H339" s="22"/>
      <c r="I339" s="22"/>
      <c r="J339" s="22"/>
      <c r="K339" s="22"/>
      <c r="L339" s="22"/>
      <c r="M339" s="22"/>
      <c r="N339" s="22"/>
    </row>
    <row r="340" spans="1:14">
      <c r="A340" s="64" t="s">
        <v>261</v>
      </c>
      <c r="B340" s="107">
        <v>31</v>
      </c>
      <c r="C340" s="107">
        <v>-153</v>
      </c>
      <c r="D340" s="107">
        <v>-33</v>
      </c>
      <c r="E340" s="22"/>
      <c r="F340" s="107">
        <v>-18</v>
      </c>
      <c r="G340" s="107">
        <v>-51</v>
      </c>
      <c r="H340" s="107">
        <v>38</v>
      </c>
      <c r="I340" s="22"/>
      <c r="J340" s="107">
        <v>262</v>
      </c>
      <c r="K340" s="107">
        <v>114</v>
      </c>
      <c r="L340" s="107">
        <v>-38</v>
      </c>
      <c r="M340" s="22"/>
      <c r="N340" s="107">
        <v>152</v>
      </c>
    </row>
    <row r="341" spans="1:14">
      <c r="A341" s="64" t="s">
        <v>66</v>
      </c>
      <c r="B341" s="111">
        <v>1193</v>
      </c>
      <c r="C341" s="111">
        <v>1155</v>
      </c>
      <c r="D341" s="111">
        <v>1168</v>
      </c>
      <c r="E341" s="111">
        <v>1182</v>
      </c>
      <c r="F341" s="111">
        <v>1246</v>
      </c>
      <c r="G341" s="111">
        <v>1313</v>
      </c>
      <c r="H341" s="111">
        <v>1166</v>
      </c>
      <c r="I341" s="111">
        <v>1257</v>
      </c>
      <c r="J341" s="111">
        <v>1148</v>
      </c>
      <c r="K341" s="111">
        <v>1208</v>
      </c>
      <c r="L341" s="111">
        <v>1242</v>
      </c>
      <c r="M341" s="111">
        <v>1371</v>
      </c>
      <c r="N341" s="111">
        <v>14649</v>
      </c>
    </row>
    <row r="342" spans="1:14">
      <c r="A342" s="64" t="s">
        <v>85</v>
      </c>
      <c r="B342" s="107">
        <f t="shared" ref="B342:M342" si="66">SUM(B339:B341)</f>
        <v>1224</v>
      </c>
      <c r="C342" s="107">
        <f t="shared" si="66"/>
        <v>1002</v>
      </c>
      <c r="D342" s="107">
        <f t="shared" si="66"/>
        <v>1135</v>
      </c>
      <c r="E342" s="107">
        <f t="shared" si="66"/>
        <v>1182</v>
      </c>
      <c r="F342" s="107">
        <f t="shared" si="66"/>
        <v>1228</v>
      </c>
      <c r="G342" s="107">
        <f t="shared" si="66"/>
        <v>1262</v>
      </c>
      <c r="H342" s="107">
        <f t="shared" si="66"/>
        <v>1204</v>
      </c>
      <c r="I342" s="107">
        <f t="shared" si="66"/>
        <v>1257</v>
      </c>
      <c r="J342" s="107">
        <f t="shared" si="66"/>
        <v>1410</v>
      </c>
      <c r="K342" s="107">
        <f t="shared" si="66"/>
        <v>1322</v>
      </c>
      <c r="L342" s="107">
        <f t="shared" si="66"/>
        <v>1204</v>
      </c>
      <c r="M342" s="107">
        <f t="shared" si="66"/>
        <v>1371</v>
      </c>
      <c r="N342" s="107">
        <v>14801</v>
      </c>
    </row>
    <row r="343" spans="1:14">
      <c r="A343" s="64"/>
      <c r="B343" s="22"/>
      <c r="C343" s="22"/>
      <c r="D343" s="22"/>
      <c r="E343" s="22"/>
      <c r="F343" s="22"/>
      <c r="G343" s="22"/>
      <c r="H343" s="22"/>
      <c r="I343" s="22"/>
      <c r="J343" s="22"/>
      <c r="K343" s="22"/>
      <c r="L343" s="22"/>
      <c r="M343" s="22"/>
      <c r="N343" s="22"/>
    </row>
    <row r="344" spans="1:14">
      <c r="A344" s="64" t="s">
        <v>20</v>
      </c>
      <c r="B344" s="22"/>
      <c r="C344" s="22"/>
      <c r="D344" s="22"/>
      <c r="E344" s="22"/>
      <c r="F344" s="22"/>
      <c r="G344" s="22"/>
      <c r="H344" s="22"/>
      <c r="I344" s="22"/>
      <c r="J344" s="22"/>
      <c r="K344" s="22"/>
      <c r="L344" s="22"/>
      <c r="M344" s="22"/>
      <c r="N344" s="22"/>
    </row>
    <row r="345" spans="1:14">
      <c r="A345" s="64" t="s">
        <v>261</v>
      </c>
      <c r="B345" s="107">
        <v>-19</v>
      </c>
      <c r="C345" s="107">
        <v>2</v>
      </c>
      <c r="D345" s="107">
        <v>46</v>
      </c>
      <c r="E345" s="22"/>
      <c r="F345" s="22"/>
      <c r="G345" s="22"/>
      <c r="H345" s="22"/>
      <c r="I345" s="22"/>
      <c r="J345" s="22"/>
      <c r="K345" s="107">
        <v>-23</v>
      </c>
      <c r="L345" s="22"/>
      <c r="M345" s="22"/>
      <c r="N345" s="107">
        <v>6</v>
      </c>
    </row>
    <row r="346" spans="1:14">
      <c r="A346" s="64" t="s">
        <v>66</v>
      </c>
      <c r="B346" s="111">
        <v>103</v>
      </c>
      <c r="C346" s="111">
        <v>137</v>
      </c>
      <c r="D346" s="111">
        <v>103</v>
      </c>
      <c r="E346" s="111">
        <v>111</v>
      </c>
      <c r="F346" s="111">
        <v>139</v>
      </c>
      <c r="G346" s="111">
        <v>173</v>
      </c>
      <c r="H346" s="111">
        <v>197</v>
      </c>
      <c r="I346" s="111">
        <v>302</v>
      </c>
      <c r="J346" s="111">
        <v>309</v>
      </c>
      <c r="K346" s="111">
        <v>326</v>
      </c>
      <c r="L346" s="111">
        <v>282</v>
      </c>
      <c r="M346" s="111">
        <v>248</v>
      </c>
      <c r="N346" s="111">
        <v>2430</v>
      </c>
    </row>
    <row r="347" spans="1:14">
      <c r="A347" s="64" t="s">
        <v>262</v>
      </c>
      <c r="B347" s="107">
        <f t="shared" ref="B347:M347" si="67">SUM(B343:B346)</f>
        <v>84</v>
      </c>
      <c r="C347" s="107">
        <f t="shared" si="67"/>
        <v>139</v>
      </c>
      <c r="D347" s="107">
        <f t="shared" si="67"/>
        <v>149</v>
      </c>
      <c r="E347" s="107">
        <f t="shared" si="67"/>
        <v>111</v>
      </c>
      <c r="F347" s="107">
        <f t="shared" si="67"/>
        <v>139</v>
      </c>
      <c r="G347" s="107">
        <f t="shared" si="67"/>
        <v>173</v>
      </c>
      <c r="H347" s="107">
        <f t="shared" si="67"/>
        <v>197</v>
      </c>
      <c r="I347" s="107">
        <f t="shared" si="67"/>
        <v>302</v>
      </c>
      <c r="J347" s="107">
        <f t="shared" si="67"/>
        <v>309</v>
      </c>
      <c r="K347" s="107">
        <f t="shared" si="67"/>
        <v>303</v>
      </c>
      <c r="L347" s="107">
        <f t="shared" si="67"/>
        <v>282</v>
      </c>
      <c r="M347" s="107">
        <f t="shared" si="67"/>
        <v>248</v>
      </c>
      <c r="N347" s="107">
        <v>2436</v>
      </c>
    </row>
    <row r="348" spans="1:14">
      <c r="A348" s="64"/>
      <c r="B348" s="22"/>
      <c r="C348" s="22"/>
      <c r="D348" s="22"/>
      <c r="E348" s="22"/>
      <c r="F348" s="22"/>
      <c r="G348" s="22"/>
      <c r="H348" s="22"/>
      <c r="I348" s="22"/>
      <c r="J348" s="22"/>
      <c r="K348" s="22"/>
      <c r="L348" s="22"/>
      <c r="M348" s="22"/>
      <c r="N348" s="22"/>
    </row>
    <row r="349" spans="1:14">
      <c r="A349" s="64" t="s">
        <v>263</v>
      </c>
      <c r="B349" s="22"/>
      <c r="C349" s="22"/>
      <c r="D349" s="22"/>
      <c r="E349" s="22"/>
      <c r="F349" s="22"/>
      <c r="G349" s="22"/>
      <c r="H349" s="22"/>
      <c r="I349" s="22"/>
      <c r="J349" s="22"/>
      <c r="K349" s="22"/>
      <c r="L349" s="22"/>
      <c r="M349" s="22"/>
      <c r="N349" s="22"/>
    </row>
    <row r="350" spans="1:14">
      <c r="A350" s="64" t="s">
        <v>261</v>
      </c>
      <c r="B350" s="107">
        <v>2</v>
      </c>
      <c r="C350" s="22"/>
      <c r="D350" s="22"/>
      <c r="E350" s="107">
        <v>-2</v>
      </c>
      <c r="F350" s="22"/>
      <c r="G350" s="22"/>
      <c r="H350" s="107">
        <v>10</v>
      </c>
      <c r="I350" s="107">
        <v>57</v>
      </c>
      <c r="J350" s="107">
        <v>-68</v>
      </c>
      <c r="K350" s="22"/>
      <c r="L350" s="22"/>
      <c r="M350" s="107">
        <v>3</v>
      </c>
      <c r="N350" s="107">
        <v>2</v>
      </c>
    </row>
    <row r="351" spans="1:14">
      <c r="A351" s="64" t="s">
        <v>66</v>
      </c>
      <c r="B351" s="111">
        <v>416</v>
      </c>
      <c r="C351" s="111">
        <v>331</v>
      </c>
      <c r="D351" s="111">
        <v>384</v>
      </c>
      <c r="E351" s="111">
        <v>304</v>
      </c>
      <c r="F351" s="111">
        <v>298</v>
      </c>
      <c r="G351" s="111">
        <v>343</v>
      </c>
      <c r="H351" s="111">
        <v>332</v>
      </c>
      <c r="I351" s="111">
        <v>349</v>
      </c>
      <c r="J351" s="111">
        <v>379</v>
      </c>
      <c r="K351" s="111">
        <v>214</v>
      </c>
      <c r="L351" s="111">
        <v>314</v>
      </c>
      <c r="M351" s="111">
        <v>342</v>
      </c>
      <c r="N351" s="111">
        <v>4006</v>
      </c>
    </row>
    <row r="352" spans="1:14">
      <c r="A352" s="64" t="s">
        <v>264</v>
      </c>
      <c r="B352" s="107">
        <f t="shared" ref="B352:M352" si="68">SUM(B348:B351)</f>
        <v>418</v>
      </c>
      <c r="C352" s="107">
        <f t="shared" si="68"/>
        <v>331</v>
      </c>
      <c r="D352" s="107">
        <f t="shared" si="68"/>
        <v>384</v>
      </c>
      <c r="E352" s="107">
        <f t="shared" si="68"/>
        <v>302</v>
      </c>
      <c r="F352" s="107">
        <f t="shared" si="68"/>
        <v>298</v>
      </c>
      <c r="G352" s="107">
        <f t="shared" si="68"/>
        <v>343</v>
      </c>
      <c r="H352" s="107">
        <f t="shared" si="68"/>
        <v>342</v>
      </c>
      <c r="I352" s="107">
        <f t="shared" si="68"/>
        <v>406</v>
      </c>
      <c r="J352" s="107">
        <f t="shared" si="68"/>
        <v>311</v>
      </c>
      <c r="K352" s="107">
        <f t="shared" si="68"/>
        <v>214</v>
      </c>
      <c r="L352" s="107">
        <f t="shared" si="68"/>
        <v>314</v>
      </c>
      <c r="M352" s="107">
        <f t="shared" si="68"/>
        <v>345</v>
      </c>
      <c r="N352" s="107">
        <v>4008</v>
      </c>
    </row>
    <row r="353" spans="1:14">
      <c r="A353" s="64"/>
      <c r="B353" s="22"/>
      <c r="C353" s="22"/>
      <c r="D353" s="22"/>
      <c r="E353" s="22"/>
      <c r="F353" s="22"/>
      <c r="G353" s="22"/>
      <c r="H353" s="22"/>
      <c r="I353" s="22"/>
      <c r="J353" s="22"/>
      <c r="K353" s="22"/>
      <c r="L353" s="22"/>
      <c r="M353" s="22"/>
      <c r="N353" s="22"/>
    </row>
    <row r="354" spans="1:14">
      <c r="A354" s="64" t="s">
        <v>265</v>
      </c>
      <c r="B354" s="113"/>
      <c r="C354" s="113"/>
      <c r="D354" s="113"/>
      <c r="E354" s="113"/>
      <c r="F354" s="113"/>
      <c r="G354" s="113"/>
      <c r="H354" s="113"/>
      <c r="I354" s="113"/>
      <c r="J354" s="113"/>
      <c r="K354" s="113"/>
      <c r="L354" s="113"/>
      <c r="M354" s="113"/>
      <c r="N354" s="113"/>
    </row>
    <row r="355" spans="1:14">
      <c r="A355" s="64" t="s">
        <v>319</v>
      </c>
      <c r="B355" s="107"/>
      <c r="C355" s="107"/>
      <c r="D355" s="107"/>
      <c r="E355" s="107"/>
      <c r="F355" s="107"/>
      <c r="G355" s="107"/>
      <c r="H355" s="107"/>
      <c r="I355" s="107"/>
      <c r="J355" s="107"/>
      <c r="K355" s="107"/>
      <c r="L355" s="107"/>
      <c r="M355" s="107"/>
      <c r="N355" s="107"/>
    </row>
    <row r="356" spans="1:14">
      <c r="A356" s="64"/>
      <c r="B356" s="22"/>
      <c r="C356" s="22"/>
      <c r="D356" s="22"/>
      <c r="E356" s="22"/>
      <c r="F356" s="22"/>
      <c r="G356" s="22"/>
      <c r="H356" s="22"/>
      <c r="I356" s="22"/>
      <c r="J356" s="22"/>
      <c r="K356" s="22"/>
      <c r="L356" s="22"/>
      <c r="M356" s="22"/>
      <c r="N356" s="22"/>
    </row>
    <row r="357" spans="1:14">
      <c r="A357" s="64" t="s">
        <v>106</v>
      </c>
      <c r="B357" s="22"/>
      <c r="C357" s="22"/>
      <c r="D357" s="22"/>
      <c r="E357" s="22"/>
      <c r="F357" s="22"/>
      <c r="G357" s="22"/>
      <c r="H357" s="22"/>
      <c r="I357" s="22"/>
      <c r="J357" s="22"/>
      <c r="K357" s="22"/>
      <c r="L357" s="22"/>
      <c r="M357" s="22"/>
      <c r="N357" s="22"/>
    </row>
    <row r="358" spans="1:14">
      <c r="A358" s="64" t="s">
        <v>261</v>
      </c>
      <c r="B358" s="107">
        <v>-1</v>
      </c>
      <c r="C358" s="22"/>
      <c r="D358" s="22"/>
      <c r="E358" s="22"/>
      <c r="F358" s="22"/>
      <c r="G358" s="22"/>
      <c r="H358" s="107">
        <v>2</v>
      </c>
      <c r="I358" s="107">
        <v>-58</v>
      </c>
      <c r="J358" s="107">
        <v>68</v>
      </c>
      <c r="K358" s="107">
        <v>-10</v>
      </c>
      <c r="L358" s="22"/>
      <c r="M358" s="107">
        <v>-3</v>
      </c>
      <c r="N358" s="107">
        <v>-2</v>
      </c>
    </row>
    <row r="359" spans="1:14">
      <c r="A359" s="64" t="s">
        <v>66</v>
      </c>
      <c r="B359" s="111">
        <v>516</v>
      </c>
      <c r="C359" s="111">
        <v>394</v>
      </c>
      <c r="D359" s="111">
        <v>531</v>
      </c>
      <c r="E359" s="111">
        <v>585</v>
      </c>
      <c r="F359" s="111">
        <v>682</v>
      </c>
      <c r="G359" s="111">
        <v>503</v>
      </c>
      <c r="H359" s="111">
        <v>579</v>
      </c>
      <c r="I359" s="111">
        <v>684</v>
      </c>
      <c r="J359" s="111">
        <v>529</v>
      </c>
      <c r="K359" s="111">
        <v>594</v>
      </c>
      <c r="L359" s="111">
        <v>611</v>
      </c>
      <c r="M359" s="111">
        <v>655</v>
      </c>
      <c r="N359" s="111">
        <v>6863</v>
      </c>
    </row>
    <row r="360" spans="1:14">
      <c r="A360" s="64" t="s">
        <v>116</v>
      </c>
      <c r="B360" s="107">
        <f t="shared" ref="B360:M360" si="69">SUM(B356:B359)</f>
        <v>515</v>
      </c>
      <c r="C360" s="107">
        <f t="shared" si="69"/>
        <v>394</v>
      </c>
      <c r="D360" s="107">
        <f t="shared" si="69"/>
        <v>531</v>
      </c>
      <c r="E360" s="107">
        <f t="shared" si="69"/>
        <v>585</v>
      </c>
      <c r="F360" s="107">
        <f t="shared" si="69"/>
        <v>682</v>
      </c>
      <c r="G360" s="107">
        <f t="shared" si="69"/>
        <v>503</v>
      </c>
      <c r="H360" s="107">
        <f t="shared" si="69"/>
        <v>581</v>
      </c>
      <c r="I360" s="107">
        <f t="shared" si="69"/>
        <v>626</v>
      </c>
      <c r="J360" s="107">
        <f t="shared" si="69"/>
        <v>597</v>
      </c>
      <c r="K360" s="107">
        <f t="shared" si="69"/>
        <v>584</v>
      </c>
      <c r="L360" s="107">
        <f t="shared" si="69"/>
        <v>611</v>
      </c>
      <c r="M360" s="107">
        <f t="shared" si="69"/>
        <v>652</v>
      </c>
      <c r="N360" s="107">
        <v>6861</v>
      </c>
    </row>
    <row r="361" spans="1:14">
      <c r="A361" s="64"/>
      <c r="B361" s="22"/>
      <c r="C361" s="22"/>
      <c r="D361" s="22"/>
      <c r="E361" s="22"/>
      <c r="F361" s="22"/>
      <c r="G361" s="22"/>
      <c r="H361" s="22"/>
      <c r="I361" s="22"/>
      <c r="J361" s="22"/>
      <c r="K361" s="22"/>
      <c r="L361" s="22"/>
      <c r="M361" s="22"/>
      <c r="N361" s="22"/>
    </row>
    <row r="362" spans="1:14">
      <c r="A362" s="64" t="s">
        <v>117</v>
      </c>
      <c r="B362" s="22"/>
      <c r="C362" s="22"/>
      <c r="D362" s="22"/>
      <c r="E362" s="22"/>
      <c r="F362" s="22"/>
      <c r="G362" s="22"/>
      <c r="H362" s="22"/>
      <c r="I362" s="22"/>
      <c r="J362" s="22"/>
      <c r="K362" s="22"/>
      <c r="L362" s="22"/>
      <c r="M362" s="22"/>
      <c r="N362" s="22"/>
    </row>
    <row r="363" spans="1:14">
      <c r="A363" s="64" t="s">
        <v>261</v>
      </c>
      <c r="B363" s="107">
        <v>-13</v>
      </c>
      <c r="C363" s="107">
        <v>151</v>
      </c>
      <c r="D363" s="107">
        <v>-13</v>
      </c>
      <c r="E363" s="22"/>
      <c r="F363" s="107">
        <v>18</v>
      </c>
      <c r="G363" s="107">
        <v>51</v>
      </c>
      <c r="H363" s="107">
        <v>-50</v>
      </c>
      <c r="I363" s="22"/>
      <c r="J363" s="107">
        <v>-262</v>
      </c>
      <c r="K363" s="107">
        <v>-81</v>
      </c>
      <c r="L363" s="107">
        <v>38</v>
      </c>
      <c r="M363" s="22"/>
      <c r="N363" s="107">
        <v>-161</v>
      </c>
    </row>
    <row r="364" spans="1:14">
      <c r="A364" s="64" t="s">
        <v>66</v>
      </c>
      <c r="B364" s="111">
        <v>182</v>
      </c>
      <c r="C364" s="111">
        <v>158</v>
      </c>
      <c r="D364" s="111">
        <v>194</v>
      </c>
      <c r="E364" s="111">
        <v>179</v>
      </c>
      <c r="F364" s="111">
        <v>153</v>
      </c>
      <c r="G364" s="111">
        <v>221</v>
      </c>
      <c r="H364" s="111">
        <v>128</v>
      </c>
      <c r="I364" s="111">
        <v>152</v>
      </c>
      <c r="J364" s="111">
        <v>186</v>
      </c>
      <c r="K364" s="111">
        <v>265</v>
      </c>
      <c r="L364" s="111">
        <v>131</v>
      </c>
      <c r="M364" s="111">
        <v>133</v>
      </c>
      <c r="N364" s="111">
        <v>2082</v>
      </c>
    </row>
    <row r="365" spans="1:14">
      <c r="A365" s="64" t="s">
        <v>127</v>
      </c>
      <c r="B365" s="107">
        <f t="shared" ref="B365:M365" si="70">SUM(B361:B364)</f>
        <v>169</v>
      </c>
      <c r="C365" s="107">
        <f t="shared" si="70"/>
        <v>309</v>
      </c>
      <c r="D365" s="107">
        <f t="shared" si="70"/>
        <v>181</v>
      </c>
      <c r="E365" s="107">
        <f t="shared" si="70"/>
        <v>179</v>
      </c>
      <c r="F365" s="107">
        <f t="shared" si="70"/>
        <v>171</v>
      </c>
      <c r="G365" s="107">
        <f t="shared" si="70"/>
        <v>272</v>
      </c>
      <c r="H365" s="107">
        <f t="shared" si="70"/>
        <v>78</v>
      </c>
      <c r="I365" s="107">
        <f t="shared" si="70"/>
        <v>152</v>
      </c>
      <c r="J365" s="107">
        <f t="shared" si="70"/>
        <v>-76</v>
      </c>
      <c r="K365" s="107">
        <f t="shared" si="70"/>
        <v>184</v>
      </c>
      <c r="L365" s="107">
        <f t="shared" si="70"/>
        <v>169</v>
      </c>
      <c r="M365" s="107">
        <f t="shared" si="70"/>
        <v>133</v>
      </c>
      <c r="N365" s="107">
        <v>1921</v>
      </c>
    </row>
    <row r="366" spans="1:14">
      <c r="A366" s="64"/>
      <c r="B366" s="22"/>
      <c r="C366" s="22"/>
      <c r="D366" s="22"/>
      <c r="E366" s="22"/>
      <c r="F366" s="22"/>
      <c r="G366" s="22"/>
      <c r="H366" s="22"/>
      <c r="I366" s="22"/>
      <c r="J366" s="22"/>
      <c r="K366" s="22"/>
      <c r="L366" s="22"/>
      <c r="M366" s="22"/>
      <c r="N366" s="22"/>
    </row>
    <row r="367" spans="1:14" ht="15.75" thickBot="1">
      <c r="A367" s="64" t="s">
        <v>266</v>
      </c>
      <c r="B367" s="112">
        <f t="shared" ref="B367:M367" si="71">SUM(B337:B366)-B342-B347-B352-B355-B360-B365</f>
        <v>2410</v>
      </c>
      <c r="C367" s="112">
        <f t="shared" si="71"/>
        <v>2175</v>
      </c>
      <c r="D367" s="112">
        <f t="shared" si="71"/>
        <v>2380</v>
      </c>
      <c r="E367" s="112">
        <f t="shared" si="71"/>
        <v>2359</v>
      </c>
      <c r="F367" s="112">
        <f t="shared" si="71"/>
        <v>2518</v>
      </c>
      <c r="G367" s="112">
        <f t="shared" si="71"/>
        <v>2553</v>
      </c>
      <c r="H367" s="112">
        <f t="shared" si="71"/>
        <v>2402</v>
      </c>
      <c r="I367" s="112">
        <f t="shared" si="71"/>
        <v>2743</v>
      </c>
      <c r="J367" s="112">
        <f t="shared" si="71"/>
        <v>2551</v>
      </c>
      <c r="K367" s="112">
        <f t="shared" si="71"/>
        <v>2607</v>
      </c>
      <c r="L367" s="112">
        <f t="shared" si="71"/>
        <v>2580</v>
      </c>
      <c r="M367" s="112">
        <f t="shared" si="71"/>
        <v>2749</v>
      </c>
      <c r="N367" s="112">
        <v>30027</v>
      </c>
    </row>
    <row r="368" spans="1:14" ht="15.75" thickTop="1">
      <c r="A368" s="64"/>
      <c r="B368" s="22"/>
      <c r="C368" s="22"/>
      <c r="D368" s="22"/>
      <c r="E368" s="22"/>
      <c r="F368" s="22"/>
      <c r="G368" s="22"/>
      <c r="H368" s="22"/>
      <c r="I368" s="22"/>
      <c r="J368" s="22"/>
      <c r="K368" s="22"/>
      <c r="L368" s="22"/>
      <c r="M368" s="22"/>
      <c r="N368" s="22"/>
    </row>
    <row r="369" spans="1:14" hidden="1">
      <c r="A369" s="64"/>
      <c r="B369" s="107">
        <v>-40964.550000000003</v>
      </c>
      <c r="C369" s="107">
        <v>58709.48</v>
      </c>
      <c r="D369" s="107">
        <v>-35289.129999999997</v>
      </c>
      <c r="E369" s="107">
        <v>-12991.43</v>
      </c>
      <c r="F369" s="107">
        <v>-107494.86</v>
      </c>
      <c r="G369" s="107">
        <v>-52884.43</v>
      </c>
      <c r="H369" s="107">
        <v>-52414.86</v>
      </c>
      <c r="I369" s="107">
        <v>-105628.29</v>
      </c>
      <c r="J369" s="107">
        <v>-59511.96</v>
      </c>
      <c r="K369" s="107">
        <v>69289.179999999993</v>
      </c>
      <c r="L369" s="107">
        <v>-117972.22</v>
      </c>
      <c r="M369" s="107">
        <v>-77875.66</v>
      </c>
      <c r="N369" s="107">
        <v>-535028.73</v>
      </c>
    </row>
    <row r="370" spans="1:14">
      <c r="A370" s="64"/>
      <c r="B370" s="22"/>
      <c r="C370" s="22"/>
      <c r="D370" s="22"/>
      <c r="E370" s="22"/>
      <c r="F370" s="22"/>
      <c r="G370" s="22"/>
      <c r="H370" s="22"/>
      <c r="I370" s="22"/>
      <c r="J370" s="22"/>
      <c r="K370" s="22"/>
      <c r="L370" s="22"/>
      <c r="M370" s="22"/>
      <c r="N370" s="22"/>
    </row>
    <row r="371" spans="1:14" hidden="1">
      <c r="A371" s="64" t="s">
        <v>267</v>
      </c>
      <c r="B371" s="107">
        <f t="shared" ref="B371:M371" si="72">B341+B346+B351+B359+B364</f>
        <v>2410</v>
      </c>
      <c r="C371" s="107">
        <f t="shared" si="72"/>
        <v>2175</v>
      </c>
      <c r="D371" s="107">
        <f t="shared" si="72"/>
        <v>2380</v>
      </c>
      <c r="E371" s="107">
        <f t="shared" si="72"/>
        <v>2361</v>
      </c>
      <c r="F371" s="107">
        <f t="shared" si="72"/>
        <v>2518</v>
      </c>
      <c r="G371" s="107">
        <f t="shared" si="72"/>
        <v>2553</v>
      </c>
      <c r="H371" s="107">
        <f t="shared" si="72"/>
        <v>2402</v>
      </c>
      <c r="I371" s="107">
        <f t="shared" si="72"/>
        <v>2744</v>
      </c>
      <c r="J371" s="107">
        <f t="shared" si="72"/>
        <v>2551</v>
      </c>
      <c r="K371" s="107">
        <f t="shared" si="72"/>
        <v>2607</v>
      </c>
      <c r="L371" s="107">
        <f t="shared" si="72"/>
        <v>2580</v>
      </c>
      <c r="M371" s="107">
        <f t="shared" si="72"/>
        <v>2749</v>
      </c>
      <c r="N371" s="107">
        <v>30030</v>
      </c>
    </row>
    <row r="372" spans="1:14">
      <c r="A372" s="64"/>
      <c r="B372" s="22"/>
      <c r="C372" s="22"/>
      <c r="D372" s="22"/>
      <c r="E372" s="22"/>
      <c r="F372" s="22"/>
      <c r="G372" s="22"/>
      <c r="H372" s="22"/>
      <c r="I372" s="22"/>
      <c r="J372" s="22"/>
      <c r="K372" s="22"/>
      <c r="L372" s="22"/>
      <c r="M372" s="22"/>
      <c r="N372" s="22"/>
    </row>
  </sheetData>
  <pageMargins left="0.75" right="0.75" top="0.75" bottom="0.75" header="0.03" footer="0.03"/>
  <pageSetup scale="46" fitToHeight="0" pageOrder="overThenDown" orientation="landscape" r:id="rId1"/>
  <headerFooter>
    <oddHeader>&amp;L&amp;C&amp;"Arial,Regular"&amp;9&amp;K000000Arbrook Plaza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21505"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21505" r:id="rId5" name="FPMExcelClientSheetOptionstb1"/>
      </mc:Fallback>
    </mc:AlternateContent>
  </control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pageSetUpPr fitToPage="1"/>
  </sheetPr>
  <dimension ref="A1:N370"/>
  <sheetViews>
    <sheetView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L4" si="0">B339</f>
        <v>1007</v>
      </c>
      <c r="C4" s="110">
        <f t="shared" si="0"/>
        <v>943</v>
      </c>
      <c r="D4" s="110">
        <f t="shared" si="0"/>
        <v>1098</v>
      </c>
      <c r="E4" s="110">
        <f t="shared" si="0"/>
        <v>1084</v>
      </c>
      <c r="F4" s="110">
        <f t="shared" si="0"/>
        <v>1077</v>
      </c>
      <c r="G4" s="110">
        <f t="shared" si="0"/>
        <v>930</v>
      </c>
      <c r="H4" s="110">
        <f t="shared" si="0"/>
        <v>832</v>
      </c>
      <c r="I4" s="110">
        <f t="shared" si="0"/>
        <v>944</v>
      </c>
      <c r="J4" s="110">
        <f t="shared" si="0"/>
        <v>928</v>
      </c>
      <c r="K4" s="110">
        <f t="shared" si="0"/>
        <v>936</v>
      </c>
      <c r="L4" s="110">
        <f t="shared" si="0"/>
        <v>-4570</v>
      </c>
      <c r="M4" s="110"/>
      <c r="N4" s="110">
        <v>5209</v>
      </c>
    </row>
    <row r="5" spans="1:14">
      <c r="A5" s="64" t="s">
        <v>35</v>
      </c>
      <c r="B5" s="107">
        <f t="shared" ref="B5:L5" si="1">B344</f>
        <v>159</v>
      </c>
      <c r="C5" s="107">
        <f t="shared" si="1"/>
        <v>180</v>
      </c>
      <c r="D5" s="107">
        <f t="shared" si="1"/>
        <v>135</v>
      </c>
      <c r="E5" s="107">
        <f t="shared" si="1"/>
        <v>150</v>
      </c>
      <c r="F5" s="107">
        <f t="shared" si="1"/>
        <v>126</v>
      </c>
      <c r="G5" s="107">
        <f t="shared" si="1"/>
        <v>66</v>
      </c>
      <c r="H5" s="107">
        <f t="shared" si="1"/>
        <v>92</v>
      </c>
      <c r="I5" s="107">
        <f t="shared" si="1"/>
        <v>185</v>
      </c>
      <c r="J5" s="107">
        <f t="shared" si="1"/>
        <v>180</v>
      </c>
      <c r="K5" s="107">
        <f t="shared" si="1"/>
        <v>168</v>
      </c>
      <c r="L5" s="107">
        <f t="shared" si="1"/>
        <v>-691</v>
      </c>
      <c r="M5" s="107"/>
      <c r="N5" s="107">
        <v>750</v>
      </c>
    </row>
    <row r="6" spans="1:14">
      <c r="A6" s="64" t="s">
        <v>36</v>
      </c>
      <c r="B6" s="107">
        <f t="shared" ref="B6:L6" si="2">B349</f>
        <v>244</v>
      </c>
      <c r="C6" s="107">
        <f t="shared" si="2"/>
        <v>199</v>
      </c>
      <c r="D6" s="107">
        <f t="shared" si="2"/>
        <v>227</v>
      </c>
      <c r="E6" s="107">
        <f t="shared" si="2"/>
        <v>239</v>
      </c>
      <c r="F6" s="107">
        <f t="shared" si="2"/>
        <v>282</v>
      </c>
      <c r="G6" s="107">
        <f t="shared" si="2"/>
        <v>391</v>
      </c>
      <c r="H6" s="107">
        <f t="shared" si="2"/>
        <v>298</v>
      </c>
      <c r="I6" s="107">
        <f t="shared" si="2"/>
        <v>189</v>
      </c>
      <c r="J6" s="107">
        <f t="shared" si="2"/>
        <v>201</v>
      </c>
      <c r="K6" s="107">
        <f t="shared" si="2"/>
        <v>214</v>
      </c>
      <c r="L6" s="107">
        <f t="shared" si="2"/>
        <v>-1293</v>
      </c>
      <c r="M6" s="107"/>
      <c r="N6" s="107">
        <v>1191</v>
      </c>
    </row>
    <row r="7" spans="1:14">
      <c r="A7" s="64" t="s">
        <v>37</v>
      </c>
      <c r="B7" s="107">
        <f t="shared" ref="B7:L7" si="3">B357</f>
        <v>546</v>
      </c>
      <c r="C7" s="107">
        <f t="shared" si="3"/>
        <v>405</v>
      </c>
      <c r="D7" s="107">
        <f t="shared" si="3"/>
        <v>282</v>
      </c>
      <c r="E7" s="107">
        <f t="shared" si="3"/>
        <v>386</v>
      </c>
      <c r="F7" s="107">
        <f t="shared" si="3"/>
        <v>508</v>
      </c>
      <c r="G7" s="107">
        <f t="shared" si="3"/>
        <v>516</v>
      </c>
      <c r="H7" s="107">
        <f t="shared" si="3"/>
        <v>708</v>
      </c>
      <c r="I7" s="107">
        <f t="shared" si="3"/>
        <v>526</v>
      </c>
      <c r="J7" s="107">
        <f t="shared" si="3"/>
        <v>420</v>
      </c>
      <c r="K7" s="107">
        <f t="shared" si="3"/>
        <v>550</v>
      </c>
      <c r="L7" s="107">
        <f t="shared" si="3"/>
        <v>-2720</v>
      </c>
      <c r="M7" s="107"/>
      <c r="N7" s="107">
        <v>2127</v>
      </c>
    </row>
    <row r="8" spans="1:14">
      <c r="A8" s="64" t="s">
        <v>38</v>
      </c>
      <c r="B8" s="111">
        <f t="shared" ref="B8:L8" si="4">B362</f>
        <v>191</v>
      </c>
      <c r="C8" s="111">
        <f t="shared" si="4"/>
        <v>179</v>
      </c>
      <c r="D8" s="111">
        <f t="shared" si="4"/>
        <v>189</v>
      </c>
      <c r="E8" s="111">
        <f t="shared" si="4"/>
        <v>198</v>
      </c>
      <c r="F8" s="111">
        <f t="shared" si="4"/>
        <v>151</v>
      </c>
      <c r="G8" s="111">
        <f t="shared" si="4"/>
        <v>126</v>
      </c>
      <c r="H8" s="111">
        <f t="shared" si="4"/>
        <v>140</v>
      </c>
      <c r="I8" s="111">
        <f t="shared" si="4"/>
        <v>122</v>
      </c>
      <c r="J8" s="111">
        <f t="shared" si="4"/>
        <v>76</v>
      </c>
      <c r="K8" s="111">
        <f t="shared" si="4"/>
        <v>127</v>
      </c>
      <c r="L8" s="111">
        <f t="shared" si="4"/>
        <v>-591</v>
      </c>
      <c r="M8" s="111"/>
      <c r="N8" s="111">
        <v>908</v>
      </c>
    </row>
    <row r="9" spans="1:14" ht="15.75" thickBot="1">
      <c r="A9" s="64" t="s">
        <v>39</v>
      </c>
      <c r="B9" s="112">
        <f t="shared" ref="B9:L9" si="5">B369</f>
        <v>2147</v>
      </c>
      <c r="C9" s="112">
        <f t="shared" si="5"/>
        <v>1906</v>
      </c>
      <c r="D9" s="112">
        <f t="shared" si="5"/>
        <v>1931</v>
      </c>
      <c r="E9" s="112">
        <f t="shared" si="5"/>
        <v>2057</v>
      </c>
      <c r="F9" s="112">
        <f t="shared" si="5"/>
        <v>2144</v>
      </c>
      <c r="G9" s="112">
        <f t="shared" si="5"/>
        <v>2029</v>
      </c>
      <c r="H9" s="112">
        <f t="shared" si="5"/>
        <v>2070</v>
      </c>
      <c r="I9" s="112">
        <f t="shared" si="5"/>
        <v>1966</v>
      </c>
      <c r="J9" s="112">
        <f t="shared" si="5"/>
        <v>1805</v>
      </c>
      <c r="K9" s="112">
        <f t="shared" si="5"/>
        <v>1995</v>
      </c>
      <c r="L9" s="112">
        <f t="shared" si="5"/>
        <v>-9865</v>
      </c>
      <c r="M9" s="112"/>
      <c r="N9" s="112">
        <v>10185</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L14" si="6">B69</f>
        <v>189240.07</v>
      </c>
      <c r="C14" s="107">
        <f t="shared" si="6"/>
        <v>178710.77</v>
      </c>
      <c r="D14" s="107">
        <f t="shared" si="6"/>
        <v>195328.7</v>
      </c>
      <c r="E14" s="107">
        <f t="shared" si="6"/>
        <v>190166.34</v>
      </c>
      <c r="F14" s="107">
        <f t="shared" si="6"/>
        <v>176276.28</v>
      </c>
      <c r="G14" s="107">
        <f t="shared" si="6"/>
        <v>152548.35</v>
      </c>
      <c r="H14" s="107">
        <f t="shared" si="6"/>
        <v>133527.25</v>
      </c>
      <c r="I14" s="107">
        <f t="shared" si="6"/>
        <v>152604.26999999999</v>
      </c>
      <c r="J14" s="107">
        <f t="shared" si="6"/>
        <v>159541.25</v>
      </c>
      <c r="K14" s="107">
        <f t="shared" si="6"/>
        <v>169239.31</v>
      </c>
      <c r="L14" s="107">
        <f t="shared" si="6"/>
        <v>-767460.43</v>
      </c>
      <c r="M14" s="107"/>
      <c r="N14" s="107">
        <v>929722.16</v>
      </c>
    </row>
    <row r="15" spans="1:14">
      <c r="A15" s="64" t="s">
        <v>35</v>
      </c>
      <c r="B15" s="107">
        <f t="shared" ref="B15:L15" si="7">B73</f>
        <v>26580.400000000001</v>
      </c>
      <c r="C15" s="107">
        <f t="shared" si="7"/>
        <v>33631.32</v>
      </c>
      <c r="D15" s="107">
        <f t="shared" si="7"/>
        <v>22577.26</v>
      </c>
      <c r="E15" s="107">
        <f t="shared" si="7"/>
        <v>22731.3</v>
      </c>
      <c r="F15" s="107">
        <f t="shared" si="7"/>
        <v>19298.830000000002</v>
      </c>
      <c r="G15" s="107">
        <f t="shared" si="7"/>
        <v>12286.62</v>
      </c>
      <c r="H15" s="107">
        <f t="shared" si="7"/>
        <v>16446.560000000001</v>
      </c>
      <c r="I15" s="107">
        <f t="shared" si="7"/>
        <v>27059.95</v>
      </c>
      <c r="J15" s="107">
        <f t="shared" si="7"/>
        <v>28392.67</v>
      </c>
      <c r="K15" s="107">
        <f t="shared" si="7"/>
        <v>27340.2</v>
      </c>
      <c r="L15" s="107">
        <f t="shared" si="7"/>
        <v>-111526</v>
      </c>
      <c r="M15" s="107"/>
      <c r="N15" s="107">
        <v>124819.11</v>
      </c>
    </row>
    <row r="16" spans="1:14">
      <c r="A16" s="64" t="s">
        <v>36</v>
      </c>
      <c r="B16" s="107">
        <f t="shared" ref="B16:L16" si="8">B77</f>
        <v>163845.54</v>
      </c>
      <c r="C16" s="107">
        <f t="shared" si="8"/>
        <v>145400.85999999999</v>
      </c>
      <c r="D16" s="107">
        <f t="shared" si="8"/>
        <v>159827.88</v>
      </c>
      <c r="E16" s="107">
        <f t="shared" si="8"/>
        <v>174332.38</v>
      </c>
      <c r="F16" s="107">
        <f t="shared" si="8"/>
        <v>203126.77</v>
      </c>
      <c r="G16" s="107">
        <f t="shared" si="8"/>
        <v>255018.96</v>
      </c>
      <c r="H16" s="107">
        <f t="shared" si="8"/>
        <v>194883.32</v>
      </c>
      <c r="I16" s="107">
        <f t="shared" si="8"/>
        <v>124788.53</v>
      </c>
      <c r="J16" s="107">
        <f t="shared" si="8"/>
        <v>140060.20000000001</v>
      </c>
      <c r="K16" s="107">
        <f t="shared" si="8"/>
        <v>148016.07</v>
      </c>
      <c r="L16" s="107">
        <f t="shared" si="8"/>
        <v>-862767.08</v>
      </c>
      <c r="M16" s="107"/>
      <c r="N16" s="107">
        <v>846533.43</v>
      </c>
    </row>
    <row r="17" spans="1:14">
      <c r="A17" s="64" t="s">
        <v>37</v>
      </c>
      <c r="B17" s="107">
        <f t="shared" ref="B17:L17" si="9">B84</f>
        <v>138261.97</v>
      </c>
      <c r="C17" s="107">
        <f t="shared" si="9"/>
        <v>97340.91</v>
      </c>
      <c r="D17" s="107">
        <f t="shared" si="9"/>
        <v>78197.5</v>
      </c>
      <c r="E17" s="107">
        <f t="shared" si="9"/>
        <v>140374.98000000001</v>
      </c>
      <c r="F17" s="107">
        <f t="shared" si="9"/>
        <v>173855.06</v>
      </c>
      <c r="G17" s="107">
        <f t="shared" si="9"/>
        <v>180625.08</v>
      </c>
      <c r="H17" s="107">
        <f t="shared" si="9"/>
        <v>263879.84000000003</v>
      </c>
      <c r="I17" s="107">
        <f t="shared" si="9"/>
        <v>177072.39</v>
      </c>
      <c r="J17" s="107">
        <f t="shared" si="9"/>
        <v>128599.78</v>
      </c>
      <c r="K17" s="107">
        <f t="shared" si="9"/>
        <v>173776.56</v>
      </c>
      <c r="L17" s="107">
        <f t="shared" si="9"/>
        <v>-923953.65</v>
      </c>
      <c r="M17" s="107"/>
      <c r="N17" s="107">
        <v>628030.42000000004</v>
      </c>
    </row>
    <row r="18" spans="1:14">
      <c r="A18" s="64" t="s">
        <v>38</v>
      </c>
      <c r="B18" s="111">
        <f t="shared" ref="B18:L18" si="10">B88</f>
        <v>28650</v>
      </c>
      <c r="C18" s="111">
        <f t="shared" si="10"/>
        <v>26850</v>
      </c>
      <c r="D18" s="111">
        <f t="shared" si="10"/>
        <v>28350</v>
      </c>
      <c r="E18" s="111">
        <f t="shared" si="10"/>
        <v>29550</v>
      </c>
      <c r="F18" s="111">
        <f t="shared" si="10"/>
        <v>22650</v>
      </c>
      <c r="G18" s="111">
        <f t="shared" si="10"/>
        <v>18900</v>
      </c>
      <c r="H18" s="111">
        <f t="shared" si="10"/>
        <v>21000</v>
      </c>
      <c r="I18" s="111">
        <f t="shared" si="10"/>
        <v>18300</v>
      </c>
      <c r="J18" s="111">
        <f t="shared" si="10"/>
        <v>11400</v>
      </c>
      <c r="K18" s="111">
        <f t="shared" si="10"/>
        <v>19050</v>
      </c>
      <c r="L18" s="111">
        <f t="shared" si="10"/>
        <v>-88650</v>
      </c>
      <c r="M18" s="111"/>
      <c r="N18" s="111">
        <v>136050</v>
      </c>
    </row>
    <row r="19" spans="1:14">
      <c r="A19" s="64" t="s">
        <v>42</v>
      </c>
      <c r="B19" s="107">
        <f t="shared" ref="B19:L19" si="11">B90</f>
        <v>546577.97999999986</v>
      </c>
      <c r="C19" s="107">
        <f t="shared" si="11"/>
        <v>481933.8600000001</v>
      </c>
      <c r="D19" s="107">
        <f t="shared" si="11"/>
        <v>484281.33999999997</v>
      </c>
      <c r="E19" s="107">
        <f t="shared" si="11"/>
        <v>557155</v>
      </c>
      <c r="F19" s="107">
        <f t="shared" si="11"/>
        <v>595206.94000000018</v>
      </c>
      <c r="G19" s="107">
        <f t="shared" si="11"/>
        <v>619379.00999999989</v>
      </c>
      <c r="H19" s="107">
        <f t="shared" si="11"/>
        <v>629736.97</v>
      </c>
      <c r="I19" s="107">
        <f t="shared" si="11"/>
        <v>499825.14</v>
      </c>
      <c r="J19" s="107">
        <f t="shared" si="11"/>
        <v>467993.89999999991</v>
      </c>
      <c r="K19" s="107">
        <f t="shared" si="11"/>
        <v>537422.14000000013</v>
      </c>
      <c r="L19" s="107">
        <f t="shared" si="11"/>
        <v>-2754357.1600000006</v>
      </c>
      <c r="M19" s="107"/>
      <c r="N19" s="107">
        <v>2665155.12</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I22" si="12">B96</f>
        <v>1168.98</v>
      </c>
      <c r="C22" s="107">
        <f t="shared" si="12"/>
        <v>-920.31</v>
      </c>
      <c r="D22" s="107">
        <f t="shared" si="12"/>
        <v>46819.15</v>
      </c>
      <c r="E22" s="107">
        <f t="shared" si="12"/>
        <v>-2340.87</v>
      </c>
      <c r="F22" s="107">
        <f t="shared" si="12"/>
        <v>977.45</v>
      </c>
      <c r="G22" s="107">
        <f t="shared" si="12"/>
        <v>11275.61</v>
      </c>
      <c r="H22" s="107">
        <f t="shared" si="12"/>
        <v>-30365.27</v>
      </c>
      <c r="I22" s="107">
        <f t="shared" si="12"/>
        <v>8914.35</v>
      </c>
      <c r="J22" s="107"/>
      <c r="K22" s="107">
        <f>K96</f>
        <v>25674.32</v>
      </c>
      <c r="L22" s="107">
        <f>L96</f>
        <v>-15499.01</v>
      </c>
      <c r="M22" s="107"/>
      <c r="N22" s="107">
        <v>45704.4</v>
      </c>
    </row>
    <row r="23" spans="1:14">
      <c r="A23" s="64" t="s">
        <v>35</v>
      </c>
      <c r="B23" s="107"/>
      <c r="C23" s="107">
        <f>C100</f>
        <v>5721</v>
      </c>
      <c r="D23" s="107">
        <f>D100</f>
        <v>-26958.34</v>
      </c>
      <c r="E23" s="107">
        <f>E100</f>
        <v>-5487.38</v>
      </c>
      <c r="F23" s="107"/>
      <c r="G23" s="107">
        <f>G100</f>
        <v>14938.08</v>
      </c>
      <c r="H23" s="107"/>
      <c r="I23" s="107">
        <f>I100</f>
        <v>-19377.37</v>
      </c>
      <c r="J23" s="107"/>
      <c r="K23" s="107">
        <f>K100</f>
        <v>5512.31</v>
      </c>
      <c r="L23" s="107">
        <f>L100</f>
        <v>-1073.02</v>
      </c>
      <c r="M23" s="107"/>
      <c r="N23" s="107">
        <v>-26724.720000000001</v>
      </c>
    </row>
    <row r="24" spans="1:14">
      <c r="A24" s="64" t="s">
        <v>36</v>
      </c>
      <c r="B24" s="107">
        <f t="shared" ref="B24:I24" si="13">B104</f>
        <v>-12337.14</v>
      </c>
      <c r="C24" s="107">
        <f t="shared" si="13"/>
        <v>10585.18</v>
      </c>
      <c r="D24" s="107">
        <f t="shared" si="13"/>
        <v>7006.63</v>
      </c>
      <c r="E24" s="107">
        <f t="shared" si="13"/>
        <v>-1870.16</v>
      </c>
      <c r="F24" s="107">
        <f t="shared" si="13"/>
        <v>-10514.69</v>
      </c>
      <c r="G24" s="107">
        <f t="shared" si="13"/>
        <v>3213.52</v>
      </c>
      <c r="H24" s="107">
        <f t="shared" si="13"/>
        <v>2540.09</v>
      </c>
      <c r="I24" s="107">
        <f t="shared" si="13"/>
        <v>-10591.52</v>
      </c>
      <c r="J24" s="107"/>
      <c r="K24" s="107">
        <f>K104</f>
        <v>-32349.23</v>
      </c>
      <c r="L24" s="107">
        <f>L104</f>
        <v>37187.14</v>
      </c>
      <c r="M24" s="107"/>
      <c r="N24" s="107">
        <v>-7130.18</v>
      </c>
    </row>
    <row r="25" spans="1:14">
      <c r="A25" s="64" t="s">
        <v>37</v>
      </c>
      <c r="B25" s="107">
        <f t="shared" ref="B25:I25" si="14">B111</f>
        <v>164.08</v>
      </c>
      <c r="C25" s="107">
        <f t="shared" si="14"/>
        <v>-220</v>
      </c>
      <c r="D25" s="107">
        <f t="shared" si="14"/>
        <v>-49237.54</v>
      </c>
      <c r="E25" s="107">
        <f t="shared" si="14"/>
        <v>128492.49</v>
      </c>
      <c r="F25" s="107">
        <f t="shared" si="14"/>
        <v>23888.99</v>
      </c>
      <c r="G25" s="107">
        <f t="shared" si="14"/>
        <v>7274.18</v>
      </c>
      <c r="H25" s="107">
        <f t="shared" si="14"/>
        <v>-7404.5</v>
      </c>
      <c r="I25" s="107">
        <f t="shared" si="14"/>
        <v>-3291.23</v>
      </c>
      <c r="J25" s="107"/>
      <c r="K25" s="107">
        <f>K111</f>
        <v>-20968.87</v>
      </c>
      <c r="L25" s="107">
        <f>L111</f>
        <v>24390.42</v>
      </c>
      <c r="M25" s="107"/>
      <c r="N25" s="107">
        <v>103088.02</v>
      </c>
    </row>
    <row r="26" spans="1:14">
      <c r="A26" s="64" t="s">
        <v>38</v>
      </c>
      <c r="B26" s="111"/>
      <c r="C26" s="111">
        <f>C115</f>
        <v>2550</v>
      </c>
      <c r="D26" s="111"/>
      <c r="E26" s="111">
        <f>E115</f>
        <v>-347.34</v>
      </c>
      <c r="F26" s="111">
        <f>F115</f>
        <v>497.34</v>
      </c>
      <c r="G26" s="111">
        <f>G115</f>
        <v>150</v>
      </c>
      <c r="H26" s="111">
        <f>H115</f>
        <v>17550</v>
      </c>
      <c r="I26" s="111">
        <f>I115</f>
        <v>-22278.95</v>
      </c>
      <c r="J26" s="111"/>
      <c r="K26" s="111">
        <f>K115</f>
        <v>-15308.8</v>
      </c>
      <c r="L26" s="111">
        <f>L115</f>
        <v>19887.75</v>
      </c>
      <c r="M26" s="111"/>
      <c r="N26" s="111">
        <v>2700</v>
      </c>
    </row>
    <row r="27" spans="1:14">
      <c r="A27" s="64" t="s">
        <v>44</v>
      </c>
      <c r="B27" s="107">
        <f t="shared" ref="B27:I27" si="15">B117</f>
        <v>-11004.079999999996</v>
      </c>
      <c r="C27" s="107">
        <f t="shared" si="15"/>
        <v>17715.870000000003</v>
      </c>
      <c r="D27" s="107">
        <f t="shared" si="15"/>
        <v>-22370.100000000013</v>
      </c>
      <c r="E27" s="107">
        <f t="shared" si="15"/>
        <v>118446.74000000003</v>
      </c>
      <c r="F27" s="107">
        <f t="shared" si="15"/>
        <v>14849.089999999997</v>
      </c>
      <c r="G27" s="107">
        <f t="shared" si="15"/>
        <v>36851.39</v>
      </c>
      <c r="H27" s="107">
        <f t="shared" si="15"/>
        <v>-17679.68</v>
      </c>
      <c r="I27" s="107">
        <f t="shared" si="15"/>
        <v>-46624.720000000016</v>
      </c>
      <c r="J27" s="107"/>
      <c r="K27" s="107">
        <f>K117</f>
        <v>-37440.270000000019</v>
      </c>
      <c r="L27" s="107">
        <f>L117</f>
        <v>64893.279999999999</v>
      </c>
      <c r="M27" s="107"/>
      <c r="N27" s="107">
        <v>117637.52</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c r="C30" s="107"/>
      <c r="D30" s="107"/>
      <c r="E30" s="107"/>
      <c r="F30" s="107"/>
      <c r="G30" s="107"/>
      <c r="H30" s="107">
        <f>H128</f>
        <v>-102.84999999999991</v>
      </c>
      <c r="I30" s="107"/>
      <c r="J30" s="107"/>
      <c r="K30" s="107"/>
      <c r="L30" s="107">
        <f>L128</f>
        <v>102.84999999999854</v>
      </c>
      <c r="M30" s="107"/>
      <c r="N30" s="107"/>
    </row>
    <row r="31" spans="1:14">
      <c r="A31" s="64" t="s">
        <v>46</v>
      </c>
      <c r="B31" s="107">
        <f t="shared" ref="B31:L31" si="16">B146</f>
        <v>3736.6400000000003</v>
      </c>
      <c r="C31" s="107">
        <f t="shared" si="16"/>
        <v>3159.84</v>
      </c>
      <c r="D31" s="107">
        <f t="shared" si="16"/>
        <v>3683.3100000000004</v>
      </c>
      <c r="E31" s="107">
        <f t="shared" si="16"/>
        <v>3268.25</v>
      </c>
      <c r="F31" s="107">
        <f t="shared" si="16"/>
        <v>623.58999999999992</v>
      </c>
      <c r="G31" s="107">
        <f t="shared" si="16"/>
        <v>237.67000000000007</v>
      </c>
      <c r="H31" s="107">
        <f t="shared" si="16"/>
        <v>-1984.33</v>
      </c>
      <c r="I31" s="107">
        <f t="shared" si="16"/>
        <v>1843.97</v>
      </c>
      <c r="J31" s="107">
        <f t="shared" si="16"/>
        <v>1117.42</v>
      </c>
      <c r="K31" s="107">
        <f t="shared" si="16"/>
        <v>1730.71</v>
      </c>
      <c r="L31" s="107">
        <f t="shared" si="16"/>
        <v>-2945.4399999999996</v>
      </c>
      <c r="M31" s="107"/>
      <c r="N31" s="107">
        <v>14471.63</v>
      </c>
    </row>
    <row r="32" spans="1:14">
      <c r="A32" s="64" t="s">
        <v>37</v>
      </c>
      <c r="B32" s="107">
        <f t="shared" ref="B32:L32" si="17">B158</f>
        <v>4384.039999999979</v>
      </c>
      <c r="C32" s="107">
        <f t="shared" si="17"/>
        <v>146.04000000000815</v>
      </c>
      <c r="D32" s="107">
        <f t="shared" si="17"/>
        <v>-1667.6599999999999</v>
      </c>
      <c r="E32" s="107">
        <f t="shared" si="17"/>
        <v>-8299.429999999993</v>
      </c>
      <c r="F32" s="107">
        <f t="shared" si="17"/>
        <v>4521.9599999999919</v>
      </c>
      <c r="G32" s="107">
        <f t="shared" si="17"/>
        <v>-20.539999999993597</v>
      </c>
      <c r="H32" s="107">
        <f t="shared" si="17"/>
        <v>-2895.1900000000023</v>
      </c>
      <c r="I32" s="107">
        <f t="shared" si="17"/>
        <v>4759.5099999999948</v>
      </c>
      <c r="J32" s="107">
        <f t="shared" si="17"/>
        <v>4120.7899999999936</v>
      </c>
      <c r="K32" s="107">
        <f t="shared" si="17"/>
        <v>10503.080000000002</v>
      </c>
      <c r="L32" s="107">
        <f t="shared" si="17"/>
        <v>-16467.650000000023</v>
      </c>
      <c r="M32" s="107"/>
      <c r="N32" s="107">
        <v>-915.05</v>
      </c>
    </row>
    <row r="33" spans="1:14">
      <c r="A33" s="64" t="s">
        <v>38</v>
      </c>
      <c r="B33" s="111">
        <f>B168</f>
        <v>-165</v>
      </c>
      <c r="C33" s="111">
        <f>C168</f>
        <v>-170</v>
      </c>
      <c r="D33" s="111"/>
      <c r="E33" s="111">
        <f>E168</f>
        <v>530</v>
      </c>
      <c r="F33" s="111"/>
      <c r="G33" s="111">
        <f t="shared" ref="G33:L33" si="18">G168</f>
        <v>991.32999999999993</v>
      </c>
      <c r="H33" s="111">
        <f t="shared" si="18"/>
        <v>175</v>
      </c>
      <c r="I33" s="111">
        <f t="shared" si="18"/>
        <v>-75</v>
      </c>
      <c r="J33" s="111">
        <f t="shared" si="18"/>
        <v>-470</v>
      </c>
      <c r="K33" s="111">
        <f t="shared" si="18"/>
        <v>1018.33</v>
      </c>
      <c r="L33" s="111">
        <f t="shared" si="18"/>
        <v>-1639.66</v>
      </c>
      <c r="M33" s="111"/>
      <c r="N33" s="111">
        <v>195</v>
      </c>
    </row>
    <row r="34" spans="1:14">
      <c r="A34" s="64" t="s">
        <v>47</v>
      </c>
      <c r="B34" s="107">
        <f t="shared" ref="B34:L34" si="19">B170</f>
        <v>7955.6800000000076</v>
      </c>
      <c r="C34" s="107">
        <f t="shared" si="19"/>
        <v>3135.880000000001</v>
      </c>
      <c r="D34" s="107">
        <f t="shared" si="19"/>
        <v>2015.6499999999951</v>
      </c>
      <c r="E34" s="107">
        <f t="shared" si="19"/>
        <v>-4501.179999999993</v>
      </c>
      <c r="F34" s="107">
        <f t="shared" si="19"/>
        <v>5145.5499999999847</v>
      </c>
      <c r="G34" s="107">
        <f t="shared" si="19"/>
        <v>1208.4600000000028</v>
      </c>
      <c r="H34" s="107">
        <f t="shared" si="19"/>
        <v>-4807.3700000000172</v>
      </c>
      <c r="I34" s="107">
        <f t="shared" si="19"/>
        <v>6528.4799999999977</v>
      </c>
      <c r="J34" s="107">
        <f t="shared" si="19"/>
        <v>4768.20999999999</v>
      </c>
      <c r="K34" s="107">
        <f t="shared" si="19"/>
        <v>13252.12</v>
      </c>
      <c r="L34" s="107">
        <f t="shared" si="19"/>
        <v>-20949.90000000002</v>
      </c>
      <c r="M34" s="107"/>
      <c r="N34" s="107">
        <v>13751.58</v>
      </c>
    </row>
    <row r="35" spans="1:14">
      <c r="A35" s="64"/>
      <c r="B35" s="22"/>
      <c r="C35" s="22"/>
      <c r="D35" s="22"/>
      <c r="E35" s="22"/>
      <c r="F35" s="22"/>
      <c r="G35" s="22"/>
      <c r="H35" s="22"/>
      <c r="I35" s="22"/>
      <c r="J35" s="22"/>
      <c r="K35" s="22"/>
      <c r="L35" s="22"/>
      <c r="M35" s="22"/>
      <c r="N35" s="22"/>
    </row>
    <row r="36" spans="1:14">
      <c r="A36" s="64" t="s">
        <v>48</v>
      </c>
      <c r="B36" s="107">
        <f t="shared" ref="B36:L36" si="20">B180</f>
        <v>29881.15</v>
      </c>
      <c r="C36" s="107">
        <f t="shared" si="20"/>
        <v>90162.15</v>
      </c>
      <c r="D36" s="107">
        <f t="shared" si="20"/>
        <v>58201.15</v>
      </c>
      <c r="E36" s="107">
        <f t="shared" si="20"/>
        <v>67797.59</v>
      </c>
      <c r="F36" s="107">
        <f t="shared" si="20"/>
        <v>-1119739.42</v>
      </c>
      <c r="G36" s="107">
        <f t="shared" si="20"/>
        <v>63838.07</v>
      </c>
      <c r="H36" s="107">
        <f t="shared" si="20"/>
        <v>79928.03</v>
      </c>
      <c r="I36" s="107">
        <f t="shared" si="20"/>
        <v>102901.29</v>
      </c>
      <c r="J36" s="107">
        <f t="shared" si="20"/>
        <v>22343.97</v>
      </c>
      <c r="K36" s="107">
        <f t="shared" si="20"/>
        <v>22401</v>
      </c>
      <c r="L36" s="107">
        <f t="shared" si="20"/>
        <v>-291412.36</v>
      </c>
      <c r="M36" s="107"/>
      <c r="N36" s="107">
        <v>-873697.38</v>
      </c>
    </row>
    <row r="37" spans="1:14">
      <c r="A37" s="64"/>
      <c r="B37" s="22"/>
      <c r="C37" s="22"/>
      <c r="D37" s="22"/>
      <c r="E37" s="22"/>
      <c r="F37" s="22"/>
      <c r="G37" s="22"/>
      <c r="H37" s="22"/>
      <c r="I37" s="22"/>
      <c r="J37" s="22"/>
      <c r="K37" s="22"/>
      <c r="L37" s="22"/>
      <c r="M37" s="22"/>
      <c r="N37" s="22"/>
    </row>
    <row r="38" spans="1:14" ht="15.75" thickBot="1">
      <c r="A38" s="64" t="s">
        <v>13</v>
      </c>
      <c r="B38" s="112">
        <f t="shared" ref="B38:L38" si="21">B182</f>
        <v>573410.73</v>
      </c>
      <c r="C38" s="112">
        <f t="shared" si="21"/>
        <v>592947.75999999966</v>
      </c>
      <c r="D38" s="112">
        <f t="shared" si="21"/>
        <v>522128.03999999934</v>
      </c>
      <c r="E38" s="112">
        <f t="shared" si="21"/>
        <v>738898.14999999979</v>
      </c>
      <c r="F38" s="112">
        <f t="shared" si="21"/>
        <v>-504537.83999999962</v>
      </c>
      <c r="G38" s="112">
        <f t="shared" si="21"/>
        <v>721276.9299999997</v>
      </c>
      <c r="H38" s="112">
        <f t="shared" si="21"/>
        <v>687177.9499999996</v>
      </c>
      <c r="I38" s="112">
        <f t="shared" si="21"/>
        <v>562630.18999999959</v>
      </c>
      <c r="J38" s="112">
        <f t="shared" si="21"/>
        <v>495106.08000000019</v>
      </c>
      <c r="K38" s="112">
        <f t="shared" si="21"/>
        <v>535634.99000000011</v>
      </c>
      <c r="L38" s="112">
        <f t="shared" si="21"/>
        <v>-3001826.140000002</v>
      </c>
      <c r="M38" s="112"/>
      <c r="N38" s="112">
        <v>1922846.84</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L41" si="22">B203</f>
        <v>253422.73999999996</v>
      </c>
      <c r="C41" s="107">
        <f t="shared" si="22"/>
        <v>234974.6</v>
      </c>
      <c r="D41" s="107">
        <f t="shared" si="22"/>
        <v>245943.32</v>
      </c>
      <c r="E41" s="107">
        <f t="shared" si="22"/>
        <v>236095.16999999993</v>
      </c>
      <c r="F41" s="107">
        <f t="shared" si="22"/>
        <v>248955.93999999997</v>
      </c>
      <c r="G41" s="107">
        <f t="shared" si="22"/>
        <v>205713.45</v>
      </c>
      <c r="H41" s="107">
        <f t="shared" si="22"/>
        <v>212570.5</v>
      </c>
      <c r="I41" s="107">
        <f t="shared" si="22"/>
        <v>228608.42000000004</v>
      </c>
      <c r="J41" s="107">
        <f t="shared" si="22"/>
        <v>215928.76000000004</v>
      </c>
      <c r="K41" s="107">
        <f t="shared" si="22"/>
        <v>207259.97000000003</v>
      </c>
      <c r="L41" s="107">
        <f t="shared" si="22"/>
        <v>-1070081.0999999999</v>
      </c>
      <c r="M41" s="107"/>
      <c r="N41" s="107">
        <v>1219391.77</v>
      </c>
    </row>
    <row r="42" spans="1:14">
      <c r="A42" s="64" t="s">
        <v>50</v>
      </c>
      <c r="B42" s="107">
        <f>B210</f>
        <v>21135.43</v>
      </c>
      <c r="C42" s="107">
        <f>C210</f>
        <v>13074.03</v>
      </c>
      <c r="D42" s="107">
        <f>D210</f>
        <v>5052.0499999999993</v>
      </c>
      <c r="E42" s="107">
        <f>E210</f>
        <v>10528.68</v>
      </c>
      <c r="F42" s="107">
        <f>F210</f>
        <v>-136522.77000000002</v>
      </c>
      <c r="G42" s="107"/>
      <c r="H42" s="107"/>
      <c r="I42" s="107"/>
      <c r="J42" s="107"/>
      <c r="K42" s="107"/>
      <c r="L42" s="107"/>
      <c r="M42" s="107"/>
      <c r="N42" s="107">
        <v>-86732.58</v>
      </c>
    </row>
    <row r="43" spans="1:14">
      <c r="A43" s="64" t="s">
        <v>51</v>
      </c>
      <c r="B43" s="107">
        <f t="shared" ref="B43:L43" si="23">B221</f>
        <v>34337.9</v>
      </c>
      <c r="C43" s="107">
        <f t="shared" si="23"/>
        <v>31222.750000000004</v>
      </c>
      <c r="D43" s="107">
        <f t="shared" si="23"/>
        <v>26423.210000000003</v>
      </c>
      <c r="E43" s="107">
        <f t="shared" si="23"/>
        <v>28924.89</v>
      </c>
      <c r="F43" s="107">
        <f t="shared" si="23"/>
        <v>46303.509999999995</v>
      </c>
      <c r="G43" s="107">
        <f t="shared" si="23"/>
        <v>40371.339999999997</v>
      </c>
      <c r="H43" s="107">
        <f t="shared" si="23"/>
        <v>32837.86</v>
      </c>
      <c r="I43" s="107">
        <f t="shared" si="23"/>
        <v>30188.85</v>
      </c>
      <c r="J43" s="107">
        <f t="shared" si="23"/>
        <v>24608.77</v>
      </c>
      <c r="K43" s="107">
        <f t="shared" si="23"/>
        <v>40462.350000000006</v>
      </c>
      <c r="L43" s="107">
        <f t="shared" si="23"/>
        <v>-168469.16999999995</v>
      </c>
      <c r="M43" s="107"/>
      <c r="N43" s="107">
        <v>167212.26</v>
      </c>
    </row>
    <row r="44" spans="1:14">
      <c r="A44" s="64" t="s">
        <v>52</v>
      </c>
      <c r="B44" s="107">
        <f t="shared" ref="B44:L44" si="24">B237</f>
        <v>76292.47</v>
      </c>
      <c r="C44" s="107">
        <f t="shared" si="24"/>
        <v>68963.370000000024</v>
      </c>
      <c r="D44" s="107">
        <f t="shared" si="24"/>
        <v>65443.470000000008</v>
      </c>
      <c r="E44" s="107">
        <f t="shared" si="24"/>
        <v>71213.790000000008</v>
      </c>
      <c r="F44" s="107">
        <f t="shared" si="24"/>
        <v>78837.209999999992</v>
      </c>
      <c r="G44" s="107">
        <f t="shared" si="24"/>
        <v>66023.460000000006</v>
      </c>
      <c r="H44" s="107">
        <f t="shared" si="24"/>
        <v>79181.029999999984</v>
      </c>
      <c r="I44" s="107">
        <f t="shared" si="24"/>
        <v>178304.49</v>
      </c>
      <c r="J44" s="107">
        <f t="shared" si="24"/>
        <v>56834.990000000005</v>
      </c>
      <c r="K44" s="107">
        <f t="shared" si="24"/>
        <v>69129.61</v>
      </c>
      <c r="L44" s="107">
        <f t="shared" si="24"/>
        <v>-449473.57999999996</v>
      </c>
      <c r="M44" s="107"/>
      <c r="N44" s="107">
        <v>360750.31</v>
      </c>
    </row>
    <row r="45" spans="1:14">
      <c r="A45" s="64" t="s">
        <v>53</v>
      </c>
      <c r="B45" s="107">
        <f t="shared" ref="B45:L45" si="25">B259</f>
        <v>134784.86000000002</v>
      </c>
      <c r="C45" s="107">
        <f t="shared" si="25"/>
        <v>143893.4</v>
      </c>
      <c r="D45" s="107">
        <f t="shared" si="25"/>
        <v>148785.82</v>
      </c>
      <c r="E45" s="107">
        <f t="shared" si="25"/>
        <v>169407.72</v>
      </c>
      <c r="F45" s="107">
        <f t="shared" si="25"/>
        <v>-1215796.24</v>
      </c>
      <c r="G45" s="107">
        <f t="shared" si="25"/>
        <v>152313.04999999999</v>
      </c>
      <c r="H45" s="107">
        <f t="shared" si="25"/>
        <v>145270.71000000002</v>
      </c>
      <c r="I45" s="107">
        <f t="shared" si="25"/>
        <v>141047.07999999999</v>
      </c>
      <c r="J45" s="107">
        <f t="shared" si="25"/>
        <v>142378.05000000002</v>
      </c>
      <c r="K45" s="107">
        <f t="shared" si="25"/>
        <v>153560.95999999999</v>
      </c>
      <c r="L45" s="107">
        <f t="shared" si="25"/>
        <v>-734569.85</v>
      </c>
      <c r="M45" s="107"/>
      <c r="N45" s="107">
        <v>-618924.43999999994</v>
      </c>
    </row>
    <row r="46" spans="1:14">
      <c r="A46" s="64" t="s">
        <v>54</v>
      </c>
      <c r="B46" s="107">
        <f t="shared" ref="B46:L46" si="26">B274</f>
        <v>5238.92</v>
      </c>
      <c r="C46" s="107">
        <f t="shared" si="26"/>
        <v>10367.89</v>
      </c>
      <c r="D46" s="107">
        <f t="shared" si="26"/>
        <v>9753.27</v>
      </c>
      <c r="E46" s="107">
        <f t="shared" si="26"/>
        <v>8609.4600000000009</v>
      </c>
      <c r="F46" s="107">
        <f t="shared" si="26"/>
        <v>8641.16</v>
      </c>
      <c r="G46" s="107">
        <f t="shared" si="26"/>
        <v>5743.1</v>
      </c>
      <c r="H46" s="107">
        <f t="shared" si="26"/>
        <v>10821.18</v>
      </c>
      <c r="I46" s="107">
        <f t="shared" si="26"/>
        <v>7237.25</v>
      </c>
      <c r="J46" s="107">
        <f t="shared" si="26"/>
        <v>9652.4699999999993</v>
      </c>
      <c r="K46" s="107">
        <f t="shared" si="26"/>
        <v>10760.11</v>
      </c>
      <c r="L46" s="107">
        <f t="shared" si="26"/>
        <v>-44214.11</v>
      </c>
      <c r="M46" s="107"/>
      <c r="N46" s="107">
        <v>42610.7</v>
      </c>
    </row>
    <row r="47" spans="1:14">
      <c r="A47" s="64" t="s">
        <v>55</v>
      </c>
      <c r="B47" s="107">
        <f t="shared" ref="B47:L47" si="27">B281</f>
        <v>12313.4</v>
      </c>
      <c r="C47" s="107">
        <f t="shared" si="27"/>
        <v>8389.51</v>
      </c>
      <c r="D47" s="107">
        <f t="shared" si="27"/>
        <v>5971.88</v>
      </c>
      <c r="E47" s="107">
        <f t="shared" si="27"/>
        <v>8876.7899999999991</v>
      </c>
      <c r="F47" s="107">
        <f t="shared" si="27"/>
        <v>12509.390000000001</v>
      </c>
      <c r="G47" s="107">
        <f t="shared" si="27"/>
        <v>-1004.42</v>
      </c>
      <c r="H47" s="107">
        <f t="shared" si="27"/>
        <v>13549.710000000001</v>
      </c>
      <c r="I47" s="107">
        <f t="shared" si="27"/>
        <v>12806.47</v>
      </c>
      <c r="J47" s="107">
        <f t="shared" si="27"/>
        <v>5717.29</v>
      </c>
      <c r="K47" s="107">
        <f t="shared" si="27"/>
        <v>9167.1999999999989</v>
      </c>
      <c r="L47" s="107">
        <f t="shared" si="27"/>
        <v>-40236.250000000007</v>
      </c>
      <c r="M47" s="107"/>
      <c r="N47" s="107">
        <v>48060.97</v>
      </c>
    </row>
    <row r="48" spans="1:14">
      <c r="A48" s="64" t="s">
        <v>56</v>
      </c>
      <c r="B48" s="107">
        <f t="shared" ref="B48:L48" si="28">B290</f>
        <v>12874.53</v>
      </c>
      <c r="C48" s="107">
        <f t="shared" si="28"/>
        <v>12039.69</v>
      </c>
      <c r="D48" s="107">
        <f t="shared" si="28"/>
        <v>12039.69</v>
      </c>
      <c r="E48" s="107">
        <f t="shared" si="28"/>
        <v>12039.69</v>
      </c>
      <c r="F48" s="107">
        <f t="shared" si="28"/>
        <v>-3038.1499999999996</v>
      </c>
      <c r="G48" s="107">
        <f t="shared" si="28"/>
        <v>13124.95</v>
      </c>
      <c r="H48" s="107">
        <f t="shared" si="28"/>
        <v>13086.130000000001</v>
      </c>
      <c r="I48" s="107">
        <f t="shared" si="28"/>
        <v>12958.28</v>
      </c>
      <c r="J48" s="107">
        <f t="shared" si="28"/>
        <v>14758.28</v>
      </c>
      <c r="K48" s="107">
        <f t="shared" si="28"/>
        <v>13713.28</v>
      </c>
      <c r="L48" s="107">
        <f t="shared" si="28"/>
        <v>-67640.92</v>
      </c>
      <c r="M48" s="107"/>
      <c r="N48" s="107">
        <v>45955.45</v>
      </c>
    </row>
    <row r="49" spans="1:14">
      <c r="A49" s="64" t="s">
        <v>57</v>
      </c>
      <c r="B49" s="107">
        <f t="shared" ref="B49:L49" si="29">B295</f>
        <v>17029</v>
      </c>
      <c r="C49" s="107">
        <f t="shared" si="29"/>
        <v>16422</v>
      </c>
      <c r="D49" s="107">
        <f t="shared" si="29"/>
        <v>15561</v>
      </c>
      <c r="E49" s="107">
        <f t="shared" si="29"/>
        <v>23578</v>
      </c>
      <c r="F49" s="107">
        <f t="shared" si="29"/>
        <v>6478</v>
      </c>
      <c r="G49" s="107">
        <f t="shared" si="29"/>
        <v>20495</v>
      </c>
      <c r="H49" s="107">
        <f t="shared" si="29"/>
        <v>148454.75</v>
      </c>
      <c r="I49" s="107">
        <f t="shared" si="29"/>
        <v>13601</v>
      </c>
      <c r="J49" s="107">
        <f t="shared" si="29"/>
        <v>14665</v>
      </c>
      <c r="K49" s="107">
        <f t="shared" si="29"/>
        <v>15399</v>
      </c>
      <c r="L49" s="107">
        <f t="shared" si="29"/>
        <v>-212614.75</v>
      </c>
      <c r="M49" s="107"/>
      <c r="N49" s="107">
        <v>79068</v>
      </c>
    </row>
    <row r="50" spans="1:14">
      <c r="A50" s="64" t="s">
        <v>58</v>
      </c>
      <c r="B50" s="107">
        <f t="shared" ref="B50:L50" si="30">B302</f>
        <v>8790.02</v>
      </c>
      <c r="C50" s="107">
        <f t="shared" si="30"/>
        <v>9272.33</v>
      </c>
      <c r="D50" s="107">
        <f t="shared" si="30"/>
        <v>9272.33</v>
      </c>
      <c r="E50" s="107">
        <f t="shared" si="30"/>
        <v>9272.33</v>
      </c>
      <c r="F50" s="107">
        <f t="shared" si="30"/>
        <v>-9188.6</v>
      </c>
      <c r="G50" s="107">
        <f t="shared" si="30"/>
        <v>9851.9500000000007</v>
      </c>
      <c r="H50" s="107">
        <f t="shared" si="30"/>
        <v>9272.33</v>
      </c>
      <c r="I50" s="107">
        <f t="shared" si="30"/>
        <v>79842.31</v>
      </c>
      <c r="J50" s="107">
        <f t="shared" si="30"/>
        <v>9903.9700000000012</v>
      </c>
      <c r="K50" s="107">
        <f t="shared" si="30"/>
        <v>9903.9700000000012</v>
      </c>
      <c r="L50" s="107">
        <f t="shared" si="30"/>
        <v>-118774.53</v>
      </c>
      <c r="M50" s="107"/>
      <c r="N50" s="107">
        <v>27418.41</v>
      </c>
    </row>
    <row r="51" spans="1:14">
      <c r="A51" s="64" t="s">
        <v>59</v>
      </c>
      <c r="B51" s="107">
        <f t="shared" ref="B51:L51" si="31">B310</f>
        <v>7473.11</v>
      </c>
      <c r="C51" s="107">
        <f t="shared" si="31"/>
        <v>7291.1399999999985</v>
      </c>
      <c r="D51" s="107">
        <f t="shared" si="31"/>
        <v>7639.66</v>
      </c>
      <c r="E51" s="107">
        <f t="shared" si="31"/>
        <v>8128.8799999999983</v>
      </c>
      <c r="F51" s="107">
        <f t="shared" si="31"/>
        <v>7844.83</v>
      </c>
      <c r="G51" s="107">
        <f t="shared" si="31"/>
        <v>7844.83</v>
      </c>
      <c r="H51" s="107">
        <f t="shared" si="31"/>
        <v>7614.3200000000015</v>
      </c>
      <c r="I51" s="107">
        <f t="shared" si="31"/>
        <v>7388.88</v>
      </c>
      <c r="J51" s="107">
        <f t="shared" si="31"/>
        <v>7381.2000000000016</v>
      </c>
      <c r="K51" s="107">
        <f t="shared" si="31"/>
        <v>7516.9300000000012</v>
      </c>
      <c r="L51" s="107">
        <f t="shared" si="31"/>
        <v>-37746.160000000003</v>
      </c>
      <c r="M51" s="107"/>
      <c r="N51" s="107">
        <v>38377.620000000003</v>
      </c>
    </row>
    <row r="52" spans="1:14">
      <c r="A52" s="64" t="s">
        <v>60</v>
      </c>
      <c r="B52" s="107">
        <f t="shared" ref="B52:L52" si="32">B317</f>
        <v>99617.030000000013</v>
      </c>
      <c r="C52" s="107">
        <f t="shared" si="32"/>
        <v>107681.71</v>
      </c>
      <c r="D52" s="107">
        <f t="shared" si="32"/>
        <v>101537.94</v>
      </c>
      <c r="E52" s="107">
        <f t="shared" si="32"/>
        <v>101466.71</v>
      </c>
      <c r="F52" s="107">
        <f t="shared" si="32"/>
        <v>113217.3</v>
      </c>
      <c r="G52" s="107">
        <f t="shared" si="32"/>
        <v>101354.58</v>
      </c>
      <c r="H52" s="107">
        <f t="shared" si="32"/>
        <v>102355.68000000001</v>
      </c>
      <c r="I52" s="107">
        <f t="shared" si="32"/>
        <v>116081.4</v>
      </c>
      <c r="J52" s="107">
        <f t="shared" si="32"/>
        <v>102050.82</v>
      </c>
      <c r="K52" s="107">
        <f t="shared" si="32"/>
        <v>101742.23000000001</v>
      </c>
      <c r="L52" s="107">
        <f t="shared" si="32"/>
        <v>-523584.71</v>
      </c>
      <c r="M52" s="107"/>
      <c r="N52" s="107">
        <v>523520.69</v>
      </c>
    </row>
    <row r="53" spans="1:14">
      <c r="A53" s="64" t="s">
        <v>61</v>
      </c>
      <c r="B53" s="107"/>
      <c r="C53" s="107"/>
      <c r="D53" s="107"/>
      <c r="E53" s="107"/>
      <c r="F53" s="107">
        <f>F321</f>
        <v>-54701.94</v>
      </c>
      <c r="G53" s="107"/>
      <c r="H53" s="107"/>
      <c r="I53" s="107"/>
      <c r="J53" s="107"/>
      <c r="K53" s="107"/>
      <c r="L53" s="107"/>
      <c r="M53" s="107"/>
      <c r="N53" s="107">
        <v>-54701.94</v>
      </c>
    </row>
    <row r="54" spans="1:14">
      <c r="A54" s="64"/>
      <c r="B54" s="22"/>
      <c r="C54" s="22"/>
      <c r="D54" s="22"/>
      <c r="E54" s="22"/>
      <c r="F54" s="22"/>
      <c r="G54" s="22"/>
      <c r="H54" s="22"/>
      <c r="I54" s="22"/>
      <c r="J54" s="22"/>
      <c r="K54" s="22"/>
      <c r="L54" s="22"/>
      <c r="M54" s="22"/>
      <c r="N54" s="22"/>
    </row>
    <row r="55" spans="1:14" ht="15.75" thickBot="1">
      <c r="A55" s="64" t="s">
        <v>62</v>
      </c>
      <c r="B55" s="112">
        <f t="shared" ref="B55:L55" si="33">B323</f>
        <v>683309.40999999968</v>
      </c>
      <c r="C55" s="112">
        <f t="shared" si="33"/>
        <v>663592.41999999981</v>
      </c>
      <c r="D55" s="112">
        <f t="shared" si="33"/>
        <v>653423.63999999943</v>
      </c>
      <c r="E55" s="112">
        <f t="shared" si="33"/>
        <v>688142.1100000001</v>
      </c>
      <c r="F55" s="112">
        <f t="shared" si="33"/>
        <v>-896460.3600000001</v>
      </c>
      <c r="G55" s="112">
        <f t="shared" si="33"/>
        <v>621831.2900000005</v>
      </c>
      <c r="H55" s="112">
        <f t="shared" si="33"/>
        <v>775014.2</v>
      </c>
      <c r="I55" s="112">
        <f t="shared" si="33"/>
        <v>828064.4299999997</v>
      </c>
      <c r="J55" s="112">
        <f t="shared" si="33"/>
        <v>603879.60000000009</v>
      </c>
      <c r="K55" s="112">
        <f t="shared" si="33"/>
        <v>638615.60999999964</v>
      </c>
      <c r="L55" s="112">
        <f t="shared" si="33"/>
        <v>-3467405.1300000004</v>
      </c>
      <c r="M55" s="112"/>
      <c r="N55" s="112">
        <v>1792007.22</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L57" si="34">B325</f>
        <v>-109898.6799999997</v>
      </c>
      <c r="C57" s="112">
        <f t="shared" si="34"/>
        <v>-70644.660000000149</v>
      </c>
      <c r="D57" s="112">
        <f t="shared" si="34"/>
        <v>-131295.60000000009</v>
      </c>
      <c r="E57" s="112">
        <f t="shared" si="34"/>
        <v>50756.039999999688</v>
      </c>
      <c r="F57" s="112">
        <f t="shared" si="34"/>
        <v>391922.52000000048</v>
      </c>
      <c r="G57" s="112">
        <f t="shared" si="34"/>
        <v>99445.639999999199</v>
      </c>
      <c r="H57" s="112">
        <f t="shared" si="34"/>
        <v>-87836.250000000349</v>
      </c>
      <c r="I57" s="112">
        <f t="shared" si="34"/>
        <v>-265434.24000000011</v>
      </c>
      <c r="J57" s="112">
        <f t="shared" si="34"/>
        <v>-108773.5199999999</v>
      </c>
      <c r="K57" s="112">
        <f t="shared" si="34"/>
        <v>-102980.61999999953</v>
      </c>
      <c r="L57" s="112">
        <f t="shared" si="34"/>
        <v>465578.98999999836</v>
      </c>
      <c r="M57" s="112"/>
      <c r="N57" s="112">
        <v>130839.62</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5">B330</f>
        <v>6021.73</v>
      </c>
      <c r="C59" s="112">
        <f t="shared" si="35"/>
        <v>46803.76</v>
      </c>
      <c r="D59" s="112">
        <f t="shared" si="35"/>
        <v>6656.57</v>
      </c>
      <c r="E59" s="112">
        <f t="shared" si="35"/>
        <v>23178.97</v>
      </c>
      <c r="F59" s="112">
        <f t="shared" si="35"/>
        <v>-7725.0100000000093</v>
      </c>
      <c r="G59" s="112">
        <f t="shared" si="35"/>
        <v>41599.49</v>
      </c>
      <c r="H59" s="112">
        <f t="shared" si="35"/>
        <v>60251.25</v>
      </c>
      <c r="I59" s="112">
        <f t="shared" si="35"/>
        <v>80481.899999999994</v>
      </c>
      <c r="J59" s="112">
        <f t="shared" si="35"/>
        <v>98973.33</v>
      </c>
      <c r="K59" s="112">
        <f t="shared" si="35"/>
        <v>30852.93</v>
      </c>
      <c r="L59" s="112">
        <f t="shared" si="35"/>
        <v>806782.84</v>
      </c>
      <c r="M59" s="112">
        <f t="shared" si="35"/>
        <v>116720.73</v>
      </c>
      <c r="N59" s="112">
        <v>1310598.49</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6">B332</f>
        <v>-115920.4099999997</v>
      </c>
      <c r="C61" s="112">
        <f t="shared" si="36"/>
        <v>-117448.42000000016</v>
      </c>
      <c r="D61" s="112">
        <f t="shared" si="36"/>
        <v>-137952.1700000001</v>
      </c>
      <c r="E61" s="112">
        <f t="shared" si="36"/>
        <v>27577.069999999687</v>
      </c>
      <c r="F61" s="112">
        <f t="shared" si="36"/>
        <v>399647.53000000049</v>
      </c>
      <c r="G61" s="112">
        <f t="shared" si="36"/>
        <v>57846.149999999201</v>
      </c>
      <c r="H61" s="112">
        <f t="shared" si="36"/>
        <v>-148087.50000000035</v>
      </c>
      <c r="I61" s="112">
        <f t="shared" si="36"/>
        <v>-345916.14000000013</v>
      </c>
      <c r="J61" s="112">
        <f t="shared" si="36"/>
        <v>-207746.84999999992</v>
      </c>
      <c r="K61" s="112">
        <f t="shared" si="36"/>
        <v>-133833.54999999952</v>
      </c>
      <c r="L61" s="112">
        <f t="shared" si="36"/>
        <v>-341203.85000000161</v>
      </c>
      <c r="M61" s="112">
        <f t="shared" si="36"/>
        <v>-116720.73</v>
      </c>
      <c r="N61" s="112">
        <v>-1179758.8700000001</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189240.07</v>
      </c>
      <c r="C68" s="111">
        <v>178710.77</v>
      </c>
      <c r="D68" s="111">
        <v>195328.7</v>
      </c>
      <c r="E68" s="111">
        <v>190166.34</v>
      </c>
      <c r="F68" s="111">
        <v>176276.28</v>
      </c>
      <c r="G68" s="111">
        <v>152548.35</v>
      </c>
      <c r="H68" s="111">
        <v>133527.25</v>
      </c>
      <c r="I68" s="111">
        <v>152604.26999999999</v>
      </c>
      <c r="J68" s="111">
        <v>159541.25</v>
      </c>
      <c r="K68" s="111">
        <v>169239.31</v>
      </c>
      <c r="L68" s="111">
        <v>-767460.43</v>
      </c>
      <c r="M68" s="113"/>
      <c r="N68" s="111">
        <v>929722.16</v>
      </c>
    </row>
    <row r="69" spans="1:14">
      <c r="A69" s="64" t="s">
        <v>67</v>
      </c>
      <c r="B69" s="107">
        <f t="shared" ref="B69:L69" si="37">SUM(B65:B68)</f>
        <v>189240.07</v>
      </c>
      <c r="C69" s="107">
        <f t="shared" si="37"/>
        <v>178710.77</v>
      </c>
      <c r="D69" s="107">
        <f t="shared" si="37"/>
        <v>195328.7</v>
      </c>
      <c r="E69" s="107">
        <f t="shared" si="37"/>
        <v>190166.34</v>
      </c>
      <c r="F69" s="107">
        <f t="shared" si="37"/>
        <v>176276.28</v>
      </c>
      <c r="G69" s="107">
        <f t="shared" si="37"/>
        <v>152548.35</v>
      </c>
      <c r="H69" s="107">
        <f t="shared" si="37"/>
        <v>133527.25</v>
      </c>
      <c r="I69" s="107">
        <f t="shared" si="37"/>
        <v>152604.26999999999</v>
      </c>
      <c r="J69" s="107">
        <f t="shared" si="37"/>
        <v>159541.25</v>
      </c>
      <c r="K69" s="107">
        <f t="shared" si="37"/>
        <v>169239.31</v>
      </c>
      <c r="L69" s="107">
        <f t="shared" si="37"/>
        <v>-767460.43</v>
      </c>
      <c r="M69" s="107"/>
      <c r="N69" s="107">
        <v>929722.16</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26580.400000000001</v>
      </c>
      <c r="C72" s="111">
        <v>33631.32</v>
      </c>
      <c r="D72" s="111">
        <v>22577.26</v>
      </c>
      <c r="E72" s="111">
        <v>22731.3</v>
      </c>
      <c r="F72" s="111">
        <v>19298.830000000002</v>
      </c>
      <c r="G72" s="111">
        <v>12286.62</v>
      </c>
      <c r="H72" s="111">
        <v>16446.560000000001</v>
      </c>
      <c r="I72" s="111">
        <v>27059.95</v>
      </c>
      <c r="J72" s="111">
        <v>28392.67</v>
      </c>
      <c r="K72" s="111">
        <v>27340.2</v>
      </c>
      <c r="L72" s="111">
        <v>-111526</v>
      </c>
      <c r="M72" s="113"/>
      <c r="N72" s="111">
        <v>124819.11</v>
      </c>
    </row>
    <row r="73" spans="1:14">
      <c r="A73" s="64" t="s">
        <v>69</v>
      </c>
      <c r="B73" s="107">
        <f t="shared" ref="B73:L73" si="38">SUM(B70:B72)</f>
        <v>26580.400000000001</v>
      </c>
      <c r="C73" s="107">
        <f t="shared" si="38"/>
        <v>33631.32</v>
      </c>
      <c r="D73" s="107">
        <f t="shared" si="38"/>
        <v>22577.26</v>
      </c>
      <c r="E73" s="107">
        <f t="shared" si="38"/>
        <v>22731.3</v>
      </c>
      <c r="F73" s="107">
        <f t="shared" si="38"/>
        <v>19298.830000000002</v>
      </c>
      <c r="G73" s="107">
        <f t="shared" si="38"/>
        <v>12286.62</v>
      </c>
      <c r="H73" s="107">
        <f t="shared" si="38"/>
        <v>16446.560000000001</v>
      </c>
      <c r="I73" s="107">
        <f t="shared" si="38"/>
        <v>27059.95</v>
      </c>
      <c r="J73" s="107">
        <f t="shared" si="38"/>
        <v>28392.67</v>
      </c>
      <c r="K73" s="107">
        <f t="shared" si="38"/>
        <v>27340.2</v>
      </c>
      <c r="L73" s="107">
        <f t="shared" si="38"/>
        <v>-111526</v>
      </c>
      <c r="M73" s="107"/>
      <c r="N73" s="107">
        <v>124819.11</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163845.54</v>
      </c>
      <c r="C76" s="111">
        <v>145400.85999999999</v>
      </c>
      <c r="D76" s="111">
        <v>159827.88</v>
      </c>
      <c r="E76" s="111">
        <v>174332.38</v>
      </c>
      <c r="F76" s="111">
        <v>203126.77</v>
      </c>
      <c r="G76" s="111">
        <v>255018.96</v>
      </c>
      <c r="H76" s="111">
        <v>194883.32</v>
      </c>
      <c r="I76" s="111">
        <v>124788.53</v>
      </c>
      <c r="J76" s="111">
        <v>140060.20000000001</v>
      </c>
      <c r="K76" s="111">
        <v>148016.07</v>
      </c>
      <c r="L76" s="111">
        <v>-862767.08</v>
      </c>
      <c r="M76" s="113"/>
      <c r="N76" s="111">
        <v>846533.43</v>
      </c>
    </row>
    <row r="77" spans="1:14">
      <c r="A77" s="64" t="s">
        <v>71</v>
      </c>
      <c r="B77" s="107">
        <f t="shared" ref="B77:L77" si="39">SUM(B74:B76)</f>
        <v>163845.54</v>
      </c>
      <c r="C77" s="107">
        <f t="shared" si="39"/>
        <v>145400.85999999999</v>
      </c>
      <c r="D77" s="107">
        <f t="shared" si="39"/>
        <v>159827.88</v>
      </c>
      <c r="E77" s="107">
        <f t="shared" si="39"/>
        <v>174332.38</v>
      </c>
      <c r="F77" s="107">
        <f t="shared" si="39"/>
        <v>203126.77</v>
      </c>
      <c r="G77" s="107">
        <f t="shared" si="39"/>
        <v>255018.96</v>
      </c>
      <c r="H77" s="107">
        <f t="shared" si="39"/>
        <v>194883.32</v>
      </c>
      <c r="I77" s="107">
        <f t="shared" si="39"/>
        <v>124788.53</v>
      </c>
      <c r="J77" s="107">
        <f t="shared" si="39"/>
        <v>140060.20000000001</v>
      </c>
      <c r="K77" s="107">
        <f t="shared" si="39"/>
        <v>148016.07</v>
      </c>
      <c r="L77" s="107">
        <f t="shared" si="39"/>
        <v>-862767.08</v>
      </c>
      <c r="M77" s="107"/>
      <c r="N77" s="107">
        <v>846533.43</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138261.97</v>
      </c>
      <c r="C83" s="111">
        <v>97340.91</v>
      </c>
      <c r="D83" s="111">
        <v>78197.5</v>
      </c>
      <c r="E83" s="111">
        <v>140374.98000000001</v>
      </c>
      <c r="F83" s="111">
        <v>173855.06</v>
      </c>
      <c r="G83" s="111">
        <v>180625.08</v>
      </c>
      <c r="H83" s="111">
        <v>263879.84000000003</v>
      </c>
      <c r="I83" s="111">
        <v>177072.39</v>
      </c>
      <c r="J83" s="111">
        <v>128599.78</v>
      </c>
      <c r="K83" s="111">
        <v>173776.56</v>
      </c>
      <c r="L83" s="111">
        <v>-923953.65</v>
      </c>
      <c r="M83" s="113"/>
      <c r="N83" s="111">
        <v>628030.42000000004</v>
      </c>
    </row>
    <row r="84" spans="1:14">
      <c r="A84" s="64" t="s">
        <v>74</v>
      </c>
      <c r="B84" s="107">
        <f t="shared" ref="B84:L84" si="40">SUM(B81:B83)</f>
        <v>138261.97</v>
      </c>
      <c r="C84" s="107">
        <f t="shared" si="40"/>
        <v>97340.91</v>
      </c>
      <c r="D84" s="107">
        <f t="shared" si="40"/>
        <v>78197.5</v>
      </c>
      <c r="E84" s="107">
        <f t="shared" si="40"/>
        <v>140374.98000000001</v>
      </c>
      <c r="F84" s="107">
        <f t="shared" si="40"/>
        <v>173855.06</v>
      </c>
      <c r="G84" s="107">
        <f t="shared" si="40"/>
        <v>180625.08</v>
      </c>
      <c r="H84" s="107">
        <f t="shared" si="40"/>
        <v>263879.84000000003</v>
      </c>
      <c r="I84" s="107">
        <f t="shared" si="40"/>
        <v>177072.39</v>
      </c>
      <c r="J84" s="107">
        <f t="shared" si="40"/>
        <v>128599.78</v>
      </c>
      <c r="K84" s="107">
        <f t="shared" si="40"/>
        <v>173776.56</v>
      </c>
      <c r="L84" s="107">
        <f t="shared" si="40"/>
        <v>-923953.65</v>
      </c>
      <c r="M84" s="107"/>
      <c r="N84" s="107">
        <v>628030.42000000004</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28650</v>
      </c>
      <c r="C87" s="111">
        <v>26850</v>
      </c>
      <c r="D87" s="111">
        <v>28350</v>
      </c>
      <c r="E87" s="111">
        <v>29550</v>
      </c>
      <c r="F87" s="111">
        <v>22650</v>
      </c>
      <c r="G87" s="111">
        <v>18900</v>
      </c>
      <c r="H87" s="111">
        <v>21000</v>
      </c>
      <c r="I87" s="111">
        <v>18300</v>
      </c>
      <c r="J87" s="111">
        <v>11400</v>
      </c>
      <c r="K87" s="111">
        <v>19050</v>
      </c>
      <c r="L87" s="111">
        <v>-88650</v>
      </c>
      <c r="M87" s="113"/>
      <c r="N87" s="111">
        <v>136050</v>
      </c>
    </row>
    <row r="88" spans="1:14">
      <c r="A88" s="64" t="s">
        <v>76</v>
      </c>
      <c r="B88" s="107">
        <f t="shared" ref="B88:L88" si="41">SUM(B85:B87)</f>
        <v>28650</v>
      </c>
      <c r="C88" s="107">
        <f t="shared" si="41"/>
        <v>26850</v>
      </c>
      <c r="D88" s="107">
        <f t="shared" si="41"/>
        <v>28350</v>
      </c>
      <c r="E88" s="107">
        <f t="shared" si="41"/>
        <v>29550</v>
      </c>
      <c r="F88" s="107">
        <f t="shared" si="41"/>
        <v>22650</v>
      </c>
      <c r="G88" s="107">
        <f t="shared" si="41"/>
        <v>18900</v>
      </c>
      <c r="H88" s="107">
        <f t="shared" si="41"/>
        <v>21000</v>
      </c>
      <c r="I88" s="107">
        <f t="shared" si="41"/>
        <v>18300</v>
      </c>
      <c r="J88" s="107">
        <f t="shared" si="41"/>
        <v>11400</v>
      </c>
      <c r="K88" s="107">
        <f t="shared" si="41"/>
        <v>19050</v>
      </c>
      <c r="L88" s="107">
        <f t="shared" si="41"/>
        <v>-88650</v>
      </c>
      <c r="M88" s="107"/>
      <c r="N88" s="107">
        <v>136050</v>
      </c>
    </row>
    <row r="89" spans="1:14">
      <c r="A89" s="64"/>
      <c r="B89" s="113"/>
      <c r="C89" s="113"/>
      <c r="D89" s="113"/>
      <c r="E89" s="113"/>
      <c r="F89" s="113"/>
      <c r="G89" s="113"/>
      <c r="H89" s="113"/>
      <c r="I89" s="113"/>
      <c r="J89" s="113"/>
      <c r="K89" s="113"/>
      <c r="L89" s="113"/>
      <c r="M89" s="113"/>
      <c r="N89" s="113"/>
    </row>
    <row r="90" spans="1:14">
      <c r="A90" s="64" t="s">
        <v>42</v>
      </c>
      <c r="B90" s="107">
        <f t="shared" ref="B90:L90" si="42">SUM(B67:B89)-B69-B73-B77-B80-B84-B88</f>
        <v>546577.97999999986</v>
      </c>
      <c r="C90" s="107">
        <f t="shared" si="42"/>
        <v>481933.8600000001</v>
      </c>
      <c r="D90" s="107">
        <f t="shared" si="42"/>
        <v>484281.33999999997</v>
      </c>
      <c r="E90" s="107">
        <f t="shared" si="42"/>
        <v>557155</v>
      </c>
      <c r="F90" s="107">
        <f t="shared" si="42"/>
        <v>595206.94000000018</v>
      </c>
      <c r="G90" s="107">
        <f t="shared" si="42"/>
        <v>619379.00999999989</v>
      </c>
      <c r="H90" s="107">
        <f t="shared" si="42"/>
        <v>629736.97</v>
      </c>
      <c r="I90" s="107">
        <f t="shared" si="42"/>
        <v>499825.14</v>
      </c>
      <c r="J90" s="107">
        <f t="shared" si="42"/>
        <v>467993.89999999991</v>
      </c>
      <c r="K90" s="107">
        <f t="shared" si="42"/>
        <v>537422.14000000013</v>
      </c>
      <c r="L90" s="107">
        <f t="shared" si="42"/>
        <v>-2754357.1600000006</v>
      </c>
      <c r="M90" s="107"/>
      <c r="N90" s="107">
        <v>2665155.12</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1168.98</v>
      </c>
      <c r="C95" s="111">
        <v>-920.31</v>
      </c>
      <c r="D95" s="111">
        <v>46819.15</v>
      </c>
      <c r="E95" s="111">
        <v>-2340.87</v>
      </c>
      <c r="F95" s="111">
        <v>977.45</v>
      </c>
      <c r="G95" s="111">
        <v>11275.61</v>
      </c>
      <c r="H95" s="111">
        <v>-30365.27</v>
      </c>
      <c r="I95" s="111">
        <v>8914.35</v>
      </c>
      <c r="J95" s="111"/>
      <c r="K95" s="111">
        <v>25674.32</v>
      </c>
      <c r="L95" s="111">
        <v>-15499.01</v>
      </c>
      <c r="M95" s="111"/>
      <c r="N95" s="111">
        <v>45704.4</v>
      </c>
    </row>
    <row r="96" spans="1:14">
      <c r="A96" s="64" t="s">
        <v>67</v>
      </c>
      <c r="B96" s="107">
        <f t="shared" ref="B96:I96" si="43">SUM(B94:B95)</f>
        <v>1168.98</v>
      </c>
      <c r="C96" s="107">
        <f t="shared" si="43"/>
        <v>-920.31</v>
      </c>
      <c r="D96" s="107">
        <f t="shared" si="43"/>
        <v>46819.15</v>
      </c>
      <c r="E96" s="107">
        <f t="shared" si="43"/>
        <v>-2340.87</v>
      </c>
      <c r="F96" s="107">
        <f t="shared" si="43"/>
        <v>977.45</v>
      </c>
      <c r="G96" s="107">
        <f t="shared" si="43"/>
        <v>11275.61</v>
      </c>
      <c r="H96" s="107">
        <f t="shared" si="43"/>
        <v>-30365.27</v>
      </c>
      <c r="I96" s="107">
        <f t="shared" si="43"/>
        <v>8914.35</v>
      </c>
      <c r="J96" s="107"/>
      <c r="K96" s="107">
        <f>SUM(K94:K95)</f>
        <v>25674.32</v>
      </c>
      <c r="L96" s="107">
        <f>SUM(L94:L95)</f>
        <v>-15499.01</v>
      </c>
      <c r="M96" s="107"/>
      <c r="N96" s="107">
        <v>45704.4</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3"/>
      <c r="C99" s="111">
        <v>5721</v>
      </c>
      <c r="D99" s="111">
        <v>-26958.34</v>
      </c>
      <c r="E99" s="111">
        <v>-5487.38</v>
      </c>
      <c r="F99" s="113"/>
      <c r="G99" s="111">
        <v>14938.08</v>
      </c>
      <c r="H99" s="113"/>
      <c r="I99" s="111">
        <v>-19377.37</v>
      </c>
      <c r="J99" s="113"/>
      <c r="K99" s="111">
        <v>5512.31</v>
      </c>
      <c r="L99" s="111">
        <v>-1073.02</v>
      </c>
      <c r="M99" s="111"/>
      <c r="N99" s="111">
        <v>-26724.720000000001</v>
      </c>
    </row>
    <row r="100" spans="1:14">
      <c r="A100" s="64" t="s">
        <v>69</v>
      </c>
      <c r="B100" s="107"/>
      <c r="C100" s="107">
        <f>SUM(C97:C99)</f>
        <v>5721</v>
      </c>
      <c r="D100" s="107">
        <f>SUM(D97:D99)</f>
        <v>-26958.34</v>
      </c>
      <c r="E100" s="107">
        <f>SUM(E97:E99)</f>
        <v>-5487.38</v>
      </c>
      <c r="F100" s="107"/>
      <c r="G100" s="107">
        <f>SUM(G97:G99)</f>
        <v>14938.08</v>
      </c>
      <c r="H100" s="107"/>
      <c r="I100" s="107">
        <f>SUM(I97:I99)</f>
        <v>-19377.37</v>
      </c>
      <c r="J100" s="107"/>
      <c r="K100" s="107">
        <f>SUM(K97:K99)</f>
        <v>5512.31</v>
      </c>
      <c r="L100" s="107">
        <f>SUM(L97:L99)</f>
        <v>-1073.02</v>
      </c>
      <c r="M100" s="107"/>
      <c r="N100" s="107">
        <v>-26724.720000000001</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-12337.14</v>
      </c>
      <c r="C103" s="111">
        <v>10585.18</v>
      </c>
      <c r="D103" s="111">
        <v>7006.63</v>
      </c>
      <c r="E103" s="111">
        <v>-1870.16</v>
      </c>
      <c r="F103" s="111">
        <v>-10514.69</v>
      </c>
      <c r="G103" s="111">
        <v>3213.52</v>
      </c>
      <c r="H103" s="111">
        <v>2540.09</v>
      </c>
      <c r="I103" s="111">
        <v>-10591.52</v>
      </c>
      <c r="J103" s="111"/>
      <c r="K103" s="111">
        <v>-32349.23</v>
      </c>
      <c r="L103" s="111">
        <v>37187.14</v>
      </c>
      <c r="M103" s="111"/>
      <c r="N103" s="111">
        <v>-7130.18</v>
      </c>
    </row>
    <row r="104" spans="1:14">
      <c r="A104" s="64" t="s">
        <v>71</v>
      </c>
      <c r="B104" s="107">
        <f t="shared" ref="B104:I104" si="44">SUM(B101:B103)</f>
        <v>-12337.14</v>
      </c>
      <c r="C104" s="107">
        <f t="shared" si="44"/>
        <v>10585.18</v>
      </c>
      <c r="D104" s="107">
        <f t="shared" si="44"/>
        <v>7006.63</v>
      </c>
      <c r="E104" s="107">
        <f t="shared" si="44"/>
        <v>-1870.16</v>
      </c>
      <c r="F104" s="107">
        <f t="shared" si="44"/>
        <v>-10514.69</v>
      </c>
      <c r="G104" s="107">
        <f t="shared" si="44"/>
        <v>3213.52</v>
      </c>
      <c r="H104" s="107">
        <f t="shared" si="44"/>
        <v>2540.09</v>
      </c>
      <c r="I104" s="107">
        <f t="shared" si="44"/>
        <v>-10591.52</v>
      </c>
      <c r="J104" s="107"/>
      <c r="K104" s="107">
        <f>SUM(K101:K103)</f>
        <v>-32349.23</v>
      </c>
      <c r="L104" s="107">
        <f>SUM(L101:L103)</f>
        <v>37187.14</v>
      </c>
      <c r="M104" s="107"/>
      <c r="N104" s="107">
        <v>-7130.18</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164.08</v>
      </c>
      <c r="C110" s="111">
        <v>-220</v>
      </c>
      <c r="D110" s="111">
        <v>-49237.54</v>
      </c>
      <c r="E110" s="111">
        <v>128492.49</v>
      </c>
      <c r="F110" s="111">
        <v>23888.99</v>
      </c>
      <c r="G110" s="111">
        <v>7274.18</v>
      </c>
      <c r="H110" s="111">
        <v>-7404.5</v>
      </c>
      <c r="I110" s="111">
        <v>-3291.23</v>
      </c>
      <c r="J110" s="111"/>
      <c r="K110" s="111">
        <v>-20968.87</v>
      </c>
      <c r="L110" s="111">
        <v>24390.42</v>
      </c>
      <c r="M110" s="111"/>
      <c r="N110" s="111">
        <v>103088.02</v>
      </c>
    </row>
    <row r="111" spans="1:14">
      <c r="A111" s="64" t="s">
        <v>74</v>
      </c>
      <c r="B111" s="107">
        <f t="shared" ref="B111:I111" si="45">SUM(B108:B110)</f>
        <v>164.08</v>
      </c>
      <c r="C111" s="107">
        <f t="shared" si="45"/>
        <v>-220</v>
      </c>
      <c r="D111" s="107">
        <f t="shared" si="45"/>
        <v>-49237.54</v>
      </c>
      <c r="E111" s="107">
        <f t="shared" si="45"/>
        <v>128492.49</v>
      </c>
      <c r="F111" s="107">
        <f t="shared" si="45"/>
        <v>23888.99</v>
      </c>
      <c r="G111" s="107">
        <f t="shared" si="45"/>
        <v>7274.18</v>
      </c>
      <c r="H111" s="107">
        <f t="shared" si="45"/>
        <v>-7404.5</v>
      </c>
      <c r="I111" s="107">
        <f t="shared" si="45"/>
        <v>-3291.23</v>
      </c>
      <c r="J111" s="107"/>
      <c r="K111" s="107">
        <f>SUM(K108:K110)</f>
        <v>-20968.87</v>
      </c>
      <c r="L111" s="107">
        <f>SUM(L108:L110)</f>
        <v>24390.42</v>
      </c>
      <c r="M111" s="107"/>
      <c r="N111" s="107">
        <v>103088.02</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3"/>
      <c r="C114" s="111">
        <v>2550</v>
      </c>
      <c r="D114" s="113"/>
      <c r="E114" s="111">
        <v>-347.34</v>
      </c>
      <c r="F114" s="111">
        <v>497.34</v>
      </c>
      <c r="G114" s="111">
        <v>150</v>
      </c>
      <c r="H114" s="111">
        <v>17550</v>
      </c>
      <c r="I114" s="111">
        <v>-22278.95</v>
      </c>
      <c r="J114" s="111"/>
      <c r="K114" s="111">
        <v>-15308.8</v>
      </c>
      <c r="L114" s="111">
        <v>19887.75</v>
      </c>
      <c r="M114" s="113"/>
      <c r="N114" s="111">
        <v>2700</v>
      </c>
    </row>
    <row r="115" spans="1:14">
      <c r="A115" s="64" t="s">
        <v>76</v>
      </c>
      <c r="B115" s="107"/>
      <c r="C115" s="107">
        <f>SUM(C112:C114)</f>
        <v>2550</v>
      </c>
      <c r="D115" s="107"/>
      <c r="E115" s="107">
        <f>SUM(E112:E114)</f>
        <v>-347.34</v>
      </c>
      <c r="F115" s="107">
        <f>SUM(F112:F114)</f>
        <v>497.34</v>
      </c>
      <c r="G115" s="107">
        <f>SUM(G112:G114)</f>
        <v>150</v>
      </c>
      <c r="H115" s="107">
        <f>SUM(H112:H114)</f>
        <v>17550</v>
      </c>
      <c r="I115" s="107">
        <f>SUM(I112:I114)</f>
        <v>-22278.95</v>
      </c>
      <c r="J115" s="107"/>
      <c r="K115" s="107">
        <f>SUM(K112:K114)</f>
        <v>-15308.8</v>
      </c>
      <c r="L115" s="107">
        <f>SUM(L112:L114)</f>
        <v>19887.75</v>
      </c>
      <c r="M115" s="107"/>
      <c r="N115" s="107">
        <v>2700</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I117" si="46">SUM(B92:B116)-B96-B100-B104-B107-B111-B115</f>
        <v>-11004.079999999996</v>
      </c>
      <c r="C117" s="107">
        <f t="shared" si="46"/>
        <v>17715.870000000003</v>
      </c>
      <c r="D117" s="107">
        <f t="shared" si="46"/>
        <v>-22370.100000000013</v>
      </c>
      <c r="E117" s="107">
        <f t="shared" si="46"/>
        <v>118446.74000000003</v>
      </c>
      <c r="F117" s="107">
        <f t="shared" si="46"/>
        <v>14849.089999999997</v>
      </c>
      <c r="G117" s="107">
        <f t="shared" si="46"/>
        <v>36851.39</v>
      </c>
      <c r="H117" s="107">
        <f t="shared" si="46"/>
        <v>-17679.68</v>
      </c>
      <c r="I117" s="107">
        <f t="shared" si="46"/>
        <v>-46624.720000000016</v>
      </c>
      <c r="J117" s="107"/>
      <c r="K117" s="107">
        <f>SUM(K92:K116)-K96-K100-K104-K107-K111-K115</f>
        <v>-37440.270000000019</v>
      </c>
      <c r="L117" s="107">
        <f>SUM(L92:L116)-L96-L100-L104-L107-L111-L115</f>
        <v>64893.279999999999</v>
      </c>
      <c r="M117" s="107"/>
      <c r="N117" s="107">
        <v>117637.52</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22"/>
      <c r="C122" s="22"/>
      <c r="D122" s="107">
        <v>522.82000000000005</v>
      </c>
      <c r="E122" s="22"/>
      <c r="F122" s="22"/>
      <c r="G122" s="22"/>
      <c r="H122" s="22"/>
      <c r="I122" s="22"/>
      <c r="J122" s="22"/>
      <c r="K122" s="22"/>
      <c r="L122" s="22"/>
      <c r="M122" s="22"/>
      <c r="N122" s="107">
        <v>522.82000000000005</v>
      </c>
    </row>
    <row r="123" spans="1:14">
      <c r="A123" s="64" t="s">
        <v>78</v>
      </c>
      <c r="B123" s="107">
        <v>170</v>
      </c>
      <c r="C123" s="22"/>
      <c r="D123" s="107">
        <v>1115</v>
      </c>
      <c r="E123" s="107">
        <v>-1015</v>
      </c>
      <c r="F123" s="22"/>
      <c r="G123" s="107">
        <v>2290</v>
      </c>
      <c r="H123" s="107">
        <v>255</v>
      </c>
      <c r="I123" s="107">
        <v>710</v>
      </c>
      <c r="J123" s="107">
        <v>1530</v>
      </c>
      <c r="K123" s="107">
        <v>3740</v>
      </c>
      <c r="L123" s="107">
        <v>-8525</v>
      </c>
      <c r="M123" s="22"/>
      <c r="N123" s="107">
        <v>270</v>
      </c>
    </row>
    <row r="124" spans="1:14">
      <c r="A124" s="64" t="s">
        <v>315</v>
      </c>
      <c r="B124" s="22"/>
      <c r="C124" s="22"/>
      <c r="D124" s="107">
        <v>2120</v>
      </c>
      <c r="E124" s="107">
        <v>-510</v>
      </c>
      <c r="F124" s="22"/>
      <c r="G124" s="107">
        <v>2925</v>
      </c>
      <c r="H124" s="22"/>
      <c r="I124" s="107">
        <v>5515</v>
      </c>
      <c r="J124" s="107">
        <v>9530</v>
      </c>
      <c r="K124" s="107">
        <v>1225</v>
      </c>
      <c r="L124" s="107">
        <v>-19195</v>
      </c>
      <c r="M124" s="22"/>
      <c r="N124" s="107">
        <v>1610</v>
      </c>
    </row>
    <row r="125" spans="1:14">
      <c r="A125" s="64" t="s">
        <v>316</v>
      </c>
      <c r="B125" s="22"/>
      <c r="C125" s="22"/>
      <c r="D125" s="107">
        <v>1735</v>
      </c>
      <c r="E125" s="107">
        <v>255</v>
      </c>
      <c r="F125" s="22"/>
      <c r="G125" s="22"/>
      <c r="H125" s="107">
        <v>1600</v>
      </c>
      <c r="I125" s="22"/>
      <c r="J125" s="22"/>
      <c r="K125" s="22"/>
      <c r="L125" s="107">
        <v>-1600</v>
      </c>
      <c r="M125" s="22"/>
      <c r="N125" s="107">
        <v>1990</v>
      </c>
    </row>
    <row r="126" spans="1:14">
      <c r="A126" s="64" t="s">
        <v>354</v>
      </c>
      <c r="B126" s="22"/>
      <c r="C126" s="22"/>
      <c r="D126" s="22"/>
      <c r="E126" s="22"/>
      <c r="F126" s="22"/>
      <c r="G126" s="22"/>
      <c r="H126" s="22"/>
      <c r="I126" s="22"/>
      <c r="J126" s="22"/>
      <c r="K126" s="22"/>
      <c r="L126" s="22"/>
      <c r="M126" s="22"/>
      <c r="N126" s="22"/>
    </row>
    <row r="127" spans="1:14">
      <c r="A127" s="64" t="s">
        <v>84</v>
      </c>
      <c r="B127" s="111">
        <v>-170</v>
      </c>
      <c r="C127" s="113"/>
      <c r="D127" s="111">
        <v>-5492.82</v>
      </c>
      <c r="E127" s="111">
        <v>1270</v>
      </c>
      <c r="F127" s="113"/>
      <c r="G127" s="111">
        <v>-5215</v>
      </c>
      <c r="H127" s="111">
        <v>-1957.85</v>
      </c>
      <c r="I127" s="111">
        <v>-6225</v>
      </c>
      <c r="J127" s="111">
        <v>-11060</v>
      </c>
      <c r="K127" s="111">
        <v>-4965</v>
      </c>
      <c r="L127" s="111">
        <v>29422.85</v>
      </c>
      <c r="M127" s="113"/>
      <c r="N127" s="111">
        <v>-4392.82</v>
      </c>
    </row>
    <row r="128" spans="1:14">
      <c r="A128" s="64" t="s">
        <v>85</v>
      </c>
      <c r="B128" s="107"/>
      <c r="C128" s="107"/>
      <c r="D128" s="107"/>
      <c r="E128" s="107"/>
      <c r="F128" s="107"/>
      <c r="G128" s="107"/>
      <c r="H128" s="107">
        <f>SUM(H121:H127)</f>
        <v>-102.84999999999991</v>
      </c>
      <c r="I128" s="107"/>
      <c r="J128" s="107"/>
      <c r="K128" s="107"/>
      <c r="L128" s="107">
        <f>SUM(L121:L127)</f>
        <v>102.84999999999854</v>
      </c>
      <c r="M128" s="107"/>
      <c r="N128" s="107"/>
    </row>
    <row r="129" spans="1:14">
      <c r="A129" s="64"/>
      <c r="B129" s="22"/>
      <c r="C129" s="22"/>
      <c r="D129" s="22"/>
      <c r="E129" s="22"/>
      <c r="F129" s="22"/>
      <c r="G129" s="22"/>
      <c r="H129" s="22"/>
      <c r="I129" s="22"/>
      <c r="J129" s="22"/>
      <c r="K129" s="22"/>
      <c r="L129" s="22"/>
      <c r="M129" s="22"/>
      <c r="N129" s="22"/>
    </row>
    <row r="130" spans="1:14">
      <c r="A130" s="64" t="s">
        <v>20</v>
      </c>
      <c r="B130" s="113"/>
      <c r="C130" s="113"/>
      <c r="D130" s="113"/>
      <c r="E130" s="113"/>
      <c r="F130" s="113"/>
      <c r="G130" s="113"/>
      <c r="H130" s="113"/>
      <c r="I130" s="113"/>
      <c r="J130" s="113"/>
      <c r="K130" s="113"/>
      <c r="L130" s="113"/>
      <c r="M130" s="113"/>
      <c r="N130" s="113"/>
    </row>
    <row r="131" spans="1:14">
      <c r="A131" s="64"/>
      <c r="B131" s="22"/>
      <c r="C131" s="22"/>
      <c r="D131" s="22"/>
      <c r="E131" s="22"/>
      <c r="F131" s="22"/>
      <c r="G131" s="22"/>
      <c r="H131" s="22"/>
      <c r="I131" s="22"/>
      <c r="J131" s="22"/>
      <c r="K131" s="22"/>
      <c r="L131" s="22"/>
      <c r="M131" s="22"/>
      <c r="N131" s="22"/>
    </row>
    <row r="132" spans="1:14">
      <c r="A132" s="64" t="s">
        <v>88</v>
      </c>
      <c r="B132" s="22"/>
      <c r="C132" s="22"/>
      <c r="D132" s="22"/>
      <c r="E132" s="22"/>
      <c r="F132" s="22"/>
      <c r="G132" s="22"/>
      <c r="H132" s="22"/>
      <c r="I132" s="22"/>
      <c r="J132" s="22"/>
      <c r="K132" s="22"/>
      <c r="L132" s="22"/>
      <c r="M132" s="22"/>
      <c r="N132" s="22"/>
    </row>
    <row r="133" spans="1:14">
      <c r="A133" s="64" t="s">
        <v>89</v>
      </c>
      <c r="B133" s="107">
        <v>10092.219999999999</v>
      </c>
      <c r="C133" s="107">
        <v>7637.96</v>
      </c>
      <c r="D133" s="107">
        <v>9955.83</v>
      </c>
      <c r="E133" s="107">
        <v>8426.99</v>
      </c>
      <c r="F133" s="107">
        <v>10068.129999999999</v>
      </c>
      <c r="G133" s="107">
        <v>12203.53</v>
      </c>
      <c r="H133" s="107">
        <v>5076.83</v>
      </c>
      <c r="I133" s="107">
        <v>5731.43</v>
      </c>
      <c r="J133" s="107">
        <v>7103.81</v>
      </c>
      <c r="K133" s="107">
        <v>4622.45</v>
      </c>
      <c r="L133" s="107">
        <v>-34738.050000000003</v>
      </c>
      <c r="M133" s="22"/>
      <c r="N133" s="107">
        <v>46181.13</v>
      </c>
    </row>
    <row r="134" spans="1:14">
      <c r="A134" s="64" t="s">
        <v>90</v>
      </c>
      <c r="B134" s="107">
        <v>19375</v>
      </c>
      <c r="C134" s="107">
        <v>19750</v>
      </c>
      <c r="D134" s="107">
        <v>26755</v>
      </c>
      <c r="E134" s="107">
        <v>15935</v>
      </c>
      <c r="F134" s="107">
        <v>23725</v>
      </c>
      <c r="G134" s="107">
        <v>17630</v>
      </c>
      <c r="H134" s="107">
        <v>16570</v>
      </c>
      <c r="I134" s="107">
        <v>11940</v>
      </c>
      <c r="J134" s="107">
        <v>21155</v>
      </c>
      <c r="K134" s="107">
        <v>15140</v>
      </c>
      <c r="L134" s="107">
        <v>-82435</v>
      </c>
      <c r="M134" s="22"/>
      <c r="N134" s="107">
        <v>105540</v>
      </c>
    </row>
    <row r="135" spans="1:14">
      <c r="A135" s="64" t="s">
        <v>91</v>
      </c>
      <c r="B135" s="107">
        <v>15545</v>
      </c>
      <c r="C135" s="107">
        <v>2670</v>
      </c>
      <c r="D135" s="107">
        <v>9315</v>
      </c>
      <c r="E135" s="107">
        <v>7095</v>
      </c>
      <c r="F135" s="107">
        <v>10125</v>
      </c>
      <c r="G135" s="107">
        <v>25630</v>
      </c>
      <c r="H135" s="107">
        <v>21145</v>
      </c>
      <c r="I135" s="107">
        <v>13880</v>
      </c>
      <c r="J135" s="107">
        <v>18485</v>
      </c>
      <c r="K135" s="107">
        <v>17040</v>
      </c>
      <c r="L135" s="107">
        <v>-96180</v>
      </c>
      <c r="M135" s="22"/>
      <c r="N135" s="107">
        <v>44750</v>
      </c>
    </row>
    <row r="136" spans="1:14">
      <c r="A136" s="64" t="s">
        <v>92</v>
      </c>
      <c r="B136" s="107">
        <v>1580</v>
      </c>
      <c r="C136" s="107">
        <v>385</v>
      </c>
      <c r="D136" s="107">
        <v>1435</v>
      </c>
      <c r="E136" s="107">
        <v>8480</v>
      </c>
      <c r="F136" s="107">
        <v>5150</v>
      </c>
      <c r="G136" s="107">
        <v>6900</v>
      </c>
      <c r="H136" s="107">
        <v>5190</v>
      </c>
      <c r="I136" s="107">
        <v>6255</v>
      </c>
      <c r="J136" s="107">
        <v>6200</v>
      </c>
      <c r="K136" s="107">
        <v>2230</v>
      </c>
      <c r="L136" s="107">
        <v>-26775</v>
      </c>
      <c r="M136" s="22"/>
      <c r="N136" s="107">
        <v>17030</v>
      </c>
    </row>
    <row r="137" spans="1:14">
      <c r="A137" s="64" t="s">
        <v>94</v>
      </c>
      <c r="B137" s="107">
        <v>4500</v>
      </c>
      <c r="C137" s="107">
        <v>900</v>
      </c>
      <c r="D137" s="107">
        <v>1800</v>
      </c>
      <c r="E137" s="107">
        <v>3252.82</v>
      </c>
      <c r="F137" s="107">
        <v>2220</v>
      </c>
      <c r="G137" s="107">
        <v>1172.82</v>
      </c>
      <c r="H137" s="107">
        <v>1040</v>
      </c>
      <c r="I137" s="107">
        <v>1560</v>
      </c>
      <c r="J137" s="107">
        <v>1770</v>
      </c>
      <c r="K137" s="107">
        <v>2080</v>
      </c>
      <c r="L137" s="107">
        <v>-7622.82</v>
      </c>
      <c r="M137" s="22"/>
      <c r="N137" s="107">
        <v>12672.82</v>
      </c>
    </row>
    <row r="138" spans="1:14">
      <c r="A138" s="64" t="s">
        <v>95</v>
      </c>
      <c r="B138" s="107">
        <v>2200.35</v>
      </c>
      <c r="C138" s="107">
        <v>574.24</v>
      </c>
      <c r="D138" s="107">
        <v>805.07</v>
      </c>
      <c r="E138" s="107">
        <v>943.85</v>
      </c>
      <c r="F138" s="107">
        <v>1406.31</v>
      </c>
      <c r="G138" s="107">
        <v>219.63</v>
      </c>
      <c r="H138" s="107">
        <v>445.04</v>
      </c>
      <c r="I138" s="107">
        <v>92.61</v>
      </c>
      <c r="J138" s="107">
        <v>165.35</v>
      </c>
      <c r="K138" s="107">
        <v>522.13</v>
      </c>
      <c r="L138" s="107">
        <v>-1444.76</v>
      </c>
      <c r="M138" s="22"/>
      <c r="N138" s="107">
        <v>5929.82</v>
      </c>
    </row>
    <row r="139" spans="1:14">
      <c r="A139" s="64" t="s">
        <v>98</v>
      </c>
      <c r="B139" s="111">
        <v>-53292.57</v>
      </c>
      <c r="C139" s="111">
        <v>-31917.200000000001</v>
      </c>
      <c r="D139" s="111">
        <v>-50065.9</v>
      </c>
      <c r="E139" s="111">
        <v>-44133.66</v>
      </c>
      <c r="F139" s="111">
        <v>-52694.44</v>
      </c>
      <c r="G139" s="111">
        <v>-63755.98</v>
      </c>
      <c r="H139" s="111">
        <v>-49466.87</v>
      </c>
      <c r="I139" s="111">
        <v>-39459.040000000001</v>
      </c>
      <c r="J139" s="111">
        <v>-54879.16</v>
      </c>
      <c r="K139" s="111">
        <v>-41634.58</v>
      </c>
      <c r="L139" s="111">
        <v>249195.63</v>
      </c>
      <c r="M139" s="113"/>
      <c r="N139" s="111">
        <v>-232103.77</v>
      </c>
    </row>
    <row r="140" spans="1:14">
      <c r="A140" s="64"/>
      <c r="B140" s="22"/>
      <c r="C140" s="22"/>
      <c r="D140" s="22"/>
      <c r="E140" s="22"/>
      <c r="F140" s="22"/>
      <c r="G140" s="22"/>
      <c r="H140" s="22"/>
      <c r="I140" s="22"/>
      <c r="J140" s="22"/>
      <c r="K140" s="22"/>
      <c r="L140" s="22"/>
      <c r="M140" s="22"/>
      <c r="N140" s="22"/>
    </row>
    <row r="141" spans="1:14">
      <c r="A141" s="64" t="s">
        <v>99</v>
      </c>
      <c r="B141" s="22"/>
      <c r="C141" s="22"/>
      <c r="D141" s="22"/>
      <c r="E141" s="22"/>
      <c r="F141" s="22"/>
      <c r="G141" s="22"/>
      <c r="H141" s="22"/>
      <c r="I141" s="22"/>
      <c r="J141" s="22"/>
      <c r="K141" s="22"/>
      <c r="L141" s="22"/>
      <c r="M141" s="22"/>
      <c r="N141" s="22"/>
    </row>
    <row r="142" spans="1:14">
      <c r="A142" s="64" t="s">
        <v>100</v>
      </c>
      <c r="B142" s="107">
        <v>7045</v>
      </c>
      <c r="C142" s="107">
        <v>13775</v>
      </c>
      <c r="D142" s="107">
        <v>8905</v>
      </c>
      <c r="E142" s="107">
        <v>4160</v>
      </c>
      <c r="F142" s="22"/>
      <c r="G142" s="22"/>
      <c r="H142" s="107">
        <v>-1480</v>
      </c>
      <c r="I142" s="107">
        <v>2235</v>
      </c>
      <c r="J142" s="107">
        <v>3695</v>
      </c>
      <c r="K142" s="107">
        <v>4980</v>
      </c>
      <c r="L142" s="107">
        <v>-9430</v>
      </c>
      <c r="M142" s="22"/>
      <c r="N142" s="107">
        <v>33885</v>
      </c>
    </row>
    <row r="143" spans="1:14">
      <c r="A143" s="64" t="s">
        <v>101</v>
      </c>
      <c r="B143" s="107">
        <v>3590</v>
      </c>
      <c r="C143" s="107">
        <v>3380</v>
      </c>
      <c r="D143" s="22"/>
      <c r="E143" s="22"/>
      <c r="F143" s="22"/>
      <c r="G143" s="107">
        <v>1560</v>
      </c>
      <c r="H143" s="107">
        <v>-1560</v>
      </c>
      <c r="I143" s="107">
        <v>165</v>
      </c>
      <c r="J143" s="107">
        <v>-120</v>
      </c>
      <c r="K143" s="107">
        <v>755</v>
      </c>
      <c r="L143" s="107">
        <v>-800</v>
      </c>
      <c r="M143" s="22"/>
      <c r="N143" s="107">
        <v>6970</v>
      </c>
    </row>
    <row r="144" spans="1:14">
      <c r="A144" s="64" t="s">
        <v>102</v>
      </c>
      <c r="B144" s="107">
        <v>945</v>
      </c>
      <c r="C144" s="22"/>
      <c r="D144" s="107">
        <v>1950</v>
      </c>
      <c r="E144" s="107">
        <v>4455</v>
      </c>
      <c r="F144" s="107">
        <v>1080</v>
      </c>
      <c r="G144" s="22"/>
      <c r="H144" s="107">
        <v>-1600</v>
      </c>
      <c r="I144" s="107">
        <v>660</v>
      </c>
      <c r="J144" s="22"/>
      <c r="K144" s="22"/>
      <c r="L144" s="107">
        <v>940</v>
      </c>
      <c r="M144" s="22"/>
      <c r="N144" s="107">
        <v>8430</v>
      </c>
    </row>
    <row r="145" spans="1:14">
      <c r="A145" s="64" t="s">
        <v>103</v>
      </c>
      <c r="B145" s="111">
        <v>-7843.36</v>
      </c>
      <c r="C145" s="111">
        <v>-13995.16</v>
      </c>
      <c r="D145" s="111">
        <v>-7171.69</v>
      </c>
      <c r="E145" s="111">
        <v>-5346.75</v>
      </c>
      <c r="F145" s="111">
        <v>-456.41</v>
      </c>
      <c r="G145" s="111">
        <v>-1322.33</v>
      </c>
      <c r="H145" s="111">
        <v>2655.67</v>
      </c>
      <c r="I145" s="111">
        <v>-1216.03</v>
      </c>
      <c r="J145" s="111">
        <v>-2457.58</v>
      </c>
      <c r="K145" s="111">
        <v>-4004.29</v>
      </c>
      <c r="L145" s="111">
        <v>6344.56</v>
      </c>
      <c r="M145" s="111"/>
      <c r="N145" s="111">
        <v>-34813.370000000003</v>
      </c>
    </row>
    <row r="146" spans="1:14">
      <c r="A146" s="64" t="s">
        <v>104</v>
      </c>
      <c r="B146" s="107">
        <f t="shared" ref="B146:L146" si="47">SUM(B141:B145)</f>
        <v>3736.6400000000003</v>
      </c>
      <c r="C146" s="107">
        <f t="shared" si="47"/>
        <v>3159.84</v>
      </c>
      <c r="D146" s="107">
        <f t="shared" si="47"/>
        <v>3683.3100000000004</v>
      </c>
      <c r="E146" s="107">
        <f t="shared" si="47"/>
        <v>3268.25</v>
      </c>
      <c r="F146" s="107">
        <f t="shared" si="47"/>
        <v>623.58999999999992</v>
      </c>
      <c r="G146" s="107">
        <f t="shared" si="47"/>
        <v>237.67000000000007</v>
      </c>
      <c r="H146" s="107">
        <f t="shared" si="47"/>
        <v>-1984.33</v>
      </c>
      <c r="I146" s="107">
        <f t="shared" si="47"/>
        <v>1843.97</v>
      </c>
      <c r="J146" s="107">
        <f t="shared" si="47"/>
        <v>1117.42</v>
      </c>
      <c r="K146" s="107">
        <f t="shared" si="47"/>
        <v>1730.71</v>
      </c>
      <c r="L146" s="107">
        <f t="shared" si="47"/>
        <v>-2945.4399999999996</v>
      </c>
      <c r="M146" s="107"/>
      <c r="N146" s="107">
        <v>14471.63</v>
      </c>
    </row>
    <row r="147" spans="1:14">
      <c r="A147" s="64"/>
      <c r="B147" s="22"/>
      <c r="C147" s="22"/>
      <c r="D147" s="22"/>
      <c r="E147" s="22"/>
      <c r="F147" s="22"/>
      <c r="G147" s="22"/>
      <c r="H147" s="22"/>
      <c r="I147" s="22"/>
      <c r="J147" s="22"/>
      <c r="K147" s="22"/>
      <c r="L147" s="22"/>
      <c r="M147" s="22"/>
      <c r="N147" s="22"/>
    </row>
    <row r="148" spans="1:14">
      <c r="A148" s="64" t="s">
        <v>105</v>
      </c>
      <c r="B148" s="113"/>
      <c r="C148" s="113"/>
      <c r="D148" s="113"/>
      <c r="E148" s="113"/>
      <c r="F148" s="113"/>
      <c r="G148" s="113"/>
      <c r="H148" s="113"/>
      <c r="I148" s="113"/>
      <c r="J148" s="113"/>
      <c r="K148" s="113"/>
      <c r="L148" s="113"/>
      <c r="M148" s="113"/>
      <c r="N148" s="113"/>
    </row>
    <row r="149" spans="1:14">
      <c r="A149" s="64"/>
      <c r="B149" s="22"/>
      <c r="C149" s="22"/>
      <c r="D149" s="22"/>
      <c r="E149" s="22"/>
      <c r="F149" s="22"/>
      <c r="G149" s="22"/>
      <c r="H149" s="22"/>
      <c r="I149" s="22"/>
      <c r="J149" s="22"/>
      <c r="K149" s="22"/>
      <c r="L149" s="22"/>
      <c r="M149" s="22"/>
      <c r="N149" s="22"/>
    </row>
    <row r="150" spans="1:14">
      <c r="A150" s="64" t="s">
        <v>106</v>
      </c>
      <c r="B150" s="22"/>
      <c r="C150" s="22"/>
      <c r="D150" s="22"/>
      <c r="E150" s="22"/>
      <c r="F150" s="22"/>
      <c r="G150" s="22"/>
      <c r="H150" s="22"/>
      <c r="I150" s="22"/>
      <c r="J150" s="22"/>
      <c r="K150" s="22"/>
      <c r="L150" s="22"/>
      <c r="M150" s="22"/>
      <c r="N150" s="22"/>
    </row>
    <row r="151" spans="1:14">
      <c r="A151" s="64" t="s">
        <v>107</v>
      </c>
      <c r="B151" s="107">
        <v>6473.49</v>
      </c>
      <c r="C151" s="107">
        <v>6117.01</v>
      </c>
      <c r="D151" s="107">
        <v>2837.19</v>
      </c>
      <c r="E151" s="107">
        <v>10940.45</v>
      </c>
      <c r="F151" s="107">
        <v>14688.17</v>
      </c>
      <c r="G151" s="107">
        <v>11875.38</v>
      </c>
      <c r="H151" s="107">
        <v>15335.66</v>
      </c>
      <c r="I151" s="107">
        <v>10282.44</v>
      </c>
      <c r="J151" s="107">
        <v>10311.06</v>
      </c>
      <c r="K151" s="107">
        <v>9574.86</v>
      </c>
      <c r="L151" s="107">
        <v>-57379.4</v>
      </c>
      <c r="M151" s="107"/>
      <c r="N151" s="107">
        <v>41056.31</v>
      </c>
    </row>
    <row r="152" spans="1:14">
      <c r="A152" s="64" t="s">
        <v>108</v>
      </c>
      <c r="B152" s="107">
        <v>71395</v>
      </c>
      <c r="C152" s="107">
        <v>55490</v>
      </c>
      <c r="D152" s="107">
        <v>19240</v>
      </c>
      <c r="E152" s="107">
        <v>34475</v>
      </c>
      <c r="F152" s="107">
        <v>39960</v>
      </c>
      <c r="G152" s="107">
        <v>22200</v>
      </c>
      <c r="H152" s="107">
        <v>50450</v>
      </c>
      <c r="I152" s="107">
        <v>39750</v>
      </c>
      <c r="J152" s="107">
        <v>32825</v>
      </c>
      <c r="K152" s="107">
        <v>38000</v>
      </c>
      <c r="L152" s="107">
        <v>-183225</v>
      </c>
      <c r="M152" s="22"/>
      <c r="N152" s="107">
        <v>220560</v>
      </c>
    </row>
    <row r="153" spans="1:14">
      <c r="A153" s="64" t="s">
        <v>109</v>
      </c>
      <c r="B153" s="107">
        <v>44635</v>
      </c>
      <c r="C153" s="107">
        <v>23805</v>
      </c>
      <c r="D153" s="107">
        <v>4885</v>
      </c>
      <c r="E153" s="107">
        <v>20325</v>
      </c>
      <c r="F153" s="107">
        <v>34875</v>
      </c>
      <c r="G153" s="107">
        <v>30155</v>
      </c>
      <c r="H153" s="107">
        <v>55355</v>
      </c>
      <c r="I153" s="107">
        <v>42650</v>
      </c>
      <c r="J153" s="107">
        <v>33255</v>
      </c>
      <c r="K153" s="107">
        <v>42015</v>
      </c>
      <c r="L153" s="107">
        <v>-203430</v>
      </c>
      <c r="M153" s="107"/>
      <c r="N153" s="107">
        <v>128525</v>
      </c>
    </row>
    <row r="154" spans="1:14">
      <c r="A154" s="64" t="s">
        <v>110</v>
      </c>
      <c r="B154" s="107">
        <v>6905</v>
      </c>
      <c r="C154" s="107">
        <v>3160</v>
      </c>
      <c r="D154" s="107">
        <v>-1330</v>
      </c>
      <c r="E154" s="107">
        <v>9995</v>
      </c>
      <c r="F154" s="107">
        <v>7660</v>
      </c>
      <c r="G154" s="107">
        <v>9800</v>
      </c>
      <c r="H154" s="107">
        <v>10690</v>
      </c>
      <c r="I154" s="107">
        <v>7855</v>
      </c>
      <c r="J154" s="107">
        <v>7730</v>
      </c>
      <c r="K154" s="107">
        <v>6785</v>
      </c>
      <c r="L154" s="107">
        <v>-42860</v>
      </c>
      <c r="M154" s="22"/>
      <c r="N154" s="107">
        <v>26390</v>
      </c>
    </row>
    <row r="155" spans="1:14">
      <c r="A155" s="64" t="s">
        <v>111</v>
      </c>
      <c r="B155" s="107">
        <v>1800</v>
      </c>
      <c r="C155" s="107">
        <v>900</v>
      </c>
      <c r="D155" s="107">
        <v>450</v>
      </c>
      <c r="E155" s="107">
        <v>2600</v>
      </c>
      <c r="F155" s="107">
        <v>3780</v>
      </c>
      <c r="G155" s="107">
        <v>3780</v>
      </c>
      <c r="H155" s="107">
        <v>4300</v>
      </c>
      <c r="I155" s="107">
        <v>1178.95</v>
      </c>
      <c r="J155" s="107">
        <v>1630</v>
      </c>
      <c r="K155" s="107">
        <v>1630</v>
      </c>
      <c r="L155" s="107">
        <v>-12518.95</v>
      </c>
      <c r="M155" s="22"/>
      <c r="N155" s="107">
        <v>9530</v>
      </c>
    </row>
    <row r="156" spans="1:14">
      <c r="A156" s="64" t="s">
        <v>112</v>
      </c>
      <c r="B156" s="107">
        <v>773.74</v>
      </c>
      <c r="C156" s="107">
        <v>648.49</v>
      </c>
      <c r="D156" s="107">
        <v>368.02</v>
      </c>
      <c r="E156" s="107">
        <v>993.55</v>
      </c>
      <c r="F156" s="107">
        <v>1144.56</v>
      </c>
      <c r="G156" s="107">
        <v>762.57</v>
      </c>
      <c r="H156" s="107">
        <v>1277.9100000000001</v>
      </c>
      <c r="I156" s="107">
        <v>133.28</v>
      </c>
      <c r="J156" s="107">
        <v>329.65</v>
      </c>
      <c r="K156" s="107">
        <v>834.47</v>
      </c>
      <c r="L156" s="107">
        <v>-3337.88</v>
      </c>
      <c r="M156" s="22"/>
      <c r="N156" s="107">
        <v>3928.36</v>
      </c>
    </row>
    <row r="157" spans="1:14">
      <c r="A157" s="64" t="s">
        <v>115</v>
      </c>
      <c r="B157" s="111">
        <v>-127598.19</v>
      </c>
      <c r="C157" s="111">
        <v>-89974.46</v>
      </c>
      <c r="D157" s="111">
        <v>-28117.87</v>
      </c>
      <c r="E157" s="111">
        <v>-87628.43</v>
      </c>
      <c r="F157" s="111">
        <v>-97585.77</v>
      </c>
      <c r="G157" s="111">
        <v>-78593.490000000005</v>
      </c>
      <c r="H157" s="111">
        <v>-140303.76</v>
      </c>
      <c r="I157" s="111">
        <v>-97090.16</v>
      </c>
      <c r="J157" s="111">
        <v>-81959.92</v>
      </c>
      <c r="K157" s="111">
        <v>-88336.25</v>
      </c>
      <c r="L157" s="111">
        <v>486283.58</v>
      </c>
      <c r="M157" s="111"/>
      <c r="N157" s="111">
        <v>-430904.72</v>
      </c>
    </row>
    <row r="158" spans="1:14">
      <c r="A158" s="64" t="s">
        <v>116</v>
      </c>
      <c r="B158" s="107">
        <f t="shared" ref="B158:L158" si="48">SUM(B150:B157)</f>
        <v>4384.039999999979</v>
      </c>
      <c r="C158" s="107">
        <f t="shared" si="48"/>
        <v>146.04000000000815</v>
      </c>
      <c r="D158" s="107">
        <f t="shared" si="48"/>
        <v>-1667.6599999999999</v>
      </c>
      <c r="E158" s="107">
        <f t="shared" si="48"/>
        <v>-8299.429999999993</v>
      </c>
      <c r="F158" s="107">
        <f t="shared" si="48"/>
        <v>4521.9599999999919</v>
      </c>
      <c r="G158" s="107">
        <f t="shared" si="48"/>
        <v>-20.539999999993597</v>
      </c>
      <c r="H158" s="107">
        <f t="shared" si="48"/>
        <v>-2895.1900000000023</v>
      </c>
      <c r="I158" s="107">
        <f t="shared" si="48"/>
        <v>4759.5099999999948</v>
      </c>
      <c r="J158" s="107">
        <f t="shared" si="48"/>
        <v>4120.7899999999936</v>
      </c>
      <c r="K158" s="107">
        <f t="shared" si="48"/>
        <v>10503.080000000002</v>
      </c>
      <c r="L158" s="107">
        <f t="shared" si="48"/>
        <v>-16467.650000000023</v>
      </c>
      <c r="M158" s="107"/>
      <c r="N158" s="107">
        <v>-915.05</v>
      </c>
    </row>
    <row r="159" spans="1:14">
      <c r="A159" s="64"/>
      <c r="B159" s="22"/>
      <c r="C159" s="22"/>
      <c r="D159" s="22"/>
      <c r="E159" s="22"/>
      <c r="F159" s="22"/>
      <c r="G159" s="22"/>
      <c r="H159" s="22"/>
      <c r="I159" s="22"/>
      <c r="J159" s="22"/>
      <c r="K159" s="22"/>
      <c r="L159" s="22"/>
      <c r="M159" s="22"/>
      <c r="N159" s="22"/>
    </row>
    <row r="160" spans="1:14">
      <c r="A160" s="64" t="s">
        <v>117</v>
      </c>
      <c r="B160" s="22"/>
      <c r="C160" s="22"/>
      <c r="D160" s="22"/>
      <c r="E160" s="22"/>
      <c r="F160" s="22"/>
      <c r="G160" s="22"/>
      <c r="H160" s="22"/>
      <c r="I160" s="22"/>
      <c r="J160" s="22"/>
      <c r="K160" s="22"/>
      <c r="L160" s="22"/>
      <c r="M160" s="22"/>
      <c r="N160" s="22"/>
    </row>
    <row r="161" spans="1:14">
      <c r="A161" s="64" t="s">
        <v>282</v>
      </c>
      <c r="B161" s="22"/>
      <c r="C161" s="22"/>
      <c r="D161" s="22"/>
      <c r="E161" s="22"/>
      <c r="F161" s="22"/>
      <c r="G161" s="22"/>
      <c r="H161" s="22"/>
      <c r="I161" s="22"/>
      <c r="J161" s="22"/>
      <c r="K161" s="22"/>
      <c r="L161" s="22"/>
      <c r="M161" s="22"/>
      <c r="N161" s="22"/>
    </row>
    <row r="162" spans="1:14">
      <c r="A162" s="64" t="s">
        <v>118</v>
      </c>
      <c r="B162" s="22"/>
      <c r="C162" s="22"/>
      <c r="D162" s="22"/>
      <c r="E162" s="22"/>
      <c r="F162" s="22"/>
      <c r="G162" s="107">
        <v>386.33</v>
      </c>
      <c r="H162" s="22"/>
      <c r="I162" s="22"/>
      <c r="J162" s="22"/>
      <c r="K162" s="107">
        <v>308.42</v>
      </c>
      <c r="L162" s="107">
        <v>-694.75</v>
      </c>
      <c r="M162" s="22"/>
      <c r="N162" s="107"/>
    </row>
    <row r="163" spans="1:14">
      <c r="A163" s="64" t="s">
        <v>119</v>
      </c>
      <c r="B163" s="22"/>
      <c r="C163" s="22"/>
      <c r="D163" s="22"/>
      <c r="E163" s="107">
        <v>530</v>
      </c>
      <c r="F163" s="22"/>
      <c r="G163" s="107">
        <v>170</v>
      </c>
      <c r="H163" s="107">
        <v>175</v>
      </c>
      <c r="I163" s="22"/>
      <c r="J163" s="107">
        <v>-170</v>
      </c>
      <c r="K163" s="22"/>
      <c r="L163" s="107">
        <v>-175</v>
      </c>
      <c r="M163" s="22"/>
      <c r="N163" s="107">
        <v>530</v>
      </c>
    </row>
    <row r="164" spans="1:14">
      <c r="A164" s="64" t="s">
        <v>120</v>
      </c>
      <c r="B164" s="107">
        <v>-165</v>
      </c>
      <c r="C164" s="107">
        <v>-170</v>
      </c>
      <c r="D164" s="22"/>
      <c r="E164" s="22"/>
      <c r="F164" s="22"/>
      <c r="G164" s="107">
        <v>435</v>
      </c>
      <c r="H164" s="107">
        <v>-135</v>
      </c>
      <c r="I164" s="107">
        <v>-75</v>
      </c>
      <c r="J164" s="107">
        <v>-300</v>
      </c>
      <c r="K164" s="22"/>
      <c r="L164" s="107">
        <v>75</v>
      </c>
      <c r="M164" s="22"/>
      <c r="N164" s="107">
        <v>-335</v>
      </c>
    </row>
    <row r="165" spans="1:14">
      <c r="A165" s="64" t="s">
        <v>121</v>
      </c>
      <c r="B165" s="22"/>
      <c r="C165" s="22"/>
      <c r="D165" s="22"/>
      <c r="E165" s="22"/>
      <c r="F165" s="22"/>
      <c r="G165" s="22"/>
      <c r="H165" s="107">
        <v>135</v>
      </c>
      <c r="I165" s="22"/>
      <c r="J165" s="22"/>
      <c r="K165" s="22"/>
      <c r="L165" s="107">
        <v>-135</v>
      </c>
      <c r="M165" s="22"/>
      <c r="N165" s="107"/>
    </row>
    <row r="166" spans="1:14">
      <c r="A166" s="64" t="s">
        <v>355</v>
      </c>
      <c r="B166" s="22"/>
      <c r="C166" s="22"/>
      <c r="D166" s="22"/>
      <c r="E166" s="22"/>
      <c r="F166" s="22"/>
      <c r="G166" s="22"/>
      <c r="H166" s="22"/>
      <c r="I166" s="22"/>
      <c r="J166" s="22"/>
      <c r="K166" s="107">
        <v>660</v>
      </c>
      <c r="L166" s="107">
        <v>-660</v>
      </c>
      <c r="M166" s="22"/>
      <c r="N166" s="107"/>
    </row>
    <row r="167" spans="1:14">
      <c r="A167" s="64" t="s">
        <v>122</v>
      </c>
      <c r="B167" s="113"/>
      <c r="C167" s="113"/>
      <c r="D167" s="113"/>
      <c r="E167" s="113"/>
      <c r="F167" s="113"/>
      <c r="G167" s="113"/>
      <c r="H167" s="113"/>
      <c r="I167" s="113"/>
      <c r="J167" s="113"/>
      <c r="K167" s="111">
        <v>49.91</v>
      </c>
      <c r="L167" s="111">
        <v>-49.91</v>
      </c>
      <c r="M167" s="113"/>
      <c r="N167" s="111"/>
    </row>
    <row r="168" spans="1:14">
      <c r="A168" s="64" t="s">
        <v>127</v>
      </c>
      <c r="B168" s="107">
        <f>SUM(B160:B167)</f>
        <v>-165</v>
      </c>
      <c r="C168" s="107">
        <f>SUM(C160:C167)</f>
        <v>-170</v>
      </c>
      <c r="D168" s="107"/>
      <c r="E168" s="107">
        <f>SUM(E160:E167)</f>
        <v>530</v>
      </c>
      <c r="F168" s="107"/>
      <c r="G168" s="107">
        <f t="shared" ref="G168:L168" si="49">SUM(G160:G167)</f>
        <v>991.32999999999993</v>
      </c>
      <c r="H168" s="107">
        <f t="shared" si="49"/>
        <v>175</v>
      </c>
      <c r="I168" s="107">
        <f t="shared" si="49"/>
        <v>-75</v>
      </c>
      <c r="J168" s="107">
        <f t="shared" si="49"/>
        <v>-470</v>
      </c>
      <c r="K168" s="107">
        <f t="shared" si="49"/>
        <v>1018.33</v>
      </c>
      <c r="L168" s="107">
        <f t="shared" si="49"/>
        <v>-1639.66</v>
      </c>
      <c r="M168" s="107"/>
      <c r="N168" s="107">
        <v>195</v>
      </c>
    </row>
    <row r="169" spans="1:14">
      <c r="A169" s="64"/>
      <c r="B169" s="22"/>
      <c r="C169" s="22"/>
      <c r="D169" s="22"/>
      <c r="E169" s="22"/>
      <c r="F169" s="22"/>
      <c r="G169" s="22"/>
      <c r="H169" s="22"/>
      <c r="I169" s="22"/>
      <c r="J169" s="22"/>
      <c r="K169" s="22"/>
      <c r="L169" s="22"/>
      <c r="M169" s="22"/>
      <c r="N169" s="22"/>
    </row>
    <row r="170" spans="1:14">
      <c r="A170" s="64" t="s">
        <v>47</v>
      </c>
      <c r="B170" s="107">
        <f t="shared" ref="B170:L170" si="50">SUM(B119:B169)-B128-0-0-B146-0-B158-B168</f>
        <v>7955.6800000000076</v>
      </c>
      <c r="C170" s="107">
        <f t="shared" si="50"/>
        <v>3135.880000000001</v>
      </c>
      <c r="D170" s="107">
        <f t="shared" si="50"/>
        <v>2015.6499999999951</v>
      </c>
      <c r="E170" s="107">
        <f t="shared" si="50"/>
        <v>-4501.179999999993</v>
      </c>
      <c r="F170" s="107">
        <f t="shared" si="50"/>
        <v>5145.5499999999847</v>
      </c>
      <c r="G170" s="107">
        <f t="shared" si="50"/>
        <v>1208.4600000000028</v>
      </c>
      <c r="H170" s="107">
        <f t="shared" si="50"/>
        <v>-4807.3700000000172</v>
      </c>
      <c r="I170" s="107">
        <f t="shared" si="50"/>
        <v>6528.4799999999977</v>
      </c>
      <c r="J170" s="107">
        <f t="shared" si="50"/>
        <v>4768.20999999999</v>
      </c>
      <c r="K170" s="107">
        <f t="shared" si="50"/>
        <v>13252.12</v>
      </c>
      <c r="L170" s="107">
        <f t="shared" si="50"/>
        <v>-20949.90000000002</v>
      </c>
      <c r="M170" s="107"/>
      <c r="N170" s="107">
        <v>13751.58</v>
      </c>
    </row>
    <row r="171" spans="1:14">
      <c r="A171" s="64"/>
      <c r="B171" s="22"/>
      <c r="C171" s="22"/>
      <c r="D171" s="22"/>
      <c r="E171" s="22"/>
      <c r="F171" s="22"/>
      <c r="G171" s="22"/>
      <c r="H171" s="22"/>
      <c r="I171" s="22"/>
      <c r="J171" s="22"/>
      <c r="K171" s="22"/>
      <c r="L171" s="22"/>
      <c r="M171" s="22"/>
      <c r="N171" s="22"/>
    </row>
    <row r="172" spans="1:14">
      <c r="A172" s="64" t="s">
        <v>48</v>
      </c>
      <c r="B172" s="22"/>
      <c r="C172" s="22"/>
      <c r="D172" s="22"/>
      <c r="E172" s="22"/>
      <c r="F172" s="22"/>
      <c r="G172" s="22"/>
      <c r="H172" s="22"/>
      <c r="I172" s="22"/>
      <c r="J172" s="22"/>
      <c r="K172" s="22"/>
      <c r="L172" s="22"/>
      <c r="M172" s="22"/>
      <c r="N172" s="22"/>
    </row>
    <row r="173" spans="1:14">
      <c r="A173" s="64" t="s">
        <v>130</v>
      </c>
      <c r="B173" s="107">
        <v>65</v>
      </c>
      <c r="C173" s="22"/>
      <c r="D173" s="22"/>
      <c r="E173" s="22"/>
      <c r="F173" s="22"/>
      <c r="G173" s="22"/>
      <c r="H173" s="22"/>
      <c r="I173" s="107">
        <v>65</v>
      </c>
      <c r="J173" s="22"/>
      <c r="K173" s="107">
        <v>65</v>
      </c>
      <c r="L173" s="107">
        <v>-130</v>
      </c>
      <c r="M173" s="22"/>
      <c r="N173" s="107">
        <v>65</v>
      </c>
    </row>
    <row r="174" spans="1:14">
      <c r="A174" s="64" t="s">
        <v>132</v>
      </c>
      <c r="B174" s="107">
        <v>0.15</v>
      </c>
      <c r="C174" s="107">
        <v>877.96</v>
      </c>
      <c r="D174" s="22"/>
      <c r="E174" s="107">
        <v>87.27</v>
      </c>
      <c r="F174" s="107">
        <v>4803.58</v>
      </c>
      <c r="G174" s="107">
        <v>243.58</v>
      </c>
      <c r="H174" s="107">
        <v>1.03</v>
      </c>
      <c r="I174" s="107">
        <v>10.14</v>
      </c>
      <c r="J174" s="107">
        <v>396.97</v>
      </c>
      <c r="K174" s="107">
        <v>200</v>
      </c>
      <c r="L174" s="107">
        <v>-851.72</v>
      </c>
      <c r="M174" s="107"/>
      <c r="N174" s="107">
        <v>5768.96</v>
      </c>
    </row>
    <row r="175" spans="1:14">
      <c r="A175" s="64" t="s">
        <v>133</v>
      </c>
      <c r="B175" s="107">
        <v>23816</v>
      </c>
      <c r="C175" s="107">
        <v>41275</v>
      </c>
      <c r="D175" s="107">
        <v>51591</v>
      </c>
      <c r="E175" s="107">
        <v>44610</v>
      </c>
      <c r="F175" s="107">
        <v>211650</v>
      </c>
      <c r="G175" s="107">
        <v>21995</v>
      </c>
      <c r="H175" s="107">
        <v>19677</v>
      </c>
      <c r="I175" s="107">
        <v>22326</v>
      </c>
      <c r="J175" s="107">
        <v>21947</v>
      </c>
      <c r="K175" s="107">
        <v>22136</v>
      </c>
      <c r="L175" s="107">
        <v>-108081</v>
      </c>
      <c r="M175" s="22"/>
      <c r="N175" s="107">
        <v>372942</v>
      </c>
    </row>
    <row r="176" spans="1:14">
      <c r="A176" s="64" t="s">
        <v>360</v>
      </c>
      <c r="B176" s="107">
        <v>6000</v>
      </c>
      <c r="C176" s="107">
        <v>48000</v>
      </c>
      <c r="D176" s="107">
        <v>6600</v>
      </c>
      <c r="E176" s="107">
        <v>23100</v>
      </c>
      <c r="F176" s="107">
        <v>19500</v>
      </c>
      <c r="G176" s="107">
        <v>41599.49</v>
      </c>
      <c r="H176" s="107">
        <v>60250</v>
      </c>
      <c r="I176" s="107">
        <v>80500</v>
      </c>
      <c r="J176" s="107"/>
      <c r="K176" s="22"/>
      <c r="L176" s="107">
        <v>-182349.49</v>
      </c>
      <c r="M176" s="22"/>
      <c r="N176" s="107">
        <v>103200</v>
      </c>
    </row>
    <row r="177" spans="1:14">
      <c r="A177" s="64" t="s">
        <v>134</v>
      </c>
      <c r="B177" s="22"/>
      <c r="C177" s="107">
        <v>9.19</v>
      </c>
      <c r="D177" s="107">
        <v>10.15</v>
      </c>
      <c r="E177" s="107">
        <v>0.32</v>
      </c>
      <c r="F177" s="107"/>
      <c r="G177" s="22"/>
      <c r="H177" s="22"/>
      <c r="I177" s="107">
        <v>0.15</v>
      </c>
      <c r="J177" s="22"/>
      <c r="K177" s="22"/>
      <c r="L177" s="107">
        <v>-0.15</v>
      </c>
      <c r="M177" s="22"/>
      <c r="N177" s="107">
        <v>19.66</v>
      </c>
    </row>
    <row r="178" spans="1:14">
      <c r="A178" s="64" t="s">
        <v>396</v>
      </c>
      <c r="B178" s="22"/>
      <c r="C178" s="22"/>
      <c r="D178" s="22"/>
      <c r="E178" s="22"/>
      <c r="F178" s="107">
        <v>338930</v>
      </c>
      <c r="G178" s="22"/>
      <c r="H178" s="22"/>
      <c r="I178" s="22"/>
      <c r="J178" s="22"/>
      <c r="K178" s="22"/>
      <c r="L178" s="22"/>
      <c r="M178" s="22"/>
      <c r="N178" s="107">
        <v>338930</v>
      </c>
    </row>
    <row r="179" spans="1:14">
      <c r="A179" s="64" t="s">
        <v>397</v>
      </c>
      <c r="B179" s="113"/>
      <c r="C179" s="113"/>
      <c r="D179" s="113"/>
      <c r="E179" s="113"/>
      <c r="F179" s="111">
        <v>-1694623</v>
      </c>
      <c r="G179" s="113"/>
      <c r="H179" s="113"/>
      <c r="I179" s="113"/>
      <c r="J179" s="113"/>
      <c r="K179" s="113"/>
      <c r="L179" s="113"/>
      <c r="M179" s="113"/>
      <c r="N179" s="111">
        <v>-1694623</v>
      </c>
    </row>
    <row r="180" spans="1:14">
      <c r="A180" s="64" t="s">
        <v>135</v>
      </c>
      <c r="B180" s="107">
        <f t="shared" ref="B180:L180" si="51">SUM(B171:B179)</f>
        <v>29881.15</v>
      </c>
      <c r="C180" s="107">
        <f t="shared" si="51"/>
        <v>90162.15</v>
      </c>
      <c r="D180" s="107">
        <f t="shared" si="51"/>
        <v>58201.15</v>
      </c>
      <c r="E180" s="107">
        <f t="shared" si="51"/>
        <v>67797.59</v>
      </c>
      <c r="F180" s="107">
        <f t="shared" si="51"/>
        <v>-1119739.42</v>
      </c>
      <c r="G180" s="107">
        <f t="shared" si="51"/>
        <v>63838.07</v>
      </c>
      <c r="H180" s="107">
        <f t="shared" si="51"/>
        <v>79928.03</v>
      </c>
      <c r="I180" s="107">
        <f t="shared" si="51"/>
        <v>102901.29</v>
      </c>
      <c r="J180" s="107">
        <f t="shared" si="51"/>
        <v>22343.97</v>
      </c>
      <c r="K180" s="107">
        <f t="shared" si="51"/>
        <v>22401</v>
      </c>
      <c r="L180" s="107">
        <f t="shared" si="51"/>
        <v>-291412.36</v>
      </c>
      <c r="M180" s="107"/>
      <c r="N180" s="107">
        <v>-873697.38</v>
      </c>
    </row>
    <row r="181" spans="1:14">
      <c r="A181" s="64"/>
      <c r="B181" s="22"/>
      <c r="C181" s="22"/>
      <c r="D181" s="22"/>
      <c r="E181" s="22"/>
      <c r="F181" s="22"/>
      <c r="G181" s="22"/>
      <c r="H181" s="22"/>
      <c r="I181" s="22"/>
      <c r="J181" s="22"/>
      <c r="K181" s="22"/>
      <c r="L181" s="22"/>
      <c r="M181" s="22"/>
      <c r="N181" s="22"/>
    </row>
    <row r="182" spans="1:14" ht="15.75" thickBot="1">
      <c r="A182" s="64" t="s">
        <v>13</v>
      </c>
      <c r="B182" s="112">
        <f t="shared" ref="B182:L182" si="52">SUM(B67:B181)-B69-B73-B77-B80-B84-B88-B90-B96-B100-B104-B107-B111-B115-B117-B128-0-0-B146-0-B158-B168-B170-B180</f>
        <v>573410.73</v>
      </c>
      <c r="C182" s="112">
        <f t="shared" si="52"/>
        <v>592947.75999999966</v>
      </c>
      <c r="D182" s="112">
        <f t="shared" si="52"/>
        <v>522128.03999999934</v>
      </c>
      <c r="E182" s="112">
        <f t="shared" si="52"/>
        <v>738898.14999999979</v>
      </c>
      <c r="F182" s="112">
        <f t="shared" si="52"/>
        <v>-504537.83999999962</v>
      </c>
      <c r="G182" s="112">
        <f t="shared" si="52"/>
        <v>721276.9299999997</v>
      </c>
      <c r="H182" s="112">
        <f t="shared" si="52"/>
        <v>687177.9499999996</v>
      </c>
      <c r="I182" s="112">
        <f t="shared" si="52"/>
        <v>562630.18999999959</v>
      </c>
      <c r="J182" s="112">
        <f t="shared" si="52"/>
        <v>495106.08000000019</v>
      </c>
      <c r="K182" s="112">
        <f t="shared" si="52"/>
        <v>535634.99000000011</v>
      </c>
      <c r="L182" s="112">
        <f t="shared" si="52"/>
        <v>-3001826.140000002</v>
      </c>
      <c r="M182" s="112"/>
      <c r="N182" s="112">
        <v>1922846.84</v>
      </c>
    </row>
    <row r="183" spans="1:14" ht="15.75" thickTop="1">
      <c r="A183" s="64"/>
      <c r="B183" s="22"/>
      <c r="C183" s="22"/>
      <c r="D183" s="22"/>
      <c r="E183" s="22"/>
      <c r="F183" s="22"/>
      <c r="G183" s="22"/>
      <c r="H183" s="22"/>
      <c r="I183" s="22"/>
      <c r="J183" s="22"/>
      <c r="K183" s="22"/>
      <c r="L183" s="22"/>
      <c r="M183" s="22"/>
      <c r="N183" s="22"/>
    </row>
    <row r="184" spans="1:14">
      <c r="A184" s="64"/>
      <c r="B184" s="22"/>
      <c r="C184" s="22"/>
      <c r="D184" s="22"/>
      <c r="E184" s="22"/>
      <c r="F184" s="22"/>
      <c r="G184" s="22"/>
      <c r="H184" s="22"/>
      <c r="I184" s="22"/>
      <c r="J184" s="22"/>
      <c r="K184" s="22"/>
      <c r="L184" s="22"/>
      <c r="M184" s="22"/>
      <c r="N184" s="22"/>
    </row>
    <row r="185" spans="1:14">
      <c r="A185" s="64" t="s">
        <v>14</v>
      </c>
      <c r="B185" s="22"/>
      <c r="C185" s="22"/>
      <c r="D185" s="22"/>
      <c r="E185" s="22"/>
      <c r="F185" s="22"/>
      <c r="G185" s="22"/>
      <c r="H185" s="22"/>
      <c r="I185" s="22"/>
      <c r="J185" s="22"/>
      <c r="K185" s="22"/>
      <c r="L185" s="22"/>
      <c r="M185" s="22"/>
      <c r="N185" s="22"/>
    </row>
    <row r="186" spans="1:14">
      <c r="A186" s="64"/>
      <c r="B186" s="22"/>
      <c r="C186" s="22"/>
      <c r="D186" s="22"/>
      <c r="E186" s="22"/>
      <c r="F186" s="22"/>
      <c r="G186" s="22"/>
      <c r="H186" s="22"/>
      <c r="I186" s="22"/>
      <c r="J186" s="22"/>
      <c r="K186" s="22"/>
      <c r="L186" s="22"/>
      <c r="M186" s="22"/>
      <c r="N186" s="22"/>
    </row>
    <row r="187" spans="1:14">
      <c r="A187" s="64" t="s">
        <v>136</v>
      </c>
      <c r="B187" s="22"/>
      <c r="C187" s="22"/>
      <c r="D187" s="22"/>
      <c r="E187" s="22"/>
      <c r="F187" s="22"/>
      <c r="G187" s="22"/>
      <c r="H187" s="22"/>
      <c r="I187" s="22"/>
      <c r="J187" s="22"/>
      <c r="K187" s="22"/>
      <c r="L187" s="22"/>
      <c r="M187" s="22"/>
      <c r="N187" s="22"/>
    </row>
    <row r="188" spans="1:14">
      <c r="A188" s="64" t="s">
        <v>137</v>
      </c>
      <c r="B188" s="107">
        <v>9266.32</v>
      </c>
      <c r="C188" s="107">
        <v>8502.7000000000007</v>
      </c>
      <c r="D188" s="107">
        <v>8942.33</v>
      </c>
      <c r="E188" s="107">
        <v>9153.86</v>
      </c>
      <c r="F188" s="107">
        <v>6886.83</v>
      </c>
      <c r="G188" s="107">
        <v>9020.36</v>
      </c>
      <c r="H188" s="107">
        <v>8219.7900000000009</v>
      </c>
      <c r="I188" s="107">
        <v>8154.95</v>
      </c>
      <c r="J188" s="107">
        <v>8810.4500000000007</v>
      </c>
      <c r="K188" s="107">
        <v>10269.33</v>
      </c>
      <c r="L188" s="107">
        <v>-44474.879999999997</v>
      </c>
      <c r="M188" s="107"/>
      <c r="N188" s="107">
        <v>42752.04</v>
      </c>
    </row>
    <row r="189" spans="1:14">
      <c r="A189" s="64" t="s">
        <v>138</v>
      </c>
      <c r="B189" s="107">
        <v>48622.61</v>
      </c>
      <c r="C189" s="107">
        <v>42593.120000000003</v>
      </c>
      <c r="D189" s="107">
        <v>36228.68</v>
      </c>
      <c r="E189" s="107">
        <v>24239.57</v>
      </c>
      <c r="F189" s="107">
        <v>38743.01</v>
      </c>
      <c r="G189" s="107">
        <v>14732.29</v>
      </c>
      <c r="H189" s="107">
        <v>19487.400000000001</v>
      </c>
      <c r="I189" s="107">
        <v>18989.29</v>
      </c>
      <c r="J189" s="107">
        <v>14214.5</v>
      </c>
      <c r="K189" s="107">
        <v>21138.97</v>
      </c>
      <c r="L189" s="107">
        <v>-88562.45</v>
      </c>
      <c r="M189" s="107"/>
      <c r="N189" s="107">
        <v>190426.99</v>
      </c>
    </row>
    <row r="190" spans="1:14">
      <c r="A190" s="64" t="s">
        <v>139</v>
      </c>
      <c r="B190" s="107">
        <v>66112.94</v>
      </c>
      <c r="C190" s="107">
        <v>60881.05</v>
      </c>
      <c r="D190" s="107">
        <v>68529.75</v>
      </c>
      <c r="E190" s="107">
        <v>63207.38</v>
      </c>
      <c r="F190" s="107">
        <v>70696.34</v>
      </c>
      <c r="G190" s="107">
        <v>63439.87</v>
      </c>
      <c r="H190" s="107">
        <v>53670.93</v>
      </c>
      <c r="I190" s="107">
        <v>52230.67</v>
      </c>
      <c r="J190" s="107">
        <v>52820.06</v>
      </c>
      <c r="K190" s="107">
        <v>50880.02</v>
      </c>
      <c r="L190" s="107">
        <v>-273041.55</v>
      </c>
      <c r="M190" s="107"/>
      <c r="N190" s="107">
        <v>329427.46000000002</v>
      </c>
    </row>
    <row r="191" spans="1:14">
      <c r="A191" s="64" t="s">
        <v>140</v>
      </c>
      <c r="B191" s="107">
        <v>5701.79</v>
      </c>
      <c r="C191" s="107">
        <v>7674.01</v>
      </c>
      <c r="D191" s="107">
        <v>10395.52</v>
      </c>
      <c r="E191" s="107">
        <v>9325.32</v>
      </c>
      <c r="F191" s="107">
        <v>7845.98</v>
      </c>
      <c r="G191" s="107">
        <v>5907.8</v>
      </c>
      <c r="H191" s="107">
        <v>6914.25</v>
      </c>
      <c r="I191" s="107">
        <v>11272.68</v>
      </c>
      <c r="J191" s="107">
        <v>8029.92</v>
      </c>
      <c r="K191" s="107">
        <v>11219.45</v>
      </c>
      <c r="L191" s="107">
        <v>-43344.1</v>
      </c>
      <c r="M191" s="107"/>
      <c r="N191" s="107">
        <v>40942.620000000003</v>
      </c>
    </row>
    <row r="192" spans="1:14">
      <c r="A192" s="64" t="s">
        <v>141</v>
      </c>
      <c r="B192" s="107">
        <v>17484.54</v>
      </c>
      <c r="C192" s="107">
        <v>14066.41</v>
      </c>
      <c r="D192" s="107">
        <v>16576.419999999998</v>
      </c>
      <c r="E192" s="107">
        <v>11207.93</v>
      </c>
      <c r="F192" s="107">
        <v>14126.64</v>
      </c>
      <c r="G192" s="107">
        <v>17069.36</v>
      </c>
      <c r="H192" s="107">
        <v>14493.24</v>
      </c>
      <c r="I192" s="107">
        <v>16145.57</v>
      </c>
      <c r="J192" s="107">
        <v>13033.29</v>
      </c>
      <c r="K192" s="107">
        <v>14877.11</v>
      </c>
      <c r="L192" s="107">
        <v>-75618.570000000007</v>
      </c>
      <c r="M192" s="107"/>
      <c r="N192" s="107">
        <v>73461.94</v>
      </c>
    </row>
    <row r="193" spans="1:14">
      <c r="A193" s="64" t="s">
        <v>142</v>
      </c>
      <c r="B193" s="107">
        <v>5452.63</v>
      </c>
      <c r="C193" s="107">
        <v>4415.62</v>
      </c>
      <c r="D193" s="107">
        <v>3464.75</v>
      </c>
      <c r="E193" s="107">
        <v>4231.75</v>
      </c>
      <c r="F193" s="107">
        <v>5542.38</v>
      </c>
      <c r="G193" s="107">
        <v>4150.4799999999996</v>
      </c>
      <c r="H193" s="107">
        <v>3409.14</v>
      </c>
      <c r="I193" s="107">
        <v>4412.57</v>
      </c>
      <c r="J193" s="107">
        <v>3849.43</v>
      </c>
      <c r="K193" s="107">
        <v>5299.23</v>
      </c>
      <c r="L193" s="107">
        <v>-21120.85</v>
      </c>
      <c r="M193" s="107"/>
      <c r="N193" s="107">
        <v>23107.13</v>
      </c>
    </row>
    <row r="194" spans="1:14">
      <c r="A194" s="64" t="s">
        <v>143</v>
      </c>
      <c r="B194" s="107">
        <v>59045.39</v>
      </c>
      <c r="C194" s="107">
        <v>59069.74</v>
      </c>
      <c r="D194" s="107">
        <v>60750.92</v>
      </c>
      <c r="E194" s="107">
        <v>63834.74</v>
      </c>
      <c r="F194" s="107">
        <v>67880.240000000005</v>
      </c>
      <c r="G194" s="107">
        <v>42547.27</v>
      </c>
      <c r="H194" s="107">
        <v>53335.21</v>
      </c>
      <c r="I194" s="107">
        <v>61881.61</v>
      </c>
      <c r="J194" s="107">
        <v>63099.51</v>
      </c>
      <c r="K194" s="107">
        <v>46149.7</v>
      </c>
      <c r="L194" s="107">
        <v>-267013.3</v>
      </c>
      <c r="M194" s="107"/>
      <c r="N194" s="107">
        <v>310581.03000000003</v>
      </c>
    </row>
    <row r="195" spans="1:14">
      <c r="A195" s="64" t="s">
        <v>144</v>
      </c>
      <c r="B195" s="107">
        <v>4684.0600000000004</v>
      </c>
      <c r="C195" s="107">
        <v>4532.95</v>
      </c>
      <c r="D195" s="107">
        <v>4684.0600000000004</v>
      </c>
      <c r="E195" s="107">
        <v>4532.96</v>
      </c>
      <c r="F195" s="107">
        <v>4472.5200000000004</v>
      </c>
      <c r="G195" s="107">
        <v>4260.9399999999996</v>
      </c>
      <c r="H195" s="107">
        <v>4230.76</v>
      </c>
      <c r="I195" s="107">
        <v>4684.05</v>
      </c>
      <c r="J195" s="107">
        <v>4532.96</v>
      </c>
      <c r="K195" s="107">
        <v>4472.5200000000004</v>
      </c>
      <c r="L195" s="107">
        <v>-22181.23</v>
      </c>
      <c r="M195" s="107"/>
      <c r="N195" s="107">
        <v>22906.55</v>
      </c>
    </row>
    <row r="196" spans="1:14">
      <c r="A196" s="64" t="s">
        <v>145</v>
      </c>
      <c r="B196" s="107">
        <v>3371.03</v>
      </c>
      <c r="C196" s="107">
        <v>3262.28</v>
      </c>
      <c r="D196" s="107">
        <v>3371.03</v>
      </c>
      <c r="E196" s="107">
        <v>3262.29</v>
      </c>
      <c r="F196" s="107">
        <v>3218.79</v>
      </c>
      <c r="G196" s="107">
        <v>3165.8</v>
      </c>
      <c r="H196" s="107">
        <v>3137.44</v>
      </c>
      <c r="I196" s="107">
        <v>3473.6</v>
      </c>
      <c r="J196" s="107">
        <v>3361.54</v>
      </c>
      <c r="K196" s="107">
        <v>3316.72</v>
      </c>
      <c r="L196" s="107">
        <v>-16455.099999999999</v>
      </c>
      <c r="M196" s="107"/>
      <c r="N196" s="107">
        <v>16485.419999999998</v>
      </c>
    </row>
    <row r="197" spans="1:14">
      <c r="A197" s="64" t="s">
        <v>147</v>
      </c>
      <c r="B197" s="107">
        <v>1580.09</v>
      </c>
      <c r="C197" s="107">
        <v>2479.29</v>
      </c>
      <c r="D197" s="107">
        <v>1772.41</v>
      </c>
      <c r="E197" s="107">
        <v>2782.77</v>
      </c>
      <c r="F197" s="107">
        <v>1575.27</v>
      </c>
      <c r="G197" s="107">
        <v>2456.5100000000002</v>
      </c>
      <c r="H197" s="107">
        <v>2175.0100000000002</v>
      </c>
      <c r="I197" s="107">
        <v>2788.81</v>
      </c>
      <c r="J197" s="107">
        <v>1228.94</v>
      </c>
      <c r="K197" s="107">
        <v>809.51</v>
      </c>
      <c r="L197" s="107">
        <v>-9458.7800000000007</v>
      </c>
      <c r="M197" s="107"/>
      <c r="N197" s="107">
        <v>10189.83</v>
      </c>
    </row>
    <row r="198" spans="1:14">
      <c r="A198" s="64" t="s">
        <v>148</v>
      </c>
      <c r="B198" s="22"/>
      <c r="C198" s="22"/>
      <c r="D198" s="22"/>
      <c r="E198" s="107">
        <v>6416.77</v>
      </c>
      <c r="F198" s="107">
        <v>2401.65</v>
      </c>
      <c r="G198" s="107">
        <v>-613.25</v>
      </c>
      <c r="H198" s="107">
        <v>2237.67</v>
      </c>
      <c r="I198" s="107">
        <v>2663.04</v>
      </c>
      <c r="J198" s="107">
        <v>8267.5</v>
      </c>
      <c r="K198" s="107">
        <v>4955.91</v>
      </c>
      <c r="L198" s="107">
        <v>-17510.87</v>
      </c>
      <c r="M198" s="107"/>
      <c r="N198" s="107">
        <v>8818.42</v>
      </c>
    </row>
    <row r="199" spans="1:14">
      <c r="A199" s="64" t="s">
        <v>283</v>
      </c>
      <c r="B199" s="22"/>
      <c r="C199" s="22"/>
      <c r="D199" s="22"/>
      <c r="E199" s="22"/>
      <c r="F199" s="22"/>
      <c r="G199" s="22"/>
      <c r="H199" s="107">
        <v>566.86</v>
      </c>
      <c r="I199" s="107">
        <v>3180.57</v>
      </c>
      <c r="J199" s="107">
        <v>3412.57</v>
      </c>
      <c r="K199" s="107">
        <v>-764</v>
      </c>
      <c r="L199" s="107">
        <v>-6396</v>
      </c>
      <c r="M199" s="22"/>
      <c r="N199" s="107"/>
    </row>
    <row r="200" spans="1:14">
      <c r="A200" s="64" t="s">
        <v>153</v>
      </c>
      <c r="B200" s="107">
        <v>5314.29</v>
      </c>
      <c r="C200" s="107">
        <v>5142.8500000000004</v>
      </c>
      <c r="D200" s="107">
        <v>5314.29</v>
      </c>
      <c r="E200" s="107">
        <v>5142.8599999999997</v>
      </c>
      <c r="F200" s="107">
        <v>6754.28</v>
      </c>
      <c r="G200" s="107">
        <v>4916.57</v>
      </c>
      <c r="H200" s="107">
        <v>4944</v>
      </c>
      <c r="I200" s="107">
        <v>5473.72</v>
      </c>
      <c r="J200" s="107">
        <v>5297.14</v>
      </c>
      <c r="K200" s="107">
        <v>5526.51</v>
      </c>
      <c r="L200" s="107">
        <v>-26157.94</v>
      </c>
      <c r="M200" s="107"/>
      <c r="N200" s="107">
        <v>27668.57</v>
      </c>
    </row>
    <row r="201" spans="1:14">
      <c r="A201" s="64" t="s">
        <v>154</v>
      </c>
      <c r="B201" s="107">
        <v>10837.78</v>
      </c>
      <c r="C201" s="107">
        <v>9762.36</v>
      </c>
      <c r="D201" s="107">
        <v>10087.780000000001</v>
      </c>
      <c r="E201" s="107">
        <v>9762.36</v>
      </c>
      <c r="F201" s="107">
        <v>9632.2000000000007</v>
      </c>
      <c r="G201" s="107">
        <v>9176.16</v>
      </c>
      <c r="H201" s="107">
        <v>11261.97</v>
      </c>
      <c r="I201" s="107">
        <v>9959.5</v>
      </c>
      <c r="J201" s="107">
        <v>9890.1299999999992</v>
      </c>
      <c r="K201" s="107">
        <v>9401.1</v>
      </c>
      <c r="L201" s="107">
        <v>-49688.86</v>
      </c>
      <c r="M201" s="107"/>
      <c r="N201" s="107">
        <v>50082.48</v>
      </c>
    </row>
    <row r="202" spans="1:14">
      <c r="A202" s="64" t="s">
        <v>155</v>
      </c>
      <c r="B202" s="111">
        <v>15949.27</v>
      </c>
      <c r="C202" s="111">
        <v>12592.22</v>
      </c>
      <c r="D202" s="111">
        <v>15825.38</v>
      </c>
      <c r="E202" s="111">
        <v>18994.61</v>
      </c>
      <c r="F202" s="111">
        <v>9179.81</v>
      </c>
      <c r="G202" s="111">
        <v>25483.29</v>
      </c>
      <c r="H202" s="111">
        <v>24486.83</v>
      </c>
      <c r="I202" s="111">
        <v>23297.79</v>
      </c>
      <c r="J202" s="111">
        <v>16080.82</v>
      </c>
      <c r="K202" s="111">
        <v>19707.89</v>
      </c>
      <c r="L202" s="111">
        <v>-109056.62</v>
      </c>
      <c r="M202" s="111"/>
      <c r="N202" s="111">
        <v>72541.289999999994</v>
      </c>
    </row>
    <row r="203" spans="1:14">
      <c r="A203" s="64" t="s">
        <v>156</v>
      </c>
      <c r="B203" s="107">
        <f t="shared" ref="B203:L203" si="53">SUM(B183:B202)</f>
        <v>253422.73999999996</v>
      </c>
      <c r="C203" s="107">
        <f t="shared" si="53"/>
        <v>234974.6</v>
      </c>
      <c r="D203" s="107">
        <f t="shared" si="53"/>
        <v>245943.32</v>
      </c>
      <c r="E203" s="107">
        <f t="shared" si="53"/>
        <v>236095.16999999993</v>
      </c>
      <c r="F203" s="107">
        <f t="shared" si="53"/>
        <v>248955.93999999997</v>
      </c>
      <c r="G203" s="107">
        <f t="shared" si="53"/>
        <v>205713.45</v>
      </c>
      <c r="H203" s="107">
        <f t="shared" si="53"/>
        <v>212570.5</v>
      </c>
      <c r="I203" s="107">
        <f t="shared" si="53"/>
        <v>228608.42000000004</v>
      </c>
      <c r="J203" s="107">
        <f t="shared" si="53"/>
        <v>215928.76000000004</v>
      </c>
      <c r="K203" s="107">
        <f t="shared" si="53"/>
        <v>207259.97000000003</v>
      </c>
      <c r="L203" s="107">
        <f t="shared" si="53"/>
        <v>-1070081.0999999999</v>
      </c>
      <c r="M203" s="107"/>
      <c r="N203" s="107">
        <v>1219391.77</v>
      </c>
    </row>
    <row r="204" spans="1:14">
      <c r="A204" s="64"/>
      <c r="B204" s="22"/>
      <c r="C204" s="22"/>
      <c r="D204" s="22"/>
      <c r="E204" s="22"/>
      <c r="F204" s="22"/>
      <c r="G204" s="22"/>
      <c r="H204" s="22"/>
      <c r="I204" s="22"/>
      <c r="J204" s="22"/>
      <c r="K204" s="22"/>
      <c r="L204" s="22"/>
      <c r="M204" s="22"/>
      <c r="N204" s="22"/>
    </row>
    <row r="205" spans="1:14">
      <c r="A205" s="64"/>
      <c r="B205" s="22"/>
      <c r="C205" s="22"/>
      <c r="D205" s="22"/>
      <c r="E205" s="22"/>
      <c r="F205" s="22"/>
      <c r="G205" s="22"/>
      <c r="H205" s="22"/>
      <c r="I205" s="22"/>
      <c r="J205" s="22"/>
      <c r="K205" s="22"/>
      <c r="L205" s="22"/>
      <c r="M205" s="22"/>
      <c r="N205" s="22"/>
    </row>
    <row r="206" spans="1:14">
      <c r="A206" s="64" t="s">
        <v>157</v>
      </c>
      <c r="B206" s="22"/>
      <c r="C206" s="22"/>
      <c r="D206" s="22"/>
      <c r="E206" s="22"/>
      <c r="F206" s="22"/>
      <c r="G206" s="22"/>
      <c r="H206" s="22"/>
      <c r="I206" s="22"/>
      <c r="J206" s="22"/>
      <c r="K206" s="22"/>
      <c r="L206" s="22"/>
      <c r="M206" s="22"/>
      <c r="N206" s="22"/>
    </row>
    <row r="207" spans="1:14">
      <c r="A207" s="64" t="s">
        <v>159</v>
      </c>
      <c r="B207" s="107">
        <v>1737.74</v>
      </c>
      <c r="C207" s="107">
        <v>280</v>
      </c>
      <c r="D207" s="107">
        <v>2824.74</v>
      </c>
      <c r="E207" s="107">
        <v>3585.33</v>
      </c>
      <c r="F207" s="107">
        <v>-73578.960000000006</v>
      </c>
      <c r="G207" s="107"/>
      <c r="H207" s="107"/>
      <c r="I207" s="107"/>
      <c r="J207" s="107"/>
      <c r="K207" s="107"/>
      <c r="L207" s="107"/>
      <c r="M207" s="107"/>
      <c r="N207" s="107">
        <v>-65151.15</v>
      </c>
    </row>
    <row r="208" spans="1:14">
      <c r="A208" s="64" t="s">
        <v>160</v>
      </c>
      <c r="B208" s="22"/>
      <c r="C208" s="22"/>
      <c r="D208" s="22"/>
      <c r="E208" s="22"/>
      <c r="F208" s="107">
        <v>-90</v>
      </c>
      <c r="G208" s="22"/>
      <c r="H208" s="22"/>
      <c r="I208" s="107"/>
      <c r="J208" s="22"/>
      <c r="K208" s="22"/>
      <c r="L208" s="107"/>
      <c r="M208" s="22"/>
      <c r="N208" s="107">
        <v>-90</v>
      </c>
    </row>
    <row r="209" spans="1:14">
      <c r="A209" s="64" t="s">
        <v>161</v>
      </c>
      <c r="B209" s="111">
        <v>19397.689999999999</v>
      </c>
      <c r="C209" s="111">
        <v>12794.03</v>
      </c>
      <c r="D209" s="111">
        <v>2227.31</v>
      </c>
      <c r="E209" s="111">
        <v>6943.35</v>
      </c>
      <c r="F209" s="111">
        <v>-62853.81</v>
      </c>
      <c r="G209" s="111"/>
      <c r="H209" s="111"/>
      <c r="I209" s="111"/>
      <c r="J209" s="111"/>
      <c r="K209" s="111"/>
      <c r="L209" s="111"/>
      <c r="M209" s="111"/>
      <c r="N209" s="111">
        <v>-21491.43</v>
      </c>
    </row>
    <row r="210" spans="1:14">
      <c r="A210" s="64" t="s">
        <v>162</v>
      </c>
      <c r="B210" s="107">
        <f>SUM(B204:B209)</f>
        <v>21135.43</v>
      </c>
      <c r="C210" s="107">
        <f>SUM(C204:C209)</f>
        <v>13074.03</v>
      </c>
      <c r="D210" s="107">
        <f>SUM(D204:D209)</f>
        <v>5052.0499999999993</v>
      </c>
      <c r="E210" s="107">
        <f>SUM(E204:E209)</f>
        <v>10528.68</v>
      </c>
      <c r="F210" s="107">
        <f>SUM(F204:F209)</f>
        <v>-136522.77000000002</v>
      </c>
      <c r="G210" s="107"/>
      <c r="H210" s="107"/>
      <c r="I210" s="107"/>
      <c r="J210" s="107"/>
      <c r="K210" s="107"/>
      <c r="L210" s="107"/>
      <c r="M210" s="107"/>
      <c r="N210" s="107">
        <v>-86732.58</v>
      </c>
    </row>
    <row r="211" spans="1:14">
      <c r="A211" s="64"/>
      <c r="B211" s="22"/>
      <c r="C211" s="22"/>
      <c r="D211" s="22"/>
      <c r="E211" s="22"/>
      <c r="F211" s="22"/>
      <c r="G211" s="22"/>
      <c r="H211" s="22"/>
      <c r="I211" s="22"/>
      <c r="J211" s="22"/>
      <c r="K211" s="22"/>
      <c r="L211" s="22"/>
      <c r="M211" s="22"/>
      <c r="N211" s="22"/>
    </row>
    <row r="212" spans="1:14">
      <c r="A212" s="64" t="s">
        <v>163</v>
      </c>
      <c r="B212" s="22"/>
      <c r="C212" s="22"/>
      <c r="D212" s="22"/>
      <c r="E212" s="22"/>
      <c r="F212" s="22"/>
      <c r="G212" s="22"/>
      <c r="H212" s="22"/>
      <c r="I212" s="22"/>
      <c r="J212" s="22"/>
      <c r="K212" s="22"/>
      <c r="L212" s="22"/>
      <c r="M212" s="22"/>
      <c r="N212" s="22"/>
    </row>
    <row r="213" spans="1:14">
      <c r="A213" s="64" t="s">
        <v>164</v>
      </c>
      <c r="B213" s="107">
        <v>19768.349999999999</v>
      </c>
      <c r="C213" s="107">
        <v>19205.66</v>
      </c>
      <c r="D213" s="107">
        <v>19238.91</v>
      </c>
      <c r="E213" s="107">
        <v>19766.080000000002</v>
      </c>
      <c r="F213" s="107">
        <v>21210.76</v>
      </c>
      <c r="G213" s="107">
        <v>18864.28</v>
      </c>
      <c r="H213" s="107">
        <v>18206.82</v>
      </c>
      <c r="I213" s="107">
        <v>18405.38</v>
      </c>
      <c r="J213" s="107">
        <v>16764.849999999999</v>
      </c>
      <c r="K213" s="107">
        <v>17092.72</v>
      </c>
      <c r="L213" s="107">
        <v>-89334.05</v>
      </c>
      <c r="M213" s="107"/>
      <c r="N213" s="107">
        <v>99189.759999999995</v>
      </c>
    </row>
    <row r="214" spans="1:14">
      <c r="A214" s="64" t="s">
        <v>165</v>
      </c>
      <c r="B214" s="107">
        <v>7056.79</v>
      </c>
      <c r="C214" s="107">
        <v>1204.3800000000001</v>
      </c>
      <c r="D214" s="107">
        <v>1236.27</v>
      </c>
      <c r="E214" s="107">
        <v>1090.6600000000001</v>
      </c>
      <c r="F214" s="107">
        <v>1618.19</v>
      </c>
      <c r="G214" s="107">
        <v>7947.2</v>
      </c>
      <c r="H214" s="107">
        <v>2898.68</v>
      </c>
      <c r="I214" s="107">
        <v>3352.64</v>
      </c>
      <c r="J214" s="107">
        <v>129.74</v>
      </c>
      <c r="K214" s="107">
        <v>1754.58</v>
      </c>
      <c r="L214" s="107">
        <v>-16082.84</v>
      </c>
      <c r="M214" s="107"/>
      <c r="N214" s="107">
        <v>12206.29</v>
      </c>
    </row>
    <row r="215" spans="1:14">
      <c r="A215" s="64" t="s">
        <v>166</v>
      </c>
      <c r="B215" s="107">
        <v>1906.5</v>
      </c>
      <c r="C215" s="107">
        <v>628.89</v>
      </c>
      <c r="D215" s="107">
        <v>1556.77</v>
      </c>
      <c r="E215" s="107">
        <v>1731.84</v>
      </c>
      <c r="F215" s="107">
        <v>1845.9</v>
      </c>
      <c r="G215" s="107">
        <v>1148.06</v>
      </c>
      <c r="H215" s="107">
        <v>1901.34</v>
      </c>
      <c r="I215" s="107">
        <v>2965.66</v>
      </c>
      <c r="J215" s="107">
        <v>3146.37</v>
      </c>
      <c r="K215" s="107">
        <v>3698.39</v>
      </c>
      <c r="L215" s="107">
        <v>-12859.82</v>
      </c>
      <c r="M215" s="107"/>
      <c r="N215" s="107">
        <v>7669.9</v>
      </c>
    </row>
    <row r="216" spans="1:14">
      <c r="A216" s="64" t="s">
        <v>167</v>
      </c>
      <c r="B216" s="107">
        <v>1809.71</v>
      </c>
      <c r="C216" s="107">
        <v>3200.65</v>
      </c>
      <c r="D216" s="107">
        <v>1217.75</v>
      </c>
      <c r="E216" s="107">
        <v>395.69</v>
      </c>
      <c r="F216" s="107">
        <v>4217.21</v>
      </c>
      <c r="G216" s="107">
        <v>3228.57</v>
      </c>
      <c r="H216" s="107">
        <v>5057.1400000000003</v>
      </c>
      <c r="I216" s="107">
        <v>2518.8000000000002</v>
      </c>
      <c r="J216" s="107">
        <v>2227.81</v>
      </c>
      <c r="K216" s="107">
        <v>1882.4</v>
      </c>
      <c r="L216" s="107">
        <v>-14914.72</v>
      </c>
      <c r="M216" s="107"/>
      <c r="N216" s="107">
        <v>10841.01</v>
      </c>
    </row>
    <row r="217" spans="1:14">
      <c r="A217" s="64" t="s">
        <v>168</v>
      </c>
      <c r="B217" s="22"/>
      <c r="C217" s="107">
        <v>4676.72</v>
      </c>
      <c r="D217" s="22"/>
      <c r="E217" s="107">
        <v>2550.42</v>
      </c>
      <c r="F217" s="107">
        <v>11780.77</v>
      </c>
      <c r="G217" s="107">
        <v>4002.09</v>
      </c>
      <c r="H217" s="22"/>
      <c r="I217" s="22"/>
      <c r="J217" s="22"/>
      <c r="K217" s="107">
        <v>10666.46</v>
      </c>
      <c r="L217" s="107">
        <v>-14668.55</v>
      </c>
      <c r="M217" s="107"/>
      <c r="N217" s="107">
        <v>19007.91</v>
      </c>
    </row>
    <row r="218" spans="1:14">
      <c r="A218" s="64" t="s">
        <v>169</v>
      </c>
      <c r="B218" s="107">
        <v>1706.86</v>
      </c>
      <c r="C218" s="107">
        <v>615.13</v>
      </c>
      <c r="D218" s="107">
        <v>1574.42</v>
      </c>
      <c r="E218" s="107">
        <v>1936.44</v>
      </c>
      <c r="F218" s="107">
        <v>1967.27</v>
      </c>
      <c r="G218" s="107">
        <v>4626.1400000000003</v>
      </c>
      <c r="H218" s="107">
        <v>3481.53</v>
      </c>
      <c r="I218" s="107">
        <v>2871.35</v>
      </c>
      <c r="J218" s="22"/>
      <c r="K218" s="107">
        <v>2142.94</v>
      </c>
      <c r="L218" s="107">
        <v>-13121.96</v>
      </c>
      <c r="M218" s="107"/>
      <c r="N218" s="107">
        <v>7800.12</v>
      </c>
    </row>
    <row r="219" spans="1:14">
      <c r="A219" s="64" t="s">
        <v>318</v>
      </c>
      <c r="B219" s="22"/>
      <c r="C219" s="107">
        <v>325</v>
      </c>
      <c r="D219" s="22"/>
      <c r="E219" s="107">
        <v>180</v>
      </c>
      <c r="F219" s="107">
        <v>4</v>
      </c>
      <c r="G219" s="107">
        <v>555</v>
      </c>
      <c r="H219" s="107">
        <v>175</v>
      </c>
      <c r="I219" s="22"/>
      <c r="J219" s="107">
        <v>440</v>
      </c>
      <c r="K219" s="107">
        <v>2524.86</v>
      </c>
      <c r="L219" s="107">
        <v>-3694.86</v>
      </c>
      <c r="M219" s="22"/>
      <c r="N219" s="107">
        <v>509</v>
      </c>
    </row>
    <row r="220" spans="1:14">
      <c r="A220" s="64" t="s">
        <v>171</v>
      </c>
      <c r="B220" s="111">
        <v>2089.69</v>
      </c>
      <c r="C220" s="111">
        <v>1366.32</v>
      </c>
      <c r="D220" s="111">
        <v>1599.09</v>
      </c>
      <c r="E220" s="111">
        <v>1273.76</v>
      </c>
      <c r="F220" s="111">
        <v>3659.41</v>
      </c>
      <c r="G220" s="111"/>
      <c r="H220" s="111">
        <v>1117.3499999999999</v>
      </c>
      <c r="I220" s="111">
        <v>75.02</v>
      </c>
      <c r="J220" s="111">
        <v>1900</v>
      </c>
      <c r="K220" s="111">
        <v>700</v>
      </c>
      <c r="L220" s="111">
        <v>-3792.37</v>
      </c>
      <c r="M220" s="111"/>
      <c r="N220" s="111">
        <v>9988.27</v>
      </c>
    </row>
    <row r="221" spans="1:14">
      <c r="A221" s="64" t="s">
        <v>16</v>
      </c>
      <c r="B221" s="107">
        <f t="shared" ref="B221:L221" si="54">SUM(B211:B220)</f>
        <v>34337.9</v>
      </c>
      <c r="C221" s="107">
        <f t="shared" si="54"/>
        <v>31222.750000000004</v>
      </c>
      <c r="D221" s="107">
        <f t="shared" si="54"/>
        <v>26423.210000000003</v>
      </c>
      <c r="E221" s="107">
        <f t="shared" si="54"/>
        <v>28924.89</v>
      </c>
      <c r="F221" s="107">
        <f t="shared" si="54"/>
        <v>46303.509999999995</v>
      </c>
      <c r="G221" s="107">
        <f t="shared" si="54"/>
        <v>40371.339999999997</v>
      </c>
      <c r="H221" s="107">
        <f t="shared" si="54"/>
        <v>32837.86</v>
      </c>
      <c r="I221" s="107">
        <f t="shared" si="54"/>
        <v>30188.85</v>
      </c>
      <c r="J221" s="107">
        <f t="shared" si="54"/>
        <v>24608.77</v>
      </c>
      <c r="K221" s="107">
        <f t="shared" si="54"/>
        <v>40462.350000000006</v>
      </c>
      <c r="L221" s="107">
        <f t="shared" si="54"/>
        <v>-168469.16999999995</v>
      </c>
      <c r="M221" s="107"/>
      <c r="N221" s="107">
        <v>167212.26</v>
      </c>
    </row>
    <row r="222" spans="1:14">
      <c r="A222" s="64"/>
      <c r="B222" s="22"/>
      <c r="C222" s="22"/>
      <c r="D222" s="22"/>
      <c r="E222" s="22"/>
      <c r="F222" s="22"/>
      <c r="G222" s="22"/>
      <c r="H222" s="22"/>
      <c r="I222" s="22"/>
      <c r="J222" s="22"/>
      <c r="K222" s="22"/>
      <c r="L222" s="22"/>
      <c r="M222" s="22"/>
      <c r="N222" s="22"/>
    </row>
    <row r="223" spans="1:14">
      <c r="A223" s="64" t="s">
        <v>17</v>
      </c>
      <c r="B223" s="22"/>
      <c r="C223" s="22"/>
      <c r="D223" s="22"/>
      <c r="E223" s="22"/>
      <c r="F223" s="22"/>
      <c r="G223" s="22"/>
      <c r="H223" s="22"/>
      <c r="I223" s="22"/>
      <c r="J223" s="22"/>
      <c r="K223" s="22"/>
      <c r="L223" s="22"/>
      <c r="M223" s="22"/>
      <c r="N223" s="22"/>
    </row>
    <row r="224" spans="1:14">
      <c r="A224" s="64" t="s">
        <v>172</v>
      </c>
      <c r="B224" s="107">
        <v>17047.740000000002</v>
      </c>
      <c r="C224" s="107">
        <v>16754.169999999998</v>
      </c>
      <c r="D224" s="107">
        <v>9474.1200000000008</v>
      </c>
      <c r="E224" s="107">
        <v>18884.439999999999</v>
      </c>
      <c r="F224" s="107">
        <v>22979.29</v>
      </c>
      <c r="G224" s="107">
        <v>25472.61</v>
      </c>
      <c r="H224" s="107">
        <v>19266.650000000001</v>
      </c>
      <c r="I224" s="107">
        <v>34330.92</v>
      </c>
      <c r="J224" s="107">
        <v>3300</v>
      </c>
      <c r="K224" s="107">
        <v>20632.78</v>
      </c>
      <c r="L224" s="107">
        <v>-103002.96</v>
      </c>
      <c r="M224" s="107"/>
      <c r="N224" s="107">
        <v>85139.76</v>
      </c>
    </row>
    <row r="225" spans="1:14">
      <c r="A225" s="64" t="s">
        <v>173</v>
      </c>
      <c r="B225" s="107">
        <v>13650.95</v>
      </c>
      <c r="C225" s="107">
        <v>16165.04</v>
      </c>
      <c r="D225" s="107">
        <v>17856.37</v>
      </c>
      <c r="E225" s="107">
        <v>16196.29</v>
      </c>
      <c r="F225" s="107">
        <v>8468.9</v>
      </c>
      <c r="G225" s="107">
        <v>7844.02</v>
      </c>
      <c r="H225" s="107">
        <v>13745.04</v>
      </c>
      <c r="I225" s="107">
        <v>12024.9</v>
      </c>
      <c r="J225" s="107">
        <v>12074.51</v>
      </c>
      <c r="K225" s="107">
        <v>14380.45</v>
      </c>
      <c r="L225" s="107">
        <v>-60068.92</v>
      </c>
      <c r="M225" s="107"/>
      <c r="N225" s="107">
        <v>72337.55</v>
      </c>
    </row>
    <row r="226" spans="1:14">
      <c r="A226" s="64" t="s">
        <v>174</v>
      </c>
      <c r="B226" s="107">
        <v>16004.32</v>
      </c>
      <c r="C226" s="107">
        <v>12516.62</v>
      </c>
      <c r="D226" s="107">
        <v>13470.83</v>
      </c>
      <c r="E226" s="107">
        <v>13997.26</v>
      </c>
      <c r="F226" s="107">
        <v>16756.810000000001</v>
      </c>
      <c r="G226" s="107">
        <v>22046.63</v>
      </c>
      <c r="H226" s="107">
        <v>13548.17</v>
      </c>
      <c r="I226" s="107">
        <v>32100</v>
      </c>
      <c r="J226" s="107">
        <v>19988.16</v>
      </c>
      <c r="K226" s="107">
        <v>15546.91</v>
      </c>
      <c r="L226" s="107">
        <v>-103229.87</v>
      </c>
      <c r="M226" s="107"/>
      <c r="N226" s="107">
        <v>72745.84</v>
      </c>
    </row>
    <row r="227" spans="1:14">
      <c r="A227" s="64" t="s">
        <v>175</v>
      </c>
      <c r="B227" s="107">
        <v>2551.38</v>
      </c>
      <c r="C227" s="107">
        <v>822.12</v>
      </c>
      <c r="D227" s="107">
        <v>1396.1</v>
      </c>
      <c r="E227" s="107">
        <v>1589.87</v>
      </c>
      <c r="F227" s="107">
        <v>7180.62</v>
      </c>
      <c r="G227" s="107">
        <v>4174.49</v>
      </c>
      <c r="H227" s="107">
        <v>7960.59</v>
      </c>
      <c r="I227" s="107">
        <v>4270.8999999999996</v>
      </c>
      <c r="J227" s="107">
        <v>3476.3</v>
      </c>
      <c r="K227" s="107">
        <v>2555.87</v>
      </c>
      <c r="L227" s="107">
        <v>-22438.15</v>
      </c>
      <c r="M227" s="107"/>
      <c r="N227" s="107">
        <v>13540.09</v>
      </c>
    </row>
    <row r="228" spans="1:14">
      <c r="A228" s="64" t="s">
        <v>176</v>
      </c>
      <c r="B228" s="107">
        <v>1318.65</v>
      </c>
      <c r="C228" s="107">
        <v>1103.23</v>
      </c>
      <c r="D228" s="107">
        <v>7745.9</v>
      </c>
      <c r="E228" s="107">
        <v>5082.6400000000003</v>
      </c>
      <c r="F228" s="107">
        <v>1997.05</v>
      </c>
      <c r="G228" s="107">
        <v>-1770.58</v>
      </c>
      <c r="H228" s="22"/>
      <c r="I228" s="22"/>
      <c r="J228" s="22"/>
      <c r="K228" s="22"/>
      <c r="L228" s="107">
        <v>1770.58</v>
      </c>
      <c r="M228" s="22"/>
      <c r="N228" s="107">
        <v>17247.47</v>
      </c>
    </row>
    <row r="229" spans="1:14">
      <c r="A229" s="64" t="s">
        <v>177</v>
      </c>
      <c r="B229" s="107">
        <v>8366.18</v>
      </c>
      <c r="C229" s="107">
        <v>8120.76</v>
      </c>
      <c r="D229" s="107">
        <v>7485.94</v>
      </c>
      <c r="E229" s="107">
        <v>5487.76</v>
      </c>
      <c r="F229" s="107">
        <v>4725.09</v>
      </c>
      <c r="G229" s="107">
        <v>1393.99</v>
      </c>
      <c r="H229" s="107">
        <v>4418.32</v>
      </c>
      <c r="I229" s="107">
        <v>73805.84</v>
      </c>
      <c r="J229" s="107">
        <v>2578.44</v>
      </c>
      <c r="K229" s="107">
        <v>3107.64</v>
      </c>
      <c r="L229" s="107">
        <v>-85304.23</v>
      </c>
      <c r="M229" s="22"/>
      <c r="N229" s="107">
        <v>34185.730000000003</v>
      </c>
    </row>
    <row r="230" spans="1:14">
      <c r="A230" s="64" t="s">
        <v>178</v>
      </c>
      <c r="B230" s="107">
        <v>514</v>
      </c>
      <c r="C230" s="107">
        <v>591.33000000000004</v>
      </c>
      <c r="D230" s="107">
        <v>552</v>
      </c>
      <c r="E230" s="107">
        <v>-1657.33</v>
      </c>
      <c r="F230" s="107"/>
      <c r="G230" s="22"/>
      <c r="H230" s="107">
        <v>1342.82</v>
      </c>
      <c r="I230" s="107">
        <v>7399.56</v>
      </c>
      <c r="J230" s="107"/>
      <c r="K230" s="107">
        <v>936.24</v>
      </c>
      <c r="L230" s="107">
        <v>-9678.6200000000008</v>
      </c>
      <c r="M230" s="107"/>
      <c r="N230" s="107"/>
    </row>
    <row r="231" spans="1:14">
      <c r="A231" s="64" t="s">
        <v>179</v>
      </c>
      <c r="B231" s="107">
        <v>5627.46</v>
      </c>
      <c r="C231" s="107">
        <v>2367.73</v>
      </c>
      <c r="D231" s="107">
        <v>1955.14</v>
      </c>
      <c r="E231" s="107">
        <v>3334.17</v>
      </c>
      <c r="F231" s="107">
        <v>6368.59</v>
      </c>
      <c r="G231" s="107">
        <v>2395.54</v>
      </c>
      <c r="H231" s="107">
        <v>2260.52</v>
      </c>
      <c r="I231" s="107">
        <v>2362.29</v>
      </c>
      <c r="J231" s="107">
        <v>2162.4499999999998</v>
      </c>
      <c r="K231" s="107">
        <v>1387.5</v>
      </c>
      <c r="L231" s="107">
        <v>-10568.3</v>
      </c>
      <c r="M231" s="107"/>
      <c r="N231" s="107">
        <v>19653.09</v>
      </c>
    </row>
    <row r="232" spans="1:14">
      <c r="A232" s="64" t="s">
        <v>180</v>
      </c>
      <c r="B232" s="107">
        <v>2065.4299999999998</v>
      </c>
      <c r="C232" s="107">
        <v>2308.37</v>
      </c>
      <c r="D232" s="107">
        <v>1066.6199999999999</v>
      </c>
      <c r="E232" s="107">
        <v>1175.01</v>
      </c>
      <c r="F232" s="107">
        <v>870.01</v>
      </c>
      <c r="G232" s="107">
        <v>320.87</v>
      </c>
      <c r="H232" s="107">
        <v>4788.76</v>
      </c>
      <c r="I232" s="107">
        <v>4098.05</v>
      </c>
      <c r="J232" s="107">
        <v>2534.88</v>
      </c>
      <c r="K232" s="107">
        <v>3595.11</v>
      </c>
      <c r="L232" s="107">
        <v>-15337.67</v>
      </c>
      <c r="M232" s="107"/>
      <c r="N232" s="107">
        <v>7485.44</v>
      </c>
    </row>
    <row r="233" spans="1:14">
      <c r="A233" s="64" t="s">
        <v>181</v>
      </c>
      <c r="B233" s="107">
        <v>2362.9899999999998</v>
      </c>
      <c r="C233" s="107">
        <v>2637.19</v>
      </c>
      <c r="D233" s="107">
        <v>2739.11</v>
      </c>
      <c r="E233" s="107">
        <v>2535.0500000000002</v>
      </c>
      <c r="F233" s="107">
        <v>2434.04</v>
      </c>
      <c r="G233" s="107">
        <v>2168.61</v>
      </c>
      <c r="H233" s="107">
        <v>3797.36</v>
      </c>
      <c r="I233" s="107">
        <v>2549.2600000000002</v>
      </c>
      <c r="J233" s="107">
        <v>2180.23</v>
      </c>
      <c r="K233" s="107">
        <v>2056.3000000000002</v>
      </c>
      <c r="L233" s="107">
        <v>-12751.76</v>
      </c>
      <c r="M233" s="22"/>
      <c r="N233" s="107">
        <v>12708.38</v>
      </c>
    </row>
    <row r="234" spans="1:14">
      <c r="A234" s="64" t="s">
        <v>182</v>
      </c>
      <c r="B234" s="107">
        <v>1100.83</v>
      </c>
      <c r="C234" s="107">
        <v>2476.09</v>
      </c>
      <c r="D234" s="107">
        <v>836.33</v>
      </c>
      <c r="E234" s="107">
        <v>566.29</v>
      </c>
      <c r="F234" s="107">
        <v>984.01</v>
      </c>
      <c r="G234" s="107">
        <v>924.99</v>
      </c>
      <c r="H234" s="107">
        <v>338.48</v>
      </c>
      <c r="I234" s="107">
        <v>185.97</v>
      </c>
      <c r="J234" s="107">
        <v>486.26</v>
      </c>
      <c r="K234" s="107">
        <v>126.98</v>
      </c>
      <c r="L234" s="107">
        <v>-2062.6799999999998</v>
      </c>
      <c r="M234" s="22"/>
      <c r="N234" s="107">
        <v>5963.55</v>
      </c>
    </row>
    <row r="235" spans="1:14">
      <c r="A235" s="64" t="s">
        <v>183</v>
      </c>
      <c r="B235" s="107">
        <v>569.95000000000005</v>
      </c>
      <c r="C235" s="107">
        <v>180.41</v>
      </c>
      <c r="D235" s="107">
        <v>30.94</v>
      </c>
      <c r="E235" s="107">
        <v>717.96</v>
      </c>
      <c r="F235" s="107">
        <v>1032.69</v>
      </c>
      <c r="G235" s="107">
        <v>494.29</v>
      </c>
      <c r="H235" s="107">
        <v>565.76</v>
      </c>
      <c r="I235" s="107">
        <v>2094</v>
      </c>
      <c r="J235" s="22"/>
      <c r="K235" s="107">
        <v>1330.63</v>
      </c>
      <c r="L235" s="107">
        <v>-4484.68</v>
      </c>
      <c r="M235" s="107"/>
      <c r="N235" s="107">
        <v>2531.9499999999998</v>
      </c>
    </row>
    <row r="236" spans="1:14">
      <c r="A236" s="64" t="s">
        <v>184</v>
      </c>
      <c r="B236" s="111">
        <v>5112.59</v>
      </c>
      <c r="C236" s="111">
        <v>2920.31</v>
      </c>
      <c r="D236" s="111">
        <v>834.07</v>
      </c>
      <c r="E236" s="111">
        <v>3304.38</v>
      </c>
      <c r="F236" s="111">
        <v>5040.1099999999997</v>
      </c>
      <c r="G236" s="111">
        <v>558</v>
      </c>
      <c r="H236" s="111">
        <v>7148.56</v>
      </c>
      <c r="I236" s="111">
        <v>3082.8</v>
      </c>
      <c r="J236" s="111">
        <v>8053.76</v>
      </c>
      <c r="K236" s="111">
        <v>3473.2</v>
      </c>
      <c r="L236" s="111">
        <v>-22316.32</v>
      </c>
      <c r="M236" s="111"/>
      <c r="N236" s="111">
        <v>17211.46</v>
      </c>
    </row>
    <row r="237" spans="1:14">
      <c r="A237" s="64" t="s">
        <v>185</v>
      </c>
      <c r="B237" s="107">
        <f t="shared" ref="B237:L237" si="55">SUM(B222:B236)</f>
        <v>76292.47</v>
      </c>
      <c r="C237" s="107">
        <f t="shared" si="55"/>
        <v>68963.370000000024</v>
      </c>
      <c r="D237" s="107">
        <f t="shared" si="55"/>
        <v>65443.470000000008</v>
      </c>
      <c r="E237" s="107">
        <f t="shared" si="55"/>
        <v>71213.790000000008</v>
      </c>
      <c r="F237" s="107">
        <f t="shared" si="55"/>
        <v>78837.209999999992</v>
      </c>
      <c r="G237" s="107">
        <f t="shared" si="55"/>
        <v>66023.460000000006</v>
      </c>
      <c r="H237" s="107">
        <f t="shared" si="55"/>
        <v>79181.029999999984</v>
      </c>
      <c r="I237" s="107">
        <f t="shared" si="55"/>
        <v>178304.49</v>
      </c>
      <c r="J237" s="107">
        <f t="shared" si="55"/>
        <v>56834.990000000005</v>
      </c>
      <c r="K237" s="107">
        <f t="shared" si="55"/>
        <v>69129.61</v>
      </c>
      <c r="L237" s="107">
        <f t="shared" si="55"/>
        <v>-449473.57999999996</v>
      </c>
      <c r="M237" s="107"/>
      <c r="N237" s="107">
        <v>360750.31</v>
      </c>
    </row>
    <row r="238" spans="1:14">
      <c r="A238" s="64"/>
      <c r="B238" s="22"/>
      <c r="C238" s="22"/>
      <c r="D238" s="22"/>
      <c r="E238" s="22"/>
      <c r="F238" s="22"/>
      <c r="G238" s="22"/>
      <c r="H238" s="22"/>
      <c r="I238" s="22"/>
      <c r="J238" s="22"/>
      <c r="K238" s="22"/>
      <c r="L238" s="22"/>
      <c r="M238" s="22"/>
      <c r="N238" s="22"/>
    </row>
    <row r="239" spans="1:14">
      <c r="A239" s="64" t="s">
        <v>186</v>
      </c>
      <c r="B239" s="22"/>
      <c r="C239" s="22"/>
      <c r="D239" s="22"/>
      <c r="E239" s="22"/>
      <c r="F239" s="22"/>
      <c r="G239" s="22"/>
      <c r="H239" s="22"/>
      <c r="I239" s="22"/>
      <c r="J239" s="22"/>
      <c r="K239" s="22"/>
      <c r="L239" s="22"/>
      <c r="M239" s="22"/>
      <c r="N239" s="22"/>
    </row>
    <row r="240" spans="1:14">
      <c r="A240" s="64" t="s">
        <v>187</v>
      </c>
      <c r="B240" s="107">
        <v>4500</v>
      </c>
      <c r="C240" s="107">
        <v>4500</v>
      </c>
      <c r="D240" s="107">
        <v>4500</v>
      </c>
      <c r="E240" s="107">
        <v>10500</v>
      </c>
      <c r="F240" s="107">
        <v>6000</v>
      </c>
      <c r="G240" s="107">
        <v>6000</v>
      </c>
      <c r="H240" s="107">
        <v>6000</v>
      </c>
      <c r="I240" s="107">
        <v>6000</v>
      </c>
      <c r="J240" s="107">
        <v>6000</v>
      </c>
      <c r="K240" s="107">
        <v>6000</v>
      </c>
      <c r="L240" s="107">
        <v>-30000</v>
      </c>
      <c r="M240" s="107"/>
      <c r="N240" s="107">
        <v>30000</v>
      </c>
    </row>
    <row r="241" spans="1:14">
      <c r="A241" s="64" t="s">
        <v>188</v>
      </c>
      <c r="B241" s="107">
        <v>1200</v>
      </c>
      <c r="C241" s="107">
        <v>900</v>
      </c>
      <c r="D241" s="107">
        <v>1180</v>
      </c>
      <c r="E241" s="107">
        <v>1093.33</v>
      </c>
      <c r="F241" s="107">
        <v>1166.67</v>
      </c>
      <c r="G241" s="107">
        <v>1146.67</v>
      </c>
      <c r="H241" s="107">
        <v>1280</v>
      </c>
      <c r="I241" s="107">
        <v>1173.33</v>
      </c>
      <c r="J241" s="107">
        <v>1200</v>
      </c>
      <c r="K241" s="107">
        <v>1080</v>
      </c>
      <c r="L241" s="107">
        <v>-5880</v>
      </c>
      <c r="M241" s="107"/>
      <c r="N241" s="107">
        <v>5540</v>
      </c>
    </row>
    <row r="242" spans="1:14">
      <c r="A242" s="64" t="s">
        <v>190</v>
      </c>
      <c r="B242" s="107">
        <v>3445.15</v>
      </c>
      <c r="C242" s="107">
        <v>3181.38</v>
      </c>
      <c r="D242" s="107">
        <v>9791.8700000000008</v>
      </c>
      <c r="E242" s="107">
        <v>4357.24</v>
      </c>
      <c r="F242" s="107">
        <v>2240</v>
      </c>
      <c r="G242" s="107">
        <v>1375</v>
      </c>
      <c r="H242" s="107">
        <v>4633.41</v>
      </c>
      <c r="I242" s="107">
        <v>1708.46</v>
      </c>
      <c r="J242" s="107">
        <v>3292.33</v>
      </c>
      <c r="K242" s="107">
        <v>2043.83</v>
      </c>
      <c r="L242" s="107">
        <v>-13053.03</v>
      </c>
      <c r="M242" s="107"/>
      <c r="N242" s="107">
        <v>23015.64</v>
      </c>
    </row>
    <row r="243" spans="1:14">
      <c r="A243" s="64" t="s">
        <v>191</v>
      </c>
      <c r="B243" s="107">
        <v>13972.25</v>
      </c>
      <c r="C243" s="107">
        <v>13458.49</v>
      </c>
      <c r="D243" s="107">
        <v>12830.27</v>
      </c>
      <c r="E243" s="107">
        <v>12137.18</v>
      </c>
      <c r="F243" s="107">
        <v>11155.49</v>
      </c>
      <c r="G243" s="107">
        <v>12034</v>
      </c>
      <c r="H243" s="107">
        <v>13842.85</v>
      </c>
      <c r="I243" s="107">
        <v>14325.59</v>
      </c>
      <c r="J243" s="107">
        <v>13745.69</v>
      </c>
      <c r="K243" s="107">
        <v>10117.459999999999</v>
      </c>
      <c r="L243" s="107">
        <v>-64065.59</v>
      </c>
      <c r="M243" s="107"/>
      <c r="N243" s="107">
        <v>63553.68</v>
      </c>
    </row>
    <row r="244" spans="1:14">
      <c r="A244" s="64" t="s">
        <v>192</v>
      </c>
      <c r="B244" s="107">
        <v>981.4</v>
      </c>
      <c r="C244" s="107">
        <v>981.4</v>
      </c>
      <c r="D244" s="107">
        <v>981.4</v>
      </c>
      <c r="E244" s="107">
        <v>981.4</v>
      </c>
      <c r="F244" s="107">
        <v>906.65</v>
      </c>
      <c r="G244" s="107">
        <v>906.65</v>
      </c>
      <c r="H244" s="107">
        <v>906.65</v>
      </c>
      <c r="I244" s="107">
        <v>906.65</v>
      </c>
      <c r="J244" s="107">
        <v>906.65</v>
      </c>
      <c r="K244" s="107">
        <v>906.65</v>
      </c>
      <c r="L244" s="107">
        <v>-4533.25</v>
      </c>
      <c r="M244" s="22"/>
      <c r="N244" s="107">
        <v>4832.25</v>
      </c>
    </row>
    <row r="245" spans="1:14">
      <c r="A245" s="64" t="s">
        <v>193</v>
      </c>
      <c r="B245" s="107">
        <v>2017.89</v>
      </c>
      <c r="C245" s="107">
        <v>2025.32</v>
      </c>
      <c r="D245" s="107">
        <v>2017.02</v>
      </c>
      <c r="E245" s="107">
        <v>2021.36</v>
      </c>
      <c r="F245" s="107">
        <v>2029.34</v>
      </c>
      <c r="G245" s="107">
        <v>2695.6</v>
      </c>
      <c r="H245" s="107">
        <v>2694.95</v>
      </c>
      <c r="I245" s="107">
        <v>2713.21</v>
      </c>
      <c r="J245" s="107">
        <v>2720.49</v>
      </c>
      <c r="K245" s="107">
        <v>3225.2</v>
      </c>
      <c r="L245" s="107">
        <v>-14049.45</v>
      </c>
      <c r="M245" s="107"/>
      <c r="N245" s="107">
        <v>10110.93</v>
      </c>
    </row>
    <row r="246" spans="1:14">
      <c r="A246" s="64" t="s">
        <v>194</v>
      </c>
      <c r="B246" s="107">
        <v>1352.38</v>
      </c>
      <c r="C246" s="107">
        <v>4577.6899999999996</v>
      </c>
      <c r="D246" s="107">
        <v>2064.0300000000002</v>
      </c>
      <c r="E246" s="107">
        <v>255</v>
      </c>
      <c r="F246" s="107">
        <v>6156.75</v>
      </c>
      <c r="G246" s="107">
        <v>2720.63</v>
      </c>
      <c r="H246" s="107">
        <v>5090.08</v>
      </c>
      <c r="I246" s="107">
        <v>2552.87</v>
      </c>
      <c r="J246" s="107">
        <v>6235.93</v>
      </c>
      <c r="K246" s="107">
        <v>4747.3</v>
      </c>
      <c r="L246" s="107">
        <v>-21346.81</v>
      </c>
      <c r="M246" s="107"/>
      <c r="N246" s="107">
        <v>14405.85</v>
      </c>
    </row>
    <row r="247" spans="1:14">
      <c r="A247" s="64" t="s">
        <v>195</v>
      </c>
      <c r="B247" s="107">
        <v>14546.14</v>
      </c>
      <c r="C247" s="107">
        <v>14590.67</v>
      </c>
      <c r="D247" s="107">
        <v>14550</v>
      </c>
      <c r="E247" s="107">
        <v>14546.14</v>
      </c>
      <c r="F247" s="107">
        <v>14546.14</v>
      </c>
      <c r="G247" s="107">
        <v>14546.14</v>
      </c>
      <c r="H247" s="107">
        <v>14546.14</v>
      </c>
      <c r="I247" s="107">
        <v>14596.14</v>
      </c>
      <c r="J247" s="107">
        <v>14446.14</v>
      </c>
      <c r="K247" s="107">
        <v>15465.06</v>
      </c>
      <c r="L247" s="107">
        <v>-73599.62</v>
      </c>
      <c r="M247" s="22"/>
      <c r="N247" s="107">
        <v>72779.09</v>
      </c>
    </row>
    <row r="248" spans="1:14">
      <c r="A248" s="64" t="s">
        <v>196</v>
      </c>
      <c r="B248" s="107">
        <v>9697.43</v>
      </c>
      <c r="C248" s="107">
        <v>9697.43</v>
      </c>
      <c r="D248" s="107">
        <v>9697</v>
      </c>
      <c r="E248" s="107">
        <v>9697.7199999999993</v>
      </c>
      <c r="F248" s="107">
        <v>9697.43</v>
      </c>
      <c r="G248" s="107">
        <v>9697.43</v>
      </c>
      <c r="H248" s="107">
        <v>9697.43</v>
      </c>
      <c r="I248" s="107">
        <v>9700.14</v>
      </c>
      <c r="J248" s="107">
        <v>9597.43</v>
      </c>
      <c r="K248" s="107">
        <v>10376.700000000001</v>
      </c>
      <c r="L248" s="107">
        <v>-49069.13</v>
      </c>
      <c r="M248" s="22"/>
      <c r="N248" s="107">
        <v>48487.01</v>
      </c>
    </row>
    <row r="249" spans="1:14">
      <c r="A249" s="64" t="s">
        <v>197</v>
      </c>
      <c r="B249" s="107">
        <v>39261.46</v>
      </c>
      <c r="C249" s="107">
        <v>39611.46</v>
      </c>
      <c r="D249" s="107">
        <v>41823.06</v>
      </c>
      <c r="E249" s="107">
        <v>41177.879999999997</v>
      </c>
      <c r="F249" s="107">
        <v>41592.980000000003</v>
      </c>
      <c r="G249" s="107">
        <v>41247.06</v>
      </c>
      <c r="H249" s="107">
        <v>43591.59</v>
      </c>
      <c r="I249" s="107">
        <v>41937.96</v>
      </c>
      <c r="J249" s="107">
        <v>44628.57</v>
      </c>
      <c r="K249" s="107">
        <v>44669.7</v>
      </c>
      <c r="L249" s="107">
        <v>-216074.88</v>
      </c>
      <c r="M249" s="107"/>
      <c r="N249" s="107">
        <v>203466.84</v>
      </c>
    </row>
    <row r="250" spans="1:14">
      <c r="A250" s="64" t="s">
        <v>198</v>
      </c>
      <c r="B250" s="107">
        <v>894.4</v>
      </c>
      <c r="C250" s="107">
        <v>919.17</v>
      </c>
      <c r="D250" s="107">
        <v>954.05</v>
      </c>
      <c r="E250" s="107">
        <v>951.33</v>
      </c>
      <c r="F250" s="107">
        <v>950.38</v>
      </c>
      <c r="G250" s="107">
        <v>1045.3900000000001</v>
      </c>
      <c r="H250" s="107">
        <v>1045.3900000000001</v>
      </c>
      <c r="I250" s="107">
        <v>1045.3900000000001</v>
      </c>
      <c r="J250" s="107">
        <v>1045.3900000000001</v>
      </c>
      <c r="K250" s="107">
        <v>1000</v>
      </c>
      <c r="L250" s="107">
        <v>-5181.5600000000004</v>
      </c>
      <c r="M250" s="107"/>
      <c r="N250" s="107">
        <v>4669.33</v>
      </c>
    </row>
    <row r="251" spans="1:14">
      <c r="A251" s="64" t="s">
        <v>199</v>
      </c>
      <c r="B251" s="107">
        <v>73.25</v>
      </c>
      <c r="C251" s="107">
        <v>236</v>
      </c>
      <c r="D251" s="107">
        <v>324.5</v>
      </c>
      <c r="E251" s="107">
        <v>350.5</v>
      </c>
      <c r="F251" s="107">
        <v>180</v>
      </c>
      <c r="G251" s="107">
        <v>285</v>
      </c>
      <c r="H251" s="107">
        <v>70</v>
      </c>
      <c r="I251" s="107">
        <v>559</v>
      </c>
      <c r="J251" s="107">
        <v>83.5</v>
      </c>
      <c r="K251" s="107">
        <v>300</v>
      </c>
      <c r="L251" s="107">
        <v>-1297.5</v>
      </c>
      <c r="M251" s="107"/>
      <c r="N251" s="107">
        <v>1164.25</v>
      </c>
    </row>
    <row r="252" spans="1:14">
      <c r="A252" s="64" t="s">
        <v>200</v>
      </c>
      <c r="B252" s="107">
        <v>1948.5</v>
      </c>
      <c r="C252" s="107">
        <v>2548.5</v>
      </c>
      <c r="D252" s="107">
        <v>1948.5</v>
      </c>
      <c r="E252" s="107">
        <v>2233.1999999999998</v>
      </c>
      <c r="F252" s="107">
        <v>3456.57</v>
      </c>
      <c r="G252" s="107">
        <v>1948.5</v>
      </c>
      <c r="H252" s="107">
        <v>1948.5</v>
      </c>
      <c r="I252" s="107">
        <v>1948.5</v>
      </c>
      <c r="J252" s="107">
        <v>1900</v>
      </c>
      <c r="K252" s="107">
        <v>1962.79</v>
      </c>
      <c r="L252" s="107">
        <v>-9708.2900000000009</v>
      </c>
      <c r="M252" s="107"/>
      <c r="N252" s="107">
        <v>12135.27</v>
      </c>
    </row>
    <row r="253" spans="1:14">
      <c r="A253" s="64" t="s">
        <v>201</v>
      </c>
      <c r="B253" s="107">
        <v>821.42</v>
      </c>
      <c r="C253" s="107">
        <v>603.64</v>
      </c>
      <c r="D253" s="107">
        <v>906.74</v>
      </c>
      <c r="E253" s="107">
        <v>905.46</v>
      </c>
      <c r="F253" s="107">
        <v>557.64</v>
      </c>
      <c r="G253" s="107">
        <v>557.64</v>
      </c>
      <c r="H253" s="107">
        <v>857.64</v>
      </c>
      <c r="I253" s="107">
        <v>907.64</v>
      </c>
      <c r="J253" s="107">
        <v>707.64</v>
      </c>
      <c r="K253" s="107">
        <v>557.64</v>
      </c>
      <c r="L253" s="107">
        <v>-3588.2</v>
      </c>
      <c r="M253" s="22"/>
      <c r="N253" s="107">
        <v>3794.9</v>
      </c>
    </row>
    <row r="254" spans="1:14">
      <c r="A254" s="64" t="s">
        <v>202</v>
      </c>
      <c r="B254" s="22"/>
      <c r="C254" s="107">
        <v>8937</v>
      </c>
      <c r="D254" s="107">
        <v>8181.5</v>
      </c>
      <c r="E254" s="107">
        <v>22809.74</v>
      </c>
      <c r="F254" s="107">
        <v>-2855.02</v>
      </c>
      <c r="G254" s="107">
        <v>11040.83</v>
      </c>
      <c r="H254" s="107">
        <v>285.52999999999997</v>
      </c>
      <c r="I254" s="107">
        <v>4651.54</v>
      </c>
      <c r="J254" s="107">
        <v>180</v>
      </c>
      <c r="K254" s="107">
        <v>13930</v>
      </c>
      <c r="L254" s="107">
        <v>-30087.9</v>
      </c>
      <c r="M254" s="22"/>
      <c r="N254" s="107">
        <v>37073.22</v>
      </c>
    </row>
    <row r="255" spans="1:14">
      <c r="A255" s="64" t="s">
        <v>203</v>
      </c>
      <c r="B255" s="107">
        <v>9837.27</v>
      </c>
      <c r="C255" s="107">
        <v>10531.49</v>
      </c>
      <c r="D255" s="107">
        <v>11404.41</v>
      </c>
      <c r="E255" s="107">
        <v>8422.2199999999993</v>
      </c>
      <c r="F255" s="107">
        <v>7862.01</v>
      </c>
      <c r="G255" s="107">
        <v>9702.81</v>
      </c>
      <c r="H255" s="107">
        <v>10526.47</v>
      </c>
      <c r="I255" s="107">
        <v>11383.01</v>
      </c>
      <c r="J255" s="107">
        <v>10206.19</v>
      </c>
      <c r="K255" s="107">
        <v>10239</v>
      </c>
      <c r="L255" s="107">
        <v>-52057.48</v>
      </c>
      <c r="M255" s="107"/>
      <c r="N255" s="107">
        <v>48057.4</v>
      </c>
    </row>
    <row r="256" spans="1:14">
      <c r="A256" s="64" t="s">
        <v>204</v>
      </c>
      <c r="B256" s="107">
        <v>28381</v>
      </c>
      <c r="C256" s="107">
        <v>25184</v>
      </c>
      <c r="D256" s="107">
        <v>24312</v>
      </c>
      <c r="E256" s="107">
        <v>35190</v>
      </c>
      <c r="F256" s="107">
        <v>-1323508</v>
      </c>
      <c r="G256" s="107">
        <v>34158</v>
      </c>
      <c r="H256" s="107">
        <v>26162</v>
      </c>
      <c r="I256" s="107">
        <v>22990</v>
      </c>
      <c r="J256" s="107">
        <v>24441</v>
      </c>
      <c r="K256" s="107">
        <v>25665</v>
      </c>
      <c r="L256" s="107">
        <v>-133416</v>
      </c>
      <c r="M256" s="107"/>
      <c r="N256" s="107">
        <v>-1210441</v>
      </c>
    </row>
    <row r="257" spans="1:14">
      <c r="A257" s="64" t="s">
        <v>205</v>
      </c>
      <c r="B257" s="107">
        <v>901.42</v>
      </c>
      <c r="C257" s="107">
        <v>913.96</v>
      </c>
      <c r="D257" s="107">
        <v>900.94</v>
      </c>
      <c r="E257" s="107">
        <v>904.52</v>
      </c>
      <c r="F257" s="107">
        <v>1093.8499999999999</v>
      </c>
      <c r="G257" s="107">
        <v>617.01</v>
      </c>
      <c r="H257" s="107">
        <v>1113.01</v>
      </c>
      <c r="I257" s="107">
        <v>1176.25</v>
      </c>
      <c r="J257" s="107">
        <v>626.55999999999995</v>
      </c>
      <c r="K257" s="107">
        <v>642.07000000000005</v>
      </c>
      <c r="L257" s="107">
        <v>-4174.8999999999996</v>
      </c>
      <c r="M257" s="107"/>
      <c r="N257" s="107">
        <v>4714.6899999999996</v>
      </c>
    </row>
    <row r="258" spans="1:14">
      <c r="A258" s="64" t="s">
        <v>206</v>
      </c>
      <c r="B258" s="111">
        <v>953.5</v>
      </c>
      <c r="C258" s="111">
        <v>495.8</v>
      </c>
      <c r="D258" s="111">
        <v>418.53</v>
      </c>
      <c r="E258" s="111">
        <v>873.5</v>
      </c>
      <c r="F258" s="111">
        <v>974.88</v>
      </c>
      <c r="G258" s="111">
        <v>588.69000000000005</v>
      </c>
      <c r="H258" s="111">
        <v>979.07</v>
      </c>
      <c r="I258" s="111">
        <v>771.4</v>
      </c>
      <c r="J258" s="111">
        <v>414.54</v>
      </c>
      <c r="K258" s="111">
        <v>632.55999999999995</v>
      </c>
      <c r="L258" s="111">
        <v>-3386.26</v>
      </c>
      <c r="M258" s="111"/>
      <c r="N258" s="111">
        <v>3716.21</v>
      </c>
    </row>
    <row r="259" spans="1:14">
      <c r="A259" s="64" t="s">
        <v>207</v>
      </c>
      <c r="B259" s="107">
        <f t="shared" ref="B259:L259" si="56">SUM(B238:B258)</f>
        <v>134784.86000000002</v>
      </c>
      <c r="C259" s="107">
        <f t="shared" si="56"/>
        <v>143893.4</v>
      </c>
      <c r="D259" s="107">
        <f t="shared" si="56"/>
        <v>148785.82</v>
      </c>
      <c r="E259" s="107">
        <f t="shared" si="56"/>
        <v>169407.72</v>
      </c>
      <c r="F259" s="107">
        <f t="shared" si="56"/>
        <v>-1215796.24</v>
      </c>
      <c r="G259" s="107">
        <f t="shared" si="56"/>
        <v>152313.04999999999</v>
      </c>
      <c r="H259" s="107">
        <f t="shared" si="56"/>
        <v>145270.71000000002</v>
      </c>
      <c r="I259" s="107">
        <f t="shared" si="56"/>
        <v>141047.07999999999</v>
      </c>
      <c r="J259" s="107">
        <f t="shared" si="56"/>
        <v>142378.05000000002</v>
      </c>
      <c r="K259" s="107">
        <f t="shared" si="56"/>
        <v>153560.95999999999</v>
      </c>
      <c r="L259" s="107">
        <f t="shared" si="56"/>
        <v>-734569.85</v>
      </c>
      <c r="M259" s="107"/>
      <c r="N259" s="107">
        <v>-618924.43999999994</v>
      </c>
    </row>
    <row r="260" spans="1:14">
      <c r="A260" s="64"/>
      <c r="B260" s="22"/>
      <c r="C260" s="22"/>
      <c r="D260" s="22"/>
      <c r="E260" s="22"/>
      <c r="F260" s="22"/>
      <c r="G260" s="22"/>
      <c r="H260" s="22"/>
      <c r="I260" s="22"/>
      <c r="J260" s="22"/>
      <c r="K260" s="22"/>
      <c r="L260" s="22"/>
      <c r="M260" s="22"/>
      <c r="N260" s="22"/>
    </row>
    <row r="261" spans="1:14">
      <c r="A261" s="64" t="s">
        <v>15</v>
      </c>
      <c r="B261" s="22"/>
      <c r="C261" s="22"/>
      <c r="D261" s="22"/>
      <c r="E261" s="22"/>
      <c r="F261" s="22"/>
      <c r="G261" s="22"/>
      <c r="H261" s="22"/>
      <c r="I261" s="22"/>
      <c r="J261" s="22"/>
      <c r="K261" s="22"/>
      <c r="L261" s="22"/>
      <c r="M261" s="22"/>
      <c r="N261" s="22"/>
    </row>
    <row r="262" spans="1:14">
      <c r="A262" s="64" t="s">
        <v>208</v>
      </c>
      <c r="B262" s="107">
        <v>735.68</v>
      </c>
      <c r="C262" s="107">
        <v>2157.46</v>
      </c>
      <c r="D262" s="107">
        <v>1449.8</v>
      </c>
      <c r="E262" s="107">
        <v>1847.42</v>
      </c>
      <c r="F262" s="107">
        <v>1646.96</v>
      </c>
      <c r="G262" s="107">
        <v>984.67</v>
      </c>
      <c r="H262" s="107">
        <v>1755.66</v>
      </c>
      <c r="I262" s="107">
        <v>3898.92</v>
      </c>
      <c r="J262" s="107">
        <v>4128.0600000000004</v>
      </c>
      <c r="K262" s="107">
        <v>4145.45</v>
      </c>
      <c r="L262" s="107">
        <v>-14912.76</v>
      </c>
      <c r="M262" s="107"/>
      <c r="N262" s="107">
        <v>7837.32</v>
      </c>
    </row>
    <row r="263" spans="1:14">
      <c r="A263" s="64" t="s">
        <v>209</v>
      </c>
      <c r="B263" s="107">
        <v>423.27</v>
      </c>
      <c r="C263" s="107">
        <v>994.98</v>
      </c>
      <c r="D263" s="107">
        <v>967</v>
      </c>
      <c r="E263" s="107">
        <v>1082.51</v>
      </c>
      <c r="F263" s="107">
        <v>1041.76</v>
      </c>
      <c r="G263" s="107">
        <v>1218.25</v>
      </c>
      <c r="H263" s="107">
        <v>2003.1</v>
      </c>
      <c r="I263" s="107">
        <v>1525.07</v>
      </c>
      <c r="J263" s="107">
        <v>789.05</v>
      </c>
      <c r="K263" s="107">
        <v>1535.85</v>
      </c>
      <c r="L263" s="107">
        <v>-7071.32</v>
      </c>
      <c r="M263" s="107"/>
      <c r="N263" s="107">
        <v>4509.5200000000004</v>
      </c>
    </row>
    <row r="264" spans="1:14">
      <c r="A264" s="64" t="s">
        <v>210</v>
      </c>
      <c r="B264" s="107">
        <v>279.94</v>
      </c>
      <c r="C264" s="107">
        <v>285</v>
      </c>
      <c r="D264" s="107">
        <v>809.93</v>
      </c>
      <c r="E264" s="107">
        <v>581.4</v>
      </c>
      <c r="F264" s="107">
        <v>1039.82</v>
      </c>
      <c r="G264" s="107"/>
      <c r="H264" s="107">
        <v>181.27</v>
      </c>
      <c r="I264" s="107">
        <v>551.01</v>
      </c>
      <c r="J264" s="107">
        <v>189.32</v>
      </c>
      <c r="K264" s="107"/>
      <c r="L264" s="107">
        <v>-921.6</v>
      </c>
      <c r="M264" s="22"/>
      <c r="N264" s="107">
        <v>2996.09</v>
      </c>
    </row>
    <row r="265" spans="1:14">
      <c r="A265" s="64" t="s">
        <v>211</v>
      </c>
      <c r="B265" s="107">
        <v>113.95</v>
      </c>
      <c r="C265" s="107">
        <v>113.95</v>
      </c>
      <c r="D265" s="107">
        <v>113.95</v>
      </c>
      <c r="E265" s="107">
        <v>113.95</v>
      </c>
      <c r="F265" s="107">
        <v>113.95</v>
      </c>
      <c r="G265" s="107">
        <v>115.95</v>
      </c>
      <c r="H265" s="107">
        <v>115.95</v>
      </c>
      <c r="I265" s="107">
        <v>115.95</v>
      </c>
      <c r="J265" s="107">
        <v>115.95</v>
      </c>
      <c r="K265" s="107">
        <v>115.95</v>
      </c>
      <c r="L265" s="107">
        <v>-579.75</v>
      </c>
      <c r="M265" s="107"/>
      <c r="N265" s="107">
        <v>569.75</v>
      </c>
    </row>
    <row r="266" spans="1:14">
      <c r="A266" s="64" t="s">
        <v>195</v>
      </c>
      <c r="B266" s="107"/>
      <c r="C266" s="107">
        <v>148.35</v>
      </c>
      <c r="D266" s="107"/>
      <c r="E266" s="107">
        <v>38.65</v>
      </c>
      <c r="F266" s="107">
        <v>77.3</v>
      </c>
      <c r="G266" s="107">
        <v>216.63</v>
      </c>
      <c r="H266" s="107"/>
      <c r="I266" s="22"/>
      <c r="J266" s="107">
        <v>201.2</v>
      </c>
      <c r="K266" s="107">
        <v>42.13</v>
      </c>
      <c r="L266" s="107">
        <v>-459.96</v>
      </c>
      <c r="M266" s="22"/>
      <c r="N266" s="107">
        <v>264.3</v>
      </c>
    </row>
    <row r="267" spans="1:14">
      <c r="A267" s="64" t="s">
        <v>214</v>
      </c>
      <c r="B267" s="107">
        <v>232.78</v>
      </c>
      <c r="C267" s="107">
        <v>308.8</v>
      </c>
      <c r="D267" s="107">
        <v>186.12</v>
      </c>
      <c r="E267" s="107">
        <v>339.68</v>
      </c>
      <c r="F267" s="107">
        <v>304.75</v>
      </c>
      <c r="G267" s="107">
        <v>92.64</v>
      </c>
      <c r="H267" s="107"/>
      <c r="I267" s="107">
        <v>138.09</v>
      </c>
      <c r="J267" s="107">
        <v>367.8</v>
      </c>
      <c r="K267" s="107">
        <v>187.69</v>
      </c>
      <c r="L267" s="107">
        <v>-786.22</v>
      </c>
      <c r="M267" s="22"/>
      <c r="N267" s="107">
        <v>1372.13</v>
      </c>
    </row>
    <row r="268" spans="1:14">
      <c r="A268" s="64" t="s">
        <v>215</v>
      </c>
      <c r="B268" s="22"/>
      <c r="C268" s="107"/>
      <c r="D268" s="107">
        <v>1450.18</v>
      </c>
      <c r="E268" s="22"/>
      <c r="F268" s="22"/>
      <c r="G268" s="107">
        <v>18.02</v>
      </c>
      <c r="H268" s="107">
        <v>518.04999999999995</v>
      </c>
      <c r="I268" s="22"/>
      <c r="J268" s="107">
        <v>36.04</v>
      </c>
      <c r="K268" s="107">
        <v>427</v>
      </c>
      <c r="L268" s="107">
        <v>-999.11</v>
      </c>
      <c r="M268" s="22"/>
      <c r="N268" s="107">
        <v>1450.18</v>
      </c>
    </row>
    <row r="269" spans="1:14">
      <c r="A269" s="64" t="s">
        <v>216</v>
      </c>
      <c r="B269" s="107">
        <v>1510.8</v>
      </c>
      <c r="C269" s="107">
        <v>2521.81</v>
      </c>
      <c r="D269" s="107">
        <v>1661.85</v>
      </c>
      <c r="E269" s="107">
        <v>1470.88</v>
      </c>
      <c r="F269" s="107">
        <v>521.88</v>
      </c>
      <c r="G269" s="107">
        <v>971.04</v>
      </c>
      <c r="H269" s="107">
        <v>1734.2</v>
      </c>
      <c r="I269" s="107">
        <v>1129.19</v>
      </c>
      <c r="J269" s="107">
        <v>910.35</v>
      </c>
      <c r="K269" s="107">
        <v>1490.61</v>
      </c>
      <c r="L269" s="107">
        <v>-6235.39</v>
      </c>
      <c r="M269" s="107"/>
      <c r="N269" s="107">
        <v>7687.22</v>
      </c>
    </row>
    <row r="270" spans="1:14">
      <c r="A270" s="64" t="s">
        <v>217</v>
      </c>
      <c r="B270" s="22"/>
      <c r="C270" s="107">
        <v>762.6</v>
      </c>
      <c r="D270" s="107">
        <v>241.97</v>
      </c>
      <c r="E270" s="107">
        <v>201.98</v>
      </c>
      <c r="F270" s="107">
        <v>195.98</v>
      </c>
      <c r="G270" s="22"/>
      <c r="H270" s="107">
        <v>71.19</v>
      </c>
      <c r="I270" s="107">
        <v>30</v>
      </c>
      <c r="J270" s="107">
        <v>782.01</v>
      </c>
      <c r="K270" s="107">
        <v>894.7</v>
      </c>
      <c r="L270" s="107">
        <v>-1777.9</v>
      </c>
      <c r="M270" s="22"/>
      <c r="N270" s="107">
        <v>1402.53</v>
      </c>
    </row>
    <row r="271" spans="1:14">
      <c r="A271" s="64" t="s">
        <v>218</v>
      </c>
      <c r="B271" s="107">
        <v>943.34</v>
      </c>
      <c r="C271" s="107">
        <v>1983.56</v>
      </c>
      <c r="D271" s="107">
        <v>1361.54</v>
      </c>
      <c r="E271" s="107">
        <v>1697.18</v>
      </c>
      <c r="F271" s="107">
        <v>1538.67</v>
      </c>
      <c r="G271" s="107">
        <v>1933.43</v>
      </c>
      <c r="H271" s="107">
        <v>1544.35</v>
      </c>
      <c r="I271" s="107">
        <v>-2014.56</v>
      </c>
      <c r="J271" s="107">
        <v>1436.89</v>
      </c>
      <c r="K271" s="107">
        <v>1380.37</v>
      </c>
      <c r="L271" s="107">
        <v>-4280.4799999999996</v>
      </c>
      <c r="M271" s="107"/>
      <c r="N271" s="107">
        <v>7524.29</v>
      </c>
    </row>
    <row r="272" spans="1:14">
      <c r="A272" s="64" t="s">
        <v>219</v>
      </c>
      <c r="B272" s="107">
        <v>635.12</v>
      </c>
      <c r="C272" s="107">
        <v>959.15</v>
      </c>
      <c r="D272" s="107">
        <v>1419.29</v>
      </c>
      <c r="E272" s="107">
        <v>1123.95</v>
      </c>
      <c r="F272" s="107">
        <v>1807.82</v>
      </c>
      <c r="G272" s="107">
        <v>158.72</v>
      </c>
      <c r="H272" s="107">
        <v>2643.46</v>
      </c>
      <c r="I272" s="107">
        <v>1502.2</v>
      </c>
      <c r="J272" s="107">
        <v>373.66</v>
      </c>
      <c r="K272" s="107">
        <v>81.16</v>
      </c>
      <c r="L272" s="107">
        <v>-4759.2</v>
      </c>
      <c r="M272" s="107"/>
      <c r="N272" s="107">
        <v>5945.33</v>
      </c>
    </row>
    <row r="273" spans="1:14">
      <c r="A273" s="64" t="s">
        <v>220</v>
      </c>
      <c r="B273" s="111">
        <v>364.04</v>
      </c>
      <c r="C273" s="111">
        <v>132.22999999999999</v>
      </c>
      <c r="D273" s="111">
        <v>91.64</v>
      </c>
      <c r="E273" s="111">
        <v>111.86</v>
      </c>
      <c r="F273" s="111">
        <v>352.27</v>
      </c>
      <c r="G273" s="111">
        <v>33.75</v>
      </c>
      <c r="H273" s="111">
        <v>253.95</v>
      </c>
      <c r="I273" s="111">
        <v>361.38</v>
      </c>
      <c r="J273" s="111">
        <v>322.14</v>
      </c>
      <c r="K273" s="111">
        <v>459.2</v>
      </c>
      <c r="L273" s="111">
        <v>-1430.42</v>
      </c>
      <c r="M273" s="111"/>
      <c r="N273" s="111">
        <v>1052.04</v>
      </c>
    </row>
    <row r="274" spans="1:14">
      <c r="A274" s="64" t="s">
        <v>221</v>
      </c>
      <c r="B274" s="107">
        <f t="shared" ref="B274:L274" si="57">SUM(B260:B273)</f>
        <v>5238.92</v>
      </c>
      <c r="C274" s="107">
        <f t="shared" si="57"/>
        <v>10367.89</v>
      </c>
      <c r="D274" s="107">
        <f t="shared" si="57"/>
        <v>9753.27</v>
      </c>
      <c r="E274" s="107">
        <f t="shared" si="57"/>
        <v>8609.4600000000009</v>
      </c>
      <c r="F274" s="107">
        <f t="shared" si="57"/>
        <v>8641.16</v>
      </c>
      <c r="G274" s="107">
        <f t="shared" si="57"/>
        <v>5743.1</v>
      </c>
      <c r="H274" s="107">
        <f t="shared" si="57"/>
        <v>10821.18</v>
      </c>
      <c r="I274" s="107">
        <f t="shared" si="57"/>
        <v>7237.25</v>
      </c>
      <c r="J274" s="107">
        <f t="shared" si="57"/>
        <v>9652.4699999999993</v>
      </c>
      <c r="K274" s="107">
        <f t="shared" si="57"/>
        <v>10760.11</v>
      </c>
      <c r="L274" s="107">
        <f t="shared" si="57"/>
        <v>-44214.11</v>
      </c>
      <c r="M274" s="107"/>
      <c r="N274" s="107">
        <v>42610.7</v>
      </c>
    </row>
    <row r="275" spans="1:14">
      <c r="A275" s="64"/>
      <c r="B275" s="22"/>
      <c r="C275" s="22"/>
      <c r="D275" s="22"/>
      <c r="E275" s="22"/>
      <c r="F275" s="22"/>
      <c r="G275" s="22"/>
      <c r="H275" s="22"/>
      <c r="I275" s="22"/>
      <c r="J275" s="22"/>
      <c r="K275" s="22"/>
      <c r="L275" s="22"/>
      <c r="M275" s="22"/>
      <c r="N275" s="22"/>
    </row>
    <row r="276" spans="1:14">
      <c r="A276" s="64" t="s">
        <v>222</v>
      </c>
      <c r="B276" s="22"/>
      <c r="C276" s="22"/>
      <c r="D276" s="22"/>
      <c r="E276" s="22"/>
      <c r="F276" s="22"/>
      <c r="G276" s="22"/>
      <c r="H276" s="22"/>
      <c r="I276" s="22"/>
      <c r="J276" s="22"/>
      <c r="K276" s="22"/>
      <c r="L276" s="22"/>
      <c r="M276" s="22"/>
      <c r="N276" s="22"/>
    </row>
    <row r="277" spans="1:14">
      <c r="A277" s="64" t="s">
        <v>223</v>
      </c>
      <c r="B277" s="22"/>
      <c r="C277" s="107">
        <v>1102.9000000000001</v>
      </c>
      <c r="D277" s="22"/>
      <c r="E277" s="107">
        <v>386.27</v>
      </c>
      <c r="F277" s="107">
        <v>2489.21</v>
      </c>
      <c r="G277" s="22"/>
      <c r="H277" s="107">
        <v>2966.5</v>
      </c>
      <c r="I277" s="22"/>
      <c r="J277" s="22"/>
      <c r="K277" s="22"/>
      <c r="L277" s="107">
        <v>-2966.5</v>
      </c>
      <c r="M277" s="22"/>
      <c r="N277" s="107">
        <v>3978.38</v>
      </c>
    </row>
    <row r="278" spans="1:14">
      <c r="A278" s="64" t="s">
        <v>224</v>
      </c>
      <c r="B278" s="107">
        <v>12171.72</v>
      </c>
      <c r="C278" s="107">
        <v>6603.22</v>
      </c>
      <c r="D278" s="107">
        <v>4559.12</v>
      </c>
      <c r="E278" s="107">
        <v>7423.48</v>
      </c>
      <c r="F278" s="107">
        <v>7715.87</v>
      </c>
      <c r="G278" s="107">
        <v>-1004.42</v>
      </c>
      <c r="H278" s="107">
        <v>9336.68</v>
      </c>
      <c r="I278" s="107">
        <v>12440.17</v>
      </c>
      <c r="J278" s="107">
        <v>3834.65</v>
      </c>
      <c r="K278" s="107">
        <v>8906.7199999999993</v>
      </c>
      <c r="L278" s="107">
        <v>-33513.800000000003</v>
      </c>
      <c r="M278" s="107"/>
      <c r="N278" s="107">
        <v>38473.410000000003</v>
      </c>
    </row>
    <row r="279" spans="1:14">
      <c r="A279" s="64" t="s">
        <v>226</v>
      </c>
      <c r="B279" s="107">
        <v>83.27</v>
      </c>
      <c r="C279" s="107">
        <v>207.58</v>
      </c>
      <c r="D279" s="22"/>
      <c r="E279" s="107">
        <v>917.05</v>
      </c>
      <c r="F279" s="107">
        <v>1944.78</v>
      </c>
      <c r="G279" s="107"/>
      <c r="H279" s="107">
        <v>1064.27</v>
      </c>
      <c r="I279" s="107">
        <v>366.3</v>
      </c>
      <c r="J279" s="107">
        <v>477.76</v>
      </c>
      <c r="K279" s="107">
        <v>147.08000000000001</v>
      </c>
      <c r="L279" s="107">
        <v>-2055.41</v>
      </c>
      <c r="M279" s="107"/>
      <c r="N279" s="107">
        <v>3152.68</v>
      </c>
    </row>
    <row r="280" spans="1:14">
      <c r="A280" s="64" t="s">
        <v>227</v>
      </c>
      <c r="B280" s="111">
        <v>58.41</v>
      </c>
      <c r="C280" s="111">
        <v>475.81</v>
      </c>
      <c r="D280" s="111">
        <v>1412.76</v>
      </c>
      <c r="E280" s="111">
        <v>149.99</v>
      </c>
      <c r="F280" s="111">
        <v>359.53</v>
      </c>
      <c r="G280" s="111"/>
      <c r="H280" s="111">
        <v>182.26</v>
      </c>
      <c r="I280" s="113"/>
      <c r="J280" s="111">
        <v>1404.88</v>
      </c>
      <c r="K280" s="111">
        <v>113.4</v>
      </c>
      <c r="L280" s="111">
        <v>-1700.54</v>
      </c>
      <c r="M280" s="113"/>
      <c r="N280" s="111">
        <v>2456.5</v>
      </c>
    </row>
    <row r="281" spans="1:14">
      <c r="A281" s="64" t="s">
        <v>229</v>
      </c>
      <c r="B281" s="107">
        <f t="shared" ref="B281:L281" si="58">SUM(B275:B280)</f>
        <v>12313.4</v>
      </c>
      <c r="C281" s="107">
        <f t="shared" si="58"/>
        <v>8389.51</v>
      </c>
      <c r="D281" s="107">
        <f t="shared" si="58"/>
        <v>5971.88</v>
      </c>
      <c r="E281" s="107">
        <f t="shared" si="58"/>
        <v>8876.7899999999991</v>
      </c>
      <c r="F281" s="107">
        <f t="shared" si="58"/>
        <v>12509.390000000001</v>
      </c>
      <c r="G281" s="107">
        <f t="shared" si="58"/>
        <v>-1004.42</v>
      </c>
      <c r="H281" s="107">
        <f t="shared" si="58"/>
        <v>13549.710000000001</v>
      </c>
      <c r="I281" s="107">
        <f t="shared" si="58"/>
        <v>12806.47</v>
      </c>
      <c r="J281" s="107">
        <f t="shared" si="58"/>
        <v>5717.29</v>
      </c>
      <c r="K281" s="107">
        <f t="shared" si="58"/>
        <v>9167.1999999999989</v>
      </c>
      <c r="L281" s="107">
        <f t="shared" si="58"/>
        <v>-40236.250000000007</v>
      </c>
      <c r="M281" s="107"/>
      <c r="N281" s="107">
        <v>48060.97</v>
      </c>
    </row>
    <row r="282" spans="1:14">
      <c r="A282" s="64"/>
      <c r="B282" s="22"/>
      <c r="C282" s="22"/>
      <c r="D282" s="22"/>
      <c r="E282" s="22"/>
      <c r="F282" s="22"/>
      <c r="G282" s="22"/>
      <c r="H282" s="22"/>
      <c r="I282" s="22"/>
      <c r="J282" s="22"/>
      <c r="K282" s="22"/>
      <c r="L282" s="22"/>
      <c r="M282" s="22"/>
      <c r="N282" s="22"/>
    </row>
    <row r="283" spans="1:14">
      <c r="A283" s="64" t="s">
        <v>230</v>
      </c>
      <c r="B283" s="22"/>
      <c r="C283" s="22"/>
      <c r="D283" s="22"/>
      <c r="E283" s="22"/>
      <c r="F283" s="22"/>
      <c r="G283" s="22"/>
      <c r="H283" s="22"/>
      <c r="I283" s="22"/>
      <c r="J283" s="22"/>
      <c r="K283" s="22"/>
      <c r="L283" s="22"/>
      <c r="M283" s="22"/>
      <c r="N283" s="22"/>
    </row>
    <row r="284" spans="1:14">
      <c r="A284" s="64" t="s">
        <v>231</v>
      </c>
      <c r="B284" s="107">
        <v>10973.44</v>
      </c>
      <c r="C284" s="107">
        <v>10973.44</v>
      </c>
      <c r="D284" s="107">
        <v>10973.44</v>
      </c>
      <c r="E284" s="107">
        <v>10973.44</v>
      </c>
      <c r="F284" s="107">
        <v>-7434.7</v>
      </c>
      <c r="G284" s="107">
        <v>11773.44</v>
      </c>
      <c r="H284" s="107">
        <v>11773.44</v>
      </c>
      <c r="I284" s="107">
        <v>11773.44</v>
      </c>
      <c r="J284" s="107">
        <v>11773.44</v>
      </c>
      <c r="K284" s="107">
        <v>11773.44</v>
      </c>
      <c r="L284" s="107">
        <v>-58867.199999999997</v>
      </c>
      <c r="M284" s="22"/>
      <c r="N284" s="107">
        <v>36459.06</v>
      </c>
    </row>
    <row r="285" spans="1:14">
      <c r="A285" s="64" t="s">
        <v>232</v>
      </c>
      <c r="B285" s="107">
        <v>200</v>
      </c>
      <c r="C285" s="107">
        <v>200</v>
      </c>
      <c r="D285" s="107">
        <v>200</v>
      </c>
      <c r="E285" s="107">
        <v>200</v>
      </c>
      <c r="F285" s="107">
        <v>2155.3000000000002</v>
      </c>
      <c r="G285" s="107">
        <v>350</v>
      </c>
      <c r="H285" s="107">
        <v>350</v>
      </c>
      <c r="I285" s="107">
        <v>350</v>
      </c>
      <c r="J285" s="107">
        <v>350</v>
      </c>
      <c r="K285" s="107">
        <v>350</v>
      </c>
      <c r="L285" s="107">
        <v>-1750</v>
      </c>
      <c r="M285" s="22"/>
      <c r="N285" s="107">
        <v>2955.3</v>
      </c>
    </row>
    <row r="286" spans="1:14">
      <c r="A286" s="64" t="s">
        <v>234</v>
      </c>
      <c r="B286" s="22"/>
      <c r="C286" s="22"/>
      <c r="D286" s="22"/>
      <c r="E286" s="22"/>
      <c r="F286" s="22"/>
      <c r="G286" s="107">
        <v>66.67</v>
      </c>
      <c r="H286" s="107">
        <v>127.85</v>
      </c>
      <c r="I286" s="22"/>
      <c r="J286" s="107">
        <v>1800</v>
      </c>
      <c r="K286" s="107">
        <v>755</v>
      </c>
      <c r="L286" s="107">
        <v>-2749.52</v>
      </c>
      <c r="M286" s="22"/>
      <c r="N286" s="107"/>
    </row>
    <row r="287" spans="1:14">
      <c r="A287" s="64" t="s">
        <v>352</v>
      </c>
      <c r="B287" s="107">
        <v>834.84</v>
      </c>
      <c r="C287" s="22"/>
      <c r="D287" s="22"/>
      <c r="E287" s="22"/>
      <c r="F287" s="22"/>
      <c r="G287" s="107">
        <v>834.84</v>
      </c>
      <c r="H287" s="107">
        <v>834.84</v>
      </c>
      <c r="I287" s="107">
        <v>834.84</v>
      </c>
      <c r="J287" s="107">
        <v>834.84</v>
      </c>
      <c r="K287" s="107">
        <v>834.84</v>
      </c>
      <c r="L287" s="107">
        <v>-4174.2</v>
      </c>
      <c r="M287" s="22"/>
      <c r="N287" s="107">
        <v>834.84</v>
      </c>
    </row>
    <row r="288" spans="1:14">
      <c r="A288" s="64" t="s">
        <v>235</v>
      </c>
      <c r="B288" s="107">
        <v>866.25</v>
      </c>
      <c r="C288" s="107">
        <v>866.25</v>
      </c>
      <c r="D288" s="107">
        <v>866.25</v>
      </c>
      <c r="E288" s="107">
        <v>866.25</v>
      </c>
      <c r="F288" s="107">
        <v>866.25</v>
      </c>
      <c r="G288" s="107">
        <v>100</v>
      </c>
      <c r="H288" s="22"/>
      <c r="I288" s="22"/>
      <c r="J288" s="22"/>
      <c r="K288" s="22"/>
      <c r="L288" s="107">
        <v>-100</v>
      </c>
      <c r="M288" s="22"/>
      <c r="N288" s="107">
        <v>4331.25</v>
      </c>
    </row>
    <row r="289" spans="1:14">
      <c r="A289" s="64" t="s">
        <v>228</v>
      </c>
      <c r="B289" s="113"/>
      <c r="C289" s="113"/>
      <c r="D289" s="113"/>
      <c r="E289" s="113"/>
      <c r="F289" s="111">
        <v>1375</v>
      </c>
      <c r="G289" s="113"/>
      <c r="H289" s="113"/>
      <c r="I289" s="113"/>
      <c r="J289" s="113"/>
      <c r="K289" s="113"/>
      <c r="L289" s="113"/>
      <c r="M289" s="113"/>
      <c r="N289" s="111">
        <v>1375</v>
      </c>
    </row>
    <row r="290" spans="1:14">
      <c r="A290" s="64" t="s">
        <v>236</v>
      </c>
      <c r="B290" s="107">
        <f t="shared" ref="B290:L290" si="59">SUM(B282:B289)</f>
        <v>12874.53</v>
      </c>
      <c r="C290" s="107">
        <f t="shared" si="59"/>
        <v>12039.69</v>
      </c>
      <c r="D290" s="107">
        <f t="shared" si="59"/>
        <v>12039.69</v>
      </c>
      <c r="E290" s="107">
        <f t="shared" si="59"/>
        <v>12039.69</v>
      </c>
      <c r="F290" s="107">
        <f t="shared" si="59"/>
        <v>-3038.1499999999996</v>
      </c>
      <c r="G290" s="107">
        <f t="shared" si="59"/>
        <v>13124.95</v>
      </c>
      <c r="H290" s="107">
        <f t="shared" si="59"/>
        <v>13086.130000000001</v>
      </c>
      <c r="I290" s="107">
        <f t="shared" si="59"/>
        <v>12958.28</v>
      </c>
      <c r="J290" s="107">
        <f t="shared" si="59"/>
        <v>14758.28</v>
      </c>
      <c r="K290" s="107">
        <f t="shared" si="59"/>
        <v>13713.28</v>
      </c>
      <c r="L290" s="107">
        <f t="shared" si="59"/>
        <v>-67640.92</v>
      </c>
      <c r="M290" s="107"/>
      <c r="N290" s="107">
        <v>45955.45</v>
      </c>
    </row>
    <row r="291" spans="1:14">
      <c r="A291" s="64"/>
      <c r="B291" s="22"/>
      <c r="C291" s="22"/>
      <c r="D291" s="22"/>
      <c r="E291" s="22"/>
      <c r="F291" s="22"/>
      <c r="G291" s="22"/>
      <c r="H291" s="22"/>
      <c r="I291" s="22"/>
      <c r="J291" s="22"/>
      <c r="K291" s="22"/>
      <c r="L291" s="22"/>
      <c r="M291" s="22"/>
      <c r="N291" s="22"/>
    </row>
    <row r="292" spans="1:14">
      <c r="A292" s="64" t="s">
        <v>237</v>
      </c>
      <c r="B292" s="22"/>
      <c r="C292" s="22"/>
      <c r="D292" s="22"/>
      <c r="E292" s="22"/>
      <c r="F292" s="22"/>
      <c r="G292" s="22"/>
      <c r="H292" s="22"/>
      <c r="I292" s="22"/>
      <c r="J292" s="22"/>
      <c r="K292" s="22"/>
      <c r="L292" s="22"/>
      <c r="M292" s="22"/>
      <c r="N292" s="22"/>
    </row>
    <row r="293" spans="1:14">
      <c r="A293" s="64" t="s">
        <v>375</v>
      </c>
      <c r="B293" s="22"/>
      <c r="C293" s="107">
        <v>1312</v>
      </c>
      <c r="D293" s="22"/>
      <c r="E293" s="107">
        <v>2464</v>
      </c>
      <c r="F293" s="107">
        <v>616</v>
      </c>
      <c r="G293" s="22"/>
      <c r="H293" s="107">
        <v>26754</v>
      </c>
      <c r="I293" s="107">
        <v>-193</v>
      </c>
      <c r="J293" s="22"/>
      <c r="K293" s="22"/>
      <c r="L293" s="107">
        <v>-26561</v>
      </c>
      <c r="M293" s="22"/>
      <c r="N293" s="107">
        <v>4392</v>
      </c>
    </row>
    <row r="294" spans="1:14">
      <c r="A294" s="64" t="s">
        <v>228</v>
      </c>
      <c r="B294" s="111">
        <v>17029</v>
      </c>
      <c r="C294" s="111">
        <v>15110</v>
      </c>
      <c r="D294" s="111">
        <v>15561</v>
      </c>
      <c r="E294" s="111">
        <v>21114</v>
      </c>
      <c r="F294" s="111">
        <v>5862</v>
      </c>
      <c r="G294" s="111">
        <v>20495</v>
      </c>
      <c r="H294" s="111">
        <v>121700.75</v>
      </c>
      <c r="I294" s="111">
        <v>13794</v>
      </c>
      <c r="J294" s="111">
        <v>14665</v>
      </c>
      <c r="K294" s="111">
        <v>15399</v>
      </c>
      <c r="L294" s="111">
        <v>-186053.75</v>
      </c>
      <c r="M294" s="113"/>
      <c r="N294" s="111">
        <v>74676</v>
      </c>
    </row>
    <row r="295" spans="1:14">
      <c r="A295" s="64" t="s">
        <v>238</v>
      </c>
      <c r="B295" s="107">
        <f t="shared" ref="B295:L295" si="60">SUM(B291:B294)</f>
        <v>17029</v>
      </c>
      <c r="C295" s="107">
        <f t="shared" si="60"/>
        <v>16422</v>
      </c>
      <c r="D295" s="107">
        <f t="shared" si="60"/>
        <v>15561</v>
      </c>
      <c r="E295" s="107">
        <f t="shared" si="60"/>
        <v>23578</v>
      </c>
      <c r="F295" s="107">
        <f t="shared" si="60"/>
        <v>6478</v>
      </c>
      <c r="G295" s="107">
        <f t="shared" si="60"/>
        <v>20495</v>
      </c>
      <c r="H295" s="107">
        <f t="shared" si="60"/>
        <v>148454.75</v>
      </c>
      <c r="I295" s="107">
        <f t="shared" si="60"/>
        <v>13601</v>
      </c>
      <c r="J295" s="107">
        <f t="shared" si="60"/>
        <v>14665</v>
      </c>
      <c r="K295" s="107">
        <f t="shared" si="60"/>
        <v>15399</v>
      </c>
      <c r="L295" s="107">
        <f t="shared" si="60"/>
        <v>-212614.75</v>
      </c>
      <c r="M295" s="107"/>
      <c r="N295" s="107">
        <v>79068</v>
      </c>
    </row>
    <row r="296" spans="1:14">
      <c r="A296" s="64"/>
      <c r="B296" s="22"/>
      <c r="C296" s="22"/>
      <c r="D296" s="22"/>
      <c r="E296" s="22"/>
      <c r="F296" s="22"/>
      <c r="G296" s="22"/>
      <c r="H296" s="22"/>
      <c r="I296" s="22"/>
      <c r="J296" s="22"/>
      <c r="K296" s="22"/>
      <c r="L296" s="22"/>
      <c r="M296" s="22"/>
      <c r="N296" s="22"/>
    </row>
    <row r="297" spans="1:14">
      <c r="A297" s="64" t="s">
        <v>239</v>
      </c>
      <c r="B297" s="22"/>
      <c r="C297" s="22"/>
      <c r="D297" s="22"/>
      <c r="E297" s="22"/>
      <c r="F297" s="22"/>
      <c r="G297" s="22"/>
      <c r="H297" s="22"/>
      <c r="I297" s="22"/>
      <c r="J297" s="22"/>
      <c r="K297" s="22"/>
      <c r="L297" s="22"/>
      <c r="M297" s="22"/>
      <c r="N297" s="22"/>
    </row>
    <row r="298" spans="1:14">
      <c r="A298" s="64" t="s">
        <v>240</v>
      </c>
      <c r="B298" s="107">
        <v>3243.45</v>
      </c>
      <c r="C298" s="107">
        <v>3243.45</v>
      </c>
      <c r="D298" s="107">
        <v>3243.45</v>
      </c>
      <c r="E298" s="107">
        <v>3243.45</v>
      </c>
      <c r="F298" s="107">
        <v>3243.52</v>
      </c>
      <c r="G298" s="107">
        <v>3243.41</v>
      </c>
      <c r="H298" s="107">
        <v>3243.45</v>
      </c>
      <c r="I298" s="107">
        <v>4506.7299999999996</v>
      </c>
      <c r="J298" s="107">
        <v>3875.09</v>
      </c>
      <c r="K298" s="107">
        <v>3875.09</v>
      </c>
      <c r="L298" s="107">
        <v>-18743.77</v>
      </c>
      <c r="M298" s="107"/>
      <c r="N298" s="107">
        <v>16217.32</v>
      </c>
    </row>
    <row r="299" spans="1:14">
      <c r="A299" s="64" t="s">
        <v>242</v>
      </c>
      <c r="B299" s="107">
        <v>5546.57</v>
      </c>
      <c r="C299" s="107">
        <v>6028.88</v>
      </c>
      <c r="D299" s="107">
        <v>6028.88</v>
      </c>
      <c r="E299" s="107">
        <v>6028.88</v>
      </c>
      <c r="F299" s="107">
        <v>6028.88</v>
      </c>
      <c r="G299" s="107">
        <v>6608.54</v>
      </c>
      <c r="H299" s="107">
        <v>6028.88</v>
      </c>
      <c r="I299" s="107">
        <v>6028.88</v>
      </c>
      <c r="J299" s="107">
        <v>6028.88</v>
      </c>
      <c r="K299" s="107">
        <v>6028.88</v>
      </c>
      <c r="L299" s="107">
        <v>-30724.06</v>
      </c>
      <c r="M299" s="107"/>
      <c r="N299" s="107">
        <v>29662.09</v>
      </c>
    </row>
    <row r="300" spans="1:14">
      <c r="A300" s="64" t="s">
        <v>284</v>
      </c>
      <c r="B300" s="22"/>
      <c r="C300" s="22"/>
      <c r="D300" s="22"/>
      <c r="E300" s="107"/>
      <c r="F300" s="107">
        <v>-18461</v>
      </c>
      <c r="G300" s="22"/>
      <c r="H300" s="22"/>
      <c r="I300" s="107">
        <v>69306.7</v>
      </c>
      <c r="J300" s="22"/>
      <c r="K300" s="22"/>
      <c r="L300" s="107">
        <v>-69306.7</v>
      </c>
      <c r="M300" s="22"/>
      <c r="N300" s="107">
        <v>-18461</v>
      </c>
    </row>
    <row r="301" spans="1:14">
      <c r="A301" s="64" t="s">
        <v>387</v>
      </c>
      <c r="B301" s="113"/>
      <c r="C301" s="113"/>
      <c r="D301" s="113"/>
      <c r="E301" s="113"/>
      <c r="F301" s="113"/>
      <c r="G301" s="113"/>
      <c r="H301" s="113"/>
      <c r="I301" s="113"/>
      <c r="J301" s="113"/>
      <c r="K301" s="113"/>
      <c r="L301" s="113"/>
      <c r="M301" s="113"/>
      <c r="N301" s="113"/>
    </row>
    <row r="302" spans="1:14">
      <c r="A302" s="64" t="s">
        <v>244</v>
      </c>
      <c r="B302" s="107">
        <f t="shared" ref="B302:L302" si="61">SUM(B296:B301)</f>
        <v>8790.02</v>
      </c>
      <c r="C302" s="107">
        <f t="shared" si="61"/>
        <v>9272.33</v>
      </c>
      <c r="D302" s="107">
        <f t="shared" si="61"/>
        <v>9272.33</v>
      </c>
      <c r="E302" s="107">
        <f t="shared" si="61"/>
        <v>9272.33</v>
      </c>
      <c r="F302" s="107">
        <f t="shared" si="61"/>
        <v>-9188.6</v>
      </c>
      <c r="G302" s="107">
        <f t="shared" si="61"/>
        <v>9851.9500000000007</v>
      </c>
      <c r="H302" s="107">
        <f t="shared" si="61"/>
        <v>9272.33</v>
      </c>
      <c r="I302" s="107">
        <f t="shared" si="61"/>
        <v>79842.31</v>
      </c>
      <c r="J302" s="107">
        <f t="shared" si="61"/>
        <v>9903.9700000000012</v>
      </c>
      <c r="K302" s="107">
        <f t="shared" si="61"/>
        <v>9903.9700000000012</v>
      </c>
      <c r="L302" s="107">
        <f t="shared" si="61"/>
        <v>-118774.53</v>
      </c>
      <c r="M302" s="107"/>
      <c r="N302" s="107">
        <v>27418.41</v>
      </c>
    </row>
    <row r="303" spans="1:14">
      <c r="A303" s="64"/>
      <c r="B303" s="22"/>
      <c r="C303" s="22"/>
      <c r="D303" s="22"/>
      <c r="E303" s="22"/>
      <c r="F303" s="22"/>
      <c r="G303" s="22"/>
      <c r="H303" s="22"/>
      <c r="I303" s="22"/>
      <c r="J303" s="22"/>
      <c r="K303" s="22"/>
      <c r="L303" s="22"/>
      <c r="M303" s="22"/>
      <c r="N303" s="22"/>
    </row>
    <row r="304" spans="1:14">
      <c r="A304" s="64" t="s">
        <v>245</v>
      </c>
      <c r="B304" s="22"/>
      <c r="C304" s="22"/>
      <c r="D304" s="22"/>
      <c r="E304" s="22"/>
      <c r="F304" s="22"/>
      <c r="G304" s="22"/>
      <c r="H304" s="22"/>
      <c r="I304" s="22"/>
      <c r="J304" s="22"/>
      <c r="K304" s="22"/>
      <c r="L304" s="22"/>
      <c r="M304" s="22"/>
      <c r="N304" s="22"/>
    </row>
    <row r="305" spans="1:14">
      <c r="A305" s="64" t="s">
        <v>246</v>
      </c>
      <c r="B305" s="107">
        <v>6132.94</v>
      </c>
      <c r="C305" s="107">
        <v>6132.94</v>
      </c>
      <c r="D305" s="107">
        <v>6132.94</v>
      </c>
      <c r="E305" s="107">
        <v>6132.94</v>
      </c>
      <c r="F305" s="107">
        <v>6133.7</v>
      </c>
      <c r="G305" s="107">
        <v>3066.85</v>
      </c>
      <c r="H305" s="107">
        <v>9198.27</v>
      </c>
      <c r="I305" s="107">
        <v>6132.56</v>
      </c>
      <c r="J305" s="107">
        <v>6132.56</v>
      </c>
      <c r="K305" s="107">
        <v>6283.42</v>
      </c>
      <c r="L305" s="107">
        <v>-30813.66</v>
      </c>
      <c r="M305" s="107"/>
      <c r="N305" s="107">
        <v>30665.46</v>
      </c>
    </row>
    <row r="306" spans="1:14">
      <c r="A306" s="64" t="s">
        <v>247</v>
      </c>
      <c r="B306" s="107">
        <v>6512.78</v>
      </c>
      <c r="C306" s="107">
        <v>6148.84</v>
      </c>
      <c r="D306" s="107">
        <v>6845.88</v>
      </c>
      <c r="E306" s="107">
        <v>7824.32</v>
      </c>
      <c r="F306" s="107">
        <v>7255.46</v>
      </c>
      <c r="G306" s="107">
        <v>3627.73</v>
      </c>
      <c r="H306" s="107">
        <v>10424.450000000001</v>
      </c>
      <c r="I306" s="107">
        <v>6344.7</v>
      </c>
      <c r="J306" s="107">
        <v>6329.34</v>
      </c>
      <c r="K306" s="107">
        <v>6482.14</v>
      </c>
      <c r="L306" s="107">
        <v>-33208.36</v>
      </c>
      <c r="M306" s="107"/>
      <c r="N306" s="107">
        <v>34587.279999999999</v>
      </c>
    </row>
    <row r="307" spans="1:14">
      <c r="A307" s="64" t="s">
        <v>285</v>
      </c>
      <c r="B307" s="107">
        <v>84.5</v>
      </c>
      <c r="C307" s="107">
        <v>84.5</v>
      </c>
      <c r="D307" s="107">
        <v>84.5</v>
      </c>
      <c r="E307" s="107">
        <v>84.5</v>
      </c>
      <c r="F307" s="107">
        <v>84.5</v>
      </c>
      <c r="G307" s="107">
        <v>42.25</v>
      </c>
      <c r="H307" s="107">
        <v>126.75</v>
      </c>
      <c r="I307" s="107">
        <v>84.5</v>
      </c>
      <c r="J307" s="107">
        <v>84.5</v>
      </c>
      <c r="K307" s="107">
        <v>84.5</v>
      </c>
      <c r="L307" s="107">
        <v>-422.5</v>
      </c>
      <c r="M307" s="107"/>
      <c r="N307" s="107">
        <v>422.5</v>
      </c>
    </row>
    <row r="308" spans="1:14">
      <c r="A308" s="64" t="s">
        <v>362</v>
      </c>
      <c r="B308" s="107">
        <v>1108</v>
      </c>
      <c r="C308" s="107">
        <v>1108</v>
      </c>
      <c r="D308" s="107">
        <v>1108</v>
      </c>
      <c r="E308" s="107">
        <v>1108</v>
      </c>
      <c r="F308" s="107">
        <v>1108</v>
      </c>
      <c r="G308" s="107">
        <v>1108</v>
      </c>
      <c r="H308" s="107">
        <v>1108</v>
      </c>
      <c r="I308" s="107">
        <v>1108</v>
      </c>
      <c r="J308" s="107">
        <v>1108</v>
      </c>
      <c r="K308" s="107">
        <v>1108</v>
      </c>
      <c r="L308" s="107">
        <v>-5540</v>
      </c>
      <c r="M308" s="107"/>
      <c r="N308" s="107">
        <v>5540</v>
      </c>
    </row>
    <row r="309" spans="1:14">
      <c r="A309" s="64" t="s">
        <v>363</v>
      </c>
      <c r="B309" s="111">
        <v>-6365.11</v>
      </c>
      <c r="C309" s="111">
        <v>-6183.14</v>
      </c>
      <c r="D309" s="111">
        <v>-6531.66</v>
      </c>
      <c r="E309" s="111">
        <v>-7020.88</v>
      </c>
      <c r="F309" s="111">
        <v>-6736.83</v>
      </c>
      <c r="G309" s="113"/>
      <c r="H309" s="111">
        <v>-13243.15</v>
      </c>
      <c r="I309" s="111">
        <v>-6280.88</v>
      </c>
      <c r="J309" s="111">
        <v>-6273.2</v>
      </c>
      <c r="K309" s="111">
        <v>-6441.13</v>
      </c>
      <c r="L309" s="111">
        <v>32238.36</v>
      </c>
      <c r="M309" s="111"/>
      <c r="N309" s="111">
        <v>-32837.620000000003</v>
      </c>
    </row>
    <row r="310" spans="1:14">
      <c r="A310" s="64" t="s">
        <v>250</v>
      </c>
      <c r="B310" s="107">
        <f t="shared" ref="B310:L310" si="62">SUM(B303:B309)</f>
        <v>7473.11</v>
      </c>
      <c r="C310" s="107">
        <f t="shared" si="62"/>
        <v>7291.1399999999985</v>
      </c>
      <c r="D310" s="107">
        <f t="shared" si="62"/>
        <v>7639.66</v>
      </c>
      <c r="E310" s="107">
        <f t="shared" si="62"/>
        <v>8128.8799999999983</v>
      </c>
      <c r="F310" s="107">
        <f t="shared" si="62"/>
        <v>7844.83</v>
      </c>
      <c r="G310" s="107">
        <f t="shared" si="62"/>
        <v>7844.83</v>
      </c>
      <c r="H310" s="107">
        <f t="shared" si="62"/>
        <v>7614.3200000000015</v>
      </c>
      <c r="I310" s="107">
        <f t="shared" si="62"/>
        <v>7388.88</v>
      </c>
      <c r="J310" s="107">
        <f t="shared" si="62"/>
        <v>7381.2000000000016</v>
      </c>
      <c r="K310" s="107">
        <f t="shared" si="62"/>
        <v>7516.9300000000012</v>
      </c>
      <c r="L310" s="107">
        <f t="shared" si="62"/>
        <v>-37746.160000000003</v>
      </c>
      <c r="M310" s="107"/>
      <c r="N310" s="107">
        <v>38377.620000000003</v>
      </c>
    </row>
    <row r="311" spans="1:14">
      <c r="A311" s="64"/>
      <c r="B311" s="22"/>
      <c r="C311" s="22"/>
      <c r="D311" s="22"/>
      <c r="E311" s="22"/>
      <c r="F311" s="22"/>
      <c r="G311" s="22"/>
      <c r="H311" s="22"/>
      <c r="I311" s="22"/>
      <c r="J311" s="22"/>
      <c r="K311" s="22"/>
      <c r="L311" s="22"/>
      <c r="M311" s="22"/>
      <c r="N311" s="22"/>
    </row>
    <row r="312" spans="1:14">
      <c r="A312" s="64" t="s">
        <v>251</v>
      </c>
      <c r="B312" s="22"/>
      <c r="C312" s="22"/>
      <c r="D312" s="22"/>
      <c r="E312" s="22"/>
      <c r="F312" s="22"/>
      <c r="G312" s="22"/>
      <c r="H312" s="22"/>
      <c r="I312" s="22"/>
      <c r="J312" s="22"/>
      <c r="K312" s="22"/>
      <c r="L312" s="22"/>
      <c r="M312" s="22"/>
      <c r="N312" s="22"/>
    </row>
    <row r="313" spans="1:14">
      <c r="A313" s="64" t="s">
        <v>252</v>
      </c>
      <c r="B313" s="107">
        <v>99129</v>
      </c>
      <c r="C313" s="107">
        <v>101322.58</v>
      </c>
      <c r="D313" s="107">
        <v>101322.58</v>
      </c>
      <c r="E313" s="107">
        <v>101322.58</v>
      </c>
      <c r="F313" s="107">
        <v>101322.58</v>
      </c>
      <c r="G313" s="107">
        <v>101322.58</v>
      </c>
      <c r="H313" s="107">
        <v>101322.58</v>
      </c>
      <c r="I313" s="107">
        <v>101322.58</v>
      </c>
      <c r="J313" s="107">
        <v>101322.58</v>
      </c>
      <c r="K313" s="107">
        <v>101322.58</v>
      </c>
      <c r="L313" s="107">
        <v>-506612.9</v>
      </c>
      <c r="M313" s="22"/>
      <c r="N313" s="107">
        <v>504419.32</v>
      </c>
    </row>
    <row r="314" spans="1:14">
      <c r="A314" s="64" t="s">
        <v>253</v>
      </c>
      <c r="B314" s="107">
        <v>144.13</v>
      </c>
      <c r="C314" s="107">
        <v>144.13</v>
      </c>
      <c r="D314" s="107">
        <v>144.13</v>
      </c>
      <c r="E314" s="107">
        <v>144.13</v>
      </c>
      <c r="F314" s="107">
        <v>147.72</v>
      </c>
      <c r="G314" s="22"/>
      <c r="H314" s="22"/>
      <c r="I314" s="22"/>
      <c r="J314" s="107">
        <v>73.099999999999994</v>
      </c>
      <c r="K314" s="107">
        <v>73.099999999999994</v>
      </c>
      <c r="L314" s="107">
        <v>-146.19999999999999</v>
      </c>
      <c r="M314" s="22"/>
      <c r="N314" s="107">
        <v>724.24</v>
      </c>
    </row>
    <row r="315" spans="1:14">
      <c r="A315" s="64" t="s">
        <v>321</v>
      </c>
      <c r="B315" s="107">
        <v>209.24</v>
      </c>
      <c r="C315" s="22"/>
      <c r="D315" s="22"/>
      <c r="E315" s="22"/>
      <c r="F315" s="22"/>
      <c r="G315" s="22"/>
      <c r="H315" s="107">
        <v>300</v>
      </c>
      <c r="I315" s="22"/>
      <c r="J315" s="22"/>
      <c r="K315" s="22"/>
      <c r="L315" s="107">
        <v>-300</v>
      </c>
      <c r="M315" s="22"/>
      <c r="N315" s="107">
        <v>209.24</v>
      </c>
    </row>
    <row r="316" spans="1:14">
      <c r="A316" s="64" t="s">
        <v>254</v>
      </c>
      <c r="B316" s="111">
        <v>134.66</v>
      </c>
      <c r="C316" s="111">
        <v>6215</v>
      </c>
      <c r="D316" s="111">
        <v>71.23</v>
      </c>
      <c r="E316" s="113"/>
      <c r="F316" s="111">
        <v>11747</v>
      </c>
      <c r="G316" s="111">
        <v>32</v>
      </c>
      <c r="H316" s="111">
        <v>733.1</v>
      </c>
      <c r="I316" s="111">
        <v>14758.82</v>
      </c>
      <c r="J316" s="111">
        <v>655.14</v>
      </c>
      <c r="K316" s="111">
        <v>346.55</v>
      </c>
      <c r="L316" s="111">
        <v>-16525.61</v>
      </c>
      <c r="M316" s="111"/>
      <c r="N316" s="111">
        <v>18167.89</v>
      </c>
    </row>
    <row r="317" spans="1:14">
      <c r="A317" s="64" t="s">
        <v>255</v>
      </c>
      <c r="B317" s="107">
        <f t="shared" ref="B317:L317" si="63">SUM(B311:B316)</f>
        <v>99617.030000000013</v>
      </c>
      <c r="C317" s="107">
        <f t="shared" si="63"/>
        <v>107681.71</v>
      </c>
      <c r="D317" s="107">
        <f t="shared" si="63"/>
        <v>101537.94</v>
      </c>
      <c r="E317" s="107">
        <f t="shared" si="63"/>
        <v>101466.71</v>
      </c>
      <c r="F317" s="107">
        <f t="shared" si="63"/>
        <v>113217.3</v>
      </c>
      <c r="G317" s="107">
        <f t="shared" si="63"/>
        <v>101354.58</v>
      </c>
      <c r="H317" s="107">
        <f t="shared" si="63"/>
        <v>102355.68000000001</v>
      </c>
      <c r="I317" s="107">
        <f t="shared" si="63"/>
        <v>116081.4</v>
      </c>
      <c r="J317" s="107">
        <f t="shared" si="63"/>
        <v>102050.82</v>
      </c>
      <c r="K317" s="107">
        <f t="shared" si="63"/>
        <v>101742.23000000001</v>
      </c>
      <c r="L317" s="107">
        <f t="shared" si="63"/>
        <v>-523584.71</v>
      </c>
      <c r="M317" s="107"/>
      <c r="N317" s="107">
        <v>523520.69</v>
      </c>
    </row>
    <row r="318" spans="1:14">
      <c r="A318" s="64"/>
      <c r="B318" s="22"/>
      <c r="C318" s="22"/>
      <c r="D318" s="22"/>
      <c r="E318" s="22"/>
      <c r="F318" s="22"/>
      <c r="G318" s="22"/>
      <c r="H318" s="22"/>
      <c r="I318" s="22"/>
      <c r="J318" s="22"/>
      <c r="K318" s="22"/>
      <c r="L318" s="22"/>
      <c r="M318" s="22"/>
      <c r="N318" s="22"/>
    </row>
    <row r="319" spans="1:14">
      <c r="A319" s="64" t="s">
        <v>256</v>
      </c>
      <c r="B319" s="22"/>
      <c r="C319" s="22"/>
      <c r="D319" s="22"/>
      <c r="E319" s="22"/>
      <c r="F319" s="22"/>
      <c r="G319" s="22"/>
      <c r="H319" s="22"/>
      <c r="I319" s="22"/>
      <c r="J319" s="22"/>
      <c r="K319" s="22"/>
      <c r="L319" s="22"/>
      <c r="M319" s="22"/>
      <c r="N319" s="22"/>
    </row>
    <row r="320" spans="1:14">
      <c r="A320" s="64" t="s">
        <v>257</v>
      </c>
      <c r="B320" s="113"/>
      <c r="C320" s="113"/>
      <c r="D320" s="113"/>
      <c r="E320" s="113"/>
      <c r="F320" s="111">
        <v>-54701.94</v>
      </c>
      <c r="G320" s="113"/>
      <c r="H320" s="113"/>
      <c r="I320" s="113"/>
      <c r="J320" s="113"/>
      <c r="K320" s="113"/>
      <c r="L320" s="113"/>
      <c r="M320" s="113"/>
      <c r="N320" s="111">
        <v>-54701.94</v>
      </c>
    </row>
    <row r="321" spans="1:14">
      <c r="A321" s="64" t="s">
        <v>258</v>
      </c>
      <c r="B321" s="107"/>
      <c r="C321" s="107"/>
      <c r="D321" s="107"/>
      <c r="E321" s="107"/>
      <c r="F321" s="107">
        <f>SUM(F318:F320)</f>
        <v>-54701.94</v>
      </c>
      <c r="G321" s="107"/>
      <c r="H321" s="107"/>
      <c r="I321" s="107"/>
      <c r="J321" s="107"/>
      <c r="K321" s="107"/>
      <c r="L321" s="107"/>
      <c r="M321" s="107"/>
      <c r="N321" s="107">
        <v>-54701.94</v>
      </c>
    </row>
    <row r="322" spans="1:14">
      <c r="A322" s="64"/>
      <c r="B322" s="22"/>
      <c r="C322" s="22"/>
      <c r="D322" s="22"/>
      <c r="E322" s="22"/>
      <c r="F322" s="22"/>
      <c r="G322" s="22"/>
      <c r="H322" s="22"/>
      <c r="I322" s="22"/>
      <c r="J322" s="22"/>
      <c r="K322" s="22"/>
      <c r="L322" s="22"/>
      <c r="M322" s="22"/>
      <c r="N322" s="22"/>
    </row>
    <row r="323" spans="1:14" ht="15.75" thickBot="1">
      <c r="A323" s="64" t="s">
        <v>62</v>
      </c>
      <c r="B323" s="112">
        <f t="shared" ref="B323:L323" si="64">SUM(B185:B322)-B203-B210-B221-B237-B259-B274-B281-B290-B295-B302-B310-B317-B321</f>
        <v>683309.40999999968</v>
      </c>
      <c r="C323" s="112">
        <f t="shared" si="64"/>
        <v>663592.41999999981</v>
      </c>
      <c r="D323" s="112">
        <f t="shared" si="64"/>
        <v>653423.63999999943</v>
      </c>
      <c r="E323" s="112">
        <f t="shared" si="64"/>
        <v>688142.1100000001</v>
      </c>
      <c r="F323" s="112">
        <f t="shared" si="64"/>
        <v>-896460.3600000001</v>
      </c>
      <c r="G323" s="112">
        <f t="shared" si="64"/>
        <v>621831.2900000005</v>
      </c>
      <c r="H323" s="112">
        <f t="shared" si="64"/>
        <v>775014.2</v>
      </c>
      <c r="I323" s="112">
        <f t="shared" si="64"/>
        <v>828064.4299999997</v>
      </c>
      <c r="J323" s="112">
        <f t="shared" si="64"/>
        <v>603879.60000000009</v>
      </c>
      <c r="K323" s="112">
        <f t="shared" si="64"/>
        <v>638615.60999999964</v>
      </c>
      <c r="L323" s="112">
        <f t="shared" si="64"/>
        <v>-3467405.1300000004</v>
      </c>
      <c r="M323" s="112"/>
      <c r="N323" s="112">
        <v>1792007.22</v>
      </c>
    </row>
    <row r="324" spans="1:14" ht="15.75" thickTop="1">
      <c r="A324" s="64"/>
      <c r="B324" s="22"/>
      <c r="C324" s="22"/>
      <c r="D324" s="22"/>
      <c r="E324" s="22"/>
      <c r="F324" s="22"/>
      <c r="G324" s="22"/>
      <c r="H324" s="22"/>
      <c r="I324" s="22"/>
      <c r="J324" s="22"/>
      <c r="K324" s="22"/>
      <c r="L324" s="22"/>
      <c r="M324" s="22"/>
      <c r="N324" s="22"/>
    </row>
    <row r="325" spans="1:14" ht="15.75" thickBot="1">
      <c r="A325" s="64" t="s">
        <v>259</v>
      </c>
      <c r="B325" s="112">
        <f t="shared" ref="B325:L325" si="65">+B182-B323</f>
        <v>-109898.6799999997</v>
      </c>
      <c r="C325" s="112">
        <f t="shared" si="65"/>
        <v>-70644.660000000149</v>
      </c>
      <c r="D325" s="112">
        <f t="shared" si="65"/>
        <v>-131295.60000000009</v>
      </c>
      <c r="E325" s="112">
        <f t="shared" si="65"/>
        <v>50756.039999999688</v>
      </c>
      <c r="F325" s="112">
        <f t="shared" si="65"/>
        <v>391922.52000000048</v>
      </c>
      <c r="G325" s="112">
        <f t="shared" si="65"/>
        <v>99445.639999999199</v>
      </c>
      <c r="H325" s="112">
        <f t="shared" si="65"/>
        <v>-87836.250000000349</v>
      </c>
      <c r="I325" s="112">
        <f t="shared" si="65"/>
        <v>-265434.24000000011</v>
      </c>
      <c r="J325" s="112">
        <f t="shared" si="65"/>
        <v>-108773.5199999999</v>
      </c>
      <c r="K325" s="112">
        <f t="shared" si="65"/>
        <v>-102980.61999999953</v>
      </c>
      <c r="L325" s="112">
        <f t="shared" si="65"/>
        <v>465578.98999999836</v>
      </c>
      <c r="M325" s="112"/>
      <c r="N325" s="112">
        <v>130839.62</v>
      </c>
    </row>
    <row r="326" spans="1:14" ht="15.75" thickTop="1">
      <c r="A326" s="64"/>
      <c r="B326" s="22"/>
      <c r="C326" s="22"/>
      <c r="D326" s="22"/>
      <c r="E326" s="22"/>
      <c r="F326" s="22"/>
      <c r="G326" s="22"/>
      <c r="H326" s="22"/>
      <c r="I326" s="22"/>
      <c r="J326" s="22"/>
      <c r="K326" s="22"/>
      <c r="L326" s="22"/>
      <c r="M326" s="22"/>
      <c r="N326" s="22"/>
    </row>
    <row r="327" spans="1:14">
      <c r="A327" s="64" t="s">
        <v>351</v>
      </c>
      <c r="B327" s="107">
        <v>6021.73</v>
      </c>
      <c r="C327" s="107">
        <v>46803.76</v>
      </c>
      <c r="D327" s="107">
        <v>6656.57</v>
      </c>
      <c r="E327" s="107">
        <v>23178.97</v>
      </c>
      <c r="F327" s="107">
        <v>165429.99</v>
      </c>
      <c r="G327" s="107">
        <v>41599.49</v>
      </c>
      <c r="H327" s="107">
        <v>60251.25</v>
      </c>
      <c r="I327" s="107">
        <v>80481.899999999994</v>
      </c>
      <c r="J327" s="107">
        <v>98973.33</v>
      </c>
      <c r="K327" s="107">
        <v>30852.93</v>
      </c>
      <c r="L327" s="107">
        <v>-312158.90000000002</v>
      </c>
      <c r="M327" s="107"/>
      <c r="N327" s="107">
        <v>248091.02</v>
      </c>
    </row>
    <row r="328" spans="1:14">
      <c r="A328" s="64" t="s">
        <v>418</v>
      </c>
      <c r="B328" s="22"/>
      <c r="C328" s="22"/>
      <c r="D328" s="22"/>
      <c r="E328" s="22"/>
      <c r="F328" s="22"/>
      <c r="G328" s="22"/>
      <c r="H328" s="22"/>
      <c r="I328" s="22"/>
      <c r="J328" s="22"/>
      <c r="K328" s="22"/>
      <c r="L328" s="107">
        <v>1118941.74</v>
      </c>
      <c r="M328" s="107">
        <v>116720.73</v>
      </c>
      <c r="N328" s="107">
        <v>1235662.47</v>
      </c>
    </row>
    <row r="329" spans="1:14">
      <c r="A329" s="64" t="s">
        <v>364</v>
      </c>
      <c r="B329" s="113"/>
      <c r="C329" s="113"/>
      <c r="D329" s="113"/>
      <c r="E329" s="113"/>
      <c r="F329" s="111">
        <v>-173155</v>
      </c>
      <c r="G329" s="113"/>
      <c r="H329" s="113"/>
      <c r="I329" s="113"/>
      <c r="J329" s="113"/>
      <c r="K329" s="113"/>
      <c r="L329" s="113"/>
      <c r="M329" s="113"/>
      <c r="N329" s="111">
        <v>-173155</v>
      </c>
    </row>
    <row r="330" spans="1:14">
      <c r="A330" s="64" t="s">
        <v>64</v>
      </c>
      <c r="B330" s="107">
        <f t="shared" ref="B330:M330" si="66">SUM(B326:B329)</f>
        <v>6021.73</v>
      </c>
      <c r="C330" s="107">
        <f t="shared" si="66"/>
        <v>46803.76</v>
      </c>
      <c r="D330" s="107">
        <f t="shared" si="66"/>
        <v>6656.57</v>
      </c>
      <c r="E330" s="107">
        <f t="shared" si="66"/>
        <v>23178.97</v>
      </c>
      <c r="F330" s="107">
        <f t="shared" si="66"/>
        <v>-7725.0100000000093</v>
      </c>
      <c r="G330" s="107">
        <f t="shared" si="66"/>
        <v>41599.49</v>
      </c>
      <c r="H330" s="107">
        <f t="shared" si="66"/>
        <v>60251.25</v>
      </c>
      <c r="I330" s="107">
        <f t="shared" si="66"/>
        <v>80481.899999999994</v>
      </c>
      <c r="J330" s="107">
        <f t="shared" si="66"/>
        <v>98973.33</v>
      </c>
      <c r="K330" s="107">
        <f t="shared" si="66"/>
        <v>30852.93</v>
      </c>
      <c r="L330" s="107">
        <f t="shared" si="66"/>
        <v>806782.84</v>
      </c>
      <c r="M330" s="107">
        <f t="shared" si="66"/>
        <v>116720.73</v>
      </c>
      <c r="N330" s="107">
        <v>1310598.49</v>
      </c>
    </row>
    <row r="331" spans="1:14">
      <c r="A331" s="64"/>
      <c r="B331" s="22"/>
      <c r="C331" s="22"/>
      <c r="D331" s="22"/>
      <c r="E331" s="22"/>
      <c r="F331" s="22"/>
      <c r="G331" s="22"/>
      <c r="H331" s="22"/>
      <c r="I331" s="22"/>
      <c r="J331" s="22"/>
      <c r="K331" s="22"/>
      <c r="L331" s="22"/>
      <c r="M331" s="22"/>
      <c r="N331" s="22"/>
    </row>
    <row r="332" spans="1:14" ht="15.75" thickBot="1">
      <c r="A332" s="64" t="s">
        <v>22</v>
      </c>
      <c r="B332" s="112">
        <f t="shared" ref="B332:M332" si="67">+B325-B330</f>
        <v>-115920.4099999997</v>
      </c>
      <c r="C332" s="112">
        <f t="shared" si="67"/>
        <v>-117448.42000000016</v>
      </c>
      <c r="D332" s="112">
        <f t="shared" si="67"/>
        <v>-137952.1700000001</v>
      </c>
      <c r="E332" s="112">
        <f t="shared" si="67"/>
        <v>27577.069999999687</v>
      </c>
      <c r="F332" s="112">
        <f t="shared" si="67"/>
        <v>399647.53000000049</v>
      </c>
      <c r="G332" s="112">
        <f t="shared" si="67"/>
        <v>57846.149999999201</v>
      </c>
      <c r="H332" s="112">
        <f t="shared" si="67"/>
        <v>-148087.50000000035</v>
      </c>
      <c r="I332" s="112">
        <f t="shared" si="67"/>
        <v>-345916.14000000013</v>
      </c>
      <c r="J332" s="112">
        <f t="shared" si="67"/>
        <v>-207746.84999999992</v>
      </c>
      <c r="K332" s="112">
        <f t="shared" si="67"/>
        <v>-133833.54999999952</v>
      </c>
      <c r="L332" s="112">
        <f t="shared" si="67"/>
        <v>-341203.85000000161</v>
      </c>
      <c r="M332" s="112">
        <f t="shared" si="67"/>
        <v>-116720.73</v>
      </c>
      <c r="N332" s="112">
        <v>-1179758.8700000001</v>
      </c>
    </row>
    <row r="333" spans="1:14" ht="15.75" thickTop="1">
      <c r="A333" s="64"/>
      <c r="B333" s="22"/>
      <c r="C333" s="22"/>
      <c r="D333" s="22"/>
      <c r="E333" s="22"/>
      <c r="F333" s="22"/>
      <c r="G333" s="22"/>
      <c r="H333" s="22"/>
      <c r="I333" s="22"/>
      <c r="J333" s="22"/>
      <c r="K333" s="22"/>
      <c r="L333" s="22"/>
      <c r="M333" s="22"/>
      <c r="N333" s="22"/>
    </row>
    <row r="334" spans="1:14">
      <c r="A334" s="64"/>
      <c r="B334" s="22"/>
      <c r="C334" s="22"/>
      <c r="D334" s="22"/>
      <c r="E334" s="22"/>
      <c r="F334" s="22"/>
      <c r="G334" s="22"/>
      <c r="H334" s="22"/>
      <c r="I334" s="22"/>
      <c r="J334" s="22"/>
      <c r="K334" s="22"/>
      <c r="L334" s="22"/>
      <c r="M334" s="22"/>
      <c r="N334" s="22"/>
    </row>
    <row r="335" spans="1:14">
      <c r="A335" s="64" t="s">
        <v>260</v>
      </c>
      <c r="B335" s="22"/>
      <c r="C335" s="22"/>
      <c r="D335" s="22"/>
      <c r="E335" s="22"/>
      <c r="F335" s="22"/>
      <c r="G335" s="22"/>
      <c r="H335" s="22"/>
      <c r="I335" s="22"/>
      <c r="J335" s="22"/>
      <c r="K335" s="22"/>
      <c r="L335" s="22"/>
      <c r="M335" s="22"/>
      <c r="N335" s="22"/>
    </row>
    <row r="336" spans="1:14">
      <c r="A336" s="64"/>
      <c r="B336" s="22"/>
      <c r="C336" s="22"/>
      <c r="D336" s="22"/>
      <c r="E336" s="22"/>
      <c r="F336" s="22"/>
      <c r="G336" s="22"/>
      <c r="H336" s="22"/>
      <c r="I336" s="22"/>
      <c r="J336" s="22"/>
      <c r="K336" s="22"/>
      <c r="L336" s="22"/>
      <c r="M336" s="22"/>
      <c r="N336" s="22"/>
    </row>
    <row r="337" spans="1:14">
      <c r="A337" s="64" t="s">
        <v>19</v>
      </c>
      <c r="B337" s="22"/>
      <c r="C337" s="22"/>
      <c r="D337" s="22"/>
      <c r="E337" s="22"/>
      <c r="F337" s="22"/>
      <c r="G337" s="22"/>
      <c r="H337" s="22"/>
      <c r="I337" s="22"/>
      <c r="J337" s="22"/>
      <c r="K337" s="22"/>
      <c r="L337" s="22"/>
      <c r="M337" s="22"/>
      <c r="N337" s="22"/>
    </row>
    <row r="338" spans="1:14">
      <c r="A338" s="64" t="s">
        <v>261</v>
      </c>
      <c r="B338" s="22"/>
      <c r="C338" s="107">
        <v>-17</v>
      </c>
      <c r="D338" s="107">
        <v>209</v>
      </c>
      <c r="E338" s="107">
        <v>1</v>
      </c>
      <c r="F338" s="107">
        <v>2</v>
      </c>
      <c r="G338" s="107">
        <v>4</v>
      </c>
      <c r="H338" s="107">
        <v>-97</v>
      </c>
      <c r="I338" s="107">
        <v>74</v>
      </c>
      <c r="J338" s="107">
        <v>-98</v>
      </c>
      <c r="K338" s="107">
        <v>127</v>
      </c>
      <c r="L338" s="107">
        <v>-291</v>
      </c>
      <c r="M338" s="107">
        <v>16</v>
      </c>
      <c r="N338" s="107">
        <v>-70</v>
      </c>
    </row>
    <row r="339" spans="1:14">
      <c r="A339" s="64" t="s">
        <v>66</v>
      </c>
      <c r="B339" s="111">
        <v>1007</v>
      </c>
      <c r="C339" s="111">
        <v>943</v>
      </c>
      <c r="D339" s="111">
        <v>1098</v>
      </c>
      <c r="E339" s="111">
        <v>1084</v>
      </c>
      <c r="F339" s="111">
        <v>1077</v>
      </c>
      <c r="G339" s="111">
        <v>930</v>
      </c>
      <c r="H339" s="111">
        <v>832</v>
      </c>
      <c r="I339" s="111">
        <v>944</v>
      </c>
      <c r="J339" s="111">
        <v>928</v>
      </c>
      <c r="K339" s="111">
        <v>936</v>
      </c>
      <c r="L339" s="111">
        <v>-4570</v>
      </c>
      <c r="M339" s="111"/>
      <c r="N339" s="111">
        <v>5209</v>
      </c>
    </row>
    <row r="340" spans="1:14">
      <c r="A340" s="64" t="s">
        <v>85</v>
      </c>
      <c r="B340" s="107">
        <f t="shared" ref="B340:M340" si="68">SUM(B337:B339)</f>
        <v>1007</v>
      </c>
      <c r="C340" s="107">
        <f t="shared" si="68"/>
        <v>926</v>
      </c>
      <c r="D340" s="107">
        <f t="shared" si="68"/>
        <v>1307</v>
      </c>
      <c r="E340" s="107">
        <f t="shared" si="68"/>
        <v>1085</v>
      </c>
      <c r="F340" s="107">
        <f t="shared" si="68"/>
        <v>1079</v>
      </c>
      <c r="G340" s="107">
        <f t="shared" si="68"/>
        <v>934</v>
      </c>
      <c r="H340" s="107">
        <f t="shared" si="68"/>
        <v>735</v>
      </c>
      <c r="I340" s="107">
        <f t="shared" si="68"/>
        <v>1018</v>
      </c>
      <c r="J340" s="107">
        <f t="shared" si="68"/>
        <v>830</v>
      </c>
      <c r="K340" s="107">
        <f t="shared" si="68"/>
        <v>1063</v>
      </c>
      <c r="L340" s="107">
        <f t="shared" si="68"/>
        <v>-4861</v>
      </c>
      <c r="M340" s="107">
        <f t="shared" si="68"/>
        <v>16</v>
      </c>
      <c r="N340" s="107">
        <v>5139</v>
      </c>
    </row>
    <row r="341" spans="1:14">
      <c r="A341" s="64"/>
      <c r="B341" s="22"/>
      <c r="C341" s="22"/>
      <c r="D341" s="22"/>
      <c r="E341" s="22"/>
      <c r="F341" s="22"/>
      <c r="G341" s="22"/>
      <c r="H341" s="22"/>
      <c r="I341" s="22"/>
      <c r="J341" s="22"/>
      <c r="K341" s="22"/>
      <c r="L341" s="22"/>
      <c r="M341" s="22"/>
      <c r="N341" s="22"/>
    </row>
    <row r="342" spans="1:14">
      <c r="A342" s="64" t="s">
        <v>20</v>
      </c>
      <c r="B342" s="22"/>
      <c r="C342" s="22"/>
      <c r="D342" s="22"/>
      <c r="E342" s="22"/>
      <c r="F342" s="22"/>
      <c r="G342" s="22"/>
      <c r="H342" s="22"/>
      <c r="I342" s="22"/>
      <c r="J342" s="22"/>
      <c r="K342" s="22"/>
      <c r="L342" s="22"/>
      <c r="M342" s="22"/>
      <c r="N342" s="22"/>
    </row>
    <row r="343" spans="1:14">
      <c r="A343" s="64" t="s">
        <v>261</v>
      </c>
      <c r="B343" s="22"/>
      <c r="C343" s="22"/>
      <c r="D343" s="107">
        <v>-122</v>
      </c>
      <c r="E343" s="107">
        <v>-1</v>
      </c>
      <c r="F343" s="22"/>
      <c r="G343" s="22"/>
      <c r="H343" s="22"/>
      <c r="I343" s="107">
        <v>72</v>
      </c>
      <c r="J343" s="22"/>
      <c r="K343" s="22"/>
      <c r="L343" s="107">
        <v>169</v>
      </c>
      <c r="M343" s="107">
        <v>-16</v>
      </c>
      <c r="N343" s="107">
        <v>102</v>
      </c>
    </row>
    <row r="344" spans="1:14">
      <c r="A344" s="64" t="s">
        <v>66</v>
      </c>
      <c r="B344" s="111">
        <v>159</v>
      </c>
      <c r="C344" s="111">
        <v>180</v>
      </c>
      <c r="D344" s="111">
        <v>135</v>
      </c>
      <c r="E344" s="111">
        <v>150</v>
      </c>
      <c r="F344" s="111">
        <v>126</v>
      </c>
      <c r="G344" s="111">
        <v>66</v>
      </c>
      <c r="H344" s="111">
        <v>92</v>
      </c>
      <c r="I344" s="111">
        <v>185</v>
      </c>
      <c r="J344" s="111">
        <v>180</v>
      </c>
      <c r="K344" s="111">
        <v>168</v>
      </c>
      <c r="L344" s="111">
        <v>-691</v>
      </c>
      <c r="M344" s="111"/>
      <c r="N344" s="111">
        <v>750</v>
      </c>
    </row>
    <row r="345" spans="1:14">
      <c r="A345" s="64" t="s">
        <v>262</v>
      </c>
      <c r="B345" s="107">
        <f t="shared" ref="B345:M345" si="69">SUM(B341:B344)</f>
        <v>159</v>
      </c>
      <c r="C345" s="107">
        <f t="shared" si="69"/>
        <v>180</v>
      </c>
      <c r="D345" s="107">
        <f t="shared" si="69"/>
        <v>13</v>
      </c>
      <c r="E345" s="107">
        <f t="shared" si="69"/>
        <v>149</v>
      </c>
      <c r="F345" s="107">
        <f t="shared" si="69"/>
        <v>126</v>
      </c>
      <c r="G345" s="107">
        <f t="shared" si="69"/>
        <v>66</v>
      </c>
      <c r="H345" s="107">
        <f t="shared" si="69"/>
        <v>92</v>
      </c>
      <c r="I345" s="107">
        <f t="shared" si="69"/>
        <v>257</v>
      </c>
      <c r="J345" s="107">
        <f t="shared" si="69"/>
        <v>180</v>
      </c>
      <c r="K345" s="107">
        <f t="shared" si="69"/>
        <v>168</v>
      </c>
      <c r="L345" s="107">
        <f t="shared" si="69"/>
        <v>-522</v>
      </c>
      <c r="M345" s="107">
        <f t="shared" si="69"/>
        <v>-16</v>
      </c>
      <c r="N345" s="107">
        <v>852</v>
      </c>
    </row>
    <row r="346" spans="1:14">
      <c r="A346" s="64"/>
      <c r="B346" s="22"/>
      <c r="C346" s="22"/>
      <c r="D346" s="22"/>
      <c r="E346" s="22"/>
      <c r="F346" s="22"/>
      <c r="G346" s="22"/>
      <c r="H346" s="22"/>
      <c r="I346" s="22"/>
      <c r="J346" s="22"/>
      <c r="K346" s="22"/>
      <c r="L346" s="22"/>
      <c r="M346" s="22"/>
      <c r="N346" s="22"/>
    </row>
    <row r="347" spans="1:14">
      <c r="A347" s="64" t="s">
        <v>263</v>
      </c>
      <c r="B347" s="22"/>
      <c r="C347" s="22"/>
      <c r="D347" s="22"/>
      <c r="E347" s="22"/>
      <c r="F347" s="22"/>
      <c r="G347" s="22"/>
      <c r="H347" s="22"/>
      <c r="I347" s="22"/>
      <c r="J347" s="22"/>
      <c r="K347" s="22"/>
      <c r="L347" s="22"/>
      <c r="M347" s="22"/>
      <c r="N347" s="22"/>
    </row>
    <row r="348" spans="1:14">
      <c r="A348" s="64" t="s">
        <v>261</v>
      </c>
      <c r="B348" s="22"/>
      <c r="C348" s="22"/>
      <c r="D348" s="107">
        <v>20</v>
      </c>
      <c r="E348" s="107">
        <v>-1</v>
      </c>
      <c r="F348" s="107">
        <v>-2</v>
      </c>
      <c r="G348" s="22"/>
      <c r="H348" s="107">
        <v>-4</v>
      </c>
      <c r="I348" s="107">
        <v>-1</v>
      </c>
      <c r="J348" s="22"/>
      <c r="K348" s="107">
        <v>-37</v>
      </c>
      <c r="L348" s="22"/>
      <c r="M348" s="22"/>
      <c r="N348" s="107">
        <v>-25</v>
      </c>
    </row>
    <row r="349" spans="1:14">
      <c r="A349" s="64" t="s">
        <v>66</v>
      </c>
      <c r="B349" s="111">
        <v>244</v>
      </c>
      <c r="C349" s="111">
        <v>199</v>
      </c>
      <c r="D349" s="111">
        <v>227</v>
      </c>
      <c r="E349" s="111">
        <v>239</v>
      </c>
      <c r="F349" s="111">
        <v>282</v>
      </c>
      <c r="G349" s="111">
        <v>391</v>
      </c>
      <c r="H349" s="111">
        <v>298</v>
      </c>
      <c r="I349" s="111">
        <v>189</v>
      </c>
      <c r="J349" s="111">
        <v>201</v>
      </c>
      <c r="K349" s="111">
        <v>214</v>
      </c>
      <c r="L349" s="111">
        <v>-1293</v>
      </c>
      <c r="M349" s="111"/>
      <c r="N349" s="111">
        <v>1191</v>
      </c>
    </row>
    <row r="350" spans="1:14">
      <c r="A350" s="64" t="s">
        <v>264</v>
      </c>
      <c r="B350" s="107">
        <f t="shared" ref="B350:L350" si="70">SUM(B346:B349)</f>
        <v>244</v>
      </c>
      <c r="C350" s="107">
        <f t="shared" si="70"/>
        <v>199</v>
      </c>
      <c r="D350" s="107">
        <f t="shared" si="70"/>
        <v>247</v>
      </c>
      <c r="E350" s="107">
        <f t="shared" si="70"/>
        <v>238</v>
      </c>
      <c r="F350" s="107">
        <f t="shared" si="70"/>
        <v>280</v>
      </c>
      <c r="G350" s="107">
        <f t="shared" si="70"/>
        <v>391</v>
      </c>
      <c r="H350" s="107">
        <f t="shared" si="70"/>
        <v>294</v>
      </c>
      <c r="I350" s="107">
        <f t="shared" si="70"/>
        <v>188</v>
      </c>
      <c r="J350" s="107">
        <f t="shared" si="70"/>
        <v>201</v>
      </c>
      <c r="K350" s="107">
        <f t="shared" si="70"/>
        <v>177</v>
      </c>
      <c r="L350" s="107">
        <f t="shared" si="70"/>
        <v>-1293</v>
      </c>
      <c r="M350" s="107"/>
      <c r="N350" s="107">
        <v>1166</v>
      </c>
    </row>
    <row r="351" spans="1:14">
      <c r="A351" s="64"/>
      <c r="B351" s="22"/>
      <c r="C351" s="22"/>
      <c r="D351" s="22"/>
      <c r="E351" s="22"/>
      <c r="F351" s="22"/>
      <c r="G351" s="22"/>
      <c r="H351" s="22"/>
      <c r="I351" s="22"/>
      <c r="J351" s="22"/>
      <c r="K351" s="22"/>
      <c r="L351" s="22"/>
      <c r="M351" s="22"/>
      <c r="N351" s="22"/>
    </row>
    <row r="352" spans="1:14">
      <c r="A352" s="64" t="s">
        <v>265</v>
      </c>
      <c r="B352" s="113"/>
      <c r="C352" s="113"/>
      <c r="D352" s="113"/>
      <c r="E352" s="113"/>
      <c r="F352" s="113"/>
      <c r="G352" s="113"/>
      <c r="H352" s="113"/>
      <c r="I352" s="113"/>
      <c r="J352" s="113"/>
      <c r="K352" s="113"/>
      <c r="L352" s="113"/>
      <c r="M352" s="113"/>
      <c r="N352" s="113"/>
    </row>
    <row r="353" spans="1:14">
      <c r="A353" s="64" t="s">
        <v>319</v>
      </c>
      <c r="B353" s="107"/>
      <c r="C353" s="107"/>
      <c r="D353" s="107"/>
      <c r="E353" s="107"/>
      <c r="F353" s="107"/>
      <c r="G353" s="107"/>
      <c r="H353" s="107"/>
      <c r="I353" s="107"/>
      <c r="J353" s="107"/>
      <c r="K353" s="107"/>
      <c r="L353" s="107"/>
      <c r="M353" s="107"/>
      <c r="N353" s="107"/>
    </row>
    <row r="354" spans="1:14">
      <c r="A354" s="64"/>
      <c r="B354" s="22"/>
      <c r="C354" s="22"/>
      <c r="D354" s="22"/>
      <c r="E354" s="22"/>
      <c r="F354" s="22"/>
      <c r="G354" s="22"/>
      <c r="H354" s="22"/>
      <c r="I354" s="22"/>
      <c r="J354" s="22"/>
      <c r="K354" s="22"/>
      <c r="L354" s="22"/>
      <c r="M354" s="22"/>
      <c r="N354" s="22"/>
    </row>
    <row r="355" spans="1:14">
      <c r="A355" s="64" t="s">
        <v>106</v>
      </c>
      <c r="B355" s="22"/>
      <c r="C355" s="22"/>
      <c r="D355" s="22"/>
      <c r="E355" s="22"/>
      <c r="F355" s="22"/>
      <c r="G355" s="22"/>
      <c r="H355" s="22"/>
      <c r="I355" s="22"/>
      <c r="J355" s="22"/>
      <c r="K355" s="22"/>
      <c r="L355" s="22"/>
      <c r="M355" s="22"/>
      <c r="N355" s="22"/>
    </row>
    <row r="356" spans="1:14">
      <c r="A356" s="64" t="s">
        <v>261</v>
      </c>
      <c r="B356" s="22"/>
      <c r="C356" s="22"/>
      <c r="D356" s="107">
        <v>-107</v>
      </c>
      <c r="E356" s="107">
        <v>-34</v>
      </c>
      <c r="F356" s="107">
        <v>34</v>
      </c>
      <c r="G356" s="107">
        <v>-4</v>
      </c>
      <c r="H356" s="107">
        <v>-16</v>
      </c>
      <c r="I356" s="22"/>
      <c r="J356" s="22"/>
      <c r="K356" s="107">
        <v>1</v>
      </c>
      <c r="L356" s="107">
        <v>-16</v>
      </c>
      <c r="M356" s="22"/>
      <c r="N356" s="107">
        <v>-142</v>
      </c>
    </row>
    <row r="357" spans="1:14">
      <c r="A357" s="64" t="s">
        <v>66</v>
      </c>
      <c r="B357" s="111">
        <v>546</v>
      </c>
      <c r="C357" s="111">
        <v>405</v>
      </c>
      <c r="D357" s="111">
        <v>282</v>
      </c>
      <c r="E357" s="111">
        <v>386</v>
      </c>
      <c r="F357" s="111">
        <v>508</v>
      </c>
      <c r="G357" s="111">
        <v>516</v>
      </c>
      <c r="H357" s="111">
        <v>708</v>
      </c>
      <c r="I357" s="111">
        <v>526</v>
      </c>
      <c r="J357" s="111">
        <v>420</v>
      </c>
      <c r="K357" s="111">
        <v>550</v>
      </c>
      <c r="L357" s="111">
        <v>-2720</v>
      </c>
      <c r="M357" s="111"/>
      <c r="N357" s="111">
        <v>2127</v>
      </c>
    </row>
    <row r="358" spans="1:14">
      <c r="A358" s="64" t="s">
        <v>116</v>
      </c>
      <c r="B358" s="107">
        <f t="shared" ref="B358:L358" si="71">SUM(B354:B357)</f>
        <v>546</v>
      </c>
      <c r="C358" s="107">
        <f t="shared" si="71"/>
        <v>405</v>
      </c>
      <c r="D358" s="107">
        <f t="shared" si="71"/>
        <v>175</v>
      </c>
      <c r="E358" s="107">
        <f t="shared" si="71"/>
        <v>352</v>
      </c>
      <c r="F358" s="107">
        <f t="shared" si="71"/>
        <v>542</v>
      </c>
      <c r="G358" s="107">
        <f t="shared" si="71"/>
        <v>512</v>
      </c>
      <c r="H358" s="107">
        <f t="shared" si="71"/>
        <v>692</v>
      </c>
      <c r="I358" s="107">
        <f t="shared" si="71"/>
        <v>526</v>
      </c>
      <c r="J358" s="107">
        <f t="shared" si="71"/>
        <v>420</v>
      </c>
      <c r="K358" s="107">
        <f t="shared" si="71"/>
        <v>551</v>
      </c>
      <c r="L358" s="107">
        <f t="shared" si="71"/>
        <v>-2736</v>
      </c>
      <c r="M358" s="107"/>
      <c r="N358" s="107">
        <v>1985</v>
      </c>
    </row>
    <row r="359" spans="1:14">
      <c r="A359" s="64"/>
      <c r="B359" s="22"/>
      <c r="C359" s="22"/>
      <c r="D359" s="22"/>
      <c r="E359" s="22"/>
      <c r="F359" s="22"/>
      <c r="G359" s="22"/>
      <c r="H359" s="22"/>
      <c r="I359" s="22"/>
      <c r="J359" s="22"/>
      <c r="K359" s="22"/>
      <c r="L359" s="22"/>
      <c r="M359" s="22"/>
      <c r="N359" s="22"/>
    </row>
    <row r="360" spans="1:14">
      <c r="A360" s="64" t="s">
        <v>117</v>
      </c>
      <c r="B360" s="22"/>
      <c r="C360" s="22"/>
      <c r="D360" s="22"/>
      <c r="E360" s="22"/>
      <c r="F360" s="22"/>
      <c r="G360" s="22"/>
      <c r="H360" s="22"/>
      <c r="I360" s="22"/>
      <c r="J360" s="22"/>
      <c r="K360" s="22"/>
      <c r="L360" s="22"/>
      <c r="M360" s="22"/>
      <c r="N360" s="22"/>
    </row>
    <row r="361" spans="1:14">
      <c r="A361" s="64" t="s">
        <v>261</v>
      </c>
      <c r="B361" s="22"/>
      <c r="C361" s="107">
        <v>17</v>
      </c>
      <c r="D361" s="22"/>
      <c r="E361" s="22"/>
      <c r="F361" s="22"/>
      <c r="G361" s="107">
        <v>1</v>
      </c>
      <c r="H361" s="107">
        <v>117</v>
      </c>
      <c r="I361" s="107">
        <v>-149</v>
      </c>
      <c r="J361" s="107">
        <v>97</v>
      </c>
      <c r="K361" s="107">
        <v>-92</v>
      </c>
      <c r="L361" s="107">
        <v>137</v>
      </c>
      <c r="M361" s="22"/>
      <c r="N361" s="107">
        <v>128</v>
      </c>
    </row>
    <row r="362" spans="1:14">
      <c r="A362" s="64" t="s">
        <v>66</v>
      </c>
      <c r="B362" s="111">
        <v>191</v>
      </c>
      <c r="C362" s="111">
        <v>179</v>
      </c>
      <c r="D362" s="111">
        <v>189</v>
      </c>
      <c r="E362" s="111">
        <v>198</v>
      </c>
      <c r="F362" s="111">
        <v>151</v>
      </c>
      <c r="G362" s="111">
        <v>126</v>
      </c>
      <c r="H362" s="111">
        <v>140</v>
      </c>
      <c r="I362" s="111">
        <v>122</v>
      </c>
      <c r="J362" s="111">
        <v>76</v>
      </c>
      <c r="K362" s="111">
        <v>127</v>
      </c>
      <c r="L362" s="111">
        <v>-591</v>
      </c>
      <c r="M362" s="111"/>
      <c r="N362" s="111">
        <v>908</v>
      </c>
    </row>
    <row r="363" spans="1:14">
      <c r="A363" s="64" t="s">
        <v>127</v>
      </c>
      <c r="B363" s="107">
        <f t="shared" ref="B363:L363" si="72">SUM(B359:B362)</f>
        <v>191</v>
      </c>
      <c r="C363" s="107">
        <f t="shared" si="72"/>
        <v>196</v>
      </c>
      <c r="D363" s="107">
        <f t="shared" si="72"/>
        <v>189</v>
      </c>
      <c r="E363" s="107">
        <f t="shared" si="72"/>
        <v>198</v>
      </c>
      <c r="F363" s="107">
        <f t="shared" si="72"/>
        <v>151</v>
      </c>
      <c r="G363" s="107">
        <f t="shared" si="72"/>
        <v>127</v>
      </c>
      <c r="H363" s="107">
        <f t="shared" si="72"/>
        <v>257</v>
      </c>
      <c r="I363" s="107">
        <f t="shared" si="72"/>
        <v>-27</v>
      </c>
      <c r="J363" s="107">
        <f t="shared" si="72"/>
        <v>173</v>
      </c>
      <c r="K363" s="107">
        <f t="shared" si="72"/>
        <v>35</v>
      </c>
      <c r="L363" s="107">
        <f t="shared" si="72"/>
        <v>-454</v>
      </c>
      <c r="M363" s="107"/>
      <c r="N363" s="107">
        <v>1036</v>
      </c>
    </row>
    <row r="364" spans="1:14">
      <c r="A364" s="64"/>
      <c r="B364" s="22"/>
      <c r="C364" s="22"/>
      <c r="D364" s="22"/>
      <c r="E364" s="22"/>
      <c r="F364" s="22"/>
      <c r="G364" s="22"/>
      <c r="H364" s="22"/>
      <c r="I364" s="22"/>
      <c r="J364" s="22"/>
      <c r="K364" s="22"/>
      <c r="L364" s="22"/>
      <c r="M364" s="22"/>
      <c r="N364" s="22"/>
    </row>
    <row r="365" spans="1:14" ht="15.75" thickBot="1">
      <c r="A365" s="64" t="s">
        <v>266</v>
      </c>
      <c r="B365" s="112">
        <f t="shared" ref="B365:L365" si="73">SUM(B335:B364)-B340-B345-B350-B353-B358-B363</f>
        <v>2147</v>
      </c>
      <c r="C365" s="112">
        <f t="shared" si="73"/>
        <v>1906</v>
      </c>
      <c r="D365" s="112">
        <f t="shared" si="73"/>
        <v>1931</v>
      </c>
      <c r="E365" s="112">
        <f t="shared" si="73"/>
        <v>2022</v>
      </c>
      <c r="F365" s="112">
        <f t="shared" si="73"/>
        <v>2178</v>
      </c>
      <c r="G365" s="112">
        <f t="shared" si="73"/>
        <v>2030</v>
      </c>
      <c r="H365" s="112">
        <f t="shared" si="73"/>
        <v>2070</v>
      </c>
      <c r="I365" s="112">
        <f t="shared" si="73"/>
        <v>1962</v>
      </c>
      <c r="J365" s="112">
        <f t="shared" si="73"/>
        <v>1804</v>
      </c>
      <c r="K365" s="112">
        <f t="shared" si="73"/>
        <v>1994</v>
      </c>
      <c r="L365" s="112">
        <f t="shared" si="73"/>
        <v>-9866</v>
      </c>
      <c r="M365" s="112"/>
      <c r="N365" s="112">
        <v>10178</v>
      </c>
    </row>
    <row r="366" spans="1:14" ht="15.75" thickTop="1">
      <c r="A366" s="64"/>
      <c r="B366" s="22"/>
      <c r="C366" s="22"/>
      <c r="D366" s="22"/>
      <c r="E366" s="22"/>
      <c r="F366" s="22"/>
      <c r="G366" s="22"/>
      <c r="H366" s="22"/>
      <c r="I366" s="22"/>
      <c r="J366" s="22"/>
      <c r="K366" s="22"/>
      <c r="L366" s="22"/>
      <c r="M366" s="22"/>
      <c r="N366" s="22"/>
    </row>
    <row r="367" spans="1:14" hidden="1">
      <c r="A367" s="64"/>
      <c r="B367" s="107">
        <v>115920.41</v>
      </c>
      <c r="C367" s="107">
        <v>117448.42</v>
      </c>
      <c r="D367" s="107">
        <v>137952.17000000001</v>
      </c>
      <c r="E367" s="107">
        <v>-27577.07</v>
      </c>
      <c r="F367" s="107">
        <v>-399647.53</v>
      </c>
      <c r="G367" s="107">
        <v>-57846.15</v>
      </c>
      <c r="H367" s="107">
        <v>148087.5</v>
      </c>
      <c r="I367" s="107">
        <v>345916.14</v>
      </c>
      <c r="J367" s="107">
        <v>207746.85</v>
      </c>
      <c r="K367" s="107">
        <v>133833.54999999999</v>
      </c>
      <c r="L367" s="107">
        <v>341203.85</v>
      </c>
      <c r="M367" s="107">
        <v>116720.73</v>
      </c>
      <c r="N367" s="107">
        <v>1179758.8700000001</v>
      </c>
    </row>
    <row r="368" spans="1:14">
      <c r="A368" s="64"/>
      <c r="B368" s="22"/>
      <c r="C368" s="22"/>
      <c r="D368" s="22"/>
      <c r="E368" s="22"/>
      <c r="F368" s="22"/>
      <c r="G368" s="22"/>
      <c r="H368" s="22"/>
      <c r="I368" s="22"/>
      <c r="J368" s="22"/>
      <c r="K368" s="22"/>
      <c r="L368" s="22"/>
      <c r="M368" s="22"/>
      <c r="N368" s="22"/>
    </row>
    <row r="369" spans="1:14" hidden="1">
      <c r="A369" s="64" t="s">
        <v>267</v>
      </c>
      <c r="B369" s="107">
        <f t="shared" ref="B369:L369" si="74">B339+B344+B349+B357+B362</f>
        <v>2147</v>
      </c>
      <c r="C369" s="107">
        <f t="shared" si="74"/>
        <v>1906</v>
      </c>
      <c r="D369" s="107">
        <f t="shared" si="74"/>
        <v>1931</v>
      </c>
      <c r="E369" s="107">
        <f t="shared" si="74"/>
        <v>2057</v>
      </c>
      <c r="F369" s="107">
        <f t="shared" si="74"/>
        <v>2144</v>
      </c>
      <c r="G369" s="107">
        <f t="shared" si="74"/>
        <v>2029</v>
      </c>
      <c r="H369" s="107">
        <f t="shared" si="74"/>
        <v>2070</v>
      </c>
      <c r="I369" s="107">
        <f t="shared" si="74"/>
        <v>1966</v>
      </c>
      <c r="J369" s="107">
        <f t="shared" si="74"/>
        <v>1805</v>
      </c>
      <c r="K369" s="107">
        <f t="shared" si="74"/>
        <v>1995</v>
      </c>
      <c r="L369" s="107">
        <f t="shared" si="74"/>
        <v>-9865</v>
      </c>
      <c r="M369" s="107"/>
      <c r="N369" s="107">
        <v>10185</v>
      </c>
    </row>
    <row r="370" spans="1:14">
      <c r="A370" s="64"/>
      <c r="B370" s="22"/>
      <c r="C370" s="22"/>
      <c r="D370" s="22"/>
      <c r="E370" s="22"/>
      <c r="F370" s="22"/>
      <c r="G370" s="22"/>
      <c r="H370" s="22"/>
      <c r="I370" s="22"/>
      <c r="J370" s="22"/>
      <c r="K370" s="22"/>
      <c r="L370" s="22"/>
      <c r="M370" s="22"/>
      <c r="N370" s="22"/>
    </row>
  </sheetData>
  <pageMargins left="0.75" right="0.75" top="0.75" bottom="0.75" header="0.03" footer="0.03"/>
  <pageSetup scale="46" fitToHeight="0" pageOrder="overThenDown" orientation="landscape" r:id="rId1"/>
  <headerFooter>
    <oddHeader>&amp;L&amp;C&amp;"Arial,Regular"&amp;9&amp;K000000Northgate Plaza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20481" r:id="rId5" name="FPMExcelClientSheetOptionstb1">
          <controlPr defaultSize="0" autoLine="0" autoPict="0" r:id="rId6">
            <anchor moveWithCells="1" sizeWithCells="1">
              <from>
                <xdr:col>0</xdr:col>
                <xdr:colOff>0</xdr:colOff>
                <xdr:row>0</xdr:row>
                <xdr:rowOff>0</xdr:rowOff>
              </from>
              <to>
                <xdr:col>0</xdr:col>
                <xdr:colOff>981075</xdr:colOff>
                <xdr:row>0</xdr:row>
                <xdr:rowOff>0</xdr:rowOff>
              </to>
            </anchor>
          </controlPr>
        </control>
      </mc:Choice>
      <mc:Fallback>
        <control shapeId="20481" r:id="rId5" name="FPMExcelClientSheetOptionstb1"/>
      </mc:Fallback>
    </mc:AlternateContent>
  </control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N374"/>
  <sheetViews>
    <sheetView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L4" si="0">B343</f>
        <v>1575</v>
      </c>
      <c r="C4" s="110">
        <f t="shared" si="0"/>
        <v>1607</v>
      </c>
      <c r="D4" s="110">
        <f t="shared" si="0"/>
        <v>1662</v>
      </c>
      <c r="E4" s="110">
        <f t="shared" si="0"/>
        <v>1583</v>
      </c>
      <c r="F4" s="110">
        <f t="shared" si="0"/>
        <v>1616</v>
      </c>
      <c r="G4" s="110">
        <f t="shared" si="0"/>
        <v>1553</v>
      </c>
      <c r="H4" s="110">
        <f t="shared" si="0"/>
        <v>1283</v>
      </c>
      <c r="I4" s="110">
        <f t="shared" si="0"/>
        <v>1460</v>
      </c>
      <c r="J4" s="110">
        <f t="shared" si="0"/>
        <v>1557</v>
      </c>
      <c r="K4" s="110">
        <f t="shared" si="0"/>
        <v>1511</v>
      </c>
      <c r="L4" s="110">
        <f t="shared" si="0"/>
        <v>-7364</v>
      </c>
      <c r="M4" s="110"/>
      <c r="N4" s="110">
        <v>8043</v>
      </c>
    </row>
    <row r="5" spans="1:14">
      <c r="A5" s="64" t="s">
        <v>35</v>
      </c>
      <c r="B5" s="107">
        <f t="shared" ref="B5:L5" si="1">B348</f>
        <v>205</v>
      </c>
      <c r="C5" s="107">
        <f t="shared" si="1"/>
        <v>185</v>
      </c>
      <c r="D5" s="107">
        <f t="shared" si="1"/>
        <v>138</v>
      </c>
      <c r="E5" s="107">
        <f t="shared" si="1"/>
        <v>105</v>
      </c>
      <c r="F5" s="107">
        <f t="shared" si="1"/>
        <v>124</v>
      </c>
      <c r="G5" s="107">
        <f t="shared" si="1"/>
        <v>114</v>
      </c>
      <c r="H5" s="107">
        <f t="shared" si="1"/>
        <v>131</v>
      </c>
      <c r="I5" s="107">
        <f t="shared" si="1"/>
        <v>162</v>
      </c>
      <c r="J5" s="107">
        <f t="shared" si="1"/>
        <v>200</v>
      </c>
      <c r="K5" s="107">
        <f t="shared" si="1"/>
        <v>248</v>
      </c>
      <c r="L5" s="107">
        <f t="shared" si="1"/>
        <v>-855</v>
      </c>
      <c r="M5" s="107"/>
      <c r="N5" s="107">
        <v>757</v>
      </c>
    </row>
    <row r="6" spans="1:14">
      <c r="A6" s="64" t="s">
        <v>36</v>
      </c>
      <c r="B6" s="107">
        <f t="shared" ref="B6:L6" si="2">B353</f>
        <v>425</v>
      </c>
      <c r="C6" s="107">
        <f t="shared" si="2"/>
        <v>423</v>
      </c>
      <c r="D6" s="107">
        <f t="shared" si="2"/>
        <v>234</v>
      </c>
      <c r="E6" s="107">
        <f t="shared" si="2"/>
        <v>311</v>
      </c>
      <c r="F6" s="107">
        <f t="shared" si="2"/>
        <v>236</v>
      </c>
      <c r="G6" s="107">
        <f t="shared" si="2"/>
        <v>366</v>
      </c>
      <c r="H6" s="107">
        <f t="shared" si="2"/>
        <v>403</v>
      </c>
      <c r="I6" s="107">
        <f t="shared" si="2"/>
        <v>315</v>
      </c>
      <c r="J6" s="107">
        <f t="shared" si="2"/>
        <v>250</v>
      </c>
      <c r="K6" s="107">
        <f t="shared" si="2"/>
        <v>267</v>
      </c>
      <c r="L6" s="107">
        <f t="shared" si="2"/>
        <v>-1601</v>
      </c>
      <c r="M6" s="107"/>
      <c r="N6" s="107">
        <v>1629</v>
      </c>
    </row>
    <row r="7" spans="1:14">
      <c r="A7" s="64" t="s">
        <v>37</v>
      </c>
      <c r="B7" s="107">
        <f t="shared" ref="B7:L7" si="3">B361</f>
        <v>64</v>
      </c>
      <c r="C7" s="107">
        <f t="shared" si="3"/>
        <v>63</v>
      </c>
      <c r="D7" s="107">
        <f t="shared" si="3"/>
        <v>114</v>
      </c>
      <c r="E7" s="107">
        <f t="shared" si="3"/>
        <v>126</v>
      </c>
      <c r="F7" s="107">
        <f t="shared" si="3"/>
        <v>81</v>
      </c>
      <c r="G7" s="107">
        <f t="shared" si="3"/>
        <v>212</v>
      </c>
      <c r="H7" s="107">
        <f t="shared" si="3"/>
        <v>175</v>
      </c>
      <c r="I7" s="107">
        <f t="shared" si="3"/>
        <v>186</v>
      </c>
      <c r="J7" s="107">
        <f t="shared" si="3"/>
        <v>53</v>
      </c>
      <c r="K7" s="107">
        <f t="shared" si="3"/>
        <v>60</v>
      </c>
      <c r="L7" s="107">
        <f t="shared" si="3"/>
        <v>-686</v>
      </c>
      <c r="M7" s="107"/>
      <c r="N7" s="107">
        <v>448</v>
      </c>
    </row>
    <row r="8" spans="1:14">
      <c r="A8" s="64" t="s">
        <v>38</v>
      </c>
      <c r="B8" s="111">
        <f t="shared" ref="B8:L8" si="4">B366</f>
        <v>316</v>
      </c>
      <c r="C8" s="111">
        <f t="shared" si="4"/>
        <v>365</v>
      </c>
      <c r="D8" s="111">
        <f t="shared" si="4"/>
        <v>491</v>
      </c>
      <c r="E8" s="111">
        <f t="shared" si="4"/>
        <v>461</v>
      </c>
      <c r="F8" s="111">
        <f t="shared" si="4"/>
        <v>436</v>
      </c>
      <c r="G8" s="111">
        <f t="shared" si="4"/>
        <v>377</v>
      </c>
      <c r="H8" s="111">
        <f t="shared" si="4"/>
        <v>324</v>
      </c>
      <c r="I8" s="111">
        <f t="shared" si="4"/>
        <v>361</v>
      </c>
      <c r="J8" s="111">
        <f t="shared" si="4"/>
        <v>344</v>
      </c>
      <c r="K8" s="111">
        <f t="shared" si="4"/>
        <v>484</v>
      </c>
      <c r="L8" s="111">
        <f t="shared" si="4"/>
        <v>-1890</v>
      </c>
      <c r="M8" s="111"/>
      <c r="N8" s="111">
        <v>2069</v>
      </c>
    </row>
    <row r="9" spans="1:14" ht="15.75" thickBot="1">
      <c r="A9" s="64" t="s">
        <v>39</v>
      </c>
      <c r="B9" s="112">
        <f t="shared" ref="B9:L9" si="5">B373</f>
        <v>2585</v>
      </c>
      <c r="C9" s="112">
        <f t="shared" si="5"/>
        <v>2643</v>
      </c>
      <c r="D9" s="112">
        <f t="shared" si="5"/>
        <v>2639</v>
      </c>
      <c r="E9" s="112">
        <f t="shared" si="5"/>
        <v>2586</v>
      </c>
      <c r="F9" s="112">
        <f t="shared" si="5"/>
        <v>2493</v>
      </c>
      <c r="G9" s="112">
        <f t="shared" si="5"/>
        <v>2622</v>
      </c>
      <c r="H9" s="112">
        <f t="shared" si="5"/>
        <v>2316</v>
      </c>
      <c r="I9" s="112">
        <f t="shared" si="5"/>
        <v>2484</v>
      </c>
      <c r="J9" s="112">
        <f t="shared" si="5"/>
        <v>2404</v>
      </c>
      <c r="K9" s="112">
        <f t="shared" si="5"/>
        <v>2570</v>
      </c>
      <c r="L9" s="112">
        <f t="shared" si="5"/>
        <v>-12396</v>
      </c>
      <c r="M9" s="112"/>
      <c r="N9" s="112">
        <v>12946</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L14" si="6">B69</f>
        <v>284545.64</v>
      </c>
      <c r="C14" s="107">
        <f t="shared" si="6"/>
        <v>286275.92</v>
      </c>
      <c r="D14" s="107">
        <f t="shared" si="6"/>
        <v>280891.8</v>
      </c>
      <c r="E14" s="107">
        <f t="shared" si="6"/>
        <v>251709.79</v>
      </c>
      <c r="F14" s="107">
        <f t="shared" si="6"/>
        <v>257307.26</v>
      </c>
      <c r="G14" s="107">
        <f t="shared" si="6"/>
        <v>272789.45</v>
      </c>
      <c r="H14" s="107">
        <f t="shared" si="6"/>
        <v>227636.74</v>
      </c>
      <c r="I14" s="107">
        <f t="shared" si="6"/>
        <v>250951.67</v>
      </c>
      <c r="J14" s="107">
        <f t="shared" si="6"/>
        <v>274334.18</v>
      </c>
      <c r="K14" s="107">
        <f t="shared" si="6"/>
        <v>263968.68</v>
      </c>
      <c r="L14" s="107">
        <f t="shared" si="6"/>
        <v>-1289680.72</v>
      </c>
      <c r="M14" s="107"/>
      <c r="N14" s="107">
        <v>1360730.41</v>
      </c>
    </row>
    <row r="15" spans="1:14">
      <c r="A15" s="64" t="s">
        <v>35</v>
      </c>
      <c r="B15" s="107">
        <f t="shared" ref="B15:L15" si="7">B73</f>
        <v>33510.410000000003</v>
      </c>
      <c r="C15" s="107">
        <f t="shared" si="7"/>
        <v>29288.83</v>
      </c>
      <c r="D15" s="107">
        <f t="shared" si="7"/>
        <v>23197.599999999999</v>
      </c>
      <c r="E15" s="107">
        <f t="shared" si="7"/>
        <v>15219.15</v>
      </c>
      <c r="F15" s="107">
        <f t="shared" si="7"/>
        <v>18759.650000000001</v>
      </c>
      <c r="G15" s="107">
        <f t="shared" si="7"/>
        <v>20736.41</v>
      </c>
      <c r="H15" s="107">
        <f t="shared" si="7"/>
        <v>23971.07</v>
      </c>
      <c r="I15" s="107">
        <f t="shared" si="7"/>
        <v>29050.86</v>
      </c>
      <c r="J15" s="107">
        <f t="shared" si="7"/>
        <v>39425.43</v>
      </c>
      <c r="K15" s="107">
        <f t="shared" si="7"/>
        <v>47287.82</v>
      </c>
      <c r="L15" s="107">
        <f t="shared" si="7"/>
        <v>-160471.59</v>
      </c>
      <c r="M15" s="107"/>
      <c r="N15" s="107">
        <v>119975.64</v>
      </c>
    </row>
    <row r="16" spans="1:14">
      <c r="A16" s="64" t="s">
        <v>36</v>
      </c>
      <c r="B16" s="107">
        <f t="shared" ref="B16:L16" si="8">B77</f>
        <v>268211.92</v>
      </c>
      <c r="C16" s="107">
        <f t="shared" si="8"/>
        <v>254872.09</v>
      </c>
      <c r="D16" s="107">
        <f t="shared" si="8"/>
        <v>141221.84</v>
      </c>
      <c r="E16" s="107">
        <f t="shared" si="8"/>
        <v>180770.12</v>
      </c>
      <c r="F16" s="107">
        <f t="shared" si="8"/>
        <v>142985.78</v>
      </c>
      <c r="G16" s="107">
        <f t="shared" si="8"/>
        <v>236834.47</v>
      </c>
      <c r="H16" s="107">
        <f t="shared" si="8"/>
        <v>252809.28</v>
      </c>
      <c r="I16" s="107">
        <f t="shared" si="8"/>
        <v>194000.59</v>
      </c>
      <c r="J16" s="107">
        <f t="shared" si="8"/>
        <v>152060.46</v>
      </c>
      <c r="K16" s="107">
        <f t="shared" si="8"/>
        <v>161276.04</v>
      </c>
      <c r="L16" s="107">
        <f t="shared" si="8"/>
        <v>-996980.84</v>
      </c>
      <c r="M16" s="107"/>
      <c r="N16" s="107">
        <v>988061.75</v>
      </c>
    </row>
    <row r="17" spans="1:14">
      <c r="A17" s="64" t="s">
        <v>37</v>
      </c>
      <c r="B17" s="107">
        <f t="shared" ref="B17:L17" si="9">B84</f>
        <v>26676.959999999999</v>
      </c>
      <c r="C17" s="107">
        <f t="shared" si="9"/>
        <v>27061.63</v>
      </c>
      <c r="D17" s="107">
        <f t="shared" si="9"/>
        <v>45156.03</v>
      </c>
      <c r="E17" s="107">
        <f t="shared" si="9"/>
        <v>42544.94</v>
      </c>
      <c r="F17" s="107">
        <f t="shared" si="9"/>
        <v>35801.839999999997</v>
      </c>
      <c r="G17" s="107">
        <f t="shared" si="9"/>
        <v>81266.98</v>
      </c>
      <c r="H17" s="107">
        <f t="shared" si="9"/>
        <v>71271.61</v>
      </c>
      <c r="I17" s="107">
        <f t="shared" si="9"/>
        <v>80958.89</v>
      </c>
      <c r="J17" s="107">
        <f t="shared" si="9"/>
        <v>21291.040000000001</v>
      </c>
      <c r="K17" s="107">
        <f t="shared" si="9"/>
        <v>30583.66</v>
      </c>
      <c r="L17" s="107">
        <f t="shared" si="9"/>
        <v>-285372.18</v>
      </c>
      <c r="M17" s="107"/>
      <c r="N17" s="107">
        <v>177241.4</v>
      </c>
    </row>
    <row r="18" spans="1:14">
      <c r="A18" s="64" t="s">
        <v>38</v>
      </c>
      <c r="B18" s="111">
        <f t="shared" ref="B18:L18" si="10">B88</f>
        <v>73310</v>
      </c>
      <c r="C18" s="111">
        <f t="shared" si="10"/>
        <v>84680</v>
      </c>
      <c r="D18" s="111">
        <f t="shared" si="10"/>
        <v>112680</v>
      </c>
      <c r="E18" s="111">
        <f t="shared" si="10"/>
        <v>106490</v>
      </c>
      <c r="F18" s="111">
        <f t="shared" si="10"/>
        <v>101520</v>
      </c>
      <c r="G18" s="111">
        <f t="shared" si="10"/>
        <v>87415</v>
      </c>
      <c r="H18" s="111">
        <f t="shared" si="10"/>
        <v>74240</v>
      </c>
      <c r="I18" s="111">
        <f t="shared" si="10"/>
        <v>79950</v>
      </c>
      <c r="J18" s="111">
        <f t="shared" si="10"/>
        <v>75155</v>
      </c>
      <c r="K18" s="111">
        <f t="shared" si="10"/>
        <v>104220</v>
      </c>
      <c r="L18" s="111">
        <f t="shared" si="10"/>
        <v>-420980</v>
      </c>
      <c r="M18" s="111"/>
      <c r="N18" s="111">
        <v>478680</v>
      </c>
    </row>
    <row r="19" spans="1:14">
      <c r="A19" s="64" t="s">
        <v>42</v>
      </c>
      <c r="B19" s="107">
        <f t="shared" ref="B19:L19" si="11">B90</f>
        <v>686254.92999999993</v>
      </c>
      <c r="C19" s="107">
        <f t="shared" si="11"/>
        <v>682178.46999999974</v>
      </c>
      <c r="D19" s="107">
        <f t="shared" si="11"/>
        <v>603147.27</v>
      </c>
      <c r="E19" s="107">
        <f t="shared" si="11"/>
        <v>596734</v>
      </c>
      <c r="F19" s="107">
        <f t="shared" si="11"/>
        <v>556374.53</v>
      </c>
      <c r="G19" s="107">
        <f t="shared" si="11"/>
        <v>699042.31000000029</v>
      </c>
      <c r="H19" s="107">
        <f t="shared" si="11"/>
        <v>649928.70000000019</v>
      </c>
      <c r="I19" s="107">
        <f t="shared" si="11"/>
        <v>634912.01</v>
      </c>
      <c r="J19" s="107">
        <f t="shared" si="11"/>
        <v>562266.11000000022</v>
      </c>
      <c r="K19" s="107">
        <f t="shared" si="11"/>
        <v>607336.19999999995</v>
      </c>
      <c r="L19" s="107">
        <f t="shared" si="11"/>
        <v>-3153485.3299999996</v>
      </c>
      <c r="M19" s="107"/>
      <c r="N19" s="107">
        <v>3124689.2</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L22" si="12">B96</f>
        <v>2368.92</v>
      </c>
      <c r="C22" s="107">
        <f t="shared" si="12"/>
        <v>3288.51</v>
      </c>
      <c r="D22" s="107">
        <f t="shared" si="12"/>
        <v>-36914.910000000003</v>
      </c>
      <c r="E22" s="107">
        <f t="shared" si="12"/>
        <v>-48291.25</v>
      </c>
      <c r="F22" s="107">
        <f t="shared" si="12"/>
        <v>-7508.99</v>
      </c>
      <c r="G22" s="107">
        <f t="shared" si="12"/>
        <v>20013.330000000002</v>
      </c>
      <c r="H22" s="107">
        <f t="shared" si="12"/>
        <v>-10510.45</v>
      </c>
      <c r="I22" s="107">
        <f t="shared" si="12"/>
        <v>-22125.25</v>
      </c>
      <c r="J22" s="107">
        <f t="shared" si="12"/>
        <v>3457.01</v>
      </c>
      <c r="K22" s="107">
        <f t="shared" si="12"/>
        <v>-7124.43</v>
      </c>
      <c r="L22" s="107">
        <f t="shared" si="12"/>
        <v>16289.79</v>
      </c>
      <c r="M22" s="107"/>
      <c r="N22" s="107">
        <v>-87057.72</v>
      </c>
    </row>
    <row r="23" spans="1:14">
      <c r="A23" s="64" t="s">
        <v>35</v>
      </c>
      <c r="B23" s="107">
        <f>B100</f>
        <v>-686.22</v>
      </c>
      <c r="C23" s="107"/>
      <c r="D23" s="107">
        <f t="shared" ref="D23:L23" si="13">D100</f>
        <v>188.67</v>
      </c>
      <c r="E23" s="107">
        <f t="shared" si="13"/>
        <v>-2138.2600000000002</v>
      </c>
      <c r="F23" s="107">
        <f t="shared" si="13"/>
        <v>245.95</v>
      </c>
      <c r="G23" s="107">
        <f t="shared" si="13"/>
        <v>7047.57</v>
      </c>
      <c r="H23" s="107">
        <f t="shared" si="13"/>
        <v>329.33</v>
      </c>
      <c r="I23" s="107">
        <f t="shared" si="13"/>
        <v>173.97</v>
      </c>
      <c r="J23" s="107">
        <f t="shared" si="13"/>
        <v>1407.18</v>
      </c>
      <c r="K23" s="107">
        <f t="shared" si="13"/>
        <v>1150.19</v>
      </c>
      <c r="L23" s="107">
        <f t="shared" si="13"/>
        <v>-10108.24</v>
      </c>
      <c r="M23" s="107"/>
      <c r="N23" s="107">
        <v>-2389.86</v>
      </c>
    </row>
    <row r="24" spans="1:14">
      <c r="A24" s="64" t="s">
        <v>36</v>
      </c>
      <c r="B24" s="107">
        <f t="shared" ref="B24:L24" si="14">B104</f>
        <v>-4909.8</v>
      </c>
      <c r="C24" s="107">
        <f t="shared" si="14"/>
        <v>-4446.1000000000004</v>
      </c>
      <c r="D24" s="107">
        <f t="shared" si="14"/>
        <v>-10127.83</v>
      </c>
      <c r="E24" s="107">
        <f t="shared" si="14"/>
        <v>1622.16</v>
      </c>
      <c r="F24" s="107">
        <f t="shared" si="14"/>
        <v>11572.09</v>
      </c>
      <c r="G24" s="107">
        <f t="shared" si="14"/>
        <v>3686.22</v>
      </c>
      <c r="H24" s="107">
        <f t="shared" si="14"/>
        <v>7825.71</v>
      </c>
      <c r="I24" s="107">
        <f t="shared" si="14"/>
        <v>-1537.47</v>
      </c>
      <c r="J24" s="107">
        <f t="shared" si="14"/>
        <v>1864.23</v>
      </c>
      <c r="K24" s="107">
        <f t="shared" si="14"/>
        <v>-119.32</v>
      </c>
      <c r="L24" s="107">
        <f t="shared" si="14"/>
        <v>-11719.37</v>
      </c>
      <c r="M24" s="107"/>
      <c r="N24" s="107">
        <v>-6289.48</v>
      </c>
    </row>
    <row r="25" spans="1:14">
      <c r="A25" s="64" t="s">
        <v>37</v>
      </c>
      <c r="B25" s="107">
        <f t="shared" ref="B25:I25" si="15">B111</f>
        <v>-1784.62</v>
      </c>
      <c r="C25" s="107">
        <f t="shared" si="15"/>
        <v>1669.31</v>
      </c>
      <c r="D25" s="107">
        <f t="shared" si="15"/>
        <v>-114.61</v>
      </c>
      <c r="E25" s="107">
        <f t="shared" si="15"/>
        <v>14.24</v>
      </c>
      <c r="F25" s="107">
        <f t="shared" si="15"/>
        <v>-2301.7600000000002</v>
      </c>
      <c r="G25" s="107">
        <f t="shared" si="15"/>
        <v>-3292.43</v>
      </c>
      <c r="H25" s="107">
        <f t="shared" si="15"/>
        <v>1141.98</v>
      </c>
      <c r="I25" s="107">
        <f t="shared" si="15"/>
        <v>-23319.58</v>
      </c>
      <c r="J25" s="107"/>
      <c r="K25" s="107">
        <f>K111</f>
        <v>-6745.16</v>
      </c>
      <c r="L25" s="107">
        <f>L111</f>
        <v>32215.19</v>
      </c>
      <c r="M25" s="107"/>
      <c r="N25" s="107">
        <v>-2517.44</v>
      </c>
    </row>
    <row r="26" spans="1:14">
      <c r="A26" s="64" t="s">
        <v>38</v>
      </c>
      <c r="B26" s="111"/>
      <c r="C26" s="111">
        <f t="shared" ref="C26:I26" si="16">C115</f>
        <v>-6355</v>
      </c>
      <c r="D26" s="111">
        <f t="shared" si="16"/>
        <v>30965</v>
      </c>
      <c r="E26" s="111">
        <f t="shared" si="16"/>
        <v>36455</v>
      </c>
      <c r="F26" s="111">
        <f t="shared" si="16"/>
        <v>7705</v>
      </c>
      <c r="G26" s="111">
        <f t="shared" si="16"/>
        <v>-16400</v>
      </c>
      <c r="H26" s="111">
        <f t="shared" si="16"/>
        <v>10640</v>
      </c>
      <c r="I26" s="111">
        <f t="shared" si="16"/>
        <v>1105</v>
      </c>
      <c r="J26" s="111"/>
      <c r="K26" s="111">
        <f>K115</f>
        <v>19085</v>
      </c>
      <c r="L26" s="111">
        <f>L115</f>
        <v>-14430</v>
      </c>
      <c r="M26" s="111"/>
      <c r="N26" s="111">
        <v>68770</v>
      </c>
    </row>
    <row r="27" spans="1:14">
      <c r="A27" s="64" t="s">
        <v>44</v>
      </c>
      <c r="B27" s="107">
        <f t="shared" ref="B27:L27" si="17">B117</f>
        <v>-5011.7199999999993</v>
      </c>
      <c r="C27" s="107">
        <f t="shared" si="17"/>
        <v>-5843.2800000000007</v>
      </c>
      <c r="D27" s="107">
        <f t="shared" si="17"/>
        <v>-16003.680000000011</v>
      </c>
      <c r="E27" s="107">
        <f t="shared" si="17"/>
        <v>-12338.109999999971</v>
      </c>
      <c r="F27" s="107">
        <f t="shared" si="17"/>
        <v>9712.2900000000009</v>
      </c>
      <c r="G27" s="107">
        <f t="shared" si="17"/>
        <v>11054.690000000004</v>
      </c>
      <c r="H27" s="107">
        <f t="shared" si="17"/>
        <v>9426.57</v>
      </c>
      <c r="I27" s="107">
        <f t="shared" si="17"/>
        <v>-45703.33</v>
      </c>
      <c r="J27" s="107">
        <f t="shared" si="17"/>
        <v>6728.42</v>
      </c>
      <c r="K27" s="107">
        <f t="shared" si="17"/>
        <v>6246.2800000000025</v>
      </c>
      <c r="L27" s="107">
        <f t="shared" si="17"/>
        <v>12247.370000000006</v>
      </c>
      <c r="M27" s="107"/>
      <c r="N27" s="107">
        <v>-29484.5</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34</v>
      </c>
      <c r="B30" s="107">
        <f t="shared" ref="B30:L30" si="18">B130</f>
        <v>6445.5000000000009</v>
      </c>
      <c r="C30" s="107">
        <f t="shared" si="18"/>
        <v>1806.5200000000004</v>
      </c>
      <c r="D30" s="107">
        <f t="shared" si="18"/>
        <v>4327.82</v>
      </c>
      <c r="E30" s="107">
        <f t="shared" si="18"/>
        <v>1140.96</v>
      </c>
      <c r="F30" s="107">
        <f t="shared" si="18"/>
        <v>-1140.9600000000003</v>
      </c>
      <c r="G30" s="107">
        <f t="shared" si="18"/>
        <v>9548.65</v>
      </c>
      <c r="H30" s="107">
        <f t="shared" si="18"/>
        <v>-3410.55</v>
      </c>
      <c r="I30" s="107">
        <f t="shared" si="18"/>
        <v>2567.16</v>
      </c>
      <c r="J30" s="107">
        <f t="shared" si="18"/>
        <v>2522.5599999999995</v>
      </c>
      <c r="K30" s="107">
        <f t="shared" si="18"/>
        <v>2192.7199999999993</v>
      </c>
      <c r="L30" s="107">
        <f t="shared" si="18"/>
        <v>-13420.54</v>
      </c>
      <c r="M30" s="107"/>
      <c r="N30" s="107">
        <v>12579.84</v>
      </c>
    </row>
    <row r="31" spans="1:14">
      <c r="A31" s="64" t="s">
        <v>46</v>
      </c>
      <c r="B31" s="107">
        <f t="shared" ref="B31:L31" si="19">B152</f>
        <v>14815.02</v>
      </c>
      <c r="C31" s="107">
        <f t="shared" si="19"/>
        <v>33133.39</v>
      </c>
      <c r="D31" s="107">
        <f t="shared" si="19"/>
        <v>23070.58</v>
      </c>
      <c r="E31" s="107">
        <f t="shared" si="19"/>
        <v>20879.45</v>
      </c>
      <c r="F31" s="107">
        <f t="shared" si="19"/>
        <v>49682.380000000005</v>
      </c>
      <c r="G31" s="107">
        <f t="shared" si="19"/>
        <v>31267.769999999997</v>
      </c>
      <c r="H31" s="107">
        <f t="shared" si="19"/>
        <v>20071.070000000007</v>
      </c>
      <c r="I31" s="107">
        <f t="shared" si="19"/>
        <v>16209.459999999995</v>
      </c>
      <c r="J31" s="107">
        <f t="shared" si="19"/>
        <v>26837.599999999999</v>
      </c>
      <c r="K31" s="107">
        <f t="shared" si="19"/>
        <v>22539.089999999997</v>
      </c>
      <c r="L31" s="107">
        <f t="shared" si="19"/>
        <v>-116924.98999999999</v>
      </c>
      <c r="M31" s="107"/>
      <c r="N31" s="107">
        <v>141580.82</v>
      </c>
    </row>
    <row r="32" spans="1:14">
      <c r="A32" s="64" t="s">
        <v>37</v>
      </c>
      <c r="B32" s="107">
        <f t="shared" ref="B32:L32" si="20">B165</f>
        <v>15545.370000000003</v>
      </c>
      <c r="C32" s="107">
        <f t="shared" si="20"/>
        <v>2797.3700000000026</v>
      </c>
      <c r="D32" s="107">
        <f t="shared" si="20"/>
        <v>6717.6800000000076</v>
      </c>
      <c r="E32" s="107">
        <f t="shared" si="20"/>
        <v>8634.8800000000047</v>
      </c>
      <c r="F32" s="107">
        <f t="shared" si="20"/>
        <v>-13290.770000000004</v>
      </c>
      <c r="G32" s="107">
        <f t="shared" si="20"/>
        <v>9163.4699999999866</v>
      </c>
      <c r="H32" s="107">
        <f t="shared" si="20"/>
        <v>25229.810000000012</v>
      </c>
      <c r="I32" s="107">
        <f t="shared" si="20"/>
        <v>1016.8700000000099</v>
      </c>
      <c r="J32" s="107">
        <f t="shared" si="20"/>
        <v>24518.58</v>
      </c>
      <c r="K32" s="107">
        <f t="shared" si="20"/>
        <v>3410.0299999999988</v>
      </c>
      <c r="L32" s="107">
        <f t="shared" si="20"/>
        <v>-63338.760000000009</v>
      </c>
      <c r="M32" s="107"/>
      <c r="N32" s="107">
        <v>20404.53</v>
      </c>
    </row>
    <row r="33" spans="1:14">
      <c r="A33" s="64" t="s">
        <v>38</v>
      </c>
      <c r="B33" s="111"/>
      <c r="C33" s="111"/>
      <c r="D33" s="111"/>
      <c r="E33" s="111"/>
      <c r="F33" s="111"/>
      <c r="G33" s="111">
        <f>G170</f>
        <v>1294.1500000000001</v>
      </c>
      <c r="H33" s="111">
        <f>H170</f>
        <v>-1294.1500000000001</v>
      </c>
      <c r="I33" s="111"/>
      <c r="J33" s="111"/>
      <c r="K33" s="111"/>
      <c r="L33" s="111"/>
      <c r="M33" s="111"/>
      <c r="N33" s="111"/>
    </row>
    <row r="34" spans="1:14">
      <c r="A34" s="64" t="s">
        <v>47</v>
      </c>
      <c r="B34" s="107">
        <f t="shared" ref="B34:L34" si="21">B172</f>
        <v>36805.889999999992</v>
      </c>
      <c r="C34" s="107">
        <f t="shared" si="21"/>
        <v>37737.280000000021</v>
      </c>
      <c r="D34" s="107">
        <f t="shared" si="21"/>
        <v>34116.080000000024</v>
      </c>
      <c r="E34" s="107">
        <f t="shared" si="21"/>
        <v>30655.289999999994</v>
      </c>
      <c r="F34" s="107">
        <f t="shared" si="21"/>
        <v>35250.650000000009</v>
      </c>
      <c r="G34" s="107">
        <f t="shared" si="21"/>
        <v>51274.039999999979</v>
      </c>
      <c r="H34" s="107">
        <f t="shared" si="21"/>
        <v>40596.180000000015</v>
      </c>
      <c r="I34" s="107">
        <f t="shared" si="21"/>
        <v>19793.489999999987</v>
      </c>
      <c r="J34" s="107">
        <f t="shared" si="21"/>
        <v>53878.740000000005</v>
      </c>
      <c r="K34" s="107">
        <f t="shared" si="21"/>
        <v>28141.840000000004</v>
      </c>
      <c r="L34" s="107">
        <f t="shared" si="21"/>
        <v>-193684.2900000001</v>
      </c>
      <c r="M34" s="107"/>
      <c r="N34" s="107">
        <v>174565.19</v>
      </c>
    </row>
    <row r="35" spans="1:14">
      <c r="A35" s="64"/>
      <c r="B35" s="22"/>
      <c r="C35" s="22"/>
      <c r="D35" s="22"/>
      <c r="E35" s="22"/>
      <c r="F35" s="22"/>
      <c r="G35" s="22"/>
      <c r="H35" s="22"/>
      <c r="I35" s="22"/>
      <c r="J35" s="22"/>
      <c r="K35" s="22"/>
      <c r="L35" s="22"/>
      <c r="M35" s="22"/>
      <c r="N35" s="22"/>
    </row>
    <row r="36" spans="1:14">
      <c r="A36" s="64" t="s">
        <v>48</v>
      </c>
      <c r="B36" s="107">
        <f t="shared" ref="B36:L36" si="22">B181</f>
        <v>52314.07</v>
      </c>
      <c r="C36" s="107">
        <f t="shared" si="22"/>
        <v>51614.66</v>
      </c>
      <c r="D36" s="107">
        <f t="shared" si="22"/>
        <v>64524.52</v>
      </c>
      <c r="E36" s="107">
        <f t="shared" si="22"/>
        <v>52525.43</v>
      </c>
      <c r="F36" s="107">
        <f t="shared" si="22"/>
        <v>-902478.22</v>
      </c>
      <c r="G36" s="107">
        <f t="shared" si="22"/>
        <v>53294.369999999995</v>
      </c>
      <c r="H36" s="107">
        <f t="shared" si="22"/>
        <v>47292.08</v>
      </c>
      <c r="I36" s="107">
        <f t="shared" si="22"/>
        <v>57029</v>
      </c>
      <c r="J36" s="107">
        <f t="shared" si="22"/>
        <v>37309.61</v>
      </c>
      <c r="K36" s="107">
        <f t="shared" si="22"/>
        <v>110735</v>
      </c>
      <c r="L36" s="107">
        <f t="shared" si="22"/>
        <v>-305660.06</v>
      </c>
      <c r="M36" s="107"/>
      <c r="N36" s="107">
        <v>-681499.54</v>
      </c>
    </row>
    <row r="37" spans="1:14">
      <c r="A37" s="64"/>
      <c r="B37" s="22"/>
      <c r="C37" s="22"/>
      <c r="D37" s="22"/>
      <c r="E37" s="22"/>
      <c r="F37" s="22"/>
      <c r="G37" s="22"/>
      <c r="H37" s="22"/>
      <c r="I37" s="22"/>
      <c r="J37" s="22"/>
      <c r="K37" s="22"/>
      <c r="L37" s="22"/>
      <c r="M37" s="22"/>
      <c r="N37" s="22"/>
    </row>
    <row r="38" spans="1:14" ht="15.75" thickBot="1">
      <c r="A38" s="64" t="s">
        <v>13</v>
      </c>
      <c r="B38" s="112">
        <f t="shared" ref="B38:L38" si="23">B183</f>
        <v>770363.16999999864</v>
      </c>
      <c r="C38" s="112">
        <f t="shared" si="23"/>
        <v>765687.12999999966</v>
      </c>
      <c r="D38" s="112">
        <f t="shared" si="23"/>
        <v>685784.18999999971</v>
      </c>
      <c r="E38" s="112">
        <f t="shared" si="23"/>
        <v>667576.60999999987</v>
      </c>
      <c r="F38" s="112">
        <f t="shared" si="23"/>
        <v>-301140.74999999977</v>
      </c>
      <c r="G38" s="112">
        <f t="shared" si="23"/>
        <v>814665.40999999887</v>
      </c>
      <c r="H38" s="112">
        <f t="shared" si="23"/>
        <v>747243.53000000084</v>
      </c>
      <c r="I38" s="112">
        <f t="shared" si="23"/>
        <v>666031.16999999946</v>
      </c>
      <c r="J38" s="112">
        <f t="shared" si="23"/>
        <v>660182.88000000082</v>
      </c>
      <c r="K38" s="112">
        <f t="shared" si="23"/>
        <v>752459.32000000018</v>
      </c>
      <c r="L38" s="112">
        <f t="shared" si="23"/>
        <v>-3640582.3100000047</v>
      </c>
      <c r="M38" s="112"/>
      <c r="N38" s="112">
        <v>2588270.35</v>
      </c>
    </row>
    <row r="39" spans="1:14" ht="15.75" thickTop="1">
      <c r="A39" s="64"/>
      <c r="B39" s="22"/>
      <c r="C39" s="22"/>
      <c r="D39" s="22"/>
      <c r="E39" s="22"/>
      <c r="F39" s="22"/>
      <c r="G39" s="22"/>
      <c r="H39" s="22"/>
      <c r="I39" s="22"/>
      <c r="J39" s="22"/>
      <c r="K39" s="22"/>
      <c r="L39" s="22"/>
      <c r="M39" s="22"/>
      <c r="N39" s="22"/>
    </row>
    <row r="40" spans="1:14">
      <c r="A40" s="64" t="s">
        <v>14</v>
      </c>
      <c r="B40" s="22"/>
      <c r="C40" s="22"/>
      <c r="D40" s="22"/>
      <c r="E40" s="22"/>
      <c r="F40" s="22"/>
      <c r="G40" s="22"/>
      <c r="H40" s="22"/>
      <c r="I40" s="22"/>
      <c r="J40" s="22"/>
      <c r="K40" s="22"/>
      <c r="L40" s="22"/>
      <c r="M40" s="22"/>
      <c r="N40" s="22"/>
    </row>
    <row r="41" spans="1:14">
      <c r="A41" s="64" t="s">
        <v>49</v>
      </c>
      <c r="B41" s="107">
        <f t="shared" ref="B41:L41" si="24">B204</f>
        <v>311687.82999999996</v>
      </c>
      <c r="C41" s="107">
        <f t="shared" si="24"/>
        <v>299707.56</v>
      </c>
      <c r="D41" s="107">
        <f t="shared" si="24"/>
        <v>299277.21000000002</v>
      </c>
      <c r="E41" s="107">
        <f t="shared" si="24"/>
        <v>294763.21999999997</v>
      </c>
      <c r="F41" s="107">
        <f t="shared" si="24"/>
        <v>287096.64</v>
      </c>
      <c r="G41" s="107">
        <f t="shared" si="24"/>
        <v>289303.37</v>
      </c>
      <c r="H41" s="107">
        <f t="shared" si="24"/>
        <v>248088.68</v>
      </c>
      <c r="I41" s="107">
        <f t="shared" si="24"/>
        <v>276614.15000000002</v>
      </c>
      <c r="J41" s="107">
        <f t="shared" si="24"/>
        <v>255517.34</v>
      </c>
      <c r="K41" s="107">
        <f t="shared" si="24"/>
        <v>231561.26000000004</v>
      </c>
      <c r="L41" s="107">
        <f t="shared" si="24"/>
        <v>-1301084.8000000003</v>
      </c>
      <c r="M41" s="107"/>
      <c r="N41" s="107">
        <v>1492532.46</v>
      </c>
    </row>
    <row r="42" spans="1:14">
      <c r="A42" s="64" t="s">
        <v>50</v>
      </c>
      <c r="B42" s="107">
        <f>B211</f>
        <v>57540.85</v>
      </c>
      <c r="C42" s="107">
        <f>C211</f>
        <v>17978.78</v>
      </c>
      <c r="D42" s="107">
        <f>D211</f>
        <v>12638.45</v>
      </c>
      <c r="E42" s="107">
        <f>E211</f>
        <v>14239.84</v>
      </c>
      <c r="F42" s="107">
        <f>F211</f>
        <v>-266018.68</v>
      </c>
      <c r="G42" s="107"/>
      <c r="H42" s="107"/>
      <c r="I42" s="107"/>
      <c r="J42" s="107">
        <f>J211</f>
        <v>11800</v>
      </c>
      <c r="K42" s="107">
        <f>K211</f>
        <v>-11800</v>
      </c>
      <c r="L42" s="107"/>
      <c r="M42" s="107"/>
      <c r="N42" s="107">
        <v>-163620.76</v>
      </c>
    </row>
    <row r="43" spans="1:14">
      <c r="A43" s="64" t="s">
        <v>51</v>
      </c>
      <c r="B43" s="107">
        <f t="shared" ref="B43:L43" si="25">B223</f>
        <v>54800.24</v>
      </c>
      <c r="C43" s="107">
        <f t="shared" si="25"/>
        <v>58939.54</v>
      </c>
      <c r="D43" s="107">
        <f t="shared" si="25"/>
        <v>47142.78</v>
      </c>
      <c r="E43" s="107">
        <f t="shared" si="25"/>
        <v>49791.409999999996</v>
      </c>
      <c r="F43" s="107">
        <f t="shared" si="25"/>
        <v>56601.06</v>
      </c>
      <c r="G43" s="107">
        <f t="shared" si="25"/>
        <v>55916.509999999995</v>
      </c>
      <c r="H43" s="107">
        <f t="shared" si="25"/>
        <v>38504.58</v>
      </c>
      <c r="I43" s="107">
        <f t="shared" si="25"/>
        <v>46424.189999999995</v>
      </c>
      <c r="J43" s="107">
        <f t="shared" si="25"/>
        <v>23195.05</v>
      </c>
      <c r="K43" s="107">
        <f t="shared" si="25"/>
        <v>46694.920000000006</v>
      </c>
      <c r="L43" s="107">
        <f t="shared" si="25"/>
        <v>-210735.25</v>
      </c>
      <c r="M43" s="107"/>
      <c r="N43" s="107">
        <v>267275.03000000003</v>
      </c>
    </row>
    <row r="44" spans="1:14">
      <c r="A44" s="64" t="s">
        <v>52</v>
      </c>
      <c r="B44" s="107">
        <f t="shared" ref="B44:L44" si="26">B238</f>
        <v>93664.9</v>
      </c>
      <c r="C44" s="107">
        <f t="shared" si="26"/>
        <v>103676.11999999998</v>
      </c>
      <c r="D44" s="107">
        <f t="shared" si="26"/>
        <v>86807.03</v>
      </c>
      <c r="E44" s="107">
        <f t="shared" si="26"/>
        <v>71011.33</v>
      </c>
      <c r="F44" s="107">
        <f t="shared" si="26"/>
        <v>85098.949999999983</v>
      </c>
      <c r="G44" s="107">
        <f t="shared" si="26"/>
        <v>100085.71999999999</v>
      </c>
      <c r="H44" s="107">
        <f t="shared" si="26"/>
        <v>86434.110000000015</v>
      </c>
      <c r="I44" s="107">
        <f t="shared" si="26"/>
        <v>91946.71</v>
      </c>
      <c r="J44" s="107">
        <f t="shared" si="26"/>
        <v>81247.73</v>
      </c>
      <c r="K44" s="107">
        <f t="shared" si="26"/>
        <v>73130.679999999993</v>
      </c>
      <c r="L44" s="107">
        <f t="shared" si="26"/>
        <v>-432844.94999999995</v>
      </c>
      <c r="M44" s="107"/>
      <c r="N44" s="107">
        <v>440258.33</v>
      </c>
    </row>
    <row r="45" spans="1:14">
      <c r="A45" s="64" t="s">
        <v>53</v>
      </c>
      <c r="B45" s="107">
        <f t="shared" ref="B45:L45" si="27">B260</f>
        <v>182555.09</v>
      </c>
      <c r="C45" s="107">
        <f t="shared" si="27"/>
        <v>166364.15</v>
      </c>
      <c r="D45" s="107">
        <f t="shared" si="27"/>
        <v>160093.37</v>
      </c>
      <c r="E45" s="107">
        <f t="shared" si="27"/>
        <v>154905.79999999999</v>
      </c>
      <c r="F45" s="107">
        <f t="shared" si="27"/>
        <v>-831146.08</v>
      </c>
      <c r="G45" s="107">
        <f t="shared" si="27"/>
        <v>166516.59999999998</v>
      </c>
      <c r="H45" s="107">
        <f t="shared" si="27"/>
        <v>158552.85</v>
      </c>
      <c r="I45" s="107">
        <f t="shared" si="27"/>
        <v>159644.72999999998</v>
      </c>
      <c r="J45" s="107">
        <f t="shared" si="27"/>
        <v>154275.92000000001</v>
      </c>
      <c r="K45" s="107">
        <f t="shared" si="27"/>
        <v>163618.69999999998</v>
      </c>
      <c r="L45" s="107">
        <f t="shared" si="27"/>
        <v>-802608.8</v>
      </c>
      <c r="M45" s="107"/>
      <c r="N45" s="107">
        <v>-167227.67000000001</v>
      </c>
    </row>
    <row r="46" spans="1:14">
      <c r="A46" s="64" t="s">
        <v>54</v>
      </c>
      <c r="B46" s="107">
        <f t="shared" ref="B46:L46" si="28">B277</f>
        <v>16239.710000000003</v>
      </c>
      <c r="C46" s="107">
        <f t="shared" si="28"/>
        <v>11057.289999999999</v>
      </c>
      <c r="D46" s="107">
        <f t="shared" si="28"/>
        <v>11850.11</v>
      </c>
      <c r="E46" s="107">
        <f t="shared" si="28"/>
        <v>8500.0399999999991</v>
      </c>
      <c r="F46" s="107">
        <f t="shared" si="28"/>
        <v>7704.5399999999991</v>
      </c>
      <c r="G46" s="107">
        <f t="shared" si="28"/>
        <v>5882.1399999999994</v>
      </c>
      <c r="H46" s="107">
        <f t="shared" si="28"/>
        <v>9313.39</v>
      </c>
      <c r="I46" s="107">
        <f t="shared" si="28"/>
        <v>9166.5099999999984</v>
      </c>
      <c r="J46" s="107">
        <f t="shared" si="28"/>
        <v>10077.150000000001</v>
      </c>
      <c r="K46" s="107">
        <f t="shared" si="28"/>
        <v>9301.5400000000009</v>
      </c>
      <c r="L46" s="107">
        <f t="shared" si="28"/>
        <v>-43740.729999999996</v>
      </c>
      <c r="M46" s="107"/>
      <c r="N46" s="107">
        <v>55351.69</v>
      </c>
    </row>
    <row r="47" spans="1:14">
      <c r="A47" s="64" t="s">
        <v>55</v>
      </c>
      <c r="B47" s="107">
        <f t="shared" ref="B47:L47" si="29">B286</f>
        <v>5221.6799999999994</v>
      </c>
      <c r="C47" s="107">
        <f t="shared" si="29"/>
        <v>2525.2200000000003</v>
      </c>
      <c r="D47" s="107">
        <f t="shared" si="29"/>
        <v>1924.4500000000003</v>
      </c>
      <c r="E47" s="107">
        <f t="shared" si="29"/>
        <v>1938.72</v>
      </c>
      <c r="F47" s="107">
        <f t="shared" si="29"/>
        <v>4682.79</v>
      </c>
      <c r="G47" s="107">
        <f t="shared" si="29"/>
        <v>6908.5399999999991</v>
      </c>
      <c r="H47" s="107">
        <f t="shared" si="29"/>
        <v>5102.2300000000005</v>
      </c>
      <c r="I47" s="107">
        <f t="shared" si="29"/>
        <v>5922.05</v>
      </c>
      <c r="J47" s="107">
        <f t="shared" si="29"/>
        <v>6335.4500000000007</v>
      </c>
      <c r="K47" s="107">
        <f t="shared" si="29"/>
        <v>4471.55</v>
      </c>
      <c r="L47" s="107">
        <f t="shared" si="29"/>
        <v>-28739.820000000003</v>
      </c>
      <c r="M47" s="107"/>
      <c r="N47" s="107">
        <v>16292.86</v>
      </c>
    </row>
    <row r="48" spans="1:14">
      <c r="A48" s="64" t="s">
        <v>56</v>
      </c>
      <c r="B48" s="107">
        <f t="shared" ref="B48:L48" si="30">B295</f>
        <v>21064.29</v>
      </c>
      <c r="C48" s="107">
        <f t="shared" si="30"/>
        <v>18698.23</v>
      </c>
      <c r="D48" s="107">
        <f t="shared" si="30"/>
        <v>19387.41</v>
      </c>
      <c r="E48" s="107">
        <f t="shared" si="30"/>
        <v>18387.41</v>
      </c>
      <c r="F48" s="107">
        <f t="shared" si="30"/>
        <v>-29427.64</v>
      </c>
      <c r="G48" s="107">
        <f t="shared" si="30"/>
        <v>11770.96</v>
      </c>
      <c r="H48" s="107">
        <f t="shared" si="30"/>
        <v>11204.289999999999</v>
      </c>
      <c r="I48" s="107">
        <f t="shared" si="30"/>
        <v>12636.289999999999</v>
      </c>
      <c r="J48" s="107">
        <f t="shared" si="30"/>
        <v>11307.029999999999</v>
      </c>
      <c r="K48" s="107">
        <f t="shared" si="30"/>
        <v>11384.289999999999</v>
      </c>
      <c r="L48" s="107">
        <f t="shared" si="30"/>
        <v>-58302.86</v>
      </c>
      <c r="M48" s="107"/>
      <c r="N48" s="107">
        <v>48109.7</v>
      </c>
    </row>
    <row r="49" spans="1:14">
      <c r="A49" s="64" t="s">
        <v>57</v>
      </c>
      <c r="B49" s="107">
        <f t="shared" ref="B49:L49" si="31">B300</f>
        <v>15058</v>
      </c>
      <c r="C49" s="107">
        <f t="shared" si="31"/>
        <v>14283</v>
      </c>
      <c r="D49" s="107">
        <f t="shared" si="31"/>
        <v>12426</v>
      </c>
      <c r="E49" s="107">
        <f t="shared" si="31"/>
        <v>12301</v>
      </c>
      <c r="F49" s="107">
        <f t="shared" si="31"/>
        <v>12468</v>
      </c>
      <c r="G49" s="107">
        <f t="shared" si="31"/>
        <v>22531</v>
      </c>
      <c r="H49" s="107">
        <f t="shared" si="31"/>
        <v>85121.98</v>
      </c>
      <c r="I49" s="107">
        <f t="shared" si="31"/>
        <v>12505</v>
      </c>
      <c r="J49" s="107">
        <f t="shared" si="31"/>
        <v>12792</v>
      </c>
      <c r="K49" s="107">
        <f t="shared" si="31"/>
        <v>-37166</v>
      </c>
      <c r="L49" s="107">
        <f t="shared" si="31"/>
        <v>-95783.98</v>
      </c>
      <c r="M49" s="107"/>
      <c r="N49" s="107">
        <v>66536</v>
      </c>
    </row>
    <row r="50" spans="1:14">
      <c r="A50" s="64" t="s">
        <v>58</v>
      </c>
      <c r="B50" s="107">
        <f t="shared" ref="B50:L50" si="32">B308</f>
        <v>10080.86</v>
      </c>
      <c r="C50" s="107">
        <f t="shared" si="32"/>
        <v>10643.56</v>
      </c>
      <c r="D50" s="107">
        <f t="shared" si="32"/>
        <v>9094.73</v>
      </c>
      <c r="E50" s="107">
        <f t="shared" si="32"/>
        <v>10399.39</v>
      </c>
      <c r="F50" s="107">
        <f t="shared" si="32"/>
        <v>30744.43</v>
      </c>
      <c r="G50" s="107">
        <f t="shared" si="32"/>
        <v>10979.05</v>
      </c>
      <c r="H50" s="107">
        <f t="shared" si="32"/>
        <v>10575.02</v>
      </c>
      <c r="I50" s="107">
        <f t="shared" si="32"/>
        <v>11042.599999999999</v>
      </c>
      <c r="J50" s="107">
        <f t="shared" si="32"/>
        <v>10808.81</v>
      </c>
      <c r="K50" s="107">
        <f t="shared" si="32"/>
        <v>10808.81</v>
      </c>
      <c r="L50" s="107">
        <f t="shared" si="32"/>
        <v>-54214.29</v>
      </c>
      <c r="M50" s="107"/>
      <c r="N50" s="107">
        <v>70962.97</v>
      </c>
    </row>
    <row r="51" spans="1:14">
      <c r="A51" s="64" t="s">
        <v>59</v>
      </c>
      <c r="B51" s="107">
        <f t="shared" ref="B51:L51" si="33">B315</f>
        <v>3287.1899999999991</v>
      </c>
      <c r="C51" s="107">
        <f t="shared" si="33"/>
        <v>3361.74</v>
      </c>
      <c r="D51" s="107">
        <f t="shared" si="33"/>
        <v>3354.05</v>
      </c>
      <c r="E51" s="107">
        <f t="shared" si="33"/>
        <v>3400.34</v>
      </c>
      <c r="F51" s="107">
        <f t="shared" si="33"/>
        <v>3432.37</v>
      </c>
      <c r="G51" s="107">
        <f t="shared" si="33"/>
        <v>3432.37</v>
      </c>
      <c r="H51" s="107">
        <f t="shared" si="33"/>
        <v>3452.9099999999994</v>
      </c>
      <c r="I51" s="107">
        <f t="shared" si="33"/>
        <v>3797.29</v>
      </c>
      <c r="J51" s="107">
        <f t="shared" si="33"/>
        <v>3669.94</v>
      </c>
      <c r="K51" s="107">
        <f t="shared" si="33"/>
        <v>3605.89</v>
      </c>
      <c r="L51" s="107">
        <f t="shared" si="33"/>
        <v>-17958.400000000001</v>
      </c>
      <c r="M51" s="107"/>
      <c r="N51" s="107">
        <v>16835.689999999999</v>
      </c>
    </row>
    <row r="52" spans="1:14">
      <c r="A52" s="64" t="s">
        <v>60</v>
      </c>
      <c r="B52" s="107">
        <f t="shared" ref="B52:L52" si="34">B321</f>
        <v>106338.62</v>
      </c>
      <c r="C52" s="107">
        <f t="shared" si="34"/>
        <v>108568.17</v>
      </c>
      <c r="D52" s="107">
        <f t="shared" si="34"/>
        <v>108567.42</v>
      </c>
      <c r="E52" s="107">
        <f t="shared" si="34"/>
        <v>108568.33</v>
      </c>
      <c r="F52" s="107">
        <f t="shared" si="34"/>
        <v>108517.5</v>
      </c>
      <c r="G52" s="107">
        <f t="shared" si="34"/>
        <v>110012.1</v>
      </c>
      <c r="H52" s="107">
        <f t="shared" si="34"/>
        <v>108446.13</v>
      </c>
      <c r="I52" s="107">
        <f t="shared" si="34"/>
        <v>108448.38</v>
      </c>
      <c r="J52" s="107">
        <f t="shared" si="34"/>
        <v>108474.01</v>
      </c>
      <c r="K52" s="107">
        <f t="shared" si="34"/>
        <v>108513.22</v>
      </c>
      <c r="L52" s="107">
        <f t="shared" si="34"/>
        <v>-543893.84</v>
      </c>
      <c r="M52" s="107"/>
      <c r="N52" s="107">
        <v>540560.04</v>
      </c>
    </row>
    <row r="53" spans="1:14">
      <c r="A53" s="64" t="s">
        <v>61</v>
      </c>
      <c r="B53" s="107"/>
      <c r="C53" s="107">
        <f>C325</f>
        <v>1521.25</v>
      </c>
      <c r="D53" s="107"/>
      <c r="E53" s="107"/>
      <c r="F53" s="107">
        <f>F325</f>
        <v>-36040.239999999998</v>
      </c>
      <c r="G53" s="107"/>
      <c r="H53" s="107"/>
      <c r="I53" s="107"/>
      <c r="J53" s="107"/>
      <c r="K53" s="107"/>
      <c r="L53" s="107"/>
      <c r="M53" s="107"/>
      <c r="N53" s="107">
        <v>-34518.99</v>
      </c>
    </row>
    <row r="54" spans="1:14">
      <c r="A54" s="64"/>
      <c r="B54" s="22"/>
      <c r="C54" s="22"/>
      <c r="D54" s="22"/>
      <c r="E54" s="22"/>
      <c r="F54" s="22"/>
      <c r="G54" s="22"/>
      <c r="H54" s="22"/>
      <c r="I54" s="22"/>
      <c r="J54" s="22"/>
      <c r="K54" s="22"/>
      <c r="L54" s="22"/>
      <c r="M54" s="22"/>
      <c r="N54" s="22"/>
    </row>
    <row r="55" spans="1:14" ht="15.75" thickBot="1">
      <c r="A55" s="64" t="s">
        <v>62</v>
      </c>
      <c r="B55" s="112">
        <f t="shared" ref="B55:L55" si="35">B327</f>
        <v>877539.25999999943</v>
      </c>
      <c r="C55" s="112">
        <f t="shared" si="35"/>
        <v>817324.60999999964</v>
      </c>
      <c r="D55" s="112">
        <f t="shared" si="35"/>
        <v>772563.00999999954</v>
      </c>
      <c r="E55" s="112">
        <f t="shared" si="35"/>
        <v>748206.82999999961</v>
      </c>
      <c r="F55" s="112">
        <f t="shared" si="35"/>
        <v>-566286.35999999987</v>
      </c>
      <c r="G55" s="112">
        <f t="shared" si="35"/>
        <v>783338.35999999964</v>
      </c>
      <c r="H55" s="112">
        <f t="shared" si="35"/>
        <v>764796.16999999923</v>
      </c>
      <c r="I55" s="112">
        <f t="shared" si="35"/>
        <v>738147.89999999944</v>
      </c>
      <c r="J55" s="112">
        <f t="shared" si="35"/>
        <v>689500.42999999993</v>
      </c>
      <c r="K55" s="112">
        <f t="shared" si="35"/>
        <v>614124.85999999975</v>
      </c>
      <c r="L55" s="112">
        <f t="shared" si="35"/>
        <v>-3589907.720000003</v>
      </c>
      <c r="M55" s="112"/>
      <c r="N55" s="112">
        <v>2649347.35</v>
      </c>
    </row>
    <row r="56" spans="1:14" ht="15.75" thickTop="1">
      <c r="A56" s="64"/>
      <c r="B56" s="22"/>
      <c r="C56" s="22"/>
      <c r="D56" s="22"/>
      <c r="E56" s="22"/>
      <c r="F56" s="22"/>
      <c r="G56" s="22"/>
      <c r="H56" s="22"/>
      <c r="I56" s="22"/>
      <c r="J56" s="22"/>
      <c r="K56" s="22"/>
      <c r="L56" s="22"/>
      <c r="M56" s="22"/>
      <c r="N56" s="22"/>
    </row>
    <row r="57" spans="1:14" ht="15.75" thickBot="1">
      <c r="A57" s="64" t="s">
        <v>63</v>
      </c>
      <c r="B57" s="112">
        <f t="shared" ref="B57:L57" si="36">B329</f>
        <v>-107176.09000000078</v>
      </c>
      <c r="C57" s="112">
        <f t="shared" si="36"/>
        <v>-51637.479999999981</v>
      </c>
      <c r="D57" s="112">
        <f t="shared" si="36"/>
        <v>-86778.819999999832</v>
      </c>
      <c r="E57" s="112">
        <f t="shared" si="36"/>
        <v>-80630.219999999739</v>
      </c>
      <c r="F57" s="112">
        <f t="shared" si="36"/>
        <v>265145.6100000001</v>
      </c>
      <c r="G57" s="112">
        <f t="shared" si="36"/>
        <v>31327.049999999232</v>
      </c>
      <c r="H57" s="112">
        <f t="shared" si="36"/>
        <v>-17552.639999998384</v>
      </c>
      <c r="I57" s="112">
        <f t="shared" si="36"/>
        <v>-72116.729999999981</v>
      </c>
      <c r="J57" s="112">
        <f t="shared" si="36"/>
        <v>-29317.549999999115</v>
      </c>
      <c r="K57" s="112">
        <f t="shared" si="36"/>
        <v>138334.46000000043</v>
      </c>
      <c r="L57" s="112">
        <f t="shared" si="36"/>
        <v>-50674.590000001714</v>
      </c>
      <c r="M57" s="112"/>
      <c r="N57" s="112">
        <v>-61077</v>
      </c>
    </row>
    <row r="58" spans="1:14" ht="15.75" thickTop="1">
      <c r="A58" s="64"/>
      <c r="B58" s="22"/>
      <c r="C58" s="22"/>
      <c r="D58" s="22"/>
      <c r="E58" s="22"/>
      <c r="F58" s="22"/>
      <c r="G58" s="22"/>
      <c r="H58" s="22"/>
      <c r="I58" s="22"/>
      <c r="J58" s="22"/>
      <c r="K58" s="22"/>
      <c r="L58" s="22"/>
      <c r="M58" s="22"/>
      <c r="N58" s="22"/>
    </row>
    <row r="59" spans="1:14" ht="15.75" thickBot="1">
      <c r="A59" s="64" t="s">
        <v>64</v>
      </c>
      <c r="B59" s="112">
        <f t="shared" ref="B59:M59" si="37">B334</f>
        <v>14655.42</v>
      </c>
      <c r="C59" s="112">
        <f t="shared" si="37"/>
        <v>7698.94</v>
      </c>
      <c r="D59" s="112">
        <f t="shared" si="37"/>
        <v>9591.7099999999991</v>
      </c>
      <c r="E59" s="112">
        <f t="shared" si="37"/>
        <v>9629.76</v>
      </c>
      <c r="F59" s="112">
        <f t="shared" si="37"/>
        <v>230362.89</v>
      </c>
      <c r="G59" s="112">
        <f t="shared" si="37"/>
        <v>16541.259999999998</v>
      </c>
      <c r="H59" s="112">
        <f t="shared" si="37"/>
        <v>16657.91</v>
      </c>
      <c r="I59" s="112">
        <f t="shared" si="37"/>
        <v>22437.8</v>
      </c>
      <c r="J59" s="112">
        <f t="shared" si="37"/>
        <v>14553.46</v>
      </c>
      <c r="K59" s="112">
        <f t="shared" si="37"/>
        <v>82706.3</v>
      </c>
      <c r="L59" s="112">
        <f t="shared" si="37"/>
        <v>-56755.450000000012</v>
      </c>
      <c r="M59" s="112">
        <f t="shared" si="37"/>
        <v>107423.81</v>
      </c>
      <c r="N59" s="112">
        <v>475503.81</v>
      </c>
    </row>
    <row r="60" spans="1:14" ht="15.75" thickTop="1">
      <c r="A60" s="64"/>
      <c r="B60" s="22"/>
      <c r="C60" s="22"/>
      <c r="D60" s="22"/>
      <c r="E60" s="22"/>
      <c r="F60" s="22"/>
      <c r="G60" s="22"/>
      <c r="H60" s="22"/>
      <c r="I60" s="22"/>
      <c r="J60" s="22"/>
      <c r="K60" s="22"/>
      <c r="L60" s="22"/>
      <c r="M60" s="22"/>
      <c r="N60" s="22"/>
    </row>
    <row r="61" spans="1:14" ht="15.75" thickBot="1">
      <c r="A61" s="64" t="s">
        <v>22</v>
      </c>
      <c r="B61" s="112">
        <f t="shared" ref="B61:M61" si="38">B336</f>
        <v>-121831.51000000078</v>
      </c>
      <c r="C61" s="112">
        <f t="shared" si="38"/>
        <v>-59336.419999999984</v>
      </c>
      <c r="D61" s="112">
        <f t="shared" si="38"/>
        <v>-96370.529999999824</v>
      </c>
      <c r="E61" s="112">
        <f t="shared" si="38"/>
        <v>-90259.979999999734</v>
      </c>
      <c r="F61" s="112">
        <f t="shared" si="38"/>
        <v>34782.720000000088</v>
      </c>
      <c r="G61" s="112">
        <f t="shared" si="38"/>
        <v>14785.789999999233</v>
      </c>
      <c r="H61" s="112">
        <f t="shared" si="38"/>
        <v>-34210.549999998388</v>
      </c>
      <c r="I61" s="112">
        <f t="shared" si="38"/>
        <v>-94554.529999999984</v>
      </c>
      <c r="J61" s="112">
        <f t="shared" si="38"/>
        <v>-43871.009999999114</v>
      </c>
      <c r="K61" s="112">
        <f t="shared" si="38"/>
        <v>55628.160000000425</v>
      </c>
      <c r="L61" s="112">
        <f t="shared" si="38"/>
        <v>6080.859999998298</v>
      </c>
      <c r="M61" s="112">
        <f t="shared" si="38"/>
        <v>-107423.81</v>
      </c>
      <c r="N61" s="112">
        <v>-536580.81000000006</v>
      </c>
    </row>
    <row r="62" spans="1:14" ht="15.75" thickTop="1">
      <c r="A62" s="64"/>
      <c r="B62" s="22"/>
      <c r="C62" s="22"/>
      <c r="D62" s="22"/>
      <c r="E62" s="22"/>
      <c r="F62" s="22"/>
      <c r="G62" s="22"/>
      <c r="H62" s="22"/>
      <c r="I62" s="22"/>
      <c r="J62" s="22"/>
      <c r="K62" s="22"/>
      <c r="L62" s="22"/>
      <c r="M62" s="22"/>
      <c r="N62" s="22"/>
    </row>
    <row r="63" spans="1:14">
      <c r="A63" s="64" t="s">
        <v>40</v>
      </c>
      <c r="B63" s="22"/>
      <c r="C63" s="22"/>
      <c r="D63" s="22"/>
      <c r="E63" s="22"/>
      <c r="F63" s="22"/>
      <c r="G63" s="22"/>
      <c r="H63" s="22"/>
      <c r="I63" s="22"/>
      <c r="J63" s="22"/>
      <c r="K63" s="22"/>
      <c r="L63" s="22"/>
      <c r="M63" s="22"/>
      <c r="N63" s="22"/>
    </row>
    <row r="64" spans="1:14">
      <c r="A64" s="64"/>
      <c r="B64" s="22"/>
      <c r="C64" s="22"/>
      <c r="D64" s="22"/>
      <c r="E64" s="22"/>
      <c r="F64" s="22"/>
      <c r="G64" s="22"/>
      <c r="H64" s="22"/>
      <c r="I64" s="22"/>
      <c r="J64" s="22"/>
      <c r="K64" s="22"/>
      <c r="L64" s="22"/>
      <c r="M64" s="22"/>
      <c r="N64" s="22"/>
    </row>
    <row r="65" spans="1:14">
      <c r="A65" s="64" t="s">
        <v>41</v>
      </c>
      <c r="B65" s="22"/>
      <c r="C65" s="22"/>
      <c r="D65" s="22"/>
      <c r="E65" s="22"/>
      <c r="F65" s="22"/>
      <c r="G65" s="22"/>
      <c r="H65" s="22"/>
      <c r="I65" s="22"/>
      <c r="J65" s="22"/>
      <c r="K65" s="22"/>
      <c r="L65" s="22"/>
      <c r="M65" s="22"/>
      <c r="N65" s="22"/>
    </row>
    <row r="66" spans="1:14">
      <c r="A66" s="64"/>
      <c r="B66" s="22"/>
      <c r="C66" s="22"/>
      <c r="D66" s="22"/>
      <c r="E66" s="22"/>
      <c r="F66" s="22"/>
      <c r="G66" s="22"/>
      <c r="H66" s="22"/>
      <c r="I66" s="22"/>
      <c r="J66" s="22"/>
      <c r="K66" s="22"/>
      <c r="L66" s="22"/>
      <c r="M66" s="22"/>
      <c r="N66" s="22"/>
    </row>
    <row r="67" spans="1:14">
      <c r="A67" s="64" t="s">
        <v>65</v>
      </c>
      <c r="B67" s="22"/>
      <c r="C67" s="22"/>
      <c r="D67" s="22"/>
      <c r="E67" s="22"/>
      <c r="F67" s="22"/>
      <c r="G67" s="22"/>
      <c r="H67" s="22"/>
      <c r="I67" s="22"/>
      <c r="J67" s="22"/>
      <c r="K67" s="22"/>
      <c r="L67" s="22"/>
      <c r="M67" s="22"/>
      <c r="N67" s="22"/>
    </row>
    <row r="68" spans="1:14">
      <c r="A68" s="64" t="s">
        <v>66</v>
      </c>
      <c r="B68" s="111">
        <v>284545.64</v>
      </c>
      <c r="C68" s="111">
        <v>286275.92</v>
      </c>
      <c r="D68" s="111">
        <v>280891.8</v>
      </c>
      <c r="E68" s="111">
        <v>251709.79</v>
      </c>
      <c r="F68" s="111">
        <v>257307.26</v>
      </c>
      <c r="G68" s="111">
        <v>272789.45</v>
      </c>
      <c r="H68" s="111">
        <v>227636.74</v>
      </c>
      <c r="I68" s="111">
        <v>250951.67</v>
      </c>
      <c r="J68" s="111">
        <v>274334.18</v>
      </c>
      <c r="K68" s="111">
        <v>263968.68</v>
      </c>
      <c r="L68" s="111">
        <v>-1289680.72</v>
      </c>
      <c r="M68" s="113"/>
      <c r="N68" s="111">
        <v>1360730.41</v>
      </c>
    </row>
    <row r="69" spans="1:14">
      <c r="A69" s="64" t="s">
        <v>67</v>
      </c>
      <c r="B69" s="107">
        <f t="shared" ref="B69:L69" si="39">SUM(B65:B68)</f>
        <v>284545.64</v>
      </c>
      <c r="C69" s="107">
        <f t="shared" si="39"/>
        <v>286275.92</v>
      </c>
      <c r="D69" s="107">
        <f t="shared" si="39"/>
        <v>280891.8</v>
      </c>
      <c r="E69" s="107">
        <f t="shared" si="39"/>
        <v>251709.79</v>
      </c>
      <c r="F69" s="107">
        <f t="shared" si="39"/>
        <v>257307.26</v>
      </c>
      <c r="G69" s="107">
        <f t="shared" si="39"/>
        <v>272789.45</v>
      </c>
      <c r="H69" s="107">
        <f t="shared" si="39"/>
        <v>227636.74</v>
      </c>
      <c r="I69" s="107">
        <f t="shared" si="39"/>
        <v>250951.67</v>
      </c>
      <c r="J69" s="107">
        <f t="shared" si="39"/>
        <v>274334.18</v>
      </c>
      <c r="K69" s="107">
        <f t="shared" si="39"/>
        <v>263968.68</v>
      </c>
      <c r="L69" s="107">
        <f t="shared" si="39"/>
        <v>-1289680.72</v>
      </c>
      <c r="M69" s="107"/>
      <c r="N69" s="107">
        <v>1360730.41</v>
      </c>
    </row>
    <row r="70" spans="1:14">
      <c r="A70" s="64"/>
      <c r="B70" s="22"/>
      <c r="C70" s="22"/>
      <c r="D70" s="22"/>
      <c r="E70" s="22"/>
      <c r="F70" s="22"/>
      <c r="G70" s="22"/>
      <c r="H70" s="22"/>
      <c r="I70" s="22"/>
      <c r="J70" s="22"/>
      <c r="K70" s="22"/>
      <c r="L70" s="22"/>
      <c r="M70" s="22"/>
      <c r="N70" s="22"/>
    </row>
    <row r="71" spans="1:14">
      <c r="A71" s="64" t="s">
        <v>68</v>
      </c>
      <c r="B71" s="22"/>
      <c r="C71" s="22"/>
      <c r="D71" s="22"/>
      <c r="E71" s="22"/>
      <c r="F71" s="22"/>
      <c r="G71" s="22"/>
      <c r="H71" s="22"/>
      <c r="I71" s="22"/>
      <c r="J71" s="22"/>
      <c r="K71" s="22"/>
      <c r="L71" s="22"/>
      <c r="M71" s="22"/>
      <c r="N71" s="22"/>
    </row>
    <row r="72" spans="1:14">
      <c r="A72" s="64" t="s">
        <v>66</v>
      </c>
      <c r="B72" s="111">
        <v>33510.410000000003</v>
      </c>
      <c r="C72" s="111">
        <v>29288.83</v>
      </c>
      <c r="D72" s="111">
        <v>23197.599999999999</v>
      </c>
      <c r="E72" s="111">
        <v>15219.15</v>
      </c>
      <c r="F72" s="111">
        <v>18759.650000000001</v>
      </c>
      <c r="G72" s="111">
        <v>20736.41</v>
      </c>
      <c r="H72" s="111">
        <v>23971.07</v>
      </c>
      <c r="I72" s="111">
        <v>29050.86</v>
      </c>
      <c r="J72" s="111">
        <v>39425.43</v>
      </c>
      <c r="K72" s="111">
        <v>47287.82</v>
      </c>
      <c r="L72" s="111">
        <v>-160471.59</v>
      </c>
      <c r="M72" s="113"/>
      <c r="N72" s="111">
        <v>119975.64</v>
      </c>
    </row>
    <row r="73" spans="1:14">
      <c r="A73" s="64" t="s">
        <v>69</v>
      </c>
      <c r="B73" s="107">
        <f t="shared" ref="B73:L73" si="40">SUM(B70:B72)</f>
        <v>33510.410000000003</v>
      </c>
      <c r="C73" s="107">
        <f t="shared" si="40"/>
        <v>29288.83</v>
      </c>
      <c r="D73" s="107">
        <f t="shared" si="40"/>
        <v>23197.599999999999</v>
      </c>
      <c r="E73" s="107">
        <f t="shared" si="40"/>
        <v>15219.15</v>
      </c>
      <c r="F73" s="107">
        <f t="shared" si="40"/>
        <v>18759.650000000001</v>
      </c>
      <c r="G73" s="107">
        <f t="shared" si="40"/>
        <v>20736.41</v>
      </c>
      <c r="H73" s="107">
        <f t="shared" si="40"/>
        <v>23971.07</v>
      </c>
      <c r="I73" s="107">
        <f t="shared" si="40"/>
        <v>29050.86</v>
      </c>
      <c r="J73" s="107">
        <f t="shared" si="40"/>
        <v>39425.43</v>
      </c>
      <c r="K73" s="107">
        <f t="shared" si="40"/>
        <v>47287.82</v>
      </c>
      <c r="L73" s="107">
        <f t="shared" si="40"/>
        <v>-160471.59</v>
      </c>
      <c r="M73" s="107"/>
      <c r="N73" s="107">
        <v>119975.64</v>
      </c>
    </row>
    <row r="74" spans="1:14">
      <c r="A74" s="64"/>
      <c r="B74" s="22"/>
      <c r="C74" s="22"/>
      <c r="D74" s="22"/>
      <c r="E74" s="22"/>
      <c r="F74" s="22"/>
      <c r="G74" s="22"/>
      <c r="H74" s="22"/>
      <c r="I74" s="22"/>
      <c r="J74" s="22"/>
      <c r="K74" s="22"/>
      <c r="L74" s="22"/>
      <c r="M74" s="22"/>
      <c r="N74" s="22"/>
    </row>
    <row r="75" spans="1:14">
      <c r="A75" s="64" t="s">
        <v>70</v>
      </c>
      <c r="B75" s="22"/>
      <c r="C75" s="22"/>
      <c r="D75" s="22"/>
      <c r="E75" s="22"/>
      <c r="F75" s="22"/>
      <c r="G75" s="22"/>
      <c r="H75" s="22"/>
      <c r="I75" s="22"/>
      <c r="J75" s="22"/>
      <c r="K75" s="22"/>
      <c r="L75" s="22"/>
      <c r="M75" s="22"/>
      <c r="N75" s="22"/>
    </row>
    <row r="76" spans="1:14">
      <c r="A76" s="64" t="s">
        <v>66</v>
      </c>
      <c r="B76" s="111">
        <v>268211.92</v>
      </c>
      <c r="C76" s="111">
        <v>254872.09</v>
      </c>
      <c r="D76" s="111">
        <v>141221.84</v>
      </c>
      <c r="E76" s="111">
        <v>180770.12</v>
      </c>
      <c r="F76" s="111">
        <v>142985.78</v>
      </c>
      <c r="G76" s="111">
        <v>236834.47</v>
      </c>
      <c r="H76" s="111">
        <v>252809.28</v>
      </c>
      <c r="I76" s="111">
        <v>194000.59</v>
      </c>
      <c r="J76" s="111">
        <v>152060.46</v>
      </c>
      <c r="K76" s="111">
        <v>161276.04</v>
      </c>
      <c r="L76" s="111">
        <v>-996980.84</v>
      </c>
      <c r="M76" s="113"/>
      <c r="N76" s="111">
        <v>988061.75</v>
      </c>
    </row>
    <row r="77" spans="1:14">
      <c r="A77" s="64" t="s">
        <v>71</v>
      </c>
      <c r="B77" s="107">
        <f t="shared" ref="B77:L77" si="41">SUM(B74:B76)</f>
        <v>268211.92</v>
      </c>
      <c r="C77" s="107">
        <f t="shared" si="41"/>
        <v>254872.09</v>
      </c>
      <c r="D77" s="107">
        <f t="shared" si="41"/>
        <v>141221.84</v>
      </c>
      <c r="E77" s="107">
        <f t="shared" si="41"/>
        <v>180770.12</v>
      </c>
      <c r="F77" s="107">
        <f t="shared" si="41"/>
        <v>142985.78</v>
      </c>
      <c r="G77" s="107">
        <f t="shared" si="41"/>
        <v>236834.47</v>
      </c>
      <c r="H77" s="107">
        <f t="shared" si="41"/>
        <v>252809.28</v>
      </c>
      <c r="I77" s="107">
        <f t="shared" si="41"/>
        <v>194000.59</v>
      </c>
      <c r="J77" s="107">
        <f t="shared" si="41"/>
        <v>152060.46</v>
      </c>
      <c r="K77" s="107">
        <f t="shared" si="41"/>
        <v>161276.04</v>
      </c>
      <c r="L77" s="107">
        <f t="shared" si="41"/>
        <v>-996980.84</v>
      </c>
      <c r="M77" s="107"/>
      <c r="N77" s="107">
        <v>988061.75</v>
      </c>
    </row>
    <row r="78" spans="1:14">
      <c r="A78" s="64"/>
      <c r="B78" s="22"/>
      <c r="C78" s="22"/>
      <c r="D78" s="22"/>
      <c r="E78" s="22"/>
      <c r="F78" s="22"/>
      <c r="G78" s="22"/>
      <c r="H78" s="22"/>
      <c r="I78" s="22"/>
      <c r="J78" s="22"/>
      <c r="K78" s="22"/>
      <c r="L78" s="22"/>
      <c r="M78" s="22"/>
      <c r="N78" s="22"/>
    </row>
    <row r="79" spans="1:14">
      <c r="A79" s="64" t="s">
        <v>72</v>
      </c>
      <c r="B79" s="113"/>
      <c r="C79" s="113"/>
      <c r="D79" s="113"/>
      <c r="E79" s="113"/>
      <c r="F79" s="113"/>
      <c r="G79" s="113"/>
      <c r="H79" s="113"/>
      <c r="I79" s="113"/>
      <c r="J79" s="113"/>
      <c r="K79" s="113"/>
      <c r="L79" s="113"/>
      <c r="M79" s="113"/>
      <c r="N79" s="113"/>
    </row>
    <row r="80" spans="1:14">
      <c r="A80" s="64" t="s">
        <v>314</v>
      </c>
      <c r="B80" s="107"/>
      <c r="C80" s="107"/>
      <c r="D80" s="107"/>
      <c r="E80" s="107"/>
      <c r="F80" s="107"/>
      <c r="G80" s="107"/>
      <c r="H80" s="107"/>
      <c r="I80" s="107"/>
      <c r="J80" s="107"/>
      <c r="K80" s="107"/>
      <c r="L80" s="107"/>
      <c r="M80" s="107"/>
      <c r="N80" s="107"/>
    </row>
    <row r="81" spans="1:14">
      <c r="A81" s="64"/>
      <c r="B81" s="22"/>
      <c r="C81" s="22"/>
      <c r="D81" s="22"/>
      <c r="E81" s="22"/>
      <c r="F81" s="22"/>
      <c r="G81" s="22"/>
      <c r="H81" s="22"/>
      <c r="I81" s="22"/>
      <c r="J81" s="22"/>
      <c r="K81" s="22"/>
      <c r="L81" s="22"/>
      <c r="M81" s="22"/>
      <c r="N81" s="22"/>
    </row>
    <row r="82" spans="1:14">
      <c r="A82" s="64" t="s">
        <v>73</v>
      </c>
      <c r="B82" s="22"/>
      <c r="C82" s="22"/>
      <c r="D82" s="22"/>
      <c r="E82" s="22"/>
      <c r="F82" s="22"/>
      <c r="G82" s="22"/>
      <c r="H82" s="22"/>
      <c r="I82" s="22"/>
      <c r="J82" s="22"/>
      <c r="K82" s="22"/>
      <c r="L82" s="22"/>
      <c r="M82" s="22"/>
      <c r="N82" s="22"/>
    </row>
    <row r="83" spans="1:14">
      <c r="A83" s="64" t="s">
        <v>66</v>
      </c>
      <c r="B83" s="111">
        <v>26676.959999999999</v>
      </c>
      <c r="C83" s="111">
        <v>27061.63</v>
      </c>
      <c r="D83" s="111">
        <v>45156.03</v>
      </c>
      <c r="E83" s="111">
        <v>42544.94</v>
      </c>
      <c r="F83" s="111">
        <v>35801.839999999997</v>
      </c>
      <c r="G83" s="111">
        <v>81266.98</v>
      </c>
      <c r="H83" s="111">
        <v>71271.61</v>
      </c>
      <c r="I83" s="111">
        <v>80958.89</v>
      </c>
      <c r="J83" s="111">
        <v>21291.040000000001</v>
      </c>
      <c r="K83" s="111">
        <v>30583.66</v>
      </c>
      <c r="L83" s="111">
        <v>-285372.18</v>
      </c>
      <c r="M83" s="113"/>
      <c r="N83" s="111">
        <v>177241.4</v>
      </c>
    </row>
    <row r="84" spans="1:14">
      <c r="A84" s="64" t="s">
        <v>74</v>
      </c>
      <c r="B84" s="107">
        <f t="shared" ref="B84:L84" si="42">SUM(B81:B83)</f>
        <v>26676.959999999999</v>
      </c>
      <c r="C84" s="107">
        <f t="shared" si="42"/>
        <v>27061.63</v>
      </c>
      <c r="D84" s="107">
        <f t="shared" si="42"/>
        <v>45156.03</v>
      </c>
      <c r="E84" s="107">
        <f t="shared" si="42"/>
        <v>42544.94</v>
      </c>
      <c r="F84" s="107">
        <f t="shared" si="42"/>
        <v>35801.839999999997</v>
      </c>
      <c r="G84" s="107">
        <f t="shared" si="42"/>
        <v>81266.98</v>
      </c>
      <c r="H84" s="107">
        <f t="shared" si="42"/>
        <v>71271.61</v>
      </c>
      <c r="I84" s="107">
        <f t="shared" si="42"/>
        <v>80958.89</v>
      </c>
      <c r="J84" s="107">
        <f t="shared" si="42"/>
        <v>21291.040000000001</v>
      </c>
      <c r="K84" s="107">
        <f t="shared" si="42"/>
        <v>30583.66</v>
      </c>
      <c r="L84" s="107">
        <f t="shared" si="42"/>
        <v>-285372.18</v>
      </c>
      <c r="M84" s="107"/>
      <c r="N84" s="107">
        <v>177241.4</v>
      </c>
    </row>
    <row r="85" spans="1:14">
      <c r="A85" s="64"/>
      <c r="B85" s="22"/>
      <c r="C85" s="22"/>
      <c r="D85" s="22"/>
      <c r="E85" s="22"/>
      <c r="F85" s="22"/>
      <c r="G85" s="22"/>
      <c r="H85" s="22"/>
      <c r="I85" s="22"/>
      <c r="J85" s="22"/>
      <c r="K85" s="22"/>
      <c r="L85" s="22"/>
      <c r="M85" s="22"/>
      <c r="N85" s="22"/>
    </row>
    <row r="86" spans="1:14">
      <c r="A86" s="64" t="s">
        <v>75</v>
      </c>
      <c r="B86" s="22"/>
      <c r="C86" s="22"/>
      <c r="D86" s="22"/>
      <c r="E86" s="22"/>
      <c r="F86" s="22"/>
      <c r="G86" s="22"/>
      <c r="H86" s="22"/>
      <c r="I86" s="22"/>
      <c r="J86" s="22"/>
      <c r="K86" s="22"/>
      <c r="L86" s="22"/>
      <c r="M86" s="22"/>
      <c r="N86" s="22"/>
    </row>
    <row r="87" spans="1:14">
      <c r="A87" s="64" t="s">
        <v>66</v>
      </c>
      <c r="B87" s="111">
        <v>73310</v>
      </c>
      <c r="C87" s="111">
        <v>84680</v>
      </c>
      <c r="D87" s="111">
        <v>112680</v>
      </c>
      <c r="E87" s="111">
        <v>106490</v>
      </c>
      <c r="F87" s="111">
        <v>101520</v>
      </c>
      <c r="G87" s="111">
        <v>87415</v>
      </c>
      <c r="H87" s="111">
        <v>74240</v>
      </c>
      <c r="I87" s="111">
        <v>79950</v>
      </c>
      <c r="J87" s="111">
        <v>75155</v>
      </c>
      <c r="K87" s="111">
        <v>104220</v>
      </c>
      <c r="L87" s="111">
        <v>-420980</v>
      </c>
      <c r="M87" s="113"/>
      <c r="N87" s="111">
        <v>478680</v>
      </c>
    </row>
    <row r="88" spans="1:14">
      <c r="A88" s="64" t="s">
        <v>76</v>
      </c>
      <c r="B88" s="107">
        <f t="shared" ref="B88:L88" si="43">SUM(B85:B87)</f>
        <v>73310</v>
      </c>
      <c r="C88" s="107">
        <f t="shared" si="43"/>
        <v>84680</v>
      </c>
      <c r="D88" s="107">
        <f t="shared" si="43"/>
        <v>112680</v>
      </c>
      <c r="E88" s="107">
        <f t="shared" si="43"/>
        <v>106490</v>
      </c>
      <c r="F88" s="107">
        <f t="shared" si="43"/>
        <v>101520</v>
      </c>
      <c r="G88" s="107">
        <f t="shared" si="43"/>
        <v>87415</v>
      </c>
      <c r="H88" s="107">
        <f t="shared" si="43"/>
        <v>74240</v>
      </c>
      <c r="I88" s="107">
        <f t="shared" si="43"/>
        <v>79950</v>
      </c>
      <c r="J88" s="107">
        <f t="shared" si="43"/>
        <v>75155</v>
      </c>
      <c r="K88" s="107">
        <f t="shared" si="43"/>
        <v>104220</v>
      </c>
      <c r="L88" s="107">
        <f t="shared" si="43"/>
        <v>-420980</v>
      </c>
      <c r="M88" s="107"/>
      <c r="N88" s="107">
        <v>478680</v>
      </c>
    </row>
    <row r="89" spans="1:14">
      <c r="A89" s="64"/>
      <c r="B89" s="113"/>
      <c r="C89" s="113"/>
      <c r="D89" s="113"/>
      <c r="E89" s="113"/>
      <c r="F89" s="113"/>
      <c r="G89" s="113"/>
      <c r="H89" s="113"/>
      <c r="I89" s="113"/>
      <c r="J89" s="113"/>
      <c r="K89" s="113"/>
      <c r="L89" s="113"/>
      <c r="M89" s="113"/>
      <c r="N89" s="113"/>
    </row>
    <row r="90" spans="1:14">
      <c r="A90" s="64" t="s">
        <v>42</v>
      </c>
      <c r="B90" s="107">
        <f t="shared" ref="B90:L90" si="44">SUM(B67:B89)-B69-B73-B77-B80-B84-B88</f>
        <v>686254.92999999993</v>
      </c>
      <c r="C90" s="107">
        <f t="shared" si="44"/>
        <v>682178.46999999974</v>
      </c>
      <c r="D90" s="107">
        <f t="shared" si="44"/>
        <v>603147.27</v>
      </c>
      <c r="E90" s="107">
        <f t="shared" si="44"/>
        <v>596734</v>
      </c>
      <c r="F90" s="107">
        <f t="shared" si="44"/>
        <v>556374.53</v>
      </c>
      <c r="G90" s="107">
        <f t="shared" si="44"/>
        <v>699042.31000000029</v>
      </c>
      <c r="H90" s="107">
        <f t="shared" si="44"/>
        <v>649928.70000000019</v>
      </c>
      <c r="I90" s="107">
        <f t="shared" si="44"/>
        <v>634912.01</v>
      </c>
      <c r="J90" s="107">
        <f t="shared" si="44"/>
        <v>562266.11000000022</v>
      </c>
      <c r="K90" s="107">
        <f t="shared" si="44"/>
        <v>607336.19999999995</v>
      </c>
      <c r="L90" s="107">
        <f t="shared" si="44"/>
        <v>-3153485.3299999996</v>
      </c>
      <c r="M90" s="107"/>
      <c r="N90" s="107">
        <v>3124689.2</v>
      </c>
    </row>
    <row r="91" spans="1:14">
      <c r="A91" s="64"/>
      <c r="B91" s="22"/>
      <c r="C91" s="22"/>
      <c r="D91" s="22"/>
      <c r="E91" s="22"/>
      <c r="F91" s="22"/>
      <c r="G91" s="22"/>
      <c r="H91" s="22"/>
      <c r="I91" s="22"/>
      <c r="J91" s="22"/>
      <c r="K91" s="22"/>
      <c r="L91" s="22"/>
      <c r="M91" s="22"/>
      <c r="N91" s="22"/>
    </row>
    <row r="92" spans="1:14">
      <c r="A92" s="64" t="s">
        <v>43</v>
      </c>
      <c r="B92" s="22"/>
      <c r="C92" s="22"/>
      <c r="D92" s="22"/>
      <c r="E92" s="22"/>
      <c r="F92" s="22"/>
      <c r="G92" s="22"/>
      <c r="H92" s="22"/>
      <c r="I92" s="22"/>
      <c r="J92" s="22"/>
      <c r="K92" s="22"/>
      <c r="L92" s="22"/>
      <c r="M92" s="22"/>
      <c r="N92" s="22"/>
    </row>
    <row r="93" spans="1:14">
      <c r="A93" s="64"/>
      <c r="B93" s="22"/>
      <c r="C93" s="22"/>
      <c r="D93" s="22"/>
      <c r="E93" s="22"/>
      <c r="F93" s="22"/>
      <c r="G93" s="22"/>
      <c r="H93" s="22"/>
      <c r="I93" s="22"/>
      <c r="J93" s="22"/>
      <c r="K93" s="22"/>
      <c r="L93" s="22"/>
      <c r="M93" s="22"/>
      <c r="N93" s="22"/>
    </row>
    <row r="94" spans="1:14">
      <c r="A94" s="64" t="s">
        <v>65</v>
      </c>
      <c r="B94" s="22"/>
      <c r="C94" s="22"/>
      <c r="D94" s="22"/>
      <c r="E94" s="22"/>
      <c r="F94" s="22"/>
      <c r="G94" s="22"/>
      <c r="H94" s="22"/>
      <c r="I94" s="22"/>
      <c r="J94" s="22"/>
      <c r="K94" s="22"/>
      <c r="L94" s="22"/>
      <c r="M94" s="22"/>
      <c r="N94" s="22"/>
    </row>
    <row r="95" spans="1:14">
      <c r="A95" s="64" t="s">
        <v>66</v>
      </c>
      <c r="B95" s="111">
        <v>2368.92</v>
      </c>
      <c r="C95" s="111">
        <v>3288.51</v>
      </c>
      <c r="D95" s="111">
        <v>-36914.910000000003</v>
      </c>
      <c r="E95" s="111">
        <v>-48291.25</v>
      </c>
      <c r="F95" s="111">
        <v>-7508.99</v>
      </c>
      <c r="G95" s="111">
        <v>20013.330000000002</v>
      </c>
      <c r="H95" s="111">
        <v>-10510.45</v>
      </c>
      <c r="I95" s="111">
        <v>-22125.25</v>
      </c>
      <c r="J95" s="111">
        <v>3457.01</v>
      </c>
      <c r="K95" s="111">
        <v>-7124.43</v>
      </c>
      <c r="L95" s="111">
        <v>16289.79</v>
      </c>
      <c r="M95" s="111"/>
      <c r="N95" s="111">
        <v>-87057.72</v>
      </c>
    </row>
    <row r="96" spans="1:14">
      <c r="A96" s="64" t="s">
        <v>67</v>
      </c>
      <c r="B96" s="107">
        <f t="shared" ref="B96:L96" si="45">SUM(B94:B95)</f>
        <v>2368.92</v>
      </c>
      <c r="C96" s="107">
        <f t="shared" si="45"/>
        <v>3288.51</v>
      </c>
      <c r="D96" s="107">
        <f t="shared" si="45"/>
        <v>-36914.910000000003</v>
      </c>
      <c r="E96" s="107">
        <f t="shared" si="45"/>
        <v>-48291.25</v>
      </c>
      <c r="F96" s="107">
        <f t="shared" si="45"/>
        <v>-7508.99</v>
      </c>
      <c r="G96" s="107">
        <f t="shared" si="45"/>
        <v>20013.330000000002</v>
      </c>
      <c r="H96" s="107">
        <f t="shared" si="45"/>
        <v>-10510.45</v>
      </c>
      <c r="I96" s="107">
        <f t="shared" si="45"/>
        <v>-22125.25</v>
      </c>
      <c r="J96" s="107">
        <f t="shared" si="45"/>
        <v>3457.01</v>
      </c>
      <c r="K96" s="107">
        <f t="shared" si="45"/>
        <v>-7124.43</v>
      </c>
      <c r="L96" s="107">
        <f t="shared" si="45"/>
        <v>16289.79</v>
      </c>
      <c r="M96" s="107"/>
      <c r="N96" s="107">
        <v>-87057.72</v>
      </c>
    </row>
    <row r="97" spans="1:14">
      <c r="A97" s="64"/>
      <c r="B97" s="22"/>
      <c r="C97" s="22"/>
      <c r="D97" s="22"/>
      <c r="E97" s="22"/>
      <c r="F97" s="22"/>
      <c r="G97" s="22"/>
      <c r="H97" s="22"/>
      <c r="I97" s="22"/>
      <c r="J97" s="22"/>
      <c r="K97" s="22"/>
      <c r="L97" s="22"/>
      <c r="M97" s="22"/>
      <c r="N97" s="22"/>
    </row>
    <row r="98" spans="1:14">
      <c r="A98" s="64" t="s">
        <v>68</v>
      </c>
      <c r="B98" s="22"/>
      <c r="C98" s="22"/>
      <c r="D98" s="22"/>
      <c r="E98" s="22"/>
      <c r="F98" s="22"/>
      <c r="G98" s="22"/>
      <c r="H98" s="22"/>
      <c r="I98" s="22"/>
      <c r="J98" s="22"/>
      <c r="K98" s="22"/>
      <c r="L98" s="22"/>
      <c r="M98" s="22"/>
      <c r="N98" s="22"/>
    </row>
    <row r="99" spans="1:14">
      <c r="A99" s="64" t="s">
        <v>66</v>
      </c>
      <c r="B99" s="111">
        <v>-686.22</v>
      </c>
      <c r="C99" s="113"/>
      <c r="D99" s="111">
        <v>188.67</v>
      </c>
      <c r="E99" s="111">
        <v>-2138.2600000000002</v>
      </c>
      <c r="F99" s="111">
        <v>245.95</v>
      </c>
      <c r="G99" s="111">
        <v>7047.57</v>
      </c>
      <c r="H99" s="111">
        <v>329.33</v>
      </c>
      <c r="I99" s="111">
        <v>173.97</v>
      </c>
      <c r="J99" s="111">
        <v>1407.18</v>
      </c>
      <c r="K99" s="111">
        <v>1150.19</v>
      </c>
      <c r="L99" s="111">
        <v>-10108.24</v>
      </c>
      <c r="M99" s="111"/>
      <c r="N99" s="111">
        <v>-2389.86</v>
      </c>
    </row>
    <row r="100" spans="1:14">
      <c r="A100" s="64" t="s">
        <v>69</v>
      </c>
      <c r="B100" s="107">
        <f>SUM(B97:B99)</f>
        <v>-686.22</v>
      </c>
      <c r="C100" s="107"/>
      <c r="D100" s="107">
        <f t="shared" ref="D100:L100" si="46">SUM(D97:D99)</f>
        <v>188.67</v>
      </c>
      <c r="E100" s="107">
        <f t="shared" si="46"/>
        <v>-2138.2600000000002</v>
      </c>
      <c r="F100" s="107">
        <f t="shared" si="46"/>
        <v>245.95</v>
      </c>
      <c r="G100" s="107">
        <f t="shared" si="46"/>
        <v>7047.57</v>
      </c>
      <c r="H100" s="107">
        <f t="shared" si="46"/>
        <v>329.33</v>
      </c>
      <c r="I100" s="107">
        <f t="shared" si="46"/>
        <v>173.97</v>
      </c>
      <c r="J100" s="107">
        <f t="shared" si="46"/>
        <v>1407.18</v>
      </c>
      <c r="K100" s="107">
        <f t="shared" si="46"/>
        <v>1150.19</v>
      </c>
      <c r="L100" s="107">
        <f t="shared" si="46"/>
        <v>-10108.24</v>
      </c>
      <c r="M100" s="107"/>
      <c r="N100" s="107">
        <v>-2389.86</v>
      </c>
    </row>
    <row r="101" spans="1:14">
      <c r="A101" s="64"/>
      <c r="B101" s="22"/>
      <c r="C101" s="22"/>
      <c r="D101" s="22"/>
      <c r="E101" s="22"/>
      <c r="F101" s="22"/>
      <c r="G101" s="22"/>
      <c r="H101" s="22"/>
      <c r="I101" s="22"/>
      <c r="J101" s="22"/>
      <c r="K101" s="22"/>
      <c r="L101" s="22"/>
      <c r="M101" s="22"/>
      <c r="N101" s="22"/>
    </row>
    <row r="102" spans="1:14">
      <c r="A102" s="64" t="s">
        <v>70</v>
      </c>
      <c r="B102" s="22"/>
      <c r="C102" s="22"/>
      <c r="D102" s="22"/>
      <c r="E102" s="22"/>
      <c r="F102" s="22"/>
      <c r="G102" s="22"/>
      <c r="H102" s="22"/>
      <c r="I102" s="22"/>
      <c r="J102" s="22"/>
      <c r="K102" s="22"/>
      <c r="L102" s="22"/>
      <c r="M102" s="22"/>
      <c r="N102" s="22"/>
    </row>
    <row r="103" spans="1:14">
      <c r="A103" s="64" t="s">
        <v>66</v>
      </c>
      <c r="B103" s="111">
        <v>-4909.8</v>
      </c>
      <c r="C103" s="111">
        <v>-4446.1000000000004</v>
      </c>
      <c r="D103" s="111">
        <v>-10127.83</v>
      </c>
      <c r="E103" s="111">
        <v>1622.16</v>
      </c>
      <c r="F103" s="111">
        <v>11572.09</v>
      </c>
      <c r="G103" s="111">
        <v>3686.22</v>
      </c>
      <c r="H103" s="111">
        <v>7825.71</v>
      </c>
      <c r="I103" s="111">
        <v>-1537.47</v>
      </c>
      <c r="J103" s="111">
        <v>1864.23</v>
      </c>
      <c r="K103" s="111">
        <v>-119.32</v>
      </c>
      <c r="L103" s="111">
        <v>-11719.37</v>
      </c>
      <c r="M103" s="111"/>
      <c r="N103" s="111">
        <v>-6289.48</v>
      </c>
    </row>
    <row r="104" spans="1:14">
      <c r="A104" s="64" t="s">
        <v>71</v>
      </c>
      <c r="B104" s="107">
        <f t="shared" ref="B104:L104" si="47">SUM(B101:B103)</f>
        <v>-4909.8</v>
      </c>
      <c r="C104" s="107">
        <f t="shared" si="47"/>
        <v>-4446.1000000000004</v>
      </c>
      <c r="D104" s="107">
        <f t="shared" si="47"/>
        <v>-10127.83</v>
      </c>
      <c r="E104" s="107">
        <f t="shared" si="47"/>
        <v>1622.16</v>
      </c>
      <c r="F104" s="107">
        <f t="shared" si="47"/>
        <v>11572.09</v>
      </c>
      <c r="G104" s="107">
        <f t="shared" si="47"/>
        <v>3686.22</v>
      </c>
      <c r="H104" s="107">
        <f t="shared" si="47"/>
        <v>7825.71</v>
      </c>
      <c r="I104" s="107">
        <f t="shared" si="47"/>
        <v>-1537.47</v>
      </c>
      <c r="J104" s="107">
        <f t="shared" si="47"/>
        <v>1864.23</v>
      </c>
      <c r="K104" s="107">
        <f t="shared" si="47"/>
        <v>-119.32</v>
      </c>
      <c r="L104" s="107">
        <f t="shared" si="47"/>
        <v>-11719.37</v>
      </c>
      <c r="M104" s="107"/>
      <c r="N104" s="107">
        <v>-6289.48</v>
      </c>
    </row>
    <row r="105" spans="1:14">
      <c r="A105" s="64"/>
      <c r="B105" s="22"/>
      <c r="C105" s="22"/>
      <c r="D105" s="22"/>
      <c r="E105" s="22"/>
      <c r="F105" s="22"/>
      <c r="G105" s="22"/>
      <c r="H105" s="22"/>
      <c r="I105" s="22"/>
      <c r="J105" s="22"/>
      <c r="K105" s="22"/>
      <c r="L105" s="22"/>
      <c r="M105" s="22"/>
      <c r="N105" s="22"/>
    </row>
    <row r="106" spans="1:14">
      <c r="A106" s="64" t="s">
        <v>72</v>
      </c>
      <c r="B106" s="113"/>
      <c r="C106" s="113"/>
      <c r="D106" s="113"/>
      <c r="E106" s="113"/>
      <c r="F106" s="113"/>
      <c r="G106" s="113"/>
      <c r="H106" s="113"/>
      <c r="I106" s="113"/>
      <c r="J106" s="113"/>
      <c r="K106" s="113"/>
      <c r="L106" s="113"/>
      <c r="M106" s="113"/>
      <c r="N106" s="113"/>
    </row>
    <row r="107" spans="1:14">
      <c r="A107" s="64" t="s">
        <v>314</v>
      </c>
      <c r="B107" s="107"/>
      <c r="C107" s="107"/>
      <c r="D107" s="107"/>
      <c r="E107" s="107"/>
      <c r="F107" s="107"/>
      <c r="G107" s="107"/>
      <c r="H107" s="107"/>
      <c r="I107" s="107"/>
      <c r="J107" s="107"/>
      <c r="K107" s="107"/>
      <c r="L107" s="107"/>
      <c r="M107" s="107"/>
      <c r="N107" s="107"/>
    </row>
    <row r="108" spans="1:14">
      <c r="A108" s="64"/>
      <c r="B108" s="22"/>
      <c r="C108" s="22"/>
      <c r="D108" s="22"/>
      <c r="E108" s="22"/>
      <c r="F108" s="22"/>
      <c r="G108" s="22"/>
      <c r="H108" s="22"/>
      <c r="I108" s="22"/>
      <c r="J108" s="22"/>
      <c r="K108" s="22"/>
      <c r="L108" s="22"/>
      <c r="M108" s="22"/>
      <c r="N108" s="22"/>
    </row>
    <row r="109" spans="1:14">
      <c r="A109" s="64" t="s">
        <v>73</v>
      </c>
      <c r="B109" s="22"/>
      <c r="C109" s="22"/>
      <c r="D109" s="22"/>
      <c r="E109" s="22"/>
      <c r="F109" s="22"/>
      <c r="G109" s="22"/>
      <c r="H109" s="22"/>
      <c r="I109" s="22"/>
      <c r="J109" s="22"/>
      <c r="K109" s="22"/>
      <c r="L109" s="22"/>
      <c r="M109" s="22"/>
      <c r="N109" s="22"/>
    </row>
    <row r="110" spans="1:14">
      <c r="A110" s="64" t="s">
        <v>66</v>
      </c>
      <c r="B110" s="111">
        <v>-1784.62</v>
      </c>
      <c r="C110" s="111">
        <v>1669.31</v>
      </c>
      <c r="D110" s="111">
        <v>-114.61</v>
      </c>
      <c r="E110" s="111">
        <v>14.24</v>
      </c>
      <c r="F110" s="111">
        <v>-2301.7600000000002</v>
      </c>
      <c r="G110" s="111">
        <v>-3292.43</v>
      </c>
      <c r="H110" s="111">
        <v>1141.98</v>
      </c>
      <c r="I110" s="111">
        <v>-23319.58</v>
      </c>
      <c r="J110" s="113"/>
      <c r="K110" s="111">
        <v>-6745.16</v>
      </c>
      <c r="L110" s="111">
        <v>32215.19</v>
      </c>
      <c r="M110" s="111"/>
      <c r="N110" s="111">
        <v>-2517.44</v>
      </c>
    </row>
    <row r="111" spans="1:14">
      <c r="A111" s="64" t="s">
        <v>74</v>
      </c>
      <c r="B111" s="107">
        <f t="shared" ref="B111:I111" si="48">SUM(B108:B110)</f>
        <v>-1784.62</v>
      </c>
      <c r="C111" s="107">
        <f t="shared" si="48"/>
        <v>1669.31</v>
      </c>
      <c r="D111" s="107">
        <f t="shared" si="48"/>
        <v>-114.61</v>
      </c>
      <c r="E111" s="107">
        <f t="shared" si="48"/>
        <v>14.24</v>
      </c>
      <c r="F111" s="107">
        <f t="shared" si="48"/>
        <v>-2301.7600000000002</v>
      </c>
      <c r="G111" s="107">
        <f t="shared" si="48"/>
        <v>-3292.43</v>
      </c>
      <c r="H111" s="107">
        <f t="shared" si="48"/>
        <v>1141.98</v>
      </c>
      <c r="I111" s="107">
        <f t="shared" si="48"/>
        <v>-23319.58</v>
      </c>
      <c r="J111" s="107"/>
      <c r="K111" s="107">
        <f>SUM(K108:K110)</f>
        <v>-6745.16</v>
      </c>
      <c r="L111" s="107">
        <f>SUM(L108:L110)</f>
        <v>32215.19</v>
      </c>
      <c r="M111" s="107"/>
      <c r="N111" s="107">
        <v>-2517.44</v>
      </c>
    </row>
    <row r="112" spans="1:14">
      <c r="A112" s="64"/>
      <c r="B112" s="22"/>
      <c r="C112" s="22"/>
      <c r="D112" s="22"/>
      <c r="E112" s="22"/>
      <c r="F112" s="22"/>
      <c r="G112" s="22"/>
      <c r="H112" s="22"/>
      <c r="I112" s="22"/>
      <c r="J112" s="22"/>
      <c r="K112" s="22"/>
      <c r="L112" s="22"/>
      <c r="M112" s="22"/>
      <c r="N112" s="22"/>
    </row>
    <row r="113" spans="1:14">
      <c r="A113" s="64" t="s">
        <v>75</v>
      </c>
      <c r="B113" s="22"/>
      <c r="C113" s="22"/>
      <c r="D113" s="22"/>
      <c r="E113" s="22"/>
      <c r="F113" s="22"/>
      <c r="G113" s="22"/>
      <c r="H113" s="22"/>
      <c r="I113" s="22"/>
      <c r="J113" s="22"/>
      <c r="K113" s="22"/>
      <c r="L113" s="22"/>
      <c r="M113" s="22"/>
      <c r="N113" s="22"/>
    </row>
    <row r="114" spans="1:14">
      <c r="A114" s="64" t="s">
        <v>66</v>
      </c>
      <c r="B114" s="113"/>
      <c r="C114" s="111">
        <v>-6355</v>
      </c>
      <c r="D114" s="111">
        <v>30965</v>
      </c>
      <c r="E114" s="111">
        <v>36455</v>
      </c>
      <c r="F114" s="111">
        <v>7705</v>
      </c>
      <c r="G114" s="111">
        <v>-16400</v>
      </c>
      <c r="H114" s="111">
        <v>10640</v>
      </c>
      <c r="I114" s="111">
        <v>1105</v>
      </c>
      <c r="J114" s="113"/>
      <c r="K114" s="111">
        <v>19085</v>
      </c>
      <c r="L114" s="111">
        <v>-14430</v>
      </c>
      <c r="M114" s="111"/>
      <c r="N114" s="111">
        <v>68770</v>
      </c>
    </row>
    <row r="115" spans="1:14">
      <c r="A115" s="64" t="s">
        <v>76</v>
      </c>
      <c r="B115" s="107"/>
      <c r="C115" s="107">
        <f t="shared" ref="C115:I115" si="49">SUM(C112:C114)</f>
        <v>-6355</v>
      </c>
      <c r="D115" s="107">
        <f t="shared" si="49"/>
        <v>30965</v>
      </c>
      <c r="E115" s="107">
        <f t="shared" si="49"/>
        <v>36455</v>
      </c>
      <c r="F115" s="107">
        <f t="shared" si="49"/>
        <v>7705</v>
      </c>
      <c r="G115" s="107">
        <f t="shared" si="49"/>
        <v>-16400</v>
      </c>
      <c r="H115" s="107">
        <f t="shared" si="49"/>
        <v>10640</v>
      </c>
      <c r="I115" s="107">
        <f t="shared" si="49"/>
        <v>1105</v>
      </c>
      <c r="J115" s="107"/>
      <c r="K115" s="107">
        <f>SUM(K112:K114)</f>
        <v>19085</v>
      </c>
      <c r="L115" s="107">
        <f>SUM(L112:L114)</f>
        <v>-14430</v>
      </c>
      <c r="M115" s="107"/>
      <c r="N115" s="107">
        <v>68770</v>
      </c>
    </row>
    <row r="116" spans="1:14">
      <c r="A116" s="64"/>
      <c r="B116" s="113"/>
      <c r="C116" s="113"/>
      <c r="D116" s="113"/>
      <c r="E116" s="113"/>
      <c r="F116" s="113"/>
      <c r="G116" s="113"/>
      <c r="H116" s="113"/>
      <c r="I116" s="113"/>
      <c r="J116" s="113"/>
      <c r="K116" s="113"/>
      <c r="L116" s="113"/>
      <c r="M116" s="113"/>
      <c r="N116" s="113"/>
    </row>
    <row r="117" spans="1:14">
      <c r="A117" s="64" t="s">
        <v>44</v>
      </c>
      <c r="B117" s="107">
        <f t="shared" ref="B117:L117" si="50">SUM(B92:B116)-B96-B100-B104-B107-B111-B115</f>
        <v>-5011.7199999999993</v>
      </c>
      <c r="C117" s="107">
        <f t="shared" si="50"/>
        <v>-5843.2800000000007</v>
      </c>
      <c r="D117" s="107">
        <f t="shared" si="50"/>
        <v>-16003.680000000011</v>
      </c>
      <c r="E117" s="107">
        <f t="shared" si="50"/>
        <v>-12338.109999999971</v>
      </c>
      <c r="F117" s="107">
        <f t="shared" si="50"/>
        <v>9712.2900000000009</v>
      </c>
      <c r="G117" s="107">
        <f t="shared" si="50"/>
        <v>11054.690000000004</v>
      </c>
      <c r="H117" s="107">
        <f t="shared" si="50"/>
        <v>9426.57</v>
      </c>
      <c r="I117" s="107">
        <f t="shared" si="50"/>
        <v>-45703.33</v>
      </c>
      <c r="J117" s="107">
        <f t="shared" si="50"/>
        <v>6728.42</v>
      </c>
      <c r="K117" s="107">
        <f t="shared" si="50"/>
        <v>6246.2800000000025</v>
      </c>
      <c r="L117" s="107">
        <f t="shared" si="50"/>
        <v>12247.370000000006</v>
      </c>
      <c r="M117" s="107"/>
      <c r="N117" s="107">
        <v>-29484.5</v>
      </c>
    </row>
    <row r="118" spans="1:14">
      <c r="A118" s="64"/>
      <c r="B118" s="22"/>
      <c r="C118" s="22"/>
      <c r="D118" s="22"/>
      <c r="E118" s="22"/>
      <c r="F118" s="22"/>
      <c r="G118" s="22"/>
      <c r="H118" s="22"/>
      <c r="I118" s="22"/>
      <c r="J118" s="22"/>
      <c r="K118" s="22"/>
      <c r="L118" s="22"/>
      <c r="M118" s="22"/>
      <c r="N118" s="22"/>
    </row>
    <row r="119" spans="1:14">
      <c r="A119" s="64" t="s">
        <v>45</v>
      </c>
      <c r="B119" s="22"/>
      <c r="C119" s="22"/>
      <c r="D119" s="22"/>
      <c r="E119" s="22"/>
      <c r="F119" s="22"/>
      <c r="G119" s="22"/>
      <c r="H119" s="22"/>
      <c r="I119" s="22"/>
      <c r="J119" s="22"/>
      <c r="K119" s="22"/>
      <c r="L119" s="22"/>
      <c r="M119" s="22"/>
      <c r="N119" s="22"/>
    </row>
    <row r="120" spans="1:14">
      <c r="A120" s="64"/>
      <c r="B120" s="22"/>
      <c r="C120" s="22"/>
      <c r="D120" s="22"/>
      <c r="E120" s="22"/>
      <c r="F120" s="22"/>
      <c r="G120" s="22"/>
      <c r="H120" s="22"/>
      <c r="I120" s="22"/>
      <c r="J120" s="22"/>
      <c r="K120" s="22"/>
      <c r="L120" s="22"/>
      <c r="M120" s="22"/>
      <c r="N120" s="22"/>
    </row>
    <row r="121" spans="1:14">
      <c r="A121" s="64" t="s">
        <v>19</v>
      </c>
      <c r="B121" s="22"/>
      <c r="C121" s="22"/>
      <c r="D121" s="22"/>
      <c r="E121" s="22"/>
      <c r="F121" s="22"/>
      <c r="G121" s="22"/>
      <c r="H121" s="22"/>
      <c r="I121" s="22"/>
      <c r="J121" s="22"/>
      <c r="K121" s="22"/>
      <c r="L121" s="22"/>
      <c r="M121" s="22"/>
      <c r="N121" s="22"/>
    </row>
    <row r="122" spans="1:14">
      <c r="A122" s="64" t="s">
        <v>77</v>
      </c>
      <c r="B122" s="107">
        <v>1492.04</v>
      </c>
      <c r="C122" s="22"/>
      <c r="D122" s="107">
        <v>-152.43</v>
      </c>
      <c r="E122" s="107">
        <v>294.27</v>
      </c>
      <c r="F122" s="107">
        <v>1424.61</v>
      </c>
      <c r="G122" s="22"/>
      <c r="H122" s="22"/>
      <c r="I122" s="22"/>
      <c r="J122" s="22"/>
      <c r="K122" s="107">
        <v>423.8</v>
      </c>
      <c r="L122" s="107">
        <v>-423.8</v>
      </c>
      <c r="M122" s="22"/>
      <c r="N122" s="107">
        <v>3058.49</v>
      </c>
    </row>
    <row r="123" spans="1:14">
      <c r="A123" s="64" t="s">
        <v>78</v>
      </c>
      <c r="B123" s="107">
        <v>3685</v>
      </c>
      <c r="C123" s="107">
        <v>-1585</v>
      </c>
      <c r="D123" s="107">
        <v>1665</v>
      </c>
      <c r="E123" s="107">
        <v>3620</v>
      </c>
      <c r="F123" s="107">
        <v>-1310</v>
      </c>
      <c r="G123" s="107">
        <v>-2020</v>
      </c>
      <c r="H123" s="107">
        <v>-3230</v>
      </c>
      <c r="I123" s="107">
        <v>4010</v>
      </c>
      <c r="J123" s="107">
        <v>1615</v>
      </c>
      <c r="K123" s="107">
        <v>6200</v>
      </c>
      <c r="L123" s="107">
        <v>-6575</v>
      </c>
      <c r="M123" s="22"/>
      <c r="N123" s="107">
        <v>6075</v>
      </c>
    </row>
    <row r="124" spans="1:14">
      <c r="A124" s="64" t="s">
        <v>315</v>
      </c>
      <c r="B124" s="107">
        <v>1915</v>
      </c>
      <c r="C124" s="107">
        <v>-1570</v>
      </c>
      <c r="D124" s="107">
        <v>3945</v>
      </c>
      <c r="E124" s="107">
        <v>2540</v>
      </c>
      <c r="F124" s="107">
        <v>-2125</v>
      </c>
      <c r="G124" s="107">
        <v>70</v>
      </c>
      <c r="H124" s="107">
        <v>215</v>
      </c>
      <c r="I124" s="107">
        <v>8500</v>
      </c>
      <c r="J124" s="107">
        <v>1290</v>
      </c>
      <c r="K124" s="107">
        <v>4615</v>
      </c>
      <c r="L124" s="107">
        <v>-14690</v>
      </c>
      <c r="M124" s="22"/>
      <c r="N124" s="107">
        <v>4705</v>
      </c>
    </row>
    <row r="125" spans="1:14">
      <c r="A125" s="64" t="s">
        <v>316</v>
      </c>
      <c r="B125" s="107">
        <v>6930</v>
      </c>
      <c r="C125" s="107">
        <v>-1080</v>
      </c>
      <c r="D125" s="22"/>
      <c r="E125" s="107">
        <v>1445</v>
      </c>
      <c r="F125" s="107">
        <v>-385</v>
      </c>
      <c r="G125" s="107">
        <v>1600</v>
      </c>
      <c r="H125" s="107">
        <v>-925</v>
      </c>
      <c r="I125" s="107">
        <v>2275</v>
      </c>
      <c r="J125" s="107">
        <v>1080</v>
      </c>
      <c r="K125" s="107">
        <v>3455</v>
      </c>
      <c r="L125" s="107">
        <v>-7485</v>
      </c>
      <c r="M125" s="22"/>
      <c r="N125" s="107">
        <v>6910</v>
      </c>
    </row>
    <row r="126" spans="1:14">
      <c r="A126" s="64" t="s">
        <v>79</v>
      </c>
      <c r="B126" s="22"/>
      <c r="C126" s="22"/>
      <c r="D126" s="22"/>
      <c r="E126" s="107">
        <v>450</v>
      </c>
      <c r="F126" s="107">
        <v>450</v>
      </c>
      <c r="G126" s="22"/>
      <c r="H126" s="22"/>
      <c r="I126" s="22"/>
      <c r="J126" s="107">
        <v>500</v>
      </c>
      <c r="K126" s="22"/>
      <c r="L126" s="107">
        <v>-500</v>
      </c>
      <c r="M126" s="22"/>
      <c r="N126" s="107">
        <v>900</v>
      </c>
    </row>
    <row r="127" spans="1:14">
      <c r="A127" s="64" t="s">
        <v>80</v>
      </c>
      <c r="B127" s="22"/>
      <c r="C127" s="22"/>
      <c r="D127" s="22"/>
      <c r="E127" s="107">
        <v>503.16</v>
      </c>
      <c r="F127" s="107">
        <v>26.66</v>
      </c>
      <c r="G127" s="107">
        <v>323.44</v>
      </c>
      <c r="H127" s="107">
        <v>262.5</v>
      </c>
      <c r="I127" s="107">
        <v>259.73</v>
      </c>
      <c r="J127" s="107">
        <v>303.23</v>
      </c>
      <c r="K127" s="22"/>
      <c r="L127" s="107">
        <v>-1148.9000000000001</v>
      </c>
      <c r="M127" s="22"/>
      <c r="N127" s="107">
        <v>529.82000000000005</v>
      </c>
    </row>
    <row r="128" spans="1:14">
      <c r="A128" s="64" t="s">
        <v>354</v>
      </c>
      <c r="B128" s="22"/>
      <c r="C128" s="22"/>
      <c r="D128" s="22"/>
      <c r="E128" s="22"/>
      <c r="F128" s="22"/>
      <c r="G128" s="22"/>
      <c r="H128" s="22"/>
      <c r="I128" s="22"/>
      <c r="J128" s="22"/>
      <c r="K128" s="22"/>
      <c r="L128" s="22"/>
      <c r="M128" s="22"/>
      <c r="N128" s="22"/>
    </row>
    <row r="129" spans="1:14">
      <c r="A129" s="64" t="s">
        <v>84</v>
      </c>
      <c r="B129" s="111">
        <v>-7576.54</v>
      </c>
      <c r="C129" s="111">
        <v>6041.52</v>
      </c>
      <c r="D129" s="111">
        <v>-1129.75</v>
      </c>
      <c r="E129" s="111">
        <v>-7711.47</v>
      </c>
      <c r="F129" s="111">
        <v>777.77</v>
      </c>
      <c r="G129" s="111">
        <v>9575.2099999999991</v>
      </c>
      <c r="H129" s="111">
        <v>266.95</v>
      </c>
      <c r="I129" s="111">
        <v>-12477.57</v>
      </c>
      <c r="J129" s="111">
        <v>-2265.67</v>
      </c>
      <c r="K129" s="111">
        <v>-12501.08</v>
      </c>
      <c r="L129" s="111">
        <v>17402.16</v>
      </c>
      <c r="M129" s="111"/>
      <c r="N129" s="111">
        <v>-9598.4699999999993</v>
      </c>
    </row>
    <row r="130" spans="1:14">
      <c r="A130" s="64" t="s">
        <v>85</v>
      </c>
      <c r="B130" s="107">
        <f t="shared" ref="B130:L130" si="51">SUM(B121:B129)</f>
        <v>6445.5000000000009</v>
      </c>
      <c r="C130" s="107">
        <f t="shared" si="51"/>
        <v>1806.5200000000004</v>
      </c>
      <c r="D130" s="107">
        <f t="shared" si="51"/>
        <v>4327.82</v>
      </c>
      <c r="E130" s="107">
        <f t="shared" si="51"/>
        <v>1140.96</v>
      </c>
      <c r="F130" s="107">
        <f t="shared" si="51"/>
        <v>-1140.9600000000003</v>
      </c>
      <c r="G130" s="107">
        <f t="shared" si="51"/>
        <v>9548.65</v>
      </c>
      <c r="H130" s="107">
        <f t="shared" si="51"/>
        <v>-3410.55</v>
      </c>
      <c r="I130" s="107">
        <f t="shared" si="51"/>
        <v>2567.16</v>
      </c>
      <c r="J130" s="107">
        <f t="shared" si="51"/>
        <v>2522.5599999999995</v>
      </c>
      <c r="K130" s="107">
        <f t="shared" si="51"/>
        <v>2192.7199999999993</v>
      </c>
      <c r="L130" s="107">
        <f t="shared" si="51"/>
        <v>-13420.54</v>
      </c>
      <c r="M130" s="107"/>
      <c r="N130" s="107">
        <v>12579.84</v>
      </c>
    </row>
    <row r="131" spans="1:14">
      <c r="A131" s="64"/>
      <c r="B131" s="22"/>
      <c r="C131" s="22"/>
      <c r="D131" s="22"/>
      <c r="E131" s="22"/>
      <c r="F131" s="22"/>
      <c r="G131" s="22"/>
      <c r="H131" s="22"/>
      <c r="I131" s="22"/>
      <c r="J131" s="22"/>
      <c r="K131" s="22"/>
      <c r="L131" s="22"/>
      <c r="M131" s="22"/>
      <c r="N131" s="22"/>
    </row>
    <row r="132" spans="1:14">
      <c r="A132" s="64" t="s">
        <v>20</v>
      </c>
      <c r="B132" s="22"/>
      <c r="C132" s="22"/>
      <c r="D132" s="22"/>
      <c r="E132" s="22"/>
      <c r="F132" s="22"/>
      <c r="G132" s="22"/>
      <c r="H132" s="22"/>
      <c r="I132" s="22"/>
      <c r="J132" s="22"/>
      <c r="K132" s="22"/>
      <c r="L132" s="22"/>
      <c r="M132" s="22"/>
      <c r="N132" s="22"/>
    </row>
    <row r="133" spans="1:14">
      <c r="A133" s="64" t="s">
        <v>317</v>
      </c>
      <c r="B133" s="107">
        <v>86.84</v>
      </c>
      <c r="C133" s="22"/>
      <c r="D133" s="22"/>
      <c r="E133" s="22"/>
      <c r="F133" s="22"/>
      <c r="G133" s="22"/>
      <c r="H133" s="22"/>
      <c r="I133" s="22"/>
      <c r="J133" s="22"/>
      <c r="K133" s="22"/>
      <c r="L133" s="22"/>
      <c r="M133" s="22"/>
      <c r="N133" s="107">
        <v>86.84</v>
      </c>
    </row>
    <row r="134" spans="1:14">
      <c r="A134" s="64" t="s">
        <v>353</v>
      </c>
      <c r="B134" s="22"/>
      <c r="C134" s="107">
        <v>90</v>
      </c>
      <c r="D134" s="22"/>
      <c r="E134" s="22"/>
      <c r="F134" s="22"/>
      <c r="G134" s="22"/>
      <c r="H134" s="22"/>
      <c r="I134" s="22"/>
      <c r="J134" s="22"/>
      <c r="K134" s="22"/>
      <c r="L134" s="22"/>
      <c r="M134" s="22"/>
      <c r="N134" s="107">
        <v>90</v>
      </c>
    </row>
    <row r="135" spans="1:14">
      <c r="A135" s="64" t="s">
        <v>87</v>
      </c>
      <c r="B135" s="111">
        <v>-86.84</v>
      </c>
      <c r="C135" s="111">
        <v>-90</v>
      </c>
      <c r="D135" s="113"/>
      <c r="E135" s="113"/>
      <c r="F135" s="113"/>
      <c r="G135" s="113"/>
      <c r="H135" s="113"/>
      <c r="I135" s="113"/>
      <c r="J135" s="113"/>
      <c r="K135" s="113"/>
      <c r="L135" s="113"/>
      <c r="M135" s="113"/>
      <c r="N135" s="111">
        <v>-176.84</v>
      </c>
    </row>
    <row r="136" spans="1:14">
      <c r="A136" s="64"/>
      <c r="B136" s="22"/>
      <c r="C136" s="22"/>
      <c r="D136" s="22"/>
      <c r="E136" s="22"/>
      <c r="F136" s="22"/>
      <c r="G136" s="22"/>
      <c r="H136" s="22"/>
      <c r="I136" s="22"/>
      <c r="J136" s="22"/>
      <c r="K136" s="22"/>
      <c r="L136" s="22"/>
      <c r="M136" s="22"/>
      <c r="N136" s="22"/>
    </row>
    <row r="137" spans="1:14">
      <c r="A137" s="64" t="s">
        <v>88</v>
      </c>
      <c r="B137" s="22"/>
      <c r="C137" s="22"/>
      <c r="D137" s="22"/>
      <c r="E137" s="22"/>
      <c r="F137" s="22"/>
      <c r="G137" s="22"/>
      <c r="H137" s="22"/>
      <c r="I137" s="22"/>
      <c r="J137" s="22"/>
      <c r="K137" s="22"/>
      <c r="L137" s="22"/>
      <c r="M137" s="22"/>
      <c r="N137" s="22"/>
    </row>
    <row r="138" spans="1:14">
      <c r="A138" s="64" t="s">
        <v>89</v>
      </c>
      <c r="B138" s="107">
        <v>21233.03</v>
      </c>
      <c r="C138" s="107">
        <v>25569.16</v>
      </c>
      <c r="D138" s="107">
        <v>11022.18</v>
      </c>
      <c r="E138" s="107">
        <v>12185.61</v>
      </c>
      <c r="F138" s="107">
        <v>10382.84</v>
      </c>
      <c r="G138" s="107">
        <v>22328.17</v>
      </c>
      <c r="H138" s="107">
        <v>15913.51</v>
      </c>
      <c r="I138" s="107">
        <v>10567.94</v>
      </c>
      <c r="J138" s="107">
        <v>7523.97</v>
      </c>
      <c r="K138" s="107">
        <v>15581.84</v>
      </c>
      <c r="L138" s="107">
        <v>-71915.429999999993</v>
      </c>
      <c r="M138" s="22"/>
      <c r="N138" s="107">
        <v>80392.820000000007</v>
      </c>
    </row>
    <row r="139" spans="1:14">
      <c r="A139" s="64" t="s">
        <v>90</v>
      </c>
      <c r="B139" s="107">
        <v>64225</v>
      </c>
      <c r="C139" s="107">
        <v>60205</v>
      </c>
      <c r="D139" s="107">
        <v>36000</v>
      </c>
      <c r="E139" s="107">
        <v>48355</v>
      </c>
      <c r="F139" s="107">
        <v>35250</v>
      </c>
      <c r="G139" s="107">
        <v>49775</v>
      </c>
      <c r="H139" s="107">
        <v>60140</v>
      </c>
      <c r="I139" s="107">
        <v>53935</v>
      </c>
      <c r="J139" s="107">
        <v>41390</v>
      </c>
      <c r="K139" s="107">
        <v>36500</v>
      </c>
      <c r="L139" s="107">
        <v>-241740</v>
      </c>
      <c r="M139" s="22"/>
      <c r="N139" s="107">
        <v>244035</v>
      </c>
    </row>
    <row r="140" spans="1:14">
      <c r="A140" s="64" t="s">
        <v>91</v>
      </c>
      <c r="B140" s="107">
        <v>55445</v>
      </c>
      <c r="C140" s="107">
        <v>54085</v>
      </c>
      <c r="D140" s="107">
        <v>26830</v>
      </c>
      <c r="E140" s="107">
        <v>31805</v>
      </c>
      <c r="F140" s="107">
        <v>35030</v>
      </c>
      <c r="G140" s="107">
        <v>48105</v>
      </c>
      <c r="H140" s="107">
        <v>61280</v>
      </c>
      <c r="I140" s="107">
        <v>52845</v>
      </c>
      <c r="J140" s="107">
        <v>35365</v>
      </c>
      <c r="K140" s="107">
        <v>31495</v>
      </c>
      <c r="L140" s="107">
        <v>-229090</v>
      </c>
      <c r="M140" s="22"/>
      <c r="N140" s="107">
        <v>203195</v>
      </c>
    </row>
    <row r="141" spans="1:14">
      <c r="A141" s="64" t="s">
        <v>92</v>
      </c>
      <c r="B141" s="107">
        <v>30245</v>
      </c>
      <c r="C141" s="107">
        <v>25990</v>
      </c>
      <c r="D141" s="107">
        <v>15830</v>
      </c>
      <c r="E141" s="107">
        <v>21740</v>
      </c>
      <c r="F141" s="107">
        <v>17390</v>
      </c>
      <c r="G141" s="107">
        <v>22970</v>
      </c>
      <c r="H141" s="107">
        <v>28990</v>
      </c>
      <c r="I141" s="107">
        <v>25770</v>
      </c>
      <c r="J141" s="107">
        <v>16360</v>
      </c>
      <c r="K141" s="107">
        <v>17075</v>
      </c>
      <c r="L141" s="107">
        <v>-111165</v>
      </c>
      <c r="M141" s="22"/>
      <c r="N141" s="107">
        <v>111195</v>
      </c>
    </row>
    <row r="142" spans="1:14">
      <c r="A142" s="64" t="s">
        <v>94</v>
      </c>
      <c r="B142" s="22"/>
      <c r="C142" s="107">
        <v>4685</v>
      </c>
      <c r="D142" s="107">
        <v>2250</v>
      </c>
      <c r="E142" s="107">
        <v>450</v>
      </c>
      <c r="F142" s="22"/>
      <c r="G142" s="22"/>
      <c r="H142" s="22"/>
      <c r="I142" s="107">
        <v>1800</v>
      </c>
      <c r="J142" s="107">
        <v>1500</v>
      </c>
      <c r="K142" s="107">
        <v>500</v>
      </c>
      <c r="L142" s="107">
        <v>-3800</v>
      </c>
      <c r="M142" s="22"/>
      <c r="N142" s="107">
        <v>7385</v>
      </c>
    </row>
    <row r="143" spans="1:14">
      <c r="A143" s="64" t="s">
        <v>95</v>
      </c>
      <c r="B143" s="22"/>
      <c r="C143" s="107">
        <v>3042.22</v>
      </c>
      <c r="D143" s="107">
        <v>1247.99</v>
      </c>
      <c r="E143" s="107">
        <v>889.59</v>
      </c>
      <c r="F143" s="107">
        <v>1209.8900000000001</v>
      </c>
      <c r="G143" s="107">
        <v>712.18</v>
      </c>
      <c r="H143" s="107">
        <v>699.74</v>
      </c>
      <c r="I143" s="107">
        <v>2348.4299999999998</v>
      </c>
      <c r="J143" s="107">
        <v>802.82</v>
      </c>
      <c r="K143" s="107">
        <v>1057.72</v>
      </c>
      <c r="L143" s="107">
        <v>-5620.89</v>
      </c>
      <c r="M143" s="22"/>
      <c r="N143" s="107">
        <v>6389.69</v>
      </c>
    </row>
    <row r="144" spans="1:14">
      <c r="A144" s="64" t="s">
        <v>98</v>
      </c>
      <c r="B144" s="111">
        <v>-171148.03</v>
      </c>
      <c r="C144" s="111">
        <v>-173576.38</v>
      </c>
      <c r="D144" s="111">
        <v>-93180.17</v>
      </c>
      <c r="E144" s="111">
        <v>-115425.2</v>
      </c>
      <c r="F144" s="111">
        <v>-99262.73</v>
      </c>
      <c r="G144" s="111">
        <v>-143890.35</v>
      </c>
      <c r="H144" s="111">
        <v>-167023.25</v>
      </c>
      <c r="I144" s="111">
        <v>-147266.37</v>
      </c>
      <c r="J144" s="111">
        <v>-102941.79</v>
      </c>
      <c r="K144" s="111">
        <v>-102209.56</v>
      </c>
      <c r="L144" s="111">
        <v>663331.31999999995</v>
      </c>
      <c r="M144" s="113"/>
      <c r="N144" s="111">
        <v>-652592.51</v>
      </c>
    </row>
    <row r="145" spans="1:14">
      <c r="A145" s="64"/>
      <c r="B145" s="22"/>
      <c r="C145" s="22"/>
      <c r="D145" s="22"/>
      <c r="E145" s="22"/>
      <c r="F145" s="22"/>
      <c r="G145" s="22"/>
      <c r="H145" s="22"/>
      <c r="I145" s="22"/>
      <c r="J145" s="22"/>
      <c r="K145" s="22"/>
      <c r="L145" s="22"/>
      <c r="M145" s="22"/>
      <c r="N145" s="22"/>
    </row>
    <row r="146" spans="1:14">
      <c r="A146" s="64" t="s">
        <v>99</v>
      </c>
      <c r="B146" s="22"/>
      <c r="C146" s="22"/>
      <c r="D146" s="22"/>
      <c r="E146" s="22"/>
      <c r="F146" s="22"/>
      <c r="G146" s="22"/>
      <c r="H146" s="22"/>
      <c r="I146" s="22"/>
      <c r="J146" s="22"/>
      <c r="K146" s="22"/>
      <c r="L146" s="22"/>
      <c r="M146" s="22"/>
      <c r="N146" s="22"/>
    </row>
    <row r="147" spans="1:14">
      <c r="A147" s="64" t="s">
        <v>382</v>
      </c>
      <c r="B147" s="22"/>
      <c r="C147" s="22"/>
      <c r="D147" s="22"/>
      <c r="E147" s="22"/>
      <c r="F147" s="22"/>
      <c r="G147" s="22"/>
      <c r="H147" s="107">
        <v>1274.24</v>
      </c>
      <c r="I147" s="107">
        <v>-19.91</v>
      </c>
      <c r="J147" s="22"/>
      <c r="K147" s="107">
        <v>-19.91</v>
      </c>
      <c r="L147" s="107">
        <v>-1234.42</v>
      </c>
      <c r="M147" s="22"/>
      <c r="N147" s="107"/>
    </row>
    <row r="148" spans="1:14">
      <c r="A148" s="64" t="s">
        <v>100</v>
      </c>
      <c r="B148" s="107">
        <v>20115</v>
      </c>
      <c r="C148" s="107">
        <v>26140</v>
      </c>
      <c r="D148" s="107">
        <v>32230</v>
      </c>
      <c r="E148" s="107">
        <v>28785</v>
      </c>
      <c r="F148" s="107">
        <v>56290</v>
      </c>
      <c r="G148" s="107">
        <v>25340</v>
      </c>
      <c r="H148" s="107">
        <v>21810</v>
      </c>
      <c r="I148" s="107">
        <v>13130</v>
      </c>
      <c r="J148" s="107">
        <v>35795</v>
      </c>
      <c r="K148" s="107">
        <v>23965</v>
      </c>
      <c r="L148" s="107">
        <v>-120040</v>
      </c>
      <c r="M148" s="107"/>
      <c r="N148" s="107">
        <v>163560</v>
      </c>
    </row>
    <row r="149" spans="1:14">
      <c r="A149" s="64" t="s">
        <v>101</v>
      </c>
      <c r="B149" s="107">
        <v>18815</v>
      </c>
      <c r="C149" s="107">
        <v>31485</v>
      </c>
      <c r="D149" s="107">
        <v>28760</v>
      </c>
      <c r="E149" s="107">
        <v>14390</v>
      </c>
      <c r="F149" s="107">
        <v>53145</v>
      </c>
      <c r="G149" s="107">
        <v>49170</v>
      </c>
      <c r="H149" s="107">
        <v>17670</v>
      </c>
      <c r="I149" s="107">
        <v>21780</v>
      </c>
      <c r="J149" s="107">
        <v>31960</v>
      </c>
      <c r="K149" s="107">
        <v>37155</v>
      </c>
      <c r="L149" s="107">
        <v>-157735</v>
      </c>
      <c r="M149" s="22"/>
      <c r="N149" s="107">
        <v>146595</v>
      </c>
    </row>
    <row r="150" spans="1:14">
      <c r="A150" s="64" t="s">
        <v>102</v>
      </c>
      <c r="B150" s="107">
        <v>5200</v>
      </c>
      <c r="C150" s="107">
        <v>17125</v>
      </c>
      <c r="D150" s="107">
        <v>9385</v>
      </c>
      <c r="E150" s="107">
        <v>8110</v>
      </c>
      <c r="F150" s="107">
        <v>24155</v>
      </c>
      <c r="G150" s="107">
        <v>9990</v>
      </c>
      <c r="H150" s="107">
        <v>9435</v>
      </c>
      <c r="I150" s="107">
        <v>5310</v>
      </c>
      <c r="J150" s="107">
        <v>7330</v>
      </c>
      <c r="K150" s="107">
        <v>5420</v>
      </c>
      <c r="L150" s="107">
        <v>-37485</v>
      </c>
      <c r="M150" s="107"/>
      <c r="N150" s="107">
        <v>63975</v>
      </c>
    </row>
    <row r="151" spans="1:14">
      <c r="A151" s="64" t="s">
        <v>103</v>
      </c>
      <c r="B151" s="111">
        <v>-29314.98</v>
      </c>
      <c r="C151" s="111">
        <v>-41616.61</v>
      </c>
      <c r="D151" s="111">
        <v>-47304.42</v>
      </c>
      <c r="E151" s="111">
        <v>-30405.55</v>
      </c>
      <c r="F151" s="111">
        <v>-83907.62</v>
      </c>
      <c r="G151" s="111">
        <v>-53232.23</v>
      </c>
      <c r="H151" s="111">
        <v>-30118.17</v>
      </c>
      <c r="I151" s="111">
        <v>-23990.63</v>
      </c>
      <c r="J151" s="111">
        <v>-48247.4</v>
      </c>
      <c r="K151" s="111">
        <v>-43981</v>
      </c>
      <c r="L151" s="111">
        <v>199569.43</v>
      </c>
      <c r="M151" s="111"/>
      <c r="N151" s="111">
        <v>-232549.18</v>
      </c>
    </row>
    <row r="152" spans="1:14">
      <c r="A152" s="64" t="s">
        <v>104</v>
      </c>
      <c r="B152" s="107">
        <f t="shared" ref="B152:L152" si="52">SUM(B146:B151)</f>
        <v>14815.02</v>
      </c>
      <c r="C152" s="107">
        <f t="shared" si="52"/>
        <v>33133.39</v>
      </c>
      <c r="D152" s="107">
        <f t="shared" si="52"/>
        <v>23070.58</v>
      </c>
      <c r="E152" s="107">
        <f t="shared" si="52"/>
        <v>20879.45</v>
      </c>
      <c r="F152" s="107">
        <f t="shared" si="52"/>
        <v>49682.380000000005</v>
      </c>
      <c r="G152" s="107">
        <f t="shared" si="52"/>
        <v>31267.769999999997</v>
      </c>
      <c r="H152" s="107">
        <f t="shared" si="52"/>
        <v>20071.070000000007</v>
      </c>
      <c r="I152" s="107">
        <f t="shared" si="52"/>
        <v>16209.459999999995</v>
      </c>
      <c r="J152" s="107">
        <f t="shared" si="52"/>
        <v>26837.599999999999</v>
      </c>
      <c r="K152" s="107">
        <f t="shared" si="52"/>
        <v>22539.089999999997</v>
      </c>
      <c r="L152" s="107">
        <f t="shared" si="52"/>
        <v>-116924.98999999999</v>
      </c>
      <c r="M152" s="107"/>
      <c r="N152" s="107">
        <v>141580.82</v>
      </c>
    </row>
    <row r="153" spans="1:14">
      <c r="A153" s="64"/>
      <c r="B153" s="22"/>
      <c r="C153" s="22"/>
      <c r="D153" s="22"/>
      <c r="E153" s="22"/>
      <c r="F153" s="22"/>
      <c r="G153" s="22"/>
      <c r="H153" s="22"/>
      <c r="I153" s="22"/>
      <c r="J153" s="22"/>
      <c r="K153" s="22"/>
      <c r="L153" s="22"/>
      <c r="M153" s="22"/>
      <c r="N153" s="22"/>
    </row>
    <row r="154" spans="1:14">
      <c r="A154" s="64" t="s">
        <v>105</v>
      </c>
      <c r="B154" s="113"/>
      <c r="C154" s="113"/>
      <c r="D154" s="113"/>
      <c r="E154" s="113"/>
      <c r="F154" s="113"/>
      <c r="G154" s="113"/>
      <c r="H154" s="113"/>
      <c r="I154" s="113"/>
      <c r="J154" s="113"/>
      <c r="K154" s="113"/>
      <c r="L154" s="113"/>
      <c r="M154" s="113"/>
      <c r="N154" s="113"/>
    </row>
    <row r="155" spans="1:14">
      <c r="A155" s="64"/>
      <c r="B155" s="22"/>
      <c r="C155" s="22"/>
      <c r="D155" s="22"/>
      <c r="E155" s="22"/>
      <c r="F155" s="22"/>
      <c r="G155" s="22"/>
      <c r="H155" s="22"/>
      <c r="I155" s="22"/>
      <c r="J155" s="22"/>
      <c r="K155" s="22"/>
      <c r="L155" s="22"/>
      <c r="M155" s="22"/>
      <c r="N155" s="22"/>
    </row>
    <row r="156" spans="1:14">
      <c r="A156" s="64" t="s">
        <v>106</v>
      </c>
      <c r="B156" s="22"/>
      <c r="C156" s="22"/>
      <c r="D156" s="22"/>
      <c r="E156" s="22"/>
      <c r="F156" s="22"/>
      <c r="G156" s="22"/>
      <c r="H156" s="22"/>
      <c r="I156" s="22"/>
      <c r="J156" s="22"/>
      <c r="K156" s="22"/>
      <c r="L156" s="22"/>
      <c r="M156" s="22"/>
      <c r="N156" s="22"/>
    </row>
    <row r="157" spans="1:14">
      <c r="A157" s="64" t="s">
        <v>107</v>
      </c>
      <c r="B157" s="107">
        <v>3914.51</v>
      </c>
      <c r="C157" s="107">
        <v>7046.75</v>
      </c>
      <c r="D157" s="107">
        <v>6355.22</v>
      </c>
      <c r="E157" s="107">
        <v>4404.79</v>
      </c>
      <c r="F157" s="107">
        <v>4085.65</v>
      </c>
      <c r="G157" s="107">
        <v>9964.86</v>
      </c>
      <c r="H157" s="107">
        <v>9102.91</v>
      </c>
      <c r="I157" s="107">
        <v>8602.91</v>
      </c>
      <c r="J157" s="107">
        <v>5045.07</v>
      </c>
      <c r="K157" s="107">
        <v>2378.58</v>
      </c>
      <c r="L157" s="107">
        <v>-35094.33</v>
      </c>
      <c r="M157" s="22"/>
      <c r="N157" s="107">
        <v>25806.92</v>
      </c>
    </row>
    <row r="158" spans="1:14">
      <c r="A158" s="64" t="s">
        <v>383</v>
      </c>
      <c r="B158" s="22"/>
      <c r="C158" s="22"/>
      <c r="D158" s="22"/>
      <c r="E158" s="22"/>
      <c r="F158" s="22"/>
      <c r="G158" s="107">
        <v>318.56</v>
      </c>
      <c r="H158" s="22"/>
      <c r="I158" s="22"/>
      <c r="J158" s="22"/>
      <c r="K158" s="22"/>
      <c r="L158" s="107">
        <v>-318.56</v>
      </c>
      <c r="M158" s="22"/>
      <c r="N158" s="107"/>
    </row>
    <row r="159" spans="1:14">
      <c r="A159" s="64" t="s">
        <v>108</v>
      </c>
      <c r="B159" s="107">
        <v>28215</v>
      </c>
      <c r="C159" s="107">
        <v>15415</v>
      </c>
      <c r="D159" s="107">
        <v>23030</v>
      </c>
      <c r="E159" s="107">
        <v>28895</v>
      </c>
      <c r="F159" s="107">
        <v>24075</v>
      </c>
      <c r="G159" s="107">
        <v>38670</v>
      </c>
      <c r="H159" s="107">
        <v>46440</v>
      </c>
      <c r="I159" s="107">
        <v>50415</v>
      </c>
      <c r="J159" s="107">
        <v>39105</v>
      </c>
      <c r="K159" s="107">
        <v>24910</v>
      </c>
      <c r="L159" s="107">
        <v>-199540</v>
      </c>
      <c r="M159" s="22"/>
      <c r="N159" s="107">
        <v>119630</v>
      </c>
    </row>
    <row r="160" spans="1:14">
      <c r="A160" s="64" t="s">
        <v>109</v>
      </c>
      <c r="B160" s="107">
        <v>18975</v>
      </c>
      <c r="C160" s="107">
        <v>20845</v>
      </c>
      <c r="D160" s="107">
        <v>30925</v>
      </c>
      <c r="E160" s="107">
        <v>28340</v>
      </c>
      <c r="F160" s="107">
        <v>24645</v>
      </c>
      <c r="G160" s="107">
        <v>37860</v>
      </c>
      <c r="H160" s="107">
        <v>39055</v>
      </c>
      <c r="I160" s="107">
        <v>39370</v>
      </c>
      <c r="J160" s="107">
        <v>44400</v>
      </c>
      <c r="K160" s="107">
        <v>23485</v>
      </c>
      <c r="L160" s="107">
        <v>-184170</v>
      </c>
      <c r="M160" s="22"/>
      <c r="N160" s="107">
        <v>123730</v>
      </c>
    </row>
    <row r="161" spans="1:14">
      <c r="A161" s="64" t="s">
        <v>110</v>
      </c>
      <c r="B161" s="107">
        <v>14060</v>
      </c>
      <c r="C161" s="107">
        <v>10850</v>
      </c>
      <c r="D161" s="107">
        <v>15890</v>
      </c>
      <c r="E161" s="107">
        <v>13495</v>
      </c>
      <c r="F161" s="107">
        <v>12130</v>
      </c>
      <c r="G161" s="107">
        <v>21375</v>
      </c>
      <c r="H161" s="107">
        <v>18270</v>
      </c>
      <c r="I161" s="107">
        <v>14270</v>
      </c>
      <c r="J161" s="107">
        <v>7785</v>
      </c>
      <c r="K161" s="107">
        <v>5890</v>
      </c>
      <c r="L161" s="107">
        <v>-67590</v>
      </c>
      <c r="M161" s="22"/>
      <c r="N161" s="107">
        <v>66425</v>
      </c>
    </row>
    <row r="162" spans="1:14">
      <c r="A162" s="64" t="s">
        <v>111</v>
      </c>
      <c r="B162" s="22"/>
      <c r="C162" s="107">
        <v>3565</v>
      </c>
      <c r="D162" s="107">
        <v>900</v>
      </c>
      <c r="E162" s="22"/>
      <c r="F162" s="107">
        <v>900</v>
      </c>
      <c r="G162" s="22"/>
      <c r="H162" s="22"/>
      <c r="I162" s="107">
        <v>900</v>
      </c>
      <c r="J162" s="22"/>
      <c r="K162" s="107">
        <v>500</v>
      </c>
      <c r="L162" s="107">
        <v>-1400</v>
      </c>
      <c r="M162" s="22"/>
      <c r="N162" s="107">
        <v>5365</v>
      </c>
    </row>
    <row r="163" spans="1:14">
      <c r="A163" s="64" t="s">
        <v>112</v>
      </c>
      <c r="B163" s="22"/>
      <c r="C163" s="107">
        <v>481.82</v>
      </c>
      <c r="D163" s="107">
        <v>1123</v>
      </c>
      <c r="E163" s="107">
        <v>422.9</v>
      </c>
      <c r="F163" s="107">
        <v>481.99</v>
      </c>
      <c r="G163" s="107">
        <v>455.26</v>
      </c>
      <c r="H163" s="107">
        <v>1270.46</v>
      </c>
      <c r="I163" s="107">
        <v>571.27</v>
      </c>
      <c r="J163" s="107">
        <v>234.9</v>
      </c>
      <c r="K163" s="107">
        <v>604.49</v>
      </c>
      <c r="L163" s="107">
        <v>-3136.38</v>
      </c>
      <c r="M163" s="22"/>
      <c r="N163" s="107">
        <v>2509.71</v>
      </c>
    </row>
    <row r="164" spans="1:14">
      <c r="A164" s="64" t="s">
        <v>115</v>
      </c>
      <c r="B164" s="111">
        <v>-49619.14</v>
      </c>
      <c r="C164" s="111">
        <v>-55406.2</v>
      </c>
      <c r="D164" s="111">
        <v>-71505.539999999994</v>
      </c>
      <c r="E164" s="111">
        <v>-66922.81</v>
      </c>
      <c r="F164" s="111">
        <v>-79608.41</v>
      </c>
      <c r="G164" s="111">
        <v>-99480.21</v>
      </c>
      <c r="H164" s="111">
        <v>-88908.56</v>
      </c>
      <c r="I164" s="111">
        <v>-113112.31</v>
      </c>
      <c r="J164" s="111">
        <v>-72051.39</v>
      </c>
      <c r="K164" s="111">
        <v>-54358.04</v>
      </c>
      <c r="L164" s="111">
        <v>427910.51</v>
      </c>
      <c r="M164" s="111"/>
      <c r="N164" s="111">
        <v>-323062.09999999998</v>
      </c>
    </row>
    <row r="165" spans="1:14">
      <c r="A165" s="64" t="s">
        <v>116</v>
      </c>
      <c r="B165" s="107">
        <f t="shared" ref="B165:L165" si="53">SUM(B156:B164)</f>
        <v>15545.370000000003</v>
      </c>
      <c r="C165" s="107">
        <f t="shared" si="53"/>
        <v>2797.3700000000026</v>
      </c>
      <c r="D165" s="107">
        <f t="shared" si="53"/>
        <v>6717.6800000000076</v>
      </c>
      <c r="E165" s="107">
        <f t="shared" si="53"/>
        <v>8634.8800000000047</v>
      </c>
      <c r="F165" s="107">
        <f t="shared" si="53"/>
        <v>-13290.770000000004</v>
      </c>
      <c r="G165" s="107">
        <f t="shared" si="53"/>
        <v>9163.4699999999866</v>
      </c>
      <c r="H165" s="107">
        <f t="shared" si="53"/>
        <v>25229.810000000012</v>
      </c>
      <c r="I165" s="107">
        <f t="shared" si="53"/>
        <v>1016.8700000000099</v>
      </c>
      <c r="J165" s="107">
        <f t="shared" si="53"/>
        <v>24518.58</v>
      </c>
      <c r="K165" s="107">
        <f t="shared" si="53"/>
        <v>3410.0299999999988</v>
      </c>
      <c r="L165" s="107">
        <f t="shared" si="53"/>
        <v>-63338.760000000009</v>
      </c>
      <c r="M165" s="107"/>
      <c r="N165" s="107">
        <v>20404.53</v>
      </c>
    </row>
    <row r="166" spans="1:14">
      <c r="A166" s="64"/>
      <c r="B166" s="22"/>
      <c r="C166" s="22"/>
      <c r="D166" s="22"/>
      <c r="E166" s="22"/>
      <c r="F166" s="22"/>
      <c r="G166" s="22"/>
      <c r="H166" s="22"/>
      <c r="I166" s="22"/>
      <c r="J166" s="22"/>
      <c r="K166" s="22"/>
      <c r="L166" s="22"/>
      <c r="M166" s="22"/>
      <c r="N166" s="22"/>
    </row>
    <row r="167" spans="1:14">
      <c r="A167" s="64" t="s">
        <v>117</v>
      </c>
      <c r="B167" s="22"/>
      <c r="C167" s="22"/>
      <c r="D167" s="22"/>
      <c r="E167" s="22"/>
      <c r="F167" s="22"/>
      <c r="G167" s="22"/>
      <c r="H167" s="22"/>
      <c r="I167" s="22"/>
      <c r="J167" s="22"/>
      <c r="K167" s="22"/>
      <c r="L167" s="22"/>
      <c r="M167" s="22"/>
      <c r="N167" s="22"/>
    </row>
    <row r="168" spans="1:14">
      <c r="A168" s="64" t="s">
        <v>282</v>
      </c>
      <c r="B168" s="22"/>
      <c r="C168" s="22"/>
      <c r="D168" s="22"/>
      <c r="E168" s="22"/>
      <c r="F168" s="22"/>
      <c r="G168" s="22"/>
      <c r="H168" s="22"/>
      <c r="I168" s="22"/>
      <c r="J168" s="22"/>
      <c r="K168" s="22"/>
      <c r="L168" s="22"/>
      <c r="M168" s="22"/>
      <c r="N168" s="22"/>
    </row>
    <row r="169" spans="1:14">
      <c r="A169" s="64" t="s">
        <v>390</v>
      </c>
      <c r="B169" s="113"/>
      <c r="C169" s="113"/>
      <c r="D169" s="113"/>
      <c r="E169" s="113"/>
      <c r="F169" s="113"/>
      <c r="G169" s="111">
        <v>1294.1500000000001</v>
      </c>
      <c r="H169" s="111">
        <v>-1294.1500000000001</v>
      </c>
      <c r="I169" s="113"/>
      <c r="J169" s="113"/>
      <c r="K169" s="113"/>
      <c r="L169" s="113"/>
      <c r="M169" s="113"/>
      <c r="N169" s="111"/>
    </row>
    <row r="170" spans="1:14">
      <c r="A170" s="64" t="s">
        <v>127</v>
      </c>
      <c r="B170" s="107"/>
      <c r="C170" s="107"/>
      <c r="D170" s="107"/>
      <c r="E170" s="107"/>
      <c r="F170" s="107"/>
      <c r="G170" s="107">
        <f>SUM(G167:G169)</f>
        <v>1294.1500000000001</v>
      </c>
      <c r="H170" s="107">
        <f>SUM(H167:H169)</f>
        <v>-1294.1500000000001</v>
      </c>
      <c r="I170" s="107"/>
      <c r="J170" s="107"/>
      <c r="K170" s="107"/>
      <c r="L170" s="107"/>
      <c r="M170" s="107"/>
      <c r="N170" s="107"/>
    </row>
    <row r="171" spans="1:14">
      <c r="A171" s="64"/>
      <c r="B171" s="22"/>
      <c r="C171" s="22"/>
      <c r="D171" s="22"/>
      <c r="E171" s="22"/>
      <c r="F171" s="22"/>
      <c r="G171" s="22"/>
      <c r="H171" s="22"/>
      <c r="I171" s="22"/>
      <c r="J171" s="22"/>
      <c r="K171" s="22"/>
      <c r="L171" s="22"/>
      <c r="M171" s="22"/>
      <c r="N171" s="22"/>
    </row>
    <row r="172" spans="1:14">
      <c r="A172" s="64" t="s">
        <v>47</v>
      </c>
      <c r="B172" s="107">
        <f t="shared" ref="B172:L172" si="54">SUM(B119:B171)-B130-0-0-B152-0-B165-B170</f>
        <v>36805.889999999992</v>
      </c>
      <c r="C172" s="107">
        <f t="shared" si="54"/>
        <v>37737.280000000021</v>
      </c>
      <c r="D172" s="107">
        <f t="shared" si="54"/>
        <v>34116.080000000024</v>
      </c>
      <c r="E172" s="107">
        <f t="shared" si="54"/>
        <v>30655.289999999994</v>
      </c>
      <c r="F172" s="107">
        <f t="shared" si="54"/>
        <v>35250.650000000009</v>
      </c>
      <c r="G172" s="107">
        <f t="shared" si="54"/>
        <v>51274.039999999979</v>
      </c>
      <c r="H172" s="107">
        <f t="shared" si="54"/>
        <v>40596.180000000015</v>
      </c>
      <c r="I172" s="107">
        <f t="shared" si="54"/>
        <v>19793.489999999987</v>
      </c>
      <c r="J172" s="107">
        <f t="shared" si="54"/>
        <v>53878.740000000005</v>
      </c>
      <c r="K172" s="107">
        <f t="shared" si="54"/>
        <v>28141.840000000004</v>
      </c>
      <c r="L172" s="107">
        <f t="shared" si="54"/>
        <v>-193684.2900000001</v>
      </c>
      <c r="M172" s="107"/>
      <c r="N172" s="107">
        <v>174565.19</v>
      </c>
    </row>
    <row r="173" spans="1:14">
      <c r="A173" s="64"/>
      <c r="B173" s="22"/>
      <c r="C173" s="22"/>
      <c r="D173" s="22"/>
      <c r="E173" s="22"/>
      <c r="F173" s="22"/>
      <c r="G173" s="22"/>
      <c r="H173" s="22"/>
      <c r="I173" s="22"/>
      <c r="J173" s="22"/>
      <c r="K173" s="22"/>
      <c r="L173" s="22"/>
      <c r="M173" s="22"/>
      <c r="N173" s="22"/>
    </row>
    <row r="174" spans="1:14">
      <c r="A174" s="64" t="s">
        <v>48</v>
      </c>
      <c r="B174" s="22"/>
      <c r="C174" s="22"/>
      <c r="D174" s="22"/>
      <c r="E174" s="22"/>
      <c r="F174" s="22"/>
      <c r="G174" s="22"/>
      <c r="H174" s="22"/>
      <c r="I174" s="22"/>
      <c r="J174" s="22"/>
      <c r="K174" s="22"/>
      <c r="L174" s="22"/>
      <c r="M174" s="22"/>
      <c r="N174" s="22"/>
    </row>
    <row r="175" spans="1:14">
      <c r="A175" s="64" t="s">
        <v>132</v>
      </c>
      <c r="B175" s="107">
        <v>0.4</v>
      </c>
      <c r="C175" s="22"/>
      <c r="D175" s="22"/>
      <c r="E175" s="22"/>
      <c r="F175" s="107">
        <v>66269.81</v>
      </c>
      <c r="G175" s="22"/>
      <c r="H175" s="107"/>
      <c r="I175" s="22"/>
      <c r="J175" s="22"/>
      <c r="K175" s="22"/>
      <c r="L175" s="107"/>
      <c r="M175" s="107"/>
      <c r="N175" s="107">
        <v>66270.210000000006</v>
      </c>
    </row>
    <row r="176" spans="1:14">
      <c r="A176" s="64" t="s">
        <v>133</v>
      </c>
      <c r="B176" s="107">
        <v>37249</v>
      </c>
      <c r="C176" s="107">
        <v>43542</v>
      </c>
      <c r="D176" s="107">
        <v>54909</v>
      </c>
      <c r="E176" s="107">
        <v>42974</v>
      </c>
      <c r="F176" s="107">
        <v>4877</v>
      </c>
      <c r="G176" s="107">
        <v>36728</v>
      </c>
      <c r="H176" s="107">
        <v>30343</v>
      </c>
      <c r="I176" s="107">
        <v>34529</v>
      </c>
      <c r="J176" s="107">
        <v>36823</v>
      </c>
      <c r="K176" s="107">
        <v>35735</v>
      </c>
      <c r="L176" s="107">
        <v>-174158</v>
      </c>
      <c r="M176" s="22"/>
      <c r="N176" s="107">
        <v>183551</v>
      </c>
    </row>
    <row r="177" spans="1:14">
      <c r="A177" s="64" t="s">
        <v>360</v>
      </c>
      <c r="B177" s="107">
        <v>15000</v>
      </c>
      <c r="C177" s="107">
        <v>8000</v>
      </c>
      <c r="D177" s="107">
        <v>9600</v>
      </c>
      <c r="E177" s="107">
        <v>9550</v>
      </c>
      <c r="F177" s="107">
        <v>11432.16</v>
      </c>
      <c r="G177" s="107">
        <v>16541.259999999998</v>
      </c>
      <c r="H177" s="107">
        <v>16650</v>
      </c>
      <c r="I177" s="107">
        <v>22500</v>
      </c>
      <c r="J177" s="107"/>
      <c r="K177" s="107">
        <v>75000</v>
      </c>
      <c r="L177" s="107">
        <v>-130691.26</v>
      </c>
      <c r="M177" s="22"/>
      <c r="N177" s="107">
        <v>53582.16</v>
      </c>
    </row>
    <row r="178" spans="1:14">
      <c r="A178" s="64" t="s">
        <v>134</v>
      </c>
      <c r="B178" s="107">
        <v>64.67</v>
      </c>
      <c r="C178" s="107">
        <v>72.66</v>
      </c>
      <c r="D178" s="107">
        <v>15.52</v>
      </c>
      <c r="E178" s="107">
        <v>1.43</v>
      </c>
      <c r="F178" s="107">
        <v>28.81</v>
      </c>
      <c r="G178" s="107">
        <v>25.11</v>
      </c>
      <c r="H178" s="107">
        <v>299.08</v>
      </c>
      <c r="I178" s="22"/>
      <c r="J178" s="107">
        <v>486.61</v>
      </c>
      <c r="K178" s="22"/>
      <c r="L178" s="107">
        <v>-810.8</v>
      </c>
      <c r="M178" s="107"/>
      <c r="N178" s="107">
        <v>183.09</v>
      </c>
    </row>
    <row r="179" spans="1:14">
      <c r="A179" s="64" t="s">
        <v>396</v>
      </c>
      <c r="B179" s="22"/>
      <c r="C179" s="22"/>
      <c r="D179" s="22"/>
      <c r="E179" s="22"/>
      <c r="F179" s="107">
        <v>411356</v>
      </c>
      <c r="G179" s="22"/>
      <c r="H179" s="22"/>
      <c r="I179" s="22"/>
      <c r="J179" s="22"/>
      <c r="K179" s="22"/>
      <c r="L179" s="22"/>
      <c r="M179" s="22"/>
      <c r="N179" s="107">
        <v>411356</v>
      </c>
    </row>
    <row r="180" spans="1:14">
      <c r="A180" s="64" t="s">
        <v>397</v>
      </c>
      <c r="B180" s="113"/>
      <c r="C180" s="113"/>
      <c r="D180" s="113"/>
      <c r="E180" s="113"/>
      <c r="F180" s="111">
        <v>-1396442</v>
      </c>
      <c r="G180" s="113"/>
      <c r="H180" s="113"/>
      <c r="I180" s="113"/>
      <c r="J180" s="113"/>
      <c r="K180" s="113"/>
      <c r="L180" s="113"/>
      <c r="M180" s="113"/>
      <c r="N180" s="111">
        <v>-1396442</v>
      </c>
    </row>
    <row r="181" spans="1:14">
      <c r="A181" s="64" t="s">
        <v>135</v>
      </c>
      <c r="B181" s="107">
        <f t="shared" ref="B181:L181" si="55">SUM(B173:B180)</f>
        <v>52314.07</v>
      </c>
      <c r="C181" s="107">
        <f t="shared" si="55"/>
        <v>51614.66</v>
      </c>
      <c r="D181" s="107">
        <f t="shared" si="55"/>
        <v>64524.52</v>
      </c>
      <c r="E181" s="107">
        <f t="shared" si="55"/>
        <v>52525.43</v>
      </c>
      <c r="F181" s="107">
        <f t="shared" si="55"/>
        <v>-902478.22</v>
      </c>
      <c r="G181" s="107">
        <f t="shared" si="55"/>
        <v>53294.369999999995</v>
      </c>
      <c r="H181" s="107">
        <f t="shared" si="55"/>
        <v>47292.08</v>
      </c>
      <c r="I181" s="107">
        <f t="shared" si="55"/>
        <v>57029</v>
      </c>
      <c r="J181" s="107">
        <f t="shared" si="55"/>
        <v>37309.61</v>
      </c>
      <c r="K181" s="107">
        <f t="shared" si="55"/>
        <v>110735</v>
      </c>
      <c r="L181" s="107">
        <f t="shared" si="55"/>
        <v>-305660.06</v>
      </c>
      <c r="M181" s="107"/>
      <c r="N181" s="107">
        <v>-681499.54</v>
      </c>
    </row>
    <row r="182" spans="1:14">
      <c r="A182" s="64"/>
      <c r="B182" s="22"/>
      <c r="C182" s="22"/>
      <c r="D182" s="22"/>
      <c r="E182" s="22"/>
      <c r="F182" s="22"/>
      <c r="G182" s="22"/>
      <c r="H182" s="22"/>
      <c r="I182" s="22"/>
      <c r="J182" s="22"/>
      <c r="K182" s="22"/>
      <c r="L182" s="22"/>
      <c r="M182" s="22"/>
      <c r="N182" s="22"/>
    </row>
    <row r="183" spans="1:14" ht="15.75" thickBot="1">
      <c r="A183" s="64" t="s">
        <v>13</v>
      </c>
      <c r="B183" s="112">
        <f t="shared" ref="B183:L183" si="56">SUM(B67:B182)-B69-B73-B77-B80-B84-B88-B90-B96-B100-B104-B107-B111-B115-B117-B130-0-0-B152-0-B165-B170-B172-B181</f>
        <v>770363.16999999864</v>
      </c>
      <c r="C183" s="112">
        <f t="shared" si="56"/>
        <v>765687.12999999966</v>
      </c>
      <c r="D183" s="112">
        <f t="shared" si="56"/>
        <v>685784.18999999971</v>
      </c>
      <c r="E183" s="112">
        <f t="shared" si="56"/>
        <v>667576.60999999987</v>
      </c>
      <c r="F183" s="112">
        <f t="shared" si="56"/>
        <v>-301140.74999999977</v>
      </c>
      <c r="G183" s="112">
        <f t="shared" si="56"/>
        <v>814665.40999999887</v>
      </c>
      <c r="H183" s="112">
        <f t="shared" si="56"/>
        <v>747243.53000000084</v>
      </c>
      <c r="I183" s="112">
        <f t="shared" si="56"/>
        <v>666031.16999999946</v>
      </c>
      <c r="J183" s="112">
        <f t="shared" si="56"/>
        <v>660182.88000000082</v>
      </c>
      <c r="K183" s="112">
        <f t="shared" si="56"/>
        <v>752459.32000000018</v>
      </c>
      <c r="L183" s="112">
        <f t="shared" si="56"/>
        <v>-3640582.3100000047</v>
      </c>
      <c r="M183" s="112"/>
      <c r="N183" s="112">
        <v>2588270.35</v>
      </c>
    </row>
    <row r="184" spans="1:14" ht="15.75" thickTop="1">
      <c r="A184" s="64"/>
      <c r="B184" s="22"/>
      <c r="C184" s="22"/>
      <c r="D184" s="22"/>
      <c r="E184" s="22"/>
      <c r="F184" s="22"/>
      <c r="G184" s="22"/>
      <c r="H184" s="22"/>
      <c r="I184" s="22"/>
      <c r="J184" s="22"/>
      <c r="K184" s="22"/>
      <c r="L184" s="22"/>
      <c r="M184" s="22"/>
      <c r="N184" s="22"/>
    </row>
    <row r="185" spans="1:14">
      <c r="A185" s="64"/>
      <c r="B185" s="22"/>
      <c r="C185" s="22"/>
      <c r="D185" s="22"/>
      <c r="E185" s="22"/>
      <c r="F185" s="22"/>
      <c r="G185" s="22"/>
      <c r="H185" s="22"/>
      <c r="I185" s="22"/>
      <c r="J185" s="22"/>
      <c r="K185" s="22"/>
      <c r="L185" s="22"/>
      <c r="M185" s="22"/>
      <c r="N185" s="22"/>
    </row>
    <row r="186" spans="1:14">
      <c r="A186" s="64" t="s">
        <v>14</v>
      </c>
      <c r="B186" s="22"/>
      <c r="C186" s="22"/>
      <c r="D186" s="22"/>
      <c r="E186" s="22"/>
      <c r="F186" s="22"/>
      <c r="G186" s="22"/>
      <c r="H186" s="22"/>
      <c r="I186" s="22"/>
      <c r="J186" s="22"/>
      <c r="K186" s="22"/>
      <c r="L186" s="22"/>
      <c r="M186" s="22"/>
      <c r="N186" s="22"/>
    </row>
    <row r="187" spans="1:14">
      <c r="A187" s="64"/>
      <c r="B187" s="22"/>
      <c r="C187" s="22"/>
      <c r="D187" s="22"/>
      <c r="E187" s="22"/>
      <c r="F187" s="22"/>
      <c r="G187" s="22"/>
      <c r="H187" s="22"/>
      <c r="I187" s="22"/>
      <c r="J187" s="22"/>
      <c r="K187" s="22"/>
      <c r="L187" s="22"/>
      <c r="M187" s="22"/>
      <c r="N187" s="22"/>
    </row>
    <row r="188" spans="1:14">
      <c r="A188" s="64" t="s">
        <v>136</v>
      </c>
      <c r="B188" s="22"/>
      <c r="C188" s="22"/>
      <c r="D188" s="22"/>
      <c r="E188" s="22"/>
      <c r="F188" s="22"/>
      <c r="G188" s="22"/>
      <c r="H188" s="22"/>
      <c r="I188" s="22"/>
      <c r="J188" s="22"/>
      <c r="K188" s="22"/>
      <c r="L188" s="22"/>
      <c r="M188" s="22"/>
      <c r="N188" s="22"/>
    </row>
    <row r="189" spans="1:14">
      <c r="A189" s="64" t="s">
        <v>137</v>
      </c>
      <c r="B189" s="107">
        <v>10390.4</v>
      </c>
      <c r="C189" s="107">
        <v>9585.99</v>
      </c>
      <c r="D189" s="107">
        <v>9890.4</v>
      </c>
      <c r="E189" s="107">
        <v>10055.23</v>
      </c>
      <c r="F189" s="107">
        <v>9921.17</v>
      </c>
      <c r="G189" s="107">
        <v>9753.56</v>
      </c>
      <c r="H189" s="107">
        <v>11835.42</v>
      </c>
      <c r="I189" s="107">
        <v>12838.62</v>
      </c>
      <c r="J189" s="107">
        <v>9890.1</v>
      </c>
      <c r="K189" s="107">
        <v>12258.23</v>
      </c>
      <c r="L189" s="107">
        <v>-56575.93</v>
      </c>
      <c r="M189" s="107"/>
      <c r="N189" s="107">
        <v>49843.19</v>
      </c>
    </row>
    <row r="190" spans="1:14">
      <c r="A190" s="64" t="s">
        <v>138</v>
      </c>
      <c r="B190" s="107">
        <v>6900.43</v>
      </c>
      <c r="C190" s="107">
        <v>4226.74</v>
      </c>
      <c r="D190" s="107">
        <v>3624.77</v>
      </c>
      <c r="E190" s="107">
        <v>6037.27</v>
      </c>
      <c r="F190" s="107">
        <v>17652.68</v>
      </c>
      <c r="G190" s="107">
        <v>25999.75</v>
      </c>
      <c r="H190" s="107">
        <v>19905.71</v>
      </c>
      <c r="I190" s="107">
        <v>12839.47</v>
      </c>
      <c r="J190" s="107">
        <v>12162.92</v>
      </c>
      <c r="K190" s="107">
        <v>6537.78</v>
      </c>
      <c r="L190" s="107">
        <v>-77445.63</v>
      </c>
      <c r="M190" s="107"/>
      <c r="N190" s="107">
        <v>38441.89</v>
      </c>
    </row>
    <row r="191" spans="1:14">
      <c r="A191" s="64" t="s">
        <v>139</v>
      </c>
      <c r="B191" s="107">
        <v>137605.75</v>
      </c>
      <c r="C191" s="107">
        <v>116174.43</v>
      </c>
      <c r="D191" s="107">
        <v>117746.6</v>
      </c>
      <c r="E191" s="107">
        <v>101537.98</v>
      </c>
      <c r="F191" s="107">
        <v>94047.47</v>
      </c>
      <c r="G191" s="107">
        <v>101795.09</v>
      </c>
      <c r="H191" s="107">
        <v>84087.41</v>
      </c>
      <c r="I191" s="107">
        <v>89649.2</v>
      </c>
      <c r="J191" s="107">
        <v>85660.9</v>
      </c>
      <c r="K191" s="107">
        <v>79084.06</v>
      </c>
      <c r="L191" s="107">
        <v>-440276.66</v>
      </c>
      <c r="M191" s="107"/>
      <c r="N191" s="107">
        <v>567112.23</v>
      </c>
    </row>
    <row r="192" spans="1:14">
      <c r="A192" s="64" t="s">
        <v>141</v>
      </c>
      <c r="B192" s="107">
        <v>27478.55</v>
      </c>
      <c r="C192" s="107">
        <v>31122.05</v>
      </c>
      <c r="D192" s="107">
        <v>25969.119999999999</v>
      </c>
      <c r="E192" s="107">
        <v>24006.959999999999</v>
      </c>
      <c r="F192" s="107">
        <v>21640.799999999999</v>
      </c>
      <c r="G192" s="107">
        <v>25151.23</v>
      </c>
      <c r="H192" s="107">
        <v>18454.939999999999</v>
      </c>
      <c r="I192" s="107">
        <v>24437.65</v>
      </c>
      <c r="J192" s="107">
        <v>24434.81</v>
      </c>
      <c r="K192" s="107">
        <v>23605.4</v>
      </c>
      <c r="L192" s="107">
        <v>-116084.03</v>
      </c>
      <c r="M192" s="107"/>
      <c r="N192" s="107">
        <v>130217.48</v>
      </c>
    </row>
    <row r="193" spans="1:14">
      <c r="A193" s="64" t="s">
        <v>142</v>
      </c>
      <c r="B193" s="107">
        <v>1596.55</v>
      </c>
      <c r="C193" s="107">
        <v>3287.6</v>
      </c>
      <c r="D193" s="107">
        <v>3503.42</v>
      </c>
      <c r="E193" s="107">
        <v>2473.77</v>
      </c>
      <c r="F193" s="107">
        <v>3935.68</v>
      </c>
      <c r="G193" s="107">
        <v>3084.74</v>
      </c>
      <c r="H193" s="107">
        <v>3435.34</v>
      </c>
      <c r="I193" s="107">
        <v>579.77</v>
      </c>
      <c r="J193" s="107">
        <v>43.1</v>
      </c>
      <c r="K193" s="107">
        <v>1603.81</v>
      </c>
      <c r="L193" s="107">
        <v>-8746.76</v>
      </c>
      <c r="M193" s="107"/>
      <c r="N193" s="107">
        <v>14797.02</v>
      </c>
    </row>
    <row r="194" spans="1:14">
      <c r="A194" s="64" t="s">
        <v>143</v>
      </c>
      <c r="B194" s="107">
        <v>73479.31</v>
      </c>
      <c r="C194" s="107">
        <v>84938.38</v>
      </c>
      <c r="D194" s="107">
        <v>84129.33</v>
      </c>
      <c r="E194" s="107">
        <v>99591.64</v>
      </c>
      <c r="F194" s="107">
        <v>86874.92</v>
      </c>
      <c r="G194" s="107">
        <v>77769.320000000007</v>
      </c>
      <c r="H194" s="107">
        <v>69705.179999999993</v>
      </c>
      <c r="I194" s="107">
        <v>91241.36</v>
      </c>
      <c r="J194" s="107">
        <v>67547.679999999993</v>
      </c>
      <c r="K194" s="107">
        <v>62500.36</v>
      </c>
      <c r="L194" s="107">
        <v>-368763.9</v>
      </c>
      <c r="M194" s="107"/>
      <c r="N194" s="107">
        <v>429013.58</v>
      </c>
    </row>
    <row r="195" spans="1:14">
      <c r="A195" s="64" t="s">
        <v>144</v>
      </c>
      <c r="B195" s="107">
        <v>5109.91</v>
      </c>
      <c r="C195" s="107">
        <v>4714.3</v>
      </c>
      <c r="D195" s="107">
        <v>5109.91</v>
      </c>
      <c r="E195" s="107">
        <v>4945.07</v>
      </c>
      <c r="F195" s="107">
        <v>4879.13</v>
      </c>
      <c r="G195" s="107">
        <v>4648.37</v>
      </c>
      <c r="H195" s="107">
        <v>4615.3999999999996</v>
      </c>
      <c r="I195" s="107">
        <v>4648.3100000000004</v>
      </c>
      <c r="J195" s="107">
        <v>2673.42</v>
      </c>
      <c r="K195" s="107">
        <v>-569.72</v>
      </c>
      <c r="L195" s="107">
        <v>-16015.78</v>
      </c>
      <c r="M195" s="22"/>
      <c r="N195" s="107">
        <v>24758.32</v>
      </c>
    </row>
    <row r="196" spans="1:14">
      <c r="A196" s="64" t="s">
        <v>145</v>
      </c>
      <c r="B196" s="107">
        <v>3917.58</v>
      </c>
      <c r="C196" s="107">
        <v>3614.29</v>
      </c>
      <c r="D196" s="107">
        <v>3917.58</v>
      </c>
      <c r="E196" s="107">
        <v>2906.59</v>
      </c>
      <c r="F196" s="107">
        <v>3740.66</v>
      </c>
      <c r="G196" s="107">
        <v>4739.01</v>
      </c>
      <c r="H196" s="107">
        <v>3249.27</v>
      </c>
      <c r="I196" s="107">
        <v>3628</v>
      </c>
      <c r="J196" s="107">
        <v>4385.71</v>
      </c>
      <c r="K196" s="107">
        <v>3894.57</v>
      </c>
      <c r="L196" s="107">
        <v>-19896.560000000001</v>
      </c>
      <c r="M196" s="107"/>
      <c r="N196" s="107">
        <v>18096.7</v>
      </c>
    </row>
    <row r="197" spans="1:14">
      <c r="A197" s="64" t="s">
        <v>146</v>
      </c>
      <c r="B197" s="107">
        <v>2278.62</v>
      </c>
      <c r="C197" s="107">
        <v>-182.52</v>
      </c>
      <c r="D197" s="107">
        <v>1857.46</v>
      </c>
      <c r="E197" s="107">
        <v>-279.3</v>
      </c>
      <c r="F197" s="22"/>
      <c r="G197" s="22"/>
      <c r="H197" s="22"/>
      <c r="I197" s="22"/>
      <c r="J197" s="22"/>
      <c r="K197" s="22"/>
      <c r="L197" s="22"/>
      <c r="M197" s="22"/>
      <c r="N197" s="107">
        <v>3674.26</v>
      </c>
    </row>
    <row r="198" spans="1:14">
      <c r="A198" s="64" t="s">
        <v>147</v>
      </c>
      <c r="B198" s="107">
        <v>3544.75</v>
      </c>
      <c r="C198" s="107">
        <v>3026.69</v>
      </c>
      <c r="D198" s="107">
        <v>3147.49</v>
      </c>
      <c r="E198" s="107">
        <v>2412.14</v>
      </c>
      <c r="F198" s="107">
        <v>3572.44</v>
      </c>
      <c r="G198" s="107">
        <v>3090.45</v>
      </c>
      <c r="H198" s="107">
        <v>3762.33</v>
      </c>
      <c r="I198" s="107">
        <v>4672.24</v>
      </c>
      <c r="J198" s="107">
        <v>5472.71</v>
      </c>
      <c r="K198" s="107">
        <v>4447.79</v>
      </c>
      <c r="L198" s="107">
        <v>-21445.52</v>
      </c>
      <c r="M198" s="107"/>
      <c r="N198" s="107">
        <v>15703.51</v>
      </c>
    </row>
    <row r="199" spans="1:14">
      <c r="A199" s="64" t="s">
        <v>150</v>
      </c>
      <c r="B199" s="107">
        <v>1292.9100000000001</v>
      </c>
      <c r="C199" s="107">
        <v>1510.35</v>
      </c>
      <c r="D199" s="107">
        <v>686.38</v>
      </c>
      <c r="E199" s="107">
        <v>-150.4</v>
      </c>
      <c r="F199" s="22"/>
      <c r="G199" s="22"/>
      <c r="H199" s="22"/>
      <c r="I199" s="22"/>
      <c r="J199" s="22"/>
      <c r="K199" s="22"/>
      <c r="L199" s="22"/>
      <c r="M199" s="22"/>
      <c r="N199" s="107">
        <v>3339.24</v>
      </c>
    </row>
    <row r="200" spans="1:14">
      <c r="A200" s="64" t="s">
        <v>283</v>
      </c>
      <c r="B200" s="107">
        <v>1258.98</v>
      </c>
      <c r="C200" s="107">
        <v>73.650000000000006</v>
      </c>
      <c r="D200" s="107">
        <v>-14.91</v>
      </c>
      <c r="E200" s="107">
        <v>2259</v>
      </c>
      <c r="F200" s="107">
        <v>2471.29</v>
      </c>
      <c r="G200" s="107">
        <v>1615.47</v>
      </c>
      <c r="H200" s="107">
        <v>2235.5700000000002</v>
      </c>
      <c r="I200" s="107">
        <v>3367.09</v>
      </c>
      <c r="J200" s="107">
        <v>3004.37</v>
      </c>
      <c r="K200" s="107">
        <v>2836.81</v>
      </c>
      <c r="L200" s="107">
        <v>-13059.31</v>
      </c>
      <c r="M200" s="107"/>
      <c r="N200" s="107">
        <v>6048.01</v>
      </c>
    </row>
    <row r="201" spans="1:14">
      <c r="A201" s="64" t="s">
        <v>153</v>
      </c>
      <c r="B201" s="107">
        <v>4698.2700000000004</v>
      </c>
      <c r="C201" s="107">
        <v>4334.54</v>
      </c>
      <c r="D201" s="107">
        <v>4698.2700000000004</v>
      </c>
      <c r="E201" s="107">
        <v>4546.71</v>
      </c>
      <c r="F201" s="107">
        <v>4273.91</v>
      </c>
      <c r="G201" s="107">
        <v>4346.83</v>
      </c>
      <c r="H201" s="107">
        <v>4371.2</v>
      </c>
      <c r="I201" s="107">
        <v>4402.42</v>
      </c>
      <c r="J201" s="107">
        <v>4137.03</v>
      </c>
      <c r="K201" s="107">
        <v>4730.26</v>
      </c>
      <c r="L201" s="107">
        <v>-21987.74</v>
      </c>
      <c r="M201" s="107"/>
      <c r="N201" s="107">
        <v>22551.7</v>
      </c>
    </row>
    <row r="202" spans="1:14">
      <c r="A202" s="64" t="s">
        <v>154</v>
      </c>
      <c r="B202" s="107">
        <v>10901.08</v>
      </c>
      <c r="C202" s="107">
        <v>10057.129999999999</v>
      </c>
      <c r="D202" s="107">
        <v>10401.08</v>
      </c>
      <c r="E202" s="107">
        <v>10549.44</v>
      </c>
      <c r="F202" s="107">
        <v>10408.77</v>
      </c>
      <c r="G202" s="107">
        <v>4290.1099999999997</v>
      </c>
      <c r="H202" s="22"/>
      <c r="I202" s="22"/>
      <c r="J202" s="107">
        <v>11942.29</v>
      </c>
      <c r="K202" s="107">
        <v>10978.01</v>
      </c>
      <c r="L202" s="107">
        <v>-27210.41</v>
      </c>
      <c r="M202" s="107"/>
      <c r="N202" s="107">
        <v>52317.5</v>
      </c>
    </row>
    <row r="203" spans="1:14">
      <c r="A203" s="64" t="s">
        <v>155</v>
      </c>
      <c r="B203" s="111">
        <v>21234.74</v>
      </c>
      <c r="C203" s="111">
        <v>23223.94</v>
      </c>
      <c r="D203" s="111">
        <v>24610.31</v>
      </c>
      <c r="E203" s="111">
        <v>23871.119999999999</v>
      </c>
      <c r="F203" s="111">
        <v>23677.72</v>
      </c>
      <c r="G203" s="111">
        <v>23019.439999999999</v>
      </c>
      <c r="H203" s="111">
        <v>22430.91</v>
      </c>
      <c r="I203" s="111">
        <v>24310.02</v>
      </c>
      <c r="J203" s="111">
        <v>24162.3</v>
      </c>
      <c r="K203" s="111">
        <v>19653.900000000001</v>
      </c>
      <c r="L203" s="111">
        <v>-113576.57</v>
      </c>
      <c r="M203" s="111"/>
      <c r="N203" s="111">
        <v>116617.83</v>
      </c>
    </row>
    <row r="204" spans="1:14">
      <c r="A204" s="64" t="s">
        <v>156</v>
      </c>
      <c r="B204" s="107">
        <f t="shared" ref="B204:L204" si="57">SUM(B184:B203)</f>
        <v>311687.82999999996</v>
      </c>
      <c r="C204" s="107">
        <f t="shared" si="57"/>
        <v>299707.56</v>
      </c>
      <c r="D204" s="107">
        <f t="shared" si="57"/>
        <v>299277.21000000002</v>
      </c>
      <c r="E204" s="107">
        <f t="shared" si="57"/>
        <v>294763.21999999997</v>
      </c>
      <c r="F204" s="107">
        <f t="shared" si="57"/>
        <v>287096.64</v>
      </c>
      <c r="G204" s="107">
        <f t="shared" si="57"/>
        <v>289303.37</v>
      </c>
      <c r="H204" s="107">
        <f t="shared" si="57"/>
        <v>248088.68</v>
      </c>
      <c r="I204" s="107">
        <f t="shared" si="57"/>
        <v>276614.15000000002</v>
      </c>
      <c r="J204" s="107">
        <f t="shared" si="57"/>
        <v>255517.34</v>
      </c>
      <c r="K204" s="107">
        <f t="shared" si="57"/>
        <v>231561.26000000004</v>
      </c>
      <c r="L204" s="107">
        <f t="shared" si="57"/>
        <v>-1301084.8000000003</v>
      </c>
      <c r="M204" s="107"/>
      <c r="N204" s="107">
        <v>1492532.46</v>
      </c>
    </row>
    <row r="205" spans="1:14">
      <c r="A205" s="64"/>
      <c r="B205" s="22"/>
      <c r="C205" s="22"/>
      <c r="D205" s="22"/>
      <c r="E205" s="22"/>
      <c r="F205" s="22"/>
      <c r="G205" s="22"/>
      <c r="H205" s="22"/>
      <c r="I205" s="22"/>
      <c r="J205" s="22"/>
      <c r="K205" s="22"/>
      <c r="L205" s="22"/>
      <c r="M205" s="22"/>
      <c r="N205" s="22"/>
    </row>
    <row r="206" spans="1:14">
      <c r="A206" s="64"/>
      <c r="B206" s="22"/>
      <c r="C206" s="22"/>
      <c r="D206" s="22"/>
      <c r="E206" s="22"/>
      <c r="F206" s="22"/>
      <c r="G206" s="22"/>
      <c r="H206" s="22"/>
      <c r="I206" s="22"/>
      <c r="J206" s="22"/>
      <c r="K206" s="22"/>
      <c r="L206" s="22"/>
      <c r="M206" s="22"/>
      <c r="N206" s="22"/>
    </row>
    <row r="207" spans="1:14">
      <c r="A207" s="64" t="s">
        <v>157</v>
      </c>
      <c r="B207" s="22"/>
      <c r="C207" s="22"/>
      <c r="D207" s="22"/>
      <c r="E207" s="22"/>
      <c r="F207" s="22"/>
      <c r="G207" s="22"/>
      <c r="H207" s="22"/>
      <c r="I207" s="22"/>
      <c r="J207" s="22"/>
      <c r="K207" s="22"/>
      <c r="L207" s="22"/>
      <c r="M207" s="22"/>
      <c r="N207" s="22"/>
    </row>
    <row r="208" spans="1:14">
      <c r="A208" s="64" t="s">
        <v>158</v>
      </c>
      <c r="B208" s="22"/>
      <c r="C208" s="22"/>
      <c r="D208" s="107">
        <v>2176</v>
      </c>
      <c r="E208" s="22"/>
      <c r="F208" s="107">
        <v>-2176</v>
      </c>
      <c r="G208" s="22"/>
      <c r="H208" s="22"/>
      <c r="I208" s="22"/>
      <c r="J208" s="22"/>
      <c r="K208" s="22"/>
      <c r="L208" s="22"/>
      <c r="M208" s="107"/>
      <c r="N208" s="107"/>
    </row>
    <row r="209" spans="1:14">
      <c r="A209" s="64" t="s">
        <v>159</v>
      </c>
      <c r="B209" s="107">
        <v>24750.720000000001</v>
      </c>
      <c r="C209" s="107">
        <v>2142.08</v>
      </c>
      <c r="D209" s="107">
        <v>1340.95</v>
      </c>
      <c r="E209" s="107">
        <v>6105.84</v>
      </c>
      <c r="F209" s="107">
        <v>-48563.69</v>
      </c>
      <c r="G209" s="107"/>
      <c r="H209" s="107"/>
      <c r="I209" s="107"/>
      <c r="J209" s="107">
        <v>5500</v>
      </c>
      <c r="K209" s="107">
        <v>-5500</v>
      </c>
      <c r="L209" s="107"/>
      <c r="M209" s="107"/>
      <c r="N209" s="107">
        <v>-14224.1</v>
      </c>
    </row>
    <row r="210" spans="1:14">
      <c r="A210" s="64" t="s">
        <v>161</v>
      </c>
      <c r="B210" s="111">
        <v>32790.129999999997</v>
      </c>
      <c r="C210" s="111">
        <v>15836.7</v>
      </c>
      <c r="D210" s="111">
        <v>9121.5</v>
      </c>
      <c r="E210" s="111">
        <v>8134</v>
      </c>
      <c r="F210" s="111">
        <v>-215278.99</v>
      </c>
      <c r="G210" s="111"/>
      <c r="H210" s="111"/>
      <c r="I210" s="111"/>
      <c r="J210" s="111">
        <v>6300</v>
      </c>
      <c r="K210" s="111">
        <v>-6300</v>
      </c>
      <c r="L210" s="111"/>
      <c r="M210" s="111"/>
      <c r="N210" s="111">
        <v>-149396.66</v>
      </c>
    </row>
    <row r="211" spans="1:14">
      <c r="A211" s="64" t="s">
        <v>162</v>
      </c>
      <c r="B211" s="107">
        <f>SUM(B205:B210)</f>
        <v>57540.85</v>
      </c>
      <c r="C211" s="107">
        <f>SUM(C205:C210)</f>
        <v>17978.78</v>
      </c>
      <c r="D211" s="107">
        <f>SUM(D205:D210)</f>
        <v>12638.45</v>
      </c>
      <c r="E211" s="107">
        <f>SUM(E205:E210)</f>
        <v>14239.84</v>
      </c>
      <c r="F211" s="107">
        <f>SUM(F205:F210)</f>
        <v>-266018.68</v>
      </c>
      <c r="G211" s="107"/>
      <c r="H211" s="107"/>
      <c r="I211" s="107"/>
      <c r="J211" s="107">
        <f>SUM(J205:J210)</f>
        <v>11800</v>
      </c>
      <c r="K211" s="107">
        <f>SUM(K205:K210)</f>
        <v>-11800</v>
      </c>
      <c r="L211" s="107"/>
      <c r="M211" s="107"/>
      <c r="N211" s="107">
        <v>-163620.76</v>
      </c>
    </row>
    <row r="212" spans="1:14">
      <c r="A212" s="64"/>
      <c r="B212" s="22"/>
      <c r="C212" s="22"/>
      <c r="D212" s="22"/>
      <c r="E212" s="22"/>
      <c r="F212" s="22"/>
      <c r="G212" s="22"/>
      <c r="H212" s="22"/>
      <c r="I212" s="22"/>
      <c r="J212" s="22"/>
      <c r="K212" s="22"/>
      <c r="L212" s="22"/>
      <c r="M212" s="22"/>
      <c r="N212" s="22"/>
    </row>
    <row r="213" spans="1:14">
      <c r="A213" s="64" t="s">
        <v>163</v>
      </c>
      <c r="B213" s="22"/>
      <c r="C213" s="22"/>
      <c r="D213" s="22"/>
      <c r="E213" s="22"/>
      <c r="F213" s="22"/>
      <c r="G213" s="22"/>
      <c r="H213" s="22"/>
      <c r="I213" s="22"/>
      <c r="J213" s="22"/>
      <c r="K213" s="22"/>
      <c r="L213" s="22"/>
      <c r="M213" s="22"/>
      <c r="N213" s="22"/>
    </row>
    <row r="214" spans="1:14">
      <c r="A214" s="64" t="s">
        <v>164</v>
      </c>
      <c r="B214" s="107">
        <v>26106.880000000001</v>
      </c>
      <c r="C214" s="107">
        <v>25232.14</v>
      </c>
      <c r="D214" s="107">
        <v>24386</v>
      </c>
      <c r="E214" s="107">
        <v>23580.35</v>
      </c>
      <c r="F214" s="107">
        <v>23985.439999999999</v>
      </c>
      <c r="G214" s="107">
        <v>24814.5</v>
      </c>
      <c r="H214" s="107">
        <v>19716.849999999999</v>
      </c>
      <c r="I214" s="107">
        <v>21893.43</v>
      </c>
      <c r="J214" s="107">
        <v>19998.64</v>
      </c>
      <c r="K214" s="107">
        <v>19295.650000000001</v>
      </c>
      <c r="L214" s="107">
        <v>-105719.07</v>
      </c>
      <c r="M214" s="107"/>
      <c r="N214" s="107">
        <v>123290.81</v>
      </c>
    </row>
    <row r="215" spans="1:14">
      <c r="A215" s="64" t="s">
        <v>165</v>
      </c>
      <c r="B215" s="107">
        <v>800.13</v>
      </c>
      <c r="C215" s="107">
        <v>714.05</v>
      </c>
      <c r="D215" s="107">
        <v>-735.1</v>
      </c>
      <c r="E215" s="107">
        <v>253.07</v>
      </c>
      <c r="F215" s="107">
        <v>372.58</v>
      </c>
      <c r="G215" s="107">
        <v>4214.53</v>
      </c>
      <c r="H215" s="107">
        <v>1641.45</v>
      </c>
      <c r="I215" s="107">
        <v>5656.94</v>
      </c>
      <c r="J215" s="107">
        <v>-8162.2</v>
      </c>
      <c r="K215" s="107">
        <v>663.47</v>
      </c>
      <c r="L215" s="107">
        <v>-4014.19</v>
      </c>
      <c r="M215" s="107"/>
      <c r="N215" s="107">
        <v>1404.73</v>
      </c>
    </row>
    <row r="216" spans="1:14">
      <c r="A216" s="64" t="s">
        <v>166</v>
      </c>
      <c r="B216" s="107">
        <v>3074.73</v>
      </c>
      <c r="C216" s="107">
        <v>3686.89</v>
      </c>
      <c r="D216" s="107">
        <v>3354.11</v>
      </c>
      <c r="E216" s="107">
        <v>4625.59</v>
      </c>
      <c r="F216" s="107">
        <v>4815.38</v>
      </c>
      <c r="G216" s="107">
        <v>2421.44</v>
      </c>
      <c r="H216" s="107">
        <v>3980.3</v>
      </c>
      <c r="I216" s="107">
        <v>3567.65</v>
      </c>
      <c r="J216" s="107">
        <v>2440.62</v>
      </c>
      <c r="K216" s="107">
        <v>2304.0700000000002</v>
      </c>
      <c r="L216" s="107">
        <v>-14714.08</v>
      </c>
      <c r="M216" s="107"/>
      <c r="N216" s="107">
        <v>19556.7</v>
      </c>
    </row>
    <row r="217" spans="1:14">
      <c r="A217" s="64" t="s">
        <v>167</v>
      </c>
      <c r="B217" s="107">
        <v>6902.1</v>
      </c>
      <c r="C217" s="107">
        <v>6112.24</v>
      </c>
      <c r="D217" s="107">
        <v>2871.72</v>
      </c>
      <c r="E217" s="107">
        <v>5182.91</v>
      </c>
      <c r="F217" s="107">
        <v>1435.08</v>
      </c>
      <c r="G217" s="107">
        <v>-536.28</v>
      </c>
      <c r="H217" s="107">
        <v>1195.5</v>
      </c>
      <c r="I217" s="107">
        <v>5352.47</v>
      </c>
      <c r="J217" s="107">
        <v>4531.37</v>
      </c>
      <c r="K217" s="107">
        <v>4487.08</v>
      </c>
      <c r="L217" s="107">
        <v>-15030.14</v>
      </c>
      <c r="M217" s="107"/>
      <c r="N217" s="107">
        <v>22504.05</v>
      </c>
    </row>
    <row r="218" spans="1:14">
      <c r="A218" s="64" t="s">
        <v>168</v>
      </c>
      <c r="B218" s="22"/>
      <c r="C218" s="107">
        <v>8937.98</v>
      </c>
      <c r="D218" s="22"/>
      <c r="E218" s="107">
        <v>9829.85</v>
      </c>
      <c r="F218" s="107">
        <v>10227.25</v>
      </c>
      <c r="G218" s="107">
        <v>10227.209999999999</v>
      </c>
      <c r="H218" s="22"/>
      <c r="I218" s="22"/>
      <c r="J218" s="22"/>
      <c r="K218" s="107">
        <v>10673.22</v>
      </c>
      <c r="L218" s="107">
        <v>-20900.43</v>
      </c>
      <c r="M218" s="22"/>
      <c r="N218" s="107">
        <v>28995.08</v>
      </c>
    </row>
    <row r="219" spans="1:14">
      <c r="A219" s="64" t="s">
        <v>169</v>
      </c>
      <c r="B219" s="107">
        <v>4860.95</v>
      </c>
      <c r="C219" s="107">
        <v>6719.63</v>
      </c>
      <c r="D219" s="107">
        <v>6059.49</v>
      </c>
      <c r="E219" s="107">
        <v>87.49</v>
      </c>
      <c r="F219" s="107">
        <v>4913.1899999999996</v>
      </c>
      <c r="G219" s="107">
        <v>7855.62</v>
      </c>
      <c r="H219" s="107">
        <v>4227.6099999999997</v>
      </c>
      <c r="I219" s="107">
        <v>1349.49</v>
      </c>
      <c r="J219" s="107">
        <v>50.9</v>
      </c>
      <c r="K219" s="107">
        <v>2439.2800000000002</v>
      </c>
      <c r="L219" s="107">
        <v>-15922.9</v>
      </c>
      <c r="M219" s="107"/>
      <c r="N219" s="107">
        <v>22640.75</v>
      </c>
    </row>
    <row r="220" spans="1:14">
      <c r="A220" s="64" t="s">
        <v>170</v>
      </c>
      <c r="B220" s="107">
        <v>6575</v>
      </c>
      <c r="C220" s="107">
        <v>6110.71</v>
      </c>
      <c r="D220" s="107">
        <v>6371.43</v>
      </c>
      <c r="E220" s="107">
        <v>5157.1499999999996</v>
      </c>
      <c r="F220" s="107">
        <v>5114.28</v>
      </c>
      <c r="G220" s="107">
        <v>5857.14</v>
      </c>
      <c r="H220" s="107">
        <v>4042.87</v>
      </c>
      <c r="I220" s="107">
        <v>6135.7</v>
      </c>
      <c r="J220" s="107">
        <v>4335.72</v>
      </c>
      <c r="K220" s="107">
        <v>4842.8599999999997</v>
      </c>
      <c r="L220" s="107">
        <v>-25214.29</v>
      </c>
      <c r="M220" s="107"/>
      <c r="N220" s="107">
        <v>29328.57</v>
      </c>
    </row>
    <row r="221" spans="1:14">
      <c r="A221" s="64" t="s">
        <v>318</v>
      </c>
      <c r="B221" s="107">
        <v>825</v>
      </c>
      <c r="C221" s="107">
        <v>125</v>
      </c>
      <c r="D221" s="107">
        <v>150</v>
      </c>
      <c r="E221" s="107">
        <v>900</v>
      </c>
      <c r="F221" s="107">
        <v>3052.66</v>
      </c>
      <c r="G221" s="107">
        <v>330</v>
      </c>
      <c r="H221" s="107">
        <v>3600</v>
      </c>
      <c r="I221" s="22"/>
      <c r="J221" s="22"/>
      <c r="K221" s="107">
        <v>1160</v>
      </c>
      <c r="L221" s="107">
        <v>-5090</v>
      </c>
      <c r="M221" s="107"/>
      <c r="N221" s="107">
        <v>5052.66</v>
      </c>
    </row>
    <row r="222" spans="1:14">
      <c r="A222" s="64" t="s">
        <v>171</v>
      </c>
      <c r="B222" s="111">
        <v>5655.45</v>
      </c>
      <c r="C222" s="111">
        <v>1300.9000000000001</v>
      </c>
      <c r="D222" s="111">
        <v>4685.13</v>
      </c>
      <c r="E222" s="111">
        <v>175</v>
      </c>
      <c r="F222" s="111">
        <v>2685.2</v>
      </c>
      <c r="G222" s="111">
        <v>732.35</v>
      </c>
      <c r="H222" s="111">
        <v>100</v>
      </c>
      <c r="I222" s="111">
        <v>2468.5100000000002</v>
      </c>
      <c r="J222" s="113"/>
      <c r="K222" s="111">
        <v>829.29</v>
      </c>
      <c r="L222" s="111">
        <v>-4130.1499999999996</v>
      </c>
      <c r="M222" s="113"/>
      <c r="N222" s="111">
        <v>14501.68</v>
      </c>
    </row>
    <row r="223" spans="1:14">
      <c r="A223" s="64" t="s">
        <v>16</v>
      </c>
      <c r="B223" s="107">
        <f t="shared" ref="B223:L223" si="58">SUM(B212:B222)</f>
        <v>54800.24</v>
      </c>
      <c r="C223" s="107">
        <f t="shared" si="58"/>
        <v>58939.54</v>
      </c>
      <c r="D223" s="107">
        <f t="shared" si="58"/>
        <v>47142.78</v>
      </c>
      <c r="E223" s="107">
        <f t="shared" si="58"/>
        <v>49791.409999999996</v>
      </c>
      <c r="F223" s="107">
        <f t="shared" si="58"/>
        <v>56601.06</v>
      </c>
      <c r="G223" s="107">
        <f t="shared" si="58"/>
        <v>55916.509999999995</v>
      </c>
      <c r="H223" s="107">
        <f t="shared" si="58"/>
        <v>38504.58</v>
      </c>
      <c r="I223" s="107">
        <f t="shared" si="58"/>
        <v>46424.189999999995</v>
      </c>
      <c r="J223" s="107">
        <f t="shared" si="58"/>
        <v>23195.05</v>
      </c>
      <c r="K223" s="107">
        <f t="shared" si="58"/>
        <v>46694.920000000006</v>
      </c>
      <c r="L223" s="107">
        <f t="shared" si="58"/>
        <v>-210735.25</v>
      </c>
      <c r="M223" s="107"/>
      <c r="N223" s="107">
        <v>267275.03000000003</v>
      </c>
    </row>
    <row r="224" spans="1:14">
      <c r="A224" s="64"/>
      <c r="B224" s="22"/>
      <c r="C224" s="22"/>
      <c r="D224" s="22"/>
      <c r="E224" s="22"/>
      <c r="F224" s="22"/>
      <c r="G224" s="22"/>
      <c r="H224" s="22"/>
      <c r="I224" s="22"/>
      <c r="J224" s="22"/>
      <c r="K224" s="22"/>
      <c r="L224" s="22"/>
      <c r="M224" s="22"/>
      <c r="N224" s="22"/>
    </row>
    <row r="225" spans="1:14">
      <c r="A225" s="64" t="s">
        <v>17</v>
      </c>
      <c r="B225" s="22"/>
      <c r="C225" s="22"/>
      <c r="D225" s="22"/>
      <c r="E225" s="22"/>
      <c r="F225" s="22"/>
      <c r="G225" s="22"/>
      <c r="H225" s="22"/>
      <c r="I225" s="22"/>
      <c r="J225" s="22"/>
      <c r="K225" s="22"/>
      <c r="L225" s="22"/>
      <c r="M225" s="22"/>
      <c r="N225" s="22"/>
    </row>
    <row r="226" spans="1:14">
      <c r="A226" s="64" t="s">
        <v>172</v>
      </c>
      <c r="B226" s="107">
        <v>19692.849999999999</v>
      </c>
      <c r="C226" s="107">
        <v>24121.86</v>
      </c>
      <c r="D226" s="107">
        <v>23230.52</v>
      </c>
      <c r="E226" s="107">
        <v>4892.53</v>
      </c>
      <c r="F226" s="107">
        <v>12607.33</v>
      </c>
      <c r="G226" s="107">
        <v>23617.52</v>
      </c>
      <c r="H226" s="107">
        <v>17395.43</v>
      </c>
      <c r="I226" s="107">
        <v>17900</v>
      </c>
      <c r="J226" s="107">
        <v>17900</v>
      </c>
      <c r="K226" s="107">
        <v>1092.6400000000001</v>
      </c>
      <c r="L226" s="107">
        <v>-77905.59</v>
      </c>
      <c r="M226" s="107"/>
      <c r="N226" s="107">
        <v>84545.09</v>
      </c>
    </row>
    <row r="227" spans="1:14">
      <c r="A227" s="64" t="s">
        <v>173</v>
      </c>
      <c r="B227" s="107">
        <v>20167.82</v>
      </c>
      <c r="C227" s="107">
        <v>18743.91</v>
      </c>
      <c r="D227" s="107">
        <v>16690.72</v>
      </c>
      <c r="E227" s="107">
        <v>19925.22</v>
      </c>
      <c r="F227" s="107">
        <v>20373.41</v>
      </c>
      <c r="G227" s="107">
        <v>21083.200000000001</v>
      </c>
      <c r="H227" s="107">
        <v>21813.83</v>
      </c>
      <c r="I227" s="107">
        <v>21000</v>
      </c>
      <c r="J227" s="107">
        <v>21415.3</v>
      </c>
      <c r="K227" s="107">
        <v>21445.56</v>
      </c>
      <c r="L227" s="107">
        <v>-106757.89</v>
      </c>
      <c r="M227" s="107"/>
      <c r="N227" s="107">
        <v>95901.08</v>
      </c>
    </row>
    <row r="228" spans="1:14">
      <c r="A228" s="64" t="s">
        <v>174</v>
      </c>
      <c r="B228" s="107">
        <v>23916.97</v>
      </c>
      <c r="C228" s="107">
        <v>25184.21</v>
      </c>
      <c r="D228" s="107">
        <v>21623.11</v>
      </c>
      <c r="E228" s="107">
        <v>19975.91</v>
      </c>
      <c r="F228" s="107">
        <v>25996.13</v>
      </c>
      <c r="G228" s="107">
        <v>30446.87</v>
      </c>
      <c r="H228" s="107">
        <v>25315.19</v>
      </c>
      <c r="I228" s="107">
        <v>27300</v>
      </c>
      <c r="J228" s="107">
        <v>21676.57</v>
      </c>
      <c r="K228" s="107">
        <v>24784.71</v>
      </c>
      <c r="L228" s="107">
        <v>-129523.34</v>
      </c>
      <c r="M228" s="107"/>
      <c r="N228" s="107">
        <v>116696.33</v>
      </c>
    </row>
    <row r="229" spans="1:14">
      <c r="A229" s="64" t="s">
        <v>175</v>
      </c>
      <c r="B229" s="107">
        <v>13086.04</v>
      </c>
      <c r="C229" s="107">
        <v>13093.43</v>
      </c>
      <c r="D229" s="107">
        <v>10746.67</v>
      </c>
      <c r="E229" s="107">
        <v>11228.05</v>
      </c>
      <c r="F229" s="107">
        <v>12592.35</v>
      </c>
      <c r="G229" s="107">
        <v>13765.25</v>
      </c>
      <c r="H229" s="107">
        <v>12316.31</v>
      </c>
      <c r="I229" s="107">
        <v>12900</v>
      </c>
      <c r="J229" s="107">
        <v>6707.18</v>
      </c>
      <c r="K229" s="107">
        <v>10570.08</v>
      </c>
      <c r="L229" s="107">
        <v>-56258.82</v>
      </c>
      <c r="M229" s="107"/>
      <c r="N229" s="107">
        <v>60746.54</v>
      </c>
    </row>
    <row r="230" spans="1:14">
      <c r="A230" s="64" t="s">
        <v>177</v>
      </c>
      <c r="B230" s="107">
        <v>2309.15</v>
      </c>
      <c r="C230" s="107">
        <v>3293.56</v>
      </c>
      <c r="D230" s="107">
        <v>2279.0700000000002</v>
      </c>
      <c r="E230" s="107">
        <v>2575.3200000000002</v>
      </c>
      <c r="F230" s="107">
        <v>819.48</v>
      </c>
      <c r="G230" s="107">
        <v>3057.95</v>
      </c>
      <c r="H230" s="107">
        <v>1778.13</v>
      </c>
      <c r="I230" s="107">
        <v>2577.7600000000002</v>
      </c>
      <c r="J230" s="107">
        <v>1541.25</v>
      </c>
      <c r="K230" s="107">
        <v>2216</v>
      </c>
      <c r="L230" s="107">
        <v>-11171.09</v>
      </c>
      <c r="M230" s="107"/>
      <c r="N230" s="107">
        <v>11276.58</v>
      </c>
    </row>
    <row r="231" spans="1:14">
      <c r="A231" s="64" t="s">
        <v>178</v>
      </c>
      <c r="B231" s="107">
        <v>225</v>
      </c>
      <c r="C231" s="107">
        <v>3330</v>
      </c>
      <c r="D231" s="107">
        <v>1195</v>
      </c>
      <c r="E231" s="107">
        <v>1583.33</v>
      </c>
      <c r="F231" s="107">
        <v>-803.33</v>
      </c>
      <c r="G231" s="107">
        <v>555</v>
      </c>
      <c r="H231" s="107"/>
      <c r="I231" s="107">
        <v>1493.16</v>
      </c>
      <c r="J231" s="22"/>
      <c r="K231" s="107">
        <v>1635</v>
      </c>
      <c r="L231" s="107">
        <v>-3683.16</v>
      </c>
      <c r="M231" s="107"/>
      <c r="N231" s="107">
        <v>5530</v>
      </c>
    </row>
    <row r="232" spans="1:14">
      <c r="A232" s="64" t="s">
        <v>179</v>
      </c>
      <c r="B232" s="107">
        <v>3753.36</v>
      </c>
      <c r="C232" s="107">
        <v>3716.28</v>
      </c>
      <c r="D232" s="107">
        <v>68.97</v>
      </c>
      <c r="E232" s="107">
        <v>1603.22</v>
      </c>
      <c r="F232" s="107">
        <v>3889.47</v>
      </c>
      <c r="G232" s="107">
        <v>1378.4</v>
      </c>
      <c r="H232" s="107">
        <v>1731.88</v>
      </c>
      <c r="I232" s="107">
        <v>1400</v>
      </c>
      <c r="J232" s="107">
        <v>2425.31</v>
      </c>
      <c r="K232" s="107">
        <v>2368.61</v>
      </c>
      <c r="L232" s="107">
        <v>-9304.2000000000007</v>
      </c>
      <c r="M232" s="107"/>
      <c r="N232" s="107">
        <v>13031.3</v>
      </c>
    </row>
    <row r="233" spans="1:14">
      <c r="A233" s="64" t="s">
        <v>180</v>
      </c>
      <c r="B233" s="107">
        <v>2526.9499999999998</v>
      </c>
      <c r="C233" s="107">
        <v>2482.65</v>
      </c>
      <c r="D233" s="107">
        <v>2018.69</v>
      </c>
      <c r="E233" s="107">
        <v>2294.86</v>
      </c>
      <c r="F233" s="107">
        <v>1319.79</v>
      </c>
      <c r="G233" s="107">
        <v>1201.48</v>
      </c>
      <c r="H233" s="107">
        <v>1127.3699999999999</v>
      </c>
      <c r="I233" s="107">
        <v>1772.02</v>
      </c>
      <c r="J233" s="107">
        <v>1526.45</v>
      </c>
      <c r="K233" s="107">
        <v>1589.59</v>
      </c>
      <c r="L233" s="107">
        <v>-7216.91</v>
      </c>
      <c r="M233" s="107"/>
      <c r="N233" s="107">
        <v>10642.94</v>
      </c>
    </row>
    <row r="234" spans="1:14">
      <c r="A234" s="64" t="s">
        <v>181</v>
      </c>
      <c r="B234" s="107">
        <v>4377.3599999999997</v>
      </c>
      <c r="C234" s="107">
        <v>4421.8100000000004</v>
      </c>
      <c r="D234" s="107">
        <v>3728.87</v>
      </c>
      <c r="E234" s="107">
        <v>3972.61</v>
      </c>
      <c r="F234" s="107">
        <v>4852.4799999999996</v>
      </c>
      <c r="G234" s="107">
        <v>3385.53</v>
      </c>
      <c r="H234" s="107">
        <v>2751.21</v>
      </c>
      <c r="I234" s="107">
        <v>3462.56</v>
      </c>
      <c r="J234" s="107">
        <v>4334.8100000000004</v>
      </c>
      <c r="K234" s="107">
        <v>3825.04</v>
      </c>
      <c r="L234" s="107">
        <v>-17759.150000000001</v>
      </c>
      <c r="M234" s="22"/>
      <c r="N234" s="107">
        <v>21353.13</v>
      </c>
    </row>
    <row r="235" spans="1:14">
      <c r="A235" s="64" t="s">
        <v>182</v>
      </c>
      <c r="B235" s="107">
        <v>131.52000000000001</v>
      </c>
      <c r="C235" s="22"/>
      <c r="D235" s="107">
        <v>263.04000000000002</v>
      </c>
      <c r="E235" s="22"/>
      <c r="F235" s="107">
        <v>264.18</v>
      </c>
      <c r="G235" s="107"/>
      <c r="H235" s="22"/>
      <c r="I235" s="107">
        <v>131.52000000000001</v>
      </c>
      <c r="J235" s="22"/>
      <c r="K235" s="22"/>
      <c r="L235" s="107">
        <v>-131.52000000000001</v>
      </c>
      <c r="M235" s="22"/>
      <c r="N235" s="107">
        <v>658.74</v>
      </c>
    </row>
    <row r="236" spans="1:14">
      <c r="A236" s="64" t="s">
        <v>183</v>
      </c>
      <c r="B236" s="107">
        <v>577.28</v>
      </c>
      <c r="C236" s="107">
        <v>936.54</v>
      </c>
      <c r="D236" s="107">
        <v>501.5</v>
      </c>
      <c r="E236" s="107">
        <v>42.94</v>
      </c>
      <c r="F236" s="107">
        <v>579.91999999999996</v>
      </c>
      <c r="G236" s="22"/>
      <c r="H236" s="107">
        <v>863.57</v>
      </c>
      <c r="I236" s="107">
        <v>209.69</v>
      </c>
      <c r="J236" s="107">
        <v>255.85</v>
      </c>
      <c r="K236" s="107">
        <v>1359.31</v>
      </c>
      <c r="L236" s="107">
        <v>-2688.42</v>
      </c>
      <c r="M236" s="107"/>
      <c r="N236" s="107">
        <v>2638.18</v>
      </c>
    </row>
    <row r="237" spans="1:14">
      <c r="A237" s="64" t="s">
        <v>184</v>
      </c>
      <c r="B237" s="111">
        <v>2900.6</v>
      </c>
      <c r="C237" s="111">
        <v>4351.87</v>
      </c>
      <c r="D237" s="111">
        <v>4460.87</v>
      </c>
      <c r="E237" s="111">
        <v>2917.34</v>
      </c>
      <c r="F237" s="111">
        <v>2607.7399999999998</v>
      </c>
      <c r="G237" s="111">
        <v>1594.52</v>
      </c>
      <c r="H237" s="111">
        <v>1341.19</v>
      </c>
      <c r="I237" s="111">
        <v>1800</v>
      </c>
      <c r="J237" s="111">
        <v>3465.01</v>
      </c>
      <c r="K237" s="111">
        <v>2244.14</v>
      </c>
      <c r="L237" s="111">
        <v>-10444.86</v>
      </c>
      <c r="M237" s="111"/>
      <c r="N237" s="111">
        <v>17238.419999999998</v>
      </c>
    </row>
    <row r="238" spans="1:14">
      <c r="A238" s="64" t="s">
        <v>185</v>
      </c>
      <c r="B238" s="107">
        <f t="shared" ref="B238:L238" si="59">SUM(B224:B237)</f>
        <v>93664.9</v>
      </c>
      <c r="C238" s="107">
        <f t="shared" si="59"/>
        <v>103676.11999999998</v>
      </c>
      <c r="D238" s="107">
        <f t="shared" si="59"/>
        <v>86807.03</v>
      </c>
      <c r="E238" s="107">
        <f t="shared" si="59"/>
        <v>71011.33</v>
      </c>
      <c r="F238" s="107">
        <f t="shared" si="59"/>
        <v>85098.949999999983</v>
      </c>
      <c r="G238" s="107">
        <f t="shared" si="59"/>
        <v>100085.71999999999</v>
      </c>
      <c r="H238" s="107">
        <f t="shared" si="59"/>
        <v>86434.110000000015</v>
      </c>
      <c r="I238" s="107">
        <f t="shared" si="59"/>
        <v>91946.71</v>
      </c>
      <c r="J238" s="107">
        <f t="shared" si="59"/>
        <v>81247.73</v>
      </c>
      <c r="K238" s="107">
        <f t="shared" si="59"/>
        <v>73130.679999999993</v>
      </c>
      <c r="L238" s="107">
        <f t="shared" si="59"/>
        <v>-432844.94999999995</v>
      </c>
      <c r="M238" s="107"/>
      <c r="N238" s="107">
        <v>440258.33</v>
      </c>
    </row>
    <row r="239" spans="1:14">
      <c r="A239" s="64"/>
      <c r="B239" s="22"/>
      <c r="C239" s="22"/>
      <c r="D239" s="22"/>
      <c r="E239" s="22"/>
      <c r="F239" s="22"/>
      <c r="G239" s="22"/>
      <c r="H239" s="22"/>
      <c r="I239" s="22"/>
      <c r="J239" s="22"/>
      <c r="K239" s="22"/>
      <c r="L239" s="22"/>
      <c r="M239" s="22"/>
      <c r="N239" s="22"/>
    </row>
    <row r="240" spans="1:14">
      <c r="A240" s="64" t="s">
        <v>186</v>
      </c>
      <c r="B240" s="22"/>
      <c r="C240" s="22"/>
      <c r="D240" s="22"/>
      <c r="E240" s="22"/>
      <c r="F240" s="22"/>
      <c r="G240" s="22"/>
      <c r="H240" s="22"/>
      <c r="I240" s="22"/>
      <c r="J240" s="22"/>
      <c r="K240" s="22"/>
      <c r="L240" s="22"/>
      <c r="M240" s="22"/>
      <c r="N240" s="22"/>
    </row>
    <row r="241" spans="1:14">
      <c r="A241" s="64" t="s">
        <v>187</v>
      </c>
      <c r="B241" s="107">
        <v>5105</v>
      </c>
      <c r="C241" s="107">
        <v>5000</v>
      </c>
      <c r="D241" s="107">
        <v>5000</v>
      </c>
      <c r="E241" s="107">
        <v>5000</v>
      </c>
      <c r="F241" s="107">
        <v>5000</v>
      </c>
      <c r="G241" s="107">
        <v>5000</v>
      </c>
      <c r="H241" s="107">
        <v>4500</v>
      </c>
      <c r="I241" s="107">
        <v>5000</v>
      </c>
      <c r="J241" s="107">
        <v>5000</v>
      </c>
      <c r="K241" s="107">
        <v>5000</v>
      </c>
      <c r="L241" s="107">
        <v>-24500</v>
      </c>
      <c r="M241" s="107"/>
      <c r="N241" s="107">
        <v>25105</v>
      </c>
    </row>
    <row r="242" spans="1:14">
      <c r="A242" s="64" t="s">
        <v>188</v>
      </c>
      <c r="B242" s="107">
        <v>1557.5</v>
      </c>
      <c r="C242" s="107">
        <v>1855</v>
      </c>
      <c r="D242" s="107">
        <v>1470</v>
      </c>
      <c r="E242" s="107">
        <v>1802.5</v>
      </c>
      <c r="F242" s="107">
        <v>1452.5</v>
      </c>
      <c r="G242" s="107">
        <v>1000</v>
      </c>
      <c r="H242" s="107">
        <v>1732.5</v>
      </c>
      <c r="I242" s="107">
        <v>1470</v>
      </c>
      <c r="J242" s="107">
        <v>1662.5</v>
      </c>
      <c r="K242" s="107">
        <v>1575</v>
      </c>
      <c r="L242" s="107">
        <v>-7440</v>
      </c>
      <c r="M242" s="22"/>
      <c r="N242" s="107">
        <v>8137.5</v>
      </c>
    </row>
    <row r="243" spans="1:14">
      <c r="A243" s="64" t="s">
        <v>190</v>
      </c>
      <c r="B243" s="107">
        <v>3307.2</v>
      </c>
      <c r="C243" s="107">
        <v>1713.13</v>
      </c>
      <c r="D243" s="107">
        <v>2230</v>
      </c>
      <c r="E243" s="107">
        <v>1500</v>
      </c>
      <c r="F243" s="107">
        <v>1500</v>
      </c>
      <c r="G243" s="107">
        <v>1725</v>
      </c>
      <c r="H243" s="107">
        <v>1275</v>
      </c>
      <c r="I243" s="107">
        <v>2250</v>
      </c>
      <c r="J243" s="107">
        <v>1500</v>
      </c>
      <c r="K243" s="107">
        <v>1500</v>
      </c>
      <c r="L243" s="107">
        <v>-8250</v>
      </c>
      <c r="M243" s="22"/>
      <c r="N243" s="107">
        <v>10250.33</v>
      </c>
    </row>
    <row r="244" spans="1:14">
      <c r="A244" s="64" t="s">
        <v>191</v>
      </c>
      <c r="B244" s="107">
        <v>15576.72</v>
      </c>
      <c r="C244" s="107">
        <v>15313.02</v>
      </c>
      <c r="D244" s="107">
        <v>15081.24</v>
      </c>
      <c r="E244" s="107">
        <v>12864.19</v>
      </c>
      <c r="F244" s="107">
        <v>14770.45</v>
      </c>
      <c r="G244" s="107">
        <v>14808.24</v>
      </c>
      <c r="H244" s="107">
        <v>17790.71</v>
      </c>
      <c r="I244" s="107">
        <v>16331.57</v>
      </c>
      <c r="J244" s="107">
        <v>13313.13</v>
      </c>
      <c r="K244" s="107">
        <v>15545.41</v>
      </c>
      <c r="L244" s="107">
        <v>-77789.06</v>
      </c>
      <c r="M244" s="107"/>
      <c r="N244" s="107">
        <v>73605.62</v>
      </c>
    </row>
    <row r="245" spans="1:14">
      <c r="A245" s="64" t="s">
        <v>192</v>
      </c>
      <c r="B245" s="107">
        <v>970.81</v>
      </c>
      <c r="C245" s="107">
        <v>1012.35</v>
      </c>
      <c r="D245" s="107">
        <v>1012.35</v>
      </c>
      <c r="E245" s="107">
        <v>1012.35</v>
      </c>
      <c r="F245" s="107">
        <v>1012.35</v>
      </c>
      <c r="G245" s="107">
        <v>1012.35</v>
      </c>
      <c r="H245" s="107">
        <v>1012.35</v>
      </c>
      <c r="I245" s="107">
        <v>1012.35</v>
      </c>
      <c r="J245" s="107">
        <v>1012.35</v>
      </c>
      <c r="K245" s="107">
        <v>1012.35</v>
      </c>
      <c r="L245" s="107">
        <v>-5061.75</v>
      </c>
      <c r="M245" s="107"/>
      <c r="N245" s="107">
        <v>5020.21</v>
      </c>
    </row>
    <row r="246" spans="1:14">
      <c r="A246" s="64" t="s">
        <v>193</v>
      </c>
      <c r="B246" s="107">
        <v>2005.81</v>
      </c>
      <c r="C246" s="107">
        <v>2007.11</v>
      </c>
      <c r="D246" s="107">
        <v>2000.3</v>
      </c>
      <c r="E246" s="107">
        <v>2005.27</v>
      </c>
      <c r="F246" s="107">
        <v>2000.32</v>
      </c>
      <c r="G246" s="107">
        <v>2036.33</v>
      </c>
      <c r="H246" s="107">
        <v>1986.98</v>
      </c>
      <c r="I246" s="107">
        <v>1984.87</v>
      </c>
      <c r="J246" s="107">
        <v>1978.64</v>
      </c>
      <c r="K246" s="107">
        <v>1997.13</v>
      </c>
      <c r="L246" s="107">
        <v>-9983.9500000000007</v>
      </c>
      <c r="M246" s="107"/>
      <c r="N246" s="107">
        <v>10018.81</v>
      </c>
    </row>
    <row r="247" spans="1:14">
      <c r="A247" s="64" t="s">
        <v>194</v>
      </c>
      <c r="B247" s="107">
        <v>5324.94</v>
      </c>
      <c r="C247" s="107">
        <v>5487.31</v>
      </c>
      <c r="D247" s="107">
        <v>6348.05</v>
      </c>
      <c r="E247" s="107">
        <v>3637.23</v>
      </c>
      <c r="F247" s="107">
        <v>1563.13</v>
      </c>
      <c r="G247" s="107">
        <v>1686.43</v>
      </c>
      <c r="H247" s="107">
        <v>685.84</v>
      </c>
      <c r="I247" s="107">
        <v>2528.56</v>
      </c>
      <c r="J247" s="107">
        <v>1972.52</v>
      </c>
      <c r="K247" s="107">
        <v>6377.57</v>
      </c>
      <c r="L247" s="107">
        <v>-13250.92</v>
      </c>
      <c r="M247" s="107"/>
      <c r="N247" s="107">
        <v>22360.66</v>
      </c>
    </row>
    <row r="248" spans="1:14">
      <c r="A248" s="64" t="s">
        <v>195</v>
      </c>
      <c r="B248" s="107">
        <v>13444.87</v>
      </c>
      <c r="C248" s="107">
        <v>13444.87</v>
      </c>
      <c r="D248" s="107">
        <v>13444.87</v>
      </c>
      <c r="E248" s="107">
        <v>13444.87</v>
      </c>
      <c r="F248" s="107">
        <v>13444.87</v>
      </c>
      <c r="G248" s="107">
        <v>13444.87</v>
      </c>
      <c r="H248" s="107">
        <v>13444.87</v>
      </c>
      <c r="I248" s="107">
        <v>13444.87</v>
      </c>
      <c r="J248" s="107">
        <v>13444.87</v>
      </c>
      <c r="K248" s="107">
        <v>14251.59</v>
      </c>
      <c r="L248" s="107">
        <v>-68031.070000000007</v>
      </c>
      <c r="M248" s="107"/>
      <c r="N248" s="107">
        <v>67224.350000000006</v>
      </c>
    </row>
    <row r="249" spans="1:14">
      <c r="A249" s="64" t="s">
        <v>196</v>
      </c>
      <c r="B249" s="107">
        <v>7735</v>
      </c>
      <c r="C249" s="107">
        <v>7735</v>
      </c>
      <c r="D249" s="107">
        <v>7735</v>
      </c>
      <c r="E249" s="107">
        <v>7735</v>
      </c>
      <c r="F249" s="107">
        <v>7735</v>
      </c>
      <c r="G249" s="107">
        <v>7735</v>
      </c>
      <c r="H249" s="107">
        <v>7735</v>
      </c>
      <c r="I249" s="107">
        <v>7735</v>
      </c>
      <c r="J249" s="107">
        <v>7735</v>
      </c>
      <c r="K249" s="107">
        <v>8199.11</v>
      </c>
      <c r="L249" s="107">
        <v>-39139.11</v>
      </c>
      <c r="M249" s="22"/>
      <c r="N249" s="107">
        <v>38675</v>
      </c>
    </row>
    <row r="250" spans="1:14">
      <c r="A250" s="64" t="s">
        <v>197</v>
      </c>
      <c r="B250" s="107">
        <v>58447.63</v>
      </c>
      <c r="C250" s="107">
        <v>58397.9</v>
      </c>
      <c r="D250" s="107">
        <v>58511.31</v>
      </c>
      <c r="E250" s="107">
        <v>58786.12</v>
      </c>
      <c r="F250" s="107">
        <v>58547.69</v>
      </c>
      <c r="G250" s="107">
        <v>58129.99</v>
      </c>
      <c r="H250" s="107">
        <v>59120.86</v>
      </c>
      <c r="I250" s="107">
        <v>58129.99</v>
      </c>
      <c r="J250" s="107">
        <v>59580.03</v>
      </c>
      <c r="K250" s="107">
        <v>62394.65</v>
      </c>
      <c r="L250" s="107">
        <v>-297355.52000000002</v>
      </c>
      <c r="M250" s="22"/>
      <c r="N250" s="107">
        <v>292690.65000000002</v>
      </c>
    </row>
    <row r="251" spans="1:14">
      <c r="A251" s="64" t="s">
        <v>198</v>
      </c>
      <c r="B251" s="107">
        <v>2057.71</v>
      </c>
      <c r="C251" s="107">
        <v>2528.61</v>
      </c>
      <c r="D251" s="107">
        <v>2346.8000000000002</v>
      </c>
      <c r="E251" s="107">
        <v>2189.8000000000002</v>
      </c>
      <c r="F251" s="107">
        <v>2198.19</v>
      </c>
      <c r="G251" s="107">
        <v>2233.17</v>
      </c>
      <c r="H251" s="107">
        <v>2246.09</v>
      </c>
      <c r="I251" s="107">
        <v>2200</v>
      </c>
      <c r="J251" s="107">
        <v>2200</v>
      </c>
      <c r="K251" s="107">
        <v>-4010.82</v>
      </c>
      <c r="L251" s="107">
        <v>-4868.4399999999996</v>
      </c>
      <c r="M251" s="22"/>
      <c r="N251" s="107">
        <v>11321.11</v>
      </c>
    </row>
    <row r="252" spans="1:14">
      <c r="A252" s="64" t="s">
        <v>199</v>
      </c>
      <c r="B252" s="107">
        <v>147.5</v>
      </c>
      <c r="C252" s="107">
        <v>265.5</v>
      </c>
      <c r="D252" s="107">
        <v>211.42</v>
      </c>
      <c r="E252" s="107">
        <v>838.58</v>
      </c>
      <c r="F252" s="107">
        <v>150</v>
      </c>
      <c r="G252" s="107">
        <v>420</v>
      </c>
      <c r="H252" s="107">
        <v>285</v>
      </c>
      <c r="I252" s="107">
        <v>346.5</v>
      </c>
      <c r="J252" s="107">
        <v>204.75</v>
      </c>
      <c r="K252" s="107">
        <v>94.5</v>
      </c>
      <c r="L252" s="107">
        <v>-1350.75</v>
      </c>
      <c r="M252" s="107"/>
      <c r="N252" s="107">
        <v>1613</v>
      </c>
    </row>
    <row r="253" spans="1:14">
      <c r="A253" s="64" t="s">
        <v>200</v>
      </c>
      <c r="B253" s="107">
        <v>1837.54</v>
      </c>
      <c r="C253" s="107">
        <v>1377.48</v>
      </c>
      <c r="D253" s="107">
        <v>1487.26</v>
      </c>
      <c r="E253" s="107">
        <v>1377.48</v>
      </c>
      <c r="F253" s="107">
        <v>1377.48</v>
      </c>
      <c r="G253" s="107">
        <v>1377.48</v>
      </c>
      <c r="H253" s="107">
        <v>1272.5</v>
      </c>
      <c r="I253" s="107">
        <v>1272.5</v>
      </c>
      <c r="J253" s="107">
        <v>1300</v>
      </c>
      <c r="K253" s="107">
        <v>1436.56</v>
      </c>
      <c r="L253" s="107">
        <v>-6659.04</v>
      </c>
      <c r="M253" s="107"/>
      <c r="N253" s="107">
        <v>7457.24</v>
      </c>
    </row>
    <row r="254" spans="1:14">
      <c r="A254" s="64" t="s">
        <v>201</v>
      </c>
      <c r="B254" s="107">
        <v>330.45</v>
      </c>
      <c r="C254" s="107">
        <v>330.45</v>
      </c>
      <c r="D254" s="107">
        <v>590.25</v>
      </c>
      <c r="E254" s="107">
        <v>417.05</v>
      </c>
      <c r="F254" s="107">
        <v>193.49</v>
      </c>
      <c r="G254" s="107">
        <v>305.27</v>
      </c>
      <c r="H254" s="107">
        <v>330.45</v>
      </c>
      <c r="I254" s="107">
        <v>305.27</v>
      </c>
      <c r="J254" s="107">
        <v>455.27</v>
      </c>
      <c r="K254" s="107">
        <v>305.27</v>
      </c>
      <c r="L254" s="107">
        <v>-1701.53</v>
      </c>
      <c r="M254" s="22"/>
      <c r="N254" s="107">
        <v>1861.69</v>
      </c>
    </row>
    <row r="255" spans="1:14">
      <c r="A255" s="64" t="s">
        <v>202</v>
      </c>
      <c r="B255" s="107">
        <v>16575</v>
      </c>
      <c r="C255" s="107">
        <v>1225</v>
      </c>
      <c r="D255" s="107"/>
      <c r="E255" s="107">
        <v>700</v>
      </c>
      <c r="F255" s="22"/>
      <c r="G255" s="107"/>
      <c r="H255" s="22"/>
      <c r="I255" s="107">
        <v>4964.2</v>
      </c>
      <c r="J255" s="22"/>
      <c r="K255" s="107">
        <v>4680</v>
      </c>
      <c r="L255" s="107">
        <v>-9644.2000000000007</v>
      </c>
      <c r="M255" s="107"/>
      <c r="N255" s="107">
        <v>18500</v>
      </c>
    </row>
    <row r="256" spans="1:14">
      <c r="A256" s="64" t="s">
        <v>203</v>
      </c>
      <c r="B256" s="107">
        <v>8828.4699999999993</v>
      </c>
      <c r="C256" s="107">
        <v>11728.42</v>
      </c>
      <c r="D256" s="107">
        <v>9605.24</v>
      </c>
      <c r="E256" s="107">
        <v>8818.43</v>
      </c>
      <c r="F256" s="107">
        <v>12309.83</v>
      </c>
      <c r="G256" s="107">
        <v>13113.97</v>
      </c>
      <c r="H256" s="107">
        <v>12771.82</v>
      </c>
      <c r="I256" s="107">
        <v>9224.2199999999993</v>
      </c>
      <c r="J256" s="107">
        <v>10856.1</v>
      </c>
      <c r="K256" s="107">
        <v>9434.2199999999993</v>
      </c>
      <c r="L256" s="107">
        <v>-55400.33</v>
      </c>
      <c r="M256" s="107"/>
      <c r="N256" s="107">
        <v>51290.39</v>
      </c>
    </row>
    <row r="257" spans="1:14">
      <c r="A257" s="64" t="s">
        <v>204</v>
      </c>
      <c r="B257" s="107">
        <v>37645</v>
      </c>
      <c r="C257" s="107">
        <v>35707</v>
      </c>
      <c r="D257" s="107">
        <v>31064</v>
      </c>
      <c r="E257" s="107">
        <v>30753</v>
      </c>
      <c r="F257" s="107">
        <v>-955440</v>
      </c>
      <c r="G257" s="107">
        <v>38070</v>
      </c>
      <c r="H257" s="107">
        <v>31437</v>
      </c>
      <c r="I257" s="107">
        <v>30450</v>
      </c>
      <c r="J257" s="107">
        <v>31168</v>
      </c>
      <c r="K257" s="107">
        <v>32086</v>
      </c>
      <c r="L257" s="107">
        <v>-163211</v>
      </c>
      <c r="M257" s="107"/>
      <c r="N257" s="107">
        <v>-820271</v>
      </c>
    </row>
    <row r="258" spans="1:14">
      <c r="A258" s="64" t="s">
        <v>205</v>
      </c>
      <c r="B258" s="107">
        <v>901.42</v>
      </c>
      <c r="C258" s="107">
        <v>913.96</v>
      </c>
      <c r="D258" s="107">
        <v>900.94</v>
      </c>
      <c r="E258" s="107">
        <v>904.52</v>
      </c>
      <c r="F258" s="107">
        <v>651.14</v>
      </c>
      <c r="G258" s="107">
        <v>617.01</v>
      </c>
      <c r="H258" s="107">
        <v>625.75</v>
      </c>
      <c r="I258" s="107">
        <v>761.09</v>
      </c>
      <c r="J258" s="107">
        <v>626.55999999999995</v>
      </c>
      <c r="K258" s="107">
        <v>642.07000000000005</v>
      </c>
      <c r="L258" s="107">
        <v>-3272.48</v>
      </c>
      <c r="M258" s="107"/>
      <c r="N258" s="107">
        <v>4271.9799999999996</v>
      </c>
    </row>
    <row r="259" spans="1:14">
      <c r="A259" s="64" t="s">
        <v>206</v>
      </c>
      <c r="B259" s="111">
        <v>756.52</v>
      </c>
      <c r="C259" s="111">
        <v>322.04000000000002</v>
      </c>
      <c r="D259" s="111">
        <v>1054.3399999999999</v>
      </c>
      <c r="E259" s="111">
        <v>1119.4100000000001</v>
      </c>
      <c r="F259" s="111">
        <v>387.48</v>
      </c>
      <c r="G259" s="111">
        <v>3801.49</v>
      </c>
      <c r="H259" s="111">
        <v>300.13</v>
      </c>
      <c r="I259" s="111">
        <v>233.74</v>
      </c>
      <c r="J259" s="111">
        <v>266.2</v>
      </c>
      <c r="K259" s="111">
        <v>1098.0899999999999</v>
      </c>
      <c r="L259" s="111">
        <v>-5699.65</v>
      </c>
      <c r="M259" s="111"/>
      <c r="N259" s="111">
        <v>3639.79</v>
      </c>
    </row>
    <row r="260" spans="1:14">
      <c r="A260" s="64" t="s">
        <v>207</v>
      </c>
      <c r="B260" s="107">
        <f t="shared" ref="B260:L260" si="60">SUM(B239:B259)</f>
        <v>182555.09</v>
      </c>
      <c r="C260" s="107">
        <f t="shared" si="60"/>
        <v>166364.15</v>
      </c>
      <c r="D260" s="107">
        <f t="shared" si="60"/>
        <v>160093.37</v>
      </c>
      <c r="E260" s="107">
        <f t="shared" si="60"/>
        <v>154905.79999999999</v>
      </c>
      <c r="F260" s="107">
        <f t="shared" si="60"/>
        <v>-831146.08</v>
      </c>
      <c r="G260" s="107">
        <f t="shared" si="60"/>
        <v>166516.59999999998</v>
      </c>
      <c r="H260" s="107">
        <f t="shared" si="60"/>
        <v>158552.85</v>
      </c>
      <c r="I260" s="107">
        <f t="shared" si="60"/>
        <v>159644.72999999998</v>
      </c>
      <c r="J260" s="107">
        <f t="shared" si="60"/>
        <v>154275.92000000001</v>
      </c>
      <c r="K260" s="107">
        <f t="shared" si="60"/>
        <v>163618.69999999998</v>
      </c>
      <c r="L260" s="107">
        <f t="shared" si="60"/>
        <v>-802608.8</v>
      </c>
      <c r="M260" s="107"/>
      <c r="N260" s="107">
        <v>-167227.67000000001</v>
      </c>
    </row>
    <row r="261" spans="1:14">
      <c r="A261" s="64"/>
      <c r="B261" s="22"/>
      <c r="C261" s="22"/>
      <c r="D261" s="22"/>
      <c r="E261" s="22"/>
      <c r="F261" s="22"/>
      <c r="G261" s="22"/>
      <c r="H261" s="22"/>
      <c r="I261" s="22"/>
      <c r="J261" s="22"/>
      <c r="K261" s="22"/>
      <c r="L261" s="22"/>
      <c r="M261" s="22"/>
      <c r="N261" s="22"/>
    </row>
    <row r="262" spans="1:14">
      <c r="A262" s="64" t="s">
        <v>15</v>
      </c>
      <c r="B262" s="22"/>
      <c r="C262" s="22"/>
      <c r="D262" s="22"/>
      <c r="E262" s="22"/>
      <c r="F262" s="22"/>
      <c r="G262" s="22"/>
      <c r="H262" s="22"/>
      <c r="I262" s="22"/>
      <c r="J262" s="22"/>
      <c r="K262" s="22"/>
      <c r="L262" s="22"/>
      <c r="M262" s="22"/>
      <c r="N262" s="22"/>
    </row>
    <row r="263" spans="1:14">
      <c r="A263" s="64" t="s">
        <v>208</v>
      </c>
      <c r="B263" s="107">
        <v>3799.55</v>
      </c>
      <c r="C263" s="107">
        <v>2746.92</v>
      </c>
      <c r="D263" s="107">
        <v>2943.77</v>
      </c>
      <c r="E263" s="107">
        <v>2621.61</v>
      </c>
      <c r="F263" s="107">
        <v>1424.14</v>
      </c>
      <c r="G263" s="107">
        <v>617.28</v>
      </c>
      <c r="H263" s="107">
        <v>2378.48</v>
      </c>
      <c r="I263" s="107">
        <v>3150.09</v>
      </c>
      <c r="J263" s="107">
        <v>3217.36</v>
      </c>
      <c r="K263" s="107">
        <v>2101.02</v>
      </c>
      <c r="L263" s="107">
        <v>-11464.23</v>
      </c>
      <c r="M263" s="107"/>
      <c r="N263" s="107">
        <v>13535.99</v>
      </c>
    </row>
    <row r="264" spans="1:14">
      <c r="A264" s="64" t="s">
        <v>209</v>
      </c>
      <c r="B264" s="107">
        <v>3082.99</v>
      </c>
      <c r="C264" s="107">
        <v>3164.91</v>
      </c>
      <c r="D264" s="107">
        <v>2742.73</v>
      </c>
      <c r="E264" s="107">
        <v>1249.96</v>
      </c>
      <c r="F264" s="107">
        <v>989.98</v>
      </c>
      <c r="G264" s="107">
        <v>689.68</v>
      </c>
      <c r="H264" s="107">
        <v>1614.61</v>
      </c>
      <c r="I264" s="107">
        <v>1639.56</v>
      </c>
      <c r="J264" s="107">
        <v>1854.11</v>
      </c>
      <c r="K264" s="107">
        <v>2429.6999999999998</v>
      </c>
      <c r="L264" s="107">
        <v>-8227.66</v>
      </c>
      <c r="M264" s="107"/>
      <c r="N264" s="107">
        <v>11230.57</v>
      </c>
    </row>
    <row r="265" spans="1:14">
      <c r="A265" s="64" t="s">
        <v>210</v>
      </c>
      <c r="B265" s="107">
        <v>520.1</v>
      </c>
      <c r="C265" s="107">
        <v>1589.88</v>
      </c>
      <c r="D265" s="107">
        <v>291.14</v>
      </c>
      <c r="E265" s="107">
        <v>235.76</v>
      </c>
      <c r="F265" s="107">
        <v>283.86</v>
      </c>
      <c r="G265" s="107">
        <v>592.41</v>
      </c>
      <c r="H265" s="107">
        <v>304.14999999999998</v>
      </c>
      <c r="I265" s="107">
        <v>45.48</v>
      </c>
      <c r="J265" s="107">
        <v>208.52</v>
      </c>
      <c r="K265" s="107"/>
      <c r="L265" s="107">
        <v>-1150.56</v>
      </c>
      <c r="M265" s="22"/>
      <c r="N265" s="107">
        <v>2920.74</v>
      </c>
    </row>
    <row r="266" spans="1:14">
      <c r="A266" s="64" t="s">
        <v>211</v>
      </c>
      <c r="B266" s="107">
        <v>179.33</v>
      </c>
      <c r="C266" s="107">
        <v>115.95</v>
      </c>
      <c r="D266" s="107">
        <v>115.95</v>
      </c>
      <c r="E266" s="107">
        <v>115.95</v>
      </c>
      <c r="F266" s="107">
        <v>146.34</v>
      </c>
      <c r="G266" s="107">
        <v>116.95</v>
      </c>
      <c r="H266" s="107">
        <v>244.9</v>
      </c>
      <c r="I266" s="107">
        <v>203.9</v>
      </c>
      <c r="J266" s="107">
        <v>267.83999999999997</v>
      </c>
      <c r="K266" s="107">
        <v>202.9</v>
      </c>
      <c r="L266" s="107">
        <v>-1036.49</v>
      </c>
      <c r="M266" s="107"/>
      <c r="N266" s="107">
        <v>673.52</v>
      </c>
    </row>
    <row r="267" spans="1:14">
      <c r="A267" s="64" t="s">
        <v>195</v>
      </c>
      <c r="B267" s="107">
        <v>158.63</v>
      </c>
      <c r="C267" s="107">
        <v>30.28</v>
      </c>
      <c r="D267" s="107">
        <v>78.45</v>
      </c>
      <c r="E267" s="107">
        <v>249.86</v>
      </c>
      <c r="F267" s="107"/>
      <c r="G267" s="107">
        <v>160.04</v>
      </c>
      <c r="H267" s="107">
        <v>202.17</v>
      </c>
      <c r="I267" s="107">
        <v>55.1</v>
      </c>
      <c r="J267" s="107">
        <v>80.02</v>
      </c>
      <c r="K267" s="107">
        <v>55.1</v>
      </c>
      <c r="L267" s="107">
        <v>-552.42999999999995</v>
      </c>
      <c r="M267" s="22"/>
      <c r="N267" s="107">
        <v>517.22</v>
      </c>
    </row>
    <row r="268" spans="1:14">
      <c r="A268" s="64" t="s">
        <v>212</v>
      </c>
      <c r="B268" s="22"/>
      <c r="C268" s="22"/>
      <c r="D268" s="22"/>
      <c r="E268" s="22"/>
      <c r="F268" s="22"/>
      <c r="G268" s="22"/>
      <c r="H268" s="22"/>
      <c r="I268" s="22"/>
      <c r="J268" s="22"/>
      <c r="K268" s="107">
        <v>135.26</v>
      </c>
      <c r="L268" s="107">
        <v>-135.26</v>
      </c>
      <c r="M268" s="22"/>
      <c r="N268" s="107"/>
    </row>
    <row r="269" spans="1:14">
      <c r="A269" s="64" t="s">
        <v>213</v>
      </c>
      <c r="B269" s="22"/>
      <c r="C269" s="22"/>
      <c r="D269" s="22"/>
      <c r="E269" s="22"/>
      <c r="F269" s="22"/>
      <c r="G269" s="22"/>
      <c r="H269" s="107">
        <v>53.62</v>
      </c>
      <c r="I269" s="22"/>
      <c r="J269" s="22"/>
      <c r="K269" s="22"/>
      <c r="L269" s="107">
        <v>-53.62</v>
      </c>
      <c r="M269" s="22"/>
      <c r="N269" s="107"/>
    </row>
    <row r="270" spans="1:14">
      <c r="A270" s="64" t="s">
        <v>214</v>
      </c>
      <c r="B270" s="107">
        <v>158.84</v>
      </c>
      <c r="C270" s="107">
        <v>118.26</v>
      </c>
      <c r="D270" s="107">
        <v>963.37</v>
      </c>
      <c r="E270" s="107">
        <v>175.45</v>
      </c>
      <c r="F270" s="22"/>
      <c r="G270" s="22"/>
      <c r="H270" s="107"/>
      <c r="I270" s="22"/>
      <c r="J270" s="107"/>
      <c r="K270" s="22"/>
      <c r="L270" s="107"/>
      <c r="M270" s="22"/>
      <c r="N270" s="107">
        <v>1415.92</v>
      </c>
    </row>
    <row r="271" spans="1:14">
      <c r="A271" s="64" t="s">
        <v>215</v>
      </c>
      <c r="B271" s="107">
        <v>317.93</v>
      </c>
      <c r="C271" s="107">
        <v>117.81</v>
      </c>
      <c r="D271" s="107">
        <v>262.68</v>
      </c>
      <c r="E271" s="107">
        <v>113.95</v>
      </c>
      <c r="F271" s="107">
        <v>273.52</v>
      </c>
      <c r="G271" s="107">
        <v>26.31</v>
      </c>
      <c r="H271" s="107">
        <v>73.8</v>
      </c>
      <c r="I271" s="107">
        <v>67.94</v>
      </c>
      <c r="J271" s="22"/>
      <c r="K271" s="22"/>
      <c r="L271" s="107">
        <v>-168.05</v>
      </c>
      <c r="M271" s="22"/>
      <c r="N271" s="107">
        <v>1085.8900000000001</v>
      </c>
    </row>
    <row r="272" spans="1:14">
      <c r="A272" s="64" t="s">
        <v>216</v>
      </c>
      <c r="B272" s="107">
        <v>3538.28</v>
      </c>
      <c r="C272" s="107">
        <v>1219.67</v>
      </c>
      <c r="D272" s="107">
        <v>1176.47</v>
      </c>
      <c r="E272" s="107">
        <v>1074.27</v>
      </c>
      <c r="F272" s="107">
        <v>1139.26</v>
      </c>
      <c r="G272" s="107">
        <v>1029.52</v>
      </c>
      <c r="H272" s="107">
        <v>1333.36</v>
      </c>
      <c r="I272" s="107">
        <v>1292.95</v>
      </c>
      <c r="J272" s="107">
        <v>1498.43</v>
      </c>
      <c r="K272" s="107">
        <v>1852.51</v>
      </c>
      <c r="L272" s="107">
        <v>-7006.77</v>
      </c>
      <c r="M272" s="22"/>
      <c r="N272" s="107">
        <v>8147.95</v>
      </c>
    </row>
    <row r="273" spans="1:14">
      <c r="A273" s="64" t="s">
        <v>217</v>
      </c>
      <c r="B273" s="107">
        <v>1416.28</v>
      </c>
      <c r="C273" s="22"/>
      <c r="D273" s="22"/>
      <c r="E273" s="107">
        <v>569.79999999999995</v>
      </c>
      <c r="F273" s="107">
        <v>243.36</v>
      </c>
      <c r="G273" s="107">
        <v>375.42</v>
      </c>
      <c r="H273" s="107">
        <v>269.54000000000002</v>
      </c>
      <c r="I273" s="107">
        <v>322.47000000000003</v>
      </c>
      <c r="J273" s="107">
        <v>508.99</v>
      </c>
      <c r="K273" s="107">
        <v>600</v>
      </c>
      <c r="L273" s="107">
        <v>-2076.42</v>
      </c>
      <c r="M273" s="22"/>
      <c r="N273" s="107">
        <v>2229.44</v>
      </c>
    </row>
    <row r="274" spans="1:14">
      <c r="A274" s="64" t="s">
        <v>218</v>
      </c>
      <c r="B274" s="107">
        <v>1451.95</v>
      </c>
      <c r="C274" s="107">
        <v>848.8</v>
      </c>
      <c r="D274" s="107">
        <v>820.6</v>
      </c>
      <c r="E274" s="107">
        <v>1477.61</v>
      </c>
      <c r="F274" s="107">
        <v>1677.57</v>
      </c>
      <c r="G274" s="107">
        <v>1366.29</v>
      </c>
      <c r="H274" s="107">
        <v>559.4</v>
      </c>
      <c r="I274" s="107">
        <v>1112.5</v>
      </c>
      <c r="J274" s="107">
        <v>919.03</v>
      </c>
      <c r="K274" s="107">
        <v>-513.30999999999995</v>
      </c>
      <c r="L274" s="107">
        <v>-3443.91</v>
      </c>
      <c r="M274" s="22"/>
      <c r="N274" s="107">
        <v>6276.53</v>
      </c>
    </row>
    <row r="275" spans="1:14">
      <c r="A275" s="64" t="s">
        <v>219</v>
      </c>
      <c r="B275" s="107">
        <v>1401.33</v>
      </c>
      <c r="C275" s="107">
        <v>683.8</v>
      </c>
      <c r="D275" s="107">
        <v>1763.41</v>
      </c>
      <c r="E275" s="107">
        <v>632.79999999999995</v>
      </c>
      <c r="F275" s="107">
        <v>1142.19</v>
      </c>
      <c r="G275" s="107">
        <v>603.97</v>
      </c>
      <c r="H275" s="107">
        <v>2059.08</v>
      </c>
      <c r="I275" s="107">
        <v>922.63</v>
      </c>
      <c r="J275" s="107">
        <v>1223.3499999999999</v>
      </c>
      <c r="K275" s="107">
        <v>1243.3699999999999</v>
      </c>
      <c r="L275" s="107">
        <v>-6052.4</v>
      </c>
      <c r="M275" s="107"/>
      <c r="N275" s="107">
        <v>5623.53</v>
      </c>
    </row>
    <row r="276" spans="1:14">
      <c r="A276" s="64" t="s">
        <v>220</v>
      </c>
      <c r="B276" s="111">
        <v>214.5</v>
      </c>
      <c r="C276" s="111">
        <v>421.01</v>
      </c>
      <c r="D276" s="111">
        <v>691.54</v>
      </c>
      <c r="E276" s="111">
        <v>-16.98</v>
      </c>
      <c r="F276" s="111">
        <v>384.32</v>
      </c>
      <c r="G276" s="111">
        <v>304.27</v>
      </c>
      <c r="H276" s="111">
        <v>220.28</v>
      </c>
      <c r="I276" s="111">
        <v>353.89</v>
      </c>
      <c r="J276" s="111">
        <v>299.5</v>
      </c>
      <c r="K276" s="111">
        <v>1194.99</v>
      </c>
      <c r="L276" s="111">
        <v>-2372.9299999999998</v>
      </c>
      <c r="M276" s="111"/>
      <c r="N276" s="111">
        <v>1694.39</v>
      </c>
    </row>
    <row r="277" spans="1:14">
      <c r="A277" s="64" t="s">
        <v>221</v>
      </c>
      <c r="B277" s="107">
        <f t="shared" ref="B277:L277" si="61">SUM(B261:B276)</f>
        <v>16239.710000000003</v>
      </c>
      <c r="C277" s="107">
        <f t="shared" si="61"/>
        <v>11057.289999999999</v>
      </c>
      <c r="D277" s="107">
        <f t="shared" si="61"/>
        <v>11850.11</v>
      </c>
      <c r="E277" s="107">
        <f t="shared" si="61"/>
        <v>8500.0399999999991</v>
      </c>
      <c r="F277" s="107">
        <f t="shared" si="61"/>
        <v>7704.5399999999991</v>
      </c>
      <c r="G277" s="107">
        <f t="shared" si="61"/>
        <v>5882.1399999999994</v>
      </c>
      <c r="H277" s="107">
        <f t="shared" si="61"/>
        <v>9313.39</v>
      </c>
      <c r="I277" s="107">
        <f t="shared" si="61"/>
        <v>9166.5099999999984</v>
      </c>
      <c r="J277" s="107">
        <f t="shared" si="61"/>
        <v>10077.150000000001</v>
      </c>
      <c r="K277" s="107">
        <f t="shared" si="61"/>
        <v>9301.5400000000009</v>
      </c>
      <c r="L277" s="107">
        <f t="shared" si="61"/>
        <v>-43740.729999999996</v>
      </c>
      <c r="M277" s="107"/>
      <c r="N277" s="107">
        <v>55351.69</v>
      </c>
    </row>
    <row r="278" spans="1:14">
      <c r="A278" s="64"/>
      <c r="B278" s="22"/>
      <c r="C278" s="22"/>
      <c r="D278" s="22"/>
      <c r="E278" s="22"/>
      <c r="F278" s="22"/>
      <c r="G278" s="22"/>
      <c r="H278" s="22"/>
      <c r="I278" s="22"/>
      <c r="J278" s="22"/>
      <c r="K278" s="22"/>
      <c r="L278" s="22"/>
      <c r="M278" s="22"/>
      <c r="N278" s="22"/>
    </row>
    <row r="279" spans="1:14">
      <c r="A279" s="64" t="s">
        <v>222</v>
      </c>
      <c r="B279" s="22"/>
      <c r="C279" s="22"/>
      <c r="D279" s="22"/>
      <c r="E279" s="22"/>
      <c r="F279" s="22"/>
      <c r="G279" s="22"/>
      <c r="H279" s="22"/>
      <c r="I279" s="22"/>
      <c r="J279" s="22"/>
      <c r="K279" s="22"/>
      <c r="L279" s="22"/>
      <c r="M279" s="22"/>
      <c r="N279" s="22"/>
    </row>
    <row r="280" spans="1:14">
      <c r="A280" s="64" t="s">
        <v>386</v>
      </c>
      <c r="B280" s="22"/>
      <c r="C280" s="22"/>
      <c r="D280" s="22"/>
      <c r="E280" s="22"/>
      <c r="F280" s="22"/>
      <c r="G280" s="107">
        <v>1000</v>
      </c>
      <c r="H280" s="22"/>
      <c r="I280" s="22"/>
      <c r="J280" s="22"/>
      <c r="K280" s="22"/>
      <c r="L280" s="107">
        <v>-1000</v>
      </c>
      <c r="M280" s="22"/>
      <c r="N280" s="107"/>
    </row>
    <row r="281" spans="1:14">
      <c r="A281" s="64" t="s">
        <v>223</v>
      </c>
      <c r="B281" s="22"/>
      <c r="C281" s="107">
        <v>1368.95</v>
      </c>
      <c r="D281" s="22"/>
      <c r="E281" s="22"/>
      <c r="F281" s="107">
        <v>865.62</v>
      </c>
      <c r="G281" s="22"/>
      <c r="H281" s="107">
        <v>4090.51</v>
      </c>
      <c r="I281" s="22"/>
      <c r="J281" s="22"/>
      <c r="K281" s="22"/>
      <c r="L281" s="107">
        <v>-4090.51</v>
      </c>
      <c r="M281" s="22"/>
      <c r="N281" s="107">
        <v>2234.5700000000002</v>
      </c>
    </row>
    <row r="282" spans="1:14">
      <c r="A282" s="64" t="s">
        <v>224</v>
      </c>
      <c r="B282" s="107">
        <v>5018.28</v>
      </c>
      <c r="C282" s="107">
        <v>674</v>
      </c>
      <c r="D282" s="107">
        <v>1043.5</v>
      </c>
      <c r="E282" s="107">
        <v>1360</v>
      </c>
      <c r="F282" s="107">
        <v>1484.93</v>
      </c>
      <c r="G282" s="107">
        <v>1736.08</v>
      </c>
      <c r="H282" s="107">
        <v>749.6</v>
      </c>
      <c r="I282" s="107">
        <v>2501.5</v>
      </c>
      <c r="J282" s="107">
        <v>1400</v>
      </c>
      <c r="K282" s="107">
        <v>4289.01</v>
      </c>
      <c r="L282" s="107">
        <v>-10676.19</v>
      </c>
      <c r="M282" s="107"/>
      <c r="N282" s="107">
        <v>9580.7099999999991</v>
      </c>
    </row>
    <row r="283" spans="1:14">
      <c r="A283" s="64" t="s">
        <v>225</v>
      </c>
      <c r="B283" s="22"/>
      <c r="C283" s="22"/>
      <c r="D283" s="107">
        <v>271.94</v>
      </c>
      <c r="E283" s="22"/>
      <c r="F283" s="107">
        <v>335.27</v>
      </c>
      <c r="G283" s="107">
        <v>241.47</v>
      </c>
      <c r="H283" s="107">
        <v>80</v>
      </c>
      <c r="I283" s="107">
        <v>213.86</v>
      </c>
      <c r="J283" s="107">
        <v>200</v>
      </c>
      <c r="K283" s="107">
        <v>100</v>
      </c>
      <c r="L283" s="107">
        <v>-835.33</v>
      </c>
      <c r="M283" s="22"/>
      <c r="N283" s="107">
        <v>607.21</v>
      </c>
    </row>
    <row r="284" spans="1:14">
      <c r="A284" s="64" t="s">
        <v>226</v>
      </c>
      <c r="B284" s="22"/>
      <c r="C284" s="107">
        <v>191.76</v>
      </c>
      <c r="D284" s="107">
        <v>226.36</v>
      </c>
      <c r="E284" s="22"/>
      <c r="F284" s="107">
        <v>1996.97</v>
      </c>
      <c r="G284" s="107">
        <v>3163.72</v>
      </c>
      <c r="H284" s="22"/>
      <c r="I284" s="107">
        <v>2996.3</v>
      </c>
      <c r="J284" s="107">
        <v>3946.76</v>
      </c>
      <c r="K284" s="22"/>
      <c r="L284" s="107">
        <v>-10106.780000000001</v>
      </c>
      <c r="M284" s="107"/>
      <c r="N284" s="107">
        <v>2415.09</v>
      </c>
    </row>
    <row r="285" spans="1:14">
      <c r="A285" s="64" t="s">
        <v>227</v>
      </c>
      <c r="B285" s="111">
        <v>203.4</v>
      </c>
      <c r="C285" s="111">
        <v>290.51</v>
      </c>
      <c r="D285" s="111">
        <v>382.65</v>
      </c>
      <c r="E285" s="111">
        <v>578.72</v>
      </c>
      <c r="F285" s="113"/>
      <c r="G285" s="111">
        <v>767.27</v>
      </c>
      <c r="H285" s="111">
        <v>182.12</v>
      </c>
      <c r="I285" s="111">
        <v>210.39</v>
      </c>
      <c r="J285" s="111">
        <v>788.69</v>
      </c>
      <c r="K285" s="111">
        <v>82.54</v>
      </c>
      <c r="L285" s="111">
        <v>-2031.01</v>
      </c>
      <c r="M285" s="113"/>
      <c r="N285" s="111">
        <v>1455.28</v>
      </c>
    </row>
    <row r="286" spans="1:14">
      <c r="A286" s="64" t="s">
        <v>229</v>
      </c>
      <c r="B286" s="107">
        <f t="shared" ref="B286:L286" si="62">SUM(B278:B285)</f>
        <v>5221.6799999999994</v>
      </c>
      <c r="C286" s="107">
        <f t="shared" si="62"/>
        <v>2525.2200000000003</v>
      </c>
      <c r="D286" s="107">
        <f t="shared" si="62"/>
        <v>1924.4500000000003</v>
      </c>
      <c r="E286" s="107">
        <f t="shared" si="62"/>
        <v>1938.72</v>
      </c>
      <c r="F286" s="107">
        <f t="shared" si="62"/>
        <v>4682.79</v>
      </c>
      <c r="G286" s="107">
        <f t="shared" si="62"/>
        <v>6908.5399999999991</v>
      </c>
      <c r="H286" s="107">
        <f t="shared" si="62"/>
        <v>5102.2300000000005</v>
      </c>
      <c r="I286" s="107">
        <f t="shared" si="62"/>
        <v>5922.05</v>
      </c>
      <c r="J286" s="107">
        <f t="shared" si="62"/>
        <v>6335.4500000000007</v>
      </c>
      <c r="K286" s="107">
        <f t="shared" si="62"/>
        <v>4471.55</v>
      </c>
      <c r="L286" s="107">
        <f t="shared" si="62"/>
        <v>-28739.820000000003</v>
      </c>
      <c r="M286" s="107"/>
      <c r="N286" s="107">
        <v>16292.86</v>
      </c>
    </row>
    <row r="287" spans="1:14">
      <c r="A287" s="64"/>
      <c r="B287" s="22"/>
      <c r="C287" s="22"/>
      <c r="D287" s="22"/>
      <c r="E287" s="22"/>
      <c r="F287" s="22"/>
      <c r="G287" s="22"/>
      <c r="H287" s="22"/>
      <c r="I287" s="22"/>
      <c r="J287" s="22"/>
      <c r="K287" s="22"/>
      <c r="L287" s="22"/>
      <c r="M287" s="22"/>
      <c r="N287" s="22"/>
    </row>
    <row r="288" spans="1:14">
      <c r="A288" s="64" t="s">
        <v>230</v>
      </c>
      <c r="B288" s="22"/>
      <c r="C288" s="22"/>
      <c r="D288" s="22"/>
      <c r="E288" s="22"/>
      <c r="F288" s="22"/>
      <c r="G288" s="22"/>
      <c r="H288" s="22"/>
      <c r="I288" s="22"/>
      <c r="J288" s="22"/>
      <c r="K288" s="22"/>
      <c r="L288" s="22"/>
      <c r="M288" s="22"/>
      <c r="N288" s="22"/>
    </row>
    <row r="289" spans="1:14">
      <c r="A289" s="64" t="s">
        <v>231</v>
      </c>
      <c r="B289" s="107">
        <v>17987.41</v>
      </c>
      <c r="C289" s="107">
        <v>17987.41</v>
      </c>
      <c r="D289" s="107">
        <v>17987.41</v>
      </c>
      <c r="E289" s="107">
        <v>17987.41</v>
      </c>
      <c r="F289" s="107">
        <v>-27900.85</v>
      </c>
      <c r="G289" s="107">
        <v>9987.41</v>
      </c>
      <c r="H289" s="107">
        <v>9987.41</v>
      </c>
      <c r="I289" s="107">
        <v>9987.41</v>
      </c>
      <c r="J289" s="107">
        <v>9987.41</v>
      </c>
      <c r="K289" s="107">
        <v>9987.41</v>
      </c>
      <c r="L289" s="107">
        <v>-49937.05</v>
      </c>
      <c r="M289" s="22"/>
      <c r="N289" s="107">
        <v>44048.79</v>
      </c>
    </row>
    <row r="290" spans="1:14">
      <c r="A290" s="64" t="s">
        <v>232</v>
      </c>
      <c r="B290" s="107">
        <v>400</v>
      </c>
      <c r="C290" s="107">
        <v>400</v>
      </c>
      <c r="D290" s="107">
        <v>400</v>
      </c>
      <c r="E290" s="107">
        <v>400</v>
      </c>
      <c r="F290" s="107">
        <v>-1526.79</v>
      </c>
      <c r="G290" s="107">
        <v>240</v>
      </c>
      <c r="H290" s="107">
        <v>240</v>
      </c>
      <c r="I290" s="107">
        <v>240</v>
      </c>
      <c r="J290" s="107">
        <v>240</v>
      </c>
      <c r="K290" s="107">
        <v>240</v>
      </c>
      <c r="L290" s="107">
        <v>-1200</v>
      </c>
      <c r="M290" s="22"/>
      <c r="N290" s="107">
        <v>73.209999999999994</v>
      </c>
    </row>
    <row r="291" spans="1:14">
      <c r="A291" s="64" t="s">
        <v>234</v>
      </c>
      <c r="B291" s="22"/>
      <c r="C291" s="107">
        <v>230</v>
      </c>
      <c r="D291" s="107">
        <v>100</v>
      </c>
      <c r="E291" s="22"/>
      <c r="F291" s="22"/>
      <c r="G291" s="107">
        <v>566.66999999999996</v>
      </c>
      <c r="H291" s="22"/>
      <c r="I291" s="107">
        <v>1432</v>
      </c>
      <c r="J291" s="22"/>
      <c r="K291" s="107">
        <v>180</v>
      </c>
      <c r="L291" s="107">
        <v>-2178.67</v>
      </c>
      <c r="M291" s="22"/>
      <c r="N291" s="107">
        <v>330</v>
      </c>
    </row>
    <row r="292" spans="1:14">
      <c r="A292" s="64" t="s">
        <v>352</v>
      </c>
      <c r="B292" s="107">
        <v>2376.88</v>
      </c>
      <c r="C292" s="22"/>
      <c r="D292" s="22"/>
      <c r="E292" s="22"/>
      <c r="F292" s="22"/>
      <c r="G292" s="107">
        <v>976.88</v>
      </c>
      <c r="H292" s="107">
        <v>976.88</v>
      </c>
      <c r="I292" s="107">
        <v>976.88</v>
      </c>
      <c r="J292" s="107">
        <v>976.88</v>
      </c>
      <c r="K292" s="107">
        <v>976.88</v>
      </c>
      <c r="L292" s="107">
        <v>-4884.3999999999996</v>
      </c>
      <c r="M292" s="22"/>
      <c r="N292" s="107">
        <v>2376.88</v>
      </c>
    </row>
    <row r="293" spans="1:14">
      <c r="A293" s="64" t="s">
        <v>235</v>
      </c>
      <c r="B293" s="107">
        <v>300</v>
      </c>
      <c r="C293" s="22"/>
      <c r="D293" s="107">
        <v>900</v>
      </c>
      <c r="E293" s="22"/>
      <c r="F293" s="107"/>
      <c r="G293" s="22"/>
      <c r="H293" s="107"/>
      <c r="I293" s="22"/>
      <c r="J293" s="22"/>
      <c r="K293" s="22"/>
      <c r="L293" s="22"/>
      <c r="M293" s="107"/>
      <c r="N293" s="107">
        <v>1200</v>
      </c>
    </row>
    <row r="294" spans="1:14">
      <c r="A294" s="64" t="s">
        <v>228</v>
      </c>
      <c r="B294" s="113"/>
      <c r="C294" s="111">
        <v>80.819999999999993</v>
      </c>
      <c r="D294" s="113"/>
      <c r="E294" s="113"/>
      <c r="F294" s="113"/>
      <c r="G294" s="113"/>
      <c r="H294" s="113"/>
      <c r="I294" s="113"/>
      <c r="J294" s="111">
        <v>102.74</v>
      </c>
      <c r="K294" s="113"/>
      <c r="L294" s="111">
        <v>-102.74</v>
      </c>
      <c r="M294" s="113"/>
      <c r="N294" s="111">
        <v>80.819999999999993</v>
      </c>
    </row>
    <row r="295" spans="1:14">
      <c r="A295" s="64" t="s">
        <v>236</v>
      </c>
      <c r="B295" s="107">
        <f t="shared" ref="B295:L295" si="63">SUM(B287:B294)</f>
        <v>21064.29</v>
      </c>
      <c r="C295" s="107">
        <f t="shared" si="63"/>
        <v>18698.23</v>
      </c>
      <c r="D295" s="107">
        <f t="shared" si="63"/>
        <v>19387.41</v>
      </c>
      <c r="E295" s="107">
        <f t="shared" si="63"/>
        <v>18387.41</v>
      </c>
      <c r="F295" s="107">
        <f t="shared" si="63"/>
        <v>-29427.64</v>
      </c>
      <c r="G295" s="107">
        <f t="shared" si="63"/>
        <v>11770.96</v>
      </c>
      <c r="H295" s="107">
        <f t="shared" si="63"/>
        <v>11204.289999999999</v>
      </c>
      <c r="I295" s="107">
        <f t="shared" si="63"/>
        <v>12636.289999999999</v>
      </c>
      <c r="J295" s="107">
        <f t="shared" si="63"/>
        <v>11307.029999999999</v>
      </c>
      <c r="K295" s="107">
        <f t="shared" si="63"/>
        <v>11384.289999999999</v>
      </c>
      <c r="L295" s="107">
        <f t="shared" si="63"/>
        <v>-58302.86</v>
      </c>
      <c r="M295" s="107"/>
      <c r="N295" s="107">
        <v>48109.7</v>
      </c>
    </row>
    <row r="296" spans="1:14">
      <c r="A296" s="64"/>
      <c r="B296" s="22"/>
      <c r="C296" s="22"/>
      <c r="D296" s="22"/>
      <c r="E296" s="22"/>
      <c r="F296" s="22"/>
      <c r="G296" s="22"/>
      <c r="H296" s="22"/>
      <c r="I296" s="22"/>
      <c r="J296" s="22"/>
      <c r="K296" s="22"/>
      <c r="L296" s="22"/>
      <c r="M296" s="22"/>
      <c r="N296" s="22"/>
    </row>
    <row r="297" spans="1:14">
      <c r="A297" s="64" t="s">
        <v>237</v>
      </c>
      <c r="B297" s="22"/>
      <c r="C297" s="22"/>
      <c r="D297" s="22"/>
      <c r="E297" s="22"/>
      <c r="F297" s="22"/>
      <c r="G297" s="22"/>
      <c r="H297" s="22"/>
      <c r="I297" s="22"/>
      <c r="J297" s="22"/>
      <c r="K297" s="22"/>
      <c r="L297" s="22"/>
      <c r="M297" s="22"/>
      <c r="N297" s="22"/>
    </row>
    <row r="298" spans="1:14">
      <c r="A298" s="64" t="s">
        <v>375</v>
      </c>
      <c r="B298" s="22"/>
      <c r="C298" s="22"/>
      <c r="D298" s="22"/>
      <c r="E298" s="22"/>
      <c r="F298" s="22"/>
      <c r="G298" s="107">
        <v>7303</v>
      </c>
      <c r="H298" s="107">
        <v>1039</v>
      </c>
      <c r="I298" s="107">
        <v>325</v>
      </c>
      <c r="J298" s="107">
        <v>325</v>
      </c>
      <c r="K298" s="22"/>
      <c r="L298" s="107">
        <v>-8992</v>
      </c>
      <c r="M298" s="107"/>
      <c r="N298" s="107"/>
    </row>
    <row r="299" spans="1:14">
      <c r="A299" s="64" t="s">
        <v>228</v>
      </c>
      <c r="B299" s="111">
        <v>15058</v>
      </c>
      <c r="C299" s="111">
        <v>14283</v>
      </c>
      <c r="D299" s="111">
        <v>12426</v>
      </c>
      <c r="E299" s="111">
        <v>12301</v>
      </c>
      <c r="F299" s="111">
        <v>12468</v>
      </c>
      <c r="G299" s="111">
        <v>15228</v>
      </c>
      <c r="H299" s="111">
        <v>84082.98</v>
      </c>
      <c r="I299" s="111">
        <v>12180</v>
      </c>
      <c r="J299" s="111">
        <v>12467</v>
      </c>
      <c r="K299" s="111">
        <v>-37166</v>
      </c>
      <c r="L299" s="111">
        <v>-86791.98</v>
      </c>
      <c r="M299" s="113"/>
      <c r="N299" s="111">
        <v>66536</v>
      </c>
    </row>
    <row r="300" spans="1:14">
      <c r="A300" s="64" t="s">
        <v>238</v>
      </c>
      <c r="B300" s="107">
        <f t="shared" ref="B300:L300" si="64">SUM(B296:B299)</f>
        <v>15058</v>
      </c>
      <c r="C300" s="107">
        <f t="shared" si="64"/>
        <v>14283</v>
      </c>
      <c r="D300" s="107">
        <f t="shared" si="64"/>
        <v>12426</v>
      </c>
      <c r="E300" s="107">
        <f t="shared" si="64"/>
        <v>12301</v>
      </c>
      <c r="F300" s="107">
        <f t="shared" si="64"/>
        <v>12468</v>
      </c>
      <c r="G300" s="107">
        <f t="shared" si="64"/>
        <v>22531</v>
      </c>
      <c r="H300" s="107">
        <f t="shared" si="64"/>
        <v>85121.98</v>
      </c>
      <c r="I300" s="107">
        <f t="shared" si="64"/>
        <v>12505</v>
      </c>
      <c r="J300" s="107">
        <f t="shared" si="64"/>
        <v>12792</v>
      </c>
      <c r="K300" s="107">
        <f t="shared" si="64"/>
        <v>-37166</v>
      </c>
      <c r="L300" s="107">
        <f t="shared" si="64"/>
        <v>-95783.98</v>
      </c>
      <c r="M300" s="107"/>
      <c r="N300" s="107">
        <v>66536</v>
      </c>
    </row>
    <row r="301" spans="1:14">
      <c r="A301" s="64"/>
      <c r="B301" s="22"/>
      <c r="C301" s="22"/>
      <c r="D301" s="22"/>
      <c r="E301" s="22"/>
      <c r="F301" s="22"/>
      <c r="G301" s="22"/>
      <c r="H301" s="22"/>
      <c r="I301" s="22"/>
      <c r="J301" s="22"/>
      <c r="K301" s="22"/>
      <c r="L301" s="22"/>
      <c r="M301" s="22"/>
      <c r="N301" s="22"/>
    </row>
    <row r="302" spans="1:14">
      <c r="A302" s="64" t="s">
        <v>239</v>
      </c>
      <c r="B302" s="22"/>
      <c r="C302" s="22"/>
      <c r="D302" s="22"/>
      <c r="E302" s="22"/>
      <c r="F302" s="22"/>
      <c r="G302" s="22"/>
      <c r="H302" s="22"/>
      <c r="I302" s="22"/>
      <c r="J302" s="22"/>
      <c r="K302" s="22"/>
      <c r="L302" s="22"/>
      <c r="M302" s="22"/>
      <c r="N302" s="22"/>
    </row>
    <row r="303" spans="1:14">
      <c r="A303" s="64" t="s">
        <v>240</v>
      </c>
      <c r="B303" s="107">
        <v>3323.62</v>
      </c>
      <c r="C303" s="107">
        <v>3323.62</v>
      </c>
      <c r="D303" s="107">
        <v>1774.79</v>
      </c>
      <c r="E303" s="107">
        <v>3079.45</v>
      </c>
      <c r="F303" s="107">
        <v>3079.49</v>
      </c>
      <c r="G303" s="107">
        <v>3079.45</v>
      </c>
      <c r="H303" s="107">
        <v>3255.08</v>
      </c>
      <c r="I303" s="107">
        <v>4295.16</v>
      </c>
      <c r="J303" s="107">
        <v>3775.12</v>
      </c>
      <c r="K303" s="107">
        <v>3775.12</v>
      </c>
      <c r="L303" s="107">
        <v>-18179.93</v>
      </c>
      <c r="M303" s="107"/>
      <c r="N303" s="107">
        <v>14580.97</v>
      </c>
    </row>
    <row r="304" spans="1:14">
      <c r="A304" s="64" t="s">
        <v>241</v>
      </c>
      <c r="B304" s="107">
        <v>286.25</v>
      </c>
      <c r="C304" s="107">
        <v>286.25</v>
      </c>
      <c r="D304" s="107">
        <v>286.25</v>
      </c>
      <c r="E304" s="107">
        <v>286.25</v>
      </c>
      <c r="F304" s="107">
        <v>286.25</v>
      </c>
      <c r="G304" s="107">
        <v>286.25</v>
      </c>
      <c r="H304" s="107">
        <v>286.25</v>
      </c>
      <c r="I304" s="107">
        <v>-286.25</v>
      </c>
      <c r="J304" s="22"/>
      <c r="K304" s="22"/>
      <c r="L304" s="107">
        <v>-286.25</v>
      </c>
      <c r="M304" s="22"/>
      <c r="N304" s="107">
        <v>1431.25</v>
      </c>
    </row>
    <row r="305" spans="1:14">
      <c r="A305" s="64" t="s">
        <v>242</v>
      </c>
      <c r="B305" s="107">
        <v>6470.99</v>
      </c>
      <c r="C305" s="107">
        <v>7033.69</v>
      </c>
      <c r="D305" s="107">
        <v>7033.69</v>
      </c>
      <c r="E305" s="107">
        <v>7033.69</v>
      </c>
      <c r="F305" s="107">
        <v>7033.69</v>
      </c>
      <c r="G305" s="107">
        <v>7613.35</v>
      </c>
      <c r="H305" s="107">
        <v>7033.69</v>
      </c>
      <c r="I305" s="107">
        <v>7033.69</v>
      </c>
      <c r="J305" s="107">
        <v>7033.69</v>
      </c>
      <c r="K305" s="107">
        <v>7033.69</v>
      </c>
      <c r="L305" s="107">
        <v>-35748.11</v>
      </c>
      <c r="M305" s="107"/>
      <c r="N305" s="107">
        <v>34605.75</v>
      </c>
    </row>
    <row r="306" spans="1:14">
      <c r="A306" s="64" t="s">
        <v>284</v>
      </c>
      <c r="B306" s="22"/>
      <c r="C306" s="22"/>
      <c r="D306" s="22"/>
      <c r="E306" s="107"/>
      <c r="F306" s="107">
        <v>20345</v>
      </c>
      <c r="G306" s="22"/>
      <c r="H306" s="22"/>
      <c r="I306" s="22"/>
      <c r="J306" s="22"/>
      <c r="K306" s="107"/>
      <c r="L306" s="22"/>
      <c r="M306" s="22"/>
      <c r="N306" s="107">
        <v>20345</v>
      </c>
    </row>
    <row r="307" spans="1:14">
      <c r="A307" s="64" t="s">
        <v>387</v>
      </c>
      <c r="B307" s="113"/>
      <c r="C307" s="113"/>
      <c r="D307" s="113"/>
      <c r="E307" s="113"/>
      <c r="F307" s="113"/>
      <c r="G307" s="113"/>
      <c r="H307" s="113"/>
      <c r="I307" s="113"/>
      <c r="J307" s="113"/>
      <c r="K307" s="113"/>
      <c r="L307" s="113"/>
      <c r="M307" s="113"/>
      <c r="N307" s="113"/>
    </row>
    <row r="308" spans="1:14">
      <c r="A308" s="64" t="s">
        <v>244</v>
      </c>
      <c r="B308" s="107">
        <f t="shared" ref="B308:L308" si="65">SUM(B301:B307)</f>
        <v>10080.86</v>
      </c>
      <c r="C308" s="107">
        <f t="shared" si="65"/>
        <v>10643.56</v>
      </c>
      <c r="D308" s="107">
        <f t="shared" si="65"/>
        <v>9094.73</v>
      </c>
      <c r="E308" s="107">
        <f t="shared" si="65"/>
        <v>10399.39</v>
      </c>
      <c r="F308" s="107">
        <f t="shared" si="65"/>
        <v>30744.43</v>
      </c>
      <c r="G308" s="107">
        <f t="shared" si="65"/>
        <v>10979.05</v>
      </c>
      <c r="H308" s="107">
        <f t="shared" si="65"/>
        <v>10575.02</v>
      </c>
      <c r="I308" s="107">
        <f t="shared" si="65"/>
        <v>11042.599999999999</v>
      </c>
      <c r="J308" s="107">
        <f t="shared" si="65"/>
        <v>10808.81</v>
      </c>
      <c r="K308" s="107">
        <f t="shared" si="65"/>
        <v>10808.81</v>
      </c>
      <c r="L308" s="107">
        <f t="shared" si="65"/>
        <v>-54214.29</v>
      </c>
      <c r="M308" s="107"/>
      <c r="N308" s="107">
        <v>70962.97</v>
      </c>
    </row>
    <row r="309" spans="1:14">
      <c r="A309" s="64"/>
      <c r="B309" s="22"/>
      <c r="C309" s="22"/>
      <c r="D309" s="22"/>
      <c r="E309" s="22"/>
      <c r="F309" s="22"/>
      <c r="G309" s="22"/>
      <c r="H309" s="22"/>
      <c r="I309" s="22"/>
      <c r="J309" s="22"/>
      <c r="K309" s="22"/>
      <c r="L309" s="22"/>
      <c r="M309" s="22"/>
      <c r="N309" s="22"/>
    </row>
    <row r="310" spans="1:14">
      <c r="A310" s="64" t="s">
        <v>245</v>
      </c>
      <c r="B310" s="22"/>
      <c r="C310" s="22"/>
      <c r="D310" s="22"/>
      <c r="E310" s="22"/>
      <c r="F310" s="22"/>
      <c r="G310" s="22"/>
      <c r="H310" s="22"/>
      <c r="I310" s="22"/>
      <c r="J310" s="22"/>
      <c r="K310" s="22"/>
      <c r="L310" s="22"/>
      <c r="M310" s="22"/>
      <c r="N310" s="22"/>
    </row>
    <row r="311" spans="1:14">
      <c r="A311" s="64" t="s">
        <v>246</v>
      </c>
      <c r="B311" s="107">
        <v>429.16</v>
      </c>
      <c r="C311" s="107">
        <v>429.16</v>
      </c>
      <c r="D311" s="107">
        <v>424.66</v>
      </c>
      <c r="E311" s="107">
        <v>480.26</v>
      </c>
      <c r="F311" s="107">
        <v>435.76</v>
      </c>
      <c r="G311" s="107">
        <v>217.88</v>
      </c>
      <c r="H311" s="107">
        <v>694.4</v>
      </c>
      <c r="I311" s="107">
        <v>456.14</v>
      </c>
      <c r="J311" s="107">
        <v>456.14</v>
      </c>
      <c r="K311" s="107">
        <v>456.14</v>
      </c>
      <c r="L311" s="107">
        <v>-2280.6999999999998</v>
      </c>
      <c r="M311" s="107"/>
      <c r="N311" s="107">
        <v>2199</v>
      </c>
    </row>
    <row r="312" spans="1:14">
      <c r="A312" s="64" t="s">
        <v>247</v>
      </c>
      <c r="B312" s="107">
        <v>3261.22</v>
      </c>
      <c r="C312" s="107">
        <v>3410.32</v>
      </c>
      <c r="D312" s="107">
        <v>3399.44</v>
      </c>
      <c r="E312" s="107">
        <v>3436.42</v>
      </c>
      <c r="F312" s="107">
        <v>3533.66</v>
      </c>
      <c r="G312" s="107">
        <v>1772.49</v>
      </c>
      <c r="H312" s="107">
        <v>5317.79</v>
      </c>
      <c r="I312" s="107">
        <v>4254.4399999999996</v>
      </c>
      <c r="J312" s="107">
        <v>3999.74</v>
      </c>
      <c r="K312" s="107">
        <v>3871.64</v>
      </c>
      <c r="L312" s="107">
        <v>-19216.099999999999</v>
      </c>
      <c r="M312" s="107"/>
      <c r="N312" s="107">
        <v>17041.060000000001</v>
      </c>
    </row>
    <row r="313" spans="1:14">
      <c r="A313" s="64" t="s">
        <v>362</v>
      </c>
      <c r="B313" s="107">
        <v>1442</v>
      </c>
      <c r="C313" s="107">
        <v>1442</v>
      </c>
      <c r="D313" s="107">
        <v>1442</v>
      </c>
      <c r="E313" s="107">
        <v>1442</v>
      </c>
      <c r="F313" s="107">
        <v>1442</v>
      </c>
      <c r="G313" s="107">
        <v>1442</v>
      </c>
      <c r="H313" s="107">
        <v>1442</v>
      </c>
      <c r="I313" s="107">
        <v>1442</v>
      </c>
      <c r="J313" s="107">
        <v>1442</v>
      </c>
      <c r="K313" s="107">
        <v>1442</v>
      </c>
      <c r="L313" s="107">
        <v>-7210</v>
      </c>
      <c r="M313" s="107"/>
      <c r="N313" s="107">
        <v>7210</v>
      </c>
    </row>
    <row r="314" spans="1:14">
      <c r="A314" s="64" t="s">
        <v>363</v>
      </c>
      <c r="B314" s="111">
        <v>-1845.19</v>
      </c>
      <c r="C314" s="111">
        <v>-1919.74</v>
      </c>
      <c r="D314" s="111">
        <v>-1912.05</v>
      </c>
      <c r="E314" s="111">
        <v>-1958.34</v>
      </c>
      <c r="F314" s="111">
        <v>-1979.05</v>
      </c>
      <c r="G314" s="113"/>
      <c r="H314" s="111">
        <v>-4001.28</v>
      </c>
      <c r="I314" s="111">
        <v>-2355.29</v>
      </c>
      <c r="J314" s="111">
        <v>-2227.94</v>
      </c>
      <c r="K314" s="111">
        <v>-2163.89</v>
      </c>
      <c r="L314" s="111">
        <v>10748.4</v>
      </c>
      <c r="M314" s="111"/>
      <c r="N314" s="111">
        <v>-9614.3700000000008</v>
      </c>
    </row>
    <row r="315" spans="1:14">
      <c r="A315" s="64" t="s">
        <v>250</v>
      </c>
      <c r="B315" s="107">
        <f t="shared" ref="B315:L315" si="66">SUM(B309:B314)</f>
        <v>3287.1899999999991</v>
      </c>
      <c r="C315" s="107">
        <f t="shared" si="66"/>
        <v>3361.74</v>
      </c>
      <c r="D315" s="107">
        <f t="shared" si="66"/>
        <v>3354.05</v>
      </c>
      <c r="E315" s="107">
        <f t="shared" si="66"/>
        <v>3400.34</v>
      </c>
      <c r="F315" s="107">
        <f t="shared" si="66"/>
        <v>3432.37</v>
      </c>
      <c r="G315" s="107">
        <f t="shared" si="66"/>
        <v>3432.37</v>
      </c>
      <c r="H315" s="107">
        <f t="shared" si="66"/>
        <v>3452.9099999999994</v>
      </c>
      <c r="I315" s="107">
        <f t="shared" si="66"/>
        <v>3797.29</v>
      </c>
      <c r="J315" s="107">
        <f t="shared" si="66"/>
        <v>3669.94</v>
      </c>
      <c r="K315" s="107">
        <f t="shared" si="66"/>
        <v>3605.89</v>
      </c>
      <c r="L315" s="107">
        <f t="shared" si="66"/>
        <v>-17958.400000000001</v>
      </c>
      <c r="M315" s="107"/>
      <c r="N315" s="107">
        <v>16835.689999999999</v>
      </c>
    </row>
    <row r="316" spans="1:14">
      <c r="A316" s="64"/>
      <c r="B316" s="22"/>
      <c r="C316" s="22"/>
      <c r="D316" s="22"/>
      <c r="E316" s="22"/>
      <c r="F316" s="22"/>
      <c r="G316" s="22"/>
      <c r="H316" s="22"/>
      <c r="I316" s="22"/>
      <c r="J316" s="22"/>
      <c r="K316" s="22"/>
      <c r="L316" s="22"/>
      <c r="M316" s="22"/>
      <c r="N316" s="22"/>
    </row>
    <row r="317" spans="1:14">
      <c r="A317" s="64" t="s">
        <v>251</v>
      </c>
      <c r="B317" s="22"/>
      <c r="C317" s="22"/>
      <c r="D317" s="22"/>
      <c r="E317" s="22"/>
      <c r="F317" s="22"/>
      <c r="G317" s="22"/>
      <c r="H317" s="22"/>
      <c r="I317" s="22"/>
      <c r="J317" s="22"/>
      <c r="K317" s="22"/>
      <c r="L317" s="22"/>
      <c r="M317" s="22"/>
      <c r="N317" s="22"/>
    </row>
    <row r="318" spans="1:14">
      <c r="A318" s="64" t="s">
        <v>252</v>
      </c>
      <c r="B318" s="107">
        <v>106066.5</v>
      </c>
      <c r="C318" s="107">
        <v>108398.83</v>
      </c>
      <c r="D318" s="107">
        <v>108398.83</v>
      </c>
      <c r="E318" s="107">
        <v>108398.83</v>
      </c>
      <c r="F318" s="107">
        <v>108398.83</v>
      </c>
      <c r="G318" s="107">
        <v>108398.83</v>
      </c>
      <c r="H318" s="107">
        <v>108398.83</v>
      </c>
      <c r="I318" s="107">
        <v>108398.83</v>
      </c>
      <c r="J318" s="107">
        <v>108398.83</v>
      </c>
      <c r="K318" s="107">
        <v>108398.83</v>
      </c>
      <c r="L318" s="107">
        <v>-541994.15</v>
      </c>
      <c r="M318" s="22"/>
      <c r="N318" s="107">
        <v>539661.81999999995</v>
      </c>
    </row>
    <row r="319" spans="1:14">
      <c r="A319" s="64" t="s">
        <v>253</v>
      </c>
      <c r="B319" s="107">
        <v>118.67</v>
      </c>
      <c r="C319" s="107">
        <v>118.67</v>
      </c>
      <c r="D319" s="107">
        <v>118.67</v>
      </c>
      <c r="E319" s="107">
        <v>118.67</v>
      </c>
      <c r="F319" s="107">
        <v>118.67</v>
      </c>
      <c r="G319" s="22"/>
      <c r="H319" s="22"/>
      <c r="I319" s="22"/>
      <c r="J319" s="107">
        <v>60.18</v>
      </c>
      <c r="K319" s="107">
        <v>60.18</v>
      </c>
      <c r="L319" s="107">
        <v>-120.36</v>
      </c>
      <c r="M319" s="22"/>
      <c r="N319" s="107">
        <v>593.35</v>
      </c>
    </row>
    <row r="320" spans="1:14">
      <c r="A320" s="64" t="s">
        <v>254</v>
      </c>
      <c r="B320" s="111">
        <v>153.44999999999999</v>
      </c>
      <c r="C320" s="111">
        <v>50.67</v>
      </c>
      <c r="D320" s="111">
        <v>49.92</v>
      </c>
      <c r="E320" s="111">
        <v>50.83</v>
      </c>
      <c r="F320" s="113"/>
      <c r="G320" s="111">
        <v>1613.27</v>
      </c>
      <c r="H320" s="111">
        <v>47.3</v>
      </c>
      <c r="I320" s="111">
        <v>49.55</v>
      </c>
      <c r="J320" s="111">
        <v>15</v>
      </c>
      <c r="K320" s="111">
        <v>54.21</v>
      </c>
      <c r="L320" s="111">
        <v>-1779.33</v>
      </c>
      <c r="M320" s="111"/>
      <c r="N320" s="111">
        <v>304.87</v>
      </c>
    </row>
    <row r="321" spans="1:14">
      <c r="A321" s="64" t="s">
        <v>255</v>
      </c>
      <c r="B321" s="107">
        <f t="shared" ref="B321:L321" si="67">SUM(B316:B320)</f>
        <v>106338.62</v>
      </c>
      <c r="C321" s="107">
        <f t="shared" si="67"/>
        <v>108568.17</v>
      </c>
      <c r="D321" s="107">
        <f t="shared" si="67"/>
        <v>108567.42</v>
      </c>
      <c r="E321" s="107">
        <f t="shared" si="67"/>
        <v>108568.33</v>
      </c>
      <c r="F321" s="107">
        <f t="shared" si="67"/>
        <v>108517.5</v>
      </c>
      <c r="G321" s="107">
        <f t="shared" si="67"/>
        <v>110012.1</v>
      </c>
      <c r="H321" s="107">
        <f t="shared" si="67"/>
        <v>108446.13</v>
      </c>
      <c r="I321" s="107">
        <f t="shared" si="67"/>
        <v>108448.38</v>
      </c>
      <c r="J321" s="107">
        <f t="shared" si="67"/>
        <v>108474.01</v>
      </c>
      <c r="K321" s="107">
        <f t="shared" si="67"/>
        <v>108513.22</v>
      </c>
      <c r="L321" s="107">
        <f t="shared" si="67"/>
        <v>-543893.84</v>
      </c>
      <c r="M321" s="107"/>
      <c r="N321" s="107">
        <v>540560.04</v>
      </c>
    </row>
    <row r="322" spans="1:14">
      <c r="A322" s="64"/>
      <c r="B322" s="22"/>
      <c r="C322" s="22"/>
      <c r="D322" s="22"/>
      <c r="E322" s="22"/>
      <c r="F322" s="22"/>
      <c r="G322" s="22"/>
      <c r="H322" s="22"/>
      <c r="I322" s="22"/>
      <c r="J322" s="22"/>
      <c r="K322" s="22"/>
      <c r="L322" s="22"/>
      <c r="M322" s="22"/>
      <c r="N322" s="22"/>
    </row>
    <row r="323" spans="1:14">
      <c r="A323" s="64" t="s">
        <v>256</v>
      </c>
      <c r="B323" s="22"/>
      <c r="C323" s="22"/>
      <c r="D323" s="22"/>
      <c r="E323" s="22"/>
      <c r="F323" s="22"/>
      <c r="G323" s="22"/>
      <c r="H323" s="22"/>
      <c r="I323" s="22"/>
      <c r="J323" s="22"/>
      <c r="K323" s="22"/>
      <c r="L323" s="22"/>
      <c r="M323" s="22"/>
      <c r="N323" s="22"/>
    </row>
    <row r="324" spans="1:14">
      <c r="A324" s="64" t="s">
        <v>257</v>
      </c>
      <c r="B324" s="113"/>
      <c r="C324" s="111">
        <v>1521.25</v>
      </c>
      <c r="D324" s="113"/>
      <c r="E324" s="113"/>
      <c r="F324" s="111">
        <v>-36040.239999999998</v>
      </c>
      <c r="G324" s="113"/>
      <c r="H324" s="111"/>
      <c r="I324" s="113"/>
      <c r="J324" s="113"/>
      <c r="K324" s="113"/>
      <c r="L324" s="113"/>
      <c r="M324" s="113"/>
      <c r="N324" s="111">
        <v>-34518.99</v>
      </c>
    </row>
    <row r="325" spans="1:14">
      <c r="A325" s="64" t="s">
        <v>258</v>
      </c>
      <c r="B325" s="107"/>
      <c r="C325" s="107">
        <f>SUM(C322:C324)</f>
        <v>1521.25</v>
      </c>
      <c r="D325" s="107"/>
      <c r="E325" s="107"/>
      <c r="F325" s="107">
        <f>SUM(F322:F324)</f>
        <v>-36040.239999999998</v>
      </c>
      <c r="G325" s="107"/>
      <c r="H325" s="107"/>
      <c r="I325" s="107"/>
      <c r="J325" s="107"/>
      <c r="K325" s="107"/>
      <c r="L325" s="107"/>
      <c r="M325" s="107"/>
      <c r="N325" s="107">
        <v>-34518.99</v>
      </c>
    </row>
    <row r="326" spans="1:14">
      <c r="A326" s="64"/>
      <c r="B326" s="22"/>
      <c r="C326" s="22"/>
      <c r="D326" s="22"/>
      <c r="E326" s="22"/>
      <c r="F326" s="22"/>
      <c r="G326" s="22"/>
      <c r="H326" s="22"/>
      <c r="I326" s="22"/>
      <c r="J326" s="22"/>
      <c r="K326" s="22"/>
      <c r="L326" s="22"/>
      <c r="M326" s="22"/>
      <c r="N326" s="22"/>
    </row>
    <row r="327" spans="1:14" ht="15.75" thickBot="1">
      <c r="A327" s="64" t="s">
        <v>62</v>
      </c>
      <c r="B327" s="112">
        <f t="shared" ref="B327:L327" si="68">SUM(B186:B326)-B204-B211-B223-B238-B260-B277-B286-B295-B300-B308-B315-B321-B325</f>
        <v>877539.25999999943</v>
      </c>
      <c r="C327" s="112">
        <f t="shared" si="68"/>
        <v>817324.60999999964</v>
      </c>
      <c r="D327" s="112">
        <f t="shared" si="68"/>
        <v>772563.00999999954</v>
      </c>
      <c r="E327" s="112">
        <f t="shared" si="68"/>
        <v>748206.82999999961</v>
      </c>
      <c r="F327" s="112">
        <f t="shared" si="68"/>
        <v>-566286.35999999987</v>
      </c>
      <c r="G327" s="112">
        <f t="shared" si="68"/>
        <v>783338.35999999964</v>
      </c>
      <c r="H327" s="112">
        <f t="shared" si="68"/>
        <v>764796.16999999923</v>
      </c>
      <c r="I327" s="112">
        <f t="shared" si="68"/>
        <v>738147.89999999944</v>
      </c>
      <c r="J327" s="112">
        <f t="shared" si="68"/>
        <v>689500.42999999993</v>
      </c>
      <c r="K327" s="112">
        <f t="shared" si="68"/>
        <v>614124.85999999975</v>
      </c>
      <c r="L327" s="112">
        <f t="shared" si="68"/>
        <v>-3589907.720000003</v>
      </c>
      <c r="M327" s="112"/>
      <c r="N327" s="112">
        <v>2649347.35</v>
      </c>
    </row>
    <row r="328" spans="1:14" ht="15.75" thickTop="1">
      <c r="A328" s="64"/>
      <c r="B328" s="22"/>
      <c r="C328" s="22"/>
      <c r="D328" s="22"/>
      <c r="E328" s="22"/>
      <c r="F328" s="22"/>
      <c r="G328" s="22"/>
      <c r="H328" s="22"/>
      <c r="I328" s="22"/>
      <c r="J328" s="22"/>
      <c r="K328" s="22"/>
      <c r="L328" s="22"/>
      <c r="M328" s="22"/>
      <c r="N328" s="22"/>
    </row>
    <row r="329" spans="1:14" ht="15.75" thickBot="1">
      <c r="A329" s="64" t="s">
        <v>259</v>
      </c>
      <c r="B329" s="112">
        <f t="shared" ref="B329:L329" si="69">+B183-B327</f>
        <v>-107176.09000000078</v>
      </c>
      <c r="C329" s="112">
        <f t="shared" si="69"/>
        <v>-51637.479999999981</v>
      </c>
      <c r="D329" s="112">
        <f t="shared" si="69"/>
        <v>-86778.819999999832</v>
      </c>
      <c r="E329" s="112">
        <f t="shared" si="69"/>
        <v>-80630.219999999739</v>
      </c>
      <c r="F329" s="112">
        <f t="shared" si="69"/>
        <v>265145.6100000001</v>
      </c>
      <c r="G329" s="112">
        <f t="shared" si="69"/>
        <v>31327.049999999232</v>
      </c>
      <c r="H329" s="112">
        <f t="shared" si="69"/>
        <v>-17552.639999998384</v>
      </c>
      <c r="I329" s="112">
        <f t="shared" si="69"/>
        <v>-72116.729999999981</v>
      </c>
      <c r="J329" s="112">
        <f t="shared" si="69"/>
        <v>-29317.549999999115</v>
      </c>
      <c r="K329" s="112">
        <f t="shared" si="69"/>
        <v>138334.46000000043</v>
      </c>
      <c r="L329" s="112">
        <f t="shared" si="69"/>
        <v>-50674.590000001714</v>
      </c>
      <c r="M329" s="112"/>
      <c r="N329" s="112">
        <v>-61077</v>
      </c>
    </row>
    <row r="330" spans="1:14" ht="15.75" thickTop="1">
      <c r="A330" s="64"/>
      <c r="B330" s="22"/>
      <c r="C330" s="22"/>
      <c r="D330" s="22"/>
      <c r="E330" s="22"/>
      <c r="F330" s="22"/>
      <c r="G330" s="22"/>
      <c r="H330" s="22"/>
      <c r="I330" s="22"/>
      <c r="J330" s="22"/>
      <c r="K330" s="22"/>
      <c r="L330" s="22"/>
      <c r="M330" s="22"/>
      <c r="N330" s="22"/>
    </row>
    <row r="331" spans="1:14">
      <c r="A331" s="64" t="s">
        <v>351</v>
      </c>
      <c r="B331" s="107">
        <v>14655.42</v>
      </c>
      <c r="C331" s="107">
        <v>7698.94</v>
      </c>
      <c r="D331" s="107">
        <v>9591.7099999999991</v>
      </c>
      <c r="E331" s="107">
        <v>9629.76</v>
      </c>
      <c r="F331" s="107">
        <v>305635.89</v>
      </c>
      <c r="G331" s="107">
        <v>16541.259999999998</v>
      </c>
      <c r="H331" s="107">
        <v>16657.91</v>
      </c>
      <c r="I331" s="107">
        <v>22437.8</v>
      </c>
      <c r="J331" s="107">
        <v>14553.46</v>
      </c>
      <c r="K331" s="107">
        <v>82706.3</v>
      </c>
      <c r="L331" s="107">
        <v>-152896.73000000001</v>
      </c>
      <c r="M331" s="107"/>
      <c r="N331" s="107">
        <v>347211.72</v>
      </c>
    </row>
    <row r="332" spans="1:14">
      <c r="A332" s="64" t="s">
        <v>418</v>
      </c>
      <c r="B332" s="22"/>
      <c r="C332" s="22"/>
      <c r="D332" s="22"/>
      <c r="E332" s="22"/>
      <c r="F332" s="22"/>
      <c r="G332" s="22"/>
      <c r="H332" s="22"/>
      <c r="I332" s="22"/>
      <c r="J332" s="22"/>
      <c r="K332" s="22"/>
      <c r="L332" s="107">
        <v>96141.28</v>
      </c>
      <c r="M332" s="107">
        <v>107423.81</v>
      </c>
      <c r="N332" s="107">
        <v>203565.09</v>
      </c>
    </row>
    <row r="333" spans="1:14">
      <c r="A333" s="64" t="s">
        <v>364</v>
      </c>
      <c r="B333" s="113"/>
      <c r="C333" s="113"/>
      <c r="D333" s="113"/>
      <c r="E333" s="113"/>
      <c r="F333" s="111">
        <v>-75273</v>
      </c>
      <c r="G333" s="113"/>
      <c r="H333" s="113"/>
      <c r="I333" s="113"/>
      <c r="J333" s="113"/>
      <c r="K333" s="113"/>
      <c r="L333" s="113"/>
      <c r="M333" s="113"/>
      <c r="N333" s="111">
        <v>-75273</v>
      </c>
    </row>
    <row r="334" spans="1:14">
      <c r="A334" s="64" t="s">
        <v>64</v>
      </c>
      <c r="B334" s="107">
        <f t="shared" ref="B334:M334" si="70">SUM(B330:B333)</f>
        <v>14655.42</v>
      </c>
      <c r="C334" s="107">
        <f t="shared" si="70"/>
        <v>7698.94</v>
      </c>
      <c r="D334" s="107">
        <f t="shared" si="70"/>
        <v>9591.7099999999991</v>
      </c>
      <c r="E334" s="107">
        <f t="shared" si="70"/>
        <v>9629.76</v>
      </c>
      <c r="F334" s="107">
        <f t="shared" si="70"/>
        <v>230362.89</v>
      </c>
      <c r="G334" s="107">
        <f t="shared" si="70"/>
        <v>16541.259999999998</v>
      </c>
      <c r="H334" s="107">
        <f t="shared" si="70"/>
        <v>16657.91</v>
      </c>
      <c r="I334" s="107">
        <f t="shared" si="70"/>
        <v>22437.8</v>
      </c>
      <c r="J334" s="107">
        <f t="shared" si="70"/>
        <v>14553.46</v>
      </c>
      <c r="K334" s="107">
        <f t="shared" si="70"/>
        <v>82706.3</v>
      </c>
      <c r="L334" s="107">
        <f t="shared" si="70"/>
        <v>-56755.450000000012</v>
      </c>
      <c r="M334" s="107">
        <f t="shared" si="70"/>
        <v>107423.81</v>
      </c>
      <c r="N334" s="107">
        <v>475503.81</v>
      </c>
    </row>
    <row r="335" spans="1:14">
      <c r="A335" s="64"/>
      <c r="B335" s="22"/>
      <c r="C335" s="22"/>
      <c r="D335" s="22"/>
      <c r="E335" s="22"/>
      <c r="F335" s="22"/>
      <c r="G335" s="22"/>
      <c r="H335" s="22"/>
      <c r="I335" s="22"/>
      <c r="J335" s="22"/>
      <c r="K335" s="22"/>
      <c r="L335" s="22"/>
      <c r="M335" s="22"/>
      <c r="N335" s="22"/>
    </row>
    <row r="336" spans="1:14" ht="15.75" thickBot="1">
      <c r="A336" s="64" t="s">
        <v>22</v>
      </c>
      <c r="B336" s="112">
        <f t="shared" ref="B336:M336" si="71">+B329-B334</f>
        <v>-121831.51000000078</v>
      </c>
      <c r="C336" s="112">
        <f t="shared" si="71"/>
        <v>-59336.419999999984</v>
      </c>
      <c r="D336" s="112">
        <f t="shared" si="71"/>
        <v>-96370.529999999824</v>
      </c>
      <c r="E336" s="112">
        <f t="shared" si="71"/>
        <v>-90259.979999999734</v>
      </c>
      <c r="F336" s="112">
        <f t="shared" si="71"/>
        <v>34782.720000000088</v>
      </c>
      <c r="G336" s="112">
        <f t="shared" si="71"/>
        <v>14785.789999999233</v>
      </c>
      <c r="H336" s="112">
        <f t="shared" si="71"/>
        <v>-34210.549999998388</v>
      </c>
      <c r="I336" s="112">
        <f t="shared" si="71"/>
        <v>-94554.529999999984</v>
      </c>
      <c r="J336" s="112">
        <f t="shared" si="71"/>
        <v>-43871.009999999114</v>
      </c>
      <c r="K336" s="112">
        <f t="shared" si="71"/>
        <v>55628.160000000425</v>
      </c>
      <c r="L336" s="112">
        <f t="shared" si="71"/>
        <v>6080.859999998298</v>
      </c>
      <c r="M336" s="112">
        <f t="shared" si="71"/>
        <v>-107423.81</v>
      </c>
      <c r="N336" s="112">
        <v>-536580.81000000006</v>
      </c>
    </row>
    <row r="337" spans="1:14" ht="15.75" thickTop="1">
      <c r="A337" s="64"/>
      <c r="B337" s="22"/>
      <c r="C337" s="22"/>
      <c r="D337" s="22"/>
      <c r="E337" s="22"/>
      <c r="F337" s="22"/>
      <c r="G337" s="22"/>
      <c r="H337" s="22"/>
      <c r="I337" s="22"/>
      <c r="J337" s="22"/>
      <c r="K337" s="22"/>
      <c r="L337" s="22"/>
      <c r="M337" s="22"/>
      <c r="N337" s="22"/>
    </row>
    <row r="338" spans="1:14">
      <c r="A338" s="64"/>
      <c r="B338" s="22"/>
      <c r="C338" s="22"/>
      <c r="D338" s="22"/>
      <c r="E338" s="22"/>
      <c r="F338" s="22"/>
      <c r="G338" s="22"/>
      <c r="H338" s="22"/>
      <c r="I338" s="22"/>
      <c r="J338" s="22"/>
      <c r="K338" s="22"/>
      <c r="L338" s="22"/>
      <c r="M338" s="22"/>
      <c r="N338" s="22"/>
    </row>
    <row r="339" spans="1:14">
      <c r="A339" s="64" t="s">
        <v>260</v>
      </c>
      <c r="B339" s="22"/>
      <c r="C339" s="22"/>
      <c r="D339" s="22"/>
      <c r="E339" s="22"/>
      <c r="F339" s="22"/>
      <c r="G339" s="22"/>
      <c r="H339" s="22"/>
      <c r="I339" s="22"/>
      <c r="J339" s="22"/>
      <c r="K339" s="22"/>
      <c r="L339" s="22"/>
      <c r="M339" s="22"/>
      <c r="N339" s="22"/>
    </row>
    <row r="340" spans="1:14">
      <c r="A340" s="64"/>
      <c r="B340" s="22"/>
      <c r="C340" s="22"/>
      <c r="D340" s="22"/>
      <c r="E340" s="22"/>
      <c r="F340" s="22"/>
      <c r="G340" s="22"/>
      <c r="H340" s="22"/>
      <c r="I340" s="22"/>
      <c r="J340" s="22"/>
      <c r="K340" s="22"/>
      <c r="L340" s="22"/>
      <c r="M340" s="22"/>
      <c r="N340" s="22"/>
    </row>
    <row r="341" spans="1:14">
      <c r="A341" s="64" t="s">
        <v>19</v>
      </c>
      <c r="B341" s="22"/>
      <c r="C341" s="22"/>
      <c r="D341" s="22"/>
      <c r="E341" s="22"/>
      <c r="F341" s="22"/>
      <c r="G341" s="22"/>
      <c r="H341" s="22"/>
      <c r="I341" s="22"/>
      <c r="J341" s="22"/>
      <c r="K341" s="22"/>
      <c r="L341" s="22"/>
      <c r="M341" s="22"/>
      <c r="N341" s="22"/>
    </row>
    <row r="342" spans="1:14">
      <c r="A342" s="64" t="s">
        <v>261</v>
      </c>
      <c r="B342" s="107">
        <v>8</v>
      </c>
      <c r="C342" s="107">
        <v>31</v>
      </c>
      <c r="D342" s="107">
        <v>-129</v>
      </c>
      <c r="E342" s="107">
        <v>-186</v>
      </c>
      <c r="F342" s="107">
        <v>-42</v>
      </c>
      <c r="G342" s="107">
        <v>59</v>
      </c>
      <c r="H342" s="107">
        <v>-52</v>
      </c>
      <c r="I342" s="107">
        <v>-12</v>
      </c>
      <c r="J342" s="22"/>
      <c r="K342" s="107">
        <v>-93</v>
      </c>
      <c r="L342" s="107">
        <v>-72</v>
      </c>
      <c r="M342" s="107">
        <v>-3</v>
      </c>
      <c r="N342" s="107">
        <v>-491</v>
      </c>
    </row>
    <row r="343" spans="1:14">
      <c r="A343" s="64" t="s">
        <v>66</v>
      </c>
      <c r="B343" s="111">
        <v>1575</v>
      </c>
      <c r="C343" s="111">
        <v>1607</v>
      </c>
      <c r="D343" s="111">
        <v>1662</v>
      </c>
      <c r="E343" s="111">
        <v>1583</v>
      </c>
      <c r="F343" s="111">
        <v>1616</v>
      </c>
      <c r="G343" s="111">
        <v>1553</v>
      </c>
      <c r="H343" s="111">
        <v>1283</v>
      </c>
      <c r="I343" s="111">
        <v>1460</v>
      </c>
      <c r="J343" s="111">
        <v>1557</v>
      </c>
      <c r="K343" s="111">
        <v>1511</v>
      </c>
      <c r="L343" s="111">
        <v>-7364</v>
      </c>
      <c r="M343" s="111"/>
      <c r="N343" s="111">
        <v>8043</v>
      </c>
    </row>
    <row r="344" spans="1:14">
      <c r="A344" s="64" t="s">
        <v>85</v>
      </c>
      <c r="B344" s="107">
        <f t="shared" ref="B344:M344" si="72">SUM(B341:B343)</f>
        <v>1583</v>
      </c>
      <c r="C344" s="107">
        <f t="shared" si="72"/>
        <v>1638</v>
      </c>
      <c r="D344" s="107">
        <f t="shared" si="72"/>
        <v>1533</v>
      </c>
      <c r="E344" s="107">
        <f t="shared" si="72"/>
        <v>1397</v>
      </c>
      <c r="F344" s="107">
        <f t="shared" si="72"/>
        <v>1574</v>
      </c>
      <c r="G344" s="107">
        <f t="shared" si="72"/>
        <v>1612</v>
      </c>
      <c r="H344" s="107">
        <f t="shared" si="72"/>
        <v>1231</v>
      </c>
      <c r="I344" s="107">
        <f t="shared" si="72"/>
        <v>1448</v>
      </c>
      <c r="J344" s="107">
        <f t="shared" si="72"/>
        <v>1557</v>
      </c>
      <c r="K344" s="107">
        <f t="shared" si="72"/>
        <v>1418</v>
      </c>
      <c r="L344" s="107">
        <f t="shared" si="72"/>
        <v>-7436</v>
      </c>
      <c r="M344" s="107">
        <f t="shared" si="72"/>
        <v>-3</v>
      </c>
      <c r="N344" s="107">
        <v>7552</v>
      </c>
    </row>
    <row r="345" spans="1:14">
      <c r="A345" s="64"/>
      <c r="B345" s="22"/>
      <c r="C345" s="22"/>
      <c r="D345" s="22"/>
      <c r="E345" s="22"/>
      <c r="F345" s="22"/>
      <c r="G345" s="22"/>
      <c r="H345" s="22"/>
      <c r="I345" s="22"/>
      <c r="J345" s="22"/>
      <c r="K345" s="22"/>
      <c r="L345" s="22"/>
      <c r="M345" s="22"/>
      <c r="N345" s="22"/>
    </row>
    <row r="346" spans="1:14">
      <c r="A346" s="64" t="s">
        <v>20</v>
      </c>
      <c r="B346" s="22"/>
      <c r="C346" s="22"/>
      <c r="D346" s="22"/>
      <c r="E346" s="22"/>
      <c r="F346" s="22"/>
      <c r="G346" s="22"/>
      <c r="H346" s="22"/>
      <c r="I346" s="22"/>
      <c r="J346" s="22"/>
      <c r="K346" s="22"/>
      <c r="L346" s="22"/>
      <c r="M346" s="22"/>
      <c r="N346" s="22"/>
    </row>
    <row r="347" spans="1:14">
      <c r="A347" s="64" t="s">
        <v>261</v>
      </c>
      <c r="B347" s="22"/>
      <c r="C347" s="22"/>
      <c r="D347" s="22"/>
      <c r="E347" s="22"/>
      <c r="F347" s="22"/>
      <c r="G347" s="107">
        <v>21</v>
      </c>
      <c r="H347" s="107">
        <v>1</v>
      </c>
      <c r="I347" s="22"/>
      <c r="J347" s="22"/>
      <c r="K347" s="22"/>
      <c r="L347" s="22"/>
      <c r="M347" s="107">
        <v>3</v>
      </c>
      <c r="N347" s="107">
        <v>25</v>
      </c>
    </row>
    <row r="348" spans="1:14">
      <c r="A348" s="64" t="s">
        <v>66</v>
      </c>
      <c r="B348" s="111">
        <v>205</v>
      </c>
      <c r="C348" s="111">
        <v>185</v>
      </c>
      <c r="D348" s="111">
        <v>138</v>
      </c>
      <c r="E348" s="111">
        <v>105</v>
      </c>
      <c r="F348" s="111">
        <v>124</v>
      </c>
      <c r="G348" s="111">
        <v>114</v>
      </c>
      <c r="H348" s="111">
        <v>131</v>
      </c>
      <c r="I348" s="111">
        <v>162</v>
      </c>
      <c r="J348" s="111">
        <v>200</v>
      </c>
      <c r="K348" s="111">
        <v>248</v>
      </c>
      <c r="L348" s="111">
        <v>-855</v>
      </c>
      <c r="M348" s="111"/>
      <c r="N348" s="111">
        <v>757</v>
      </c>
    </row>
    <row r="349" spans="1:14">
      <c r="A349" s="64" t="s">
        <v>262</v>
      </c>
      <c r="B349" s="107">
        <f t="shared" ref="B349:M349" si="73">SUM(B345:B348)</f>
        <v>205</v>
      </c>
      <c r="C349" s="107">
        <f t="shared" si="73"/>
        <v>185</v>
      </c>
      <c r="D349" s="107">
        <f t="shared" si="73"/>
        <v>138</v>
      </c>
      <c r="E349" s="107">
        <f t="shared" si="73"/>
        <v>105</v>
      </c>
      <c r="F349" s="107">
        <f t="shared" si="73"/>
        <v>124</v>
      </c>
      <c r="G349" s="107">
        <f t="shared" si="73"/>
        <v>135</v>
      </c>
      <c r="H349" s="107">
        <f t="shared" si="73"/>
        <v>132</v>
      </c>
      <c r="I349" s="107">
        <f t="shared" si="73"/>
        <v>162</v>
      </c>
      <c r="J349" s="107">
        <f t="shared" si="73"/>
        <v>200</v>
      </c>
      <c r="K349" s="107">
        <f t="shared" si="73"/>
        <v>248</v>
      </c>
      <c r="L349" s="107">
        <f t="shared" si="73"/>
        <v>-855</v>
      </c>
      <c r="M349" s="107">
        <f t="shared" si="73"/>
        <v>3</v>
      </c>
      <c r="N349" s="107">
        <v>782</v>
      </c>
    </row>
    <row r="350" spans="1:14">
      <c r="A350" s="64"/>
      <c r="B350" s="22"/>
      <c r="C350" s="22"/>
      <c r="D350" s="22"/>
      <c r="E350" s="22"/>
      <c r="F350" s="22"/>
      <c r="G350" s="22"/>
      <c r="H350" s="22"/>
      <c r="I350" s="22"/>
      <c r="J350" s="22"/>
      <c r="K350" s="22"/>
      <c r="L350" s="22"/>
      <c r="M350" s="22"/>
      <c r="N350" s="22"/>
    </row>
    <row r="351" spans="1:14">
      <c r="A351" s="64" t="s">
        <v>263</v>
      </c>
      <c r="B351" s="22"/>
      <c r="C351" s="22"/>
      <c r="D351" s="22"/>
      <c r="E351" s="22"/>
      <c r="F351" s="22"/>
      <c r="G351" s="22"/>
      <c r="H351" s="22"/>
      <c r="I351" s="22"/>
      <c r="J351" s="22"/>
      <c r="K351" s="22"/>
      <c r="L351" s="22"/>
      <c r="M351" s="22"/>
      <c r="N351" s="22"/>
    </row>
    <row r="352" spans="1:14">
      <c r="A352" s="64" t="s">
        <v>261</v>
      </c>
      <c r="B352" s="107">
        <v>-8</v>
      </c>
      <c r="C352" s="107">
        <v>-3</v>
      </c>
      <c r="D352" s="107">
        <v>-21</v>
      </c>
      <c r="E352" s="107">
        <v>10</v>
      </c>
      <c r="F352" s="107">
        <v>18</v>
      </c>
      <c r="G352" s="107">
        <v>8</v>
      </c>
      <c r="H352" s="107">
        <v>13</v>
      </c>
      <c r="I352" s="22"/>
      <c r="J352" s="107">
        <v>-1</v>
      </c>
      <c r="K352" s="22"/>
      <c r="L352" s="22"/>
      <c r="M352" s="22"/>
      <c r="N352" s="107">
        <v>16</v>
      </c>
    </row>
    <row r="353" spans="1:14">
      <c r="A353" s="64" t="s">
        <v>66</v>
      </c>
      <c r="B353" s="111">
        <v>425</v>
      </c>
      <c r="C353" s="111">
        <v>423</v>
      </c>
      <c r="D353" s="111">
        <v>234</v>
      </c>
      <c r="E353" s="111">
        <v>311</v>
      </c>
      <c r="F353" s="111">
        <v>236</v>
      </c>
      <c r="G353" s="111">
        <v>366</v>
      </c>
      <c r="H353" s="111">
        <v>403</v>
      </c>
      <c r="I353" s="111">
        <v>315</v>
      </c>
      <c r="J353" s="111">
        <v>250</v>
      </c>
      <c r="K353" s="111">
        <v>267</v>
      </c>
      <c r="L353" s="111">
        <v>-1601</v>
      </c>
      <c r="M353" s="111"/>
      <c r="N353" s="111">
        <v>1629</v>
      </c>
    </row>
    <row r="354" spans="1:14">
      <c r="A354" s="64" t="s">
        <v>264</v>
      </c>
      <c r="B354" s="107">
        <f t="shared" ref="B354:L354" si="74">SUM(B350:B353)</f>
        <v>417</v>
      </c>
      <c r="C354" s="107">
        <f t="shared" si="74"/>
        <v>420</v>
      </c>
      <c r="D354" s="107">
        <f t="shared" si="74"/>
        <v>213</v>
      </c>
      <c r="E354" s="107">
        <f t="shared" si="74"/>
        <v>321</v>
      </c>
      <c r="F354" s="107">
        <f t="shared" si="74"/>
        <v>254</v>
      </c>
      <c r="G354" s="107">
        <f t="shared" si="74"/>
        <v>374</v>
      </c>
      <c r="H354" s="107">
        <f t="shared" si="74"/>
        <v>416</v>
      </c>
      <c r="I354" s="107">
        <f t="shared" si="74"/>
        <v>315</v>
      </c>
      <c r="J354" s="107">
        <f t="shared" si="74"/>
        <v>249</v>
      </c>
      <c r="K354" s="107">
        <f t="shared" si="74"/>
        <v>267</v>
      </c>
      <c r="L354" s="107">
        <f t="shared" si="74"/>
        <v>-1601</v>
      </c>
      <c r="M354" s="107"/>
      <c r="N354" s="107">
        <v>1645</v>
      </c>
    </row>
    <row r="355" spans="1:14">
      <c r="A355" s="64"/>
      <c r="B355" s="22"/>
      <c r="C355" s="22"/>
      <c r="D355" s="22"/>
      <c r="E355" s="22"/>
      <c r="F355" s="22"/>
      <c r="G355" s="22"/>
      <c r="H355" s="22"/>
      <c r="I355" s="22"/>
      <c r="J355" s="22"/>
      <c r="K355" s="22"/>
      <c r="L355" s="22"/>
      <c r="M355" s="22"/>
      <c r="N355" s="22"/>
    </row>
    <row r="356" spans="1:14">
      <c r="A356" s="64" t="s">
        <v>265</v>
      </c>
      <c r="B356" s="113"/>
      <c r="C356" s="113"/>
      <c r="D356" s="113"/>
      <c r="E356" s="113"/>
      <c r="F356" s="113"/>
      <c r="G356" s="113"/>
      <c r="H356" s="113"/>
      <c r="I356" s="113"/>
      <c r="J356" s="113"/>
      <c r="K356" s="113"/>
      <c r="L356" s="113"/>
      <c r="M356" s="113"/>
      <c r="N356" s="113"/>
    </row>
    <row r="357" spans="1:14">
      <c r="A357" s="64" t="s">
        <v>319</v>
      </c>
      <c r="B357" s="107"/>
      <c r="C357" s="107"/>
      <c r="D357" s="107"/>
      <c r="E357" s="107"/>
      <c r="F357" s="107"/>
      <c r="G357" s="107"/>
      <c r="H357" s="107"/>
      <c r="I357" s="107"/>
      <c r="J357" s="107"/>
      <c r="K357" s="107"/>
      <c r="L357" s="107"/>
      <c r="M357" s="107"/>
      <c r="N357" s="107"/>
    </row>
    <row r="358" spans="1:14">
      <c r="A358" s="64"/>
      <c r="B358" s="22"/>
      <c r="C358" s="22"/>
      <c r="D358" s="22"/>
      <c r="E358" s="22"/>
      <c r="F358" s="22"/>
      <c r="G358" s="22"/>
      <c r="H358" s="22"/>
      <c r="I358" s="22"/>
      <c r="J358" s="22"/>
      <c r="K358" s="22"/>
      <c r="L358" s="22"/>
      <c r="M358" s="22"/>
      <c r="N358" s="22"/>
    </row>
    <row r="359" spans="1:14">
      <c r="A359" s="64" t="s">
        <v>106</v>
      </c>
      <c r="B359" s="22"/>
      <c r="C359" s="22"/>
      <c r="D359" s="22"/>
      <c r="E359" s="22"/>
      <c r="F359" s="22"/>
      <c r="G359" s="22"/>
      <c r="H359" s="22"/>
      <c r="I359" s="22"/>
      <c r="J359" s="22"/>
      <c r="K359" s="22"/>
      <c r="L359" s="22"/>
      <c r="M359" s="22"/>
      <c r="N359" s="22"/>
    </row>
    <row r="360" spans="1:14">
      <c r="A360" s="64" t="s">
        <v>261</v>
      </c>
      <c r="B360" s="22"/>
      <c r="C360" s="107">
        <v>7</v>
      </c>
      <c r="D360" s="22"/>
      <c r="E360" s="22"/>
      <c r="F360" s="107">
        <v>-18</v>
      </c>
      <c r="G360" s="107">
        <v>-9</v>
      </c>
      <c r="H360" s="107">
        <v>-14</v>
      </c>
      <c r="I360" s="107">
        <v>7</v>
      </c>
      <c r="J360" s="22"/>
      <c r="K360" s="22"/>
      <c r="L360" s="22"/>
      <c r="M360" s="22"/>
      <c r="N360" s="107">
        <v>-27</v>
      </c>
    </row>
    <row r="361" spans="1:14">
      <c r="A361" s="64" t="s">
        <v>66</v>
      </c>
      <c r="B361" s="111">
        <v>64</v>
      </c>
      <c r="C361" s="111">
        <v>63</v>
      </c>
      <c r="D361" s="111">
        <v>114</v>
      </c>
      <c r="E361" s="111">
        <v>126</v>
      </c>
      <c r="F361" s="111">
        <v>81</v>
      </c>
      <c r="G361" s="111">
        <v>212</v>
      </c>
      <c r="H361" s="111">
        <v>175</v>
      </c>
      <c r="I361" s="111">
        <v>186</v>
      </c>
      <c r="J361" s="111">
        <v>53</v>
      </c>
      <c r="K361" s="111">
        <v>60</v>
      </c>
      <c r="L361" s="111">
        <v>-686</v>
      </c>
      <c r="M361" s="111"/>
      <c r="N361" s="111">
        <v>448</v>
      </c>
    </row>
    <row r="362" spans="1:14">
      <c r="A362" s="64" t="s">
        <v>116</v>
      </c>
      <c r="B362" s="107">
        <f t="shared" ref="B362:L362" si="75">SUM(B358:B361)</f>
        <v>64</v>
      </c>
      <c r="C362" s="107">
        <f t="shared" si="75"/>
        <v>70</v>
      </c>
      <c r="D362" s="107">
        <f t="shared" si="75"/>
        <v>114</v>
      </c>
      <c r="E362" s="107">
        <f t="shared" si="75"/>
        <v>126</v>
      </c>
      <c r="F362" s="107">
        <f t="shared" si="75"/>
        <v>63</v>
      </c>
      <c r="G362" s="107">
        <f t="shared" si="75"/>
        <v>203</v>
      </c>
      <c r="H362" s="107">
        <f t="shared" si="75"/>
        <v>161</v>
      </c>
      <c r="I362" s="107">
        <f t="shared" si="75"/>
        <v>193</v>
      </c>
      <c r="J362" s="107">
        <f t="shared" si="75"/>
        <v>53</v>
      </c>
      <c r="K362" s="107">
        <f t="shared" si="75"/>
        <v>60</v>
      </c>
      <c r="L362" s="107">
        <f t="shared" si="75"/>
        <v>-686</v>
      </c>
      <c r="M362" s="107"/>
      <c r="N362" s="107">
        <v>421</v>
      </c>
    </row>
    <row r="363" spans="1:14">
      <c r="A363" s="64"/>
      <c r="B363" s="22"/>
      <c r="C363" s="22"/>
      <c r="D363" s="22"/>
      <c r="E363" s="22"/>
      <c r="F363" s="22"/>
      <c r="G363" s="22"/>
      <c r="H363" s="22"/>
      <c r="I363" s="22"/>
      <c r="J363" s="22"/>
      <c r="K363" s="22"/>
      <c r="L363" s="22"/>
      <c r="M363" s="22"/>
      <c r="N363" s="22"/>
    </row>
    <row r="364" spans="1:14">
      <c r="A364" s="64" t="s">
        <v>117</v>
      </c>
      <c r="B364" s="22"/>
      <c r="C364" s="22"/>
      <c r="D364" s="22"/>
      <c r="E364" s="22"/>
      <c r="F364" s="22"/>
      <c r="G364" s="22"/>
      <c r="H364" s="22"/>
      <c r="I364" s="22"/>
      <c r="J364" s="22"/>
      <c r="K364" s="22"/>
      <c r="L364" s="22"/>
      <c r="M364" s="22"/>
      <c r="N364" s="22"/>
    </row>
    <row r="365" spans="1:14">
      <c r="A365" s="64" t="s">
        <v>261</v>
      </c>
      <c r="B365" s="22"/>
      <c r="C365" s="107">
        <v>-35</v>
      </c>
      <c r="D365" s="107">
        <v>149</v>
      </c>
      <c r="E365" s="107">
        <v>175</v>
      </c>
      <c r="F365" s="107">
        <v>41</v>
      </c>
      <c r="G365" s="107">
        <v>-80</v>
      </c>
      <c r="H365" s="107">
        <v>52</v>
      </c>
      <c r="I365" s="107">
        <v>5</v>
      </c>
      <c r="J365" s="22"/>
      <c r="K365" s="107">
        <v>93</v>
      </c>
      <c r="L365" s="107">
        <v>72</v>
      </c>
      <c r="M365" s="22"/>
      <c r="N365" s="107">
        <v>472</v>
      </c>
    </row>
    <row r="366" spans="1:14">
      <c r="A366" s="64" t="s">
        <v>66</v>
      </c>
      <c r="B366" s="111">
        <v>316</v>
      </c>
      <c r="C366" s="111">
        <v>365</v>
      </c>
      <c r="D366" s="111">
        <v>491</v>
      </c>
      <c r="E366" s="111">
        <v>461</v>
      </c>
      <c r="F366" s="111">
        <v>436</v>
      </c>
      <c r="G366" s="111">
        <v>377</v>
      </c>
      <c r="H366" s="111">
        <v>324</v>
      </c>
      <c r="I366" s="111">
        <v>361</v>
      </c>
      <c r="J366" s="111">
        <v>344</v>
      </c>
      <c r="K366" s="111">
        <v>484</v>
      </c>
      <c r="L366" s="111">
        <v>-1890</v>
      </c>
      <c r="M366" s="111"/>
      <c r="N366" s="111">
        <v>2069</v>
      </c>
    </row>
    <row r="367" spans="1:14">
      <c r="A367" s="64" t="s">
        <v>127</v>
      </c>
      <c r="B367" s="107">
        <f t="shared" ref="B367:L367" si="76">SUM(B363:B366)</f>
        <v>316</v>
      </c>
      <c r="C367" s="107">
        <f t="shared" si="76"/>
        <v>330</v>
      </c>
      <c r="D367" s="107">
        <f t="shared" si="76"/>
        <v>640</v>
      </c>
      <c r="E367" s="107">
        <f t="shared" si="76"/>
        <v>636</v>
      </c>
      <c r="F367" s="107">
        <f t="shared" si="76"/>
        <v>477</v>
      </c>
      <c r="G367" s="107">
        <f t="shared" si="76"/>
        <v>297</v>
      </c>
      <c r="H367" s="107">
        <f t="shared" si="76"/>
        <v>376</v>
      </c>
      <c r="I367" s="107">
        <f t="shared" si="76"/>
        <v>366</v>
      </c>
      <c r="J367" s="107">
        <f t="shared" si="76"/>
        <v>344</v>
      </c>
      <c r="K367" s="107">
        <f t="shared" si="76"/>
        <v>577</v>
      </c>
      <c r="L367" s="107">
        <f t="shared" si="76"/>
        <v>-1818</v>
      </c>
      <c r="M367" s="107"/>
      <c r="N367" s="107">
        <v>2541</v>
      </c>
    </row>
    <row r="368" spans="1:14">
      <c r="A368" s="64"/>
      <c r="B368" s="22"/>
      <c r="C368" s="22"/>
      <c r="D368" s="22"/>
      <c r="E368" s="22"/>
      <c r="F368" s="22"/>
      <c r="G368" s="22"/>
      <c r="H368" s="22"/>
      <c r="I368" s="22"/>
      <c r="J368" s="22"/>
      <c r="K368" s="22"/>
      <c r="L368" s="22"/>
      <c r="M368" s="22"/>
      <c r="N368" s="22"/>
    </row>
    <row r="369" spans="1:14" ht="15.75" thickBot="1">
      <c r="A369" s="64" t="s">
        <v>266</v>
      </c>
      <c r="B369" s="112">
        <f t="shared" ref="B369:L369" si="77">SUM(B339:B368)-B344-B349-B354-B357-B362-B367</f>
        <v>2585</v>
      </c>
      <c r="C369" s="112">
        <f t="shared" si="77"/>
        <v>2643</v>
      </c>
      <c r="D369" s="112">
        <f t="shared" si="77"/>
        <v>2638</v>
      </c>
      <c r="E369" s="112">
        <f t="shared" si="77"/>
        <v>2585</v>
      </c>
      <c r="F369" s="112">
        <f t="shared" si="77"/>
        <v>2492</v>
      </c>
      <c r="G369" s="112">
        <f t="shared" si="77"/>
        <v>2621</v>
      </c>
      <c r="H369" s="112">
        <f t="shared" si="77"/>
        <v>2316</v>
      </c>
      <c r="I369" s="112">
        <f t="shared" si="77"/>
        <v>2484</v>
      </c>
      <c r="J369" s="112">
        <f t="shared" si="77"/>
        <v>2403</v>
      </c>
      <c r="K369" s="112">
        <f t="shared" si="77"/>
        <v>2570</v>
      </c>
      <c r="L369" s="112">
        <f t="shared" si="77"/>
        <v>-12396</v>
      </c>
      <c r="M369" s="112"/>
      <c r="N369" s="112">
        <v>12941</v>
      </c>
    </row>
    <row r="370" spans="1:14" ht="15.75" thickTop="1">
      <c r="A370" s="64"/>
      <c r="B370" s="22"/>
      <c r="C370" s="22"/>
      <c r="D370" s="22"/>
      <c r="E370" s="22"/>
      <c r="F370" s="22"/>
      <c r="G370" s="22"/>
      <c r="H370" s="22"/>
      <c r="I370" s="22"/>
      <c r="J370" s="22"/>
      <c r="K370" s="22"/>
      <c r="L370" s="22"/>
      <c r="M370" s="22"/>
      <c r="N370" s="22"/>
    </row>
    <row r="371" spans="1:14" hidden="1">
      <c r="A371" s="64"/>
      <c r="B371" s="107">
        <v>121831.51</v>
      </c>
      <c r="C371" s="107">
        <v>59336.42</v>
      </c>
      <c r="D371" s="107">
        <v>96370.53</v>
      </c>
      <c r="E371" s="107">
        <v>90259.98</v>
      </c>
      <c r="F371" s="107">
        <v>-34782.720000000001</v>
      </c>
      <c r="G371" s="107">
        <v>-14785.79</v>
      </c>
      <c r="H371" s="107">
        <v>34210.550000000003</v>
      </c>
      <c r="I371" s="107">
        <v>94554.53</v>
      </c>
      <c r="J371" s="107">
        <v>43871.01</v>
      </c>
      <c r="K371" s="107">
        <v>-55628.160000000003</v>
      </c>
      <c r="L371" s="107">
        <v>-6080.86</v>
      </c>
      <c r="M371" s="107">
        <v>107423.81</v>
      </c>
      <c r="N371" s="107">
        <v>536580.81000000006</v>
      </c>
    </row>
    <row r="372" spans="1:14">
      <c r="A372" s="64"/>
      <c r="B372" s="22"/>
      <c r="C372" s="22"/>
      <c r="D372" s="22"/>
      <c r="E372" s="22"/>
      <c r="F372" s="22"/>
      <c r="G372" s="22"/>
      <c r="H372" s="22"/>
      <c r="I372" s="22"/>
      <c r="J372" s="22"/>
      <c r="K372" s="22"/>
      <c r="L372" s="22"/>
      <c r="M372" s="22"/>
      <c r="N372" s="22"/>
    </row>
    <row r="373" spans="1:14" hidden="1">
      <c r="A373" s="64" t="s">
        <v>267</v>
      </c>
      <c r="B373" s="107">
        <f t="shared" ref="B373:L373" si="78">B343+B348+B353+B361+B366</f>
        <v>2585</v>
      </c>
      <c r="C373" s="107">
        <f t="shared" si="78"/>
        <v>2643</v>
      </c>
      <c r="D373" s="107">
        <f t="shared" si="78"/>
        <v>2639</v>
      </c>
      <c r="E373" s="107">
        <f t="shared" si="78"/>
        <v>2586</v>
      </c>
      <c r="F373" s="107">
        <f t="shared" si="78"/>
        <v>2493</v>
      </c>
      <c r="G373" s="107">
        <f t="shared" si="78"/>
        <v>2622</v>
      </c>
      <c r="H373" s="107">
        <f t="shared" si="78"/>
        <v>2316</v>
      </c>
      <c r="I373" s="107">
        <f t="shared" si="78"/>
        <v>2484</v>
      </c>
      <c r="J373" s="107">
        <f t="shared" si="78"/>
        <v>2404</v>
      </c>
      <c r="K373" s="107">
        <f t="shared" si="78"/>
        <v>2570</v>
      </c>
      <c r="L373" s="107">
        <f t="shared" si="78"/>
        <v>-12396</v>
      </c>
      <c r="M373" s="107"/>
      <c r="N373" s="107">
        <v>12946</v>
      </c>
    </row>
    <row r="374" spans="1:14">
      <c r="A374" s="64"/>
      <c r="B374" s="22"/>
      <c r="C374" s="22"/>
      <c r="D374" s="22"/>
      <c r="E374" s="22"/>
      <c r="F374" s="22"/>
      <c r="G374" s="22"/>
      <c r="H374" s="22"/>
      <c r="I374" s="22"/>
      <c r="J374" s="22"/>
      <c r="K374" s="22"/>
      <c r="L374" s="22"/>
      <c r="M374" s="22"/>
      <c r="N374" s="22"/>
    </row>
  </sheetData>
  <pageMargins left="0.75" right="0.75" top="0.75" bottom="0.75" header="0.03" footer="0.03"/>
  <pageSetup scale="46" fitToHeight="0" pageOrder="overThenDown" orientation="landscape" r:id="rId1"/>
  <headerFooter>
    <oddHeader>&amp;L&amp;C&amp;"Arial,Regular"&amp;9&amp;K000000Bee Cave  
Trailing 12 Months&amp;R</oddHeader>
  </headerFooter>
  <rowBreaks count="1" manualBreakCount="1">
    <brk id="62" max="16383" man="1"/>
  </rowBreaks>
  <customProperties>
    <customPr name="EpmWorksheetKeyString_GUID" r:id="rId2"/>
  </customProperties>
  <drawing r:id="rId3"/>
  <legacyDrawing r:id="rId4"/>
  <controls>
    <mc:AlternateContent xmlns:mc="http://schemas.openxmlformats.org/markup-compatibility/2006">
      <mc:Choice Requires="x14">
        <control shapeId="24577"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24577" r:id="rId5" name="FPMExcelClientSheetOptionstb1"/>
      </mc:Fallback>
    </mc:AlternateContent>
  </control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9">
    <pageSetUpPr fitToPage="1"/>
  </sheetPr>
  <dimension ref="A1:N374"/>
  <sheetViews>
    <sheetView workbookViewId="0">
      <pane xSplit="1" topLeftCell="B1" activePane="topRight" state="frozen"/>
      <selection pane="topRight" activeCell="B1" sqref="B1"/>
    </sheetView>
  </sheetViews>
  <sheetFormatPr defaultRowHeight="15"/>
  <cols>
    <col min="1" max="1" width="40.85546875" customWidth="1"/>
    <col min="2" max="13" width="16.85546875" customWidth="1"/>
    <col min="14" max="14" width="14.85546875" customWidth="1"/>
  </cols>
  <sheetData>
    <row r="1" spans="1:14">
      <c r="N1" s="109" t="s">
        <v>281</v>
      </c>
    </row>
    <row r="2" spans="1:14">
      <c r="B2" s="109" t="s">
        <v>377</v>
      </c>
      <c r="C2" s="109" t="s">
        <v>378</v>
      </c>
      <c r="D2" s="109" t="s">
        <v>380</v>
      </c>
      <c r="E2" s="109" t="s">
        <v>381</v>
      </c>
      <c r="F2" s="109" t="s">
        <v>385</v>
      </c>
      <c r="G2" s="109" t="s">
        <v>389</v>
      </c>
      <c r="H2" s="109" t="s">
        <v>391</v>
      </c>
      <c r="I2" s="109" t="s">
        <v>392</v>
      </c>
      <c r="J2" s="109" t="s">
        <v>394</v>
      </c>
      <c r="K2" s="109" t="s">
        <v>395</v>
      </c>
      <c r="L2" s="109" t="s">
        <v>398</v>
      </c>
      <c r="M2" s="109" t="s">
        <v>413</v>
      </c>
      <c r="N2" s="109"/>
    </row>
    <row r="3" spans="1:14">
      <c r="A3" s="64" t="s">
        <v>33</v>
      </c>
      <c r="B3" s="22"/>
      <c r="C3" s="22"/>
      <c r="D3" s="22"/>
      <c r="E3" s="22"/>
      <c r="F3" s="22"/>
      <c r="G3" s="22"/>
      <c r="H3" s="22"/>
      <c r="I3" s="22"/>
      <c r="J3" s="22"/>
      <c r="K3" s="22"/>
      <c r="L3" s="22"/>
      <c r="M3" s="22"/>
      <c r="N3" s="22"/>
    </row>
    <row r="4" spans="1:14">
      <c r="A4" s="64" t="s">
        <v>34</v>
      </c>
      <c r="B4" s="110">
        <f t="shared" ref="B4:M4" si="0">B343</f>
        <v>1104</v>
      </c>
      <c r="C4" s="110">
        <f t="shared" si="0"/>
        <v>1082</v>
      </c>
      <c r="D4" s="110">
        <f t="shared" si="0"/>
        <v>1310</v>
      </c>
      <c r="E4" s="110">
        <f t="shared" si="0"/>
        <v>1312</v>
      </c>
      <c r="F4" s="110">
        <f t="shared" si="0"/>
        <v>1335</v>
      </c>
      <c r="G4" s="110">
        <f t="shared" si="0"/>
        <v>1275</v>
      </c>
      <c r="H4" s="110">
        <f t="shared" si="0"/>
        <v>964</v>
      </c>
      <c r="I4" s="110">
        <f t="shared" si="0"/>
        <v>1243</v>
      </c>
      <c r="J4" s="110">
        <f t="shared" si="0"/>
        <v>1189</v>
      </c>
      <c r="K4" s="110">
        <f t="shared" si="0"/>
        <v>1186</v>
      </c>
      <c r="L4" s="110">
        <f t="shared" si="0"/>
        <v>1263</v>
      </c>
      <c r="M4" s="110">
        <f t="shared" si="0"/>
        <v>1321</v>
      </c>
      <c r="N4" s="110">
        <v>14584</v>
      </c>
    </row>
    <row r="5" spans="1:14">
      <c r="A5" s="64" t="s">
        <v>35</v>
      </c>
      <c r="B5" s="107">
        <f t="shared" ref="B5:M5" si="1">B348</f>
        <v>116</v>
      </c>
      <c r="C5" s="107">
        <f t="shared" si="1"/>
        <v>120</v>
      </c>
      <c r="D5" s="107">
        <f t="shared" si="1"/>
        <v>136</v>
      </c>
      <c r="E5" s="107">
        <f t="shared" si="1"/>
        <v>148</v>
      </c>
      <c r="F5" s="107">
        <f t="shared" si="1"/>
        <v>193</v>
      </c>
      <c r="G5" s="107">
        <f t="shared" si="1"/>
        <v>103</v>
      </c>
      <c r="H5" s="107">
        <f t="shared" si="1"/>
        <v>173</v>
      </c>
      <c r="I5" s="107">
        <f t="shared" si="1"/>
        <v>260</v>
      </c>
      <c r="J5" s="107">
        <f t="shared" si="1"/>
        <v>274</v>
      </c>
      <c r="K5" s="107">
        <f t="shared" si="1"/>
        <v>221</v>
      </c>
      <c r="L5" s="107">
        <f t="shared" si="1"/>
        <v>183</v>
      </c>
      <c r="M5" s="107">
        <f t="shared" si="1"/>
        <v>182</v>
      </c>
      <c r="N5" s="107">
        <v>2109</v>
      </c>
    </row>
    <row r="6" spans="1:14">
      <c r="A6" s="64" t="s">
        <v>36</v>
      </c>
      <c r="B6" s="107">
        <f t="shared" ref="B6:M6" si="2">B353</f>
        <v>479</v>
      </c>
      <c r="C6" s="107">
        <f t="shared" si="2"/>
        <v>439</v>
      </c>
      <c r="D6" s="107">
        <f t="shared" si="2"/>
        <v>489</v>
      </c>
      <c r="E6" s="107">
        <f t="shared" si="2"/>
        <v>222</v>
      </c>
      <c r="F6" s="107">
        <f t="shared" si="2"/>
        <v>356</v>
      </c>
      <c r="G6" s="107">
        <f t="shared" si="2"/>
        <v>519</v>
      </c>
      <c r="H6" s="107">
        <f t="shared" si="2"/>
        <v>490</v>
      </c>
      <c r="I6" s="107">
        <f t="shared" si="2"/>
        <v>387</v>
      </c>
      <c r="J6" s="107">
        <f t="shared" si="2"/>
        <v>399</v>
      </c>
      <c r="K6" s="107">
        <f t="shared" si="2"/>
        <v>598</v>
      </c>
      <c r="L6" s="107">
        <f t="shared" si="2"/>
        <v>408</v>
      </c>
      <c r="M6" s="107">
        <f t="shared" si="2"/>
        <v>444</v>
      </c>
      <c r="N6" s="107">
        <v>5230</v>
      </c>
    </row>
    <row r="7" spans="1:14">
      <c r="A7" s="64" t="s">
        <v>37</v>
      </c>
      <c r="B7" s="107">
        <f t="shared" ref="B7:M7" si="3">B361</f>
        <v>360</v>
      </c>
      <c r="C7" s="107">
        <f t="shared" si="3"/>
        <v>254</v>
      </c>
      <c r="D7" s="107">
        <f t="shared" si="3"/>
        <v>359</v>
      </c>
      <c r="E7" s="107">
        <f t="shared" si="3"/>
        <v>575</v>
      </c>
      <c r="F7" s="107">
        <f t="shared" si="3"/>
        <v>484</v>
      </c>
      <c r="G7" s="107">
        <f t="shared" si="3"/>
        <v>424</v>
      </c>
      <c r="H7" s="107">
        <f t="shared" si="3"/>
        <v>478</v>
      </c>
      <c r="I7" s="107">
        <f t="shared" si="3"/>
        <v>439</v>
      </c>
      <c r="J7" s="107">
        <f t="shared" si="3"/>
        <v>395</v>
      </c>
      <c r="K7" s="107">
        <f t="shared" si="3"/>
        <v>299</v>
      </c>
      <c r="L7" s="107">
        <f t="shared" si="3"/>
        <v>420</v>
      </c>
      <c r="M7" s="107">
        <f t="shared" si="3"/>
        <v>507</v>
      </c>
      <c r="N7" s="107">
        <v>4994</v>
      </c>
    </row>
    <row r="8" spans="1:14">
      <c r="A8" s="64" t="s">
        <v>38</v>
      </c>
      <c r="B8" s="111">
        <f t="shared" ref="B8:M8" si="4">B366</f>
        <v>464</v>
      </c>
      <c r="C8" s="111">
        <f t="shared" si="4"/>
        <v>491</v>
      </c>
      <c r="D8" s="111">
        <f t="shared" si="4"/>
        <v>397</v>
      </c>
      <c r="E8" s="111">
        <f t="shared" si="4"/>
        <v>434</v>
      </c>
      <c r="F8" s="111">
        <f t="shared" si="4"/>
        <v>461</v>
      </c>
      <c r="G8" s="111">
        <f t="shared" si="4"/>
        <v>383</v>
      </c>
      <c r="H8" s="111">
        <f t="shared" si="4"/>
        <v>379</v>
      </c>
      <c r="I8" s="111">
        <f t="shared" si="4"/>
        <v>387</v>
      </c>
      <c r="J8" s="111">
        <f t="shared" si="4"/>
        <v>353</v>
      </c>
      <c r="K8" s="111">
        <f t="shared" si="4"/>
        <v>319</v>
      </c>
      <c r="L8" s="111">
        <f t="shared" si="4"/>
        <v>414</v>
      </c>
      <c r="M8" s="111">
        <f t="shared" si="4"/>
        <v>478</v>
      </c>
      <c r="N8" s="111">
        <v>4960</v>
      </c>
    </row>
    <row r="9" spans="1:14" ht="15.75" thickBot="1">
      <c r="A9" s="64" t="s">
        <v>39</v>
      </c>
      <c r="B9" s="112">
        <f t="shared" ref="B9:M9" si="5">B373</f>
        <v>2523</v>
      </c>
      <c r="C9" s="112">
        <f t="shared" si="5"/>
        <v>2386</v>
      </c>
      <c r="D9" s="112">
        <f t="shared" si="5"/>
        <v>2691</v>
      </c>
      <c r="E9" s="112">
        <f t="shared" si="5"/>
        <v>2691</v>
      </c>
      <c r="F9" s="112">
        <f t="shared" si="5"/>
        <v>2829</v>
      </c>
      <c r="G9" s="112">
        <f t="shared" si="5"/>
        <v>2704</v>
      </c>
      <c r="H9" s="112">
        <f t="shared" si="5"/>
        <v>2484</v>
      </c>
      <c r="I9" s="112">
        <f t="shared" si="5"/>
        <v>2716</v>
      </c>
      <c r="J9" s="112">
        <f t="shared" si="5"/>
        <v>2610</v>
      </c>
      <c r="K9" s="112">
        <f t="shared" si="5"/>
        <v>2623</v>
      </c>
      <c r="L9" s="112">
        <f t="shared" si="5"/>
        <v>2688</v>
      </c>
      <c r="M9" s="112">
        <f t="shared" si="5"/>
        <v>2932</v>
      </c>
      <c r="N9" s="112">
        <v>31877</v>
      </c>
    </row>
    <row r="10" spans="1:14" ht="15.75" thickTop="1">
      <c r="A10" s="64"/>
      <c r="B10" s="22"/>
      <c r="C10" s="22"/>
      <c r="D10" s="22"/>
      <c r="E10" s="22"/>
      <c r="F10" s="22"/>
      <c r="G10" s="22"/>
      <c r="H10" s="22"/>
      <c r="I10" s="22"/>
      <c r="J10" s="22"/>
      <c r="K10" s="22"/>
      <c r="L10" s="22"/>
      <c r="M10" s="22"/>
      <c r="N10" s="22"/>
    </row>
    <row r="11" spans="1:14">
      <c r="A11" s="64" t="s">
        <v>40</v>
      </c>
      <c r="B11" s="22"/>
      <c r="C11" s="22"/>
      <c r="D11" s="22"/>
      <c r="E11" s="22"/>
      <c r="F11" s="22"/>
      <c r="G11" s="22"/>
      <c r="H11" s="22"/>
      <c r="I11" s="22"/>
      <c r="J11" s="22"/>
      <c r="K11" s="22"/>
      <c r="L11" s="22"/>
      <c r="M11" s="22"/>
      <c r="N11" s="22"/>
    </row>
    <row r="12" spans="1:14">
      <c r="A12" s="64"/>
      <c r="B12" s="22"/>
      <c r="C12" s="22"/>
      <c r="D12" s="22"/>
      <c r="E12" s="22"/>
      <c r="F12" s="22"/>
      <c r="G12" s="22"/>
      <c r="H12" s="22"/>
      <c r="I12" s="22"/>
      <c r="J12" s="22"/>
      <c r="K12" s="22"/>
      <c r="L12" s="22"/>
      <c r="M12" s="22"/>
      <c r="N12" s="22"/>
    </row>
    <row r="13" spans="1:14">
      <c r="A13" s="64" t="s">
        <v>41</v>
      </c>
      <c r="B13" s="22"/>
      <c r="C13" s="22"/>
      <c r="D13" s="22"/>
      <c r="E13" s="22"/>
      <c r="F13" s="22"/>
      <c r="G13" s="22"/>
      <c r="H13" s="22"/>
      <c r="I13" s="22"/>
      <c r="J13" s="22"/>
      <c r="K13" s="22"/>
      <c r="L13" s="22"/>
      <c r="M13" s="22"/>
      <c r="N13" s="22"/>
    </row>
    <row r="14" spans="1:14">
      <c r="A14" s="64" t="s">
        <v>34</v>
      </c>
      <c r="B14" s="107">
        <f t="shared" ref="B14:M14" si="6">B68</f>
        <v>207587.93</v>
      </c>
      <c r="C14" s="107">
        <f t="shared" si="6"/>
        <v>204775.11</v>
      </c>
      <c r="D14" s="107">
        <f t="shared" si="6"/>
        <v>234106.86</v>
      </c>
      <c r="E14" s="107">
        <f t="shared" si="6"/>
        <v>230847.42</v>
      </c>
      <c r="F14" s="107">
        <f t="shared" si="6"/>
        <v>233091.87</v>
      </c>
      <c r="G14" s="107">
        <f t="shared" si="6"/>
        <v>228282.5</v>
      </c>
      <c r="H14" s="107">
        <f t="shared" si="6"/>
        <v>173871.94</v>
      </c>
      <c r="I14" s="107">
        <f t="shared" si="6"/>
        <v>231733.38</v>
      </c>
      <c r="J14" s="107">
        <f t="shared" si="6"/>
        <v>216538.35</v>
      </c>
      <c r="K14" s="107">
        <f t="shared" si="6"/>
        <v>222604.37</v>
      </c>
      <c r="L14" s="107">
        <f t="shared" si="6"/>
        <v>233892.97</v>
      </c>
      <c r="M14" s="107">
        <f t="shared" si="6"/>
        <v>244597.76000000001</v>
      </c>
      <c r="N14" s="107">
        <v>2661930.46</v>
      </c>
    </row>
    <row r="15" spans="1:14">
      <c r="A15" s="64" t="s">
        <v>35</v>
      </c>
      <c r="B15" s="107">
        <f t="shared" ref="B15:M15" si="7">B72</f>
        <v>19662.27</v>
      </c>
      <c r="C15" s="107">
        <f t="shared" si="7"/>
        <v>21744.799999999999</v>
      </c>
      <c r="D15" s="107">
        <f t="shared" si="7"/>
        <v>23906.16</v>
      </c>
      <c r="E15" s="107">
        <f t="shared" si="7"/>
        <v>25506.78</v>
      </c>
      <c r="F15" s="107">
        <f t="shared" si="7"/>
        <v>32097.73</v>
      </c>
      <c r="G15" s="107">
        <f t="shared" si="7"/>
        <v>17432.240000000002</v>
      </c>
      <c r="H15" s="107">
        <f t="shared" si="7"/>
        <v>32021.439999999999</v>
      </c>
      <c r="I15" s="107">
        <f t="shared" si="7"/>
        <v>49312.79</v>
      </c>
      <c r="J15" s="107">
        <f t="shared" si="7"/>
        <v>55723.17</v>
      </c>
      <c r="K15" s="107">
        <f t="shared" si="7"/>
        <v>43829.05</v>
      </c>
      <c r="L15" s="107">
        <f t="shared" si="7"/>
        <v>33745.339999999997</v>
      </c>
      <c r="M15" s="107">
        <f t="shared" si="7"/>
        <v>35793.14</v>
      </c>
      <c r="N15" s="107">
        <v>390774.91</v>
      </c>
    </row>
    <row r="16" spans="1:14">
      <c r="A16" s="64" t="s">
        <v>36</v>
      </c>
      <c r="B16" s="107">
        <f t="shared" ref="B16:M16" si="8">B76</f>
        <v>277825.07</v>
      </c>
      <c r="C16" s="107">
        <f t="shared" si="8"/>
        <v>281421.59000000003</v>
      </c>
      <c r="D16" s="107">
        <f t="shared" si="8"/>
        <v>311833.03000000003</v>
      </c>
      <c r="E16" s="107">
        <f t="shared" si="8"/>
        <v>138903.01</v>
      </c>
      <c r="F16" s="107">
        <f t="shared" si="8"/>
        <v>214922.96</v>
      </c>
      <c r="G16" s="107">
        <f t="shared" si="8"/>
        <v>308899.53999999998</v>
      </c>
      <c r="H16" s="107">
        <f t="shared" si="8"/>
        <v>292417.71999999997</v>
      </c>
      <c r="I16" s="107">
        <f t="shared" si="8"/>
        <v>266796.55</v>
      </c>
      <c r="J16" s="107">
        <f t="shared" si="8"/>
        <v>277817.55</v>
      </c>
      <c r="K16" s="107">
        <f t="shared" si="8"/>
        <v>416689.73</v>
      </c>
      <c r="L16" s="107">
        <f t="shared" si="8"/>
        <v>285169.2</v>
      </c>
      <c r="M16" s="107">
        <f t="shared" si="8"/>
        <v>291078.39</v>
      </c>
      <c r="N16" s="107">
        <v>3363774.34</v>
      </c>
    </row>
    <row r="17" spans="1:14">
      <c r="A17" s="64" t="s">
        <v>37</v>
      </c>
      <c r="B17" s="107">
        <f t="shared" ref="B17:M17" si="9">B83</f>
        <v>152114.23999999999</v>
      </c>
      <c r="C17" s="107">
        <f t="shared" si="9"/>
        <v>110897.2</v>
      </c>
      <c r="D17" s="107">
        <f t="shared" si="9"/>
        <v>160883.76</v>
      </c>
      <c r="E17" s="107">
        <f t="shared" si="9"/>
        <v>243372.95</v>
      </c>
      <c r="F17" s="107">
        <f t="shared" si="9"/>
        <v>209346.03</v>
      </c>
      <c r="G17" s="107">
        <f t="shared" si="9"/>
        <v>186357.34</v>
      </c>
      <c r="H17" s="107">
        <f t="shared" si="9"/>
        <v>211467.8</v>
      </c>
      <c r="I17" s="107">
        <f t="shared" si="9"/>
        <v>218941.02</v>
      </c>
      <c r="J17" s="107">
        <f t="shared" si="9"/>
        <v>215886.15</v>
      </c>
      <c r="K17" s="107">
        <f t="shared" si="9"/>
        <v>154543.35999999999</v>
      </c>
      <c r="L17" s="107">
        <f t="shared" si="9"/>
        <v>223738.65</v>
      </c>
      <c r="M17" s="107">
        <f t="shared" si="9"/>
        <v>253546.82</v>
      </c>
      <c r="N17" s="107">
        <v>2341095.3199999998</v>
      </c>
    </row>
    <row r="18" spans="1:14">
      <c r="A18" s="64" t="s">
        <v>38</v>
      </c>
      <c r="B18" s="111">
        <f t="shared" ref="B18:M18" si="10">B87</f>
        <v>76096</v>
      </c>
      <c r="C18" s="111">
        <f t="shared" si="10"/>
        <v>80524</v>
      </c>
      <c r="D18" s="111">
        <f t="shared" si="10"/>
        <v>65108</v>
      </c>
      <c r="E18" s="111">
        <f t="shared" si="10"/>
        <v>71176</v>
      </c>
      <c r="F18" s="111">
        <f t="shared" si="10"/>
        <v>75604</v>
      </c>
      <c r="G18" s="111">
        <f t="shared" si="10"/>
        <v>62812</v>
      </c>
      <c r="H18" s="111">
        <f t="shared" si="10"/>
        <v>64430</v>
      </c>
      <c r="I18" s="111">
        <f t="shared" si="10"/>
        <v>65790</v>
      </c>
      <c r="J18" s="111">
        <f t="shared" si="10"/>
        <v>60010</v>
      </c>
      <c r="K18" s="111">
        <f t="shared" si="10"/>
        <v>54230</v>
      </c>
      <c r="L18" s="111">
        <f t="shared" si="10"/>
        <v>70380</v>
      </c>
      <c r="M18" s="111">
        <f t="shared" si="10"/>
        <v>81260</v>
      </c>
      <c r="N18" s="111">
        <v>827420</v>
      </c>
    </row>
    <row r="19" spans="1:14">
      <c r="A19" s="64" t="s">
        <v>42</v>
      </c>
      <c r="B19" s="107">
        <f t="shared" ref="B19:M19" si="11">B89</f>
        <v>733285.51</v>
      </c>
      <c r="C19" s="107">
        <f t="shared" si="11"/>
        <v>699362.7</v>
      </c>
      <c r="D19" s="107">
        <f t="shared" si="11"/>
        <v>795837.81000000029</v>
      </c>
      <c r="E19" s="107">
        <f t="shared" si="11"/>
        <v>709806.16000000015</v>
      </c>
      <c r="F19" s="107">
        <f t="shared" si="11"/>
        <v>765062.59000000008</v>
      </c>
      <c r="G19" s="107">
        <f t="shared" si="11"/>
        <v>803783.62000000023</v>
      </c>
      <c r="H19" s="107">
        <f t="shared" si="11"/>
        <v>774208.90000000014</v>
      </c>
      <c r="I19" s="107">
        <f t="shared" si="11"/>
        <v>832573.74</v>
      </c>
      <c r="J19" s="107">
        <f t="shared" si="11"/>
        <v>825975.21999999986</v>
      </c>
      <c r="K19" s="107">
        <f t="shared" si="11"/>
        <v>891896.50999999943</v>
      </c>
      <c r="L19" s="107">
        <f t="shared" si="11"/>
        <v>846926.1599999998</v>
      </c>
      <c r="M19" s="107">
        <f t="shared" si="11"/>
        <v>906276.1100000001</v>
      </c>
      <c r="N19" s="107">
        <v>9584995.0299999993</v>
      </c>
    </row>
    <row r="20" spans="1:14">
      <c r="A20" s="64"/>
      <c r="B20" s="22"/>
      <c r="C20" s="22"/>
      <c r="D20" s="22"/>
      <c r="E20" s="22"/>
      <c r="F20" s="22"/>
      <c r="G20" s="22"/>
      <c r="H20" s="22"/>
      <c r="I20" s="22"/>
      <c r="J20" s="22"/>
      <c r="K20" s="22"/>
      <c r="L20" s="22"/>
      <c r="M20" s="22"/>
      <c r="N20" s="22"/>
    </row>
    <row r="21" spans="1:14">
      <c r="A21" s="64" t="s">
        <v>43</v>
      </c>
      <c r="B21" s="22"/>
      <c r="C21" s="22"/>
      <c r="D21" s="22"/>
      <c r="E21" s="22"/>
      <c r="F21" s="22"/>
      <c r="G21" s="22"/>
      <c r="H21" s="22"/>
      <c r="I21" s="22"/>
      <c r="J21" s="22"/>
      <c r="K21" s="22"/>
      <c r="L21" s="22"/>
      <c r="M21" s="22"/>
      <c r="N21" s="22"/>
    </row>
    <row r="22" spans="1:14">
      <c r="A22" s="64" t="s">
        <v>34</v>
      </c>
      <c r="B22" s="107">
        <f t="shared" ref="B22:M22" si="12">B95</f>
        <v>59880.17</v>
      </c>
      <c r="C22" s="107">
        <f t="shared" si="12"/>
        <v>-3367.82</v>
      </c>
      <c r="D22" s="107">
        <f t="shared" si="12"/>
        <v>92193.48</v>
      </c>
      <c r="E22" s="107">
        <f t="shared" si="12"/>
        <v>18060.39</v>
      </c>
      <c r="F22" s="107">
        <f t="shared" si="12"/>
        <v>36776.050000000003</v>
      </c>
      <c r="G22" s="107">
        <f t="shared" si="12"/>
        <v>26853.52</v>
      </c>
      <c r="H22" s="107">
        <f t="shared" si="12"/>
        <v>-8353.6200000000008</v>
      </c>
      <c r="I22" s="107">
        <f t="shared" si="12"/>
        <v>92529.76</v>
      </c>
      <c r="J22" s="107">
        <f t="shared" si="12"/>
        <v>-1429.68</v>
      </c>
      <c r="K22" s="107">
        <f t="shared" si="12"/>
        <v>643.9</v>
      </c>
      <c r="L22" s="107">
        <f t="shared" si="12"/>
        <v>23011.08</v>
      </c>
      <c r="M22" s="107">
        <f t="shared" si="12"/>
        <v>4043.58</v>
      </c>
      <c r="N22" s="107">
        <v>340840.81</v>
      </c>
    </row>
    <row r="23" spans="1:14">
      <c r="A23" s="64" t="s">
        <v>35</v>
      </c>
      <c r="B23" s="107">
        <f>B99</f>
        <v>249.03</v>
      </c>
      <c r="C23" s="107">
        <f>C99</f>
        <v>40658.480000000003</v>
      </c>
      <c r="D23" s="107">
        <f>D99</f>
        <v>268.32</v>
      </c>
      <c r="E23" s="107"/>
      <c r="F23" s="107">
        <f>F99</f>
        <v>4382.3999999999996</v>
      </c>
      <c r="G23" s="107">
        <f>G99</f>
        <v>-1579.06</v>
      </c>
      <c r="H23" s="107"/>
      <c r="I23" s="107">
        <f>I99</f>
        <v>440.76</v>
      </c>
      <c r="J23" s="107">
        <f>J99</f>
        <v>3381.14</v>
      </c>
      <c r="K23" s="107">
        <f>K99</f>
        <v>-475</v>
      </c>
      <c r="L23" s="107">
        <f>L99</f>
        <v>-1604.25</v>
      </c>
      <c r="M23" s="107">
        <f>M99</f>
        <v>-20396.560000000001</v>
      </c>
      <c r="N23" s="107">
        <v>25325.26</v>
      </c>
    </row>
    <row r="24" spans="1:14">
      <c r="A24" s="64" t="s">
        <v>36</v>
      </c>
      <c r="B24" s="107">
        <f t="shared" ref="B24:M24" si="13">B103</f>
        <v>-18242.41</v>
      </c>
      <c r="C24" s="107">
        <f t="shared" si="13"/>
        <v>-8296.94</v>
      </c>
      <c r="D24" s="107">
        <f t="shared" si="13"/>
        <v>-34238.53</v>
      </c>
      <c r="E24" s="107">
        <f t="shared" si="13"/>
        <v>-7789.93</v>
      </c>
      <c r="F24" s="107">
        <f t="shared" si="13"/>
        <v>-4775.3900000000003</v>
      </c>
      <c r="G24" s="107">
        <f t="shared" si="13"/>
        <v>-3192.44</v>
      </c>
      <c r="H24" s="107">
        <f t="shared" si="13"/>
        <v>-24008.87</v>
      </c>
      <c r="I24" s="107">
        <f t="shared" si="13"/>
        <v>3129.13</v>
      </c>
      <c r="J24" s="107">
        <f t="shared" si="13"/>
        <v>2157.71</v>
      </c>
      <c r="K24" s="107">
        <f t="shared" si="13"/>
        <v>2556.21</v>
      </c>
      <c r="L24" s="107">
        <f t="shared" si="13"/>
        <v>-15549.71</v>
      </c>
      <c r="M24" s="107">
        <f t="shared" si="13"/>
        <v>-5663.01</v>
      </c>
      <c r="N24" s="107">
        <v>-113914.18</v>
      </c>
    </row>
    <row r="25" spans="1:14">
      <c r="A25" s="64" t="s">
        <v>37</v>
      </c>
      <c r="B25" s="107">
        <f>B110</f>
        <v>-1710.16</v>
      </c>
      <c r="C25" s="107">
        <f>C110</f>
        <v>-3845</v>
      </c>
      <c r="D25" s="107"/>
      <c r="E25" s="107">
        <f t="shared" ref="E25:M25" si="14">E110</f>
        <v>58.87</v>
      </c>
      <c r="F25" s="107">
        <f t="shared" si="14"/>
        <v>-10539</v>
      </c>
      <c r="G25" s="107">
        <f t="shared" si="14"/>
        <v>11667.12</v>
      </c>
      <c r="H25" s="107">
        <f t="shared" si="14"/>
        <v>8323.16</v>
      </c>
      <c r="I25" s="107">
        <f t="shared" si="14"/>
        <v>-24143.65</v>
      </c>
      <c r="J25" s="107">
        <f t="shared" si="14"/>
        <v>40.729999999999997</v>
      </c>
      <c r="K25" s="107">
        <f t="shared" si="14"/>
        <v>-16429.47</v>
      </c>
      <c r="L25" s="107">
        <f t="shared" si="14"/>
        <v>-9651.1</v>
      </c>
      <c r="M25" s="107">
        <f t="shared" si="14"/>
        <v>14962.04</v>
      </c>
      <c r="N25" s="107">
        <v>-31266.46</v>
      </c>
    </row>
    <row r="26" spans="1:14">
      <c r="A26" s="64" t="s">
        <v>38</v>
      </c>
      <c r="B26" s="111">
        <f t="shared" ref="B26:M26" si="15">B114</f>
        <v>-36572</v>
      </c>
      <c r="C26" s="111">
        <f t="shared" si="15"/>
        <v>-28864</v>
      </c>
      <c r="D26" s="111">
        <f t="shared" si="15"/>
        <v>-96338.85</v>
      </c>
      <c r="E26" s="111">
        <f t="shared" si="15"/>
        <v>-14924</v>
      </c>
      <c r="F26" s="111">
        <f t="shared" si="15"/>
        <v>-27880</v>
      </c>
      <c r="G26" s="111">
        <f t="shared" si="15"/>
        <v>-10496</v>
      </c>
      <c r="H26" s="111">
        <f t="shared" si="15"/>
        <v>820</v>
      </c>
      <c r="I26" s="111">
        <f t="shared" si="15"/>
        <v>-63220</v>
      </c>
      <c r="J26" s="111">
        <f t="shared" si="15"/>
        <v>-170</v>
      </c>
      <c r="K26" s="111">
        <f t="shared" si="15"/>
        <v>-976.02</v>
      </c>
      <c r="L26" s="111">
        <f t="shared" si="15"/>
        <v>-19928</v>
      </c>
      <c r="M26" s="111">
        <f t="shared" si="15"/>
        <v>-4256</v>
      </c>
      <c r="N26" s="111">
        <v>-302804.87</v>
      </c>
    </row>
    <row r="27" spans="1:14">
      <c r="A27" s="64" t="s">
        <v>44</v>
      </c>
      <c r="B27" s="107">
        <f t="shared" ref="B27:M27" si="16">B116</f>
        <v>3604.6299999999901</v>
      </c>
      <c r="C27" s="107">
        <f t="shared" si="16"/>
        <v>-3715.2799999999988</v>
      </c>
      <c r="D27" s="107">
        <f t="shared" si="16"/>
        <v>-38115.580000000016</v>
      </c>
      <c r="E27" s="107">
        <f t="shared" si="16"/>
        <v>-4594.6700000000019</v>
      </c>
      <c r="F27" s="107">
        <f t="shared" si="16"/>
        <v>-2035.9400000000096</v>
      </c>
      <c r="G27" s="107">
        <f t="shared" si="16"/>
        <v>23253.14</v>
      </c>
      <c r="H27" s="107">
        <f t="shared" si="16"/>
        <v>-23219.329999999987</v>
      </c>
      <c r="I27" s="107">
        <f t="shared" si="16"/>
        <v>8736.0000000000364</v>
      </c>
      <c r="J27" s="107">
        <f t="shared" si="16"/>
        <v>3979.9</v>
      </c>
      <c r="K27" s="107">
        <f t="shared" si="16"/>
        <v>-14680.380000000001</v>
      </c>
      <c r="L27" s="107">
        <f t="shared" si="16"/>
        <v>-23721.979999999996</v>
      </c>
      <c r="M27" s="107">
        <f t="shared" si="16"/>
        <v>-11309.950000000003</v>
      </c>
      <c r="N27" s="107">
        <v>-81819.44</v>
      </c>
    </row>
    <row r="28" spans="1:14">
      <c r="A28" s="64"/>
      <c r="B28" s="22"/>
      <c r="C28" s="22"/>
      <c r="D28" s="22"/>
      <c r="E28" s="22"/>
      <c r="F28" s="22"/>
      <c r="G28" s="22"/>
      <c r="H28" s="22"/>
      <c r="I28" s="22"/>
      <c r="J28" s="22"/>
      <c r="K28" s="22"/>
      <c r="L28" s="22"/>
      <c r="M28" s="22"/>
      <c r="N28" s="22"/>
    </row>
    <row r="29" spans="1:14">
      <c r="A29" s="64" t="s">
        <v>45</v>
      </c>
      <c r="B29" s="22"/>
      <c r="C29" s="22"/>
      <c r="D29" s="22"/>
      <c r="E29" s="22"/>
      <c r="F29" s="22"/>
      <c r="G29" s="22"/>
      <c r="H29" s="22"/>
      <c r="I29" s="22"/>
      <c r="J29" s="22"/>
      <c r="K29" s="22"/>
      <c r="L29" s="22"/>
      <c r="M29" s="22"/>
      <c r="N29" s="22"/>
    </row>
    <row r="30" spans="1:14">
      <c r="A30" s="64" t="s">
        <v>46</v>
      </c>
      <c r="B30" s="107">
        <f t="shared" ref="B30:M30" si="17">B148</f>
        <v>8985.880000000001</v>
      </c>
      <c r="C30" s="107">
        <f t="shared" si="17"/>
        <v>20312.59</v>
      </c>
      <c r="D30" s="107">
        <f t="shared" si="17"/>
        <v>8800.4</v>
      </c>
      <c r="E30" s="107">
        <f t="shared" si="17"/>
        <v>12059.7</v>
      </c>
      <c r="F30" s="107">
        <f t="shared" si="17"/>
        <v>24761.5</v>
      </c>
      <c r="G30" s="107">
        <f t="shared" si="17"/>
        <v>10365.709999999999</v>
      </c>
      <c r="H30" s="107">
        <f t="shared" si="17"/>
        <v>11867.5</v>
      </c>
      <c r="I30" s="107">
        <f t="shared" si="17"/>
        <v>20559.400000000001</v>
      </c>
      <c r="J30" s="107">
        <f t="shared" si="17"/>
        <v>11919.279999999999</v>
      </c>
      <c r="K30" s="107">
        <f t="shared" si="17"/>
        <v>38403.360000000001</v>
      </c>
      <c r="L30" s="107">
        <f t="shared" si="17"/>
        <v>34927.289999999994</v>
      </c>
      <c r="M30" s="107">
        <f t="shared" si="17"/>
        <v>2676.98</v>
      </c>
      <c r="N30" s="107">
        <v>205639.59</v>
      </c>
    </row>
    <row r="31" spans="1:14">
      <c r="A31" s="64" t="s">
        <v>37</v>
      </c>
      <c r="B31" s="107">
        <f t="shared" ref="B31:M31" si="18">B161</f>
        <v>46500.820000000007</v>
      </c>
      <c r="C31" s="107">
        <f t="shared" si="18"/>
        <v>26455.53</v>
      </c>
      <c r="D31" s="107">
        <f t="shared" si="18"/>
        <v>24797.489999999991</v>
      </c>
      <c r="E31" s="107">
        <f t="shared" si="18"/>
        <v>35337.740000000049</v>
      </c>
      <c r="F31" s="107">
        <f t="shared" si="18"/>
        <v>38223.639999999985</v>
      </c>
      <c r="G31" s="107">
        <f t="shared" si="18"/>
        <v>24267.070000000007</v>
      </c>
      <c r="H31" s="107">
        <f t="shared" si="18"/>
        <v>37550.669999999984</v>
      </c>
      <c r="I31" s="107">
        <f t="shared" si="18"/>
        <v>42749.350000000006</v>
      </c>
      <c r="J31" s="107">
        <f t="shared" si="18"/>
        <v>31414.020000000019</v>
      </c>
      <c r="K31" s="107">
        <f t="shared" si="18"/>
        <v>46047.56</v>
      </c>
      <c r="L31" s="107">
        <f t="shared" si="18"/>
        <v>35661.439999999973</v>
      </c>
      <c r="M31" s="107">
        <f t="shared" si="18"/>
        <v>14937.320000000065</v>
      </c>
      <c r="N31" s="107">
        <v>403942.65</v>
      </c>
    </row>
    <row r="32" spans="1:14">
      <c r="A32" s="64" t="s">
        <v>38</v>
      </c>
      <c r="B32" s="111">
        <f>B171</f>
        <v>1135.6399999999999</v>
      </c>
      <c r="C32" s="111"/>
      <c r="D32" s="111"/>
      <c r="E32" s="111">
        <f>E171</f>
        <v>4001.55</v>
      </c>
      <c r="F32" s="111">
        <f>F171</f>
        <v>4105.04</v>
      </c>
      <c r="G32" s="111"/>
      <c r="H32" s="111">
        <f t="shared" ref="H32:M32" si="19">H171</f>
        <v>3165</v>
      </c>
      <c r="I32" s="111">
        <f t="shared" si="19"/>
        <v>4550</v>
      </c>
      <c r="J32" s="111">
        <f t="shared" si="19"/>
        <v>-3525</v>
      </c>
      <c r="K32" s="111">
        <f t="shared" si="19"/>
        <v>425</v>
      </c>
      <c r="L32" s="111">
        <f t="shared" si="19"/>
        <v>5615</v>
      </c>
      <c r="M32" s="111">
        <f t="shared" si="19"/>
        <v>280</v>
      </c>
      <c r="N32" s="111">
        <v>19752.23</v>
      </c>
    </row>
    <row r="33" spans="1:14">
      <c r="A33" s="64" t="s">
        <v>47</v>
      </c>
      <c r="B33" s="107">
        <f t="shared" ref="B33:M33" si="20">B173</f>
        <v>56622.340000000011</v>
      </c>
      <c r="C33" s="107">
        <f t="shared" si="20"/>
        <v>46768.119999999995</v>
      </c>
      <c r="D33" s="107">
        <f t="shared" si="20"/>
        <v>33597.890000000007</v>
      </c>
      <c r="E33" s="107">
        <f t="shared" si="20"/>
        <v>51398.99000000002</v>
      </c>
      <c r="F33" s="107">
        <f t="shared" si="20"/>
        <v>67090.179999999978</v>
      </c>
      <c r="G33" s="107">
        <f t="shared" si="20"/>
        <v>34632.78000000005</v>
      </c>
      <c r="H33" s="107">
        <f t="shared" si="20"/>
        <v>52583.170000000042</v>
      </c>
      <c r="I33" s="107">
        <f t="shared" si="20"/>
        <v>67858.750000000058</v>
      </c>
      <c r="J33" s="107">
        <f t="shared" si="20"/>
        <v>39808.299999999988</v>
      </c>
      <c r="K33" s="107">
        <f t="shared" si="20"/>
        <v>84875.919999999984</v>
      </c>
      <c r="L33" s="107">
        <f t="shared" si="20"/>
        <v>76203.73</v>
      </c>
      <c r="M33" s="107">
        <f t="shared" si="20"/>
        <v>17894.300000000025</v>
      </c>
      <c r="N33" s="107">
        <v>629334.47</v>
      </c>
    </row>
    <row r="34" spans="1:14">
      <c r="A34" s="64"/>
      <c r="B34" s="22"/>
      <c r="C34" s="22"/>
      <c r="D34" s="22"/>
      <c r="E34" s="22"/>
      <c r="F34" s="22"/>
      <c r="G34" s="22"/>
      <c r="H34" s="22"/>
      <c r="I34" s="22"/>
      <c r="J34" s="22"/>
      <c r="K34" s="22"/>
      <c r="L34" s="22"/>
      <c r="M34" s="22"/>
      <c r="N34" s="22"/>
    </row>
    <row r="35" spans="1:14">
      <c r="A35" s="64" t="s">
        <v>48</v>
      </c>
      <c r="B35" s="107">
        <f t="shared" ref="B35:M35" si="21">B182</f>
        <v>26230.39</v>
      </c>
      <c r="C35" s="107">
        <f t="shared" si="21"/>
        <v>43001.18</v>
      </c>
      <c r="D35" s="107">
        <f t="shared" si="21"/>
        <v>10357.18</v>
      </c>
      <c r="E35" s="107">
        <f t="shared" si="21"/>
        <v>3264.22</v>
      </c>
      <c r="F35" s="107">
        <f t="shared" si="21"/>
        <v>-523768.23</v>
      </c>
      <c r="G35" s="107">
        <f t="shared" si="21"/>
        <v>53107.14</v>
      </c>
      <c r="H35" s="107">
        <f t="shared" si="21"/>
        <v>74883.960000000006</v>
      </c>
      <c r="I35" s="107">
        <f t="shared" si="21"/>
        <v>35820.839999999997</v>
      </c>
      <c r="J35" s="107">
        <f t="shared" si="21"/>
        <v>40530.93</v>
      </c>
      <c r="K35" s="107">
        <f t="shared" si="21"/>
        <v>41609.939999999995</v>
      </c>
      <c r="L35" s="107">
        <f t="shared" si="21"/>
        <v>32100.100000000002</v>
      </c>
      <c r="M35" s="107">
        <f t="shared" si="21"/>
        <v>31280.92</v>
      </c>
      <c r="N35" s="107">
        <v>-131581.43</v>
      </c>
    </row>
    <row r="36" spans="1:14">
      <c r="A36" s="64"/>
      <c r="B36" s="22"/>
      <c r="C36" s="22"/>
      <c r="D36" s="22"/>
      <c r="E36" s="22"/>
      <c r="F36" s="22"/>
      <c r="G36" s="22"/>
      <c r="H36" s="22"/>
      <c r="I36" s="22"/>
      <c r="J36" s="22"/>
      <c r="K36" s="22"/>
      <c r="L36" s="22"/>
      <c r="M36" s="22"/>
      <c r="N36" s="22"/>
    </row>
    <row r="37" spans="1:14" ht="15.75" thickBot="1">
      <c r="A37" s="64" t="s">
        <v>13</v>
      </c>
      <c r="B37" s="112">
        <f t="shared" ref="B37:M37" si="22">B184</f>
        <v>819742.86999999953</v>
      </c>
      <c r="C37" s="112">
        <f t="shared" si="22"/>
        <v>785416.71999999904</v>
      </c>
      <c r="D37" s="112">
        <f t="shared" si="22"/>
        <v>801677.30000000086</v>
      </c>
      <c r="E37" s="112">
        <f t="shared" si="22"/>
        <v>759874.70000000182</v>
      </c>
      <c r="F37" s="112">
        <f t="shared" si="22"/>
        <v>306348.59999999963</v>
      </c>
      <c r="G37" s="112">
        <f t="shared" si="22"/>
        <v>914776.68</v>
      </c>
      <c r="H37" s="112">
        <f t="shared" si="22"/>
        <v>878456.6999999996</v>
      </c>
      <c r="I37" s="112">
        <f t="shared" si="22"/>
        <v>944989.32999999833</v>
      </c>
      <c r="J37" s="112">
        <f t="shared" si="22"/>
        <v>910294.34999999905</v>
      </c>
      <c r="K37" s="112">
        <f t="shared" si="22"/>
        <v>1003701.9899999988</v>
      </c>
      <c r="L37" s="112">
        <f t="shared" si="22"/>
        <v>931508.01000000013</v>
      </c>
      <c r="M37" s="112">
        <f t="shared" si="22"/>
        <v>944141.38000000035</v>
      </c>
      <c r="N37" s="112">
        <v>10000928.630000001</v>
      </c>
    </row>
    <row r="38" spans="1:14" ht="15.75" thickTop="1">
      <c r="A38" s="64"/>
      <c r="B38" s="22"/>
      <c r="C38" s="22"/>
      <c r="D38" s="22"/>
      <c r="E38" s="22"/>
      <c r="F38" s="22"/>
      <c r="G38" s="22"/>
      <c r="H38" s="22"/>
      <c r="I38" s="22"/>
      <c r="J38" s="22"/>
      <c r="K38" s="22"/>
      <c r="L38" s="22"/>
      <c r="M38" s="22"/>
      <c r="N38" s="22"/>
    </row>
    <row r="39" spans="1:14">
      <c r="A39" s="64" t="s">
        <v>14</v>
      </c>
      <c r="B39" s="22"/>
      <c r="C39" s="22"/>
      <c r="D39" s="22"/>
      <c r="E39" s="22"/>
      <c r="F39" s="22"/>
      <c r="G39" s="22"/>
      <c r="H39" s="22"/>
      <c r="I39" s="22"/>
      <c r="J39" s="22"/>
      <c r="K39" s="22"/>
      <c r="L39" s="22"/>
      <c r="M39" s="22"/>
      <c r="N39" s="22"/>
    </row>
    <row r="40" spans="1:14">
      <c r="A40" s="64" t="s">
        <v>49</v>
      </c>
      <c r="B40" s="107">
        <f t="shared" ref="B40:M40" si="23">B204</f>
        <v>340888.85</v>
      </c>
      <c r="C40" s="107">
        <f t="shared" si="23"/>
        <v>299590.63000000006</v>
      </c>
      <c r="D40" s="107">
        <f t="shared" si="23"/>
        <v>321151.93999999994</v>
      </c>
      <c r="E40" s="107">
        <f t="shared" si="23"/>
        <v>304136.18</v>
      </c>
      <c r="F40" s="107">
        <f t="shared" si="23"/>
        <v>365882.73999999993</v>
      </c>
      <c r="G40" s="107">
        <f t="shared" si="23"/>
        <v>368594.31000000006</v>
      </c>
      <c r="H40" s="107">
        <f t="shared" si="23"/>
        <v>335031.75999999995</v>
      </c>
      <c r="I40" s="107">
        <f t="shared" si="23"/>
        <v>362029.36</v>
      </c>
      <c r="J40" s="107">
        <f t="shared" si="23"/>
        <v>327067.88</v>
      </c>
      <c r="K40" s="107">
        <f t="shared" si="23"/>
        <v>330066.77999999997</v>
      </c>
      <c r="L40" s="107">
        <f t="shared" si="23"/>
        <v>341492.98000000004</v>
      </c>
      <c r="M40" s="107">
        <f t="shared" si="23"/>
        <v>360061.50000000006</v>
      </c>
      <c r="N40" s="107">
        <v>4055994.91</v>
      </c>
    </row>
    <row r="41" spans="1:14">
      <c r="A41" s="64" t="s">
        <v>50</v>
      </c>
      <c r="B41" s="107">
        <f>B209</f>
        <v>4327.6499999999996</v>
      </c>
      <c r="C41" s="107">
        <f>C209</f>
        <v>2985.99</v>
      </c>
      <c r="D41" s="107">
        <f>D209</f>
        <v>1524.06</v>
      </c>
      <c r="E41" s="107">
        <f>E209</f>
        <v>895.78</v>
      </c>
      <c r="F41" s="107">
        <f>F209</f>
        <v>-12486.09</v>
      </c>
      <c r="G41" s="107"/>
      <c r="H41" s="107"/>
      <c r="I41" s="107"/>
      <c r="J41" s="107"/>
      <c r="K41" s="107"/>
      <c r="L41" s="107"/>
      <c r="M41" s="107"/>
      <c r="N41" s="107">
        <v>-2752.61</v>
      </c>
    </row>
    <row r="42" spans="1:14">
      <c r="A42" s="64" t="s">
        <v>51</v>
      </c>
      <c r="B42" s="107">
        <f t="shared" ref="B42:M42" si="24">B220</f>
        <v>61285.029999999992</v>
      </c>
      <c r="C42" s="107">
        <f t="shared" si="24"/>
        <v>53055.840000000004</v>
      </c>
      <c r="D42" s="107">
        <f t="shared" si="24"/>
        <v>50301.86</v>
      </c>
      <c r="E42" s="107">
        <f t="shared" si="24"/>
        <v>55873.399999999994</v>
      </c>
      <c r="F42" s="107">
        <f t="shared" si="24"/>
        <v>70137.719999999987</v>
      </c>
      <c r="G42" s="107">
        <f t="shared" si="24"/>
        <v>74280.280000000013</v>
      </c>
      <c r="H42" s="107">
        <f t="shared" si="24"/>
        <v>48798.92</v>
      </c>
      <c r="I42" s="107">
        <f t="shared" si="24"/>
        <v>73431.899999999994</v>
      </c>
      <c r="J42" s="107">
        <f t="shared" si="24"/>
        <v>51978.500000000007</v>
      </c>
      <c r="K42" s="107">
        <f t="shared" si="24"/>
        <v>65473.140000000007</v>
      </c>
      <c r="L42" s="107">
        <f t="shared" si="24"/>
        <v>56513.189999999995</v>
      </c>
      <c r="M42" s="107">
        <f t="shared" si="24"/>
        <v>64655.67</v>
      </c>
      <c r="N42" s="107">
        <v>725785.45</v>
      </c>
    </row>
    <row r="43" spans="1:14">
      <c r="A43" s="64" t="s">
        <v>52</v>
      </c>
      <c r="B43" s="107">
        <f t="shared" ref="B43:M43" si="25">B235</f>
        <v>139749.63</v>
      </c>
      <c r="C43" s="107">
        <f t="shared" si="25"/>
        <v>152472.91</v>
      </c>
      <c r="D43" s="107">
        <f t="shared" si="25"/>
        <v>147715.80000000002</v>
      </c>
      <c r="E43" s="107">
        <f t="shared" si="25"/>
        <v>143565.69999999998</v>
      </c>
      <c r="F43" s="107">
        <f t="shared" si="25"/>
        <v>172109.58000000002</v>
      </c>
      <c r="G43" s="107">
        <f t="shared" si="25"/>
        <v>141083.23000000001</v>
      </c>
      <c r="H43" s="107">
        <f t="shared" si="25"/>
        <v>155113.06</v>
      </c>
      <c r="I43" s="107">
        <f t="shared" si="25"/>
        <v>164079.51</v>
      </c>
      <c r="J43" s="107">
        <f t="shared" si="25"/>
        <v>155417.28999999998</v>
      </c>
      <c r="K43" s="107">
        <f t="shared" si="25"/>
        <v>167574.50999999995</v>
      </c>
      <c r="L43" s="107">
        <f t="shared" si="25"/>
        <v>180142</v>
      </c>
      <c r="M43" s="107">
        <f t="shared" si="25"/>
        <v>154055.58000000002</v>
      </c>
      <c r="N43" s="107">
        <v>1873078.8</v>
      </c>
    </row>
    <row r="44" spans="1:14">
      <c r="A44" s="64" t="s">
        <v>53</v>
      </c>
      <c r="B44" s="107">
        <f t="shared" ref="B44:M44" si="26">B261</f>
        <v>152625.73000000001</v>
      </c>
      <c r="C44" s="107">
        <f t="shared" si="26"/>
        <v>162286.62</v>
      </c>
      <c r="D44" s="107">
        <f t="shared" si="26"/>
        <v>155804.84999999998</v>
      </c>
      <c r="E44" s="107">
        <f t="shared" si="26"/>
        <v>148272.19999999998</v>
      </c>
      <c r="F44" s="107">
        <f t="shared" si="26"/>
        <v>-436271.75</v>
      </c>
      <c r="G44" s="107">
        <f t="shared" si="26"/>
        <v>156259.43000000002</v>
      </c>
      <c r="H44" s="107">
        <f t="shared" si="26"/>
        <v>157181.11000000002</v>
      </c>
      <c r="I44" s="107">
        <f t="shared" si="26"/>
        <v>173622.78999999998</v>
      </c>
      <c r="J44" s="107">
        <f t="shared" si="26"/>
        <v>170826.45</v>
      </c>
      <c r="K44" s="107">
        <f t="shared" si="26"/>
        <v>185923.99000000002</v>
      </c>
      <c r="L44" s="107">
        <f t="shared" si="26"/>
        <v>177159.11000000002</v>
      </c>
      <c r="M44" s="107">
        <f t="shared" si="26"/>
        <v>169422.91</v>
      </c>
      <c r="N44" s="107">
        <v>1373113.44</v>
      </c>
    </row>
    <row r="45" spans="1:14">
      <c r="A45" s="64" t="s">
        <v>54</v>
      </c>
      <c r="B45" s="107">
        <f t="shared" ref="B45:M45" si="27">B277</f>
        <v>21543.37</v>
      </c>
      <c r="C45" s="107">
        <f t="shared" si="27"/>
        <v>16432.36</v>
      </c>
      <c r="D45" s="107">
        <f t="shared" si="27"/>
        <v>20888.03</v>
      </c>
      <c r="E45" s="107">
        <f t="shared" si="27"/>
        <v>12086.88</v>
      </c>
      <c r="F45" s="107">
        <f t="shared" si="27"/>
        <v>20251.060000000001</v>
      </c>
      <c r="G45" s="107">
        <f t="shared" si="27"/>
        <v>16565.330000000005</v>
      </c>
      <c r="H45" s="107">
        <f t="shared" si="27"/>
        <v>15859.61</v>
      </c>
      <c r="I45" s="107">
        <f t="shared" si="27"/>
        <v>13589.139999999998</v>
      </c>
      <c r="J45" s="107">
        <f t="shared" si="27"/>
        <v>11859.220000000001</v>
      </c>
      <c r="K45" s="107">
        <f t="shared" si="27"/>
        <v>12410.8</v>
      </c>
      <c r="L45" s="107">
        <f t="shared" si="27"/>
        <v>14905.25</v>
      </c>
      <c r="M45" s="107">
        <f t="shared" si="27"/>
        <v>20772.560000000005</v>
      </c>
      <c r="N45" s="107">
        <v>197163.61</v>
      </c>
    </row>
    <row r="46" spans="1:14">
      <c r="A46" s="64" t="s">
        <v>55</v>
      </c>
      <c r="B46" s="107">
        <f t="shared" ref="B46:M46" si="28">B285</f>
        <v>16444.21</v>
      </c>
      <c r="C46" s="107">
        <f t="shared" si="28"/>
        <v>13196.75</v>
      </c>
      <c r="D46" s="107">
        <f t="shared" si="28"/>
        <v>6601.56</v>
      </c>
      <c r="E46" s="107">
        <f t="shared" si="28"/>
        <v>472.60999999999996</v>
      </c>
      <c r="F46" s="107">
        <f t="shared" si="28"/>
        <v>10424.07</v>
      </c>
      <c r="G46" s="107">
        <f t="shared" si="28"/>
        <v>8728.33</v>
      </c>
      <c r="H46" s="107">
        <f t="shared" si="28"/>
        <v>26168.250000000004</v>
      </c>
      <c r="I46" s="107">
        <f t="shared" si="28"/>
        <v>6050.4299999999994</v>
      </c>
      <c r="J46" s="107">
        <f t="shared" si="28"/>
        <v>11447.14</v>
      </c>
      <c r="K46" s="107">
        <f t="shared" si="28"/>
        <v>8376.23</v>
      </c>
      <c r="L46" s="107">
        <f t="shared" si="28"/>
        <v>14488.880000000001</v>
      </c>
      <c r="M46" s="107">
        <f t="shared" si="28"/>
        <v>14464.809999999998</v>
      </c>
      <c r="N46" s="107">
        <v>136863.26999999999</v>
      </c>
    </row>
    <row r="47" spans="1:14">
      <c r="A47" s="64" t="s">
        <v>56</v>
      </c>
      <c r="B47" s="107">
        <f t="shared" ref="B47:M47" si="29">B294</f>
        <v>18195.060000000001</v>
      </c>
      <c r="C47" s="107">
        <f t="shared" si="29"/>
        <v>17225</v>
      </c>
      <c r="D47" s="107">
        <f t="shared" si="29"/>
        <v>17225</v>
      </c>
      <c r="E47" s="107">
        <f t="shared" si="29"/>
        <v>17225</v>
      </c>
      <c r="F47" s="107">
        <f t="shared" si="29"/>
        <v>38158.240000000005</v>
      </c>
      <c r="G47" s="107">
        <f t="shared" si="29"/>
        <v>19686.73</v>
      </c>
      <c r="H47" s="107">
        <f t="shared" si="29"/>
        <v>19620.060000000001</v>
      </c>
      <c r="I47" s="107">
        <f t="shared" si="29"/>
        <v>19620.060000000001</v>
      </c>
      <c r="J47" s="107">
        <f t="shared" si="29"/>
        <v>19865.060000000001</v>
      </c>
      <c r="K47" s="107">
        <f t="shared" si="29"/>
        <v>19800.060000000001</v>
      </c>
      <c r="L47" s="107">
        <f t="shared" si="29"/>
        <v>19800.060000000001</v>
      </c>
      <c r="M47" s="107">
        <f t="shared" si="29"/>
        <v>20740.060000000001</v>
      </c>
      <c r="N47" s="107">
        <v>247160.39</v>
      </c>
    </row>
    <row r="48" spans="1:14">
      <c r="A48" s="64" t="s">
        <v>57</v>
      </c>
      <c r="B48" s="107">
        <f t="shared" ref="B48:M48" si="30">B299</f>
        <v>8193</v>
      </c>
      <c r="C48" s="107">
        <f t="shared" si="30"/>
        <v>7451</v>
      </c>
      <c r="D48" s="107">
        <f t="shared" si="30"/>
        <v>8170</v>
      </c>
      <c r="E48" s="107">
        <f t="shared" si="30"/>
        <v>7566</v>
      </c>
      <c r="F48" s="107">
        <f t="shared" si="30"/>
        <v>-73748</v>
      </c>
      <c r="G48" s="107">
        <f t="shared" si="30"/>
        <v>8620</v>
      </c>
      <c r="H48" s="107">
        <f t="shared" si="30"/>
        <v>21477</v>
      </c>
      <c r="I48" s="107">
        <f t="shared" si="30"/>
        <v>9092</v>
      </c>
      <c r="J48" s="107">
        <f t="shared" si="30"/>
        <v>8995</v>
      </c>
      <c r="K48" s="107">
        <f t="shared" si="30"/>
        <v>12187</v>
      </c>
      <c r="L48" s="107">
        <f t="shared" si="30"/>
        <v>34254</v>
      </c>
      <c r="M48" s="107">
        <f t="shared" si="30"/>
        <v>34129</v>
      </c>
      <c r="N48" s="107">
        <v>86386</v>
      </c>
    </row>
    <row r="49" spans="1:14">
      <c r="A49" s="64" t="s">
        <v>58</v>
      </c>
      <c r="B49" s="107">
        <f t="shared" ref="B49:M49" si="31">B307</f>
        <v>10546.64</v>
      </c>
      <c r="C49" s="107">
        <f t="shared" si="31"/>
        <v>11109.34</v>
      </c>
      <c r="D49" s="107">
        <f t="shared" si="31"/>
        <v>61109.34</v>
      </c>
      <c r="E49" s="107">
        <f t="shared" si="31"/>
        <v>11109.34</v>
      </c>
      <c r="F49" s="107">
        <f t="shared" si="31"/>
        <v>-38890.660000000003</v>
      </c>
      <c r="G49" s="107">
        <f t="shared" si="31"/>
        <v>11688.99</v>
      </c>
      <c r="H49" s="107">
        <f t="shared" si="31"/>
        <v>11009.61</v>
      </c>
      <c r="I49" s="107">
        <f t="shared" si="31"/>
        <v>11009.61</v>
      </c>
      <c r="J49" s="107">
        <f t="shared" si="31"/>
        <v>31656.79</v>
      </c>
      <c r="K49" s="107">
        <f t="shared" si="31"/>
        <v>11009.61</v>
      </c>
      <c r="L49" s="107">
        <f t="shared" si="31"/>
        <v>11009.61</v>
      </c>
      <c r="M49" s="107">
        <f t="shared" si="31"/>
        <v>11009.61</v>
      </c>
      <c r="N49" s="107">
        <v>153377.82999999999</v>
      </c>
    </row>
    <row r="50" spans="1:14">
      <c r="A50" s="64" t="s">
        <v>59</v>
      </c>
      <c r="B50" s="107">
        <f t="shared" ref="B50:M50" si="32">B315</f>
        <v>2229.8900000000003</v>
      </c>
      <c r="C50" s="107">
        <f t="shared" si="32"/>
        <v>3256.44</v>
      </c>
      <c r="D50" s="107">
        <f t="shared" si="32"/>
        <v>3289.59</v>
      </c>
      <c r="E50" s="107">
        <f t="shared" si="32"/>
        <v>3388.42</v>
      </c>
      <c r="F50" s="107">
        <f t="shared" si="32"/>
        <v>3531.9699999999993</v>
      </c>
      <c r="G50" s="107">
        <f t="shared" si="32"/>
        <v>3531.9700000000003</v>
      </c>
      <c r="H50" s="107">
        <f t="shared" si="32"/>
        <v>3267.9900000000007</v>
      </c>
      <c r="I50" s="107">
        <f t="shared" si="32"/>
        <v>3593.66</v>
      </c>
      <c r="J50" s="107">
        <f t="shared" si="32"/>
        <v>3477.29</v>
      </c>
      <c r="K50" s="107">
        <f t="shared" si="32"/>
        <v>3425.73</v>
      </c>
      <c r="L50" s="107">
        <f t="shared" si="32"/>
        <v>3588.87</v>
      </c>
      <c r="M50" s="107">
        <f t="shared" si="32"/>
        <v>3638.7599999999993</v>
      </c>
      <c r="N50" s="107">
        <v>40220.58</v>
      </c>
    </row>
    <row r="51" spans="1:14">
      <c r="A51" s="64" t="s">
        <v>60</v>
      </c>
      <c r="B51" s="107">
        <f t="shared" ref="B51:M51" si="33">B322</f>
        <v>94320.08</v>
      </c>
      <c r="C51" s="107">
        <f t="shared" si="33"/>
        <v>91913.209999999992</v>
      </c>
      <c r="D51" s="107">
        <f t="shared" si="33"/>
        <v>91374.31</v>
      </c>
      <c r="E51" s="107">
        <f t="shared" si="33"/>
        <v>91365.759999999995</v>
      </c>
      <c r="F51" s="107">
        <f t="shared" si="33"/>
        <v>92135.11</v>
      </c>
      <c r="G51" s="107">
        <f t="shared" si="33"/>
        <v>91121.45</v>
      </c>
      <c r="H51" s="107">
        <f t="shared" si="33"/>
        <v>91755.69</v>
      </c>
      <c r="I51" s="107">
        <f t="shared" si="33"/>
        <v>90936.83</v>
      </c>
      <c r="J51" s="107">
        <f t="shared" si="33"/>
        <v>91225.099999999991</v>
      </c>
      <c r="K51" s="107">
        <f t="shared" si="33"/>
        <v>92754.540000000008</v>
      </c>
      <c r="L51" s="107">
        <f t="shared" si="33"/>
        <v>91762.240000000005</v>
      </c>
      <c r="M51" s="107">
        <f t="shared" si="33"/>
        <v>92474.559999999998</v>
      </c>
      <c r="N51" s="107">
        <v>1103138.8799999999</v>
      </c>
    </row>
    <row r="52" spans="1:14">
      <c r="A52" s="64" t="s">
        <v>61</v>
      </c>
      <c r="B52" s="107">
        <f>B326</f>
        <v>-2318.52</v>
      </c>
      <c r="C52" s="107"/>
      <c r="D52" s="107">
        <f>D326</f>
        <v>356.43</v>
      </c>
      <c r="E52" s="107"/>
      <c r="F52" s="107">
        <f>F326</f>
        <v>-39401.78</v>
      </c>
      <c r="G52" s="107"/>
      <c r="H52" s="107"/>
      <c r="I52" s="107"/>
      <c r="J52" s="107">
        <f>J326</f>
        <v>10005</v>
      </c>
      <c r="K52" s="107"/>
      <c r="L52" s="107"/>
      <c r="M52" s="107"/>
      <c r="N52" s="107">
        <v>-31358.87</v>
      </c>
    </row>
    <row r="53" spans="1:14">
      <c r="A53" s="64"/>
      <c r="B53" s="22"/>
      <c r="C53" s="22"/>
      <c r="D53" s="22"/>
      <c r="E53" s="22"/>
      <c r="F53" s="22"/>
      <c r="G53" s="22"/>
      <c r="H53" s="22"/>
      <c r="I53" s="22"/>
      <c r="J53" s="22"/>
      <c r="K53" s="22"/>
      <c r="L53" s="22"/>
      <c r="M53" s="22"/>
      <c r="N53" s="22"/>
    </row>
    <row r="54" spans="1:14" ht="15.75" thickBot="1">
      <c r="A54" s="64" t="s">
        <v>62</v>
      </c>
      <c r="B54" s="112">
        <f t="shared" ref="B54:M54" si="34">B328</f>
        <v>868030.62000000058</v>
      </c>
      <c r="C54" s="112">
        <f t="shared" si="34"/>
        <v>830976.09000000067</v>
      </c>
      <c r="D54" s="112">
        <f t="shared" si="34"/>
        <v>885512.7700000006</v>
      </c>
      <c r="E54" s="112">
        <f t="shared" si="34"/>
        <v>795957.27000000048</v>
      </c>
      <c r="F54" s="112">
        <f t="shared" si="34"/>
        <v>171832.20999999953</v>
      </c>
      <c r="G54" s="112">
        <f t="shared" si="34"/>
        <v>900160.05000000051</v>
      </c>
      <c r="H54" s="112">
        <f t="shared" si="34"/>
        <v>885283.05999999982</v>
      </c>
      <c r="I54" s="112">
        <f t="shared" si="34"/>
        <v>927055.28999999946</v>
      </c>
      <c r="J54" s="112">
        <f t="shared" si="34"/>
        <v>893820.71999999962</v>
      </c>
      <c r="K54" s="112">
        <f t="shared" si="34"/>
        <v>909002.39000000025</v>
      </c>
      <c r="L54" s="112">
        <f t="shared" si="34"/>
        <v>945116.19000000088</v>
      </c>
      <c r="M54" s="112">
        <f t="shared" si="34"/>
        <v>945425.02</v>
      </c>
      <c r="N54" s="112">
        <v>9958171.6799999997</v>
      </c>
    </row>
    <row r="55" spans="1:14" ht="15.75" thickTop="1">
      <c r="A55" s="64"/>
      <c r="B55" s="22"/>
      <c r="C55" s="22"/>
      <c r="D55" s="22"/>
      <c r="E55" s="22"/>
      <c r="F55" s="22"/>
      <c r="G55" s="22"/>
      <c r="H55" s="22"/>
      <c r="I55" s="22"/>
      <c r="J55" s="22"/>
      <c r="K55" s="22"/>
      <c r="L55" s="22"/>
      <c r="M55" s="22"/>
      <c r="N55" s="22"/>
    </row>
    <row r="56" spans="1:14" ht="15.75" thickBot="1">
      <c r="A56" s="64" t="s">
        <v>63</v>
      </c>
      <c r="B56" s="112">
        <f t="shared" ref="B56:M56" si="35">B330</f>
        <v>-48287.750000001048</v>
      </c>
      <c r="C56" s="112">
        <f t="shared" si="35"/>
        <v>-45559.370000001625</v>
      </c>
      <c r="D56" s="112">
        <f t="shared" si="35"/>
        <v>-83835.469999999739</v>
      </c>
      <c r="E56" s="112">
        <f t="shared" si="35"/>
        <v>-36082.569999998668</v>
      </c>
      <c r="F56" s="112">
        <f t="shared" si="35"/>
        <v>134516.3900000001</v>
      </c>
      <c r="G56" s="112">
        <f t="shared" si="35"/>
        <v>14616.629999999539</v>
      </c>
      <c r="H56" s="112">
        <f t="shared" si="35"/>
        <v>-6826.3600000002189</v>
      </c>
      <c r="I56" s="112">
        <f t="shared" si="35"/>
        <v>17934.039999998873</v>
      </c>
      <c r="J56" s="112">
        <f t="shared" si="35"/>
        <v>16473.629999999423</v>
      </c>
      <c r="K56" s="112">
        <f t="shared" si="35"/>
        <v>94699.59999999858</v>
      </c>
      <c r="L56" s="112">
        <f t="shared" si="35"/>
        <v>-13608.18000000075</v>
      </c>
      <c r="M56" s="112">
        <f t="shared" si="35"/>
        <v>-1283.6399999996647</v>
      </c>
      <c r="N56" s="112">
        <v>42756.95</v>
      </c>
    </row>
    <row r="57" spans="1:14" ht="15.75" thickTop="1">
      <c r="A57" s="64"/>
      <c r="B57" s="22"/>
      <c r="C57" s="22"/>
      <c r="D57" s="22"/>
      <c r="E57" s="22"/>
      <c r="F57" s="22"/>
      <c r="G57" s="22"/>
      <c r="H57" s="22"/>
      <c r="I57" s="22"/>
      <c r="J57" s="22"/>
      <c r="K57" s="22"/>
      <c r="L57" s="22"/>
      <c r="M57" s="22"/>
      <c r="N57" s="22"/>
    </row>
    <row r="58" spans="1:14" ht="15.75" thickBot="1">
      <c r="A58" s="64" t="s">
        <v>64</v>
      </c>
      <c r="B58" s="112">
        <f t="shared" ref="B58:J58" si="36">B334</f>
        <v>8305.6299999999992</v>
      </c>
      <c r="C58" s="112">
        <f t="shared" si="36"/>
        <v>4009.28</v>
      </c>
      <c r="D58" s="112">
        <f t="shared" si="36"/>
        <v>10306.98</v>
      </c>
      <c r="E58" s="112">
        <f t="shared" si="36"/>
        <v>3280.4</v>
      </c>
      <c r="F58" s="112">
        <f t="shared" si="36"/>
        <v>-30026.49</v>
      </c>
      <c r="G58" s="112">
        <f t="shared" si="36"/>
        <v>34999.07</v>
      </c>
      <c r="H58" s="112">
        <f t="shared" si="36"/>
        <v>50127.55</v>
      </c>
      <c r="I58" s="112">
        <f t="shared" si="36"/>
        <v>4569.43</v>
      </c>
      <c r="J58" s="112">
        <f t="shared" si="36"/>
        <v>11923.24</v>
      </c>
      <c r="K58" s="112"/>
      <c r="L58" s="112"/>
      <c r="M58" s="112"/>
      <c r="N58" s="112">
        <v>97495.09</v>
      </c>
    </row>
    <row r="59" spans="1:14" ht="15.75" thickTop="1">
      <c r="A59" s="64"/>
      <c r="B59" s="22"/>
      <c r="C59" s="22"/>
      <c r="D59" s="22"/>
      <c r="E59" s="22"/>
      <c r="F59" s="22"/>
      <c r="G59" s="22"/>
      <c r="H59" s="22"/>
      <c r="I59" s="22"/>
      <c r="J59" s="22"/>
      <c r="K59" s="22"/>
      <c r="L59" s="22"/>
      <c r="M59" s="22"/>
      <c r="N59" s="22"/>
    </row>
    <row r="60" spans="1:14" ht="15.75" thickBot="1">
      <c r="A60" s="64" t="s">
        <v>22</v>
      </c>
      <c r="B60" s="112">
        <f t="shared" ref="B60:M60" si="37">B336</f>
        <v>-56593.380000001045</v>
      </c>
      <c r="C60" s="112">
        <f t="shared" si="37"/>
        <v>-49568.650000001624</v>
      </c>
      <c r="D60" s="112">
        <f t="shared" si="37"/>
        <v>-94142.449999999735</v>
      </c>
      <c r="E60" s="112">
        <f t="shared" si="37"/>
        <v>-39362.96999999867</v>
      </c>
      <c r="F60" s="112">
        <f t="shared" si="37"/>
        <v>164542.88000000009</v>
      </c>
      <c r="G60" s="112">
        <f t="shared" si="37"/>
        <v>-20382.440000000461</v>
      </c>
      <c r="H60" s="112">
        <f t="shared" si="37"/>
        <v>-56953.910000000222</v>
      </c>
      <c r="I60" s="112">
        <f t="shared" si="37"/>
        <v>13364.609999998873</v>
      </c>
      <c r="J60" s="112">
        <f t="shared" si="37"/>
        <v>4550.3899999994228</v>
      </c>
      <c r="K60" s="112">
        <f t="shared" si="37"/>
        <v>94699.59999999858</v>
      </c>
      <c r="L60" s="112">
        <f t="shared" si="37"/>
        <v>-13608.18000000075</v>
      </c>
      <c r="M60" s="112">
        <f t="shared" si="37"/>
        <v>-1283.6399999996647</v>
      </c>
      <c r="N60" s="112">
        <v>-54738.14</v>
      </c>
    </row>
    <row r="61" spans="1:14" ht="15.75" thickTop="1">
      <c r="A61" s="64"/>
      <c r="B61" s="22"/>
      <c r="C61" s="22"/>
      <c r="D61" s="22"/>
      <c r="E61" s="22"/>
      <c r="F61" s="22"/>
      <c r="G61" s="22"/>
      <c r="H61" s="22"/>
      <c r="I61" s="22"/>
      <c r="J61" s="22"/>
      <c r="K61" s="22"/>
      <c r="L61" s="22"/>
      <c r="M61" s="22"/>
      <c r="N61" s="22"/>
    </row>
    <row r="62" spans="1:14">
      <c r="A62" s="64" t="s">
        <v>40</v>
      </c>
      <c r="B62" s="22"/>
      <c r="C62" s="22"/>
      <c r="D62" s="22"/>
      <c r="E62" s="22"/>
      <c r="F62" s="22"/>
      <c r="G62" s="22"/>
      <c r="H62" s="22"/>
      <c r="I62" s="22"/>
      <c r="J62" s="22"/>
      <c r="K62" s="22"/>
      <c r="L62" s="22"/>
      <c r="M62" s="22"/>
      <c r="N62" s="22"/>
    </row>
    <row r="63" spans="1:14">
      <c r="A63" s="64"/>
      <c r="B63" s="22"/>
      <c r="C63" s="22"/>
      <c r="D63" s="22"/>
      <c r="E63" s="22"/>
      <c r="F63" s="22"/>
      <c r="G63" s="22"/>
      <c r="H63" s="22"/>
      <c r="I63" s="22"/>
      <c r="J63" s="22"/>
      <c r="K63" s="22"/>
      <c r="L63" s="22"/>
      <c r="M63" s="22"/>
      <c r="N63" s="22"/>
    </row>
    <row r="64" spans="1:14">
      <c r="A64" s="64" t="s">
        <v>41</v>
      </c>
      <c r="B64" s="22"/>
      <c r="C64" s="22"/>
      <c r="D64" s="22"/>
      <c r="E64" s="22"/>
      <c r="F64" s="22"/>
      <c r="G64" s="22"/>
      <c r="H64" s="22"/>
      <c r="I64" s="22"/>
      <c r="J64" s="22"/>
      <c r="K64" s="22"/>
      <c r="L64" s="22"/>
      <c r="M64" s="22"/>
      <c r="N64" s="22"/>
    </row>
    <row r="65" spans="1:14">
      <c r="A65" s="64"/>
      <c r="B65" s="22"/>
      <c r="C65" s="22"/>
      <c r="D65" s="22"/>
      <c r="E65" s="22"/>
      <c r="F65" s="22"/>
      <c r="G65" s="22"/>
      <c r="H65" s="22"/>
      <c r="I65" s="22"/>
      <c r="J65" s="22"/>
      <c r="K65" s="22"/>
      <c r="L65" s="22"/>
      <c r="M65" s="22"/>
      <c r="N65" s="22"/>
    </row>
    <row r="66" spans="1:14">
      <c r="A66" s="64" t="s">
        <v>65</v>
      </c>
      <c r="B66" s="22"/>
      <c r="C66" s="22"/>
      <c r="D66" s="22"/>
      <c r="E66" s="22"/>
      <c r="F66" s="22"/>
      <c r="G66" s="22"/>
      <c r="H66" s="22"/>
      <c r="I66" s="22"/>
      <c r="J66" s="22"/>
      <c r="K66" s="22"/>
      <c r="L66" s="22"/>
      <c r="M66" s="22"/>
      <c r="N66" s="22"/>
    </row>
    <row r="67" spans="1:14">
      <c r="A67" s="64" t="s">
        <v>66</v>
      </c>
      <c r="B67" s="111">
        <v>207587.93</v>
      </c>
      <c r="C67" s="111">
        <v>204775.11</v>
      </c>
      <c r="D67" s="111">
        <v>234106.86</v>
      </c>
      <c r="E67" s="111">
        <v>230847.42</v>
      </c>
      <c r="F67" s="111">
        <v>233091.87</v>
      </c>
      <c r="G67" s="111">
        <v>228282.5</v>
      </c>
      <c r="H67" s="111">
        <v>173871.94</v>
      </c>
      <c r="I67" s="111">
        <v>231733.38</v>
      </c>
      <c r="J67" s="111">
        <v>216538.35</v>
      </c>
      <c r="K67" s="111">
        <v>222604.37</v>
      </c>
      <c r="L67" s="111">
        <v>233892.97</v>
      </c>
      <c r="M67" s="111">
        <v>244597.76000000001</v>
      </c>
      <c r="N67" s="111">
        <v>2661930.46</v>
      </c>
    </row>
    <row r="68" spans="1:14">
      <c r="A68" s="64" t="s">
        <v>67</v>
      </c>
      <c r="B68" s="107">
        <f t="shared" ref="B68:M68" si="38">SUM(B64:B67)</f>
        <v>207587.93</v>
      </c>
      <c r="C68" s="107">
        <f t="shared" si="38"/>
        <v>204775.11</v>
      </c>
      <c r="D68" s="107">
        <f t="shared" si="38"/>
        <v>234106.86</v>
      </c>
      <c r="E68" s="107">
        <f t="shared" si="38"/>
        <v>230847.42</v>
      </c>
      <c r="F68" s="107">
        <f t="shared" si="38"/>
        <v>233091.87</v>
      </c>
      <c r="G68" s="107">
        <f t="shared" si="38"/>
        <v>228282.5</v>
      </c>
      <c r="H68" s="107">
        <f t="shared" si="38"/>
        <v>173871.94</v>
      </c>
      <c r="I68" s="107">
        <f t="shared" si="38"/>
        <v>231733.38</v>
      </c>
      <c r="J68" s="107">
        <f t="shared" si="38"/>
        <v>216538.35</v>
      </c>
      <c r="K68" s="107">
        <f t="shared" si="38"/>
        <v>222604.37</v>
      </c>
      <c r="L68" s="107">
        <f t="shared" si="38"/>
        <v>233892.97</v>
      </c>
      <c r="M68" s="107">
        <f t="shared" si="38"/>
        <v>244597.76000000001</v>
      </c>
      <c r="N68" s="107">
        <v>2661930.46</v>
      </c>
    </row>
    <row r="69" spans="1:14">
      <c r="A69" s="64"/>
      <c r="B69" s="22"/>
      <c r="C69" s="22"/>
      <c r="D69" s="22"/>
      <c r="E69" s="22"/>
      <c r="F69" s="22"/>
      <c r="G69" s="22"/>
      <c r="H69" s="22"/>
      <c r="I69" s="22"/>
      <c r="J69" s="22"/>
      <c r="K69" s="22"/>
      <c r="L69" s="22"/>
      <c r="M69" s="22"/>
      <c r="N69" s="22"/>
    </row>
    <row r="70" spans="1:14">
      <c r="A70" s="64" t="s">
        <v>68</v>
      </c>
      <c r="B70" s="22"/>
      <c r="C70" s="22"/>
      <c r="D70" s="22"/>
      <c r="E70" s="22"/>
      <c r="F70" s="22"/>
      <c r="G70" s="22"/>
      <c r="H70" s="22"/>
      <c r="I70" s="22"/>
      <c r="J70" s="22"/>
      <c r="K70" s="22"/>
      <c r="L70" s="22"/>
      <c r="M70" s="22"/>
      <c r="N70" s="22"/>
    </row>
    <row r="71" spans="1:14">
      <c r="A71" s="64" t="s">
        <v>66</v>
      </c>
      <c r="B71" s="111">
        <v>19662.27</v>
      </c>
      <c r="C71" s="111">
        <v>21744.799999999999</v>
      </c>
      <c r="D71" s="111">
        <v>23906.16</v>
      </c>
      <c r="E71" s="111">
        <v>25506.78</v>
      </c>
      <c r="F71" s="111">
        <v>32097.73</v>
      </c>
      <c r="G71" s="111">
        <v>17432.240000000002</v>
      </c>
      <c r="H71" s="111">
        <v>32021.439999999999</v>
      </c>
      <c r="I71" s="111">
        <v>49312.79</v>
      </c>
      <c r="J71" s="111">
        <v>55723.17</v>
      </c>
      <c r="K71" s="111">
        <v>43829.05</v>
      </c>
      <c r="L71" s="111">
        <v>33745.339999999997</v>
      </c>
      <c r="M71" s="111">
        <v>35793.14</v>
      </c>
      <c r="N71" s="111">
        <v>390774.91</v>
      </c>
    </row>
    <row r="72" spans="1:14">
      <c r="A72" s="64" t="s">
        <v>69</v>
      </c>
      <c r="B72" s="107">
        <f t="shared" ref="B72:M72" si="39">SUM(B69:B71)</f>
        <v>19662.27</v>
      </c>
      <c r="C72" s="107">
        <f t="shared" si="39"/>
        <v>21744.799999999999</v>
      </c>
      <c r="D72" s="107">
        <f t="shared" si="39"/>
        <v>23906.16</v>
      </c>
      <c r="E72" s="107">
        <f t="shared" si="39"/>
        <v>25506.78</v>
      </c>
      <c r="F72" s="107">
        <f t="shared" si="39"/>
        <v>32097.73</v>
      </c>
      <c r="G72" s="107">
        <f t="shared" si="39"/>
        <v>17432.240000000002</v>
      </c>
      <c r="H72" s="107">
        <f t="shared" si="39"/>
        <v>32021.439999999999</v>
      </c>
      <c r="I72" s="107">
        <f t="shared" si="39"/>
        <v>49312.79</v>
      </c>
      <c r="J72" s="107">
        <f t="shared" si="39"/>
        <v>55723.17</v>
      </c>
      <c r="K72" s="107">
        <f t="shared" si="39"/>
        <v>43829.05</v>
      </c>
      <c r="L72" s="107">
        <f t="shared" si="39"/>
        <v>33745.339999999997</v>
      </c>
      <c r="M72" s="107">
        <f t="shared" si="39"/>
        <v>35793.14</v>
      </c>
      <c r="N72" s="107">
        <v>390774.91</v>
      </c>
    </row>
    <row r="73" spans="1:14">
      <c r="A73" s="64"/>
      <c r="B73" s="22"/>
      <c r="C73" s="22"/>
      <c r="D73" s="22"/>
      <c r="E73" s="22"/>
      <c r="F73" s="22"/>
      <c r="G73" s="22"/>
      <c r="H73" s="22"/>
      <c r="I73" s="22"/>
      <c r="J73" s="22"/>
      <c r="K73" s="22"/>
      <c r="L73" s="22"/>
      <c r="M73" s="22"/>
      <c r="N73" s="22"/>
    </row>
    <row r="74" spans="1:14">
      <c r="A74" s="64" t="s">
        <v>70</v>
      </c>
      <c r="B74" s="22"/>
      <c r="C74" s="22"/>
      <c r="D74" s="22"/>
      <c r="E74" s="22"/>
      <c r="F74" s="22"/>
      <c r="G74" s="22"/>
      <c r="H74" s="22"/>
      <c r="I74" s="22"/>
      <c r="J74" s="22"/>
      <c r="K74" s="22"/>
      <c r="L74" s="22"/>
      <c r="M74" s="22"/>
      <c r="N74" s="22"/>
    </row>
    <row r="75" spans="1:14">
      <c r="A75" s="64" t="s">
        <v>66</v>
      </c>
      <c r="B75" s="111">
        <v>277825.07</v>
      </c>
      <c r="C75" s="111">
        <v>281421.59000000003</v>
      </c>
      <c r="D75" s="111">
        <v>311833.03000000003</v>
      </c>
      <c r="E75" s="111">
        <v>138903.01</v>
      </c>
      <c r="F75" s="111">
        <v>214922.96</v>
      </c>
      <c r="G75" s="111">
        <v>308899.53999999998</v>
      </c>
      <c r="H75" s="111">
        <v>292417.71999999997</v>
      </c>
      <c r="I75" s="111">
        <v>266796.55</v>
      </c>
      <c r="J75" s="111">
        <v>277817.55</v>
      </c>
      <c r="K75" s="111">
        <v>416689.73</v>
      </c>
      <c r="L75" s="111">
        <v>285169.2</v>
      </c>
      <c r="M75" s="111">
        <v>291078.39</v>
      </c>
      <c r="N75" s="111">
        <v>3363774.34</v>
      </c>
    </row>
    <row r="76" spans="1:14">
      <c r="A76" s="64" t="s">
        <v>71</v>
      </c>
      <c r="B76" s="107">
        <f t="shared" ref="B76:M76" si="40">SUM(B73:B75)</f>
        <v>277825.07</v>
      </c>
      <c r="C76" s="107">
        <f t="shared" si="40"/>
        <v>281421.59000000003</v>
      </c>
      <c r="D76" s="107">
        <f t="shared" si="40"/>
        <v>311833.03000000003</v>
      </c>
      <c r="E76" s="107">
        <f t="shared" si="40"/>
        <v>138903.01</v>
      </c>
      <c r="F76" s="107">
        <f t="shared" si="40"/>
        <v>214922.96</v>
      </c>
      <c r="G76" s="107">
        <f t="shared" si="40"/>
        <v>308899.53999999998</v>
      </c>
      <c r="H76" s="107">
        <f t="shared" si="40"/>
        <v>292417.71999999997</v>
      </c>
      <c r="I76" s="107">
        <f t="shared" si="40"/>
        <v>266796.55</v>
      </c>
      <c r="J76" s="107">
        <f t="shared" si="40"/>
        <v>277817.55</v>
      </c>
      <c r="K76" s="107">
        <f t="shared" si="40"/>
        <v>416689.73</v>
      </c>
      <c r="L76" s="107">
        <f t="shared" si="40"/>
        <v>285169.2</v>
      </c>
      <c r="M76" s="107">
        <f t="shared" si="40"/>
        <v>291078.39</v>
      </c>
      <c r="N76" s="107">
        <v>3363774.34</v>
      </c>
    </row>
    <row r="77" spans="1:14">
      <c r="A77" s="64"/>
      <c r="B77" s="22"/>
      <c r="C77" s="22"/>
      <c r="D77" s="22"/>
      <c r="E77" s="22"/>
      <c r="F77" s="22"/>
      <c r="G77" s="22"/>
      <c r="H77" s="22"/>
      <c r="I77" s="22"/>
      <c r="J77" s="22"/>
      <c r="K77" s="22"/>
      <c r="L77" s="22"/>
      <c r="M77" s="22"/>
      <c r="N77" s="22"/>
    </row>
    <row r="78" spans="1:14">
      <c r="A78" s="64" t="s">
        <v>72</v>
      </c>
      <c r="B78" s="113"/>
      <c r="C78" s="113"/>
      <c r="D78" s="113"/>
      <c r="E78" s="113"/>
      <c r="F78" s="113"/>
      <c r="G78" s="113"/>
      <c r="H78" s="113"/>
      <c r="I78" s="113"/>
      <c r="J78" s="113"/>
      <c r="K78" s="113"/>
      <c r="L78" s="113"/>
      <c r="M78" s="113"/>
      <c r="N78" s="113"/>
    </row>
    <row r="79" spans="1:14">
      <c r="A79" s="64" t="s">
        <v>314</v>
      </c>
      <c r="B79" s="107"/>
      <c r="C79" s="107"/>
      <c r="D79" s="107"/>
      <c r="E79" s="107"/>
      <c r="F79" s="107"/>
      <c r="G79" s="107"/>
      <c r="H79" s="107"/>
      <c r="I79" s="107"/>
      <c r="J79" s="107"/>
      <c r="K79" s="107"/>
      <c r="L79" s="107"/>
      <c r="M79" s="107"/>
      <c r="N79" s="107"/>
    </row>
    <row r="80" spans="1:14">
      <c r="A80" s="64"/>
      <c r="B80" s="22"/>
      <c r="C80" s="22"/>
      <c r="D80" s="22"/>
      <c r="E80" s="22"/>
      <c r="F80" s="22"/>
      <c r="G80" s="22"/>
      <c r="H80" s="22"/>
      <c r="I80" s="22"/>
      <c r="J80" s="22"/>
      <c r="K80" s="22"/>
      <c r="L80" s="22"/>
      <c r="M80" s="22"/>
      <c r="N80" s="22"/>
    </row>
    <row r="81" spans="1:14">
      <c r="A81" s="64" t="s">
        <v>73</v>
      </c>
      <c r="B81" s="22"/>
      <c r="C81" s="22"/>
      <c r="D81" s="22"/>
      <c r="E81" s="22"/>
      <c r="F81" s="22"/>
      <c r="G81" s="22"/>
      <c r="H81" s="22"/>
      <c r="I81" s="22"/>
      <c r="J81" s="22"/>
      <c r="K81" s="22"/>
      <c r="L81" s="22"/>
      <c r="M81" s="22"/>
      <c r="N81" s="22"/>
    </row>
    <row r="82" spans="1:14">
      <c r="A82" s="64" t="s">
        <v>66</v>
      </c>
      <c r="B82" s="111">
        <v>152114.23999999999</v>
      </c>
      <c r="C82" s="111">
        <v>110897.2</v>
      </c>
      <c r="D82" s="111">
        <v>160883.76</v>
      </c>
      <c r="E82" s="111">
        <v>243372.95</v>
      </c>
      <c r="F82" s="111">
        <v>209346.03</v>
      </c>
      <c r="G82" s="111">
        <v>186357.34</v>
      </c>
      <c r="H82" s="111">
        <v>211467.8</v>
      </c>
      <c r="I82" s="111">
        <v>218941.02</v>
      </c>
      <c r="J82" s="111">
        <v>215886.15</v>
      </c>
      <c r="K82" s="111">
        <v>154543.35999999999</v>
      </c>
      <c r="L82" s="111">
        <v>223738.65</v>
      </c>
      <c r="M82" s="111">
        <v>253546.82</v>
      </c>
      <c r="N82" s="111">
        <v>2341095.3199999998</v>
      </c>
    </row>
    <row r="83" spans="1:14">
      <c r="A83" s="64" t="s">
        <v>74</v>
      </c>
      <c r="B83" s="107">
        <f t="shared" ref="B83:M83" si="41">SUM(B80:B82)</f>
        <v>152114.23999999999</v>
      </c>
      <c r="C83" s="107">
        <f t="shared" si="41"/>
        <v>110897.2</v>
      </c>
      <c r="D83" s="107">
        <f t="shared" si="41"/>
        <v>160883.76</v>
      </c>
      <c r="E83" s="107">
        <f t="shared" si="41"/>
        <v>243372.95</v>
      </c>
      <c r="F83" s="107">
        <f t="shared" si="41"/>
        <v>209346.03</v>
      </c>
      <c r="G83" s="107">
        <f t="shared" si="41"/>
        <v>186357.34</v>
      </c>
      <c r="H83" s="107">
        <f t="shared" si="41"/>
        <v>211467.8</v>
      </c>
      <c r="I83" s="107">
        <f t="shared" si="41"/>
        <v>218941.02</v>
      </c>
      <c r="J83" s="107">
        <f t="shared" si="41"/>
        <v>215886.15</v>
      </c>
      <c r="K83" s="107">
        <f t="shared" si="41"/>
        <v>154543.35999999999</v>
      </c>
      <c r="L83" s="107">
        <f t="shared" si="41"/>
        <v>223738.65</v>
      </c>
      <c r="M83" s="107">
        <f t="shared" si="41"/>
        <v>253546.82</v>
      </c>
      <c r="N83" s="107">
        <v>2341095.3199999998</v>
      </c>
    </row>
    <row r="84" spans="1:14">
      <c r="A84" s="64"/>
      <c r="B84" s="22"/>
      <c r="C84" s="22"/>
      <c r="D84" s="22"/>
      <c r="E84" s="22"/>
      <c r="F84" s="22"/>
      <c r="G84" s="22"/>
      <c r="H84" s="22"/>
      <c r="I84" s="22"/>
      <c r="J84" s="22"/>
      <c r="K84" s="22"/>
      <c r="L84" s="22"/>
      <c r="M84" s="22"/>
      <c r="N84" s="22"/>
    </row>
    <row r="85" spans="1:14">
      <c r="A85" s="64" t="s">
        <v>75</v>
      </c>
      <c r="B85" s="22"/>
      <c r="C85" s="22"/>
      <c r="D85" s="22"/>
      <c r="E85" s="22"/>
      <c r="F85" s="22"/>
      <c r="G85" s="22"/>
      <c r="H85" s="22"/>
      <c r="I85" s="22"/>
      <c r="J85" s="22"/>
      <c r="K85" s="22"/>
      <c r="L85" s="22"/>
      <c r="M85" s="22"/>
      <c r="N85" s="22"/>
    </row>
    <row r="86" spans="1:14">
      <c r="A86" s="64" t="s">
        <v>66</v>
      </c>
      <c r="B86" s="111">
        <v>76096</v>
      </c>
      <c r="C86" s="111">
        <v>80524</v>
      </c>
      <c r="D86" s="111">
        <v>65108</v>
      </c>
      <c r="E86" s="111">
        <v>71176</v>
      </c>
      <c r="F86" s="111">
        <v>75604</v>
      </c>
      <c r="G86" s="111">
        <v>62812</v>
      </c>
      <c r="H86" s="111">
        <v>64430</v>
      </c>
      <c r="I86" s="111">
        <v>65790</v>
      </c>
      <c r="J86" s="111">
        <v>60010</v>
      </c>
      <c r="K86" s="111">
        <v>54230</v>
      </c>
      <c r="L86" s="111">
        <v>70380</v>
      </c>
      <c r="M86" s="111">
        <v>81260</v>
      </c>
      <c r="N86" s="111">
        <v>827420</v>
      </c>
    </row>
    <row r="87" spans="1:14">
      <c r="A87" s="64" t="s">
        <v>76</v>
      </c>
      <c r="B87" s="107">
        <f t="shared" ref="B87:M87" si="42">SUM(B84:B86)</f>
        <v>76096</v>
      </c>
      <c r="C87" s="107">
        <f t="shared" si="42"/>
        <v>80524</v>
      </c>
      <c r="D87" s="107">
        <f t="shared" si="42"/>
        <v>65108</v>
      </c>
      <c r="E87" s="107">
        <f t="shared" si="42"/>
        <v>71176</v>
      </c>
      <c r="F87" s="107">
        <f t="shared" si="42"/>
        <v>75604</v>
      </c>
      <c r="G87" s="107">
        <f t="shared" si="42"/>
        <v>62812</v>
      </c>
      <c r="H87" s="107">
        <f t="shared" si="42"/>
        <v>64430</v>
      </c>
      <c r="I87" s="107">
        <f t="shared" si="42"/>
        <v>65790</v>
      </c>
      <c r="J87" s="107">
        <f t="shared" si="42"/>
        <v>60010</v>
      </c>
      <c r="K87" s="107">
        <f t="shared" si="42"/>
        <v>54230</v>
      </c>
      <c r="L87" s="107">
        <f t="shared" si="42"/>
        <v>70380</v>
      </c>
      <c r="M87" s="107">
        <f t="shared" si="42"/>
        <v>81260</v>
      </c>
      <c r="N87" s="107">
        <v>827420</v>
      </c>
    </row>
    <row r="88" spans="1:14">
      <c r="A88" s="64"/>
      <c r="B88" s="113"/>
      <c r="C88" s="113"/>
      <c r="D88" s="113"/>
      <c r="E88" s="113"/>
      <c r="F88" s="113"/>
      <c r="G88" s="113"/>
      <c r="H88" s="113"/>
      <c r="I88" s="113"/>
      <c r="J88" s="113"/>
      <c r="K88" s="113"/>
      <c r="L88" s="113"/>
      <c r="M88" s="113"/>
      <c r="N88" s="113"/>
    </row>
    <row r="89" spans="1:14">
      <c r="A89" s="64" t="s">
        <v>42</v>
      </c>
      <c r="B89" s="107">
        <f t="shared" ref="B89:M89" si="43">SUM(B66:B88)-B68-B72-B76-B79-B83-B87</f>
        <v>733285.51</v>
      </c>
      <c r="C89" s="107">
        <f t="shared" si="43"/>
        <v>699362.7</v>
      </c>
      <c r="D89" s="107">
        <f t="shared" si="43"/>
        <v>795837.81000000029</v>
      </c>
      <c r="E89" s="107">
        <f t="shared" si="43"/>
        <v>709806.16000000015</v>
      </c>
      <c r="F89" s="107">
        <f t="shared" si="43"/>
        <v>765062.59000000008</v>
      </c>
      <c r="G89" s="107">
        <f t="shared" si="43"/>
        <v>803783.62000000023</v>
      </c>
      <c r="H89" s="107">
        <f t="shared" si="43"/>
        <v>774208.90000000014</v>
      </c>
      <c r="I89" s="107">
        <f t="shared" si="43"/>
        <v>832573.74</v>
      </c>
      <c r="J89" s="107">
        <f t="shared" si="43"/>
        <v>825975.21999999986</v>
      </c>
      <c r="K89" s="107">
        <f t="shared" si="43"/>
        <v>891896.50999999943</v>
      </c>
      <c r="L89" s="107">
        <f t="shared" si="43"/>
        <v>846926.1599999998</v>
      </c>
      <c r="M89" s="107">
        <f t="shared" si="43"/>
        <v>906276.1100000001</v>
      </c>
      <c r="N89" s="107">
        <v>9584995.0299999993</v>
      </c>
    </row>
    <row r="90" spans="1:14">
      <c r="A90" s="64"/>
      <c r="B90" s="22"/>
      <c r="C90" s="22"/>
      <c r="D90" s="22"/>
      <c r="E90" s="22"/>
      <c r="F90" s="22"/>
      <c r="G90" s="22"/>
      <c r="H90" s="22"/>
      <c r="I90" s="22"/>
      <c r="J90" s="22"/>
      <c r="K90" s="22"/>
      <c r="L90" s="22"/>
      <c r="M90" s="22"/>
      <c r="N90" s="22"/>
    </row>
    <row r="91" spans="1:14">
      <c r="A91" s="64" t="s">
        <v>43</v>
      </c>
      <c r="B91" s="22"/>
      <c r="C91" s="22"/>
      <c r="D91" s="22"/>
      <c r="E91" s="22"/>
      <c r="F91" s="22"/>
      <c r="G91" s="22"/>
      <c r="H91" s="22"/>
      <c r="I91" s="22"/>
      <c r="J91" s="22"/>
      <c r="K91" s="22"/>
      <c r="L91" s="22"/>
      <c r="M91" s="22"/>
      <c r="N91" s="22"/>
    </row>
    <row r="92" spans="1:14">
      <c r="A92" s="64"/>
      <c r="B92" s="22"/>
      <c r="C92" s="22"/>
      <c r="D92" s="22"/>
      <c r="E92" s="22"/>
      <c r="F92" s="22"/>
      <c r="G92" s="22"/>
      <c r="H92" s="22"/>
      <c r="I92" s="22"/>
      <c r="J92" s="22"/>
      <c r="K92" s="22"/>
      <c r="L92" s="22"/>
      <c r="M92" s="22"/>
      <c r="N92" s="22"/>
    </row>
    <row r="93" spans="1:14">
      <c r="A93" s="64" t="s">
        <v>65</v>
      </c>
      <c r="B93" s="22"/>
      <c r="C93" s="22"/>
      <c r="D93" s="22"/>
      <c r="E93" s="22"/>
      <c r="F93" s="22"/>
      <c r="G93" s="22"/>
      <c r="H93" s="22"/>
      <c r="I93" s="22"/>
      <c r="J93" s="22"/>
      <c r="K93" s="22"/>
      <c r="L93" s="22"/>
      <c r="M93" s="22"/>
      <c r="N93" s="22"/>
    </row>
    <row r="94" spans="1:14">
      <c r="A94" s="64" t="s">
        <v>66</v>
      </c>
      <c r="B94" s="111">
        <v>59880.17</v>
      </c>
      <c r="C94" s="111">
        <v>-3367.82</v>
      </c>
      <c r="D94" s="111">
        <v>92193.48</v>
      </c>
      <c r="E94" s="111">
        <v>18060.39</v>
      </c>
      <c r="F94" s="111">
        <v>36776.050000000003</v>
      </c>
      <c r="G94" s="111">
        <v>26853.52</v>
      </c>
      <c r="H94" s="111">
        <v>-8353.6200000000008</v>
      </c>
      <c r="I94" s="111">
        <v>92529.76</v>
      </c>
      <c r="J94" s="111">
        <v>-1429.68</v>
      </c>
      <c r="K94" s="111">
        <v>643.9</v>
      </c>
      <c r="L94" s="111">
        <v>23011.08</v>
      </c>
      <c r="M94" s="111">
        <v>4043.58</v>
      </c>
      <c r="N94" s="111">
        <v>340840.81</v>
      </c>
    </row>
    <row r="95" spans="1:14">
      <c r="A95" s="64" t="s">
        <v>67</v>
      </c>
      <c r="B95" s="107">
        <f t="shared" ref="B95:M95" si="44">SUM(B93:B94)</f>
        <v>59880.17</v>
      </c>
      <c r="C95" s="107">
        <f t="shared" si="44"/>
        <v>-3367.82</v>
      </c>
      <c r="D95" s="107">
        <f t="shared" si="44"/>
        <v>92193.48</v>
      </c>
      <c r="E95" s="107">
        <f t="shared" si="44"/>
        <v>18060.39</v>
      </c>
      <c r="F95" s="107">
        <f t="shared" si="44"/>
        <v>36776.050000000003</v>
      </c>
      <c r="G95" s="107">
        <f t="shared" si="44"/>
        <v>26853.52</v>
      </c>
      <c r="H95" s="107">
        <f t="shared" si="44"/>
        <v>-8353.6200000000008</v>
      </c>
      <c r="I95" s="107">
        <f t="shared" si="44"/>
        <v>92529.76</v>
      </c>
      <c r="J95" s="107">
        <f t="shared" si="44"/>
        <v>-1429.68</v>
      </c>
      <c r="K95" s="107">
        <f t="shared" si="44"/>
        <v>643.9</v>
      </c>
      <c r="L95" s="107">
        <f t="shared" si="44"/>
        <v>23011.08</v>
      </c>
      <c r="M95" s="107">
        <f t="shared" si="44"/>
        <v>4043.58</v>
      </c>
      <c r="N95" s="107">
        <v>340840.81</v>
      </c>
    </row>
    <row r="96" spans="1:14">
      <c r="A96" s="64"/>
      <c r="B96" s="22"/>
      <c r="C96" s="22"/>
      <c r="D96" s="22"/>
      <c r="E96" s="22"/>
      <c r="F96" s="22"/>
      <c r="G96" s="22"/>
      <c r="H96" s="22"/>
      <c r="I96" s="22"/>
      <c r="J96" s="22"/>
      <c r="K96" s="22"/>
      <c r="L96" s="22"/>
      <c r="M96" s="22"/>
      <c r="N96" s="22"/>
    </row>
    <row r="97" spans="1:14">
      <c r="A97" s="64" t="s">
        <v>68</v>
      </c>
      <c r="B97" s="22"/>
      <c r="C97" s="22"/>
      <c r="D97" s="22"/>
      <c r="E97" s="22"/>
      <c r="F97" s="22"/>
      <c r="G97" s="22"/>
      <c r="H97" s="22"/>
      <c r="I97" s="22"/>
      <c r="J97" s="22"/>
      <c r="K97" s="22"/>
      <c r="L97" s="22"/>
      <c r="M97" s="22"/>
      <c r="N97" s="22"/>
    </row>
    <row r="98" spans="1:14">
      <c r="A98" s="64" t="s">
        <v>66</v>
      </c>
      <c r="B98" s="111">
        <v>249.03</v>
      </c>
      <c r="C98" s="111">
        <v>40658.480000000003</v>
      </c>
      <c r="D98" s="111">
        <v>268.32</v>
      </c>
      <c r="E98" s="113"/>
      <c r="F98" s="111">
        <v>4382.3999999999996</v>
      </c>
      <c r="G98" s="111">
        <v>-1579.06</v>
      </c>
      <c r="H98" s="113"/>
      <c r="I98" s="111">
        <v>440.76</v>
      </c>
      <c r="J98" s="111">
        <v>3381.14</v>
      </c>
      <c r="K98" s="111">
        <v>-475</v>
      </c>
      <c r="L98" s="111">
        <v>-1604.25</v>
      </c>
      <c r="M98" s="111">
        <v>-20396.560000000001</v>
      </c>
      <c r="N98" s="111">
        <v>25325.26</v>
      </c>
    </row>
    <row r="99" spans="1:14">
      <c r="A99" s="64" t="s">
        <v>69</v>
      </c>
      <c r="B99" s="107">
        <f>SUM(B96:B98)</f>
        <v>249.03</v>
      </c>
      <c r="C99" s="107">
        <f>SUM(C96:C98)</f>
        <v>40658.480000000003</v>
      </c>
      <c r="D99" s="107">
        <f>SUM(D96:D98)</f>
        <v>268.32</v>
      </c>
      <c r="E99" s="107"/>
      <c r="F99" s="107">
        <f>SUM(F96:F98)</f>
        <v>4382.3999999999996</v>
      </c>
      <c r="G99" s="107">
        <f>SUM(G96:G98)</f>
        <v>-1579.06</v>
      </c>
      <c r="H99" s="107"/>
      <c r="I99" s="107">
        <f>SUM(I96:I98)</f>
        <v>440.76</v>
      </c>
      <c r="J99" s="107">
        <f>SUM(J96:J98)</f>
        <v>3381.14</v>
      </c>
      <c r="K99" s="107">
        <f>SUM(K96:K98)</f>
        <v>-475</v>
      </c>
      <c r="L99" s="107">
        <f>SUM(L96:L98)</f>
        <v>-1604.25</v>
      </c>
      <c r="M99" s="107">
        <f>SUM(M96:M98)</f>
        <v>-20396.560000000001</v>
      </c>
      <c r="N99" s="107">
        <v>25325.26</v>
      </c>
    </row>
    <row r="100" spans="1:14">
      <c r="A100" s="64"/>
      <c r="B100" s="22"/>
      <c r="C100" s="22"/>
      <c r="D100" s="22"/>
      <c r="E100" s="22"/>
      <c r="F100" s="22"/>
      <c r="G100" s="22"/>
      <c r="H100" s="22"/>
      <c r="I100" s="22"/>
      <c r="J100" s="22"/>
      <c r="K100" s="22"/>
      <c r="L100" s="22"/>
      <c r="M100" s="22"/>
      <c r="N100" s="22"/>
    </row>
    <row r="101" spans="1:14">
      <c r="A101" s="64" t="s">
        <v>70</v>
      </c>
      <c r="B101" s="22"/>
      <c r="C101" s="22"/>
      <c r="D101" s="22"/>
      <c r="E101" s="22"/>
      <c r="F101" s="22"/>
      <c r="G101" s="22"/>
      <c r="H101" s="22"/>
      <c r="I101" s="22"/>
      <c r="J101" s="22"/>
      <c r="K101" s="22"/>
      <c r="L101" s="22"/>
      <c r="M101" s="22"/>
      <c r="N101" s="22"/>
    </row>
    <row r="102" spans="1:14">
      <c r="A102" s="64" t="s">
        <v>66</v>
      </c>
      <c r="B102" s="111">
        <v>-18242.41</v>
      </c>
      <c r="C102" s="111">
        <v>-8296.94</v>
      </c>
      <c r="D102" s="111">
        <v>-34238.53</v>
      </c>
      <c r="E102" s="111">
        <v>-7789.93</v>
      </c>
      <c r="F102" s="111">
        <v>-4775.3900000000003</v>
      </c>
      <c r="G102" s="111">
        <v>-3192.44</v>
      </c>
      <c r="H102" s="111">
        <v>-24008.87</v>
      </c>
      <c r="I102" s="111">
        <v>3129.13</v>
      </c>
      <c r="J102" s="111">
        <v>2157.71</v>
      </c>
      <c r="K102" s="111">
        <v>2556.21</v>
      </c>
      <c r="L102" s="111">
        <v>-15549.71</v>
      </c>
      <c r="M102" s="111">
        <v>-5663.01</v>
      </c>
      <c r="N102" s="111">
        <v>-113914.18</v>
      </c>
    </row>
    <row r="103" spans="1:14">
      <c r="A103" s="64" t="s">
        <v>71</v>
      </c>
      <c r="B103" s="107">
        <f t="shared" ref="B103:M103" si="45">SUM(B100:B102)</f>
        <v>-18242.41</v>
      </c>
      <c r="C103" s="107">
        <f t="shared" si="45"/>
        <v>-8296.94</v>
      </c>
      <c r="D103" s="107">
        <f t="shared" si="45"/>
        <v>-34238.53</v>
      </c>
      <c r="E103" s="107">
        <f t="shared" si="45"/>
        <v>-7789.93</v>
      </c>
      <c r="F103" s="107">
        <f t="shared" si="45"/>
        <v>-4775.3900000000003</v>
      </c>
      <c r="G103" s="107">
        <f t="shared" si="45"/>
        <v>-3192.44</v>
      </c>
      <c r="H103" s="107">
        <f t="shared" si="45"/>
        <v>-24008.87</v>
      </c>
      <c r="I103" s="107">
        <f t="shared" si="45"/>
        <v>3129.13</v>
      </c>
      <c r="J103" s="107">
        <f t="shared" si="45"/>
        <v>2157.71</v>
      </c>
      <c r="K103" s="107">
        <f t="shared" si="45"/>
        <v>2556.21</v>
      </c>
      <c r="L103" s="107">
        <f t="shared" si="45"/>
        <v>-15549.71</v>
      </c>
      <c r="M103" s="107">
        <f t="shared" si="45"/>
        <v>-5663.01</v>
      </c>
      <c r="N103" s="107">
        <v>-113914.18</v>
      </c>
    </row>
    <row r="104" spans="1:14">
      <c r="A104" s="64"/>
      <c r="B104" s="22"/>
      <c r="C104" s="22"/>
      <c r="D104" s="22"/>
      <c r="E104" s="22"/>
      <c r="F104" s="22"/>
      <c r="G104" s="22"/>
      <c r="H104" s="22"/>
      <c r="I104" s="22"/>
      <c r="J104" s="22"/>
      <c r="K104" s="22"/>
      <c r="L104" s="22"/>
      <c r="M104" s="22"/>
      <c r="N104" s="22"/>
    </row>
    <row r="105" spans="1:14">
      <c r="A105" s="64" t="s">
        <v>72</v>
      </c>
      <c r="B105" s="113"/>
      <c r="C105" s="113"/>
      <c r="D105" s="113"/>
      <c r="E105" s="113"/>
      <c r="F105" s="113"/>
      <c r="G105" s="113"/>
      <c r="H105" s="113"/>
      <c r="I105" s="113"/>
      <c r="J105" s="113"/>
      <c r="K105" s="113"/>
      <c r="L105" s="113"/>
      <c r="M105" s="113"/>
      <c r="N105" s="113"/>
    </row>
    <row r="106" spans="1:14">
      <c r="A106" s="64" t="s">
        <v>314</v>
      </c>
      <c r="B106" s="107"/>
      <c r="C106" s="107"/>
      <c r="D106" s="107"/>
      <c r="E106" s="107"/>
      <c r="F106" s="107"/>
      <c r="G106" s="107"/>
      <c r="H106" s="107"/>
      <c r="I106" s="107"/>
      <c r="J106" s="107"/>
      <c r="K106" s="107"/>
      <c r="L106" s="107"/>
      <c r="M106" s="107"/>
      <c r="N106" s="107"/>
    </row>
    <row r="107" spans="1:14">
      <c r="A107" s="64"/>
      <c r="B107" s="22"/>
      <c r="C107" s="22"/>
      <c r="D107" s="22"/>
      <c r="E107" s="22"/>
      <c r="F107" s="22"/>
      <c r="G107" s="22"/>
      <c r="H107" s="22"/>
      <c r="I107" s="22"/>
      <c r="J107" s="22"/>
      <c r="K107" s="22"/>
      <c r="L107" s="22"/>
      <c r="M107" s="22"/>
      <c r="N107" s="22"/>
    </row>
    <row r="108" spans="1:14">
      <c r="A108" s="64" t="s">
        <v>73</v>
      </c>
      <c r="B108" s="22"/>
      <c r="C108" s="22"/>
      <c r="D108" s="22"/>
      <c r="E108" s="22"/>
      <c r="F108" s="22"/>
      <c r="G108" s="22"/>
      <c r="H108" s="22"/>
      <c r="I108" s="22"/>
      <c r="J108" s="22"/>
      <c r="K108" s="22"/>
      <c r="L108" s="22"/>
      <c r="M108" s="22"/>
      <c r="N108" s="22"/>
    </row>
    <row r="109" spans="1:14">
      <c r="A109" s="64" t="s">
        <v>66</v>
      </c>
      <c r="B109" s="111">
        <v>-1710.16</v>
      </c>
      <c r="C109" s="111">
        <v>-3845</v>
      </c>
      <c r="D109" s="113"/>
      <c r="E109" s="111">
        <v>58.87</v>
      </c>
      <c r="F109" s="111">
        <v>-10539</v>
      </c>
      <c r="G109" s="111">
        <v>11667.12</v>
      </c>
      <c r="H109" s="111">
        <v>8323.16</v>
      </c>
      <c r="I109" s="111">
        <v>-24143.65</v>
      </c>
      <c r="J109" s="111">
        <v>40.729999999999997</v>
      </c>
      <c r="K109" s="111">
        <v>-16429.47</v>
      </c>
      <c r="L109" s="111">
        <v>-9651.1</v>
      </c>
      <c r="M109" s="111">
        <v>14962.04</v>
      </c>
      <c r="N109" s="111">
        <v>-31266.46</v>
      </c>
    </row>
    <row r="110" spans="1:14">
      <c r="A110" s="64" t="s">
        <v>74</v>
      </c>
      <c r="B110" s="107">
        <f>SUM(B107:B109)</f>
        <v>-1710.16</v>
      </c>
      <c r="C110" s="107">
        <f>SUM(C107:C109)</f>
        <v>-3845</v>
      </c>
      <c r="D110" s="107"/>
      <c r="E110" s="107">
        <f t="shared" ref="E110:M110" si="46">SUM(E107:E109)</f>
        <v>58.87</v>
      </c>
      <c r="F110" s="107">
        <f t="shared" si="46"/>
        <v>-10539</v>
      </c>
      <c r="G110" s="107">
        <f t="shared" si="46"/>
        <v>11667.12</v>
      </c>
      <c r="H110" s="107">
        <f t="shared" si="46"/>
        <v>8323.16</v>
      </c>
      <c r="I110" s="107">
        <f t="shared" si="46"/>
        <v>-24143.65</v>
      </c>
      <c r="J110" s="107">
        <f t="shared" si="46"/>
        <v>40.729999999999997</v>
      </c>
      <c r="K110" s="107">
        <f t="shared" si="46"/>
        <v>-16429.47</v>
      </c>
      <c r="L110" s="107">
        <f t="shared" si="46"/>
        <v>-9651.1</v>
      </c>
      <c r="M110" s="107">
        <f t="shared" si="46"/>
        <v>14962.04</v>
      </c>
      <c r="N110" s="107">
        <v>-31266.46</v>
      </c>
    </row>
    <row r="111" spans="1:14">
      <c r="A111" s="64"/>
      <c r="B111" s="22"/>
      <c r="C111" s="22"/>
      <c r="D111" s="22"/>
      <c r="E111" s="22"/>
      <c r="F111" s="22"/>
      <c r="G111" s="22"/>
      <c r="H111" s="22"/>
      <c r="I111" s="22"/>
      <c r="J111" s="22"/>
      <c r="K111" s="22"/>
      <c r="L111" s="22"/>
      <c r="M111" s="22"/>
      <c r="N111" s="22"/>
    </row>
    <row r="112" spans="1:14">
      <c r="A112" s="64" t="s">
        <v>75</v>
      </c>
      <c r="B112" s="22"/>
      <c r="C112" s="22"/>
      <c r="D112" s="22"/>
      <c r="E112" s="22"/>
      <c r="F112" s="22"/>
      <c r="G112" s="22"/>
      <c r="H112" s="22"/>
      <c r="I112" s="22"/>
      <c r="J112" s="22"/>
      <c r="K112" s="22"/>
      <c r="L112" s="22"/>
      <c r="M112" s="22"/>
      <c r="N112" s="22"/>
    </row>
    <row r="113" spans="1:14">
      <c r="A113" s="64" t="s">
        <v>66</v>
      </c>
      <c r="B113" s="111">
        <v>-36572</v>
      </c>
      <c r="C113" s="111">
        <v>-28864</v>
      </c>
      <c r="D113" s="111">
        <v>-96338.85</v>
      </c>
      <c r="E113" s="111">
        <v>-14924</v>
      </c>
      <c r="F113" s="111">
        <v>-27880</v>
      </c>
      <c r="G113" s="111">
        <v>-10496</v>
      </c>
      <c r="H113" s="111">
        <v>820</v>
      </c>
      <c r="I113" s="111">
        <v>-63220</v>
      </c>
      <c r="J113" s="111">
        <v>-170</v>
      </c>
      <c r="K113" s="111">
        <v>-976.02</v>
      </c>
      <c r="L113" s="111">
        <v>-19928</v>
      </c>
      <c r="M113" s="111">
        <v>-4256</v>
      </c>
      <c r="N113" s="111">
        <v>-302804.87</v>
      </c>
    </row>
    <row r="114" spans="1:14">
      <c r="A114" s="64" t="s">
        <v>76</v>
      </c>
      <c r="B114" s="107">
        <f t="shared" ref="B114:M114" si="47">SUM(B111:B113)</f>
        <v>-36572</v>
      </c>
      <c r="C114" s="107">
        <f t="shared" si="47"/>
        <v>-28864</v>
      </c>
      <c r="D114" s="107">
        <f t="shared" si="47"/>
        <v>-96338.85</v>
      </c>
      <c r="E114" s="107">
        <f t="shared" si="47"/>
        <v>-14924</v>
      </c>
      <c r="F114" s="107">
        <f t="shared" si="47"/>
        <v>-27880</v>
      </c>
      <c r="G114" s="107">
        <f t="shared" si="47"/>
        <v>-10496</v>
      </c>
      <c r="H114" s="107">
        <f t="shared" si="47"/>
        <v>820</v>
      </c>
      <c r="I114" s="107">
        <f t="shared" si="47"/>
        <v>-63220</v>
      </c>
      <c r="J114" s="107">
        <f t="shared" si="47"/>
        <v>-170</v>
      </c>
      <c r="K114" s="107">
        <f t="shared" si="47"/>
        <v>-976.02</v>
      </c>
      <c r="L114" s="107">
        <f t="shared" si="47"/>
        <v>-19928</v>
      </c>
      <c r="M114" s="107">
        <f t="shared" si="47"/>
        <v>-4256</v>
      </c>
      <c r="N114" s="107">
        <v>-302804.87</v>
      </c>
    </row>
    <row r="115" spans="1:14">
      <c r="A115" s="64"/>
      <c r="B115" s="113"/>
      <c r="C115" s="113"/>
      <c r="D115" s="113"/>
      <c r="E115" s="113"/>
      <c r="F115" s="113"/>
      <c r="G115" s="113"/>
      <c r="H115" s="113"/>
      <c r="I115" s="113"/>
      <c r="J115" s="113"/>
      <c r="K115" s="113"/>
      <c r="L115" s="113"/>
      <c r="M115" s="113"/>
      <c r="N115" s="113"/>
    </row>
    <row r="116" spans="1:14">
      <c r="A116" s="64" t="s">
        <v>44</v>
      </c>
      <c r="B116" s="107">
        <f t="shared" ref="B116:M116" si="48">SUM(B91:B115)-B95-B99-B103-B106-B110-B114</f>
        <v>3604.6299999999901</v>
      </c>
      <c r="C116" s="107">
        <f t="shared" si="48"/>
        <v>-3715.2799999999988</v>
      </c>
      <c r="D116" s="107">
        <f t="shared" si="48"/>
        <v>-38115.580000000016</v>
      </c>
      <c r="E116" s="107">
        <f t="shared" si="48"/>
        <v>-4594.6700000000019</v>
      </c>
      <c r="F116" s="107">
        <f t="shared" si="48"/>
        <v>-2035.9400000000096</v>
      </c>
      <c r="G116" s="107">
        <f t="shared" si="48"/>
        <v>23253.14</v>
      </c>
      <c r="H116" s="107">
        <f t="shared" si="48"/>
        <v>-23219.329999999987</v>
      </c>
      <c r="I116" s="107">
        <f t="shared" si="48"/>
        <v>8736.0000000000364</v>
      </c>
      <c r="J116" s="107">
        <f t="shared" si="48"/>
        <v>3979.9</v>
      </c>
      <c r="K116" s="107">
        <f t="shared" si="48"/>
        <v>-14680.380000000001</v>
      </c>
      <c r="L116" s="107">
        <f t="shared" si="48"/>
        <v>-23721.979999999996</v>
      </c>
      <c r="M116" s="107">
        <f t="shared" si="48"/>
        <v>-11309.950000000003</v>
      </c>
      <c r="N116" s="107">
        <v>-81819.44</v>
      </c>
    </row>
    <row r="117" spans="1:14">
      <c r="A117" s="64"/>
      <c r="B117" s="22"/>
      <c r="C117" s="22"/>
      <c r="D117" s="22"/>
      <c r="E117" s="22"/>
      <c r="F117" s="22"/>
      <c r="G117" s="22"/>
      <c r="H117" s="22"/>
      <c r="I117" s="22"/>
      <c r="J117" s="22"/>
      <c r="K117" s="22"/>
      <c r="L117" s="22"/>
      <c r="M117" s="22"/>
      <c r="N117" s="22"/>
    </row>
    <row r="118" spans="1:14">
      <c r="A118" s="64" t="s">
        <v>45</v>
      </c>
      <c r="B118" s="22"/>
      <c r="C118" s="22"/>
      <c r="D118" s="22"/>
      <c r="E118" s="22"/>
      <c r="F118" s="22"/>
      <c r="G118" s="22"/>
      <c r="H118" s="22"/>
      <c r="I118" s="22"/>
      <c r="J118" s="22"/>
      <c r="K118" s="22"/>
      <c r="L118" s="22"/>
      <c r="M118" s="22"/>
      <c r="N118" s="22"/>
    </row>
    <row r="119" spans="1:14">
      <c r="A119" s="64"/>
      <c r="B119" s="22"/>
      <c r="C119" s="22"/>
      <c r="D119" s="22"/>
      <c r="E119" s="22"/>
      <c r="F119" s="22"/>
      <c r="G119" s="22"/>
      <c r="H119" s="22"/>
      <c r="I119" s="22"/>
      <c r="J119" s="22"/>
      <c r="K119" s="22"/>
      <c r="L119" s="22"/>
      <c r="M119" s="22"/>
      <c r="N119" s="22"/>
    </row>
    <row r="120" spans="1:14">
      <c r="A120" s="64" t="s">
        <v>19</v>
      </c>
      <c r="B120" s="22"/>
      <c r="C120" s="22"/>
      <c r="D120" s="22"/>
      <c r="E120" s="22"/>
      <c r="F120" s="22"/>
      <c r="G120" s="22"/>
      <c r="H120" s="22"/>
      <c r="I120" s="22"/>
      <c r="J120" s="22"/>
      <c r="K120" s="22"/>
      <c r="L120" s="22"/>
      <c r="M120" s="22"/>
      <c r="N120" s="22"/>
    </row>
    <row r="121" spans="1:14">
      <c r="A121" s="64" t="s">
        <v>77</v>
      </c>
      <c r="B121" s="22"/>
      <c r="C121" s="22"/>
      <c r="D121" s="22"/>
      <c r="E121" s="107">
        <v>-374.31</v>
      </c>
      <c r="F121" s="22"/>
      <c r="G121" s="107">
        <v>-327.06</v>
      </c>
      <c r="H121" s="107">
        <v>327.06</v>
      </c>
      <c r="I121" s="107">
        <v>1264.92</v>
      </c>
      <c r="J121" s="22"/>
      <c r="K121" s="22"/>
      <c r="L121" s="22"/>
      <c r="M121" s="22"/>
      <c r="N121" s="107">
        <v>890.61</v>
      </c>
    </row>
    <row r="122" spans="1:14">
      <c r="A122" s="64" t="s">
        <v>78</v>
      </c>
      <c r="B122" s="107">
        <v>6090</v>
      </c>
      <c r="C122" s="107">
        <v>-185</v>
      </c>
      <c r="D122" s="107">
        <v>850</v>
      </c>
      <c r="E122" s="22"/>
      <c r="F122" s="107">
        <v>9680</v>
      </c>
      <c r="G122" s="107">
        <v>3720</v>
      </c>
      <c r="H122" s="107">
        <v>-1890</v>
      </c>
      <c r="I122" s="107">
        <v>3215</v>
      </c>
      <c r="J122" s="107">
        <v>3995</v>
      </c>
      <c r="K122" s="107">
        <v>-11525</v>
      </c>
      <c r="L122" s="107">
        <v>6045</v>
      </c>
      <c r="M122" s="107">
        <v>1210</v>
      </c>
      <c r="N122" s="107">
        <v>21205</v>
      </c>
    </row>
    <row r="123" spans="1:14">
      <c r="A123" s="64" t="s">
        <v>315</v>
      </c>
      <c r="B123" s="107">
        <v>5690</v>
      </c>
      <c r="C123" s="107">
        <v>155</v>
      </c>
      <c r="D123" s="107">
        <v>5635</v>
      </c>
      <c r="E123" s="107">
        <v>6925</v>
      </c>
      <c r="F123" s="107">
        <v>-4285</v>
      </c>
      <c r="G123" s="107">
        <v>3715</v>
      </c>
      <c r="H123" s="107">
        <v>1960</v>
      </c>
      <c r="I123" s="107">
        <v>1365</v>
      </c>
      <c r="J123" s="107">
        <v>5360</v>
      </c>
      <c r="K123" s="107">
        <v>-11655</v>
      </c>
      <c r="L123" s="107">
        <v>2680</v>
      </c>
      <c r="M123" s="107">
        <v>765</v>
      </c>
      <c r="N123" s="107">
        <v>18310</v>
      </c>
    </row>
    <row r="124" spans="1:14">
      <c r="A124" s="64" t="s">
        <v>316</v>
      </c>
      <c r="B124" s="107">
        <v>3205</v>
      </c>
      <c r="C124" s="107">
        <v>1735</v>
      </c>
      <c r="D124" s="107">
        <v>540</v>
      </c>
      <c r="E124" s="22"/>
      <c r="F124" s="107">
        <v>-1180</v>
      </c>
      <c r="G124" s="107">
        <v>1065</v>
      </c>
      <c r="H124" s="22"/>
      <c r="I124" s="107">
        <v>-2700</v>
      </c>
      <c r="J124" s="22"/>
      <c r="K124" s="22"/>
      <c r="L124" s="107">
        <v>1755</v>
      </c>
      <c r="M124" s="107">
        <v>-710</v>
      </c>
      <c r="N124" s="107">
        <v>3710</v>
      </c>
    </row>
    <row r="125" spans="1:14">
      <c r="A125" s="64" t="s">
        <v>79</v>
      </c>
      <c r="B125" s="22"/>
      <c r="C125" s="22"/>
      <c r="D125" s="22"/>
      <c r="E125" s="22"/>
      <c r="F125" s="22"/>
      <c r="G125" s="107">
        <v>-450</v>
      </c>
      <c r="H125" s="107">
        <v>450</v>
      </c>
      <c r="I125" s="22"/>
      <c r="J125" s="22"/>
      <c r="K125" s="22"/>
      <c r="L125" s="22"/>
      <c r="M125" s="22"/>
      <c r="N125" s="107"/>
    </row>
    <row r="126" spans="1:14">
      <c r="A126" s="64" t="s">
        <v>80</v>
      </c>
      <c r="B126" s="22"/>
      <c r="C126" s="22"/>
      <c r="D126" s="22"/>
      <c r="E126" s="22"/>
      <c r="F126" s="22"/>
      <c r="G126" s="107">
        <v>4.04</v>
      </c>
      <c r="H126" s="107">
        <v>37.5</v>
      </c>
      <c r="I126" s="107">
        <v>48.53</v>
      </c>
      <c r="J126" s="22"/>
      <c r="K126" s="22"/>
      <c r="L126" s="107">
        <v>100.64</v>
      </c>
      <c r="M126" s="22"/>
      <c r="N126" s="107">
        <v>190.71</v>
      </c>
    </row>
    <row r="127" spans="1:14">
      <c r="A127" s="64" t="s">
        <v>354</v>
      </c>
      <c r="B127" s="22"/>
      <c r="C127" s="22"/>
      <c r="D127" s="22"/>
      <c r="E127" s="22"/>
      <c r="F127" s="22"/>
      <c r="G127" s="22"/>
      <c r="H127" s="22"/>
      <c r="I127" s="22"/>
      <c r="J127" s="22"/>
      <c r="K127" s="22"/>
      <c r="L127" s="22"/>
      <c r="M127" s="22"/>
      <c r="N127" s="22"/>
    </row>
    <row r="128" spans="1:14">
      <c r="A128" s="64" t="s">
        <v>84</v>
      </c>
      <c r="B128" s="111">
        <v>-14985</v>
      </c>
      <c r="C128" s="111">
        <v>-1705</v>
      </c>
      <c r="D128" s="111">
        <v>-7025</v>
      </c>
      <c r="E128" s="111">
        <v>-6550.69</v>
      </c>
      <c r="F128" s="111">
        <v>-4215</v>
      </c>
      <c r="G128" s="111">
        <v>-7726.98</v>
      </c>
      <c r="H128" s="111">
        <v>-884.56</v>
      </c>
      <c r="I128" s="111">
        <v>-3193.45</v>
      </c>
      <c r="J128" s="111">
        <v>-9355</v>
      </c>
      <c r="K128" s="111">
        <v>23180</v>
      </c>
      <c r="L128" s="111">
        <v>-10580.64</v>
      </c>
      <c r="M128" s="111">
        <v>-1265</v>
      </c>
      <c r="N128" s="111">
        <v>-44306.32</v>
      </c>
    </row>
    <row r="129" spans="1:14">
      <c r="A129" s="64"/>
      <c r="B129" s="22"/>
      <c r="C129" s="22"/>
      <c r="D129" s="22"/>
      <c r="E129" s="22"/>
      <c r="F129" s="22"/>
      <c r="G129" s="22"/>
      <c r="H129" s="22"/>
      <c r="I129" s="22"/>
      <c r="J129" s="22"/>
      <c r="K129" s="22"/>
      <c r="L129" s="22"/>
      <c r="M129" s="22"/>
      <c r="N129" s="22"/>
    </row>
    <row r="130" spans="1:14">
      <c r="A130" s="64" t="s">
        <v>20</v>
      </c>
      <c r="B130" s="22"/>
      <c r="C130" s="22"/>
      <c r="D130" s="22"/>
      <c r="E130" s="22"/>
      <c r="F130" s="22"/>
      <c r="G130" s="22"/>
      <c r="H130" s="22"/>
      <c r="I130" s="22"/>
      <c r="J130" s="22"/>
      <c r="K130" s="22"/>
      <c r="L130" s="22"/>
      <c r="M130" s="22"/>
      <c r="N130" s="22"/>
    </row>
    <row r="131" spans="1:14">
      <c r="A131" s="64" t="s">
        <v>320</v>
      </c>
      <c r="B131" s="22"/>
      <c r="C131" s="22"/>
      <c r="D131" s="22"/>
      <c r="E131" s="22"/>
      <c r="F131" s="22"/>
      <c r="G131" s="22"/>
      <c r="H131" s="22"/>
      <c r="I131" s="22"/>
      <c r="J131" s="22"/>
      <c r="K131" s="22"/>
      <c r="L131" s="107">
        <v>222.71</v>
      </c>
      <c r="M131" s="22"/>
      <c r="N131" s="107">
        <v>222.71</v>
      </c>
    </row>
    <row r="132" spans="1:14">
      <c r="A132" s="64" t="s">
        <v>87</v>
      </c>
      <c r="B132" s="113"/>
      <c r="C132" s="113"/>
      <c r="D132" s="113"/>
      <c r="E132" s="113"/>
      <c r="F132" s="113"/>
      <c r="G132" s="113"/>
      <c r="H132" s="113"/>
      <c r="I132" s="113"/>
      <c r="J132" s="113"/>
      <c r="K132" s="113"/>
      <c r="L132" s="111">
        <v>-222.71</v>
      </c>
      <c r="M132" s="113"/>
      <c r="N132" s="111">
        <v>-222.71</v>
      </c>
    </row>
    <row r="133" spans="1:14">
      <c r="A133" s="64"/>
      <c r="B133" s="22"/>
      <c r="C133" s="22"/>
      <c r="D133" s="22"/>
      <c r="E133" s="22"/>
      <c r="F133" s="22"/>
      <c r="G133" s="22"/>
      <c r="H133" s="22"/>
      <c r="I133" s="22"/>
      <c r="J133" s="22"/>
      <c r="K133" s="22"/>
      <c r="L133" s="22"/>
      <c r="M133" s="22"/>
      <c r="N133" s="22"/>
    </row>
    <row r="134" spans="1:14">
      <c r="A134" s="64" t="s">
        <v>88</v>
      </c>
      <c r="B134" s="22"/>
      <c r="C134" s="22"/>
      <c r="D134" s="22"/>
      <c r="E134" s="22"/>
      <c r="F134" s="22"/>
      <c r="G134" s="22"/>
      <c r="H134" s="22"/>
      <c r="I134" s="22"/>
      <c r="J134" s="22"/>
      <c r="K134" s="22"/>
      <c r="L134" s="22"/>
      <c r="M134" s="22"/>
      <c r="N134" s="22"/>
    </row>
    <row r="135" spans="1:14">
      <c r="A135" s="64" t="s">
        <v>89</v>
      </c>
      <c r="B135" s="107">
        <v>17719.72</v>
      </c>
      <c r="C135" s="107">
        <v>28560.6</v>
      </c>
      <c r="D135" s="107">
        <v>30103.46</v>
      </c>
      <c r="E135" s="107">
        <v>18638.5</v>
      </c>
      <c r="F135" s="107">
        <v>19769.88</v>
      </c>
      <c r="G135" s="107">
        <v>27532.32</v>
      </c>
      <c r="H135" s="107">
        <v>15677.63</v>
      </c>
      <c r="I135" s="107">
        <v>19949.45</v>
      </c>
      <c r="J135" s="107">
        <v>24674.82</v>
      </c>
      <c r="K135" s="107">
        <v>25042.25</v>
      </c>
      <c r="L135" s="107">
        <v>19652</v>
      </c>
      <c r="M135" s="107">
        <v>20431.62</v>
      </c>
      <c r="N135" s="107">
        <v>267752.25</v>
      </c>
    </row>
    <row r="136" spans="1:14">
      <c r="A136" s="64" t="s">
        <v>90</v>
      </c>
      <c r="B136" s="107">
        <v>69700</v>
      </c>
      <c r="C136" s="107">
        <v>67980</v>
      </c>
      <c r="D136" s="107">
        <v>69920</v>
      </c>
      <c r="E136" s="107">
        <v>34880</v>
      </c>
      <c r="F136" s="107">
        <v>51465</v>
      </c>
      <c r="G136" s="107">
        <v>53360</v>
      </c>
      <c r="H136" s="107">
        <v>49840</v>
      </c>
      <c r="I136" s="107">
        <v>45845</v>
      </c>
      <c r="J136" s="107">
        <v>47345</v>
      </c>
      <c r="K136" s="107">
        <v>68170</v>
      </c>
      <c r="L136" s="107">
        <v>41900</v>
      </c>
      <c r="M136" s="107">
        <v>74525</v>
      </c>
      <c r="N136" s="107">
        <v>674930</v>
      </c>
    </row>
    <row r="137" spans="1:14">
      <c r="A137" s="64" t="s">
        <v>91</v>
      </c>
      <c r="B137" s="107">
        <v>58375</v>
      </c>
      <c r="C137" s="107">
        <v>58435</v>
      </c>
      <c r="D137" s="107">
        <v>60975</v>
      </c>
      <c r="E137" s="107">
        <v>31215</v>
      </c>
      <c r="F137" s="107">
        <v>48345</v>
      </c>
      <c r="G137" s="107">
        <v>57555</v>
      </c>
      <c r="H137" s="107">
        <v>41895</v>
      </c>
      <c r="I137" s="107">
        <v>41515</v>
      </c>
      <c r="J137" s="107">
        <v>44740</v>
      </c>
      <c r="K137" s="107">
        <v>63680</v>
      </c>
      <c r="L137" s="107">
        <v>36045</v>
      </c>
      <c r="M137" s="107">
        <v>61350</v>
      </c>
      <c r="N137" s="107">
        <v>604125</v>
      </c>
    </row>
    <row r="138" spans="1:14">
      <c r="A138" s="64" t="s">
        <v>92</v>
      </c>
      <c r="B138" s="107">
        <v>25600</v>
      </c>
      <c r="C138" s="107">
        <v>31895</v>
      </c>
      <c r="D138" s="107">
        <v>32155</v>
      </c>
      <c r="E138" s="107">
        <v>12900</v>
      </c>
      <c r="F138" s="107">
        <v>17190</v>
      </c>
      <c r="G138" s="107">
        <v>23645</v>
      </c>
      <c r="H138" s="107">
        <v>28880</v>
      </c>
      <c r="I138" s="107">
        <v>28640</v>
      </c>
      <c r="J138" s="107">
        <v>34995</v>
      </c>
      <c r="K138" s="107">
        <v>54325</v>
      </c>
      <c r="L138" s="107">
        <v>29495</v>
      </c>
      <c r="M138" s="107">
        <v>40715</v>
      </c>
      <c r="N138" s="107">
        <v>360435</v>
      </c>
    </row>
    <row r="139" spans="1:14">
      <c r="A139" s="64" t="s">
        <v>94</v>
      </c>
      <c r="B139" s="107">
        <v>5850</v>
      </c>
      <c r="C139" s="107">
        <v>4050</v>
      </c>
      <c r="D139" s="107">
        <v>5400</v>
      </c>
      <c r="E139" s="107">
        <v>450</v>
      </c>
      <c r="F139" s="107">
        <v>1350</v>
      </c>
      <c r="G139" s="107">
        <v>4050</v>
      </c>
      <c r="H139" s="107">
        <v>1800</v>
      </c>
      <c r="I139" s="107">
        <v>4500</v>
      </c>
      <c r="J139" s="107">
        <v>16200</v>
      </c>
      <c r="K139" s="107">
        <v>4950</v>
      </c>
      <c r="L139" s="107">
        <v>6300</v>
      </c>
      <c r="M139" s="107">
        <v>1800</v>
      </c>
      <c r="N139" s="107">
        <v>56700</v>
      </c>
    </row>
    <row r="140" spans="1:14">
      <c r="A140" s="64" t="s">
        <v>95</v>
      </c>
      <c r="B140" s="107">
        <v>615.41</v>
      </c>
      <c r="C140" s="107">
        <v>3467.59</v>
      </c>
      <c r="D140" s="107">
        <v>3779.7</v>
      </c>
      <c r="E140" s="107">
        <v>1814.1</v>
      </c>
      <c r="F140" s="107">
        <v>2613.94</v>
      </c>
      <c r="G140" s="107">
        <v>2702.92</v>
      </c>
      <c r="H140" s="107">
        <v>2448.98</v>
      </c>
      <c r="I140" s="107">
        <v>2775.51</v>
      </c>
      <c r="J140" s="107">
        <v>5451.63</v>
      </c>
      <c r="K140" s="107">
        <v>4432.84</v>
      </c>
      <c r="L140" s="107">
        <v>2947.78</v>
      </c>
      <c r="M140" s="107">
        <v>3406.04</v>
      </c>
      <c r="N140" s="107">
        <v>36456.44</v>
      </c>
    </row>
    <row r="141" spans="1:14">
      <c r="A141" s="64" t="s">
        <v>98</v>
      </c>
      <c r="B141" s="111">
        <v>-177860.13</v>
      </c>
      <c r="C141" s="111">
        <v>-194388.19</v>
      </c>
      <c r="D141" s="111">
        <v>-202333.16</v>
      </c>
      <c r="E141" s="111">
        <v>-99897.600000000006</v>
      </c>
      <c r="F141" s="111">
        <v>-140733.82</v>
      </c>
      <c r="G141" s="111">
        <v>-168845.24</v>
      </c>
      <c r="H141" s="111">
        <v>-140541.60999999999</v>
      </c>
      <c r="I141" s="111">
        <v>-143224.95999999999</v>
      </c>
      <c r="J141" s="111">
        <v>-173406.45</v>
      </c>
      <c r="K141" s="111">
        <v>-220600.09</v>
      </c>
      <c r="L141" s="111">
        <v>-136339.78</v>
      </c>
      <c r="M141" s="111">
        <v>-202227.66</v>
      </c>
      <c r="N141" s="111">
        <v>-2000398.69</v>
      </c>
    </row>
    <row r="142" spans="1:14">
      <c r="A142" s="64"/>
      <c r="B142" s="22"/>
      <c r="C142" s="22"/>
      <c r="D142" s="22"/>
      <c r="E142" s="22"/>
      <c r="F142" s="22"/>
      <c r="G142" s="22"/>
      <c r="H142" s="22"/>
      <c r="I142" s="22"/>
      <c r="J142" s="22"/>
      <c r="K142" s="22"/>
      <c r="L142" s="22"/>
      <c r="M142" s="22"/>
      <c r="N142" s="22"/>
    </row>
    <row r="143" spans="1:14">
      <c r="A143" s="64" t="s">
        <v>99</v>
      </c>
      <c r="B143" s="22"/>
      <c r="C143" s="22"/>
      <c r="D143" s="22"/>
      <c r="E143" s="22"/>
      <c r="F143" s="22"/>
      <c r="G143" s="22"/>
      <c r="H143" s="22"/>
      <c r="I143" s="22"/>
      <c r="J143" s="22"/>
      <c r="K143" s="22"/>
      <c r="L143" s="22"/>
      <c r="M143" s="22"/>
      <c r="N143" s="22"/>
    </row>
    <row r="144" spans="1:14">
      <c r="A144" s="64" t="s">
        <v>100</v>
      </c>
      <c r="B144" s="107">
        <v>9760</v>
      </c>
      <c r="C144" s="107">
        <v>26780</v>
      </c>
      <c r="D144" s="107">
        <v>6425</v>
      </c>
      <c r="E144" s="107">
        <v>9795</v>
      </c>
      <c r="F144" s="107">
        <v>18890</v>
      </c>
      <c r="G144" s="107">
        <v>3555</v>
      </c>
      <c r="H144" s="107">
        <v>9005</v>
      </c>
      <c r="I144" s="107">
        <v>29030</v>
      </c>
      <c r="J144" s="107">
        <v>18000</v>
      </c>
      <c r="K144" s="107">
        <v>59495</v>
      </c>
      <c r="L144" s="107">
        <v>52295</v>
      </c>
      <c r="M144" s="107">
        <v>7320</v>
      </c>
      <c r="N144" s="107">
        <v>250350</v>
      </c>
    </row>
    <row r="145" spans="1:14">
      <c r="A145" s="64" t="s">
        <v>101</v>
      </c>
      <c r="B145" s="107">
        <v>15095</v>
      </c>
      <c r="C145" s="107">
        <v>19960</v>
      </c>
      <c r="D145" s="107">
        <v>13340</v>
      </c>
      <c r="E145" s="107">
        <v>19745</v>
      </c>
      <c r="F145" s="107">
        <v>42195</v>
      </c>
      <c r="G145" s="107">
        <v>13475</v>
      </c>
      <c r="H145" s="107">
        <v>14595</v>
      </c>
      <c r="I145" s="107">
        <v>16715</v>
      </c>
      <c r="J145" s="107">
        <v>12380</v>
      </c>
      <c r="K145" s="107">
        <v>49275</v>
      </c>
      <c r="L145" s="107">
        <v>45870</v>
      </c>
      <c r="M145" s="107">
        <v>-1930</v>
      </c>
      <c r="N145" s="107">
        <v>260715</v>
      </c>
    </row>
    <row r="146" spans="1:14">
      <c r="A146" s="64" t="s">
        <v>102</v>
      </c>
      <c r="B146" s="107">
        <v>1185</v>
      </c>
      <c r="C146" s="107">
        <v>4805</v>
      </c>
      <c r="D146" s="107">
        <v>4145</v>
      </c>
      <c r="E146" s="107">
        <v>1185</v>
      </c>
      <c r="F146" s="107">
        <v>4440</v>
      </c>
      <c r="G146" s="107">
        <v>3595</v>
      </c>
      <c r="H146" s="107">
        <v>5310</v>
      </c>
      <c r="I146" s="107">
        <v>12730</v>
      </c>
      <c r="J146" s="107">
        <v>4865</v>
      </c>
      <c r="K146" s="107">
        <v>4660</v>
      </c>
      <c r="L146" s="107">
        <v>12215</v>
      </c>
      <c r="M146" s="107">
        <v>-250</v>
      </c>
      <c r="N146" s="107">
        <v>58885</v>
      </c>
    </row>
    <row r="147" spans="1:14">
      <c r="A147" s="64" t="s">
        <v>103</v>
      </c>
      <c r="B147" s="111">
        <v>-17054.12</v>
      </c>
      <c r="C147" s="111">
        <v>-31232.41</v>
      </c>
      <c r="D147" s="111">
        <v>-15109.6</v>
      </c>
      <c r="E147" s="111">
        <v>-18665.3</v>
      </c>
      <c r="F147" s="111">
        <v>-40763.5</v>
      </c>
      <c r="G147" s="111">
        <v>-10259.290000000001</v>
      </c>
      <c r="H147" s="111">
        <v>-17042.5</v>
      </c>
      <c r="I147" s="111">
        <v>-37915.599999999999</v>
      </c>
      <c r="J147" s="111">
        <v>-23325.72</v>
      </c>
      <c r="K147" s="111">
        <v>-75026.64</v>
      </c>
      <c r="L147" s="111">
        <v>-75452.710000000006</v>
      </c>
      <c r="M147" s="111">
        <v>-2463.02</v>
      </c>
      <c r="N147" s="111">
        <v>-364310.41</v>
      </c>
    </row>
    <row r="148" spans="1:14">
      <c r="A148" s="64" t="s">
        <v>104</v>
      </c>
      <c r="B148" s="107">
        <f t="shared" ref="B148:M148" si="49">SUM(B143:B147)</f>
        <v>8985.880000000001</v>
      </c>
      <c r="C148" s="107">
        <f t="shared" si="49"/>
        <v>20312.59</v>
      </c>
      <c r="D148" s="107">
        <f t="shared" si="49"/>
        <v>8800.4</v>
      </c>
      <c r="E148" s="107">
        <f t="shared" si="49"/>
        <v>12059.7</v>
      </c>
      <c r="F148" s="107">
        <f t="shared" si="49"/>
        <v>24761.5</v>
      </c>
      <c r="G148" s="107">
        <f t="shared" si="49"/>
        <v>10365.709999999999</v>
      </c>
      <c r="H148" s="107">
        <f t="shared" si="49"/>
        <v>11867.5</v>
      </c>
      <c r="I148" s="107">
        <f t="shared" si="49"/>
        <v>20559.400000000001</v>
      </c>
      <c r="J148" s="107">
        <f t="shared" si="49"/>
        <v>11919.279999999999</v>
      </c>
      <c r="K148" s="107">
        <f t="shared" si="49"/>
        <v>38403.360000000001</v>
      </c>
      <c r="L148" s="107">
        <f t="shared" si="49"/>
        <v>34927.289999999994</v>
      </c>
      <c r="M148" s="107">
        <f t="shared" si="49"/>
        <v>2676.98</v>
      </c>
      <c r="N148" s="107">
        <v>205639.59</v>
      </c>
    </row>
    <row r="149" spans="1:14">
      <c r="A149" s="64"/>
      <c r="B149" s="22"/>
      <c r="C149" s="22"/>
      <c r="D149" s="22"/>
      <c r="E149" s="22"/>
      <c r="F149" s="22"/>
      <c r="G149" s="22"/>
      <c r="H149" s="22"/>
      <c r="I149" s="22"/>
      <c r="J149" s="22"/>
      <c r="K149" s="22"/>
      <c r="L149" s="22"/>
      <c r="M149" s="22"/>
      <c r="N149" s="22"/>
    </row>
    <row r="150" spans="1:14">
      <c r="A150" s="64" t="s">
        <v>105</v>
      </c>
      <c r="B150" s="113"/>
      <c r="C150" s="113"/>
      <c r="D150" s="113"/>
      <c r="E150" s="113"/>
      <c r="F150" s="113"/>
      <c r="G150" s="113"/>
      <c r="H150" s="113"/>
      <c r="I150" s="113"/>
      <c r="J150" s="113"/>
      <c r="K150" s="113"/>
      <c r="L150" s="113"/>
      <c r="M150" s="113"/>
      <c r="N150" s="113"/>
    </row>
    <row r="151" spans="1:14">
      <c r="A151" s="64"/>
      <c r="B151" s="22"/>
      <c r="C151" s="22"/>
      <c r="D151" s="22"/>
      <c r="E151" s="22"/>
      <c r="F151" s="22"/>
      <c r="G151" s="22"/>
      <c r="H151" s="22"/>
      <c r="I151" s="22"/>
      <c r="J151" s="22"/>
      <c r="K151" s="22"/>
      <c r="L151" s="22"/>
      <c r="M151" s="22"/>
      <c r="N151" s="22"/>
    </row>
    <row r="152" spans="1:14">
      <c r="A152" s="64" t="s">
        <v>106</v>
      </c>
      <c r="B152" s="22"/>
      <c r="C152" s="22"/>
      <c r="D152" s="22"/>
      <c r="E152" s="22"/>
      <c r="F152" s="22"/>
      <c r="G152" s="22"/>
      <c r="H152" s="22"/>
      <c r="I152" s="22"/>
      <c r="J152" s="22"/>
      <c r="K152" s="22"/>
      <c r="L152" s="22"/>
      <c r="M152" s="22"/>
      <c r="N152" s="22"/>
    </row>
    <row r="153" spans="1:14">
      <c r="A153" s="64" t="s">
        <v>107</v>
      </c>
      <c r="B153" s="107">
        <v>20797.45</v>
      </c>
      <c r="C153" s="107">
        <v>15077.79</v>
      </c>
      <c r="D153" s="107">
        <v>23127.46</v>
      </c>
      <c r="E153" s="107">
        <v>28213.45</v>
      </c>
      <c r="F153" s="107">
        <v>26683.93</v>
      </c>
      <c r="G153" s="107">
        <v>17956.63</v>
      </c>
      <c r="H153" s="107">
        <v>26238.1</v>
      </c>
      <c r="I153" s="107">
        <v>27270.720000000001</v>
      </c>
      <c r="J153" s="107">
        <v>20832.13</v>
      </c>
      <c r="K153" s="107">
        <v>17106.93</v>
      </c>
      <c r="L153" s="107">
        <v>23304.42</v>
      </c>
      <c r="M153" s="107">
        <v>28054.54</v>
      </c>
      <c r="N153" s="107">
        <v>274663.55</v>
      </c>
    </row>
    <row r="154" spans="1:14">
      <c r="A154" s="64" t="s">
        <v>108</v>
      </c>
      <c r="B154" s="107">
        <v>102420</v>
      </c>
      <c r="C154" s="107">
        <v>91205</v>
      </c>
      <c r="D154" s="107">
        <v>88910</v>
      </c>
      <c r="E154" s="107">
        <v>140085</v>
      </c>
      <c r="F154" s="107">
        <v>124430</v>
      </c>
      <c r="G154" s="107">
        <v>105515</v>
      </c>
      <c r="H154" s="107">
        <v>112755</v>
      </c>
      <c r="I154" s="107">
        <v>104020</v>
      </c>
      <c r="J154" s="107">
        <v>94470</v>
      </c>
      <c r="K154" s="107">
        <v>99770</v>
      </c>
      <c r="L154" s="107">
        <v>113940</v>
      </c>
      <c r="M154" s="107">
        <v>116585</v>
      </c>
      <c r="N154" s="107">
        <v>1294105</v>
      </c>
    </row>
    <row r="155" spans="1:14">
      <c r="A155" s="64" t="s">
        <v>109</v>
      </c>
      <c r="B155" s="107">
        <v>87075</v>
      </c>
      <c r="C155" s="107">
        <v>56175</v>
      </c>
      <c r="D155" s="107">
        <v>96940</v>
      </c>
      <c r="E155" s="107">
        <v>112550</v>
      </c>
      <c r="F155" s="107">
        <v>103580</v>
      </c>
      <c r="G155" s="107">
        <v>101215</v>
      </c>
      <c r="H155" s="107">
        <v>109465</v>
      </c>
      <c r="I155" s="107">
        <v>108630</v>
      </c>
      <c r="J155" s="107">
        <v>87305</v>
      </c>
      <c r="K155" s="107">
        <v>92635</v>
      </c>
      <c r="L155" s="107">
        <v>84315</v>
      </c>
      <c r="M155" s="107">
        <v>80570</v>
      </c>
      <c r="N155" s="107">
        <v>1120455</v>
      </c>
    </row>
    <row r="156" spans="1:14">
      <c r="A156" s="64" t="s">
        <v>110</v>
      </c>
      <c r="B156" s="107">
        <v>42040</v>
      </c>
      <c r="C156" s="107">
        <v>34425</v>
      </c>
      <c r="D156" s="107">
        <v>23705</v>
      </c>
      <c r="E156" s="107">
        <v>42535</v>
      </c>
      <c r="F156" s="107">
        <v>36270</v>
      </c>
      <c r="G156" s="107">
        <v>25845</v>
      </c>
      <c r="H156" s="107">
        <v>48515</v>
      </c>
      <c r="I156" s="107">
        <v>52865</v>
      </c>
      <c r="J156" s="107">
        <v>47980</v>
      </c>
      <c r="K156" s="107">
        <v>37185</v>
      </c>
      <c r="L156" s="107">
        <v>43155</v>
      </c>
      <c r="M156" s="107">
        <v>44725</v>
      </c>
      <c r="N156" s="107">
        <v>479245</v>
      </c>
    </row>
    <row r="157" spans="1:14">
      <c r="A157" s="64" t="s">
        <v>111</v>
      </c>
      <c r="B157" s="107">
        <v>4050</v>
      </c>
      <c r="C157" s="107">
        <v>4050</v>
      </c>
      <c r="D157" s="107">
        <v>4950</v>
      </c>
      <c r="E157" s="107">
        <v>2700</v>
      </c>
      <c r="F157" s="107">
        <v>2250</v>
      </c>
      <c r="G157" s="107">
        <v>3150</v>
      </c>
      <c r="H157" s="107">
        <v>4050</v>
      </c>
      <c r="I157" s="107">
        <v>3150</v>
      </c>
      <c r="J157" s="107">
        <v>3600</v>
      </c>
      <c r="K157" s="107">
        <v>2250</v>
      </c>
      <c r="L157" s="107">
        <v>2700</v>
      </c>
      <c r="M157" s="107">
        <v>4500</v>
      </c>
      <c r="N157" s="107">
        <v>41400</v>
      </c>
    </row>
    <row r="158" spans="1:14">
      <c r="A158" s="64" t="s">
        <v>112</v>
      </c>
      <c r="B158" s="107">
        <v>4586.5600000000004</v>
      </c>
      <c r="C158" s="107">
        <v>1205.3399999999999</v>
      </c>
      <c r="D158" s="107">
        <v>2433.6</v>
      </c>
      <c r="E158" s="107">
        <v>1971.4</v>
      </c>
      <c r="F158" s="107">
        <v>3011.87</v>
      </c>
      <c r="G158" s="107">
        <v>1474.24</v>
      </c>
      <c r="H158" s="107">
        <v>3015.8</v>
      </c>
      <c r="I158" s="107">
        <v>3534.03</v>
      </c>
      <c r="J158" s="107">
        <v>3408.16</v>
      </c>
      <c r="K158" s="107">
        <v>2836.54</v>
      </c>
      <c r="L158" s="107">
        <v>4301.3</v>
      </c>
      <c r="M158" s="107">
        <v>4482.0200000000004</v>
      </c>
      <c r="N158" s="107">
        <v>36260.86</v>
      </c>
    </row>
    <row r="159" spans="1:14">
      <c r="A159" s="64" t="s">
        <v>359</v>
      </c>
      <c r="B159" s="22"/>
      <c r="C159" s="22"/>
      <c r="D159" s="22"/>
      <c r="E159" s="22"/>
      <c r="F159" s="22"/>
      <c r="G159" s="22"/>
      <c r="H159" s="22"/>
      <c r="I159" s="22"/>
      <c r="J159" s="22"/>
      <c r="K159" s="22"/>
      <c r="L159" s="107">
        <v>-70</v>
      </c>
      <c r="M159" s="22"/>
      <c r="N159" s="107">
        <v>-70</v>
      </c>
    </row>
    <row r="160" spans="1:14">
      <c r="A160" s="64" t="s">
        <v>115</v>
      </c>
      <c r="B160" s="111">
        <v>-214468.19</v>
      </c>
      <c r="C160" s="111">
        <v>-175682.6</v>
      </c>
      <c r="D160" s="111">
        <v>-215268.57</v>
      </c>
      <c r="E160" s="111">
        <v>-292717.11</v>
      </c>
      <c r="F160" s="111">
        <v>-258002.16</v>
      </c>
      <c r="G160" s="111">
        <v>-230888.8</v>
      </c>
      <c r="H160" s="111">
        <v>-266488.23</v>
      </c>
      <c r="I160" s="111">
        <v>-256720.4</v>
      </c>
      <c r="J160" s="111">
        <v>-226181.27</v>
      </c>
      <c r="K160" s="111">
        <v>-205735.91</v>
      </c>
      <c r="L160" s="111">
        <v>-235984.28</v>
      </c>
      <c r="M160" s="111">
        <v>-263979.24</v>
      </c>
      <c r="N160" s="111">
        <v>-2842116.76</v>
      </c>
    </row>
    <row r="161" spans="1:14">
      <c r="A161" s="64" t="s">
        <v>116</v>
      </c>
      <c r="B161" s="107">
        <f t="shared" ref="B161:M161" si="50">SUM(B152:B160)</f>
        <v>46500.820000000007</v>
      </c>
      <c r="C161" s="107">
        <f t="shared" si="50"/>
        <v>26455.53</v>
      </c>
      <c r="D161" s="107">
        <f t="shared" si="50"/>
        <v>24797.489999999991</v>
      </c>
      <c r="E161" s="107">
        <f t="shared" si="50"/>
        <v>35337.740000000049</v>
      </c>
      <c r="F161" s="107">
        <f t="shared" si="50"/>
        <v>38223.639999999985</v>
      </c>
      <c r="G161" s="107">
        <f t="shared" si="50"/>
        <v>24267.070000000007</v>
      </c>
      <c r="H161" s="107">
        <f t="shared" si="50"/>
        <v>37550.669999999984</v>
      </c>
      <c r="I161" s="107">
        <f t="shared" si="50"/>
        <v>42749.350000000006</v>
      </c>
      <c r="J161" s="107">
        <f t="shared" si="50"/>
        <v>31414.020000000019</v>
      </c>
      <c r="K161" s="107">
        <f t="shared" si="50"/>
        <v>46047.56</v>
      </c>
      <c r="L161" s="107">
        <f t="shared" si="50"/>
        <v>35661.439999999973</v>
      </c>
      <c r="M161" s="107">
        <f t="shared" si="50"/>
        <v>14937.320000000065</v>
      </c>
      <c r="N161" s="107">
        <v>403942.65</v>
      </c>
    </row>
    <row r="162" spans="1:14">
      <c r="A162" s="64"/>
      <c r="B162" s="22"/>
      <c r="C162" s="22"/>
      <c r="D162" s="22"/>
      <c r="E162" s="22"/>
      <c r="F162" s="22"/>
      <c r="G162" s="22"/>
      <c r="H162" s="22"/>
      <c r="I162" s="22"/>
      <c r="J162" s="22"/>
      <c r="K162" s="22"/>
      <c r="L162" s="22"/>
      <c r="M162" s="22"/>
      <c r="N162" s="22"/>
    </row>
    <row r="163" spans="1:14">
      <c r="A163" s="64" t="s">
        <v>117</v>
      </c>
      <c r="B163" s="22"/>
      <c r="C163" s="22"/>
      <c r="D163" s="22"/>
      <c r="E163" s="22"/>
      <c r="F163" s="22"/>
      <c r="G163" s="22"/>
      <c r="H163" s="22"/>
      <c r="I163" s="22"/>
      <c r="J163" s="22"/>
      <c r="K163" s="22"/>
      <c r="L163" s="22"/>
      <c r="M163" s="22"/>
      <c r="N163" s="22"/>
    </row>
    <row r="164" spans="1:14">
      <c r="A164" s="64" t="s">
        <v>282</v>
      </c>
      <c r="B164" s="22"/>
      <c r="C164" s="22"/>
      <c r="D164" s="22"/>
      <c r="E164" s="22"/>
      <c r="F164" s="22"/>
      <c r="G164" s="22"/>
      <c r="H164" s="22"/>
      <c r="I164" s="22"/>
      <c r="J164" s="22"/>
      <c r="K164" s="22"/>
      <c r="L164" s="22"/>
      <c r="M164" s="22"/>
      <c r="N164" s="22"/>
    </row>
    <row r="165" spans="1:14">
      <c r="A165" s="64" t="s">
        <v>118</v>
      </c>
      <c r="B165" s="107">
        <v>235.64</v>
      </c>
      <c r="C165" s="22"/>
      <c r="D165" s="22"/>
      <c r="E165" s="107">
        <v>586.54999999999995</v>
      </c>
      <c r="F165" s="107">
        <v>440.04</v>
      </c>
      <c r="G165" s="22"/>
      <c r="H165" s="22"/>
      <c r="I165" s="22"/>
      <c r="J165" s="22"/>
      <c r="K165" s="22"/>
      <c r="L165" s="22"/>
      <c r="M165" s="22"/>
      <c r="N165" s="107">
        <v>1262.23</v>
      </c>
    </row>
    <row r="166" spans="1:14">
      <c r="A166" s="64" t="s">
        <v>119</v>
      </c>
      <c r="B166" s="22"/>
      <c r="C166" s="22"/>
      <c r="D166" s="22"/>
      <c r="E166" s="107">
        <v>2075</v>
      </c>
      <c r="F166" s="107">
        <v>2075</v>
      </c>
      <c r="G166" s="22"/>
      <c r="H166" s="107">
        <v>2080</v>
      </c>
      <c r="I166" s="107">
        <v>1270</v>
      </c>
      <c r="J166" s="107">
        <v>-1050</v>
      </c>
      <c r="K166" s="107">
        <v>170</v>
      </c>
      <c r="L166" s="107">
        <v>2415</v>
      </c>
      <c r="M166" s="107">
        <v>290</v>
      </c>
      <c r="N166" s="107">
        <v>9325</v>
      </c>
    </row>
    <row r="167" spans="1:14">
      <c r="A167" s="64" t="s">
        <v>120</v>
      </c>
      <c r="B167" s="22"/>
      <c r="C167" s="22"/>
      <c r="D167" s="22"/>
      <c r="E167" s="107">
        <v>1340</v>
      </c>
      <c r="F167" s="107">
        <v>1590</v>
      </c>
      <c r="G167" s="22"/>
      <c r="H167" s="107">
        <v>950</v>
      </c>
      <c r="I167" s="107">
        <v>2200</v>
      </c>
      <c r="J167" s="107">
        <v>-1395</v>
      </c>
      <c r="K167" s="107">
        <v>255</v>
      </c>
      <c r="L167" s="107">
        <v>2625</v>
      </c>
      <c r="M167" s="107">
        <v>-430</v>
      </c>
      <c r="N167" s="107">
        <v>7135</v>
      </c>
    </row>
    <row r="168" spans="1:14">
      <c r="A168" s="64" t="s">
        <v>121</v>
      </c>
      <c r="B168" s="22"/>
      <c r="C168" s="22"/>
      <c r="D168" s="22"/>
      <c r="E168" s="22"/>
      <c r="F168" s="22"/>
      <c r="G168" s="22"/>
      <c r="H168" s="107">
        <v>135</v>
      </c>
      <c r="I168" s="107">
        <v>1080</v>
      </c>
      <c r="J168" s="107">
        <v>-1080</v>
      </c>
      <c r="K168" s="22"/>
      <c r="L168" s="107">
        <v>505</v>
      </c>
      <c r="M168" s="107">
        <v>420</v>
      </c>
      <c r="N168" s="107">
        <v>1060</v>
      </c>
    </row>
    <row r="169" spans="1:14">
      <c r="A169" s="64" t="s">
        <v>355</v>
      </c>
      <c r="B169" s="107">
        <v>900</v>
      </c>
      <c r="C169" s="22"/>
      <c r="D169" s="22"/>
      <c r="E169" s="22"/>
      <c r="F169" s="22"/>
      <c r="G169" s="22"/>
      <c r="H169" s="22"/>
      <c r="I169" s="22"/>
      <c r="J169" s="22"/>
      <c r="K169" s="22"/>
      <c r="L169" s="22"/>
      <c r="M169" s="22"/>
      <c r="N169" s="107">
        <v>900</v>
      </c>
    </row>
    <row r="170" spans="1:14">
      <c r="A170" s="64" t="s">
        <v>361</v>
      </c>
      <c r="B170" s="113"/>
      <c r="C170" s="113"/>
      <c r="D170" s="113"/>
      <c r="E170" s="113"/>
      <c r="F170" s="113"/>
      <c r="G170" s="113"/>
      <c r="H170" s="113"/>
      <c r="I170" s="113"/>
      <c r="J170" s="113"/>
      <c r="K170" s="113"/>
      <c r="L170" s="111">
        <v>70</v>
      </c>
      <c r="M170" s="113"/>
      <c r="N170" s="111">
        <v>70</v>
      </c>
    </row>
    <row r="171" spans="1:14">
      <c r="A171" s="64" t="s">
        <v>127</v>
      </c>
      <c r="B171" s="107">
        <f>SUM(B163:B170)</f>
        <v>1135.6399999999999</v>
      </c>
      <c r="C171" s="107"/>
      <c r="D171" s="107"/>
      <c r="E171" s="107">
        <f>SUM(E163:E170)</f>
        <v>4001.55</v>
      </c>
      <c r="F171" s="107">
        <f>SUM(F163:F170)</f>
        <v>4105.04</v>
      </c>
      <c r="G171" s="107"/>
      <c r="H171" s="107">
        <f t="shared" ref="H171:M171" si="51">SUM(H163:H170)</f>
        <v>3165</v>
      </c>
      <c r="I171" s="107">
        <f t="shared" si="51"/>
        <v>4550</v>
      </c>
      <c r="J171" s="107">
        <f t="shared" si="51"/>
        <v>-3525</v>
      </c>
      <c r="K171" s="107">
        <f t="shared" si="51"/>
        <v>425</v>
      </c>
      <c r="L171" s="107">
        <f t="shared" si="51"/>
        <v>5615</v>
      </c>
      <c r="M171" s="107">
        <f t="shared" si="51"/>
        <v>280</v>
      </c>
      <c r="N171" s="107">
        <v>19752.23</v>
      </c>
    </row>
    <row r="172" spans="1:14">
      <c r="A172" s="64"/>
      <c r="B172" s="22"/>
      <c r="C172" s="22"/>
      <c r="D172" s="22"/>
      <c r="E172" s="22"/>
      <c r="F172" s="22"/>
      <c r="G172" s="22"/>
      <c r="H172" s="22"/>
      <c r="I172" s="22"/>
      <c r="J172" s="22"/>
      <c r="K172" s="22"/>
      <c r="L172" s="22"/>
      <c r="M172" s="22"/>
      <c r="N172" s="22"/>
    </row>
    <row r="173" spans="1:14">
      <c r="A173" s="64" t="s">
        <v>47</v>
      </c>
      <c r="B173" s="107">
        <f t="shared" ref="B173:M173" si="52">SUM(B118:B172)-0-0-0-B148-0-B161-B171</f>
        <v>56622.340000000011</v>
      </c>
      <c r="C173" s="107">
        <f t="shared" si="52"/>
        <v>46768.119999999995</v>
      </c>
      <c r="D173" s="107">
        <f t="shared" si="52"/>
        <v>33597.890000000007</v>
      </c>
      <c r="E173" s="107">
        <f t="shared" si="52"/>
        <v>51398.99000000002</v>
      </c>
      <c r="F173" s="107">
        <f t="shared" si="52"/>
        <v>67090.179999999978</v>
      </c>
      <c r="G173" s="107">
        <f t="shared" si="52"/>
        <v>34632.78000000005</v>
      </c>
      <c r="H173" s="107">
        <f t="shared" si="52"/>
        <v>52583.170000000042</v>
      </c>
      <c r="I173" s="107">
        <f t="shared" si="52"/>
        <v>67858.750000000058</v>
      </c>
      <c r="J173" s="107">
        <f t="shared" si="52"/>
        <v>39808.299999999988</v>
      </c>
      <c r="K173" s="107">
        <f t="shared" si="52"/>
        <v>84875.919999999984</v>
      </c>
      <c r="L173" s="107">
        <f t="shared" si="52"/>
        <v>76203.73</v>
      </c>
      <c r="M173" s="107">
        <f t="shared" si="52"/>
        <v>17894.300000000025</v>
      </c>
      <c r="N173" s="107">
        <v>629334.47</v>
      </c>
    </row>
    <row r="174" spans="1:14">
      <c r="A174" s="64"/>
      <c r="B174" s="22"/>
      <c r="C174" s="22"/>
      <c r="D174" s="22"/>
      <c r="E174" s="22"/>
      <c r="F174" s="22"/>
      <c r="G174" s="22"/>
      <c r="H174" s="22"/>
      <c r="I174" s="22"/>
      <c r="J174" s="22"/>
      <c r="K174" s="22"/>
      <c r="L174" s="22"/>
      <c r="M174" s="22"/>
      <c r="N174" s="22"/>
    </row>
    <row r="175" spans="1:14">
      <c r="A175" s="64" t="s">
        <v>48</v>
      </c>
      <c r="B175" s="22"/>
      <c r="C175" s="22"/>
      <c r="D175" s="22"/>
      <c r="E175" s="22"/>
      <c r="F175" s="22"/>
      <c r="G175" s="22"/>
      <c r="H175" s="22"/>
      <c r="I175" s="22"/>
      <c r="J175" s="22"/>
      <c r="K175" s="22"/>
      <c r="L175" s="22"/>
      <c r="M175" s="22"/>
      <c r="N175" s="22"/>
    </row>
    <row r="176" spans="1:14">
      <c r="A176" s="64" t="s">
        <v>132</v>
      </c>
      <c r="B176" s="107">
        <v>-57.23</v>
      </c>
      <c r="C176" s="107">
        <v>3411.66</v>
      </c>
      <c r="D176" s="107">
        <v>57.18</v>
      </c>
      <c r="E176" s="107">
        <v>60.95</v>
      </c>
      <c r="F176" s="107">
        <v>15368.16</v>
      </c>
      <c r="G176" s="22"/>
      <c r="H176" s="107">
        <v>889.19</v>
      </c>
      <c r="I176" s="107">
        <v>1369.73</v>
      </c>
      <c r="J176" s="107">
        <v>445.19</v>
      </c>
      <c r="K176" s="107">
        <v>1113.5899999999999</v>
      </c>
      <c r="L176" s="107">
        <v>2026.54</v>
      </c>
      <c r="M176" s="22"/>
      <c r="N176" s="107">
        <v>24684.959999999999</v>
      </c>
    </row>
    <row r="177" spans="1:14">
      <c r="A177" s="64" t="s">
        <v>133</v>
      </c>
      <c r="B177" s="107">
        <v>26110</v>
      </c>
      <c r="C177" s="107">
        <v>25589</v>
      </c>
      <c r="D177" s="107"/>
      <c r="E177" s="22"/>
      <c r="F177" s="107">
        <v>51614</v>
      </c>
      <c r="G177" s="107">
        <v>30154</v>
      </c>
      <c r="H177" s="107">
        <v>22799</v>
      </c>
      <c r="I177" s="107">
        <v>29397</v>
      </c>
      <c r="J177" s="107">
        <v>28120</v>
      </c>
      <c r="K177" s="107">
        <v>28409</v>
      </c>
      <c r="L177" s="107">
        <v>29870</v>
      </c>
      <c r="M177" s="107">
        <v>31242</v>
      </c>
      <c r="N177" s="107">
        <v>303304</v>
      </c>
    </row>
    <row r="178" spans="1:14">
      <c r="A178" s="64" t="s">
        <v>360</v>
      </c>
      <c r="B178" s="22"/>
      <c r="C178" s="107">
        <v>14000</v>
      </c>
      <c r="D178" s="107">
        <v>10300</v>
      </c>
      <c r="E178" s="107">
        <v>3200</v>
      </c>
      <c r="F178" s="107">
        <v>1800</v>
      </c>
      <c r="G178" s="107">
        <v>22634.21</v>
      </c>
      <c r="H178" s="107">
        <v>50000</v>
      </c>
      <c r="I178" s="107">
        <v>5000</v>
      </c>
      <c r="J178" s="107">
        <v>11900</v>
      </c>
      <c r="K178" s="107">
        <v>12085</v>
      </c>
      <c r="L178" s="22"/>
      <c r="M178" s="22"/>
      <c r="N178" s="107">
        <v>130919.21</v>
      </c>
    </row>
    <row r="179" spans="1:14">
      <c r="A179" s="64" t="s">
        <v>134</v>
      </c>
      <c r="B179" s="107">
        <v>177.62</v>
      </c>
      <c r="C179" s="107">
        <v>0.52</v>
      </c>
      <c r="D179" s="22"/>
      <c r="E179" s="107">
        <v>3.27</v>
      </c>
      <c r="F179" s="107">
        <v>15.61</v>
      </c>
      <c r="G179" s="107">
        <v>318.93</v>
      </c>
      <c r="H179" s="107">
        <v>1195.77</v>
      </c>
      <c r="I179" s="107">
        <v>54.11</v>
      </c>
      <c r="J179" s="107">
        <v>65.739999999999995</v>
      </c>
      <c r="K179" s="107">
        <v>2.35</v>
      </c>
      <c r="L179" s="107">
        <v>203.56</v>
      </c>
      <c r="M179" s="107">
        <v>38.92</v>
      </c>
      <c r="N179" s="107">
        <v>2076.4</v>
      </c>
    </row>
    <row r="180" spans="1:14">
      <c r="A180" s="64" t="s">
        <v>396</v>
      </c>
      <c r="B180" s="22"/>
      <c r="C180" s="22"/>
      <c r="D180" s="22"/>
      <c r="E180" s="22"/>
      <c r="F180" s="107">
        <v>464838</v>
      </c>
      <c r="G180" s="22"/>
      <c r="H180" s="22"/>
      <c r="I180" s="22"/>
      <c r="J180" s="22"/>
      <c r="K180" s="22"/>
      <c r="L180" s="22"/>
      <c r="M180" s="22"/>
      <c r="N180" s="107">
        <v>464838</v>
      </c>
    </row>
    <row r="181" spans="1:14">
      <c r="A181" s="64" t="s">
        <v>397</v>
      </c>
      <c r="B181" s="113"/>
      <c r="C181" s="113"/>
      <c r="D181" s="113"/>
      <c r="E181" s="113"/>
      <c r="F181" s="111">
        <v>-1057404</v>
      </c>
      <c r="G181" s="113"/>
      <c r="H181" s="113"/>
      <c r="I181" s="113"/>
      <c r="J181" s="113"/>
      <c r="K181" s="113"/>
      <c r="L181" s="113"/>
      <c r="M181" s="113"/>
      <c r="N181" s="111">
        <v>-1057404</v>
      </c>
    </row>
    <row r="182" spans="1:14">
      <c r="A182" s="64" t="s">
        <v>135</v>
      </c>
      <c r="B182" s="107">
        <f t="shared" ref="B182:M182" si="53">SUM(B174:B181)</f>
        <v>26230.39</v>
      </c>
      <c r="C182" s="107">
        <f t="shared" si="53"/>
        <v>43001.18</v>
      </c>
      <c r="D182" s="107">
        <f t="shared" si="53"/>
        <v>10357.18</v>
      </c>
      <c r="E182" s="107">
        <f t="shared" si="53"/>
        <v>3264.22</v>
      </c>
      <c r="F182" s="107">
        <f t="shared" si="53"/>
        <v>-523768.23</v>
      </c>
      <c r="G182" s="107">
        <f t="shared" si="53"/>
        <v>53107.14</v>
      </c>
      <c r="H182" s="107">
        <f t="shared" si="53"/>
        <v>74883.960000000006</v>
      </c>
      <c r="I182" s="107">
        <f t="shared" si="53"/>
        <v>35820.839999999997</v>
      </c>
      <c r="J182" s="107">
        <f t="shared" si="53"/>
        <v>40530.93</v>
      </c>
      <c r="K182" s="107">
        <f t="shared" si="53"/>
        <v>41609.939999999995</v>
      </c>
      <c r="L182" s="107">
        <f t="shared" si="53"/>
        <v>32100.100000000002</v>
      </c>
      <c r="M182" s="107">
        <f t="shared" si="53"/>
        <v>31280.92</v>
      </c>
      <c r="N182" s="107">
        <v>-131581.43</v>
      </c>
    </row>
    <row r="183" spans="1:14">
      <c r="A183" s="64"/>
      <c r="B183" s="22"/>
      <c r="C183" s="22"/>
      <c r="D183" s="22"/>
      <c r="E183" s="22"/>
      <c r="F183" s="22"/>
      <c r="G183" s="22"/>
      <c r="H183" s="22"/>
      <c r="I183" s="22"/>
      <c r="J183" s="22"/>
      <c r="K183" s="22"/>
      <c r="L183" s="22"/>
      <c r="M183" s="22"/>
      <c r="N183" s="22"/>
    </row>
    <row r="184" spans="1:14" ht="15.75" thickBot="1">
      <c r="A184" s="64" t="s">
        <v>13</v>
      </c>
      <c r="B184" s="112">
        <f t="shared" ref="B184:M184" si="54">SUM(B66:B183)-B68-B72-B76-B79-B83-B87-B89-B95-B99-B103-B106-B110-B114-B116-0-0-0-B148-0-B161-B171-B173-B182</f>
        <v>819742.86999999953</v>
      </c>
      <c r="C184" s="112">
        <f t="shared" si="54"/>
        <v>785416.71999999904</v>
      </c>
      <c r="D184" s="112">
        <f t="shared" si="54"/>
        <v>801677.30000000086</v>
      </c>
      <c r="E184" s="112">
        <f t="shared" si="54"/>
        <v>759874.70000000182</v>
      </c>
      <c r="F184" s="112">
        <f t="shared" si="54"/>
        <v>306348.59999999963</v>
      </c>
      <c r="G184" s="112">
        <f t="shared" si="54"/>
        <v>914776.68</v>
      </c>
      <c r="H184" s="112">
        <f t="shared" si="54"/>
        <v>878456.6999999996</v>
      </c>
      <c r="I184" s="112">
        <f t="shared" si="54"/>
        <v>944989.32999999833</v>
      </c>
      <c r="J184" s="112">
        <f t="shared" si="54"/>
        <v>910294.34999999905</v>
      </c>
      <c r="K184" s="112">
        <f t="shared" si="54"/>
        <v>1003701.9899999988</v>
      </c>
      <c r="L184" s="112">
        <f t="shared" si="54"/>
        <v>931508.01000000013</v>
      </c>
      <c r="M184" s="112">
        <f t="shared" si="54"/>
        <v>944141.38000000035</v>
      </c>
      <c r="N184" s="112">
        <v>10000928.630000001</v>
      </c>
    </row>
    <row r="185" spans="1:14" ht="15.75" thickTop="1">
      <c r="A185" s="64"/>
      <c r="B185" s="22"/>
      <c r="C185" s="22"/>
      <c r="D185" s="22"/>
      <c r="E185" s="22"/>
      <c r="F185" s="22"/>
      <c r="G185" s="22"/>
      <c r="H185" s="22"/>
      <c r="I185" s="22"/>
      <c r="J185" s="22"/>
      <c r="K185" s="22"/>
      <c r="L185" s="22"/>
      <c r="M185" s="22"/>
      <c r="N185" s="22"/>
    </row>
    <row r="186" spans="1:14">
      <c r="A186" s="64"/>
      <c r="B186" s="22"/>
      <c r="C186" s="22"/>
      <c r="D186" s="22"/>
      <c r="E186" s="22"/>
      <c r="F186" s="22"/>
      <c r="G186" s="22"/>
      <c r="H186" s="22"/>
      <c r="I186" s="22"/>
      <c r="J186" s="22"/>
      <c r="K186" s="22"/>
      <c r="L186" s="22"/>
      <c r="M186" s="22"/>
      <c r="N186" s="22"/>
    </row>
    <row r="187" spans="1:14">
      <c r="A187" s="64" t="s">
        <v>14</v>
      </c>
      <c r="B187" s="22"/>
      <c r="C187" s="22"/>
      <c r="D187" s="22"/>
      <c r="E187" s="22"/>
      <c r="F187" s="22"/>
      <c r="G187" s="22"/>
      <c r="H187" s="22"/>
      <c r="I187" s="22"/>
      <c r="J187" s="22"/>
      <c r="K187" s="22"/>
      <c r="L187" s="22"/>
      <c r="M187" s="22"/>
      <c r="N187" s="22"/>
    </row>
    <row r="188" spans="1:14">
      <c r="A188" s="64"/>
      <c r="B188" s="22"/>
      <c r="C188" s="22"/>
      <c r="D188" s="22"/>
      <c r="E188" s="22"/>
      <c r="F188" s="22"/>
      <c r="G188" s="22"/>
      <c r="H188" s="22"/>
      <c r="I188" s="22"/>
      <c r="J188" s="22"/>
      <c r="K188" s="22"/>
      <c r="L188" s="22"/>
      <c r="M188" s="22"/>
      <c r="N188" s="22"/>
    </row>
    <row r="189" spans="1:14">
      <c r="A189" s="64" t="s">
        <v>136</v>
      </c>
      <c r="B189" s="22"/>
      <c r="C189" s="22"/>
      <c r="D189" s="22"/>
      <c r="E189" s="22"/>
      <c r="F189" s="22"/>
      <c r="G189" s="22"/>
      <c r="H189" s="22"/>
      <c r="I189" s="22"/>
      <c r="J189" s="22"/>
      <c r="K189" s="22"/>
      <c r="L189" s="22"/>
      <c r="M189" s="22"/>
      <c r="N189" s="22"/>
    </row>
    <row r="190" spans="1:14">
      <c r="A190" s="64" t="s">
        <v>137</v>
      </c>
      <c r="B190" s="107">
        <v>10458.799999999999</v>
      </c>
      <c r="C190" s="107">
        <v>13607.15</v>
      </c>
      <c r="D190" s="107">
        <v>11497.25</v>
      </c>
      <c r="E190" s="107">
        <v>11838.37</v>
      </c>
      <c r="F190" s="107">
        <v>2961.2</v>
      </c>
      <c r="G190" s="107">
        <v>192.29</v>
      </c>
      <c r="H190" s="107">
        <v>9116.48</v>
      </c>
      <c r="I190" s="107">
        <v>11582.42</v>
      </c>
      <c r="J190" s="107">
        <v>11208.8</v>
      </c>
      <c r="K190" s="107">
        <v>11059.33</v>
      </c>
      <c r="L190" s="107">
        <v>8294.73</v>
      </c>
      <c r="M190" s="107">
        <v>12404.34</v>
      </c>
      <c r="N190" s="107">
        <v>114221.16</v>
      </c>
    </row>
    <row r="191" spans="1:14">
      <c r="A191" s="64" t="s">
        <v>138</v>
      </c>
      <c r="B191" s="107">
        <v>45525.59</v>
      </c>
      <c r="C191" s="107">
        <v>40261.81</v>
      </c>
      <c r="D191" s="107">
        <v>44072.35</v>
      </c>
      <c r="E191" s="107">
        <v>40048.050000000003</v>
      </c>
      <c r="F191" s="107">
        <v>63120.480000000003</v>
      </c>
      <c r="G191" s="107">
        <v>35030.239999999998</v>
      </c>
      <c r="H191" s="107">
        <v>33627.379999999997</v>
      </c>
      <c r="I191" s="107">
        <v>49952.33</v>
      </c>
      <c r="J191" s="107">
        <v>32195.56</v>
      </c>
      <c r="K191" s="107">
        <v>35623.699999999997</v>
      </c>
      <c r="L191" s="107">
        <v>36734.94</v>
      </c>
      <c r="M191" s="107">
        <v>42989.43</v>
      </c>
      <c r="N191" s="107">
        <v>499181.86</v>
      </c>
    </row>
    <row r="192" spans="1:14">
      <c r="A192" s="64" t="s">
        <v>139</v>
      </c>
      <c r="B192" s="107">
        <v>103135.51</v>
      </c>
      <c r="C192" s="107">
        <v>92628.49</v>
      </c>
      <c r="D192" s="107">
        <v>104606.26</v>
      </c>
      <c r="E192" s="107">
        <v>83748.73</v>
      </c>
      <c r="F192" s="107">
        <v>94685.57</v>
      </c>
      <c r="G192" s="107">
        <v>120314.16</v>
      </c>
      <c r="H192" s="107">
        <v>108246.39999999999</v>
      </c>
      <c r="I192" s="107">
        <v>112889.60000000001</v>
      </c>
      <c r="J192" s="107">
        <v>116896.91</v>
      </c>
      <c r="K192" s="107">
        <v>114898.23</v>
      </c>
      <c r="L192" s="107">
        <v>120562.95</v>
      </c>
      <c r="M192" s="107">
        <v>119555.4</v>
      </c>
      <c r="N192" s="107">
        <v>1292168.21</v>
      </c>
    </row>
    <row r="193" spans="1:14">
      <c r="A193" s="64" t="s">
        <v>140</v>
      </c>
      <c r="B193" s="107">
        <v>8159.5</v>
      </c>
      <c r="C193" s="107">
        <v>7535.13</v>
      </c>
      <c r="D193" s="107">
        <v>6547.21</v>
      </c>
      <c r="E193" s="107">
        <v>8330.2199999999993</v>
      </c>
      <c r="F193" s="107">
        <v>6265.69</v>
      </c>
      <c r="G193" s="107">
        <v>8815.94</v>
      </c>
      <c r="H193" s="107">
        <v>6691.89</v>
      </c>
      <c r="I193" s="107">
        <v>9157.77</v>
      </c>
      <c r="J193" s="107">
        <v>8092.48</v>
      </c>
      <c r="K193" s="107">
        <v>8635.58</v>
      </c>
      <c r="L193" s="107">
        <v>4784.9799999999996</v>
      </c>
      <c r="M193" s="107">
        <v>10561.63</v>
      </c>
      <c r="N193" s="107">
        <v>93578.02</v>
      </c>
    </row>
    <row r="194" spans="1:14">
      <c r="A194" s="64" t="s">
        <v>141</v>
      </c>
      <c r="B194" s="107">
        <v>14728.02</v>
      </c>
      <c r="C194" s="107">
        <v>15291.1</v>
      </c>
      <c r="D194" s="107">
        <v>15786.09</v>
      </c>
      <c r="E194" s="107">
        <v>14481.9</v>
      </c>
      <c r="F194" s="107">
        <v>15889.48</v>
      </c>
      <c r="G194" s="107">
        <v>14413</v>
      </c>
      <c r="H194" s="107">
        <v>13091.96</v>
      </c>
      <c r="I194" s="107">
        <v>14374.8</v>
      </c>
      <c r="J194" s="107">
        <v>13834.64</v>
      </c>
      <c r="K194" s="107">
        <v>14529.31</v>
      </c>
      <c r="L194" s="107">
        <v>14931.45</v>
      </c>
      <c r="M194" s="107">
        <v>15372.92</v>
      </c>
      <c r="N194" s="107">
        <v>176724.67</v>
      </c>
    </row>
    <row r="195" spans="1:14">
      <c r="A195" s="64" t="s">
        <v>142</v>
      </c>
      <c r="B195" s="107">
        <v>6034.53</v>
      </c>
      <c r="C195" s="107">
        <v>3591.59</v>
      </c>
      <c r="D195" s="107">
        <v>5058.9399999999996</v>
      </c>
      <c r="E195" s="107">
        <v>5303.21</v>
      </c>
      <c r="F195" s="107">
        <v>3603.33</v>
      </c>
      <c r="G195" s="107">
        <v>4419.72</v>
      </c>
      <c r="H195" s="107">
        <v>3986.74</v>
      </c>
      <c r="I195" s="107">
        <v>4417.76</v>
      </c>
      <c r="J195" s="107">
        <v>7125.66</v>
      </c>
      <c r="K195" s="107">
        <v>6037.87</v>
      </c>
      <c r="L195" s="107">
        <v>6141.61</v>
      </c>
      <c r="M195" s="107">
        <v>2794.93</v>
      </c>
      <c r="N195" s="107">
        <v>58515.89</v>
      </c>
    </row>
    <row r="196" spans="1:14">
      <c r="A196" s="64" t="s">
        <v>143</v>
      </c>
      <c r="B196" s="107">
        <v>82320.479999999996</v>
      </c>
      <c r="C196" s="107">
        <v>76988.42</v>
      </c>
      <c r="D196" s="107">
        <v>87875.05</v>
      </c>
      <c r="E196" s="107">
        <v>86702.97</v>
      </c>
      <c r="F196" s="107">
        <v>115103.79</v>
      </c>
      <c r="G196" s="107">
        <v>129842.33</v>
      </c>
      <c r="H196" s="107">
        <v>101439</v>
      </c>
      <c r="I196" s="107">
        <v>97031.25</v>
      </c>
      <c r="J196" s="107">
        <v>82601.710000000006</v>
      </c>
      <c r="K196" s="107">
        <v>86420.91</v>
      </c>
      <c r="L196" s="107">
        <v>94587.98</v>
      </c>
      <c r="M196" s="107">
        <v>90533.7</v>
      </c>
      <c r="N196" s="107">
        <v>1131447.5900000001</v>
      </c>
    </row>
    <row r="197" spans="1:14">
      <c r="A197" s="64" t="s">
        <v>144</v>
      </c>
      <c r="B197" s="107">
        <v>5110.0200000000004</v>
      </c>
      <c r="C197" s="107">
        <v>4774.72</v>
      </c>
      <c r="D197" s="107">
        <v>6192.32</v>
      </c>
      <c r="E197" s="107">
        <v>5769.24</v>
      </c>
      <c r="F197" s="107">
        <v>5692.31</v>
      </c>
      <c r="G197" s="107">
        <v>5423.08</v>
      </c>
      <c r="H197" s="107">
        <v>5384.62</v>
      </c>
      <c r="I197" s="107">
        <v>4865.3900000000003</v>
      </c>
      <c r="J197" s="107">
        <v>6057.7</v>
      </c>
      <c r="K197" s="107">
        <v>5692.31</v>
      </c>
      <c r="L197" s="107">
        <v>5769.23</v>
      </c>
      <c r="M197" s="107">
        <v>5692.35</v>
      </c>
      <c r="N197" s="107">
        <v>66423.289999999994</v>
      </c>
    </row>
    <row r="198" spans="1:14">
      <c r="A198" s="64" t="s">
        <v>145</v>
      </c>
      <c r="B198" s="107">
        <v>4232.4399999999996</v>
      </c>
      <c r="C198" s="107">
        <v>2626.45</v>
      </c>
      <c r="D198" s="107">
        <v>3228.06</v>
      </c>
      <c r="E198" s="107">
        <v>3588.82</v>
      </c>
      <c r="F198" s="107">
        <v>3934.97</v>
      </c>
      <c r="G198" s="107">
        <v>3292.45</v>
      </c>
      <c r="H198" s="107">
        <v>3095.63</v>
      </c>
      <c r="I198" s="107">
        <v>3822.3</v>
      </c>
      <c r="J198" s="107">
        <v>3834.21</v>
      </c>
      <c r="K198" s="107">
        <v>3539.48</v>
      </c>
      <c r="L198" s="107">
        <v>3705.56</v>
      </c>
      <c r="M198" s="107">
        <v>2395.52</v>
      </c>
      <c r="N198" s="107">
        <v>41295.89</v>
      </c>
    </row>
    <row r="199" spans="1:14">
      <c r="A199" s="64" t="s">
        <v>147</v>
      </c>
      <c r="B199" s="107">
        <v>2396.98</v>
      </c>
      <c r="C199" s="107">
        <v>2873.85</v>
      </c>
      <c r="D199" s="107">
        <v>3237.54</v>
      </c>
      <c r="E199" s="107">
        <v>3419.78</v>
      </c>
      <c r="F199" s="107">
        <v>3586.9</v>
      </c>
      <c r="G199" s="107">
        <v>3247.9</v>
      </c>
      <c r="H199" s="107">
        <v>2117.63</v>
      </c>
      <c r="I199" s="107">
        <v>4760.3999999999996</v>
      </c>
      <c r="J199" s="107">
        <v>3919.98</v>
      </c>
      <c r="K199" s="107">
        <v>4348.3999999999996</v>
      </c>
      <c r="L199" s="107">
        <v>4688.38</v>
      </c>
      <c r="M199" s="107">
        <v>2809.09</v>
      </c>
      <c r="N199" s="107">
        <v>41406.83</v>
      </c>
    </row>
    <row r="200" spans="1:14">
      <c r="A200" s="64" t="s">
        <v>148</v>
      </c>
      <c r="B200" s="22"/>
      <c r="C200" s="22"/>
      <c r="D200" s="22"/>
      <c r="E200" s="107">
        <v>1472.65</v>
      </c>
      <c r="F200" s="107">
        <v>3760.06</v>
      </c>
      <c r="G200" s="107">
        <v>2583.02</v>
      </c>
      <c r="H200" s="107">
        <v>3630.93</v>
      </c>
      <c r="I200" s="107">
        <v>3060.01</v>
      </c>
      <c r="J200" s="107">
        <v>2716.78</v>
      </c>
      <c r="K200" s="107">
        <v>3041.13</v>
      </c>
      <c r="L200" s="107">
        <v>2711.59</v>
      </c>
      <c r="M200" s="107">
        <v>3866.53</v>
      </c>
      <c r="N200" s="107">
        <v>26842.7</v>
      </c>
    </row>
    <row r="201" spans="1:14">
      <c r="A201" s="64" t="s">
        <v>153</v>
      </c>
      <c r="B201" s="107">
        <v>4943.7299999999996</v>
      </c>
      <c r="C201" s="107">
        <v>4024.13</v>
      </c>
      <c r="D201" s="107">
        <v>4726.83</v>
      </c>
      <c r="E201" s="107">
        <v>4191.74</v>
      </c>
      <c r="F201" s="107">
        <v>4843.5600000000004</v>
      </c>
      <c r="G201" s="107">
        <v>4392.93</v>
      </c>
      <c r="H201" s="107">
        <v>3900.22</v>
      </c>
      <c r="I201" s="107">
        <v>4926.75</v>
      </c>
      <c r="J201" s="107">
        <v>891.47</v>
      </c>
      <c r="K201" s="22"/>
      <c r="L201" s="107">
        <v>6112.07</v>
      </c>
      <c r="M201" s="107">
        <v>5473.02</v>
      </c>
      <c r="N201" s="107">
        <v>48426.45</v>
      </c>
    </row>
    <row r="202" spans="1:14">
      <c r="A202" s="64" t="s">
        <v>154</v>
      </c>
      <c r="B202" s="107">
        <v>17866.79</v>
      </c>
      <c r="C202" s="107">
        <v>12223.64</v>
      </c>
      <c r="D202" s="107">
        <v>-1404.64</v>
      </c>
      <c r="E202" s="107">
        <v>5666.42</v>
      </c>
      <c r="F202" s="107">
        <v>15237.22</v>
      </c>
      <c r="G202" s="107">
        <v>13105.18</v>
      </c>
      <c r="H202" s="107">
        <v>16346.94</v>
      </c>
      <c r="I202" s="107">
        <v>13756.35</v>
      </c>
      <c r="J202" s="107">
        <v>11539.29</v>
      </c>
      <c r="K202" s="107">
        <v>11385.43</v>
      </c>
      <c r="L202" s="107">
        <v>8846.7800000000007</v>
      </c>
      <c r="M202" s="107">
        <v>10808.49</v>
      </c>
      <c r="N202" s="107">
        <v>135377.89000000001</v>
      </c>
    </row>
    <row r="203" spans="1:14">
      <c r="A203" s="64" t="s">
        <v>155</v>
      </c>
      <c r="B203" s="111">
        <v>35976.46</v>
      </c>
      <c r="C203" s="111">
        <v>23164.15</v>
      </c>
      <c r="D203" s="111">
        <v>29728.68</v>
      </c>
      <c r="E203" s="111">
        <v>29574.080000000002</v>
      </c>
      <c r="F203" s="111">
        <v>27198.18</v>
      </c>
      <c r="G203" s="111">
        <v>23522.07</v>
      </c>
      <c r="H203" s="111">
        <v>24355.94</v>
      </c>
      <c r="I203" s="111">
        <v>27432.23</v>
      </c>
      <c r="J203" s="111">
        <v>26152.69</v>
      </c>
      <c r="K203" s="111">
        <v>24855.1</v>
      </c>
      <c r="L203" s="111">
        <v>23620.73</v>
      </c>
      <c r="M203" s="111">
        <v>34804.15</v>
      </c>
      <c r="N203" s="111">
        <v>330384.46000000002</v>
      </c>
    </row>
    <row r="204" spans="1:14">
      <c r="A204" s="64" t="s">
        <v>156</v>
      </c>
      <c r="B204" s="107">
        <f t="shared" ref="B204:M204" si="55">SUM(B185:B203)</f>
        <v>340888.85</v>
      </c>
      <c r="C204" s="107">
        <f t="shared" si="55"/>
        <v>299590.63000000006</v>
      </c>
      <c r="D204" s="107">
        <f t="shared" si="55"/>
        <v>321151.93999999994</v>
      </c>
      <c r="E204" s="107">
        <f t="shared" si="55"/>
        <v>304136.18</v>
      </c>
      <c r="F204" s="107">
        <f t="shared" si="55"/>
        <v>365882.73999999993</v>
      </c>
      <c r="G204" s="107">
        <f t="shared" si="55"/>
        <v>368594.31000000006</v>
      </c>
      <c r="H204" s="107">
        <f t="shared" si="55"/>
        <v>335031.75999999995</v>
      </c>
      <c r="I204" s="107">
        <f t="shared" si="55"/>
        <v>362029.36</v>
      </c>
      <c r="J204" s="107">
        <f t="shared" si="55"/>
        <v>327067.88</v>
      </c>
      <c r="K204" s="107">
        <f t="shared" si="55"/>
        <v>330066.77999999997</v>
      </c>
      <c r="L204" s="107">
        <f t="shared" si="55"/>
        <v>341492.98000000004</v>
      </c>
      <c r="M204" s="107">
        <f t="shared" si="55"/>
        <v>360061.50000000006</v>
      </c>
      <c r="N204" s="107">
        <v>4055994.91</v>
      </c>
    </row>
    <row r="205" spans="1:14">
      <c r="A205" s="64"/>
      <c r="B205" s="22"/>
      <c r="C205" s="22"/>
      <c r="D205" s="22"/>
      <c r="E205" s="22"/>
      <c r="F205" s="22"/>
      <c r="G205" s="22"/>
      <c r="H205" s="22"/>
      <c r="I205" s="22"/>
      <c r="J205" s="22"/>
      <c r="K205" s="22"/>
      <c r="L205" s="22"/>
      <c r="M205" s="22"/>
      <c r="N205" s="22"/>
    </row>
    <row r="206" spans="1:14">
      <c r="A206" s="64"/>
      <c r="B206" s="22"/>
      <c r="C206" s="22"/>
      <c r="D206" s="22"/>
      <c r="E206" s="22"/>
      <c r="F206" s="22"/>
      <c r="G206" s="22"/>
      <c r="H206" s="22"/>
      <c r="I206" s="22"/>
      <c r="J206" s="22"/>
      <c r="K206" s="22"/>
      <c r="L206" s="22"/>
      <c r="M206" s="22"/>
      <c r="N206" s="22"/>
    </row>
    <row r="207" spans="1:14">
      <c r="A207" s="64" t="s">
        <v>157</v>
      </c>
      <c r="B207" s="22"/>
      <c r="C207" s="22"/>
      <c r="D207" s="22"/>
      <c r="E207" s="22"/>
      <c r="F207" s="22"/>
      <c r="G207" s="22"/>
      <c r="H207" s="22"/>
      <c r="I207" s="22"/>
      <c r="J207" s="22"/>
      <c r="K207" s="22"/>
      <c r="L207" s="22"/>
      <c r="M207" s="22"/>
      <c r="N207" s="22"/>
    </row>
    <row r="208" spans="1:14">
      <c r="A208" s="64" t="s">
        <v>161</v>
      </c>
      <c r="B208" s="111">
        <v>4327.6499999999996</v>
      </c>
      <c r="C208" s="111">
        <v>2985.99</v>
      </c>
      <c r="D208" s="111">
        <v>1524.06</v>
      </c>
      <c r="E208" s="111">
        <v>895.78</v>
      </c>
      <c r="F208" s="111">
        <v>-12486.09</v>
      </c>
      <c r="G208" s="113"/>
      <c r="H208" s="111"/>
      <c r="I208" s="111"/>
      <c r="J208" s="113"/>
      <c r="K208" s="113"/>
      <c r="L208" s="113"/>
      <c r="M208" s="113"/>
      <c r="N208" s="111">
        <v>-2752.61</v>
      </c>
    </row>
    <row r="209" spans="1:14">
      <c r="A209" s="64" t="s">
        <v>162</v>
      </c>
      <c r="B209" s="107">
        <f>SUM(B205:B208)</f>
        <v>4327.6499999999996</v>
      </c>
      <c r="C209" s="107">
        <f>SUM(C205:C208)</f>
        <v>2985.99</v>
      </c>
      <c r="D209" s="107">
        <f>SUM(D205:D208)</f>
        <v>1524.06</v>
      </c>
      <c r="E209" s="107">
        <f>SUM(E205:E208)</f>
        <v>895.78</v>
      </c>
      <c r="F209" s="107">
        <f>SUM(F205:F208)</f>
        <v>-12486.09</v>
      </c>
      <c r="G209" s="107"/>
      <c r="H209" s="107"/>
      <c r="I209" s="107"/>
      <c r="J209" s="107"/>
      <c r="K209" s="107"/>
      <c r="L209" s="107"/>
      <c r="M209" s="107"/>
      <c r="N209" s="107">
        <v>-2752.61</v>
      </c>
    </row>
    <row r="210" spans="1:14">
      <c r="A210" s="64"/>
      <c r="B210" s="22"/>
      <c r="C210" s="22"/>
      <c r="D210" s="22"/>
      <c r="E210" s="22"/>
      <c r="F210" s="22"/>
      <c r="G210" s="22"/>
      <c r="H210" s="22"/>
      <c r="I210" s="22"/>
      <c r="J210" s="22"/>
      <c r="K210" s="22"/>
      <c r="L210" s="22"/>
      <c r="M210" s="22"/>
      <c r="N210" s="22"/>
    </row>
    <row r="211" spans="1:14">
      <c r="A211" s="64" t="s">
        <v>163</v>
      </c>
      <c r="B211" s="22"/>
      <c r="C211" s="22"/>
      <c r="D211" s="22"/>
      <c r="E211" s="22"/>
      <c r="F211" s="22"/>
      <c r="G211" s="22"/>
      <c r="H211" s="22"/>
      <c r="I211" s="22"/>
      <c r="J211" s="22"/>
      <c r="K211" s="22"/>
      <c r="L211" s="22"/>
      <c r="M211" s="22"/>
      <c r="N211" s="22"/>
    </row>
    <row r="212" spans="1:14">
      <c r="A212" s="64" t="s">
        <v>164</v>
      </c>
      <c r="B212" s="107">
        <v>27496.55</v>
      </c>
      <c r="C212" s="107">
        <v>24320.35</v>
      </c>
      <c r="D212" s="107">
        <v>26382.79</v>
      </c>
      <c r="E212" s="107">
        <v>24409.38</v>
      </c>
      <c r="F212" s="107">
        <v>30027.81</v>
      </c>
      <c r="G212" s="107">
        <v>33209.18</v>
      </c>
      <c r="H212" s="107">
        <v>28479.01</v>
      </c>
      <c r="I212" s="107">
        <v>29601.25</v>
      </c>
      <c r="J212" s="107">
        <v>25984.7</v>
      </c>
      <c r="K212" s="107">
        <v>27091.56</v>
      </c>
      <c r="L212" s="107">
        <v>27452.01</v>
      </c>
      <c r="M212" s="107">
        <v>29388.42</v>
      </c>
      <c r="N212" s="107">
        <v>333843.01</v>
      </c>
    </row>
    <row r="213" spans="1:14">
      <c r="A213" s="64" t="s">
        <v>165</v>
      </c>
      <c r="B213" s="107">
        <v>1772.36</v>
      </c>
      <c r="C213" s="107">
        <v>1259.51</v>
      </c>
      <c r="D213" s="107">
        <v>1592.01</v>
      </c>
      <c r="E213" s="107">
        <v>1289.3</v>
      </c>
      <c r="F213" s="107">
        <v>2149.4699999999998</v>
      </c>
      <c r="G213" s="107">
        <v>10777.34</v>
      </c>
      <c r="H213" s="107">
        <v>5381.5</v>
      </c>
      <c r="I213" s="107">
        <v>12881.59</v>
      </c>
      <c r="J213" s="107">
        <v>3004.23</v>
      </c>
      <c r="K213" s="107">
        <v>2071.79</v>
      </c>
      <c r="L213" s="107">
        <v>956.93</v>
      </c>
      <c r="M213" s="107">
        <v>1778.72</v>
      </c>
      <c r="N213" s="107">
        <v>44914.75</v>
      </c>
    </row>
    <row r="214" spans="1:14">
      <c r="A214" s="64" t="s">
        <v>166</v>
      </c>
      <c r="B214" s="107">
        <v>4754.93</v>
      </c>
      <c r="C214" s="107">
        <v>3822.16</v>
      </c>
      <c r="D214" s="107">
        <v>2967.92</v>
      </c>
      <c r="E214" s="107">
        <v>4405.55</v>
      </c>
      <c r="F214" s="107">
        <v>3956.69</v>
      </c>
      <c r="G214" s="107">
        <v>3030.17</v>
      </c>
      <c r="H214" s="107">
        <v>3170.07</v>
      </c>
      <c r="I214" s="107">
        <v>3565.94</v>
      </c>
      <c r="J214" s="107">
        <v>3819.73</v>
      </c>
      <c r="K214" s="107">
        <v>5227.99</v>
      </c>
      <c r="L214" s="107">
        <v>5730.11</v>
      </c>
      <c r="M214" s="107">
        <v>3038.97</v>
      </c>
      <c r="N214" s="107">
        <v>47490.23</v>
      </c>
    </row>
    <row r="215" spans="1:14">
      <c r="A215" s="64" t="s">
        <v>167</v>
      </c>
      <c r="B215" s="107">
        <v>12933.13</v>
      </c>
      <c r="C215" s="107">
        <v>6720.84</v>
      </c>
      <c r="D215" s="107">
        <v>17522.599999999999</v>
      </c>
      <c r="E215" s="107">
        <v>14345.21</v>
      </c>
      <c r="F215" s="107">
        <v>19259.84</v>
      </c>
      <c r="G215" s="107">
        <v>16880.650000000001</v>
      </c>
      <c r="H215" s="107">
        <v>10079.49</v>
      </c>
      <c r="I215" s="107">
        <v>25180.36</v>
      </c>
      <c r="J215" s="107">
        <v>17511.77</v>
      </c>
      <c r="K215" s="107">
        <v>12094.95</v>
      </c>
      <c r="L215" s="107">
        <v>25334</v>
      </c>
      <c r="M215" s="107">
        <v>15768.99</v>
      </c>
      <c r="N215" s="107">
        <v>193631.83</v>
      </c>
    </row>
    <row r="216" spans="1:14">
      <c r="A216" s="64" t="s">
        <v>168</v>
      </c>
      <c r="B216" s="22"/>
      <c r="C216" s="107">
        <v>9972.06</v>
      </c>
      <c r="D216" s="22"/>
      <c r="E216" s="107">
        <v>9247.7000000000007</v>
      </c>
      <c r="F216" s="107">
        <v>10052.43</v>
      </c>
      <c r="G216" s="107">
        <v>9020.86</v>
      </c>
      <c r="H216" s="22"/>
      <c r="I216" s="22"/>
      <c r="J216" s="22"/>
      <c r="K216" s="107">
        <v>15760.98</v>
      </c>
      <c r="L216" s="107">
        <v>-3388.83</v>
      </c>
      <c r="M216" s="107">
        <v>12255.98</v>
      </c>
      <c r="N216" s="107">
        <v>62921.18</v>
      </c>
    </row>
    <row r="217" spans="1:14">
      <c r="A217" s="64" t="s">
        <v>169</v>
      </c>
      <c r="B217" s="22"/>
      <c r="C217" s="107">
        <v>1130.6600000000001</v>
      </c>
      <c r="D217" s="107">
        <v>22.46</v>
      </c>
      <c r="E217" s="107">
        <v>916.56</v>
      </c>
      <c r="F217" s="22"/>
      <c r="G217" s="22"/>
      <c r="H217" s="107">
        <v>856.8</v>
      </c>
      <c r="I217" s="107">
        <v>977.14</v>
      </c>
      <c r="J217" s="107">
        <v>642.86</v>
      </c>
      <c r="K217" s="107">
        <v>1893.68</v>
      </c>
      <c r="L217" s="107">
        <v>-492.51</v>
      </c>
      <c r="M217" s="22"/>
      <c r="N217" s="107">
        <v>5947.65</v>
      </c>
    </row>
    <row r="218" spans="1:14">
      <c r="A218" s="64" t="s">
        <v>318</v>
      </c>
      <c r="B218" s="107">
        <v>3850</v>
      </c>
      <c r="C218" s="107">
        <v>4800</v>
      </c>
      <c r="D218" s="22"/>
      <c r="E218" s="22"/>
      <c r="F218" s="107">
        <v>100</v>
      </c>
      <c r="G218" s="22"/>
      <c r="H218" s="22"/>
      <c r="I218" s="22"/>
      <c r="J218" s="107">
        <v>180</v>
      </c>
      <c r="K218" s="107">
        <v>630</v>
      </c>
      <c r="L218" s="107">
        <v>120</v>
      </c>
      <c r="M218" s="107">
        <v>760.5</v>
      </c>
      <c r="N218" s="107">
        <v>10440.5</v>
      </c>
    </row>
    <row r="219" spans="1:14">
      <c r="A219" s="64" t="s">
        <v>171</v>
      </c>
      <c r="B219" s="111">
        <v>10478.06</v>
      </c>
      <c r="C219" s="111">
        <v>1030.26</v>
      </c>
      <c r="D219" s="111">
        <v>1814.08</v>
      </c>
      <c r="E219" s="111">
        <v>1259.7</v>
      </c>
      <c r="F219" s="111">
        <v>4591.4799999999996</v>
      </c>
      <c r="G219" s="111">
        <v>1362.08</v>
      </c>
      <c r="H219" s="111">
        <v>832.05</v>
      </c>
      <c r="I219" s="111">
        <v>1225.6199999999999</v>
      </c>
      <c r="J219" s="111">
        <v>835.21</v>
      </c>
      <c r="K219" s="111">
        <v>702.19</v>
      </c>
      <c r="L219" s="111">
        <v>801.48</v>
      </c>
      <c r="M219" s="111">
        <v>1664.09</v>
      </c>
      <c r="N219" s="111">
        <v>26596.3</v>
      </c>
    </row>
    <row r="220" spans="1:14">
      <c r="A220" s="64" t="s">
        <v>16</v>
      </c>
      <c r="B220" s="107">
        <f t="shared" ref="B220:M220" si="56">SUM(B210:B219)</f>
        <v>61285.029999999992</v>
      </c>
      <c r="C220" s="107">
        <f t="shared" si="56"/>
        <v>53055.840000000004</v>
      </c>
      <c r="D220" s="107">
        <f t="shared" si="56"/>
        <v>50301.86</v>
      </c>
      <c r="E220" s="107">
        <f t="shared" si="56"/>
        <v>55873.399999999994</v>
      </c>
      <c r="F220" s="107">
        <f t="shared" si="56"/>
        <v>70137.719999999987</v>
      </c>
      <c r="G220" s="107">
        <f t="shared" si="56"/>
        <v>74280.280000000013</v>
      </c>
      <c r="H220" s="107">
        <f t="shared" si="56"/>
        <v>48798.92</v>
      </c>
      <c r="I220" s="107">
        <f t="shared" si="56"/>
        <v>73431.899999999994</v>
      </c>
      <c r="J220" s="107">
        <f t="shared" si="56"/>
        <v>51978.500000000007</v>
      </c>
      <c r="K220" s="107">
        <f t="shared" si="56"/>
        <v>65473.140000000007</v>
      </c>
      <c r="L220" s="107">
        <f t="shared" si="56"/>
        <v>56513.189999999995</v>
      </c>
      <c r="M220" s="107">
        <f t="shared" si="56"/>
        <v>64655.67</v>
      </c>
      <c r="N220" s="107">
        <v>725785.45</v>
      </c>
    </row>
    <row r="221" spans="1:14">
      <c r="A221" s="64"/>
      <c r="B221" s="22"/>
      <c r="C221" s="22"/>
      <c r="D221" s="22"/>
      <c r="E221" s="22"/>
      <c r="F221" s="22"/>
      <c r="G221" s="22"/>
      <c r="H221" s="22"/>
      <c r="I221" s="22"/>
      <c r="J221" s="22"/>
      <c r="K221" s="22"/>
      <c r="L221" s="22"/>
      <c r="M221" s="22"/>
      <c r="N221" s="22"/>
    </row>
    <row r="222" spans="1:14">
      <c r="A222" s="64" t="s">
        <v>17</v>
      </c>
      <c r="B222" s="22"/>
      <c r="C222" s="22"/>
      <c r="D222" s="22"/>
      <c r="E222" s="22"/>
      <c r="F222" s="22"/>
      <c r="G222" s="22"/>
      <c r="H222" s="22"/>
      <c r="I222" s="22"/>
      <c r="J222" s="22"/>
      <c r="K222" s="22"/>
      <c r="L222" s="22"/>
      <c r="M222" s="22"/>
      <c r="N222" s="22"/>
    </row>
    <row r="223" spans="1:14">
      <c r="A223" s="64" t="s">
        <v>172</v>
      </c>
      <c r="B223" s="107">
        <v>24243.11</v>
      </c>
      <c r="C223" s="107">
        <v>31897.31</v>
      </c>
      <c r="D223" s="107">
        <v>33074.589999999997</v>
      </c>
      <c r="E223" s="107">
        <v>29738.34</v>
      </c>
      <c r="F223" s="107">
        <v>30295.72</v>
      </c>
      <c r="G223" s="107">
        <v>29101.8</v>
      </c>
      <c r="H223" s="107">
        <v>29580.43</v>
      </c>
      <c r="I223" s="107">
        <v>36044.980000000003</v>
      </c>
      <c r="J223" s="107">
        <v>32829.03</v>
      </c>
      <c r="K223" s="107">
        <v>29686.94</v>
      </c>
      <c r="L223" s="107">
        <v>32000</v>
      </c>
      <c r="M223" s="107">
        <v>29197.360000000001</v>
      </c>
      <c r="N223" s="107">
        <v>367689.61</v>
      </c>
    </row>
    <row r="224" spans="1:14">
      <c r="A224" s="64" t="s">
        <v>173</v>
      </c>
      <c r="B224" s="107">
        <v>30782.78</v>
      </c>
      <c r="C224" s="107">
        <v>32585.61</v>
      </c>
      <c r="D224" s="107">
        <v>28863.14</v>
      </c>
      <c r="E224" s="107">
        <v>31043.360000000001</v>
      </c>
      <c r="F224" s="107">
        <v>34399.99</v>
      </c>
      <c r="G224" s="107">
        <v>29794.32</v>
      </c>
      <c r="H224" s="107">
        <v>28513.24</v>
      </c>
      <c r="I224" s="107">
        <v>30263.19</v>
      </c>
      <c r="J224" s="107">
        <v>28960.95</v>
      </c>
      <c r="K224" s="107">
        <v>26990.39</v>
      </c>
      <c r="L224" s="107">
        <v>45056.11</v>
      </c>
      <c r="M224" s="107">
        <v>34285.269999999997</v>
      </c>
      <c r="N224" s="107">
        <v>381538.35</v>
      </c>
    </row>
    <row r="225" spans="1:14">
      <c r="A225" s="64" t="s">
        <v>174</v>
      </c>
      <c r="B225" s="107">
        <v>43185.49</v>
      </c>
      <c r="C225" s="107">
        <v>36749.97</v>
      </c>
      <c r="D225" s="107">
        <v>48201.91</v>
      </c>
      <c r="E225" s="107">
        <v>42712.46</v>
      </c>
      <c r="F225" s="107">
        <v>58935.58</v>
      </c>
      <c r="G225" s="107">
        <v>50177.16</v>
      </c>
      <c r="H225" s="107">
        <v>45451.6</v>
      </c>
      <c r="I225" s="107">
        <v>49600</v>
      </c>
      <c r="J225" s="107">
        <v>44253.82</v>
      </c>
      <c r="K225" s="107">
        <v>43598.64</v>
      </c>
      <c r="L225" s="107">
        <v>70774.55</v>
      </c>
      <c r="M225" s="107">
        <v>46342.34</v>
      </c>
      <c r="N225" s="107">
        <v>579983.52</v>
      </c>
    </row>
    <row r="226" spans="1:14">
      <c r="A226" s="64" t="s">
        <v>175</v>
      </c>
      <c r="B226" s="107">
        <v>14203.55</v>
      </c>
      <c r="C226" s="107">
        <v>14693.9</v>
      </c>
      <c r="D226" s="107">
        <v>12895.99</v>
      </c>
      <c r="E226" s="107">
        <v>13931.15</v>
      </c>
      <c r="F226" s="107">
        <v>12926.13</v>
      </c>
      <c r="G226" s="107">
        <v>14095.58</v>
      </c>
      <c r="H226" s="107">
        <v>18539.060000000001</v>
      </c>
      <c r="I226" s="107">
        <v>15600.01</v>
      </c>
      <c r="J226" s="107">
        <v>29488.48</v>
      </c>
      <c r="K226" s="107">
        <v>18536.89</v>
      </c>
      <c r="L226" s="107">
        <v>29643.78</v>
      </c>
      <c r="M226" s="107">
        <v>22780.48</v>
      </c>
      <c r="N226" s="107">
        <v>217335</v>
      </c>
    </row>
    <row r="227" spans="1:14">
      <c r="A227" s="64" t="s">
        <v>177</v>
      </c>
      <c r="B227" s="107">
        <v>5455.24</v>
      </c>
      <c r="C227" s="107">
        <v>4104.5200000000004</v>
      </c>
      <c r="D227" s="107">
        <v>3330.35</v>
      </c>
      <c r="E227" s="107">
        <v>4510.03</v>
      </c>
      <c r="F227" s="107">
        <v>4892.53</v>
      </c>
      <c r="G227" s="107">
        <v>4203.3</v>
      </c>
      <c r="H227" s="107">
        <v>8252.44</v>
      </c>
      <c r="I227" s="107">
        <v>11774.82</v>
      </c>
      <c r="J227" s="107">
        <v>3128.93</v>
      </c>
      <c r="K227" s="107">
        <v>2720.62</v>
      </c>
      <c r="L227" s="107">
        <v>4318.22</v>
      </c>
      <c r="M227" s="107">
        <v>3663.13</v>
      </c>
      <c r="N227" s="107">
        <v>60354.13</v>
      </c>
    </row>
    <row r="228" spans="1:14">
      <c r="A228" s="64" t="s">
        <v>178</v>
      </c>
      <c r="B228" s="107">
        <v>4217.6899999999996</v>
      </c>
      <c r="C228" s="107">
        <v>1827.57</v>
      </c>
      <c r="D228" s="107">
        <v>1932.82</v>
      </c>
      <c r="E228" s="107">
        <v>2659.36</v>
      </c>
      <c r="F228" s="107">
        <v>2651.36</v>
      </c>
      <c r="G228" s="107">
        <v>-2719.46</v>
      </c>
      <c r="H228" s="107">
        <v>1929.98</v>
      </c>
      <c r="I228" s="107">
        <v>4473.4799999999996</v>
      </c>
      <c r="J228" s="107">
        <v>5190</v>
      </c>
      <c r="K228" s="107">
        <v>6716.32</v>
      </c>
      <c r="L228" s="107">
        <v>4899.99</v>
      </c>
      <c r="M228" s="107">
        <v>4522.8100000000004</v>
      </c>
      <c r="N228" s="107">
        <v>38301.919999999998</v>
      </c>
    </row>
    <row r="229" spans="1:14">
      <c r="A229" s="64" t="s">
        <v>179</v>
      </c>
      <c r="B229" s="107">
        <v>4129.13</v>
      </c>
      <c r="C229" s="107">
        <v>6089.41</v>
      </c>
      <c r="D229" s="107">
        <v>5594.29</v>
      </c>
      <c r="E229" s="107">
        <v>3784.69</v>
      </c>
      <c r="F229" s="107">
        <v>11297.57</v>
      </c>
      <c r="G229" s="107">
        <v>4271.5200000000004</v>
      </c>
      <c r="H229" s="107">
        <v>3843.36</v>
      </c>
      <c r="I229" s="107">
        <v>2960.12</v>
      </c>
      <c r="J229" s="107">
        <v>2919.41</v>
      </c>
      <c r="K229" s="107">
        <v>27914.02</v>
      </c>
      <c r="L229" s="107">
        <v>-16375</v>
      </c>
      <c r="M229" s="107">
        <v>717.27</v>
      </c>
      <c r="N229" s="107">
        <v>57145.79</v>
      </c>
    </row>
    <row r="230" spans="1:14">
      <c r="A230" s="64" t="s">
        <v>180</v>
      </c>
      <c r="B230" s="107">
        <v>4952.3999999999996</v>
      </c>
      <c r="C230" s="107">
        <v>9645.2999999999993</v>
      </c>
      <c r="D230" s="107">
        <v>4876.0200000000004</v>
      </c>
      <c r="E230" s="107">
        <v>3950.51</v>
      </c>
      <c r="F230" s="107">
        <v>5569.84</v>
      </c>
      <c r="G230" s="107">
        <v>4593.93</v>
      </c>
      <c r="H230" s="107">
        <v>5745.99</v>
      </c>
      <c r="I230" s="107">
        <v>1321.41</v>
      </c>
      <c r="J230" s="107">
        <v>1954.55</v>
      </c>
      <c r="K230" s="107">
        <v>2819.78</v>
      </c>
      <c r="L230" s="107">
        <v>2989.42</v>
      </c>
      <c r="M230" s="107">
        <v>3144.23</v>
      </c>
      <c r="N230" s="107">
        <v>51563.38</v>
      </c>
    </row>
    <row r="231" spans="1:14">
      <c r="A231" s="64" t="s">
        <v>181</v>
      </c>
      <c r="B231" s="107">
        <v>4339.0600000000004</v>
      </c>
      <c r="C231" s="107">
        <v>6142.7</v>
      </c>
      <c r="D231" s="107">
        <v>2897.69</v>
      </c>
      <c r="E231" s="107">
        <v>3357.62</v>
      </c>
      <c r="F231" s="107">
        <v>6714.51</v>
      </c>
      <c r="G231" s="107">
        <v>2537.1</v>
      </c>
      <c r="H231" s="107">
        <v>5619.39</v>
      </c>
      <c r="I231" s="107">
        <v>3819.48</v>
      </c>
      <c r="J231" s="107">
        <v>3160.54</v>
      </c>
      <c r="K231" s="107">
        <v>3787.81</v>
      </c>
      <c r="L231" s="107">
        <v>3544.81</v>
      </c>
      <c r="M231" s="107">
        <v>4041.47</v>
      </c>
      <c r="N231" s="107">
        <v>49962.18</v>
      </c>
    </row>
    <row r="232" spans="1:14">
      <c r="A232" s="64" t="s">
        <v>182</v>
      </c>
      <c r="B232" s="107">
        <v>136.55000000000001</v>
      </c>
      <c r="C232" s="107">
        <v>295.49</v>
      </c>
      <c r="D232" s="107">
        <v>577.96</v>
      </c>
      <c r="E232" s="107">
        <v>847.74</v>
      </c>
      <c r="F232" s="107">
        <v>1276.94</v>
      </c>
      <c r="G232" s="107">
        <v>605.19000000000005</v>
      </c>
      <c r="H232" s="107">
        <v>295.45</v>
      </c>
      <c r="I232" s="107">
        <v>891.84</v>
      </c>
      <c r="J232" s="107">
        <v>587.58000000000004</v>
      </c>
      <c r="K232" s="107">
        <v>1292.3599999999999</v>
      </c>
      <c r="L232" s="107">
        <v>725.08</v>
      </c>
      <c r="M232" s="107">
        <v>872.59</v>
      </c>
      <c r="N232" s="107">
        <v>8404.77</v>
      </c>
    </row>
    <row r="233" spans="1:14">
      <c r="A233" s="64" t="s">
        <v>183</v>
      </c>
      <c r="B233" s="107"/>
      <c r="C233" s="107">
        <v>487.17</v>
      </c>
      <c r="D233" s="107">
        <v>734.38</v>
      </c>
      <c r="E233" s="107">
        <v>1432.02</v>
      </c>
      <c r="F233" s="107">
        <v>330.87</v>
      </c>
      <c r="G233" s="107">
        <v>868.94</v>
      </c>
      <c r="H233" s="107">
        <v>1197.9000000000001</v>
      </c>
      <c r="I233" s="107">
        <v>1030.18</v>
      </c>
      <c r="J233" s="107">
        <v>68.930000000000007</v>
      </c>
      <c r="K233" s="107">
        <v>1248.4100000000001</v>
      </c>
      <c r="L233" s="107">
        <v>1165.04</v>
      </c>
      <c r="M233" s="107">
        <v>724.41</v>
      </c>
      <c r="N233" s="107">
        <v>9288.25</v>
      </c>
    </row>
    <row r="234" spans="1:14">
      <c r="A234" s="64" t="s">
        <v>184</v>
      </c>
      <c r="B234" s="111">
        <v>4104.63</v>
      </c>
      <c r="C234" s="111">
        <v>7953.96</v>
      </c>
      <c r="D234" s="111">
        <v>4736.66</v>
      </c>
      <c r="E234" s="111">
        <v>5598.42</v>
      </c>
      <c r="F234" s="111">
        <v>2818.54</v>
      </c>
      <c r="G234" s="111">
        <v>3553.85</v>
      </c>
      <c r="H234" s="111">
        <v>6144.22</v>
      </c>
      <c r="I234" s="111">
        <v>6300</v>
      </c>
      <c r="J234" s="111">
        <v>2875.07</v>
      </c>
      <c r="K234" s="111">
        <v>2262.33</v>
      </c>
      <c r="L234" s="111">
        <v>1400</v>
      </c>
      <c r="M234" s="111">
        <v>3764.22</v>
      </c>
      <c r="N234" s="111">
        <v>51511.9</v>
      </c>
    </row>
    <row r="235" spans="1:14">
      <c r="A235" s="64" t="s">
        <v>185</v>
      </c>
      <c r="B235" s="107">
        <f t="shared" ref="B235:M235" si="57">SUM(B221:B234)</f>
        <v>139749.63</v>
      </c>
      <c r="C235" s="107">
        <f t="shared" si="57"/>
        <v>152472.91</v>
      </c>
      <c r="D235" s="107">
        <f t="shared" si="57"/>
        <v>147715.80000000002</v>
      </c>
      <c r="E235" s="107">
        <f t="shared" si="57"/>
        <v>143565.69999999998</v>
      </c>
      <c r="F235" s="107">
        <f t="shared" si="57"/>
        <v>172109.58000000002</v>
      </c>
      <c r="G235" s="107">
        <f t="shared" si="57"/>
        <v>141083.23000000001</v>
      </c>
      <c r="H235" s="107">
        <f t="shared" si="57"/>
        <v>155113.06</v>
      </c>
      <c r="I235" s="107">
        <f t="shared" si="57"/>
        <v>164079.51</v>
      </c>
      <c r="J235" s="107">
        <f t="shared" si="57"/>
        <v>155417.28999999998</v>
      </c>
      <c r="K235" s="107">
        <f t="shared" si="57"/>
        <v>167574.50999999995</v>
      </c>
      <c r="L235" s="107">
        <f t="shared" si="57"/>
        <v>180142</v>
      </c>
      <c r="M235" s="107">
        <f t="shared" si="57"/>
        <v>154055.58000000002</v>
      </c>
      <c r="N235" s="107">
        <v>1873078.8</v>
      </c>
    </row>
    <row r="236" spans="1:14">
      <c r="A236" s="64"/>
      <c r="B236" s="22"/>
      <c r="C236" s="22"/>
      <c r="D236" s="22"/>
      <c r="E236" s="22"/>
      <c r="F236" s="22"/>
      <c r="G236" s="22"/>
      <c r="H236" s="22"/>
      <c r="I236" s="22"/>
      <c r="J236" s="22"/>
      <c r="K236" s="22"/>
      <c r="L236" s="22"/>
      <c r="M236" s="22"/>
      <c r="N236" s="22"/>
    </row>
    <row r="237" spans="1:14">
      <c r="A237" s="64" t="s">
        <v>186</v>
      </c>
      <c r="B237" s="22"/>
      <c r="C237" s="22"/>
      <c r="D237" s="22"/>
      <c r="E237" s="22"/>
      <c r="F237" s="22"/>
      <c r="G237" s="22"/>
      <c r="H237" s="22"/>
      <c r="I237" s="22"/>
      <c r="J237" s="22"/>
      <c r="K237" s="22"/>
      <c r="L237" s="22"/>
      <c r="M237" s="22"/>
      <c r="N237" s="22"/>
    </row>
    <row r="238" spans="1:14">
      <c r="A238" s="64" t="s">
        <v>187</v>
      </c>
      <c r="B238" s="107">
        <v>6500</v>
      </c>
      <c r="C238" s="107">
        <v>6500</v>
      </c>
      <c r="D238" s="107">
        <v>6500</v>
      </c>
      <c r="E238" s="107">
        <v>3500</v>
      </c>
      <c r="F238" s="107">
        <v>5500</v>
      </c>
      <c r="G238" s="107">
        <v>5500</v>
      </c>
      <c r="H238" s="107">
        <v>7500</v>
      </c>
      <c r="I238" s="107">
        <v>7500</v>
      </c>
      <c r="J238" s="107">
        <v>9000</v>
      </c>
      <c r="K238" s="107">
        <v>9500</v>
      </c>
      <c r="L238" s="107">
        <v>7500</v>
      </c>
      <c r="M238" s="107">
        <v>7500</v>
      </c>
      <c r="N238" s="107">
        <v>82500</v>
      </c>
    </row>
    <row r="239" spans="1:14">
      <c r="A239" s="64" t="s">
        <v>188</v>
      </c>
      <c r="B239" s="107">
        <v>1942.5</v>
      </c>
      <c r="C239" s="107">
        <v>1452.5</v>
      </c>
      <c r="D239" s="107">
        <v>1732.5</v>
      </c>
      <c r="E239" s="107">
        <v>2012.5</v>
      </c>
      <c r="F239" s="107">
        <v>1995</v>
      </c>
      <c r="G239" s="107">
        <v>1890</v>
      </c>
      <c r="H239" s="107">
        <v>1715</v>
      </c>
      <c r="I239" s="107">
        <v>1800</v>
      </c>
      <c r="J239" s="107">
        <v>1577.5</v>
      </c>
      <c r="K239" s="107">
        <v>1522.5</v>
      </c>
      <c r="L239" s="107">
        <v>1977.5</v>
      </c>
      <c r="M239" s="107">
        <v>1872.5</v>
      </c>
      <c r="N239" s="107">
        <v>21490</v>
      </c>
    </row>
    <row r="240" spans="1:14">
      <c r="A240" s="64" t="s">
        <v>189</v>
      </c>
      <c r="B240" s="22"/>
      <c r="C240" s="22"/>
      <c r="D240" s="22"/>
      <c r="E240" s="22"/>
      <c r="F240" s="22"/>
      <c r="G240" s="22"/>
      <c r="H240" s="22"/>
      <c r="I240" s="22"/>
      <c r="J240" s="107"/>
      <c r="K240" s="107"/>
      <c r="L240" s="107">
        <v>500</v>
      </c>
      <c r="M240" s="22"/>
      <c r="N240" s="107">
        <v>500</v>
      </c>
    </row>
    <row r="241" spans="1:14">
      <c r="A241" s="64" t="s">
        <v>190</v>
      </c>
      <c r="B241" s="107">
        <v>1920</v>
      </c>
      <c r="C241" s="107">
        <v>1530</v>
      </c>
      <c r="D241" s="107">
        <v>2375</v>
      </c>
      <c r="E241" s="107">
        <v>2950</v>
      </c>
      <c r="F241" s="107">
        <v>1823.48</v>
      </c>
      <c r="G241" s="107">
        <v>1800</v>
      </c>
      <c r="H241" s="107">
        <v>6250</v>
      </c>
      <c r="I241" s="107">
        <v>4475</v>
      </c>
      <c r="J241" s="107">
        <v>3400</v>
      </c>
      <c r="K241" s="107">
        <v>4150</v>
      </c>
      <c r="L241" s="107">
        <v>3225</v>
      </c>
      <c r="M241" s="107">
        <v>3881.89</v>
      </c>
      <c r="N241" s="107">
        <v>37780.370000000003</v>
      </c>
    </row>
    <row r="242" spans="1:14">
      <c r="A242" s="64" t="s">
        <v>191</v>
      </c>
      <c r="B242" s="107">
        <v>10201.709999999999</v>
      </c>
      <c r="C242" s="107">
        <v>9251.2199999999993</v>
      </c>
      <c r="D242" s="107">
        <v>8239.16</v>
      </c>
      <c r="E242" s="107">
        <v>8475.17</v>
      </c>
      <c r="F242" s="107">
        <v>8981.2199999999993</v>
      </c>
      <c r="G242" s="107">
        <v>10235.879999999999</v>
      </c>
      <c r="H242" s="107">
        <v>11266.59</v>
      </c>
      <c r="I242" s="107">
        <v>10130.700000000001</v>
      </c>
      <c r="J242" s="107">
        <v>8094.84</v>
      </c>
      <c r="K242" s="107">
        <v>11585.4</v>
      </c>
      <c r="L242" s="107">
        <v>7051.36</v>
      </c>
      <c r="M242" s="22"/>
      <c r="N242" s="107">
        <v>103513.25</v>
      </c>
    </row>
    <row r="243" spans="1:14">
      <c r="A243" s="64" t="s">
        <v>415</v>
      </c>
      <c r="B243" s="22"/>
      <c r="C243" s="22"/>
      <c r="D243" s="22"/>
      <c r="E243" s="22"/>
      <c r="F243" s="22"/>
      <c r="G243" s="22"/>
      <c r="H243" s="22"/>
      <c r="I243" s="22"/>
      <c r="J243" s="22"/>
      <c r="K243" s="22"/>
      <c r="L243" s="22"/>
      <c r="M243" s="107">
        <v>7664</v>
      </c>
      <c r="N243" s="107">
        <v>7664</v>
      </c>
    </row>
    <row r="244" spans="1:14">
      <c r="A244" s="64" t="s">
        <v>416</v>
      </c>
      <c r="B244" s="22"/>
      <c r="C244" s="22"/>
      <c r="D244" s="22"/>
      <c r="E244" s="22"/>
      <c r="F244" s="22"/>
      <c r="G244" s="22"/>
      <c r="H244" s="22"/>
      <c r="I244" s="22"/>
      <c r="J244" s="22"/>
      <c r="K244" s="22"/>
      <c r="L244" s="22"/>
      <c r="M244" s="107">
        <v>1068.81</v>
      </c>
      <c r="N244" s="107">
        <v>1068.81</v>
      </c>
    </row>
    <row r="245" spans="1:14">
      <c r="A245" s="64" t="s">
        <v>417</v>
      </c>
      <c r="B245" s="22"/>
      <c r="C245" s="22"/>
      <c r="D245" s="22"/>
      <c r="E245" s="22"/>
      <c r="F245" s="22"/>
      <c r="G245" s="22"/>
      <c r="H245" s="22"/>
      <c r="I245" s="22"/>
      <c r="J245" s="22"/>
      <c r="K245" s="22"/>
      <c r="L245" s="22"/>
      <c r="M245" s="107">
        <v>2503.16</v>
      </c>
      <c r="N245" s="107">
        <v>2503.16</v>
      </c>
    </row>
    <row r="246" spans="1:14">
      <c r="A246" s="64" t="s">
        <v>192</v>
      </c>
      <c r="B246" s="107">
        <v>1174.3499999999999</v>
      </c>
      <c r="C246" s="107">
        <v>1221.54</v>
      </c>
      <c r="D246" s="107">
        <v>1221.54</v>
      </c>
      <c r="E246" s="107">
        <v>1221.54</v>
      </c>
      <c r="F246" s="107">
        <v>1221.54</v>
      </c>
      <c r="G246" s="107">
        <v>1221.54</v>
      </c>
      <c r="H246" s="107">
        <v>1221.54</v>
      </c>
      <c r="I246" s="107">
        <v>1221.54</v>
      </c>
      <c r="J246" s="107">
        <v>1221.54</v>
      </c>
      <c r="K246" s="107">
        <v>1221.54</v>
      </c>
      <c r="L246" s="107">
        <v>1221.54</v>
      </c>
      <c r="M246" s="107">
        <v>1221.54</v>
      </c>
      <c r="N246" s="107">
        <v>14611.29</v>
      </c>
    </row>
    <row r="247" spans="1:14">
      <c r="A247" s="64" t="s">
        <v>193</v>
      </c>
      <c r="B247" s="107">
        <v>1947.06</v>
      </c>
      <c r="C247" s="107">
        <v>2389.5500000000002</v>
      </c>
      <c r="D247" s="107">
        <v>1944.22</v>
      </c>
      <c r="E247" s="107">
        <v>1954.25</v>
      </c>
      <c r="F247" s="107">
        <v>1955.18</v>
      </c>
      <c r="G247" s="107">
        <v>1923.87</v>
      </c>
      <c r="H247" s="107">
        <v>1920.27</v>
      </c>
      <c r="I247" s="107">
        <v>1919.3</v>
      </c>
      <c r="J247" s="107">
        <v>1922.41</v>
      </c>
      <c r="K247" s="107">
        <v>1920.31</v>
      </c>
      <c r="L247" s="107">
        <v>1932.11</v>
      </c>
      <c r="M247" s="107">
        <v>2453.16</v>
      </c>
      <c r="N247" s="107">
        <v>24181.69</v>
      </c>
    </row>
    <row r="248" spans="1:14">
      <c r="A248" s="64" t="s">
        <v>194</v>
      </c>
      <c r="B248" s="107">
        <v>2541.19</v>
      </c>
      <c r="C248" s="107">
        <v>4689.3900000000003</v>
      </c>
      <c r="D248" s="107">
        <v>2084.2800000000002</v>
      </c>
      <c r="E248" s="107">
        <v>2695.67</v>
      </c>
      <c r="F248" s="107">
        <v>6285.21</v>
      </c>
      <c r="G248" s="107">
        <v>604.5</v>
      </c>
      <c r="H248" s="107">
        <v>895.65</v>
      </c>
      <c r="I248" s="107">
        <v>3097.34</v>
      </c>
      <c r="J248" s="107">
        <v>2198.73</v>
      </c>
      <c r="K248" s="107">
        <v>4633.12</v>
      </c>
      <c r="L248" s="107">
        <v>8499.0400000000009</v>
      </c>
      <c r="M248" s="107">
        <v>3750.41</v>
      </c>
      <c r="N248" s="107">
        <v>41974.53</v>
      </c>
    </row>
    <row r="249" spans="1:14">
      <c r="A249" s="64" t="s">
        <v>195</v>
      </c>
      <c r="B249" s="107">
        <v>10682.65</v>
      </c>
      <c r="C249" s="107">
        <v>13946.16</v>
      </c>
      <c r="D249" s="107">
        <v>15762.26</v>
      </c>
      <c r="E249" s="107">
        <v>13946.15</v>
      </c>
      <c r="F249" s="107">
        <v>12994.94</v>
      </c>
      <c r="G249" s="107">
        <v>13830.96</v>
      </c>
      <c r="H249" s="107">
        <v>13946.15</v>
      </c>
      <c r="I249" s="107">
        <v>13946.15</v>
      </c>
      <c r="J249" s="107">
        <v>13946.15</v>
      </c>
      <c r="K249" s="107">
        <v>14782.9</v>
      </c>
      <c r="L249" s="107">
        <v>14364.53</v>
      </c>
      <c r="M249" s="107">
        <v>14364.53</v>
      </c>
      <c r="N249" s="107">
        <v>166513.53</v>
      </c>
    </row>
    <row r="250" spans="1:14">
      <c r="A250" s="64" t="s">
        <v>196</v>
      </c>
      <c r="B250" s="107">
        <v>7121.77</v>
      </c>
      <c r="C250" s="107">
        <v>7228.59</v>
      </c>
      <c r="D250" s="107">
        <v>8469.8799999999992</v>
      </c>
      <c r="E250" s="107">
        <v>7228.59</v>
      </c>
      <c r="F250" s="107">
        <v>8529.6</v>
      </c>
      <c r="G250" s="107">
        <v>7168.88</v>
      </c>
      <c r="H250" s="107">
        <v>7228.59</v>
      </c>
      <c r="I250" s="107">
        <v>7228.59</v>
      </c>
      <c r="J250" s="107">
        <v>7228.59</v>
      </c>
      <c r="K250" s="107">
        <v>7662.31</v>
      </c>
      <c r="L250" s="107">
        <v>7445.45</v>
      </c>
      <c r="M250" s="107">
        <v>7445.45</v>
      </c>
      <c r="N250" s="107">
        <v>89986.29</v>
      </c>
    </row>
    <row r="251" spans="1:14">
      <c r="A251" s="64" t="s">
        <v>197</v>
      </c>
      <c r="B251" s="107">
        <v>46019.8</v>
      </c>
      <c r="C251" s="107">
        <v>57176.18</v>
      </c>
      <c r="D251" s="107">
        <v>46722.46</v>
      </c>
      <c r="E251" s="107">
        <v>49972.81</v>
      </c>
      <c r="F251" s="107">
        <v>51910.85</v>
      </c>
      <c r="G251" s="107">
        <v>54895.45</v>
      </c>
      <c r="H251" s="107">
        <v>51263.31</v>
      </c>
      <c r="I251" s="107">
        <v>51739.74</v>
      </c>
      <c r="J251" s="107">
        <v>55819.44</v>
      </c>
      <c r="K251" s="107">
        <v>53197.08</v>
      </c>
      <c r="L251" s="107">
        <v>52558.75</v>
      </c>
      <c r="M251" s="107">
        <v>54597.08</v>
      </c>
      <c r="N251" s="107">
        <v>625872.94999999995</v>
      </c>
    </row>
    <row r="252" spans="1:14">
      <c r="A252" s="64" t="s">
        <v>198</v>
      </c>
      <c r="B252" s="107">
        <v>1110.3499999999999</v>
      </c>
      <c r="C252" s="107">
        <v>1112.03</v>
      </c>
      <c r="D252" s="107">
        <v>1108.67</v>
      </c>
      <c r="E252" s="107">
        <v>1105.31</v>
      </c>
      <c r="F252" s="107">
        <v>1105.31</v>
      </c>
      <c r="G252" s="107">
        <v>1120.43</v>
      </c>
      <c r="H252" s="107">
        <v>1201.44</v>
      </c>
      <c r="I252" s="107">
        <v>1203.3</v>
      </c>
      <c r="J252" s="107">
        <v>1052.08</v>
      </c>
      <c r="K252" s="107">
        <v>1146.8599999999999</v>
      </c>
      <c r="L252" s="107">
        <v>1146.8599999999999</v>
      </c>
      <c r="M252" s="107">
        <v>1146.8599999999999</v>
      </c>
      <c r="N252" s="107">
        <v>13559.5</v>
      </c>
    </row>
    <row r="253" spans="1:14">
      <c r="A253" s="64" t="s">
        <v>199</v>
      </c>
      <c r="B253" s="107">
        <v>843.7</v>
      </c>
      <c r="C253" s="107">
        <v>531</v>
      </c>
      <c r="D253" s="107">
        <v>1529.08</v>
      </c>
      <c r="E253" s="107">
        <v>967.93</v>
      </c>
      <c r="F253" s="107">
        <v>-1987.01</v>
      </c>
      <c r="G253" s="107">
        <v>360</v>
      </c>
      <c r="H253" s="107">
        <v>360</v>
      </c>
      <c r="I253" s="107">
        <v>100</v>
      </c>
      <c r="J253" s="107">
        <v>136.25</v>
      </c>
      <c r="K253" s="107">
        <v>400</v>
      </c>
      <c r="L253" s="107">
        <v>225.25</v>
      </c>
      <c r="M253" s="107">
        <v>473.25</v>
      </c>
      <c r="N253" s="107">
        <v>3939.45</v>
      </c>
    </row>
    <row r="254" spans="1:14">
      <c r="A254" s="64" t="s">
        <v>200</v>
      </c>
      <c r="B254" s="107">
        <v>2056.75</v>
      </c>
      <c r="C254" s="107">
        <v>2056.75</v>
      </c>
      <c r="D254" s="107">
        <v>2381.5</v>
      </c>
      <c r="E254" s="107">
        <v>3210.7</v>
      </c>
      <c r="F254" s="107">
        <v>2551.4499999999998</v>
      </c>
      <c r="G254" s="107">
        <v>2139.02</v>
      </c>
      <c r="H254" s="107">
        <v>2139.02</v>
      </c>
      <c r="I254" s="107">
        <v>2749.5</v>
      </c>
      <c r="J254" s="107">
        <v>2139.02</v>
      </c>
      <c r="K254" s="107">
        <v>2100</v>
      </c>
      <c r="L254" s="107">
        <v>2139.02</v>
      </c>
      <c r="M254" s="107">
        <v>0.05</v>
      </c>
      <c r="N254" s="107">
        <v>25662.78</v>
      </c>
    </row>
    <row r="255" spans="1:14">
      <c r="A255" s="64" t="s">
        <v>201</v>
      </c>
      <c r="B255" s="107">
        <v>267.38</v>
      </c>
      <c r="C255" s="107">
        <v>358.76</v>
      </c>
      <c r="D255" s="107">
        <v>313.07</v>
      </c>
      <c r="E255" s="107">
        <v>313.07</v>
      </c>
      <c r="F255" s="107">
        <v>369.21</v>
      </c>
      <c r="G255" s="107">
        <v>289.20999999999998</v>
      </c>
      <c r="H255" s="107">
        <v>609.21</v>
      </c>
      <c r="I255" s="107">
        <v>289.20999999999998</v>
      </c>
      <c r="J255" s="107">
        <v>300</v>
      </c>
      <c r="K255" s="107">
        <v>278.42</v>
      </c>
      <c r="L255" s="107">
        <v>289.20999999999998</v>
      </c>
      <c r="M255" s="107">
        <v>289.20999999999998</v>
      </c>
      <c r="N255" s="107">
        <v>3965.96</v>
      </c>
    </row>
    <row r="256" spans="1:14">
      <c r="A256" s="64" t="s">
        <v>202</v>
      </c>
      <c r="B256" s="107">
        <v>2250</v>
      </c>
      <c r="C256" s="22"/>
      <c r="D256" s="107">
        <v>645</v>
      </c>
      <c r="E256" s="22"/>
      <c r="F256" s="22"/>
      <c r="G256" s="107"/>
      <c r="H256" s="107">
        <v>360</v>
      </c>
      <c r="I256" s="107">
        <v>4510</v>
      </c>
      <c r="J256" s="22"/>
      <c r="K256" s="107">
        <v>4860</v>
      </c>
      <c r="L256" s="107">
        <v>9122.35</v>
      </c>
      <c r="M256" s="22"/>
      <c r="N256" s="107">
        <v>21747.35</v>
      </c>
    </row>
    <row r="257" spans="1:14">
      <c r="A257" s="64" t="s">
        <v>203</v>
      </c>
      <c r="B257" s="107">
        <v>12019.99</v>
      </c>
      <c r="C257" s="107">
        <v>13122.26</v>
      </c>
      <c r="D257" s="107">
        <v>12496.28</v>
      </c>
      <c r="E257" s="107">
        <v>9495.5400000000009</v>
      </c>
      <c r="F257" s="107">
        <v>8617.1299999999992</v>
      </c>
      <c r="G257" s="107">
        <v>9466.83</v>
      </c>
      <c r="H257" s="107">
        <v>12148.78</v>
      </c>
      <c r="I257" s="107">
        <v>13375.42</v>
      </c>
      <c r="J257" s="107">
        <v>15733.55</v>
      </c>
      <c r="K257" s="107">
        <v>15096.45</v>
      </c>
      <c r="L257" s="107">
        <v>10857.37</v>
      </c>
      <c r="M257" s="107">
        <v>11272.57</v>
      </c>
      <c r="N257" s="107">
        <v>143702.17000000001</v>
      </c>
    </row>
    <row r="258" spans="1:14">
      <c r="A258" s="64" t="s">
        <v>204</v>
      </c>
      <c r="B258" s="107">
        <v>40963</v>
      </c>
      <c r="C258" s="107">
        <v>37256</v>
      </c>
      <c r="D258" s="107">
        <v>40848</v>
      </c>
      <c r="E258" s="107">
        <v>37831</v>
      </c>
      <c r="F258" s="107">
        <v>-550297</v>
      </c>
      <c r="G258" s="107">
        <v>43099</v>
      </c>
      <c r="H258" s="107">
        <v>34690</v>
      </c>
      <c r="I258" s="107">
        <v>45459</v>
      </c>
      <c r="J258" s="107">
        <v>45244</v>
      </c>
      <c r="K258" s="107">
        <v>47799</v>
      </c>
      <c r="L258" s="107">
        <v>46268</v>
      </c>
      <c r="M258" s="107">
        <v>45645</v>
      </c>
      <c r="N258" s="107">
        <v>-85195</v>
      </c>
    </row>
    <row r="259" spans="1:14">
      <c r="A259" s="64" t="s">
        <v>205</v>
      </c>
      <c r="B259" s="107">
        <v>901.44</v>
      </c>
      <c r="C259" s="107">
        <v>914.19</v>
      </c>
      <c r="D259" s="107">
        <v>901.08</v>
      </c>
      <c r="E259" s="107">
        <v>904.59</v>
      </c>
      <c r="F259" s="107">
        <v>651.14</v>
      </c>
      <c r="G259" s="107">
        <v>617.01</v>
      </c>
      <c r="H259" s="107">
        <v>625.75</v>
      </c>
      <c r="I259" s="107">
        <v>761.09</v>
      </c>
      <c r="J259" s="107">
        <v>626.55999999999995</v>
      </c>
      <c r="K259" s="107">
        <v>642.07000000000005</v>
      </c>
      <c r="L259" s="107">
        <v>502.22</v>
      </c>
      <c r="M259" s="107">
        <v>618.87</v>
      </c>
      <c r="N259" s="107">
        <v>8666.01</v>
      </c>
    </row>
    <row r="260" spans="1:14">
      <c r="A260" s="64" t="s">
        <v>206</v>
      </c>
      <c r="B260" s="111">
        <v>2162.09</v>
      </c>
      <c r="C260" s="111">
        <v>1550.5</v>
      </c>
      <c r="D260" s="111">
        <v>530.87</v>
      </c>
      <c r="E260" s="111">
        <v>487.38</v>
      </c>
      <c r="F260" s="111">
        <v>1521</v>
      </c>
      <c r="G260" s="111">
        <v>96.85</v>
      </c>
      <c r="H260" s="111">
        <v>1839.81</v>
      </c>
      <c r="I260" s="111">
        <v>2116.91</v>
      </c>
      <c r="J260" s="111">
        <v>1185.79</v>
      </c>
      <c r="K260" s="111">
        <v>3426.03</v>
      </c>
      <c r="L260" s="111">
        <v>333.55</v>
      </c>
      <c r="M260" s="111">
        <v>1654.57</v>
      </c>
      <c r="N260" s="111">
        <v>16905.349999999999</v>
      </c>
    </row>
    <row r="261" spans="1:14">
      <c r="A261" s="64" t="s">
        <v>207</v>
      </c>
      <c r="B261" s="107">
        <f t="shared" ref="B261:M261" si="58">SUM(B236:B260)</f>
        <v>152625.73000000001</v>
      </c>
      <c r="C261" s="107">
        <f t="shared" si="58"/>
        <v>162286.62</v>
      </c>
      <c r="D261" s="107">
        <f t="shared" si="58"/>
        <v>155804.84999999998</v>
      </c>
      <c r="E261" s="107">
        <f t="shared" si="58"/>
        <v>148272.19999999998</v>
      </c>
      <c r="F261" s="107">
        <f t="shared" si="58"/>
        <v>-436271.75</v>
      </c>
      <c r="G261" s="107">
        <f t="shared" si="58"/>
        <v>156259.43000000002</v>
      </c>
      <c r="H261" s="107">
        <f t="shared" si="58"/>
        <v>157181.11000000002</v>
      </c>
      <c r="I261" s="107">
        <f t="shared" si="58"/>
        <v>173622.78999999998</v>
      </c>
      <c r="J261" s="107">
        <f t="shared" si="58"/>
        <v>170826.45</v>
      </c>
      <c r="K261" s="107">
        <f t="shared" si="58"/>
        <v>185923.99000000002</v>
      </c>
      <c r="L261" s="107">
        <f t="shared" si="58"/>
        <v>177159.11000000002</v>
      </c>
      <c r="M261" s="107">
        <f t="shared" si="58"/>
        <v>169422.91</v>
      </c>
      <c r="N261" s="107">
        <v>1373113.44</v>
      </c>
    </row>
    <row r="262" spans="1:14">
      <c r="A262" s="64"/>
      <c r="B262" s="22"/>
      <c r="C262" s="22"/>
      <c r="D262" s="22"/>
      <c r="E262" s="22"/>
      <c r="F262" s="22"/>
      <c r="G262" s="22"/>
      <c r="H262" s="22"/>
      <c r="I262" s="22"/>
      <c r="J262" s="22"/>
      <c r="K262" s="22"/>
      <c r="L262" s="22"/>
      <c r="M262" s="22"/>
      <c r="N262" s="22"/>
    </row>
    <row r="263" spans="1:14">
      <c r="A263" s="64" t="s">
        <v>15</v>
      </c>
      <c r="B263" s="22"/>
      <c r="C263" s="22"/>
      <c r="D263" s="22"/>
      <c r="E263" s="22"/>
      <c r="F263" s="22"/>
      <c r="G263" s="22"/>
      <c r="H263" s="22"/>
      <c r="I263" s="22"/>
      <c r="J263" s="22"/>
      <c r="K263" s="22"/>
      <c r="L263" s="22"/>
      <c r="M263" s="22"/>
      <c r="N263" s="22"/>
    </row>
    <row r="264" spans="1:14">
      <c r="A264" s="64" t="s">
        <v>208</v>
      </c>
      <c r="B264" s="107">
        <v>6637</v>
      </c>
      <c r="C264" s="107">
        <v>6034.19</v>
      </c>
      <c r="D264" s="107">
        <v>3597.09</v>
      </c>
      <c r="E264" s="107">
        <v>4626.2299999999996</v>
      </c>
      <c r="F264" s="107">
        <v>7375.73</v>
      </c>
      <c r="G264" s="107">
        <v>5875.21</v>
      </c>
      <c r="H264" s="107">
        <v>6379.77</v>
      </c>
      <c r="I264" s="107">
        <v>3412.43</v>
      </c>
      <c r="J264" s="107">
        <v>3400.35</v>
      </c>
      <c r="K264" s="107">
        <v>4601.71</v>
      </c>
      <c r="L264" s="107">
        <v>5379.38</v>
      </c>
      <c r="M264" s="107">
        <v>7502.72</v>
      </c>
      <c r="N264" s="107">
        <v>64821.81</v>
      </c>
    </row>
    <row r="265" spans="1:14">
      <c r="A265" s="64" t="s">
        <v>209</v>
      </c>
      <c r="B265" s="107">
        <v>1810.61</v>
      </c>
      <c r="C265" s="107">
        <v>2586.8200000000002</v>
      </c>
      <c r="D265" s="107">
        <v>1110.1099999999999</v>
      </c>
      <c r="E265" s="107">
        <v>1687.58</v>
      </c>
      <c r="F265" s="107">
        <v>1422</v>
      </c>
      <c r="G265" s="107">
        <v>1700.65</v>
      </c>
      <c r="H265" s="107">
        <v>1900.02</v>
      </c>
      <c r="I265" s="107">
        <v>1781.62</v>
      </c>
      <c r="J265" s="107">
        <v>1920.36</v>
      </c>
      <c r="K265" s="107">
        <v>1134.33</v>
      </c>
      <c r="L265" s="107">
        <v>1551.21</v>
      </c>
      <c r="M265" s="107">
        <v>2126.91</v>
      </c>
      <c r="N265" s="107">
        <v>20732.22</v>
      </c>
    </row>
    <row r="266" spans="1:14">
      <c r="A266" s="64" t="s">
        <v>210</v>
      </c>
      <c r="B266" s="107">
        <v>1050.55</v>
      </c>
      <c r="C266" s="107">
        <v>300</v>
      </c>
      <c r="D266" s="107">
        <v>431.12</v>
      </c>
      <c r="E266" s="107">
        <v>297.05</v>
      </c>
      <c r="F266" s="107">
        <v>953.37</v>
      </c>
      <c r="G266" s="107">
        <v>308.18</v>
      </c>
      <c r="H266" s="107">
        <v>415.36</v>
      </c>
      <c r="I266" s="107">
        <v>273.64</v>
      </c>
      <c r="J266" s="107">
        <v>863.9</v>
      </c>
      <c r="K266" s="107">
        <v>1309.8499999999999</v>
      </c>
      <c r="L266" s="107">
        <v>386.57</v>
      </c>
      <c r="M266" s="107">
        <v>766.7</v>
      </c>
      <c r="N266" s="107">
        <v>7356.29</v>
      </c>
    </row>
    <row r="267" spans="1:14">
      <c r="A267" s="64" t="s">
        <v>211</v>
      </c>
      <c r="B267" s="107">
        <v>324.41000000000003</v>
      </c>
      <c r="C267" s="107">
        <v>117.95</v>
      </c>
      <c r="D267" s="107">
        <v>519.48</v>
      </c>
      <c r="E267" s="107">
        <v>132.97999999999999</v>
      </c>
      <c r="F267" s="107">
        <v>117.95</v>
      </c>
      <c r="G267" s="107">
        <v>280.29000000000002</v>
      </c>
      <c r="H267" s="107">
        <v>276.64999999999998</v>
      </c>
      <c r="I267" s="107">
        <v>117.95</v>
      </c>
      <c r="J267" s="107">
        <v>117.95</v>
      </c>
      <c r="K267" s="107">
        <v>115.95</v>
      </c>
      <c r="L267" s="107">
        <v>115.95</v>
      </c>
      <c r="M267" s="107">
        <v>115.95</v>
      </c>
      <c r="N267" s="107">
        <v>2353.46</v>
      </c>
    </row>
    <row r="268" spans="1:14">
      <c r="A268" s="64" t="s">
        <v>195</v>
      </c>
      <c r="B268" s="107">
        <v>22.59</v>
      </c>
      <c r="C268" s="107">
        <v>111.68</v>
      </c>
      <c r="D268" s="107">
        <v>522.70000000000005</v>
      </c>
      <c r="E268" s="107">
        <v>244.88</v>
      </c>
      <c r="F268" s="107">
        <v>299.26</v>
      </c>
      <c r="G268" s="107">
        <v>98.86</v>
      </c>
      <c r="H268" s="107">
        <v>431.19</v>
      </c>
      <c r="I268" s="107">
        <v>7.6</v>
      </c>
      <c r="J268" s="107">
        <v>175.44</v>
      </c>
      <c r="K268" s="107">
        <v>167.64</v>
      </c>
      <c r="L268" s="107">
        <v>160.04</v>
      </c>
      <c r="M268" s="107">
        <v>654.53</v>
      </c>
      <c r="N268" s="107">
        <v>2896.41</v>
      </c>
    </row>
    <row r="269" spans="1:14">
      <c r="A269" s="64" t="s">
        <v>213</v>
      </c>
      <c r="B269" s="107">
        <v>226.96</v>
      </c>
      <c r="C269" s="107">
        <v>136.57</v>
      </c>
      <c r="D269" s="107">
        <v>36.85</v>
      </c>
      <c r="E269" s="22"/>
      <c r="F269" s="22"/>
      <c r="G269" s="107">
        <v>36.85</v>
      </c>
      <c r="H269" s="107">
        <v>54.5</v>
      </c>
      <c r="I269" s="107">
        <v>65.180000000000007</v>
      </c>
      <c r="J269" s="107">
        <v>22.72</v>
      </c>
      <c r="K269" s="107">
        <v>36.85</v>
      </c>
      <c r="L269" s="107">
        <v>65.75</v>
      </c>
      <c r="M269" s="107">
        <v>434.73</v>
      </c>
      <c r="N269" s="107">
        <v>1116.96</v>
      </c>
    </row>
    <row r="270" spans="1:14">
      <c r="A270" s="64" t="s">
        <v>214</v>
      </c>
      <c r="B270" s="107">
        <v>5263.25</v>
      </c>
      <c r="C270" s="22"/>
      <c r="D270" s="107">
        <v>5263.37</v>
      </c>
      <c r="E270" s="22"/>
      <c r="F270" s="107">
        <v>178.54</v>
      </c>
      <c r="G270" s="107"/>
      <c r="H270" s="107">
        <v>487.97</v>
      </c>
      <c r="I270" s="107">
        <v>157.94999999999999</v>
      </c>
      <c r="J270" s="107">
        <v>221.77</v>
      </c>
      <c r="K270" s="107">
        <v>46.14</v>
      </c>
      <c r="L270" s="107">
        <v>64.319999999999993</v>
      </c>
      <c r="M270" s="107">
        <v>243.44</v>
      </c>
      <c r="N270" s="107">
        <v>11926.75</v>
      </c>
    </row>
    <row r="271" spans="1:14">
      <c r="A271" s="64" t="s">
        <v>215</v>
      </c>
      <c r="B271" s="107">
        <v>181.49</v>
      </c>
      <c r="C271" s="107">
        <v>1580.97</v>
      </c>
      <c r="D271" s="107">
        <v>538.5</v>
      </c>
      <c r="E271" s="22"/>
      <c r="F271" s="22"/>
      <c r="G271" s="107">
        <v>220.79</v>
      </c>
      <c r="H271" s="107">
        <v>10.32</v>
      </c>
      <c r="I271" s="107">
        <v>994.8</v>
      </c>
      <c r="J271" s="107">
        <v>15.48</v>
      </c>
      <c r="K271" s="22"/>
      <c r="L271" s="22"/>
      <c r="M271" s="107">
        <v>38.46</v>
      </c>
      <c r="N271" s="107">
        <v>3580.81</v>
      </c>
    </row>
    <row r="272" spans="1:14">
      <c r="A272" s="64" t="s">
        <v>216</v>
      </c>
      <c r="B272" s="107">
        <v>1845.05</v>
      </c>
      <c r="C272" s="107">
        <v>1311.66</v>
      </c>
      <c r="D272" s="107">
        <v>1487.76</v>
      </c>
      <c r="E272" s="107">
        <v>1072.32</v>
      </c>
      <c r="F272" s="107">
        <v>1722.23</v>
      </c>
      <c r="G272" s="107">
        <v>2478.9499999999998</v>
      </c>
      <c r="H272" s="107">
        <v>1620.89</v>
      </c>
      <c r="I272" s="107">
        <v>2670.72</v>
      </c>
      <c r="J272" s="107">
        <v>1135.32</v>
      </c>
      <c r="K272" s="107">
        <v>1925.51</v>
      </c>
      <c r="L272" s="107">
        <v>3294.12</v>
      </c>
      <c r="M272" s="107">
        <v>2737.72</v>
      </c>
      <c r="N272" s="107">
        <v>23302.25</v>
      </c>
    </row>
    <row r="273" spans="1:14">
      <c r="A273" s="64" t="s">
        <v>217</v>
      </c>
      <c r="B273" s="107">
        <v>137.94</v>
      </c>
      <c r="C273" s="22"/>
      <c r="D273" s="107">
        <v>732.52</v>
      </c>
      <c r="E273" s="107">
        <v>281.94</v>
      </c>
      <c r="F273" s="107">
        <v>55.48</v>
      </c>
      <c r="G273" s="107">
        <v>558.61</v>
      </c>
      <c r="H273" s="107">
        <v>639.54999999999995</v>
      </c>
      <c r="I273" s="107">
        <v>308.44</v>
      </c>
      <c r="J273" s="107">
        <v>1147.93</v>
      </c>
      <c r="K273" s="22"/>
      <c r="L273" s="107">
        <v>592.15</v>
      </c>
      <c r="M273" s="107">
        <v>180.03</v>
      </c>
      <c r="N273" s="107">
        <v>4634.59</v>
      </c>
    </row>
    <row r="274" spans="1:14">
      <c r="A274" s="64" t="s">
        <v>218</v>
      </c>
      <c r="B274" s="107">
        <v>924.42</v>
      </c>
      <c r="C274" s="107">
        <v>1255.98</v>
      </c>
      <c r="D274" s="107">
        <v>1159.18</v>
      </c>
      <c r="E274" s="107">
        <v>1464.44</v>
      </c>
      <c r="F274" s="107">
        <v>2117.17</v>
      </c>
      <c r="G274" s="107">
        <v>1642.13</v>
      </c>
      <c r="H274" s="107">
        <v>1139.6500000000001</v>
      </c>
      <c r="I274" s="107">
        <v>1660.29</v>
      </c>
      <c r="J274" s="107">
        <v>159.69999999999999</v>
      </c>
      <c r="K274" s="107">
        <v>972.11</v>
      </c>
      <c r="L274" s="107">
        <v>524.38</v>
      </c>
      <c r="M274" s="107">
        <v>3656.23</v>
      </c>
      <c r="N274" s="107">
        <v>16675.68</v>
      </c>
    </row>
    <row r="275" spans="1:14">
      <c r="A275" s="64" t="s">
        <v>219</v>
      </c>
      <c r="B275" s="107">
        <v>2408.83</v>
      </c>
      <c r="C275" s="107">
        <v>1722.97</v>
      </c>
      <c r="D275" s="107">
        <v>3730.02</v>
      </c>
      <c r="E275" s="107">
        <v>1523.55</v>
      </c>
      <c r="F275" s="107">
        <v>5539.22</v>
      </c>
      <c r="G275" s="107">
        <v>2850.04</v>
      </c>
      <c r="H275" s="107">
        <v>1484.63</v>
      </c>
      <c r="I275" s="107">
        <v>1512.39</v>
      </c>
      <c r="J275" s="107">
        <v>2197.6799999999998</v>
      </c>
      <c r="K275" s="107">
        <v>1230.1500000000001</v>
      </c>
      <c r="L275" s="107">
        <v>1817.1</v>
      </c>
      <c r="M275" s="107">
        <v>1667.17</v>
      </c>
      <c r="N275" s="107">
        <v>27683.75</v>
      </c>
    </row>
    <row r="276" spans="1:14">
      <c r="A276" s="64" t="s">
        <v>220</v>
      </c>
      <c r="B276" s="111">
        <v>710.27</v>
      </c>
      <c r="C276" s="111">
        <v>1273.57</v>
      </c>
      <c r="D276" s="111">
        <v>1759.33</v>
      </c>
      <c r="E276" s="111">
        <v>755.91</v>
      </c>
      <c r="F276" s="111">
        <v>470.11</v>
      </c>
      <c r="G276" s="111">
        <v>514.77</v>
      </c>
      <c r="H276" s="111">
        <v>1019.11</v>
      </c>
      <c r="I276" s="111">
        <v>626.13</v>
      </c>
      <c r="J276" s="111">
        <v>480.62</v>
      </c>
      <c r="K276" s="111">
        <v>870.56</v>
      </c>
      <c r="L276" s="111">
        <v>954.28</v>
      </c>
      <c r="M276" s="111">
        <v>647.97</v>
      </c>
      <c r="N276" s="111">
        <v>10082.629999999999</v>
      </c>
    </row>
    <row r="277" spans="1:14">
      <c r="A277" s="64" t="s">
        <v>221</v>
      </c>
      <c r="B277" s="107">
        <f t="shared" ref="B277:M277" si="59">SUM(B262:B276)</f>
        <v>21543.37</v>
      </c>
      <c r="C277" s="107">
        <f t="shared" si="59"/>
        <v>16432.36</v>
      </c>
      <c r="D277" s="107">
        <f t="shared" si="59"/>
        <v>20888.03</v>
      </c>
      <c r="E277" s="107">
        <f t="shared" si="59"/>
        <v>12086.88</v>
      </c>
      <c r="F277" s="107">
        <f t="shared" si="59"/>
        <v>20251.060000000001</v>
      </c>
      <c r="G277" s="107">
        <f t="shared" si="59"/>
        <v>16565.330000000005</v>
      </c>
      <c r="H277" s="107">
        <f t="shared" si="59"/>
        <v>15859.61</v>
      </c>
      <c r="I277" s="107">
        <f t="shared" si="59"/>
        <v>13589.139999999998</v>
      </c>
      <c r="J277" s="107">
        <f t="shared" si="59"/>
        <v>11859.220000000001</v>
      </c>
      <c r="K277" s="107">
        <f t="shared" si="59"/>
        <v>12410.8</v>
      </c>
      <c r="L277" s="107">
        <f t="shared" si="59"/>
        <v>14905.25</v>
      </c>
      <c r="M277" s="107">
        <f t="shared" si="59"/>
        <v>20772.560000000005</v>
      </c>
      <c r="N277" s="107">
        <v>197163.61</v>
      </c>
    </row>
    <row r="278" spans="1:14">
      <c r="A278" s="64"/>
      <c r="B278" s="22"/>
      <c r="C278" s="22"/>
      <c r="D278" s="22"/>
      <c r="E278" s="22"/>
      <c r="F278" s="22"/>
      <c r="G278" s="22"/>
      <c r="H278" s="22"/>
      <c r="I278" s="22"/>
      <c r="J278" s="22"/>
      <c r="K278" s="22"/>
      <c r="L278" s="22"/>
      <c r="M278" s="22"/>
      <c r="N278" s="22"/>
    </row>
    <row r="279" spans="1:14">
      <c r="A279" s="64" t="s">
        <v>222</v>
      </c>
      <c r="B279" s="22"/>
      <c r="C279" s="22"/>
      <c r="D279" s="22"/>
      <c r="E279" s="22"/>
      <c r="F279" s="22"/>
      <c r="G279" s="22"/>
      <c r="H279" s="22"/>
      <c r="I279" s="22"/>
      <c r="J279" s="22"/>
      <c r="K279" s="22"/>
      <c r="L279" s="22"/>
      <c r="M279" s="22"/>
      <c r="N279" s="22"/>
    </row>
    <row r="280" spans="1:14">
      <c r="A280" s="64" t="s">
        <v>223</v>
      </c>
      <c r="B280" s="107">
        <v>52.9</v>
      </c>
      <c r="C280" s="107">
        <v>1378.09</v>
      </c>
      <c r="D280" s="22"/>
      <c r="E280" s="107">
        <v>386.27</v>
      </c>
      <c r="F280" s="107">
        <v>2449.21</v>
      </c>
      <c r="G280" s="22"/>
      <c r="H280" s="107">
        <v>2966.51</v>
      </c>
      <c r="I280" s="107">
        <v>40</v>
      </c>
      <c r="J280" s="107">
        <v>650</v>
      </c>
      <c r="K280" s="22"/>
      <c r="L280" s="107">
        <v>182.5</v>
      </c>
      <c r="M280" s="22"/>
      <c r="N280" s="107">
        <v>8105.48</v>
      </c>
    </row>
    <row r="281" spans="1:14">
      <c r="A281" s="64" t="s">
        <v>224</v>
      </c>
      <c r="B281" s="107">
        <v>12700.94</v>
      </c>
      <c r="C281" s="107">
        <v>10327</v>
      </c>
      <c r="D281" s="107">
        <v>1624.79</v>
      </c>
      <c r="E281" s="107">
        <v>-438.92</v>
      </c>
      <c r="F281" s="107">
        <v>6393.63</v>
      </c>
      <c r="G281" s="107">
        <v>7771.28</v>
      </c>
      <c r="H281" s="107">
        <v>19183.93</v>
      </c>
      <c r="I281" s="107">
        <v>5357</v>
      </c>
      <c r="J281" s="107">
        <v>8462.76</v>
      </c>
      <c r="K281" s="107">
        <v>7014.54</v>
      </c>
      <c r="L281" s="107">
        <v>13414.17</v>
      </c>
      <c r="M281" s="107">
        <v>13034.05</v>
      </c>
      <c r="N281" s="107">
        <v>104845.17</v>
      </c>
    </row>
    <row r="282" spans="1:14">
      <c r="A282" s="64" t="s">
        <v>225</v>
      </c>
      <c r="B282" s="107">
        <v>528.29999999999995</v>
      </c>
      <c r="C282" s="107">
        <v>163.01</v>
      </c>
      <c r="D282" s="107">
        <v>195</v>
      </c>
      <c r="E282" s="107">
        <v>290</v>
      </c>
      <c r="F282" s="107">
        <v>180</v>
      </c>
      <c r="G282" s="107">
        <v>180</v>
      </c>
      <c r="H282" s="107">
        <v>190</v>
      </c>
      <c r="I282" s="107">
        <v>320</v>
      </c>
      <c r="J282" s="107">
        <v>375</v>
      </c>
      <c r="K282" s="107">
        <v>597.21</v>
      </c>
      <c r="L282" s="107">
        <v>125</v>
      </c>
      <c r="M282" s="107">
        <v>601.88</v>
      </c>
      <c r="N282" s="107">
        <v>3745.4</v>
      </c>
    </row>
    <row r="283" spans="1:14">
      <c r="A283" s="64" t="s">
        <v>226</v>
      </c>
      <c r="B283" s="107">
        <v>1419.62</v>
      </c>
      <c r="C283" s="107">
        <v>553.99</v>
      </c>
      <c r="D283" s="107">
        <v>4283.09</v>
      </c>
      <c r="E283" s="107">
        <v>41.82</v>
      </c>
      <c r="F283" s="107">
        <v>511.16</v>
      </c>
      <c r="G283" s="107">
        <v>182.87</v>
      </c>
      <c r="H283" s="107">
        <v>2796.18</v>
      </c>
      <c r="I283" s="107">
        <v>198.98</v>
      </c>
      <c r="J283" s="107">
        <v>628.34</v>
      </c>
      <c r="K283" s="22"/>
      <c r="L283" s="107">
        <v>213.18</v>
      </c>
      <c r="M283" s="107">
        <v>405.31</v>
      </c>
      <c r="N283" s="107">
        <v>11234.54</v>
      </c>
    </row>
    <row r="284" spans="1:14">
      <c r="A284" s="64" t="s">
        <v>227</v>
      </c>
      <c r="B284" s="111">
        <v>1742.45</v>
      </c>
      <c r="C284" s="111">
        <v>774.66</v>
      </c>
      <c r="D284" s="111">
        <v>498.68</v>
      </c>
      <c r="E284" s="111">
        <v>193.44</v>
      </c>
      <c r="F284" s="111">
        <v>890.07</v>
      </c>
      <c r="G284" s="111">
        <v>594.17999999999995</v>
      </c>
      <c r="H284" s="111">
        <v>1031.6300000000001</v>
      </c>
      <c r="I284" s="111">
        <v>134.44999999999999</v>
      </c>
      <c r="J284" s="111">
        <v>1331.04</v>
      </c>
      <c r="K284" s="111">
        <v>764.48</v>
      </c>
      <c r="L284" s="111">
        <v>554.03</v>
      </c>
      <c r="M284" s="111">
        <v>423.57</v>
      </c>
      <c r="N284" s="111">
        <v>8932.68</v>
      </c>
    </row>
    <row r="285" spans="1:14">
      <c r="A285" s="64" t="s">
        <v>229</v>
      </c>
      <c r="B285" s="107">
        <f t="shared" ref="B285:M285" si="60">SUM(B278:B284)</f>
        <v>16444.21</v>
      </c>
      <c r="C285" s="107">
        <f t="shared" si="60"/>
        <v>13196.75</v>
      </c>
      <c r="D285" s="107">
        <f t="shared" si="60"/>
        <v>6601.56</v>
      </c>
      <c r="E285" s="107">
        <f t="shared" si="60"/>
        <v>472.60999999999996</v>
      </c>
      <c r="F285" s="107">
        <f t="shared" si="60"/>
        <v>10424.07</v>
      </c>
      <c r="G285" s="107">
        <f t="shared" si="60"/>
        <v>8728.33</v>
      </c>
      <c r="H285" s="107">
        <f t="shared" si="60"/>
        <v>26168.250000000004</v>
      </c>
      <c r="I285" s="107">
        <f t="shared" si="60"/>
        <v>6050.4299999999994</v>
      </c>
      <c r="J285" s="107">
        <f t="shared" si="60"/>
        <v>11447.14</v>
      </c>
      <c r="K285" s="107">
        <f t="shared" si="60"/>
        <v>8376.23</v>
      </c>
      <c r="L285" s="107">
        <f t="shared" si="60"/>
        <v>14488.880000000001</v>
      </c>
      <c r="M285" s="107">
        <f t="shared" si="60"/>
        <v>14464.809999999998</v>
      </c>
      <c r="N285" s="107">
        <v>136863.26999999999</v>
      </c>
    </row>
    <row r="286" spans="1:14">
      <c r="A286" s="64"/>
      <c r="B286" s="22"/>
      <c r="C286" s="22"/>
      <c r="D286" s="22"/>
      <c r="E286" s="22"/>
      <c r="F286" s="22"/>
      <c r="G286" s="22"/>
      <c r="H286" s="22"/>
      <c r="I286" s="22"/>
      <c r="J286" s="22"/>
      <c r="K286" s="22"/>
      <c r="L286" s="22"/>
      <c r="M286" s="22"/>
      <c r="N286" s="22"/>
    </row>
    <row r="287" spans="1:14">
      <c r="A287" s="64" t="s">
        <v>230</v>
      </c>
      <c r="B287" s="22"/>
      <c r="C287" s="22"/>
      <c r="D287" s="22"/>
      <c r="E287" s="22"/>
      <c r="F287" s="22"/>
      <c r="G287" s="22"/>
      <c r="H287" s="22"/>
      <c r="I287" s="22"/>
      <c r="J287" s="22"/>
      <c r="K287" s="22"/>
      <c r="L287" s="22"/>
      <c r="M287" s="22"/>
      <c r="N287" s="22"/>
    </row>
    <row r="288" spans="1:14">
      <c r="A288" s="64" t="s">
        <v>231</v>
      </c>
      <c r="B288" s="107">
        <v>16500</v>
      </c>
      <c r="C288" s="107">
        <v>16500</v>
      </c>
      <c r="D288" s="107">
        <v>16500</v>
      </c>
      <c r="E288" s="107">
        <v>16500</v>
      </c>
      <c r="F288" s="107">
        <v>36657.910000000003</v>
      </c>
      <c r="G288" s="107">
        <v>18000</v>
      </c>
      <c r="H288" s="107">
        <v>18000</v>
      </c>
      <c r="I288" s="107">
        <v>18000</v>
      </c>
      <c r="J288" s="107">
        <v>18000</v>
      </c>
      <c r="K288" s="107">
        <v>18000</v>
      </c>
      <c r="L288" s="107">
        <v>18000</v>
      </c>
      <c r="M288" s="107">
        <v>18000</v>
      </c>
      <c r="N288" s="107">
        <v>228657.91</v>
      </c>
    </row>
    <row r="289" spans="1:14">
      <c r="A289" s="64" t="s">
        <v>232</v>
      </c>
      <c r="B289" s="107">
        <v>725</v>
      </c>
      <c r="C289" s="107">
        <v>725</v>
      </c>
      <c r="D289" s="107">
        <v>725</v>
      </c>
      <c r="E289" s="107">
        <v>725</v>
      </c>
      <c r="F289" s="107">
        <v>-14.67</v>
      </c>
      <c r="G289" s="107">
        <v>650</v>
      </c>
      <c r="H289" s="107">
        <v>650</v>
      </c>
      <c r="I289" s="107">
        <v>650</v>
      </c>
      <c r="J289" s="107">
        <v>650</v>
      </c>
      <c r="K289" s="107">
        <v>650</v>
      </c>
      <c r="L289" s="107">
        <v>650</v>
      </c>
      <c r="M289" s="107">
        <v>650</v>
      </c>
      <c r="N289" s="107">
        <v>7435.33</v>
      </c>
    </row>
    <row r="290" spans="1:14">
      <c r="A290" s="64" t="s">
        <v>234</v>
      </c>
      <c r="B290" s="22"/>
      <c r="C290" s="22"/>
      <c r="D290" s="22"/>
      <c r="E290" s="22"/>
      <c r="F290" s="107">
        <v>125</v>
      </c>
      <c r="G290" s="107">
        <v>66.67</v>
      </c>
      <c r="H290" s="22"/>
      <c r="I290" s="22"/>
      <c r="J290" s="107">
        <v>175</v>
      </c>
      <c r="K290" s="107">
        <v>180</v>
      </c>
      <c r="L290" s="107">
        <v>180</v>
      </c>
      <c r="M290" s="22"/>
      <c r="N290" s="107">
        <v>726.67</v>
      </c>
    </row>
    <row r="291" spans="1:14">
      <c r="A291" s="64" t="s">
        <v>352</v>
      </c>
      <c r="B291" s="107">
        <v>970.06</v>
      </c>
      <c r="C291" s="107"/>
      <c r="D291" s="107"/>
      <c r="E291" s="22"/>
      <c r="F291" s="107">
        <v>1390</v>
      </c>
      <c r="G291" s="107">
        <v>970.06</v>
      </c>
      <c r="H291" s="107">
        <v>970.06</v>
      </c>
      <c r="I291" s="107">
        <v>970.06</v>
      </c>
      <c r="J291" s="107">
        <v>970.06</v>
      </c>
      <c r="K291" s="107">
        <v>970.06</v>
      </c>
      <c r="L291" s="107">
        <v>970.06</v>
      </c>
      <c r="M291" s="107">
        <v>970.06</v>
      </c>
      <c r="N291" s="107">
        <v>9150.48</v>
      </c>
    </row>
    <row r="292" spans="1:14">
      <c r="A292" s="64" t="s">
        <v>235</v>
      </c>
      <c r="B292" s="22"/>
      <c r="C292" s="22"/>
      <c r="D292" s="22"/>
      <c r="E292" s="22"/>
      <c r="F292" s="107"/>
      <c r="G292" s="22"/>
      <c r="H292" s="22"/>
      <c r="I292" s="22"/>
      <c r="J292" s="107">
        <v>70</v>
      </c>
      <c r="K292" s="22"/>
      <c r="L292" s="22"/>
      <c r="M292" s="22"/>
      <c r="N292" s="107">
        <v>70</v>
      </c>
    </row>
    <row r="293" spans="1:14">
      <c r="A293" s="64" t="s">
        <v>228</v>
      </c>
      <c r="B293" s="113"/>
      <c r="C293" s="113"/>
      <c r="D293" s="113"/>
      <c r="E293" s="113"/>
      <c r="F293" s="113"/>
      <c r="G293" s="113"/>
      <c r="H293" s="113"/>
      <c r="I293" s="113"/>
      <c r="J293" s="113"/>
      <c r="K293" s="113"/>
      <c r="L293" s="113"/>
      <c r="M293" s="111">
        <v>1120</v>
      </c>
      <c r="N293" s="111">
        <v>1120</v>
      </c>
    </row>
    <row r="294" spans="1:14">
      <c r="A294" s="64" t="s">
        <v>236</v>
      </c>
      <c r="B294" s="107">
        <f t="shared" ref="B294:M294" si="61">SUM(B286:B293)</f>
        <v>18195.060000000001</v>
      </c>
      <c r="C294" s="107">
        <f t="shared" si="61"/>
        <v>17225</v>
      </c>
      <c r="D294" s="107">
        <f t="shared" si="61"/>
        <v>17225</v>
      </c>
      <c r="E294" s="107">
        <f t="shared" si="61"/>
        <v>17225</v>
      </c>
      <c r="F294" s="107">
        <f t="shared" si="61"/>
        <v>38158.240000000005</v>
      </c>
      <c r="G294" s="107">
        <f t="shared" si="61"/>
        <v>19686.73</v>
      </c>
      <c r="H294" s="107">
        <f t="shared" si="61"/>
        <v>19620.060000000001</v>
      </c>
      <c r="I294" s="107">
        <f t="shared" si="61"/>
        <v>19620.060000000001</v>
      </c>
      <c r="J294" s="107">
        <f t="shared" si="61"/>
        <v>19865.060000000001</v>
      </c>
      <c r="K294" s="107">
        <f t="shared" si="61"/>
        <v>19800.060000000001</v>
      </c>
      <c r="L294" s="107">
        <f t="shared" si="61"/>
        <v>19800.060000000001</v>
      </c>
      <c r="M294" s="107">
        <f t="shared" si="61"/>
        <v>20740.060000000001</v>
      </c>
      <c r="N294" s="107">
        <v>247160.39</v>
      </c>
    </row>
    <row r="295" spans="1:14">
      <c r="A295" s="64"/>
      <c r="B295" s="22"/>
      <c r="C295" s="22"/>
      <c r="D295" s="22"/>
      <c r="E295" s="22"/>
      <c r="F295" s="22"/>
      <c r="G295" s="22"/>
      <c r="H295" s="22"/>
      <c r="I295" s="22"/>
      <c r="J295" s="22"/>
      <c r="K295" s="22"/>
      <c r="L295" s="22"/>
      <c r="M295" s="22"/>
      <c r="N295" s="22"/>
    </row>
    <row r="296" spans="1:14">
      <c r="A296" s="64" t="s">
        <v>237</v>
      </c>
      <c r="B296" s="22"/>
      <c r="C296" s="22"/>
      <c r="D296" s="22"/>
      <c r="E296" s="22"/>
      <c r="F296" s="22"/>
      <c r="G296" s="22"/>
      <c r="H296" s="22"/>
      <c r="I296" s="22"/>
      <c r="J296" s="22"/>
      <c r="K296" s="22"/>
      <c r="L296" s="22"/>
      <c r="M296" s="22"/>
      <c r="N296" s="22"/>
    </row>
    <row r="297" spans="1:14">
      <c r="A297" s="64" t="s">
        <v>375</v>
      </c>
      <c r="B297" s="22"/>
      <c r="C297" s="22"/>
      <c r="D297" s="22"/>
      <c r="E297" s="22"/>
      <c r="F297" s="22"/>
      <c r="G297" s="22"/>
      <c r="H297" s="107">
        <v>14539</v>
      </c>
      <c r="I297" s="22"/>
      <c r="J297" s="22"/>
      <c r="K297" s="107">
        <v>2627</v>
      </c>
      <c r="L297" s="22"/>
      <c r="M297" s="22"/>
      <c r="N297" s="107">
        <v>17166</v>
      </c>
    </row>
    <row r="298" spans="1:14">
      <c r="A298" s="64" t="s">
        <v>228</v>
      </c>
      <c r="B298" s="111">
        <v>8193</v>
      </c>
      <c r="C298" s="111">
        <v>7451</v>
      </c>
      <c r="D298" s="111">
        <v>8170</v>
      </c>
      <c r="E298" s="111">
        <v>7566</v>
      </c>
      <c r="F298" s="111">
        <v>-73748</v>
      </c>
      <c r="G298" s="111">
        <v>8620</v>
      </c>
      <c r="H298" s="111">
        <v>6938</v>
      </c>
      <c r="I298" s="111">
        <v>9092</v>
      </c>
      <c r="J298" s="111">
        <v>8995</v>
      </c>
      <c r="K298" s="111">
        <v>9560</v>
      </c>
      <c r="L298" s="111">
        <v>34254</v>
      </c>
      <c r="M298" s="111">
        <v>34129</v>
      </c>
      <c r="N298" s="111">
        <v>69220</v>
      </c>
    </row>
    <row r="299" spans="1:14">
      <c r="A299" s="64" t="s">
        <v>238</v>
      </c>
      <c r="B299" s="107">
        <f t="shared" ref="B299:M299" si="62">SUM(B295:B298)</f>
        <v>8193</v>
      </c>
      <c r="C299" s="107">
        <f t="shared" si="62"/>
        <v>7451</v>
      </c>
      <c r="D299" s="107">
        <f t="shared" si="62"/>
        <v>8170</v>
      </c>
      <c r="E299" s="107">
        <f t="shared" si="62"/>
        <v>7566</v>
      </c>
      <c r="F299" s="107">
        <f t="shared" si="62"/>
        <v>-73748</v>
      </c>
      <c r="G299" s="107">
        <f t="shared" si="62"/>
        <v>8620</v>
      </c>
      <c r="H299" s="107">
        <f t="shared" si="62"/>
        <v>21477</v>
      </c>
      <c r="I299" s="107">
        <f t="shared" si="62"/>
        <v>9092</v>
      </c>
      <c r="J299" s="107">
        <f t="shared" si="62"/>
        <v>8995</v>
      </c>
      <c r="K299" s="107">
        <f t="shared" si="62"/>
        <v>12187</v>
      </c>
      <c r="L299" s="107">
        <f t="shared" si="62"/>
        <v>34254</v>
      </c>
      <c r="M299" s="107">
        <f t="shared" si="62"/>
        <v>34129</v>
      </c>
      <c r="N299" s="107">
        <v>86386</v>
      </c>
    </row>
    <row r="300" spans="1:14">
      <c r="A300" s="64"/>
      <c r="B300" s="22"/>
      <c r="C300" s="22"/>
      <c r="D300" s="22"/>
      <c r="E300" s="22"/>
      <c r="F300" s="22"/>
      <c r="G300" s="22"/>
      <c r="H300" s="22"/>
      <c r="I300" s="22"/>
      <c r="J300" s="22"/>
      <c r="K300" s="22"/>
      <c r="L300" s="22"/>
      <c r="M300" s="22"/>
      <c r="N300" s="22"/>
    </row>
    <row r="301" spans="1:14">
      <c r="A301" s="64" t="s">
        <v>239</v>
      </c>
      <c r="B301" s="22"/>
      <c r="C301" s="22"/>
      <c r="D301" s="22"/>
      <c r="E301" s="22"/>
      <c r="F301" s="22"/>
      <c r="G301" s="22"/>
      <c r="H301" s="22"/>
      <c r="I301" s="22"/>
      <c r="J301" s="22"/>
      <c r="K301" s="22"/>
      <c r="L301" s="22"/>
      <c r="M301" s="22"/>
      <c r="N301" s="22"/>
    </row>
    <row r="302" spans="1:14">
      <c r="A302" s="64" t="s">
        <v>240</v>
      </c>
      <c r="B302" s="107">
        <v>3773.32</v>
      </c>
      <c r="C302" s="107">
        <v>3773.32</v>
      </c>
      <c r="D302" s="107">
        <v>3773.32</v>
      </c>
      <c r="E302" s="107">
        <v>3773.32</v>
      </c>
      <c r="F302" s="107">
        <v>3773.32</v>
      </c>
      <c r="G302" s="107">
        <v>3773.31</v>
      </c>
      <c r="H302" s="107">
        <v>3267.75</v>
      </c>
      <c r="I302" s="107">
        <v>3267.75</v>
      </c>
      <c r="J302" s="107">
        <v>3267.75</v>
      </c>
      <c r="K302" s="107">
        <v>3267.75</v>
      </c>
      <c r="L302" s="107">
        <v>3267.75</v>
      </c>
      <c r="M302" s="107">
        <v>3267.75</v>
      </c>
      <c r="N302" s="107">
        <v>42246.41</v>
      </c>
    </row>
    <row r="303" spans="1:14">
      <c r="A303" s="64" t="s">
        <v>241</v>
      </c>
      <c r="B303" s="107">
        <v>302.33</v>
      </c>
      <c r="C303" s="107">
        <v>302.33</v>
      </c>
      <c r="D303" s="107">
        <v>302.33</v>
      </c>
      <c r="E303" s="107">
        <v>302.33</v>
      </c>
      <c r="F303" s="107">
        <v>302.33</v>
      </c>
      <c r="G303" s="107">
        <v>302.33</v>
      </c>
      <c r="H303" s="107">
        <v>708.17</v>
      </c>
      <c r="I303" s="107">
        <v>708.17</v>
      </c>
      <c r="J303" s="107">
        <v>708.17</v>
      </c>
      <c r="K303" s="107">
        <v>708.17</v>
      </c>
      <c r="L303" s="107">
        <v>708.17</v>
      </c>
      <c r="M303" s="107">
        <v>708.17</v>
      </c>
      <c r="N303" s="107">
        <v>6063</v>
      </c>
    </row>
    <row r="304" spans="1:14">
      <c r="A304" s="64" t="s">
        <v>242</v>
      </c>
      <c r="B304" s="107">
        <v>6470.99</v>
      </c>
      <c r="C304" s="107">
        <v>7033.69</v>
      </c>
      <c r="D304" s="107">
        <v>7033.69</v>
      </c>
      <c r="E304" s="107">
        <v>7033.69</v>
      </c>
      <c r="F304" s="107">
        <v>7033.69</v>
      </c>
      <c r="G304" s="107">
        <v>7613.35</v>
      </c>
      <c r="H304" s="107">
        <v>7033.69</v>
      </c>
      <c r="I304" s="107">
        <v>7033.69</v>
      </c>
      <c r="J304" s="107">
        <v>7033.69</v>
      </c>
      <c r="K304" s="107">
        <v>7033.69</v>
      </c>
      <c r="L304" s="107">
        <v>7033.69</v>
      </c>
      <c r="M304" s="107">
        <v>7033.69</v>
      </c>
      <c r="N304" s="107">
        <v>84421.24</v>
      </c>
    </row>
    <row r="305" spans="1:14">
      <c r="A305" s="64" t="s">
        <v>284</v>
      </c>
      <c r="B305" s="22"/>
      <c r="C305" s="22"/>
      <c r="D305" s="107">
        <v>50000</v>
      </c>
      <c r="E305" s="22"/>
      <c r="F305" s="107">
        <v>-50000</v>
      </c>
      <c r="G305" s="22"/>
      <c r="H305" s="22"/>
      <c r="I305" s="22"/>
      <c r="J305" s="107">
        <v>20647.18</v>
      </c>
      <c r="K305" s="22"/>
      <c r="L305" s="22"/>
      <c r="M305" s="107"/>
      <c r="N305" s="107">
        <v>20647.18</v>
      </c>
    </row>
    <row r="306" spans="1:14">
      <c r="A306" s="64" t="s">
        <v>387</v>
      </c>
      <c r="B306" s="113"/>
      <c r="C306" s="113"/>
      <c r="D306" s="113"/>
      <c r="E306" s="113"/>
      <c r="F306" s="113"/>
      <c r="G306" s="113"/>
      <c r="H306" s="113"/>
      <c r="I306" s="113"/>
      <c r="J306" s="113"/>
      <c r="K306" s="113"/>
      <c r="L306" s="113"/>
      <c r="M306" s="113"/>
      <c r="N306" s="113"/>
    </row>
    <row r="307" spans="1:14">
      <c r="A307" s="64" t="s">
        <v>244</v>
      </c>
      <c r="B307" s="107">
        <f t="shared" ref="B307:M307" si="63">SUM(B300:B306)</f>
        <v>10546.64</v>
      </c>
      <c r="C307" s="107">
        <f t="shared" si="63"/>
        <v>11109.34</v>
      </c>
      <c r="D307" s="107">
        <f t="shared" si="63"/>
        <v>61109.34</v>
      </c>
      <c r="E307" s="107">
        <f t="shared" si="63"/>
        <v>11109.34</v>
      </c>
      <c r="F307" s="107">
        <f t="shared" si="63"/>
        <v>-38890.660000000003</v>
      </c>
      <c r="G307" s="107">
        <f t="shared" si="63"/>
        <v>11688.99</v>
      </c>
      <c r="H307" s="107">
        <f t="shared" si="63"/>
        <v>11009.61</v>
      </c>
      <c r="I307" s="107">
        <f t="shared" si="63"/>
        <v>11009.61</v>
      </c>
      <c r="J307" s="107">
        <f t="shared" si="63"/>
        <v>31656.79</v>
      </c>
      <c r="K307" s="107">
        <f t="shared" si="63"/>
        <v>11009.61</v>
      </c>
      <c r="L307" s="107">
        <f t="shared" si="63"/>
        <v>11009.61</v>
      </c>
      <c r="M307" s="107">
        <f t="shared" si="63"/>
        <v>11009.61</v>
      </c>
      <c r="N307" s="107">
        <v>153377.82999999999</v>
      </c>
    </row>
    <row r="308" spans="1:14">
      <c r="A308" s="64"/>
      <c r="B308" s="22"/>
      <c r="C308" s="22"/>
      <c r="D308" s="22"/>
      <c r="E308" s="22"/>
      <c r="F308" s="22"/>
      <c r="G308" s="22"/>
      <c r="H308" s="22"/>
      <c r="I308" s="22"/>
      <c r="J308" s="22"/>
      <c r="K308" s="22"/>
      <c r="L308" s="22"/>
      <c r="M308" s="22"/>
      <c r="N308" s="22"/>
    </row>
    <row r="309" spans="1:14">
      <c r="A309" s="64" t="s">
        <v>245</v>
      </c>
      <c r="B309" s="22"/>
      <c r="C309" s="22"/>
      <c r="D309" s="22"/>
      <c r="E309" s="22"/>
      <c r="F309" s="22"/>
      <c r="G309" s="22"/>
      <c r="H309" s="22"/>
      <c r="I309" s="22"/>
      <c r="J309" s="22"/>
      <c r="K309" s="22"/>
      <c r="L309" s="22"/>
      <c r="M309" s="22"/>
      <c r="N309" s="22"/>
    </row>
    <row r="310" spans="1:14">
      <c r="A310" s="64" t="s">
        <v>246</v>
      </c>
      <c r="B310" s="107">
        <v>739.32</v>
      </c>
      <c r="C310" s="107">
        <v>739.32</v>
      </c>
      <c r="D310" s="107">
        <v>739.32</v>
      </c>
      <c r="E310" s="107">
        <v>1363.89</v>
      </c>
      <c r="F310" s="107">
        <v>828.64</v>
      </c>
      <c r="G310" s="107">
        <v>414.32</v>
      </c>
      <c r="H310" s="107">
        <v>1290.0999999999999</v>
      </c>
      <c r="I310" s="107">
        <v>1043.6600000000001</v>
      </c>
      <c r="J310" s="107">
        <v>982.4</v>
      </c>
      <c r="K310" s="107">
        <v>982.4</v>
      </c>
      <c r="L310" s="107">
        <v>1127.78</v>
      </c>
      <c r="M310" s="107">
        <v>1385.36</v>
      </c>
      <c r="N310" s="107">
        <v>11636.51</v>
      </c>
    </row>
    <row r="311" spans="1:14">
      <c r="A311" s="64" t="s">
        <v>247</v>
      </c>
      <c r="B311" s="107">
        <v>3022.84</v>
      </c>
      <c r="C311" s="107">
        <v>2889.56</v>
      </c>
      <c r="D311" s="107">
        <v>2955.86</v>
      </c>
      <c r="E311" s="107">
        <v>4475.37</v>
      </c>
      <c r="F311" s="107">
        <v>3132.75</v>
      </c>
      <c r="G311" s="107">
        <v>1675.65</v>
      </c>
      <c r="H311" s="107">
        <v>4451.8500000000004</v>
      </c>
      <c r="I311" s="107">
        <v>3259.66</v>
      </c>
      <c r="J311" s="107">
        <v>3088.18</v>
      </c>
      <c r="K311" s="107">
        <v>2985.06</v>
      </c>
      <c r="L311" s="107">
        <v>3165.96</v>
      </c>
      <c r="M311" s="107">
        <v>3008.16</v>
      </c>
      <c r="N311" s="107">
        <v>38110.9</v>
      </c>
    </row>
    <row r="312" spans="1:14">
      <c r="A312" s="64" t="s">
        <v>248</v>
      </c>
      <c r="B312" s="107">
        <v>-1093.19</v>
      </c>
      <c r="C312" s="22"/>
      <c r="D312" s="22"/>
      <c r="E312" s="22"/>
      <c r="F312" s="22"/>
      <c r="G312" s="22"/>
      <c r="H312" s="22"/>
      <c r="I312" s="22"/>
      <c r="J312" s="22"/>
      <c r="K312" s="22"/>
      <c r="L312" s="22"/>
      <c r="M312" s="22"/>
      <c r="N312" s="107">
        <v>-1093.19</v>
      </c>
    </row>
    <row r="313" spans="1:14">
      <c r="A313" s="64" t="s">
        <v>362</v>
      </c>
      <c r="B313" s="107">
        <v>1442</v>
      </c>
      <c r="C313" s="107">
        <v>1442</v>
      </c>
      <c r="D313" s="107">
        <v>1442</v>
      </c>
      <c r="E313" s="107">
        <v>1442</v>
      </c>
      <c r="F313" s="107">
        <v>1442</v>
      </c>
      <c r="G313" s="107">
        <v>1442</v>
      </c>
      <c r="H313" s="107">
        <v>1442</v>
      </c>
      <c r="I313" s="107">
        <v>1442</v>
      </c>
      <c r="J313" s="107">
        <v>1442</v>
      </c>
      <c r="K313" s="107">
        <v>1442</v>
      </c>
      <c r="L313" s="107">
        <v>1442</v>
      </c>
      <c r="M313" s="107">
        <v>1442</v>
      </c>
      <c r="N313" s="107">
        <v>17304</v>
      </c>
    </row>
    <row r="314" spans="1:14">
      <c r="A314" s="64" t="s">
        <v>363</v>
      </c>
      <c r="B314" s="111">
        <v>-1881.08</v>
      </c>
      <c r="C314" s="111">
        <v>-1814.44</v>
      </c>
      <c r="D314" s="111">
        <v>-1847.59</v>
      </c>
      <c r="E314" s="111">
        <v>-3892.84</v>
      </c>
      <c r="F314" s="111">
        <v>-1871.42</v>
      </c>
      <c r="G314" s="111"/>
      <c r="H314" s="111">
        <v>-3915.96</v>
      </c>
      <c r="I314" s="111">
        <v>-2151.66</v>
      </c>
      <c r="J314" s="111">
        <v>-2035.29</v>
      </c>
      <c r="K314" s="111">
        <v>-1983.73</v>
      </c>
      <c r="L314" s="111">
        <v>-2146.87</v>
      </c>
      <c r="M314" s="111">
        <v>-2196.7600000000002</v>
      </c>
      <c r="N314" s="111">
        <v>-25737.64</v>
      </c>
    </row>
    <row r="315" spans="1:14">
      <c r="A315" s="64" t="s">
        <v>250</v>
      </c>
      <c r="B315" s="107">
        <f t="shared" ref="B315:M315" si="64">SUM(B308:B314)</f>
        <v>2229.8900000000003</v>
      </c>
      <c r="C315" s="107">
        <f t="shared" si="64"/>
        <v>3256.44</v>
      </c>
      <c r="D315" s="107">
        <f t="shared" si="64"/>
        <v>3289.59</v>
      </c>
      <c r="E315" s="107">
        <f t="shared" si="64"/>
        <v>3388.42</v>
      </c>
      <c r="F315" s="107">
        <f t="shared" si="64"/>
        <v>3531.9699999999993</v>
      </c>
      <c r="G315" s="107">
        <f t="shared" si="64"/>
        <v>3531.9700000000003</v>
      </c>
      <c r="H315" s="107">
        <f t="shared" si="64"/>
        <v>3267.9900000000007</v>
      </c>
      <c r="I315" s="107">
        <f t="shared" si="64"/>
        <v>3593.66</v>
      </c>
      <c r="J315" s="107">
        <f t="shared" si="64"/>
        <v>3477.29</v>
      </c>
      <c r="K315" s="107">
        <f t="shared" si="64"/>
        <v>3425.73</v>
      </c>
      <c r="L315" s="107">
        <f t="shared" si="64"/>
        <v>3588.87</v>
      </c>
      <c r="M315" s="107">
        <f t="shared" si="64"/>
        <v>3638.7599999999993</v>
      </c>
      <c r="N315" s="107">
        <v>40220.58</v>
      </c>
    </row>
    <row r="316" spans="1:14">
      <c r="A316" s="64"/>
      <c r="B316" s="22"/>
      <c r="C316" s="22"/>
      <c r="D316" s="22"/>
      <c r="E316" s="22"/>
      <c r="F316" s="22"/>
      <c r="G316" s="22"/>
      <c r="H316" s="22"/>
      <c r="I316" s="22"/>
      <c r="J316" s="22"/>
      <c r="K316" s="22"/>
      <c r="L316" s="22"/>
      <c r="M316" s="22"/>
      <c r="N316" s="22"/>
    </row>
    <row r="317" spans="1:14">
      <c r="A317" s="64" t="s">
        <v>251</v>
      </c>
      <c r="B317" s="22"/>
      <c r="C317" s="22"/>
      <c r="D317" s="22"/>
      <c r="E317" s="22"/>
      <c r="F317" s="22"/>
      <c r="G317" s="22"/>
      <c r="H317" s="22"/>
      <c r="I317" s="22"/>
      <c r="J317" s="22"/>
      <c r="K317" s="22"/>
      <c r="L317" s="22"/>
      <c r="M317" s="22"/>
      <c r="N317" s="22"/>
    </row>
    <row r="318" spans="1:14">
      <c r="A318" s="64" t="s">
        <v>252</v>
      </c>
      <c r="B318" s="107">
        <v>90000</v>
      </c>
      <c r="C318" s="107">
        <v>90000</v>
      </c>
      <c r="D318" s="107">
        <v>90000</v>
      </c>
      <c r="E318" s="107">
        <v>90000</v>
      </c>
      <c r="F318" s="107">
        <v>90000</v>
      </c>
      <c r="G318" s="107">
        <v>90000</v>
      </c>
      <c r="H318" s="107">
        <v>90000</v>
      </c>
      <c r="I318" s="107">
        <v>90000</v>
      </c>
      <c r="J318" s="107">
        <v>90000</v>
      </c>
      <c r="K318" s="107">
        <v>90000</v>
      </c>
      <c r="L318" s="107">
        <v>90000</v>
      </c>
      <c r="M318" s="107">
        <v>90000</v>
      </c>
      <c r="N318" s="107">
        <v>1080000</v>
      </c>
    </row>
    <row r="319" spans="1:14">
      <c r="A319" s="64" t="s">
        <v>253</v>
      </c>
      <c r="B319" s="107">
        <v>3510.84</v>
      </c>
      <c r="C319" s="107">
        <v>1460.4</v>
      </c>
      <c r="D319" s="107">
        <v>1287.04</v>
      </c>
      <c r="E319" s="107">
        <v>1365.76</v>
      </c>
      <c r="F319" s="107">
        <v>1845.11</v>
      </c>
      <c r="G319" s="107">
        <v>1121.45</v>
      </c>
      <c r="H319" s="107">
        <v>894.49</v>
      </c>
      <c r="I319" s="107">
        <v>936.83</v>
      </c>
      <c r="J319" s="107">
        <v>1119.67</v>
      </c>
      <c r="K319" s="107">
        <v>989.97</v>
      </c>
      <c r="L319" s="107">
        <v>1155.17</v>
      </c>
      <c r="M319" s="107">
        <v>1033.98</v>
      </c>
      <c r="N319" s="107">
        <v>16720.71</v>
      </c>
    </row>
    <row r="320" spans="1:14">
      <c r="A320" s="64" t="s">
        <v>321</v>
      </c>
      <c r="B320" s="107">
        <v>809.24</v>
      </c>
      <c r="C320" s="22"/>
      <c r="D320" s="22"/>
      <c r="E320" s="22"/>
      <c r="F320" s="107">
        <v>290</v>
      </c>
      <c r="G320" s="22"/>
      <c r="H320" s="107">
        <v>300</v>
      </c>
      <c r="I320" s="22"/>
      <c r="J320" s="22"/>
      <c r="K320" s="22"/>
      <c r="L320" s="22"/>
      <c r="M320" s="22"/>
      <c r="N320" s="107">
        <v>1399.24</v>
      </c>
    </row>
    <row r="321" spans="1:14">
      <c r="A321" s="64" t="s">
        <v>254</v>
      </c>
      <c r="B321" s="113"/>
      <c r="C321" s="111">
        <v>452.81</v>
      </c>
      <c r="D321" s="111">
        <v>87.27</v>
      </c>
      <c r="E321" s="113"/>
      <c r="F321" s="113"/>
      <c r="G321" s="113"/>
      <c r="H321" s="111">
        <v>561.20000000000005</v>
      </c>
      <c r="I321" s="113"/>
      <c r="J321" s="111">
        <v>105.43</v>
      </c>
      <c r="K321" s="111">
        <v>1764.57</v>
      </c>
      <c r="L321" s="111">
        <v>607.07000000000005</v>
      </c>
      <c r="M321" s="111">
        <v>1440.58</v>
      </c>
      <c r="N321" s="111">
        <v>5018.93</v>
      </c>
    </row>
    <row r="322" spans="1:14">
      <c r="A322" s="64" t="s">
        <v>255</v>
      </c>
      <c r="B322" s="107">
        <f t="shared" ref="B322:M322" si="65">SUM(B316:B321)</f>
        <v>94320.08</v>
      </c>
      <c r="C322" s="107">
        <f t="shared" si="65"/>
        <v>91913.209999999992</v>
      </c>
      <c r="D322" s="107">
        <f t="shared" si="65"/>
        <v>91374.31</v>
      </c>
      <c r="E322" s="107">
        <f t="shared" si="65"/>
        <v>91365.759999999995</v>
      </c>
      <c r="F322" s="107">
        <f t="shared" si="65"/>
        <v>92135.11</v>
      </c>
      <c r="G322" s="107">
        <f t="shared" si="65"/>
        <v>91121.45</v>
      </c>
      <c r="H322" s="107">
        <f t="shared" si="65"/>
        <v>91755.69</v>
      </c>
      <c r="I322" s="107">
        <f t="shared" si="65"/>
        <v>90936.83</v>
      </c>
      <c r="J322" s="107">
        <f t="shared" si="65"/>
        <v>91225.099999999991</v>
      </c>
      <c r="K322" s="107">
        <f t="shared" si="65"/>
        <v>92754.540000000008</v>
      </c>
      <c r="L322" s="107">
        <f t="shared" si="65"/>
        <v>91762.240000000005</v>
      </c>
      <c r="M322" s="107">
        <f t="shared" si="65"/>
        <v>92474.559999999998</v>
      </c>
      <c r="N322" s="107">
        <v>1103138.8799999999</v>
      </c>
    </row>
    <row r="323" spans="1:14">
      <c r="A323" s="64"/>
      <c r="B323" s="22"/>
      <c r="C323" s="22"/>
      <c r="D323" s="22"/>
      <c r="E323" s="22"/>
      <c r="F323" s="22"/>
      <c r="G323" s="22"/>
      <c r="H323" s="22"/>
      <c r="I323" s="22"/>
      <c r="J323" s="22"/>
      <c r="K323" s="22"/>
      <c r="L323" s="22"/>
      <c r="M323" s="22"/>
      <c r="N323" s="22"/>
    </row>
    <row r="324" spans="1:14">
      <c r="A324" s="64" t="s">
        <v>256</v>
      </c>
      <c r="B324" s="22"/>
      <c r="C324" s="22"/>
      <c r="D324" s="22"/>
      <c r="E324" s="22"/>
      <c r="F324" s="22"/>
      <c r="G324" s="22"/>
      <c r="H324" s="22"/>
      <c r="I324" s="22"/>
      <c r="J324" s="22"/>
      <c r="K324" s="22"/>
      <c r="L324" s="22"/>
      <c r="M324" s="22"/>
      <c r="N324" s="22"/>
    </row>
    <row r="325" spans="1:14">
      <c r="A325" s="64" t="s">
        <v>257</v>
      </c>
      <c r="B325" s="111">
        <v>-2318.52</v>
      </c>
      <c r="C325" s="113"/>
      <c r="D325" s="111">
        <v>356.43</v>
      </c>
      <c r="E325" s="113"/>
      <c r="F325" s="111">
        <v>-39401.78</v>
      </c>
      <c r="G325" s="113"/>
      <c r="H325" s="113"/>
      <c r="I325" s="113"/>
      <c r="J325" s="111">
        <v>10005</v>
      </c>
      <c r="K325" s="113"/>
      <c r="L325" s="113"/>
      <c r="M325" s="113"/>
      <c r="N325" s="111">
        <v>-31358.87</v>
      </c>
    </row>
    <row r="326" spans="1:14">
      <c r="A326" s="64" t="s">
        <v>258</v>
      </c>
      <c r="B326" s="107">
        <f>SUM(B323:B325)</f>
        <v>-2318.52</v>
      </c>
      <c r="C326" s="107"/>
      <c r="D326" s="107">
        <f>SUM(D323:D325)</f>
        <v>356.43</v>
      </c>
      <c r="E326" s="107"/>
      <c r="F326" s="107">
        <f>SUM(F323:F325)</f>
        <v>-39401.78</v>
      </c>
      <c r="G326" s="107"/>
      <c r="H326" s="107"/>
      <c r="I326" s="107"/>
      <c r="J326" s="107">
        <f>SUM(J323:J325)</f>
        <v>10005</v>
      </c>
      <c r="K326" s="107"/>
      <c r="L326" s="107"/>
      <c r="M326" s="107"/>
      <c r="N326" s="107">
        <v>-31358.87</v>
      </c>
    </row>
    <row r="327" spans="1:14">
      <c r="A327" s="64"/>
      <c r="B327" s="22"/>
      <c r="C327" s="22"/>
      <c r="D327" s="22"/>
      <c r="E327" s="22"/>
      <c r="F327" s="22"/>
      <c r="G327" s="22"/>
      <c r="H327" s="22"/>
      <c r="I327" s="22"/>
      <c r="J327" s="22"/>
      <c r="K327" s="22"/>
      <c r="L327" s="22"/>
      <c r="M327" s="22"/>
      <c r="N327" s="22"/>
    </row>
    <row r="328" spans="1:14" ht="15.75" thickBot="1">
      <c r="A328" s="64" t="s">
        <v>62</v>
      </c>
      <c r="B328" s="112">
        <f t="shared" ref="B328:M328" si="66">SUM(B187:B327)-B204-B209-B220-B235-B261-B277-B285-B294-B299-B307-B315-B322-B326</f>
        <v>868030.62000000058</v>
      </c>
      <c r="C328" s="112">
        <f t="shared" si="66"/>
        <v>830976.09000000067</v>
      </c>
      <c r="D328" s="112">
        <f t="shared" si="66"/>
        <v>885512.7700000006</v>
      </c>
      <c r="E328" s="112">
        <f t="shared" si="66"/>
        <v>795957.27000000048</v>
      </c>
      <c r="F328" s="112">
        <f t="shared" si="66"/>
        <v>171832.20999999953</v>
      </c>
      <c r="G328" s="112">
        <f t="shared" si="66"/>
        <v>900160.05000000051</v>
      </c>
      <c r="H328" s="112">
        <f t="shared" si="66"/>
        <v>885283.05999999982</v>
      </c>
      <c r="I328" s="112">
        <f t="shared" si="66"/>
        <v>927055.28999999946</v>
      </c>
      <c r="J328" s="112">
        <f t="shared" si="66"/>
        <v>893820.71999999962</v>
      </c>
      <c r="K328" s="112">
        <f t="shared" si="66"/>
        <v>909002.39000000025</v>
      </c>
      <c r="L328" s="112">
        <f t="shared" si="66"/>
        <v>945116.19000000088</v>
      </c>
      <c r="M328" s="112">
        <f t="shared" si="66"/>
        <v>945425.02</v>
      </c>
      <c r="N328" s="112">
        <v>9958171.6799999997</v>
      </c>
    </row>
    <row r="329" spans="1:14" ht="15.75" thickTop="1">
      <c r="A329" s="64"/>
      <c r="B329" s="22"/>
      <c r="C329" s="22"/>
      <c r="D329" s="22"/>
      <c r="E329" s="22"/>
      <c r="F329" s="22"/>
      <c r="G329" s="22"/>
      <c r="H329" s="22"/>
      <c r="I329" s="22"/>
      <c r="J329" s="22"/>
      <c r="K329" s="22"/>
      <c r="L329" s="22"/>
      <c r="M329" s="22"/>
      <c r="N329" s="22"/>
    </row>
    <row r="330" spans="1:14" ht="15.75" thickBot="1">
      <c r="A330" s="64" t="s">
        <v>259</v>
      </c>
      <c r="B330" s="112">
        <f t="shared" ref="B330:M330" si="67">+B184-B328</f>
        <v>-48287.750000001048</v>
      </c>
      <c r="C330" s="112">
        <f t="shared" si="67"/>
        <v>-45559.370000001625</v>
      </c>
      <c r="D330" s="112">
        <f t="shared" si="67"/>
        <v>-83835.469999999739</v>
      </c>
      <c r="E330" s="112">
        <f t="shared" si="67"/>
        <v>-36082.569999998668</v>
      </c>
      <c r="F330" s="112">
        <f t="shared" si="67"/>
        <v>134516.3900000001</v>
      </c>
      <c r="G330" s="112">
        <f t="shared" si="67"/>
        <v>14616.629999999539</v>
      </c>
      <c r="H330" s="112">
        <f t="shared" si="67"/>
        <v>-6826.3600000002189</v>
      </c>
      <c r="I330" s="112">
        <f t="shared" si="67"/>
        <v>17934.039999998873</v>
      </c>
      <c r="J330" s="112">
        <f t="shared" si="67"/>
        <v>16473.629999999423</v>
      </c>
      <c r="K330" s="112">
        <f t="shared" si="67"/>
        <v>94699.59999999858</v>
      </c>
      <c r="L330" s="112">
        <f t="shared" si="67"/>
        <v>-13608.18000000075</v>
      </c>
      <c r="M330" s="112">
        <f t="shared" si="67"/>
        <v>-1283.6399999996647</v>
      </c>
      <c r="N330" s="112">
        <v>42756.95</v>
      </c>
    </row>
    <row r="331" spans="1:14" ht="15.75" thickTop="1">
      <c r="A331" s="64"/>
      <c r="B331" s="22"/>
      <c r="C331" s="22"/>
      <c r="D331" s="22"/>
      <c r="E331" s="22"/>
      <c r="F331" s="22"/>
      <c r="G331" s="22"/>
      <c r="H331" s="22"/>
      <c r="I331" s="22"/>
      <c r="J331" s="22"/>
      <c r="K331" s="22"/>
      <c r="L331" s="22"/>
      <c r="M331" s="22"/>
      <c r="N331" s="22"/>
    </row>
    <row r="332" spans="1:14">
      <c r="A332" s="64" t="s">
        <v>351</v>
      </c>
      <c r="B332" s="107">
        <v>8305.6299999999992</v>
      </c>
      <c r="C332" s="107">
        <v>4009.28</v>
      </c>
      <c r="D332" s="107">
        <v>10306.98</v>
      </c>
      <c r="E332" s="107">
        <v>3280.4</v>
      </c>
      <c r="F332" s="107">
        <v>24411.51</v>
      </c>
      <c r="G332" s="107">
        <v>34999.07</v>
      </c>
      <c r="H332" s="107">
        <v>50127.55</v>
      </c>
      <c r="I332" s="107">
        <v>4569.43</v>
      </c>
      <c r="J332" s="107">
        <v>11923.24</v>
      </c>
      <c r="K332" s="22"/>
      <c r="L332" s="22"/>
      <c r="M332" s="22"/>
      <c r="N332" s="107">
        <v>151933.09</v>
      </c>
    </row>
    <row r="333" spans="1:14">
      <c r="A333" s="64" t="s">
        <v>364</v>
      </c>
      <c r="B333" s="113"/>
      <c r="C333" s="113"/>
      <c r="D333" s="113"/>
      <c r="E333" s="113"/>
      <c r="F333" s="111">
        <v>-54438</v>
      </c>
      <c r="G333" s="113"/>
      <c r="H333" s="113"/>
      <c r="I333" s="113"/>
      <c r="J333" s="113"/>
      <c r="K333" s="113"/>
      <c r="L333" s="113"/>
      <c r="M333" s="113"/>
      <c r="N333" s="111">
        <v>-54438</v>
      </c>
    </row>
    <row r="334" spans="1:14">
      <c r="A334" s="64" t="s">
        <v>64</v>
      </c>
      <c r="B334" s="107">
        <f t="shared" ref="B334:J334" si="68">SUM(B331:B333)</f>
        <v>8305.6299999999992</v>
      </c>
      <c r="C334" s="107">
        <f t="shared" si="68"/>
        <v>4009.28</v>
      </c>
      <c r="D334" s="107">
        <f t="shared" si="68"/>
        <v>10306.98</v>
      </c>
      <c r="E334" s="107">
        <f t="shared" si="68"/>
        <v>3280.4</v>
      </c>
      <c r="F334" s="107">
        <f t="shared" si="68"/>
        <v>-30026.49</v>
      </c>
      <c r="G334" s="107">
        <f t="shared" si="68"/>
        <v>34999.07</v>
      </c>
      <c r="H334" s="107">
        <f t="shared" si="68"/>
        <v>50127.55</v>
      </c>
      <c r="I334" s="107">
        <f t="shared" si="68"/>
        <v>4569.43</v>
      </c>
      <c r="J334" s="107">
        <f t="shared" si="68"/>
        <v>11923.24</v>
      </c>
      <c r="K334" s="107"/>
      <c r="L334" s="107"/>
      <c r="M334" s="107"/>
      <c r="N334" s="107">
        <v>97495.09</v>
      </c>
    </row>
    <row r="335" spans="1:14">
      <c r="A335" s="64"/>
      <c r="B335" s="22"/>
      <c r="C335" s="22"/>
      <c r="D335" s="22"/>
      <c r="E335" s="22"/>
      <c r="F335" s="22"/>
      <c r="G335" s="22"/>
      <c r="H335" s="22"/>
      <c r="I335" s="22"/>
      <c r="J335" s="22"/>
      <c r="K335" s="22"/>
      <c r="L335" s="22"/>
      <c r="M335" s="22"/>
      <c r="N335" s="22"/>
    </row>
    <row r="336" spans="1:14" ht="15.75" thickBot="1">
      <c r="A336" s="64" t="s">
        <v>22</v>
      </c>
      <c r="B336" s="112">
        <f t="shared" ref="B336:M336" si="69">+B330-B334</f>
        <v>-56593.380000001045</v>
      </c>
      <c r="C336" s="112">
        <f t="shared" si="69"/>
        <v>-49568.650000001624</v>
      </c>
      <c r="D336" s="112">
        <f t="shared" si="69"/>
        <v>-94142.449999999735</v>
      </c>
      <c r="E336" s="112">
        <f t="shared" si="69"/>
        <v>-39362.96999999867</v>
      </c>
      <c r="F336" s="112">
        <f t="shared" si="69"/>
        <v>164542.88000000009</v>
      </c>
      <c r="G336" s="112">
        <f t="shared" si="69"/>
        <v>-20382.440000000461</v>
      </c>
      <c r="H336" s="112">
        <f t="shared" si="69"/>
        <v>-56953.910000000222</v>
      </c>
      <c r="I336" s="112">
        <f t="shared" si="69"/>
        <v>13364.609999998873</v>
      </c>
      <c r="J336" s="112">
        <f t="shared" si="69"/>
        <v>4550.3899999994228</v>
      </c>
      <c r="K336" s="112">
        <f t="shared" si="69"/>
        <v>94699.59999999858</v>
      </c>
      <c r="L336" s="112">
        <f t="shared" si="69"/>
        <v>-13608.18000000075</v>
      </c>
      <c r="M336" s="112">
        <f t="shared" si="69"/>
        <v>-1283.6399999996647</v>
      </c>
      <c r="N336" s="112">
        <v>-54738.14</v>
      </c>
    </row>
    <row r="337" spans="1:14" ht="15.75" thickTop="1">
      <c r="A337" s="64"/>
      <c r="B337" s="22"/>
      <c r="C337" s="22"/>
      <c r="D337" s="22"/>
      <c r="E337" s="22"/>
      <c r="F337" s="22"/>
      <c r="G337" s="22"/>
      <c r="H337" s="22"/>
      <c r="I337" s="22"/>
      <c r="J337" s="22"/>
      <c r="K337" s="22"/>
      <c r="L337" s="22"/>
      <c r="M337" s="22"/>
      <c r="N337" s="22"/>
    </row>
    <row r="338" spans="1:14">
      <c r="A338" s="64"/>
      <c r="B338" s="22"/>
      <c r="C338" s="22"/>
      <c r="D338" s="22"/>
      <c r="E338" s="22"/>
      <c r="F338" s="22"/>
      <c r="G338" s="22"/>
      <c r="H338" s="22"/>
      <c r="I338" s="22"/>
      <c r="J338" s="22"/>
      <c r="K338" s="22"/>
      <c r="L338" s="22"/>
      <c r="M338" s="22"/>
      <c r="N338" s="22"/>
    </row>
    <row r="339" spans="1:14">
      <c r="A339" s="64" t="s">
        <v>260</v>
      </c>
      <c r="B339" s="22"/>
      <c r="C339" s="22"/>
      <c r="D339" s="22"/>
      <c r="E339" s="22"/>
      <c r="F339" s="22"/>
      <c r="G339" s="22"/>
      <c r="H339" s="22"/>
      <c r="I339" s="22"/>
      <c r="J339" s="22"/>
      <c r="K339" s="22"/>
      <c r="L339" s="22"/>
      <c r="M339" s="22"/>
      <c r="N339" s="22"/>
    </row>
    <row r="340" spans="1:14">
      <c r="A340" s="64"/>
      <c r="B340" s="22"/>
      <c r="C340" s="22"/>
      <c r="D340" s="22"/>
      <c r="E340" s="22"/>
      <c r="F340" s="22"/>
      <c r="G340" s="22"/>
      <c r="H340" s="22"/>
      <c r="I340" s="22"/>
      <c r="J340" s="22"/>
      <c r="K340" s="22"/>
      <c r="L340" s="22"/>
      <c r="M340" s="22"/>
      <c r="N340" s="22"/>
    </row>
    <row r="341" spans="1:14">
      <c r="A341" s="64" t="s">
        <v>19</v>
      </c>
      <c r="B341" s="22"/>
      <c r="C341" s="22"/>
      <c r="D341" s="22"/>
      <c r="E341" s="22"/>
      <c r="F341" s="22"/>
      <c r="G341" s="22"/>
      <c r="H341" s="22"/>
      <c r="I341" s="22"/>
      <c r="J341" s="22"/>
      <c r="K341" s="22"/>
      <c r="L341" s="22"/>
      <c r="M341" s="22"/>
      <c r="N341" s="22"/>
    </row>
    <row r="342" spans="1:14">
      <c r="A342" s="64" t="s">
        <v>261</v>
      </c>
      <c r="B342" s="107">
        <v>247</v>
      </c>
      <c r="C342" s="107">
        <v>1</v>
      </c>
      <c r="D342" s="107">
        <v>655</v>
      </c>
      <c r="E342" s="107">
        <v>91</v>
      </c>
      <c r="F342" s="107">
        <v>138</v>
      </c>
      <c r="G342" s="107">
        <v>79</v>
      </c>
      <c r="H342" s="22"/>
      <c r="I342" s="107">
        <v>441</v>
      </c>
      <c r="J342" s="22"/>
      <c r="K342" s="22"/>
      <c r="L342" s="107">
        <v>118</v>
      </c>
      <c r="M342" s="107">
        <v>24</v>
      </c>
      <c r="N342" s="107">
        <v>1794</v>
      </c>
    </row>
    <row r="343" spans="1:14">
      <c r="A343" s="64" t="s">
        <v>66</v>
      </c>
      <c r="B343" s="111">
        <v>1104</v>
      </c>
      <c r="C343" s="111">
        <v>1082</v>
      </c>
      <c r="D343" s="111">
        <v>1310</v>
      </c>
      <c r="E343" s="111">
        <v>1312</v>
      </c>
      <c r="F343" s="111">
        <v>1335</v>
      </c>
      <c r="G343" s="111">
        <v>1275</v>
      </c>
      <c r="H343" s="111">
        <v>964</v>
      </c>
      <c r="I343" s="111">
        <v>1243</v>
      </c>
      <c r="J343" s="111">
        <v>1189</v>
      </c>
      <c r="K343" s="111">
        <v>1186</v>
      </c>
      <c r="L343" s="111">
        <v>1263</v>
      </c>
      <c r="M343" s="111">
        <v>1321</v>
      </c>
      <c r="N343" s="111">
        <v>14584</v>
      </c>
    </row>
    <row r="344" spans="1:14">
      <c r="A344" s="64" t="s">
        <v>85</v>
      </c>
      <c r="B344" s="107">
        <f t="shared" ref="B344:M344" si="70">SUM(B341:B343)</f>
        <v>1351</v>
      </c>
      <c r="C344" s="107">
        <f t="shared" si="70"/>
        <v>1083</v>
      </c>
      <c r="D344" s="107">
        <f t="shared" si="70"/>
        <v>1965</v>
      </c>
      <c r="E344" s="107">
        <f t="shared" si="70"/>
        <v>1403</v>
      </c>
      <c r="F344" s="107">
        <f t="shared" si="70"/>
        <v>1473</v>
      </c>
      <c r="G344" s="107">
        <f t="shared" si="70"/>
        <v>1354</v>
      </c>
      <c r="H344" s="107">
        <f t="shared" si="70"/>
        <v>964</v>
      </c>
      <c r="I344" s="107">
        <f t="shared" si="70"/>
        <v>1684</v>
      </c>
      <c r="J344" s="107">
        <f t="shared" si="70"/>
        <v>1189</v>
      </c>
      <c r="K344" s="107">
        <f t="shared" si="70"/>
        <v>1186</v>
      </c>
      <c r="L344" s="107">
        <f t="shared" si="70"/>
        <v>1381</v>
      </c>
      <c r="M344" s="107">
        <f t="shared" si="70"/>
        <v>1345</v>
      </c>
      <c r="N344" s="107">
        <v>16378</v>
      </c>
    </row>
    <row r="345" spans="1:14">
      <c r="A345" s="64"/>
      <c r="B345" s="22"/>
      <c r="C345" s="22"/>
      <c r="D345" s="22"/>
      <c r="E345" s="22"/>
      <c r="F345" s="22"/>
      <c r="G345" s="22"/>
      <c r="H345" s="22"/>
      <c r="I345" s="22"/>
      <c r="J345" s="22"/>
      <c r="K345" s="22"/>
      <c r="L345" s="22"/>
      <c r="M345" s="22"/>
      <c r="N345" s="22"/>
    </row>
    <row r="346" spans="1:14">
      <c r="A346" s="64" t="s">
        <v>20</v>
      </c>
      <c r="B346" s="22"/>
      <c r="C346" s="22"/>
      <c r="D346" s="22"/>
      <c r="E346" s="22"/>
      <c r="F346" s="22"/>
      <c r="G346" s="22"/>
      <c r="H346" s="22"/>
      <c r="I346" s="22"/>
      <c r="J346" s="22"/>
      <c r="K346" s="22"/>
      <c r="L346" s="22"/>
      <c r="M346" s="22"/>
      <c r="N346" s="22"/>
    </row>
    <row r="347" spans="1:14">
      <c r="A347" s="64" t="s">
        <v>261</v>
      </c>
      <c r="B347" s="22"/>
      <c r="C347" s="107">
        <v>184</v>
      </c>
      <c r="D347" s="22"/>
      <c r="E347" s="22"/>
      <c r="F347" s="107">
        <v>33</v>
      </c>
      <c r="G347" s="107">
        <v>-24</v>
      </c>
      <c r="H347" s="22"/>
      <c r="I347" s="22"/>
      <c r="J347" s="107">
        <v>1</v>
      </c>
      <c r="K347" s="107">
        <v>-1</v>
      </c>
      <c r="L347" s="107">
        <v>-1</v>
      </c>
      <c r="M347" s="107">
        <v>2</v>
      </c>
      <c r="N347" s="107">
        <v>194</v>
      </c>
    </row>
    <row r="348" spans="1:14">
      <c r="A348" s="64" t="s">
        <v>66</v>
      </c>
      <c r="B348" s="111">
        <v>116</v>
      </c>
      <c r="C348" s="111">
        <v>120</v>
      </c>
      <c r="D348" s="111">
        <v>136</v>
      </c>
      <c r="E348" s="111">
        <v>148</v>
      </c>
      <c r="F348" s="111">
        <v>193</v>
      </c>
      <c r="G348" s="111">
        <v>103</v>
      </c>
      <c r="H348" s="111">
        <v>173</v>
      </c>
      <c r="I348" s="111">
        <v>260</v>
      </c>
      <c r="J348" s="111">
        <v>274</v>
      </c>
      <c r="K348" s="111">
        <v>221</v>
      </c>
      <c r="L348" s="111">
        <v>183</v>
      </c>
      <c r="M348" s="111">
        <v>182</v>
      </c>
      <c r="N348" s="111">
        <v>2109</v>
      </c>
    </row>
    <row r="349" spans="1:14">
      <c r="A349" s="64" t="s">
        <v>262</v>
      </c>
      <c r="B349" s="107">
        <f t="shared" ref="B349:M349" si="71">SUM(B345:B348)</f>
        <v>116</v>
      </c>
      <c r="C349" s="107">
        <f t="shared" si="71"/>
        <v>304</v>
      </c>
      <c r="D349" s="107">
        <f t="shared" si="71"/>
        <v>136</v>
      </c>
      <c r="E349" s="107">
        <f t="shared" si="71"/>
        <v>148</v>
      </c>
      <c r="F349" s="107">
        <f t="shared" si="71"/>
        <v>226</v>
      </c>
      <c r="G349" s="107">
        <f t="shared" si="71"/>
        <v>79</v>
      </c>
      <c r="H349" s="107">
        <f t="shared" si="71"/>
        <v>173</v>
      </c>
      <c r="I349" s="107">
        <f t="shared" si="71"/>
        <v>260</v>
      </c>
      <c r="J349" s="107">
        <f t="shared" si="71"/>
        <v>275</v>
      </c>
      <c r="K349" s="107">
        <f t="shared" si="71"/>
        <v>220</v>
      </c>
      <c r="L349" s="107">
        <f t="shared" si="71"/>
        <v>182</v>
      </c>
      <c r="M349" s="107">
        <f t="shared" si="71"/>
        <v>184</v>
      </c>
      <c r="N349" s="107">
        <v>2303</v>
      </c>
    </row>
    <row r="350" spans="1:14">
      <c r="A350" s="64"/>
      <c r="B350" s="22"/>
      <c r="C350" s="22"/>
      <c r="D350" s="22"/>
      <c r="E350" s="22"/>
      <c r="F350" s="22"/>
      <c r="G350" s="22"/>
      <c r="H350" s="22"/>
      <c r="I350" s="22"/>
      <c r="J350" s="22"/>
      <c r="K350" s="22"/>
      <c r="L350" s="22"/>
      <c r="M350" s="22"/>
      <c r="N350" s="22"/>
    </row>
    <row r="351" spans="1:14">
      <c r="A351" s="64" t="s">
        <v>263</v>
      </c>
      <c r="B351" s="22"/>
      <c r="C351" s="22"/>
      <c r="D351" s="22"/>
      <c r="E351" s="22"/>
      <c r="F351" s="22"/>
      <c r="G351" s="22"/>
      <c r="H351" s="22"/>
      <c r="I351" s="22"/>
      <c r="J351" s="22"/>
      <c r="K351" s="22"/>
      <c r="L351" s="22"/>
      <c r="M351" s="22"/>
      <c r="N351" s="22"/>
    </row>
    <row r="352" spans="1:14">
      <c r="A352" s="64" t="s">
        <v>261</v>
      </c>
      <c r="B352" s="107">
        <v>-24</v>
      </c>
      <c r="C352" s="107">
        <v>-1</v>
      </c>
      <c r="D352" s="107">
        <v>-59</v>
      </c>
      <c r="E352" s="22"/>
      <c r="F352" s="22"/>
      <c r="G352" s="22"/>
      <c r="H352" s="107">
        <v>-31</v>
      </c>
      <c r="I352" s="22"/>
      <c r="J352" s="107">
        <v>-1</v>
      </c>
      <c r="K352" s="22"/>
      <c r="L352" s="107">
        <v>-2</v>
      </c>
      <c r="M352" s="107">
        <v>-1</v>
      </c>
      <c r="N352" s="107">
        <v>-119</v>
      </c>
    </row>
    <row r="353" spans="1:14">
      <c r="A353" s="64" t="s">
        <v>66</v>
      </c>
      <c r="B353" s="111">
        <v>479</v>
      </c>
      <c r="C353" s="111">
        <v>439</v>
      </c>
      <c r="D353" s="111">
        <v>489</v>
      </c>
      <c r="E353" s="111">
        <v>222</v>
      </c>
      <c r="F353" s="111">
        <v>356</v>
      </c>
      <c r="G353" s="111">
        <v>519</v>
      </c>
      <c r="H353" s="111">
        <v>490</v>
      </c>
      <c r="I353" s="111">
        <v>387</v>
      </c>
      <c r="J353" s="111">
        <v>399</v>
      </c>
      <c r="K353" s="111">
        <v>598</v>
      </c>
      <c r="L353" s="111">
        <v>408</v>
      </c>
      <c r="M353" s="111">
        <v>444</v>
      </c>
      <c r="N353" s="111">
        <v>5230</v>
      </c>
    </row>
    <row r="354" spans="1:14">
      <c r="A354" s="64" t="s">
        <v>264</v>
      </c>
      <c r="B354" s="107">
        <f t="shared" ref="B354:M354" si="72">SUM(B350:B353)</f>
        <v>455</v>
      </c>
      <c r="C354" s="107">
        <f t="shared" si="72"/>
        <v>438</v>
      </c>
      <c r="D354" s="107">
        <f t="shared" si="72"/>
        <v>430</v>
      </c>
      <c r="E354" s="107">
        <f t="shared" si="72"/>
        <v>222</v>
      </c>
      <c r="F354" s="107">
        <f t="shared" si="72"/>
        <v>356</v>
      </c>
      <c r="G354" s="107">
        <f t="shared" si="72"/>
        <v>519</v>
      </c>
      <c r="H354" s="107">
        <f t="shared" si="72"/>
        <v>459</v>
      </c>
      <c r="I354" s="107">
        <f t="shared" si="72"/>
        <v>387</v>
      </c>
      <c r="J354" s="107">
        <f t="shared" si="72"/>
        <v>398</v>
      </c>
      <c r="K354" s="107">
        <f t="shared" si="72"/>
        <v>598</v>
      </c>
      <c r="L354" s="107">
        <f t="shared" si="72"/>
        <v>406</v>
      </c>
      <c r="M354" s="107">
        <f t="shared" si="72"/>
        <v>443</v>
      </c>
      <c r="N354" s="107">
        <v>5111</v>
      </c>
    </row>
    <row r="355" spans="1:14">
      <c r="A355" s="64"/>
      <c r="B355" s="22"/>
      <c r="C355" s="22"/>
      <c r="D355" s="22"/>
      <c r="E355" s="22"/>
      <c r="F355" s="22"/>
      <c r="G355" s="22"/>
      <c r="H355" s="22"/>
      <c r="I355" s="22"/>
      <c r="J355" s="22"/>
      <c r="K355" s="22"/>
      <c r="L355" s="22"/>
      <c r="M355" s="22"/>
      <c r="N355" s="22"/>
    </row>
    <row r="356" spans="1:14">
      <c r="A356" s="64" t="s">
        <v>265</v>
      </c>
      <c r="B356" s="113"/>
      <c r="C356" s="113"/>
      <c r="D356" s="113"/>
      <c r="E356" s="113"/>
      <c r="F356" s="113"/>
      <c r="G356" s="113"/>
      <c r="H356" s="113"/>
      <c r="I356" s="113"/>
      <c r="J356" s="113"/>
      <c r="K356" s="113"/>
      <c r="L356" s="113"/>
      <c r="M356" s="113"/>
      <c r="N356" s="113"/>
    </row>
    <row r="357" spans="1:14">
      <c r="A357" s="64" t="s">
        <v>319</v>
      </c>
      <c r="B357" s="107"/>
      <c r="C357" s="107"/>
      <c r="D357" s="107"/>
      <c r="E357" s="107"/>
      <c r="F357" s="107"/>
      <c r="G357" s="107"/>
      <c r="H357" s="107"/>
      <c r="I357" s="107"/>
      <c r="J357" s="107"/>
      <c r="K357" s="107"/>
      <c r="L357" s="107"/>
      <c r="M357" s="107"/>
      <c r="N357" s="107"/>
    </row>
    <row r="358" spans="1:14">
      <c r="A358" s="64"/>
      <c r="B358" s="22"/>
      <c r="C358" s="22"/>
      <c r="D358" s="22"/>
      <c r="E358" s="22"/>
      <c r="F358" s="22"/>
      <c r="G358" s="22"/>
      <c r="H358" s="22"/>
      <c r="I358" s="22"/>
      <c r="J358" s="22"/>
      <c r="K358" s="22"/>
      <c r="L358" s="22"/>
      <c r="M358" s="22"/>
      <c r="N358" s="22"/>
    </row>
    <row r="359" spans="1:14">
      <c r="A359" s="64" t="s">
        <v>106</v>
      </c>
      <c r="B359" s="22"/>
      <c r="C359" s="22"/>
      <c r="D359" s="22"/>
      <c r="E359" s="22"/>
      <c r="F359" s="22"/>
      <c r="G359" s="22"/>
      <c r="H359" s="22"/>
      <c r="I359" s="22"/>
      <c r="J359" s="22"/>
      <c r="K359" s="22"/>
      <c r="L359" s="22"/>
      <c r="M359" s="22"/>
      <c r="N359" s="22"/>
    </row>
    <row r="360" spans="1:14">
      <c r="A360" s="64" t="s">
        <v>261</v>
      </c>
      <c r="B360" s="22"/>
      <c r="C360" s="107">
        <v>-8</v>
      </c>
      <c r="D360" s="22"/>
      <c r="E360" s="22"/>
      <c r="F360" s="107">
        <v>-1</v>
      </c>
      <c r="G360" s="107">
        <v>9</v>
      </c>
      <c r="H360" s="107">
        <v>26</v>
      </c>
      <c r="I360" s="107">
        <v>-59</v>
      </c>
      <c r="J360" s="22"/>
      <c r="K360" s="22"/>
      <c r="L360" s="107">
        <v>2</v>
      </c>
      <c r="M360" s="22"/>
      <c r="N360" s="107">
        <v>-31</v>
      </c>
    </row>
    <row r="361" spans="1:14">
      <c r="A361" s="64" t="s">
        <v>66</v>
      </c>
      <c r="B361" s="111">
        <v>360</v>
      </c>
      <c r="C361" s="111">
        <v>254</v>
      </c>
      <c r="D361" s="111">
        <v>359</v>
      </c>
      <c r="E361" s="111">
        <v>575</v>
      </c>
      <c r="F361" s="111">
        <v>484</v>
      </c>
      <c r="G361" s="111">
        <v>424</v>
      </c>
      <c r="H361" s="111">
        <v>478</v>
      </c>
      <c r="I361" s="111">
        <v>439</v>
      </c>
      <c r="J361" s="111">
        <v>395</v>
      </c>
      <c r="K361" s="111">
        <v>299</v>
      </c>
      <c r="L361" s="111">
        <v>420</v>
      </c>
      <c r="M361" s="111">
        <v>507</v>
      </c>
      <c r="N361" s="111">
        <v>4994</v>
      </c>
    </row>
    <row r="362" spans="1:14">
      <c r="A362" s="64" t="s">
        <v>116</v>
      </c>
      <c r="B362" s="107">
        <f t="shared" ref="B362:M362" si="73">SUM(B358:B361)</f>
        <v>360</v>
      </c>
      <c r="C362" s="107">
        <f t="shared" si="73"/>
        <v>246</v>
      </c>
      <c r="D362" s="107">
        <f t="shared" si="73"/>
        <v>359</v>
      </c>
      <c r="E362" s="107">
        <f t="shared" si="73"/>
        <v>575</v>
      </c>
      <c r="F362" s="107">
        <f t="shared" si="73"/>
        <v>483</v>
      </c>
      <c r="G362" s="107">
        <f t="shared" si="73"/>
        <v>433</v>
      </c>
      <c r="H362" s="107">
        <f t="shared" si="73"/>
        <v>504</v>
      </c>
      <c r="I362" s="107">
        <f t="shared" si="73"/>
        <v>380</v>
      </c>
      <c r="J362" s="107">
        <f t="shared" si="73"/>
        <v>395</v>
      </c>
      <c r="K362" s="107">
        <f t="shared" si="73"/>
        <v>299</v>
      </c>
      <c r="L362" s="107">
        <f t="shared" si="73"/>
        <v>422</v>
      </c>
      <c r="M362" s="107">
        <f t="shared" si="73"/>
        <v>507</v>
      </c>
      <c r="N362" s="107">
        <v>4963</v>
      </c>
    </row>
    <row r="363" spans="1:14">
      <c r="A363" s="64"/>
      <c r="B363" s="22"/>
      <c r="C363" s="22"/>
      <c r="D363" s="22"/>
      <c r="E363" s="22"/>
      <c r="F363" s="22"/>
      <c r="G363" s="22"/>
      <c r="H363" s="22"/>
      <c r="I363" s="22"/>
      <c r="J363" s="22"/>
      <c r="K363" s="22"/>
      <c r="L363" s="22"/>
      <c r="M363" s="22"/>
      <c r="N363" s="22"/>
    </row>
    <row r="364" spans="1:14">
      <c r="A364" s="64" t="s">
        <v>117</v>
      </c>
      <c r="B364" s="22"/>
      <c r="C364" s="22"/>
      <c r="D364" s="22"/>
      <c r="E364" s="22"/>
      <c r="F364" s="22"/>
      <c r="G364" s="22"/>
      <c r="H364" s="22"/>
      <c r="I364" s="22"/>
      <c r="J364" s="22"/>
      <c r="K364" s="22"/>
      <c r="L364" s="22"/>
      <c r="M364" s="22"/>
      <c r="N364" s="22"/>
    </row>
    <row r="365" spans="1:14">
      <c r="A365" s="64" t="s">
        <v>261</v>
      </c>
      <c r="B365" s="107">
        <v>-223</v>
      </c>
      <c r="C365" s="107">
        <v>-176</v>
      </c>
      <c r="D365" s="107">
        <v>-596</v>
      </c>
      <c r="E365" s="107">
        <v>-91</v>
      </c>
      <c r="F365" s="107">
        <v>-170</v>
      </c>
      <c r="G365" s="107">
        <v>-64</v>
      </c>
      <c r="H365" s="107">
        <v>5</v>
      </c>
      <c r="I365" s="107">
        <v>-383</v>
      </c>
      <c r="J365" s="107">
        <v>-1</v>
      </c>
      <c r="K365" s="107">
        <v>-2</v>
      </c>
      <c r="L365" s="107">
        <v>-118</v>
      </c>
      <c r="M365" s="107">
        <v>-25</v>
      </c>
      <c r="N365" s="107">
        <v>-1844</v>
      </c>
    </row>
    <row r="366" spans="1:14">
      <c r="A366" s="64" t="s">
        <v>66</v>
      </c>
      <c r="B366" s="111">
        <v>464</v>
      </c>
      <c r="C366" s="111">
        <v>491</v>
      </c>
      <c r="D366" s="111">
        <v>397</v>
      </c>
      <c r="E366" s="111">
        <v>434</v>
      </c>
      <c r="F366" s="111">
        <v>461</v>
      </c>
      <c r="G366" s="111">
        <v>383</v>
      </c>
      <c r="H366" s="111">
        <v>379</v>
      </c>
      <c r="I366" s="111">
        <v>387</v>
      </c>
      <c r="J366" s="111">
        <v>353</v>
      </c>
      <c r="K366" s="111">
        <v>319</v>
      </c>
      <c r="L366" s="111">
        <v>414</v>
      </c>
      <c r="M366" s="111">
        <v>478</v>
      </c>
      <c r="N366" s="111">
        <v>4960</v>
      </c>
    </row>
    <row r="367" spans="1:14">
      <c r="A367" s="64" t="s">
        <v>127</v>
      </c>
      <c r="B367" s="107">
        <f t="shared" ref="B367:M367" si="74">SUM(B363:B366)</f>
        <v>241</v>
      </c>
      <c r="C367" s="107">
        <f t="shared" si="74"/>
        <v>315</v>
      </c>
      <c r="D367" s="107">
        <f t="shared" si="74"/>
        <v>-199</v>
      </c>
      <c r="E367" s="107">
        <f t="shared" si="74"/>
        <v>343</v>
      </c>
      <c r="F367" s="107">
        <f t="shared" si="74"/>
        <v>291</v>
      </c>
      <c r="G367" s="107">
        <f t="shared" si="74"/>
        <v>319</v>
      </c>
      <c r="H367" s="107">
        <f t="shared" si="74"/>
        <v>384</v>
      </c>
      <c r="I367" s="107">
        <f t="shared" si="74"/>
        <v>4</v>
      </c>
      <c r="J367" s="107">
        <f t="shared" si="74"/>
        <v>352</v>
      </c>
      <c r="K367" s="107">
        <f t="shared" si="74"/>
        <v>317</v>
      </c>
      <c r="L367" s="107">
        <f t="shared" si="74"/>
        <v>296</v>
      </c>
      <c r="M367" s="107">
        <f t="shared" si="74"/>
        <v>453</v>
      </c>
      <c r="N367" s="107">
        <v>3116</v>
      </c>
    </row>
    <row r="368" spans="1:14">
      <c r="A368" s="64"/>
      <c r="B368" s="22"/>
      <c r="C368" s="22"/>
      <c r="D368" s="22"/>
      <c r="E368" s="22"/>
      <c r="F368" s="22"/>
      <c r="G368" s="22"/>
      <c r="H368" s="22"/>
      <c r="I368" s="22"/>
      <c r="J368" s="22"/>
      <c r="K368" s="22"/>
      <c r="L368" s="22"/>
      <c r="M368" s="22"/>
      <c r="N368" s="22"/>
    </row>
    <row r="369" spans="1:14" ht="15.75" thickBot="1">
      <c r="A369" s="64" t="s">
        <v>266</v>
      </c>
      <c r="B369" s="112">
        <f t="shared" ref="B369:M369" si="75">SUM(B339:B368)-B344-B349-B354-B357-B362-B367</f>
        <v>2523</v>
      </c>
      <c r="C369" s="112">
        <f t="shared" si="75"/>
        <v>2386</v>
      </c>
      <c r="D369" s="112">
        <f t="shared" si="75"/>
        <v>2691</v>
      </c>
      <c r="E369" s="112">
        <f t="shared" si="75"/>
        <v>2691</v>
      </c>
      <c r="F369" s="112">
        <f t="shared" si="75"/>
        <v>2829</v>
      </c>
      <c r="G369" s="112">
        <f t="shared" si="75"/>
        <v>2704</v>
      </c>
      <c r="H369" s="112">
        <f t="shared" si="75"/>
        <v>2484</v>
      </c>
      <c r="I369" s="112">
        <f t="shared" si="75"/>
        <v>2715</v>
      </c>
      <c r="J369" s="112">
        <f t="shared" si="75"/>
        <v>2609</v>
      </c>
      <c r="K369" s="112">
        <f t="shared" si="75"/>
        <v>2620</v>
      </c>
      <c r="L369" s="112">
        <f t="shared" si="75"/>
        <v>2687</v>
      </c>
      <c r="M369" s="112">
        <f t="shared" si="75"/>
        <v>2932</v>
      </c>
      <c r="N369" s="112">
        <v>31871</v>
      </c>
    </row>
    <row r="370" spans="1:14" ht="15.75" thickTop="1">
      <c r="A370" s="64"/>
      <c r="B370" s="22"/>
      <c r="C370" s="22"/>
      <c r="D370" s="22"/>
      <c r="E370" s="22"/>
      <c r="F370" s="22"/>
      <c r="G370" s="22"/>
      <c r="H370" s="22"/>
      <c r="I370" s="22"/>
      <c r="J370" s="22"/>
      <c r="K370" s="22"/>
      <c r="L370" s="22"/>
      <c r="M370" s="22"/>
      <c r="N370" s="22"/>
    </row>
    <row r="371" spans="1:14" hidden="1">
      <c r="A371" s="64"/>
      <c r="B371" s="107">
        <v>56593.38</v>
      </c>
      <c r="C371" s="107">
        <v>49568.65</v>
      </c>
      <c r="D371" s="107">
        <v>94142.45</v>
      </c>
      <c r="E371" s="107">
        <v>39362.97</v>
      </c>
      <c r="F371" s="107">
        <v>-164542.88</v>
      </c>
      <c r="G371" s="107">
        <v>20382.439999999999</v>
      </c>
      <c r="H371" s="107">
        <v>56953.91</v>
      </c>
      <c r="I371" s="107">
        <v>-13364.61</v>
      </c>
      <c r="J371" s="107">
        <v>-4550.3900000000003</v>
      </c>
      <c r="K371" s="107">
        <v>-94699.6</v>
      </c>
      <c r="L371" s="107">
        <v>13608.18</v>
      </c>
      <c r="M371" s="107">
        <v>1283.6400000000001</v>
      </c>
      <c r="N371" s="107">
        <v>54738.14</v>
      </c>
    </row>
    <row r="372" spans="1:14">
      <c r="A372" s="64"/>
      <c r="B372" s="22"/>
      <c r="C372" s="22"/>
      <c r="D372" s="22"/>
      <c r="E372" s="22"/>
      <c r="F372" s="22"/>
      <c r="G372" s="22"/>
      <c r="H372" s="22"/>
      <c r="I372" s="22"/>
      <c r="J372" s="22"/>
      <c r="K372" s="22"/>
      <c r="L372" s="22"/>
      <c r="M372" s="22"/>
      <c r="N372" s="22"/>
    </row>
    <row r="373" spans="1:14" hidden="1">
      <c r="A373" s="64" t="s">
        <v>267</v>
      </c>
      <c r="B373" s="107">
        <f t="shared" ref="B373:M373" si="76">B343+B348+B353+B361+B366</f>
        <v>2523</v>
      </c>
      <c r="C373" s="107">
        <f t="shared" si="76"/>
        <v>2386</v>
      </c>
      <c r="D373" s="107">
        <f t="shared" si="76"/>
        <v>2691</v>
      </c>
      <c r="E373" s="107">
        <f t="shared" si="76"/>
        <v>2691</v>
      </c>
      <c r="F373" s="107">
        <f t="shared" si="76"/>
        <v>2829</v>
      </c>
      <c r="G373" s="107">
        <f t="shared" si="76"/>
        <v>2704</v>
      </c>
      <c r="H373" s="107">
        <f t="shared" si="76"/>
        <v>2484</v>
      </c>
      <c r="I373" s="107">
        <f t="shared" si="76"/>
        <v>2716</v>
      </c>
      <c r="J373" s="107">
        <f t="shared" si="76"/>
        <v>2610</v>
      </c>
      <c r="K373" s="107">
        <f t="shared" si="76"/>
        <v>2623</v>
      </c>
      <c r="L373" s="107">
        <f t="shared" si="76"/>
        <v>2688</v>
      </c>
      <c r="M373" s="107">
        <f t="shared" si="76"/>
        <v>2932</v>
      </c>
      <c r="N373" s="107">
        <v>31877</v>
      </c>
    </row>
    <row r="374" spans="1:14">
      <c r="A374" s="64"/>
      <c r="B374" s="22"/>
      <c r="C374" s="22"/>
      <c r="D374" s="22"/>
      <c r="E374" s="22"/>
      <c r="F374" s="22"/>
      <c r="G374" s="22"/>
      <c r="H374" s="22"/>
      <c r="I374" s="22"/>
      <c r="J374" s="22"/>
      <c r="K374" s="22"/>
      <c r="L374" s="22"/>
      <c r="M374" s="22"/>
      <c r="N374" s="22"/>
    </row>
  </sheetData>
  <pageMargins left="0.75" right="0.75" top="0.75" bottom="0.75" header="0.03" footer="0.03"/>
  <pageSetup scale="46" fitToHeight="0" pageOrder="overThenDown" orientation="landscape" r:id="rId1"/>
  <headerFooter>
    <oddHeader>&amp;L&amp;C&amp;"Arial,Regular"&amp;9&amp;K000000Forum Parkway 
Trailing 12 Months&amp;R</oddHeader>
  </headerFooter>
  <rowBreaks count="1" manualBreakCount="1">
    <brk id="61" max="16383" man="1"/>
  </rowBreaks>
  <customProperties>
    <customPr name="EpmWorksheetKeyString_GUID" r:id="rId2"/>
  </customProperties>
  <drawing r:id="rId3"/>
  <legacyDrawing r:id="rId4"/>
  <controls>
    <mc:AlternateContent xmlns:mc="http://schemas.openxmlformats.org/markup-compatibility/2006">
      <mc:Choice Requires="x14">
        <control shapeId="19457" r:id="rId5" name="FPMExcelClientSheetOptionstb1">
          <controlPr defaultSize="0" autoLine="0" autoPict="0" r:id="rId6">
            <anchor moveWithCells="1" sizeWithCells="1">
              <from>
                <xdr:col>0</xdr:col>
                <xdr:colOff>0</xdr:colOff>
                <xdr:row>0</xdr:row>
                <xdr:rowOff>0</xdr:rowOff>
              </from>
              <to>
                <xdr:col>0</xdr:col>
                <xdr:colOff>914400</xdr:colOff>
                <xdr:row>0</xdr:row>
                <xdr:rowOff>0</xdr:rowOff>
              </to>
            </anchor>
          </controlPr>
        </control>
      </mc:Choice>
      <mc:Fallback>
        <control shapeId="19457" r:id="rId5" name="FPMExcelClientSheetOptionstb1"/>
      </mc:Fallback>
    </mc:AlternateContent>
  </control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C3:O384"/>
  <sheetViews>
    <sheetView showGridLines="0" workbookViewId="0"/>
  </sheetViews>
  <sheetFormatPr defaultColWidth="9.140625" defaultRowHeight="15"/>
  <cols>
    <col min="1" max="3" width="9.140625" style="25"/>
    <col min="4" max="4" width="43.5703125" style="25" bestFit="1" customWidth="1"/>
    <col min="5" max="5" width="10" style="25" bestFit="1" customWidth="1"/>
    <col min="6" max="6" width="9.140625" style="92"/>
    <col min="7" max="7" width="8.85546875"/>
    <col min="8" max="15" width="9.140625" style="92"/>
    <col min="16" max="16384" width="9.140625" style="25"/>
  </cols>
  <sheetData>
    <row r="3" spans="3:15">
      <c r="D3" s="72"/>
      <c r="E3" s="95" t="s">
        <v>349</v>
      </c>
      <c r="G3" s="7" t="s">
        <v>350</v>
      </c>
      <c r="H3" s="93"/>
      <c r="I3" s="93"/>
      <c r="J3" s="93"/>
      <c r="K3" s="93"/>
      <c r="L3" s="93"/>
      <c r="M3" s="93"/>
      <c r="N3" s="93"/>
      <c r="O3" s="93"/>
    </row>
    <row r="4" spans="3:15">
      <c r="C4" s="25">
        <v>1</v>
      </c>
      <c r="D4" s="72" t="s">
        <v>268</v>
      </c>
      <c r="E4" s="80" t="s">
        <v>294</v>
      </c>
      <c r="G4" t="s">
        <v>268</v>
      </c>
    </row>
    <row r="5" spans="3:15">
      <c r="C5" s="25">
        <f t="shared" ref="C5:C52" si="0">C4+1</f>
        <v>2</v>
      </c>
      <c r="D5" s="72" t="s">
        <v>269</v>
      </c>
      <c r="E5" s="80" t="s">
        <v>296</v>
      </c>
      <c r="F5" s="94"/>
      <c r="G5" t="s">
        <v>269</v>
      </c>
      <c r="H5" s="94"/>
      <c r="I5" s="94"/>
      <c r="J5" s="94"/>
    </row>
    <row r="6" spans="3:15">
      <c r="C6" s="25">
        <f t="shared" si="0"/>
        <v>3</v>
      </c>
      <c r="D6" s="72" t="s">
        <v>270</v>
      </c>
      <c r="E6" s="80" t="s">
        <v>297</v>
      </c>
      <c r="G6" t="s">
        <v>270</v>
      </c>
      <c r="J6" s="94"/>
    </row>
    <row r="7" spans="3:15">
      <c r="C7" s="25">
        <f t="shared" si="0"/>
        <v>4</v>
      </c>
      <c r="D7" s="72" t="s">
        <v>271</v>
      </c>
      <c r="E7" s="80" t="s">
        <v>298</v>
      </c>
      <c r="G7" t="s">
        <v>271</v>
      </c>
      <c r="J7" s="94"/>
    </row>
    <row r="8" spans="3:15">
      <c r="C8" s="25">
        <f t="shared" si="0"/>
        <v>5</v>
      </c>
      <c r="D8" s="72" t="s">
        <v>272</v>
      </c>
      <c r="E8" s="80" t="s">
        <v>299</v>
      </c>
      <c r="G8" t="s">
        <v>272</v>
      </c>
      <c r="J8" s="94"/>
    </row>
    <row r="9" spans="3:15">
      <c r="C9" s="25">
        <f t="shared" si="0"/>
        <v>6</v>
      </c>
      <c r="D9" s="72" t="s">
        <v>273</v>
      </c>
      <c r="E9" s="80" t="s">
        <v>293</v>
      </c>
      <c r="G9" t="s">
        <v>273</v>
      </c>
      <c r="J9" s="94"/>
    </row>
    <row r="10" spans="3:15">
      <c r="C10" s="25">
        <f t="shared" si="0"/>
        <v>7</v>
      </c>
      <c r="D10" s="72" t="s">
        <v>274</v>
      </c>
      <c r="E10" s="80" t="s">
        <v>300</v>
      </c>
      <c r="G10" t="s">
        <v>274</v>
      </c>
    </row>
    <row r="11" spans="3:15">
      <c r="C11" s="25">
        <f t="shared" si="0"/>
        <v>8</v>
      </c>
      <c r="D11" s="72" t="s">
        <v>275</v>
      </c>
      <c r="E11" s="80" t="s">
        <v>301</v>
      </c>
      <c r="G11" t="s">
        <v>338</v>
      </c>
    </row>
    <row r="12" spans="3:15">
      <c r="C12" s="25">
        <f t="shared" si="0"/>
        <v>9</v>
      </c>
      <c r="D12" s="72" t="s">
        <v>276</v>
      </c>
      <c r="E12" s="80" t="s">
        <v>302</v>
      </c>
      <c r="G12" t="s">
        <v>342</v>
      </c>
    </row>
    <row r="13" spans="3:15">
      <c r="C13" s="25">
        <f t="shared" si="0"/>
        <v>10</v>
      </c>
      <c r="D13" s="72" t="s">
        <v>277</v>
      </c>
      <c r="E13" s="80" t="s">
        <v>303</v>
      </c>
      <c r="G13" t="s">
        <v>277</v>
      </c>
    </row>
    <row r="14" spans="3:15">
      <c r="C14" s="25">
        <f t="shared" si="0"/>
        <v>11</v>
      </c>
      <c r="D14" s="72" t="s">
        <v>278</v>
      </c>
      <c r="E14" s="80" t="s">
        <v>304</v>
      </c>
      <c r="G14" t="s">
        <v>339</v>
      </c>
    </row>
    <row r="15" spans="3:15">
      <c r="C15" s="25">
        <f t="shared" si="0"/>
        <v>12</v>
      </c>
      <c r="D15" s="72" t="s">
        <v>279</v>
      </c>
      <c r="E15" s="80" t="s">
        <v>305</v>
      </c>
      <c r="G15" t="s">
        <v>340</v>
      </c>
      <c r="K15" s="93"/>
      <c r="L15" s="93"/>
      <c r="M15" s="93"/>
    </row>
    <row r="16" spans="3:15">
      <c r="C16" s="25">
        <f t="shared" si="0"/>
        <v>13</v>
      </c>
      <c r="D16" s="72" t="s">
        <v>280</v>
      </c>
      <c r="E16" s="80" t="s">
        <v>306</v>
      </c>
      <c r="G16" t="s">
        <v>341</v>
      </c>
    </row>
    <row r="17" spans="3:15">
      <c r="C17" s="25">
        <f t="shared" si="0"/>
        <v>14</v>
      </c>
      <c r="D17" s="72" t="s">
        <v>287</v>
      </c>
      <c r="E17" s="80" t="s">
        <v>307</v>
      </c>
      <c r="G17" t="s">
        <v>348</v>
      </c>
    </row>
    <row r="18" spans="3:15">
      <c r="C18" s="25">
        <f t="shared" si="0"/>
        <v>15</v>
      </c>
      <c r="D18" s="72" t="s">
        <v>288</v>
      </c>
      <c r="E18" s="80" t="s">
        <v>308</v>
      </c>
      <c r="G18" t="s">
        <v>343</v>
      </c>
      <c r="K18" s="93"/>
      <c r="L18" s="93"/>
      <c r="M18" s="93"/>
      <c r="N18" s="93"/>
      <c r="O18" s="93"/>
    </row>
    <row r="19" spans="3:15">
      <c r="C19" s="25">
        <f t="shared" si="0"/>
        <v>16</v>
      </c>
      <c r="D19" s="72" t="s">
        <v>289</v>
      </c>
      <c r="E19" s="80" t="s">
        <v>309</v>
      </c>
      <c r="G19" t="s">
        <v>344</v>
      </c>
    </row>
    <row r="20" spans="3:15">
      <c r="C20" s="25">
        <f t="shared" si="0"/>
        <v>17</v>
      </c>
      <c r="D20" s="72" t="s">
        <v>290</v>
      </c>
      <c r="E20" s="80" t="s">
        <v>310</v>
      </c>
      <c r="G20" t="s">
        <v>345</v>
      </c>
    </row>
    <row r="21" spans="3:15">
      <c r="C21" s="25">
        <f t="shared" si="0"/>
        <v>18</v>
      </c>
      <c r="D21" s="72" t="s">
        <v>291</v>
      </c>
      <c r="E21" s="80" t="s">
        <v>311</v>
      </c>
      <c r="G21" t="s">
        <v>346</v>
      </c>
    </row>
    <row r="22" spans="3:15">
      <c r="C22" s="25">
        <f t="shared" si="0"/>
        <v>19</v>
      </c>
      <c r="D22" s="72" t="s">
        <v>292</v>
      </c>
      <c r="E22" s="80" t="s">
        <v>312</v>
      </c>
      <c r="G22" t="s">
        <v>347</v>
      </c>
    </row>
    <row r="23" spans="3:15">
      <c r="C23" s="25">
        <f t="shared" si="0"/>
        <v>20</v>
      </c>
      <c r="D23" s="72"/>
    </row>
    <row r="24" spans="3:15">
      <c r="C24" s="25">
        <f t="shared" si="0"/>
        <v>21</v>
      </c>
      <c r="D24" s="72"/>
    </row>
    <row r="25" spans="3:15">
      <c r="C25" s="25">
        <f t="shared" si="0"/>
        <v>22</v>
      </c>
      <c r="D25" s="72"/>
    </row>
    <row r="26" spans="3:15">
      <c r="C26" s="25">
        <f t="shared" si="0"/>
        <v>23</v>
      </c>
      <c r="D26" s="72"/>
    </row>
    <row r="27" spans="3:15">
      <c r="C27" s="25">
        <f t="shared" si="0"/>
        <v>24</v>
      </c>
      <c r="D27" s="72"/>
    </row>
    <row r="28" spans="3:15">
      <c r="C28" s="25">
        <f t="shared" si="0"/>
        <v>25</v>
      </c>
      <c r="D28" s="72"/>
    </row>
    <row r="29" spans="3:15">
      <c r="C29" s="25">
        <f t="shared" si="0"/>
        <v>26</v>
      </c>
      <c r="D29" s="72"/>
    </row>
    <row r="30" spans="3:15">
      <c r="C30" s="25">
        <f t="shared" si="0"/>
        <v>27</v>
      </c>
      <c r="D30" s="72"/>
    </row>
    <row r="31" spans="3:15">
      <c r="C31" s="25">
        <f t="shared" si="0"/>
        <v>28</v>
      </c>
      <c r="D31" s="72"/>
    </row>
    <row r="32" spans="3:15">
      <c r="C32" s="25">
        <f t="shared" si="0"/>
        <v>29</v>
      </c>
      <c r="D32" s="72"/>
    </row>
    <row r="33" spans="3:4">
      <c r="C33" s="25">
        <f t="shared" si="0"/>
        <v>30</v>
      </c>
      <c r="D33" s="72"/>
    </row>
    <row r="34" spans="3:4">
      <c r="C34" s="25">
        <f t="shared" si="0"/>
        <v>31</v>
      </c>
      <c r="D34" s="72"/>
    </row>
    <row r="35" spans="3:4">
      <c r="C35" s="25">
        <f t="shared" si="0"/>
        <v>32</v>
      </c>
      <c r="D35" s="72"/>
    </row>
    <row r="36" spans="3:4">
      <c r="C36" s="25">
        <f t="shared" si="0"/>
        <v>33</v>
      </c>
      <c r="D36" s="72"/>
    </row>
    <row r="37" spans="3:4">
      <c r="C37" s="25">
        <f t="shared" si="0"/>
        <v>34</v>
      </c>
      <c r="D37" s="72"/>
    </row>
    <row r="38" spans="3:4">
      <c r="C38" s="25">
        <f t="shared" si="0"/>
        <v>35</v>
      </c>
      <c r="D38" s="72"/>
    </row>
    <row r="39" spans="3:4">
      <c r="C39" s="25">
        <f t="shared" si="0"/>
        <v>36</v>
      </c>
      <c r="D39" s="72"/>
    </row>
    <row r="40" spans="3:4">
      <c r="C40" s="25">
        <f t="shared" si="0"/>
        <v>37</v>
      </c>
      <c r="D40" s="72"/>
    </row>
    <row r="41" spans="3:4">
      <c r="C41" s="25">
        <f t="shared" si="0"/>
        <v>38</v>
      </c>
      <c r="D41" s="72"/>
    </row>
    <row r="42" spans="3:4">
      <c r="C42" s="25">
        <f t="shared" si="0"/>
        <v>39</v>
      </c>
      <c r="D42" s="72"/>
    </row>
    <row r="43" spans="3:4">
      <c r="C43" s="25">
        <f t="shared" si="0"/>
        <v>40</v>
      </c>
      <c r="D43" s="72"/>
    </row>
    <row r="44" spans="3:4">
      <c r="C44" s="25">
        <f t="shared" si="0"/>
        <v>41</v>
      </c>
      <c r="D44" s="72"/>
    </row>
    <row r="45" spans="3:4">
      <c r="C45" s="25">
        <f t="shared" si="0"/>
        <v>42</v>
      </c>
      <c r="D45" s="72"/>
    </row>
    <row r="46" spans="3:4">
      <c r="C46" s="25">
        <f t="shared" si="0"/>
        <v>43</v>
      </c>
      <c r="D46" s="72"/>
    </row>
    <row r="47" spans="3:4">
      <c r="C47" s="25">
        <f t="shared" si="0"/>
        <v>44</v>
      </c>
      <c r="D47" s="72"/>
    </row>
    <row r="48" spans="3:4">
      <c r="C48" s="25">
        <f t="shared" si="0"/>
        <v>45</v>
      </c>
      <c r="D48" s="72"/>
    </row>
    <row r="49" spans="3:4">
      <c r="C49" s="25">
        <f t="shared" si="0"/>
        <v>46</v>
      </c>
      <c r="D49" s="72"/>
    </row>
    <row r="50" spans="3:4">
      <c r="C50" s="25">
        <f t="shared" si="0"/>
        <v>47</v>
      </c>
      <c r="D50" s="72"/>
    </row>
    <row r="51" spans="3:4">
      <c r="C51" s="25">
        <f t="shared" si="0"/>
        <v>48</v>
      </c>
      <c r="D51" s="72"/>
    </row>
    <row r="52" spans="3:4">
      <c r="C52" s="25">
        <f t="shared" si="0"/>
        <v>49</v>
      </c>
      <c r="D52" s="72"/>
    </row>
    <row r="53" spans="3:4">
      <c r="D53" s="72"/>
    </row>
    <row r="54" spans="3:4">
      <c r="D54" s="72"/>
    </row>
    <row r="55" spans="3:4">
      <c r="D55" s="72"/>
    </row>
    <row r="56" spans="3:4">
      <c r="D56" s="72"/>
    </row>
    <row r="57" spans="3:4">
      <c r="D57" s="72"/>
    </row>
    <row r="58" spans="3:4">
      <c r="D58" s="72"/>
    </row>
    <row r="59" spans="3:4">
      <c r="D59" s="72"/>
    </row>
    <row r="60" spans="3:4">
      <c r="D60" s="72"/>
    </row>
    <row r="61" spans="3:4">
      <c r="D61" s="72"/>
    </row>
    <row r="62" spans="3:4">
      <c r="D62" s="72"/>
    </row>
    <row r="63" spans="3:4">
      <c r="D63" s="72"/>
    </row>
    <row r="64" spans="3:4">
      <c r="D64" s="72"/>
    </row>
    <row r="65" spans="4:4">
      <c r="D65" s="72"/>
    </row>
    <row r="66" spans="4:4">
      <c r="D66" s="72"/>
    </row>
    <row r="67" spans="4:4">
      <c r="D67" s="72"/>
    </row>
    <row r="68" spans="4:4">
      <c r="D68" s="72"/>
    </row>
    <row r="69" spans="4:4">
      <c r="D69" s="72"/>
    </row>
    <row r="70" spans="4:4">
      <c r="D70" s="72"/>
    </row>
    <row r="71" spans="4:4">
      <c r="D71" s="72"/>
    </row>
    <row r="72" spans="4:4">
      <c r="D72" s="72"/>
    </row>
    <row r="73" spans="4:4">
      <c r="D73" s="72"/>
    </row>
    <row r="74" spans="4:4">
      <c r="D74" s="72"/>
    </row>
    <row r="75" spans="4:4">
      <c r="D75" s="72"/>
    </row>
    <row r="76" spans="4:4">
      <c r="D76" s="72"/>
    </row>
    <row r="77" spans="4:4">
      <c r="D77" s="72"/>
    </row>
    <row r="78" spans="4:4">
      <c r="D78" s="72"/>
    </row>
    <row r="79" spans="4:4">
      <c r="D79" s="72"/>
    </row>
    <row r="80" spans="4:4">
      <c r="D80" s="72"/>
    </row>
    <row r="81" spans="4:4">
      <c r="D81" s="72"/>
    </row>
    <row r="82" spans="4:4">
      <c r="D82" s="72"/>
    </row>
    <row r="83" spans="4:4">
      <c r="D83" s="72"/>
    </row>
    <row r="84" spans="4:4">
      <c r="D84" s="72"/>
    </row>
    <row r="85" spans="4:4">
      <c r="D85" s="72"/>
    </row>
    <row r="86" spans="4:4">
      <c r="D86" s="72"/>
    </row>
    <row r="87" spans="4:4">
      <c r="D87" s="72"/>
    </row>
    <row r="88" spans="4:4">
      <c r="D88" s="72"/>
    </row>
    <row r="89" spans="4:4">
      <c r="D89" s="72"/>
    </row>
    <row r="90" spans="4:4">
      <c r="D90" s="72"/>
    </row>
    <row r="91" spans="4:4">
      <c r="D91" s="72"/>
    </row>
    <row r="92" spans="4:4">
      <c r="D92" s="72"/>
    </row>
    <row r="93" spans="4:4">
      <c r="D93" s="72"/>
    </row>
    <row r="94" spans="4:4">
      <c r="D94" s="72"/>
    </row>
    <row r="95" spans="4:4">
      <c r="D95" s="72"/>
    </row>
    <row r="96" spans="4:4">
      <c r="D96" s="72"/>
    </row>
    <row r="97" spans="4:4">
      <c r="D97" s="72"/>
    </row>
    <row r="98" spans="4:4">
      <c r="D98" s="72"/>
    </row>
    <row r="99" spans="4:4">
      <c r="D99" s="72"/>
    </row>
    <row r="100" spans="4:4">
      <c r="D100" s="72"/>
    </row>
    <row r="101" spans="4:4">
      <c r="D101" s="72"/>
    </row>
    <row r="102" spans="4:4">
      <c r="D102" s="72"/>
    </row>
    <row r="103" spans="4:4">
      <c r="D103" s="72"/>
    </row>
    <row r="104" spans="4:4">
      <c r="D104" s="72"/>
    </row>
    <row r="105" spans="4:4">
      <c r="D105" s="72"/>
    </row>
    <row r="106" spans="4:4">
      <c r="D106" s="72"/>
    </row>
    <row r="107" spans="4:4">
      <c r="D107" s="72"/>
    </row>
    <row r="108" spans="4:4">
      <c r="D108" s="72"/>
    </row>
    <row r="109" spans="4:4">
      <c r="D109" s="72"/>
    </row>
    <row r="110" spans="4:4">
      <c r="D110" s="72"/>
    </row>
    <row r="111" spans="4:4">
      <c r="D111" s="72"/>
    </row>
    <row r="112" spans="4:4">
      <c r="D112" s="72"/>
    </row>
    <row r="113" spans="4:4">
      <c r="D113" s="72"/>
    </row>
    <row r="114" spans="4:4">
      <c r="D114" s="72"/>
    </row>
    <row r="115" spans="4:4">
      <c r="D115" s="72"/>
    </row>
    <row r="116" spans="4:4">
      <c r="D116" s="72"/>
    </row>
    <row r="117" spans="4:4">
      <c r="D117" s="72"/>
    </row>
    <row r="118" spans="4:4">
      <c r="D118" s="72"/>
    </row>
    <row r="119" spans="4:4">
      <c r="D119" s="72"/>
    </row>
    <row r="120" spans="4:4">
      <c r="D120" s="72"/>
    </row>
    <row r="121" spans="4:4">
      <c r="D121" s="72"/>
    </row>
    <row r="122" spans="4:4">
      <c r="D122" s="72"/>
    </row>
    <row r="123" spans="4:4">
      <c r="D123" s="72"/>
    </row>
    <row r="124" spans="4:4">
      <c r="D124" s="72"/>
    </row>
    <row r="125" spans="4:4">
      <c r="D125" s="72"/>
    </row>
    <row r="126" spans="4:4">
      <c r="D126" s="72"/>
    </row>
    <row r="127" spans="4:4">
      <c r="D127" s="72"/>
    </row>
    <row r="128" spans="4:4">
      <c r="D128" s="72"/>
    </row>
    <row r="129" spans="4:4">
      <c r="D129" s="72"/>
    </row>
    <row r="130" spans="4:4">
      <c r="D130" s="72"/>
    </row>
    <row r="131" spans="4:4">
      <c r="D131" s="72"/>
    </row>
    <row r="132" spans="4:4">
      <c r="D132" s="72"/>
    </row>
    <row r="133" spans="4:4">
      <c r="D133" s="72"/>
    </row>
    <row r="134" spans="4:4">
      <c r="D134" s="72"/>
    </row>
    <row r="135" spans="4:4">
      <c r="D135" s="72"/>
    </row>
    <row r="136" spans="4:4">
      <c r="D136" s="72"/>
    </row>
    <row r="137" spans="4:4">
      <c r="D137" s="72"/>
    </row>
    <row r="138" spans="4:4">
      <c r="D138" s="72"/>
    </row>
    <row r="139" spans="4:4">
      <c r="D139" s="72"/>
    </row>
    <row r="140" spans="4:4">
      <c r="D140" s="72"/>
    </row>
    <row r="141" spans="4:4">
      <c r="D141" s="72"/>
    </row>
    <row r="142" spans="4:4">
      <c r="D142" s="72"/>
    </row>
    <row r="143" spans="4:4">
      <c r="D143" s="72"/>
    </row>
    <row r="144" spans="4:4">
      <c r="D144" s="72"/>
    </row>
    <row r="145" spans="4:4">
      <c r="D145" s="72"/>
    </row>
    <row r="146" spans="4:4">
      <c r="D146" s="72"/>
    </row>
    <row r="147" spans="4:4">
      <c r="D147" s="72"/>
    </row>
    <row r="148" spans="4:4">
      <c r="D148" s="72"/>
    </row>
    <row r="149" spans="4:4">
      <c r="D149" s="72"/>
    </row>
    <row r="150" spans="4:4">
      <c r="D150" s="72"/>
    </row>
    <row r="151" spans="4:4">
      <c r="D151" s="72"/>
    </row>
    <row r="152" spans="4:4">
      <c r="D152" s="72"/>
    </row>
    <row r="153" spans="4:4">
      <c r="D153" s="72"/>
    </row>
    <row r="154" spans="4:4">
      <c r="D154" s="72"/>
    </row>
    <row r="155" spans="4:4">
      <c r="D155" s="72"/>
    </row>
    <row r="156" spans="4:4">
      <c r="D156" s="72"/>
    </row>
    <row r="157" spans="4:4">
      <c r="D157" s="72"/>
    </row>
    <row r="158" spans="4:4">
      <c r="D158" s="72"/>
    </row>
    <row r="159" spans="4:4">
      <c r="D159" s="72"/>
    </row>
    <row r="160" spans="4:4">
      <c r="D160" s="72"/>
    </row>
    <row r="161" spans="4:4">
      <c r="D161" s="72"/>
    </row>
    <row r="162" spans="4:4">
      <c r="D162" s="72"/>
    </row>
    <row r="163" spans="4:4">
      <c r="D163" s="72"/>
    </row>
    <row r="164" spans="4:4">
      <c r="D164" s="72"/>
    </row>
    <row r="165" spans="4:4">
      <c r="D165" s="72"/>
    </row>
    <row r="166" spans="4:4">
      <c r="D166" s="72"/>
    </row>
    <row r="167" spans="4:4">
      <c r="D167" s="72"/>
    </row>
    <row r="168" spans="4:4">
      <c r="D168" s="72"/>
    </row>
    <row r="169" spans="4:4">
      <c r="D169" s="72"/>
    </row>
    <row r="170" spans="4:4">
      <c r="D170" s="72"/>
    </row>
    <row r="171" spans="4:4">
      <c r="D171" s="72"/>
    </row>
    <row r="172" spans="4:4">
      <c r="D172" s="72"/>
    </row>
    <row r="173" spans="4:4">
      <c r="D173" s="72"/>
    </row>
    <row r="174" spans="4:4">
      <c r="D174" s="72"/>
    </row>
    <row r="175" spans="4:4">
      <c r="D175" s="72"/>
    </row>
    <row r="176" spans="4:4">
      <c r="D176" s="72"/>
    </row>
    <row r="177" spans="4:4">
      <c r="D177" s="72"/>
    </row>
    <row r="178" spans="4:4">
      <c r="D178" s="72"/>
    </row>
    <row r="179" spans="4:4">
      <c r="D179" s="72"/>
    </row>
    <row r="180" spans="4:4">
      <c r="D180" s="72"/>
    </row>
    <row r="181" spans="4:4">
      <c r="D181" s="72"/>
    </row>
    <row r="182" spans="4:4">
      <c r="D182" s="72"/>
    </row>
    <row r="183" spans="4:4">
      <c r="D183" s="72"/>
    </row>
    <row r="184" spans="4:4">
      <c r="D184" s="72"/>
    </row>
    <row r="185" spans="4:4">
      <c r="D185" s="72"/>
    </row>
    <row r="186" spans="4:4">
      <c r="D186" s="72"/>
    </row>
    <row r="187" spans="4:4">
      <c r="D187" s="72"/>
    </row>
    <row r="188" spans="4:4">
      <c r="D188" s="72"/>
    </row>
    <row r="189" spans="4:4">
      <c r="D189" s="72"/>
    </row>
    <row r="190" spans="4:4">
      <c r="D190" s="72"/>
    </row>
    <row r="191" spans="4:4">
      <c r="D191" s="72"/>
    </row>
    <row r="192" spans="4:4">
      <c r="D192" s="72"/>
    </row>
    <row r="193" spans="4:4">
      <c r="D193" s="72"/>
    </row>
    <row r="194" spans="4:4">
      <c r="D194" s="72"/>
    </row>
    <row r="195" spans="4:4">
      <c r="D195" s="72"/>
    </row>
    <row r="196" spans="4:4">
      <c r="D196" s="72"/>
    </row>
    <row r="197" spans="4:4">
      <c r="D197" s="72"/>
    </row>
    <row r="198" spans="4:4">
      <c r="D198" s="72"/>
    </row>
    <row r="199" spans="4:4">
      <c r="D199" s="72"/>
    </row>
    <row r="200" spans="4:4">
      <c r="D200" s="72"/>
    </row>
    <row r="201" spans="4:4">
      <c r="D201" s="72"/>
    </row>
    <row r="202" spans="4:4">
      <c r="D202" s="72"/>
    </row>
    <row r="203" spans="4:4">
      <c r="D203" s="72"/>
    </row>
    <row r="204" spans="4:4">
      <c r="D204" s="72"/>
    </row>
    <row r="205" spans="4:4">
      <c r="D205" s="72"/>
    </row>
    <row r="206" spans="4:4">
      <c r="D206" s="72"/>
    </row>
    <row r="207" spans="4:4">
      <c r="D207" s="72"/>
    </row>
    <row r="208" spans="4:4">
      <c r="D208" s="72"/>
    </row>
    <row r="209" spans="4:4">
      <c r="D209" s="72"/>
    </row>
    <row r="210" spans="4:4">
      <c r="D210" s="72"/>
    </row>
    <row r="211" spans="4:4">
      <c r="D211" s="72"/>
    </row>
    <row r="212" spans="4:4">
      <c r="D212" s="72"/>
    </row>
    <row r="213" spans="4:4">
      <c r="D213" s="72"/>
    </row>
    <row r="214" spans="4:4">
      <c r="D214" s="72"/>
    </row>
    <row r="215" spans="4:4">
      <c r="D215" s="72"/>
    </row>
    <row r="216" spans="4:4">
      <c r="D216" s="72"/>
    </row>
    <row r="217" spans="4:4">
      <c r="D217" s="72"/>
    </row>
    <row r="218" spans="4:4">
      <c r="D218" s="72"/>
    </row>
    <row r="219" spans="4:4">
      <c r="D219" s="72"/>
    </row>
    <row r="220" spans="4:4">
      <c r="D220" s="72"/>
    </row>
    <row r="221" spans="4:4">
      <c r="D221" s="72"/>
    </row>
    <row r="222" spans="4:4">
      <c r="D222" s="72"/>
    </row>
    <row r="223" spans="4:4">
      <c r="D223" s="72"/>
    </row>
    <row r="224" spans="4:4">
      <c r="D224" s="72"/>
    </row>
    <row r="225" spans="4:4">
      <c r="D225" s="72"/>
    </row>
    <row r="226" spans="4:4">
      <c r="D226" s="72"/>
    </row>
    <row r="227" spans="4:4">
      <c r="D227" s="72"/>
    </row>
    <row r="228" spans="4:4">
      <c r="D228" s="72"/>
    </row>
    <row r="229" spans="4:4">
      <c r="D229" s="72"/>
    </row>
    <row r="230" spans="4:4">
      <c r="D230" s="72"/>
    </row>
    <row r="231" spans="4:4">
      <c r="D231" s="72"/>
    </row>
    <row r="232" spans="4:4">
      <c r="D232" s="72"/>
    </row>
    <row r="233" spans="4:4">
      <c r="D233" s="72"/>
    </row>
    <row r="234" spans="4:4">
      <c r="D234" s="72"/>
    </row>
    <row r="235" spans="4:4">
      <c r="D235" s="72"/>
    </row>
    <row r="236" spans="4:4">
      <c r="D236" s="72"/>
    </row>
    <row r="237" spans="4:4">
      <c r="D237" s="72"/>
    </row>
    <row r="238" spans="4:4">
      <c r="D238" s="72"/>
    </row>
    <row r="239" spans="4:4">
      <c r="D239" s="72"/>
    </row>
    <row r="240" spans="4:4">
      <c r="D240" s="72"/>
    </row>
    <row r="241" spans="4:4">
      <c r="D241" s="72"/>
    </row>
    <row r="242" spans="4:4">
      <c r="D242" s="72"/>
    </row>
    <row r="243" spans="4:4">
      <c r="D243" s="72"/>
    </row>
    <row r="244" spans="4:4">
      <c r="D244" s="72"/>
    </row>
    <row r="245" spans="4:4">
      <c r="D245" s="72"/>
    </row>
    <row r="246" spans="4:4">
      <c r="D246" s="72"/>
    </row>
    <row r="247" spans="4:4">
      <c r="D247" s="72"/>
    </row>
    <row r="248" spans="4:4">
      <c r="D248" s="72"/>
    </row>
    <row r="249" spans="4:4">
      <c r="D249" s="72"/>
    </row>
    <row r="250" spans="4:4">
      <c r="D250" s="72"/>
    </row>
    <row r="251" spans="4:4">
      <c r="D251" s="72"/>
    </row>
    <row r="252" spans="4:4">
      <c r="D252" s="72"/>
    </row>
    <row r="253" spans="4:4">
      <c r="D253" s="72"/>
    </row>
    <row r="254" spans="4:4">
      <c r="D254" s="72"/>
    </row>
    <row r="255" spans="4:4">
      <c r="D255" s="72"/>
    </row>
    <row r="256" spans="4:4">
      <c r="D256" s="72"/>
    </row>
    <row r="257" spans="4:4">
      <c r="D257" s="72"/>
    </row>
    <row r="258" spans="4:4">
      <c r="D258" s="72"/>
    </row>
    <row r="259" spans="4:4">
      <c r="D259" s="72"/>
    </row>
    <row r="260" spans="4:4">
      <c r="D260" s="72"/>
    </row>
    <row r="261" spans="4:4">
      <c r="D261" s="72"/>
    </row>
    <row r="262" spans="4:4">
      <c r="D262" s="72"/>
    </row>
    <row r="263" spans="4:4">
      <c r="D263" s="72"/>
    </row>
    <row r="264" spans="4:4">
      <c r="D264" s="72"/>
    </row>
    <row r="265" spans="4:4">
      <c r="D265" s="72"/>
    </row>
    <row r="266" spans="4:4">
      <c r="D266" s="72"/>
    </row>
    <row r="267" spans="4:4">
      <c r="D267" s="72"/>
    </row>
    <row r="268" spans="4:4">
      <c r="D268" s="72"/>
    </row>
    <row r="269" spans="4:4">
      <c r="D269" s="72"/>
    </row>
    <row r="270" spans="4:4">
      <c r="D270" s="72"/>
    </row>
    <row r="271" spans="4:4">
      <c r="D271" s="72"/>
    </row>
    <row r="272" spans="4:4">
      <c r="D272" s="72"/>
    </row>
    <row r="273" spans="4:4">
      <c r="D273" s="72"/>
    </row>
    <row r="274" spans="4:4">
      <c r="D274" s="72"/>
    </row>
    <row r="275" spans="4:4">
      <c r="D275" s="72"/>
    </row>
    <row r="276" spans="4:4">
      <c r="D276" s="72"/>
    </row>
    <row r="277" spans="4:4">
      <c r="D277" s="72"/>
    </row>
    <row r="278" spans="4:4">
      <c r="D278" s="72"/>
    </row>
    <row r="279" spans="4:4">
      <c r="D279" s="72"/>
    </row>
    <row r="280" spans="4:4">
      <c r="D280" s="72"/>
    </row>
    <row r="281" spans="4:4">
      <c r="D281" s="72"/>
    </row>
    <row r="282" spans="4:4">
      <c r="D282" s="72"/>
    </row>
    <row r="283" spans="4:4">
      <c r="D283" s="72"/>
    </row>
    <row r="284" spans="4:4">
      <c r="D284" s="72"/>
    </row>
    <row r="285" spans="4:4">
      <c r="D285" s="72"/>
    </row>
    <row r="286" spans="4:4">
      <c r="D286" s="72"/>
    </row>
    <row r="287" spans="4:4">
      <c r="D287" s="72"/>
    </row>
    <row r="288" spans="4:4">
      <c r="D288" s="72"/>
    </row>
    <row r="289" spans="4:4">
      <c r="D289" s="72"/>
    </row>
    <row r="290" spans="4:4">
      <c r="D290" s="72"/>
    </row>
    <row r="291" spans="4:4">
      <c r="D291" s="72"/>
    </row>
    <row r="292" spans="4:4">
      <c r="D292" s="72"/>
    </row>
    <row r="293" spans="4:4">
      <c r="D293" s="72"/>
    </row>
    <row r="294" spans="4:4">
      <c r="D294" s="72"/>
    </row>
    <row r="295" spans="4:4">
      <c r="D295" s="72"/>
    </row>
    <row r="296" spans="4:4">
      <c r="D296" s="72"/>
    </row>
    <row r="297" spans="4:4">
      <c r="D297" s="72"/>
    </row>
    <row r="298" spans="4:4">
      <c r="D298" s="72"/>
    </row>
    <row r="299" spans="4:4">
      <c r="D299" s="72"/>
    </row>
    <row r="300" spans="4:4">
      <c r="D300" s="72"/>
    </row>
    <row r="301" spans="4:4">
      <c r="D301" s="72"/>
    </row>
    <row r="302" spans="4:4">
      <c r="D302" s="72"/>
    </row>
    <row r="303" spans="4:4">
      <c r="D303" s="72"/>
    </row>
    <row r="304" spans="4:4">
      <c r="D304" s="72"/>
    </row>
    <row r="305" spans="4:4">
      <c r="D305" s="72"/>
    </row>
    <row r="306" spans="4:4">
      <c r="D306" s="72"/>
    </row>
    <row r="307" spans="4:4">
      <c r="D307" s="72"/>
    </row>
    <row r="308" spans="4:4">
      <c r="D308" s="72"/>
    </row>
    <row r="309" spans="4:4">
      <c r="D309" s="72"/>
    </row>
    <row r="310" spans="4:4">
      <c r="D310" s="72"/>
    </row>
    <row r="311" spans="4:4">
      <c r="D311" s="72"/>
    </row>
    <row r="312" spans="4:4">
      <c r="D312" s="72"/>
    </row>
    <row r="313" spans="4:4">
      <c r="D313" s="72"/>
    </row>
    <row r="314" spans="4:4">
      <c r="D314" s="72"/>
    </row>
    <row r="315" spans="4:4">
      <c r="D315" s="72"/>
    </row>
    <row r="316" spans="4:4">
      <c r="D316" s="72"/>
    </row>
    <row r="317" spans="4:4">
      <c r="D317" s="72"/>
    </row>
    <row r="318" spans="4:4">
      <c r="D318" s="72"/>
    </row>
    <row r="319" spans="4:4">
      <c r="D319" s="72"/>
    </row>
    <row r="320" spans="4:4">
      <c r="D320" s="72"/>
    </row>
    <row r="321" spans="4:4">
      <c r="D321" s="72"/>
    </row>
    <row r="322" spans="4:4">
      <c r="D322" s="72"/>
    </row>
    <row r="323" spans="4:4">
      <c r="D323" s="72"/>
    </row>
    <row r="324" spans="4:4">
      <c r="D324" s="72"/>
    </row>
    <row r="325" spans="4:4">
      <c r="D325" s="72"/>
    </row>
    <row r="326" spans="4:4">
      <c r="D326" s="72"/>
    </row>
    <row r="327" spans="4:4">
      <c r="D327" s="72"/>
    </row>
    <row r="328" spans="4:4">
      <c r="D328" s="72"/>
    </row>
    <row r="329" spans="4:4">
      <c r="D329" s="72"/>
    </row>
    <row r="330" spans="4:4">
      <c r="D330" s="72"/>
    </row>
    <row r="331" spans="4:4">
      <c r="D331" s="72"/>
    </row>
    <row r="332" spans="4:4">
      <c r="D332" s="72"/>
    </row>
    <row r="333" spans="4:4">
      <c r="D333" s="72"/>
    </row>
    <row r="334" spans="4:4">
      <c r="D334" s="72"/>
    </row>
    <row r="335" spans="4:4">
      <c r="D335" s="72"/>
    </row>
    <row r="336" spans="4:4">
      <c r="D336" s="72"/>
    </row>
    <row r="337" spans="4:4">
      <c r="D337" s="72"/>
    </row>
    <row r="338" spans="4:4">
      <c r="D338" s="72"/>
    </row>
    <row r="339" spans="4:4">
      <c r="D339" s="72"/>
    </row>
    <row r="340" spans="4:4">
      <c r="D340" s="72"/>
    </row>
    <row r="341" spans="4:4">
      <c r="D341" s="72"/>
    </row>
    <row r="342" spans="4:4">
      <c r="D342" s="72"/>
    </row>
    <row r="343" spans="4:4">
      <c r="D343" s="72"/>
    </row>
    <row r="344" spans="4:4">
      <c r="D344" s="72"/>
    </row>
    <row r="345" spans="4:4">
      <c r="D345" s="72"/>
    </row>
    <row r="346" spans="4:4">
      <c r="D346" s="72"/>
    </row>
    <row r="347" spans="4:4">
      <c r="D347" s="72"/>
    </row>
    <row r="348" spans="4:4">
      <c r="D348" s="72"/>
    </row>
    <row r="349" spans="4:4">
      <c r="D349" s="72"/>
    </row>
    <row r="350" spans="4:4">
      <c r="D350" s="72"/>
    </row>
    <row r="351" spans="4:4">
      <c r="D351" s="72"/>
    </row>
    <row r="352" spans="4:4">
      <c r="D352" s="72"/>
    </row>
    <row r="353" spans="4:4">
      <c r="D353" s="72"/>
    </row>
    <row r="354" spans="4:4">
      <c r="D354" s="72"/>
    </row>
    <row r="355" spans="4:4">
      <c r="D355" s="72"/>
    </row>
    <row r="356" spans="4:4">
      <c r="D356" s="72"/>
    </row>
    <row r="357" spans="4:4">
      <c r="D357" s="72"/>
    </row>
    <row r="358" spans="4:4">
      <c r="D358" s="72"/>
    </row>
    <row r="359" spans="4:4">
      <c r="D359" s="72"/>
    </row>
    <row r="360" spans="4:4">
      <c r="D360" s="72"/>
    </row>
    <row r="361" spans="4:4">
      <c r="D361" s="72"/>
    </row>
    <row r="362" spans="4:4">
      <c r="D362" s="72"/>
    </row>
    <row r="363" spans="4:4">
      <c r="D363" s="72"/>
    </row>
    <row r="364" spans="4:4">
      <c r="D364" s="72"/>
    </row>
    <row r="365" spans="4:4">
      <c r="D365" s="72"/>
    </row>
    <row r="366" spans="4:4">
      <c r="D366" s="72"/>
    </row>
    <row r="367" spans="4:4">
      <c r="D367" s="72"/>
    </row>
    <row r="368" spans="4:4">
      <c r="D368" s="72"/>
    </row>
    <row r="369" spans="4:4">
      <c r="D369" s="72"/>
    </row>
    <row r="370" spans="4:4">
      <c r="D370" s="72"/>
    </row>
    <row r="371" spans="4:4">
      <c r="D371" s="72"/>
    </row>
    <row r="372" spans="4:4">
      <c r="D372" s="72"/>
    </row>
    <row r="373" spans="4:4">
      <c r="D373" s="72"/>
    </row>
    <row r="374" spans="4:4">
      <c r="D374" s="72"/>
    </row>
    <row r="375" spans="4:4">
      <c r="D375" s="72"/>
    </row>
    <row r="376" spans="4:4">
      <c r="D376" s="72"/>
    </row>
    <row r="377" spans="4:4">
      <c r="D377" s="72"/>
    </row>
    <row r="378" spans="4:4">
      <c r="D378" s="72"/>
    </row>
    <row r="379" spans="4:4">
      <c r="D379" s="72"/>
    </row>
    <row r="380" spans="4:4">
      <c r="D380" s="72"/>
    </row>
    <row r="381" spans="4:4">
      <c r="D381" s="72"/>
    </row>
    <row r="382" spans="4:4">
      <c r="D382" s="72"/>
    </row>
    <row r="383" spans="4:4">
      <c r="D383" s="72"/>
    </row>
    <row r="384" spans="4:4">
      <c r="D384" s="72"/>
    </row>
  </sheetData>
  <sheetProtection selectLockedCells="1"/>
  <sortState ref="K4:K18">
    <sortCondition ref="K4:K18"/>
  </sortState>
  <pageMargins left="0.7" right="0.7" top="0.75" bottom="0.75" header="0.3" footer="0.3"/>
  <customProperties>
    <customPr name="EpmWorksheetKeyString_GUID" r:id="rId1"/>
  </customProperties>
  <drawing r:id="rId2"/>
  <legacyDrawing r:id="rId3"/>
  <controls>
    <mc:AlternateContent xmlns:mc="http://schemas.openxmlformats.org/markup-compatibility/2006">
      <mc:Choice Requires="x14">
        <control shapeId="26625" r:id="rId4" name="FPMExcelClientSheetOptionstb1">
          <controlPr defaultSize="0" autoLine="0" autoPict="0" r:id="rId5">
            <anchor moveWithCells="1" sizeWithCells="1">
              <from>
                <xdr:col>0</xdr:col>
                <xdr:colOff>0</xdr:colOff>
                <xdr:row>0</xdr:row>
                <xdr:rowOff>0</xdr:rowOff>
              </from>
              <to>
                <xdr:col>1</xdr:col>
                <xdr:colOff>304800</xdr:colOff>
                <xdr:row>0</xdr:row>
                <xdr:rowOff>0</xdr:rowOff>
              </to>
            </anchor>
          </controlPr>
        </control>
      </mc:Choice>
      <mc:Fallback>
        <control shapeId="26625" r:id="rId4" name="FPMExcelClientSheetOptionstb1"/>
      </mc:Fallback>
    </mc:AlternateContent>
  </control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2f4ca286ce34c3bbda5ce712bce9358 xmlns="6918f9be-eeb1-415b-9be3-654e90f201e2">
      <Terms xmlns="http://schemas.microsoft.com/office/infopath/2007/PartnerControls">
        <TermInfo xmlns="http://schemas.microsoft.com/office/infopath/2007/PartnerControls">
          <TermName xmlns="http://schemas.microsoft.com/office/infopath/2007/PartnerControls">Tier1</TermName>
          <TermId xmlns="http://schemas.microsoft.com/office/infopath/2007/PartnerControls">cd280bf6-779a-4dbd-a719-e9e36283fb86</TermId>
        </TermInfo>
      </Terms>
    </a2f4ca286ce34c3bbda5ce712bce9358>
    <TaxCatchAll xmlns="e0824a81-70f0-4b99-a206-b0e60c0f2e92">
      <Value>1</Value>
    </TaxCatchAll>
    <Bookmarked xmlns="6918f9be-eeb1-415b-9be3-654e90f201e2" xsi:nil="true"/>
    <Language xmlns="6918f9be-eeb1-415b-9be3-654e90f201e2" xsi:nil="true"/>
    <Original_x0020_File_x0020_Name xmlns="6918f9be-eeb1-415b-9be3-654e90f201e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F619B01B3569A4AB64731BE0E072FE7" ma:contentTypeVersion="7" ma:contentTypeDescription="Create a new document." ma:contentTypeScope="" ma:versionID="1d286fb156c8c27526f65cf5e663afd3">
  <xsd:schema xmlns:xsd="http://www.w3.org/2001/XMLSchema" xmlns:xs="http://www.w3.org/2001/XMLSchema" xmlns:p="http://schemas.microsoft.com/office/2006/metadata/properties" xmlns:ns2="6918f9be-eeb1-415b-9be3-654e90f201e2" xmlns:ns3="e0824a81-70f0-4b99-a206-b0e60c0f2e92" targetNamespace="http://schemas.microsoft.com/office/2006/metadata/properties" ma:root="true" ma:fieldsID="f63096334391a910ec4f899f17b79acf" ns2:_="" ns3:_="">
    <xsd:import namespace="6918f9be-eeb1-415b-9be3-654e90f201e2"/>
    <xsd:import namespace="e0824a81-70f0-4b99-a206-b0e60c0f2e92"/>
    <xsd:element name="properties">
      <xsd:complexType>
        <xsd:sequence>
          <xsd:element name="documentManagement">
            <xsd:complexType>
              <xsd:all>
                <xsd:element ref="ns2:Original_x0020_File_x0020_Name" minOccurs="0"/>
                <xsd:element ref="ns2:Language" minOccurs="0"/>
                <xsd:element ref="ns2:Bookmarked" minOccurs="0"/>
                <xsd:element ref="ns2:a2f4ca286ce34c3bbda5ce712bce9358" minOccurs="0"/>
                <xsd:element ref="ns3:TaxCatchAll"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18f9be-eeb1-415b-9be3-654e90f201e2" elementFormDefault="qualified">
    <xsd:import namespace="http://schemas.microsoft.com/office/2006/documentManagement/types"/>
    <xsd:import namespace="http://schemas.microsoft.com/office/infopath/2007/PartnerControls"/>
    <xsd:element name="Original_x0020_File_x0020_Name" ma:index="8" nillable="true" ma:displayName="Original File Name" ma:internalName="Original_x0020_File_x0020_Name">
      <xsd:simpleType>
        <xsd:restriction base="dms:Text">
          <xsd:maxLength value="255"/>
        </xsd:restriction>
      </xsd:simpleType>
    </xsd:element>
    <xsd:element name="Language" ma:index="9" nillable="true" ma:displayName="Language" ma:internalName="Language">
      <xsd:simpleType>
        <xsd:restriction base="dms:Text">
          <xsd:maxLength value="255"/>
        </xsd:restriction>
      </xsd:simpleType>
    </xsd:element>
    <xsd:element name="Bookmarked" ma:index="10" nillable="true" ma:displayName="Bookmarked" ma:internalName="Bookmarked">
      <xsd:simpleType>
        <xsd:restriction base="dms:Text">
          <xsd:maxLength value="255"/>
        </xsd:restriction>
      </xsd:simpleType>
    </xsd:element>
    <xsd:element name="a2f4ca286ce34c3bbda5ce712bce9358" ma:index="12" nillable="true" ma:taxonomy="true" ma:internalName="a2f4ca286ce34c3bbda5ce712bce9358" ma:taxonomyFieldName="Tier_x0020_Type" ma:displayName="Tier Type" ma:default="1;#Tier1|cd280bf6-779a-4dbd-a719-e9e36283fb86" ma:fieldId="{a2f4ca28-6ce3-4c3b-bda5-ce712bce9358}" ma:sspId="f2cfcc6d-cc8f-4f2d-af56-00017de6e7f5" ma:termSetId="fbea8927-0f62-47b9-924d-dfde974728a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0824a81-70f0-4b99-a206-b0e60c0f2e92" elementFormDefault="qualified">
    <xsd:import namespace="http://schemas.microsoft.com/office/2006/documentManagement/types"/>
    <xsd:import namespace="http://schemas.microsoft.com/office/infopath/2007/PartnerControls"/>
    <xsd:element name="TaxCatchAll" ma:index="13" nillable="true" ma:displayName="Taxonomy Catch All Column" ma:description="" ma:hidden="true" ma:list="{9217c8c8-c95e-4821-9c03-e654b7e04c8a}" ma:internalName="TaxCatchAll" ma:showField="CatchAllData" ma:web="e0824a81-70f0-4b99-a206-b0e60c0f2e92">
      <xsd:complexType>
        <xsd:complexContent>
          <xsd:extension base="dms:MultiChoiceLookup">
            <xsd:sequence>
              <xsd:element name="Value" type="dms:Lookup" maxOccurs="unbounded" minOccurs="0" nillable="true"/>
            </xsd:sequence>
          </xsd:extension>
        </xsd:complexContent>
      </xsd:complexType>
    </xsd:element>
    <xsd:element name="SharedWithUsers" ma:index="14"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FE38EF-8444-4DAC-A3B5-B9B4BA9E25F7}">
  <ds:schemaRefs>
    <ds:schemaRef ds:uri="http://schemas.microsoft.com/office/2006/metadata/properties"/>
    <ds:schemaRef ds:uri="http://schemas.microsoft.com/office/infopath/2007/PartnerControls"/>
    <ds:schemaRef ds:uri="6918f9be-eeb1-415b-9be3-654e90f201e2"/>
    <ds:schemaRef ds:uri="e0824a81-70f0-4b99-a206-b0e60c0f2e92"/>
  </ds:schemaRefs>
</ds:datastoreItem>
</file>

<file path=customXml/itemProps2.xml><?xml version="1.0" encoding="utf-8"?>
<ds:datastoreItem xmlns:ds="http://schemas.openxmlformats.org/officeDocument/2006/customXml" ds:itemID="{DCD41162-DECC-4BEC-881A-E57003EE78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18f9be-eeb1-415b-9be3-654e90f201e2"/>
    <ds:schemaRef ds:uri="e0824a81-70f0-4b99-a206-b0e60c0f2e9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C19A84-062F-4CB8-8849-6B42440C63A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22</vt:i4>
      </vt:variant>
    </vt:vector>
  </HeadingPairs>
  <TitlesOfParts>
    <vt:vector size="50" baseType="lpstr">
      <vt:lpstr>Reconciliation</vt:lpstr>
      <vt:lpstr>BPC Data</vt:lpstr>
      <vt:lpstr>Summary</vt:lpstr>
      <vt:lpstr> Analysis</vt:lpstr>
      <vt:lpstr>Variance Analysis</vt:lpstr>
      <vt:lpstr>Revenue Summary</vt:lpstr>
      <vt:lpstr>Opex Summary</vt:lpstr>
      <vt:lpstr>ALL-F</vt:lpstr>
      <vt:lpstr>HMGCF-F</vt:lpstr>
      <vt:lpstr>HMGCR-F</vt:lpstr>
      <vt:lpstr>HMGCS-F</vt:lpstr>
      <vt:lpstr>HMGHB-F</vt:lpstr>
      <vt:lpstr>HMGWC-F</vt:lpstr>
      <vt:lpstr>HMGQV-F</vt:lpstr>
      <vt:lpstr>HMGPM-F</vt:lpstr>
      <vt:lpstr>HMGLW-F</vt:lpstr>
      <vt:lpstr>HMGSL-F</vt:lpstr>
      <vt:lpstr>HMGTP-F</vt:lpstr>
      <vt:lpstr>HMGBV-F</vt:lpstr>
      <vt:lpstr>HMGSN-F</vt:lpstr>
      <vt:lpstr>HMG WW-F</vt:lpstr>
      <vt:lpstr>HMGGPV-F</vt:lpstr>
      <vt:lpstr>HMGGPP-F</vt:lpstr>
      <vt:lpstr>HMGAP-F</vt:lpstr>
      <vt:lpstr>HMGNP-F</vt:lpstr>
      <vt:lpstr>HMGBC-F</vt:lpstr>
      <vt:lpstr>HMGFP-F</vt:lpstr>
      <vt:lpstr>PropertyList</vt:lpstr>
      <vt:lpstr>Summary!Print_Area</vt:lpstr>
      <vt:lpstr>'ALL-F'!Print_Titles</vt:lpstr>
      <vt:lpstr>'HMG WW-F'!Print_Titles</vt:lpstr>
      <vt:lpstr>'HMGAP-F'!Print_Titles</vt:lpstr>
      <vt:lpstr>'HMGBC-F'!Print_Titles</vt:lpstr>
      <vt:lpstr>'HMGBV-F'!Print_Titles</vt:lpstr>
      <vt:lpstr>'HMGCF-F'!Print_Titles</vt:lpstr>
      <vt:lpstr>'HMGCR-F'!Print_Titles</vt:lpstr>
      <vt:lpstr>'HMGCS-F'!Print_Titles</vt:lpstr>
      <vt:lpstr>'HMGFP-F'!Print_Titles</vt:lpstr>
      <vt:lpstr>'HMGGPP-F'!Print_Titles</vt:lpstr>
      <vt:lpstr>'HMGGPV-F'!Print_Titles</vt:lpstr>
      <vt:lpstr>'HMGHB-F'!Print_Titles</vt:lpstr>
      <vt:lpstr>'HMGLW-F'!Print_Titles</vt:lpstr>
      <vt:lpstr>'HMGNP-F'!Print_Titles</vt:lpstr>
      <vt:lpstr>'HMGPM-F'!Print_Titles</vt:lpstr>
      <vt:lpstr>'HMGQV-F'!Print_Titles</vt:lpstr>
      <vt:lpstr>'HMGSL-F'!Print_Titles</vt:lpstr>
      <vt:lpstr>'HMGSN-F'!Print_Titles</vt:lpstr>
      <vt:lpstr>'HMGTP-F'!Print_Titles</vt:lpstr>
      <vt:lpstr>'HMGWC-F'!Print_Titles</vt:lpstr>
      <vt:lpstr>Summary!Print_Titles</vt:lpstr>
    </vt:vector>
  </TitlesOfParts>
  <Company>Cloudworks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Paquette</dc:creator>
  <cp:lastModifiedBy>Venkatesh Bhaskar</cp:lastModifiedBy>
  <cp:lastPrinted>2021-11-02T15:46:02Z</cp:lastPrinted>
  <dcterms:created xsi:type="dcterms:W3CDTF">2018-05-03T20:26:04Z</dcterms:created>
  <dcterms:modified xsi:type="dcterms:W3CDTF">2022-09-06T15:11:19Z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{4F461820-7F2B-4134-8293-2511E79FF415}</vt:lpwstr>
  </property>
  <property fmtid="{D5CDD505-2E9C-101B-9397-08002B2CF9AE}" pid="3" name="ContentTypeId">
    <vt:lpwstr>0x010100BF619B01B3569A4AB64731BE0E072FE7</vt:lpwstr>
  </property>
  <property fmtid="{D5CDD505-2E9C-101B-9397-08002B2CF9AE}" pid="4" name="Tier Type">
    <vt:lpwstr>1;#Tier1|cd280bf6-779a-4dbd-a719-e9e36283fb86</vt:lpwstr>
  </property>
</Properties>
</file>